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ethreesf.sharepoint.com/sites/CPUCFuelSubstitutionCalculator/Shared Documents/General/2022 Version/"/>
    </mc:Choice>
  </mc:AlternateContent>
  <xr:revisionPtr revIDLastSave="525" documentId="13_ncr:1_{C2D8AC25-E422-4099-88B8-779857918138}" xr6:coauthVersionLast="47" xr6:coauthVersionMax="47" xr10:uidLastSave="{617B6307-3DE1-4C61-AC67-E989FF8A11F0}"/>
  <bookViews>
    <workbookView xWindow="-28920" yWindow="-120" windowWidth="29040" windowHeight="15840" tabRatio="921" activeTab="1" xr2:uid="{00000000-000D-0000-FFFF-FFFF00000000}"/>
  </bookViews>
  <sheets>
    <sheet name="Introduction" sheetId="6" r:id="rId1"/>
    <sheet name="Fuel Sub Calcs-Custom" sheetId="7" r:id="rId2"/>
    <sheet name="Fuel Sub Calcs-Deemed" sheetId="10" r:id="rId3"/>
    <sheet name="Time series tables" sheetId="9" r:id="rId4"/>
    <sheet name="AFLookup" sheetId="11" state="hidden" r:id="rId5"/>
    <sheet name="E3 Cover" sheetId="5" state="hidden" r:id="rId6"/>
    <sheet name="Annual Factors" sheetId="1" r:id="rId7"/>
    <sheet name="Long-Run Emissions Inputs" sheetId="3" r:id="rId8"/>
    <sheet name="Device Refrigerant Leakage" sheetId="14" r:id="rId9"/>
    <sheet name="Refrigerant GWPs" sheetId="15" r:id="rId10"/>
    <sheet name="Reference" sheetId="4" r:id="rId11"/>
    <sheet name="Dropdown" sheetId="8" r:id="rId12"/>
  </sheets>
  <externalReferences>
    <externalReference r:id="rId13"/>
    <externalReference r:id="rId14"/>
  </externalReferences>
  <definedNames>
    <definedName name="__123Graph_A" localSheetId="2" hidden="1">[1]Sheet1!#REF!</definedName>
    <definedName name="__123Graph_A" hidden="1">[1]Sheet1!#REF!</definedName>
    <definedName name="__123Graph_ADA" localSheetId="2" hidden="1">[1]Sheet1!#REF!</definedName>
    <definedName name="__123Graph_ADA" hidden="1">[1]Sheet1!#REF!</definedName>
    <definedName name="__123Graph_ADEPREC2" localSheetId="2" hidden="1">[1]Sheet1!#REF!</definedName>
    <definedName name="__123Graph_ADEPREC2" hidden="1">[1]Sheet1!#REF!</definedName>
    <definedName name="__123Graph_ATREND" localSheetId="2" hidden="1">[1]Sheet1!#REF!</definedName>
    <definedName name="__123Graph_ATREND" hidden="1">[1]Sheet1!#REF!</definedName>
    <definedName name="__123Graph_B" localSheetId="2" hidden="1">[1]Sheet1!#REF!</definedName>
    <definedName name="__123Graph_B" hidden="1">[1]Sheet1!#REF!</definedName>
    <definedName name="__123Graph_BTREND" localSheetId="2" hidden="1">[1]Sheet1!#REF!</definedName>
    <definedName name="__123Graph_BTREND" hidden="1">[1]Sheet1!#REF!</definedName>
    <definedName name="__123Graph_C" localSheetId="2" hidden="1">[1]Sheet1!#REF!</definedName>
    <definedName name="__123Graph_C" hidden="1">[1]Sheet1!#REF!</definedName>
    <definedName name="__123Graph_CTREND" localSheetId="2" hidden="1">[1]Sheet1!#REF!</definedName>
    <definedName name="__123Graph_CTREND" hidden="1">[1]Sheet1!#REF!</definedName>
    <definedName name="__123Graph_X" localSheetId="2" hidden="1">[1]Sheet1!#REF!</definedName>
    <definedName name="__123Graph_X" hidden="1">[1]Sheet1!#REF!</definedName>
    <definedName name="__123Graph_XTREND" localSheetId="2" hidden="1">[1]Sheet1!#REF!</definedName>
    <definedName name="__123Graph_XTREND" hidden="1">[1]Sheet1!#REF!</definedName>
    <definedName name="__FDS_HYPERLINK_TOGGLE_STATE__" hidden="1">"ON"</definedName>
    <definedName name="_1__123Graph_A_FABP_L.WK1_FAB" localSheetId="2" hidden="1">[1]Sheet1!#REF!</definedName>
    <definedName name="_1__123Graph_A_FABP_L.WK1_FAB" hidden="1">[1]Sheet1!#REF!</definedName>
    <definedName name="_2__123Graph_ADEPREC" localSheetId="2" hidden="1">[1]Sheet1!#REF!</definedName>
    <definedName name="_2__123Graph_ADEPREC" hidden="1">[1]Sheet1!#REF!</definedName>
    <definedName name="_3__123Graph_B_FABP_L.WK1_FAB" localSheetId="2" hidden="1">[1]Sheet1!#REF!</definedName>
    <definedName name="_3__123Graph_B_FABP_L.WK1_FAB" hidden="1">[1]Sheet1!#REF!</definedName>
    <definedName name="_4__123Graph_C_FABP_L.WK1_FAB" localSheetId="2" hidden="1">[1]Sheet1!#REF!</definedName>
    <definedName name="_4__123Graph_C_FABP_L.WK1_FAB" hidden="1">[1]Sheet1!#REF!</definedName>
    <definedName name="_5__123Graph_X_FABP_L.WK1_FAB" localSheetId="2" hidden="1">[1]Sheet1!#REF!</definedName>
    <definedName name="_5__123Graph_X_FABP_L.WK1_FAB" hidden="1">[1]Sheet1!#REF!</definedName>
    <definedName name="_Fill" localSheetId="2" hidden="1">#REF!</definedName>
    <definedName name="_Fill" hidden="1">#REF!</definedName>
    <definedName name="_xlnm._FilterDatabase" localSheetId="4" hidden="1">AFLookup!$B$2:$H$498</definedName>
    <definedName name="_xlnm._FilterDatabase" localSheetId="3" hidden="1">'Time series tables'!$B$13:$AS$36</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Sort" localSheetId="2" hidden="1">#REF!</definedName>
    <definedName name="_Sort" hidden="1">#REF!</definedName>
    <definedName name="_Table2_In1" localSheetId="2" hidden="1">#REF!</definedName>
    <definedName name="_Table2_In1" hidden="1">#REF!</definedName>
    <definedName name="_Table2_In2" localSheetId="2" hidden="1">#REF!</definedName>
    <definedName name="_Table2_In2" hidden="1">#REF!</definedName>
    <definedName name="_Table2_Out" localSheetId="2" hidden="1">#REF!</definedName>
    <definedName name="_Table2_Out" hidden="1">#REF!</definedName>
    <definedName name="AF_Emissions_Intensity_metric_tonnes_per_MWh">'Annual Factors'!$E$6:$E$36</definedName>
    <definedName name="AF_Emissions_Intensity_short_tons_per_MWh">'Annual Factors'!$C$6:$C$36</definedName>
    <definedName name="AF_Source_Energy_Btu_per_kWh">'Annual Factors'!$D$6:$D$36</definedName>
    <definedName name="AFL_Emissions_Intensity_metric_tonnes_per_MWh">AFLookup!$H$3:$H$498</definedName>
    <definedName name="AFL_IndexB">AFLookup!$F$3:$F$498</definedName>
    <definedName name="AFL_Source_Energy_Btu_per_kWh">AFLookup!$G$3:$G$498</definedName>
    <definedName name="AnnualFactorYear">'Annual Factors'!$B$6:$B$36</definedName>
    <definedName name="anscount" hidden="1">3</definedName>
    <definedName name="BLPB1" hidden="1">'[2]One-Pager'!$A$5</definedName>
    <definedName name="BLPB2" hidden="1">'[2]One-Pager'!$B$5</definedName>
    <definedName name="BLPB3" hidden="1">'[2]One-Pager'!$A$6</definedName>
    <definedName name="BLPB4" hidden="1">'[2]One-Pager'!$A$2</definedName>
    <definedName name="BLPB5" hidden="1">'[2]One-Pager'!$Q$3</definedName>
    <definedName name="BLPB6" hidden="1">'[2]One-Pager'!$I$2</definedName>
    <definedName name="BLPB7" hidden="1">'[2]One-Pager'!$G$2</definedName>
    <definedName name="BLPB8" hidden="1">'[2]One-Pager'!$F$6</definedName>
    <definedName name="BLPH1" localSheetId="2" hidden="1">#REF!</definedName>
    <definedName name="BLPH1" hidden="1">#REF!</definedName>
    <definedName name="BLPH10" localSheetId="2" hidden="1">#REF!</definedName>
    <definedName name="BLPH10" hidden="1">#REF!</definedName>
    <definedName name="BLPH11" localSheetId="2" hidden="1">#REF!</definedName>
    <definedName name="BLPH11" hidden="1">#REF!</definedName>
    <definedName name="BLPH12" localSheetId="2" hidden="1">#REF!</definedName>
    <definedName name="BLPH12" hidden="1">#REF!</definedName>
    <definedName name="BLPH13" localSheetId="2" hidden="1">#REF!</definedName>
    <definedName name="BLPH13" hidden="1">#REF!</definedName>
    <definedName name="BLPH14" localSheetId="2" hidden="1">#REF!</definedName>
    <definedName name="BLPH14" hidden="1">#REF!</definedName>
    <definedName name="BLPH2" localSheetId="2" hidden="1">#REF!</definedName>
    <definedName name="BLPH2" hidden="1">#REF!</definedName>
    <definedName name="BLPH3" localSheetId="2" hidden="1">#REF!</definedName>
    <definedName name="BLPH3" hidden="1">#REF!</definedName>
    <definedName name="BLPH4" localSheetId="2" hidden="1">#REF!</definedName>
    <definedName name="BLPH4" hidden="1">#REF!</definedName>
    <definedName name="BLPH5" localSheetId="2" hidden="1">#REF!</definedName>
    <definedName name="BLPH5" hidden="1">#REF!</definedName>
    <definedName name="BLPH6" localSheetId="2" hidden="1">#REF!</definedName>
    <definedName name="BLPH6" hidden="1">#REF!</definedName>
    <definedName name="BLPH7" localSheetId="2" hidden="1">#REF!</definedName>
    <definedName name="BLPH7" hidden="1">#REF!</definedName>
    <definedName name="BLPH8" localSheetId="2" hidden="1">#REF!</definedName>
    <definedName name="BLPH8" hidden="1">#REF!</definedName>
    <definedName name="BLPH9" localSheetId="2" hidden="1">#REF!</definedName>
    <definedName name="BLPH9" hidden="1">#REF!</definedName>
    <definedName name="Btu_per_kWh">Reference!$D$8</definedName>
    <definedName name="Btu_therm">Reference!$D$7</definedName>
    <definedName name="CCGT_Heat_Rate_btu_per_kwh">Reference!$D$14</definedName>
    <definedName name="dropdown_Fuel">Dropdown!$C$3:$C$5</definedName>
    <definedName name="dropdown_MAT">Dropdown!$B$3:$B$4</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DP_0_1_aUrv" localSheetId="2" hidden="1">#REF!</definedName>
    <definedName name="FDP_0_1_aUrv" hidden="1">#REF!</definedName>
    <definedName name="FDP_1_1_aUrv" localSheetId="2" hidden="1">#REF!</definedName>
    <definedName name="FDP_1_1_aUrv" hidden="1">#REF!</definedName>
    <definedName name="FDP_10_1_aDrv" localSheetId="2" hidden="1">#REF!</definedName>
    <definedName name="FDP_10_1_aDrv" hidden="1">#REF!</definedName>
    <definedName name="FDP_100_1_aUrv" localSheetId="2" hidden="1">#REF!</definedName>
    <definedName name="FDP_100_1_aUrv" hidden="1">#REF!</definedName>
    <definedName name="FDP_101_1_aUrv" localSheetId="2" hidden="1">#REF!</definedName>
    <definedName name="FDP_101_1_aUrv" hidden="1">#REF!</definedName>
    <definedName name="FDP_102_1_aUrv" localSheetId="2" hidden="1">#REF!</definedName>
    <definedName name="FDP_102_1_aUrv" hidden="1">#REF!</definedName>
    <definedName name="FDP_103_1_aUrv" localSheetId="2" hidden="1">#REF!</definedName>
    <definedName name="FDP_103_1_aUrv" hidden="1">#REF!</definedName>
    <definedName name="FDP_104_1_aUrv" localSheetId="2" hidden="1">#REF!</definedName>
    <definedName name="FDP_104_1_aUrv" hidden="1">#REF!</definedName>
    <definedName name="FDP_105_1_aUrv" localSheetId="2" hidden="1">#REF!</definedName>
    <definedName name="FDP_105_1_aUrv" hidden="1">#REF!</definedName>
    <definedName name="FDP_106_1_aUrv" localSheetId="2" hidden="1">#REF!</definedName>
    <definedName name="FDP_106_1_aUrv" hidden="1">#REF!</definedName>
    <definedName name="FDP_107_1_aUrv" localSheetId="2" hidden="1">#REF!</definedName>
    <definedName name="FDP_107_1_aUrv" hidden="1">#REF!</definedName>
    <definedName name="FDP_108_1_aUrv" localSheetId="2" hidden="1">#REF!</definedName>
    <definedName name="FDP_108_1_aUrv" hidden="1">#REF!</definedName>
    <definedName name="FDP_109_1_aUrv" localSheetId="2" hidden="1">#REF!</definedName>
    <definedName name="FDP_109_1_aUrv" hidden="1">#REF!</definedName>
    <definedName name="FDP_11_1_aDrv" localSheetId="2" hidden="1">#REF!</definedName>
    <definedName name="FDP_11_1_aDrv" hidden="1">#REF!</definedName>
    <definedName name="FDP_110_1_aUrv" localSheetId="2" hidden="1">#REF!</definedName>
    <definedName name="FDP_110_1_aUrv" hidden="1">#REF!</definedName>
    <definedName name="FDP_111_1_aUrv" localSheetId="2" hidden="1">#REF!</definedName>
    <definedName name="FDP_111_1_aUrv" hidden="1">#REF!</definedName>
    <definedName name="FDP_112_1_aUrv" localSheetId="2" hidden="1">#REF!</definedName>
    <definedName name="FDP_112_1_aUrv" hidden="1">#REF!</definedName>
    <definedName name="FDP_113_1_aUrv" localSheetId="2" hidden="1">#REF!</definedName>
    <definedName name="FDP_113_1_aUrv" hidden="1">#REF!</definedName>
    <definedName name="FDP_114_1_aUrv" localSheetId="2" hidden="1">#REF!</definedName>
    <definedName name="FDP_114_1_aUrv" hidden="1">#REF!</definedName>
    <definedName name="FDP_115_1_aUrv" localSheetId="2" hidden="1">#REF!</definedName>
    <definedName name="FDP_115_1_aUrv" hidden="1">#REF!</definedName>
    <definedName name="FDP_116_1_aUrv" localSheetId="2" hidden="1">#REF!</definedName>
    <definedName name="FDP_116_1_aUrv" hidden="1">#REF!</definedName>
    <definedName name="FDP_117_1_aUrv" localSheetId="2" hidden="1">#REF!</definedName>
    <definedName name="FDP_117_1_aUrv" hidden="1">#REF!</definedName>
    <definedName name="FDP_118_1_aUrv" localSheetId="2" hidden="1">#REF!</definedName>
    <definedName name="FDP_118_1_aUrv" hidden="1">#REF!</definedName>
    <definedName name="FDP_119_1_aUrv" localSheetId="2" hidden="1">#REF!</definedName>
    <definedName name="FDP_119_1_aUrv" hidden="1">#REF!</definedName>
    <definedName name="FDP_12_1_aDrv" localSheetId="2" hidden="1">#REF!</definedName>
    <definedName name="FDP_12_1_aDrv" hidden="1">#REF!</definedName>
    <definedName name="FDP_120_1_aUrv" localSheetId="2" hidden="1">#REF!</definedName>
    <definedName name="FDP_120_1_aUrv" hidden="1">#REF!</definedName>
    <definedName name="FDP_121_1_aUrv" localSheetId="2" hidden="1">#REF!</definedName>
    <definedName name="FDP_121_1_aUrv" hidden="1">#REF!</definedName>
    <definedName name="FDP_122_1_aUrv" localSheetId="2" hidden="1">#REF!</definedName>
    <definedName name="FDP_122_1_aUrv" hidden="1">#REF!</definedName>
    <definedName name="FDP_123_1_aUrv" localSheetId="2" hidden="1">#REF!</definedName>
    <definedName name="FDP_123_1_aUrv" hidden="1">#REF!</definedName>
    <definedName name="FDP_124_1_aUrv" localSheetId="2" hidden="1">#REF!</definedName>
    <definedName name="FDP_124_1_aUrv" hidden="1">#REF!</definedName>
    <definedName name="FDP_125_1_aUrv" localSheetId="2" hidden="1">#REF!</definedName>
    <definedName name="FDP_125_1_aUrv" hidden="1">#REF!</definedName>
    <definedName name="FDP_126_1_aUrv" localSheetId="2" hidden="1">#REF!</definedName>
    <definedName name="FDP_126_1_aUrv" hidden="1">#REF!</definedName>
    <definedName name="FDP_127_1_aUrv" localSheetId="2" hidden="1">#REF!</definedName>
    <definedName name="FDP_127_1_aUrv" hidden="1">#REF!</definedName>
    <definedName name="FDP_128_1_aUrv" localSheetId="2" hidden="1">#REF!</definedName>
    <definedName name="FDP_128_1_aUrv" hidden="1">#REF!</definedName>
    <definedName name="FDP_129_1_aUrv" localSheetId="2" hidden="1">#REF!</definedName>
    <definedName name="FDP_129_1_aUrv" hidden="1">#REF!</definedName>
    <definedName name="FDP_13_1_aUrv" localSheetId="2" hidden="1">#REF!</definedName>
    <definedName name="FDP_13_1_aUrv" hidden="1">#REF!</definedName>
    <definedName name="FDP_130_1_aUrv" localSheetId="2" hidden="1">#REF!</definedName>
    <definedName name="FDP_130_1_aUrv" hidden="1">#REF!</definedName>
    <definedName name="FDP_131_1_aSrv" localSheetId="2" hidden="1">#REF!</definedName>
    <definedName name="FDP_131_1_aSrv" hidden="1">#REF!</definedName>
    <definedName name="FDP_132_1_aUrv" localSheetId="2" hidden="1">#REF!</definedName>
    <definedName name="FDP_132_1_aUrv" hidden="1">#REF!</definedName>
    <definedName name="FDP_133_1_aUrv" localSheetId="2" hidden="1">#REF!</definedName>
    <definedName name="FDP_133_1_aUrv" hidden="1">#REF!</definedName>
    <definedName name="FDP_134_1_aUrv" localSheetId="2" hidden="1">#REF!</definedName>
    <definedName name="FDP_134_1_aUrv" hidden="1">#REF!</definedName>
    <definedName name="FDP_135_1_aUrv" localSheetId="2" hidden="1">#REF!</definedName>
    <definedName name="FDP_135_1_aUrv" hidden="1">#REF!</definedName>
    <definedName name="FDP_136_1_aSrv" localSheetId="2" hidden="1">#REF!</definedName>
    <definedName name="FDP_136_1_aSrv" hidden="1">#REF!</definedName>
    <definedName name="FDP_137_1_aUrv" localSheetId="2" hidden="1">#REF!</definedName>
    <definedName name="FDP_137_1_aUrv" hidden="1">#REF!</definedName>
    <definedName name="FDP_138_1_aUrv" localSheetId="2" hidden="1">#REF!</definedName>
    <definedName name="FDP_138_1_aUrv" hidden="1">#REF!</definedName>
    <definedName name="FDP_139_1_aUrv" localSheetId="2" hidden="1">#REF!</definedName>
    <definedName name="FDP_139_1_aUrv" hidden="1">#REF!</definedName>
    <definedName name="FDP_14_1_aUrv" localSheetId="2" hidden="1">#REF!</definedName>
    <definedName name="FDP_14_1_aUrv" hidden="1">#REF!</definedName>
    <definedName name="FDP_140_1_aUrv" localSheetId="2" hidden="1">#REF!</definedName>
    <definedName name="FDP_140_1_aUrv" hidden="1">#REF!</definedName>
    <definedName name="FDP_141_1_aUrv" localSheetId="2" hidden="1">#REF!</definedName>
    <definedName name="FDP_141_1_aUrv" hidden="1">#REF!</definedName>
    <definedName name="FDP_142_1_aUrv" localSheetId="2" hidden="1">#REF!</definedName>
    <definedName name="FDP_142_1_aUrv" hidden="1">#REF!</definedName>
    <definedName name="FDP_143_1_aUrv" localSheetId="2" hidden="1">#REF!</definedName>
    <definedName name="FDP_143_1_aUrv" hidden="1">#REF!</definedName>
    <definedName name="FDP_144_1_aUrv" localSheetId="2" hidden="1">#REF!</definedName>
    <definedName name="FDP_144_1_aUrv" hidden="1">#REF!</definedName>
    <definedName name="FDP_145_1_aUrv" localSheetId="2" hidden="1">#REF!</definedName>
    <definedName name="FDP_145_1_aUrv" hidden="1">#REF!</definedName>
    <definedName name="FDP_146_1_aUrv" localSheetId="2" hidden="1">#REF!</definedName>
    <definedName name="FDP_146_1_aUrv" hidden="1">#REF!</definedName>
    <definedName name="FDP_147_1_aUrv" localSheetId="2" hidden="1">#REF!</definedName>
    <definedName name="FDP_147_1_aUrv" hidden="1">#REF!</definedName>
    <definedName name="FDP_148_1_aUrv" localSheetId="2" hidden="1">#REF!</definedName>
    <definedName name="FDP_148_1_aUrv" hidden="1">#REF!</definedName>
    <definedName name="FDP_149_1_aUrv" localSheetId="2" hidden="1">#REF!</definedName>
    <definedName name="FDP_149_1_aUrv" hidden="1">#REF!</definedName>
    <definedName name="FDP_15_1_aUrv" localSheetId="2" hidden="1">#REF!</definedName>
    <definedName name="FDP_15_1_aUrv" hidden="1">#REF!</definedName>
    <definedName name="FDP_150_1_aSrv" localSheetId="2" hidden="1">#REF!</definedName>
    <definedName name="FDP_150_1_aSrv" hidden="1">#REF!</definedName>
    <definedName name="FDP_151_1_aUrv" localSheetId="2" hidden="1">#REF!</definedName>
    <definedName name="FDP_151_1_aUrv" hidden="1">#REF!</definedName>
    <definedName name="FDP_152_1_aSrv" localSheetId="2" hidden="1">#REF!</definedName>
    <definedName name="FDP_152_1_aSrv" hidden="1">#REF!</definedName>
    <definedName name="FDP_153_1_aUrv" localSheetId="2" hidden="1">#REF!</definedName>
    <definedName name="FDP_153_1_aUrv" hidden="1">#REF!</definedName>
    <definedName name="FDP_154_1_aSrv" localSheetId="2" hidden="1">#REF!</definedName>
    <definedName name="FDP_154_1_aSrv" hidden="1">#REF!</definedName>
    <definedName name="FDP_155_1_aUrv" localSheetId="2" hidden="1">#REF!</definedName>
    <definedName name="FDP_155_1_aUrv" hidden="1">#REF!</definedName>
    <definedName name="FDP_156_1_aSrv" localSheetId="2" hidden="1">#REF!</definedName>
    <definedName name="FDP_156_1_aSrv" hidden="1">#REF!</definedName>
    <definedName name="FDP_157_1_aUrv" localSheetId="2" hidden="1">#REF!</definedName>
    <definedName name="FDP_157_1_aUrv" hidden="1">#REF!</definedName>
    <definedName name="FDP_158_1_aSrv" localSheetId="2" hidden="1">#REF!</definedName>
    <definedName name="FDP_158_1_aSrv" hidden="1">#REF!</definedName>
    <definedName name="FDP_159_1_aUrv" localSheetId="2" hidden="1">#REF!</definedName>
    <definedName name="FDP_159_1_aUrv" hidden="1">#REF!</definedName>
    <definedName name="FDP_16_1_aUrv" localSheetId="2" hidden="1">#REF!</definedName>
    <definedName name="FDP_16_1_aUrv" hidden="1">#REF!</definedName>
    <definedName name="FDP_160_1_aSrv" localSheetId="2" hidden="1">#REF!</definedName>
    <definedName name="FDP_160_1_aSrv" hidden="1">#REF!</definedName>
    <definedName name="FDP_161_1_aDrv" localSheetId="2" hidden="1">#REF!</definedName>
    <definedName name="FDP_161_1_aDrv" hidden="1">#REF!</definedName>
    <definedName name="FDP_162_1_aDrv" localSheetId="2" hidden="1">#REF!</definedName>
    <definedName name="FDP_162_1_aDrv" hidden="1">#REF!</definedName>
    <definedName name="FDP_163_1_aDrv" localSheetId="2" hidden="1">#REF!</definedName>
    <definedName name="FDP_163_1_aDrv" hidden="1">#REF!</definedName>
    <definedName name="FDP_164_1_aDrv" localSheetId="2" hidden="1">#REF!</definedName>
    <definedName name="FDP_164_1_aDrv" hidden="1">#REF!</definedName>
    <definedName name="FDP_165_1_aDrv" localSheetId="2" hidden="1">#REF!</definedName>
    <definedName name="FDP_165_1_aDrv" hidden="1">#REF!</definedName>
    <definedName name="FDP_166_1_aDrv" localSheetId="2" hidden="1">#REF!</definedName>
    <definedName name="FDP_166_1_aDrv" hidden="1">#REF!</definedName>
    <definedName name="FDP_167_1_aDrv" localSheetId="2" hidden="1">#REF!</definedName>
    <definedName name="FDP_167_1_aDrv" hidden="1">#REF!</definedName>
    <definedName name="FDP_168_1_aDrv" localSheetId="2" hidden="1">#REF!</definedName>
    <definedName name="FDP_168_1_aDrv" hidden="1">#REF!</definedName>
    <definedName name="FDP_169_1_aDrv" localSheetId="2" hidden="1">#REF!</definedName>
    <definedName name="FDP_169_1_aDrv" hidden="1">#REF!</definedName>
    <definedName name="FDP_17_1_aUrv" localSheetId="2" hidden="1">#REF!</definedName>
    <definedName name="FDP_17_1_aUrv" hidden="1">#REF!</definedName>
    <definedName name="FDP_170_1_aDrv" localSheetId="2" hidden="1">#REF!</definedName>
    <definedName name="FDP_170_1_aDrv" hidden="1">#REF!</definedName>
    <definedName name="FDP_171_1_aDrv" localSheetId="2" hidden="1">#REF!</definedName>
    <definedName name="FDP_171_1_aDrv" hidden="1">#REF!</definedName>
    <definedName name="FDP_172_1_aDrv" localSheetId="2" hidden="1">#REF!</definedName>
    <definedName name="FDP_172_1_aDrv" hidden="1">#REF!</definedName>
    <definedName name="FDP_173_1_aDrv" localSheetId="2" hidden="1">#REF!</definedName>
    <definedName name="FDP_173_1_aDrv" hidden="1">#REF!</definedName>
    <definedName name="FDP_174_1_aUrv" localSheetId="2" hidden="1">#REF!</definedName>
    <definedName name="FDP_174_1_aUrv" hidden="1">#REF!</definedName>
    <definedName name="FDP_175_1_aUrv" localSheetId="2" hidden="1">#REF!</definedName>
    <definedName name="FDP_175_1_aUrv" hidden="1">#REF!</definedName>
    <definedName name="FDP_176_1_aUrv" localSheetId="2" hidden="1">#REF!</definedName>
    <definedName name="FDP_176_1_aUrv" hidden="1">#REF!</definedName>
    <definedName name="FDP_177_1_aUrv" localSheetId="2" hidden="1">#REF!</definedName>
    <definedName name="FDP_177_1_aUrv" hidden="1">#REF!</definedName>
    <definedName name="FDP_178_1_aUrv" localSheetId="2" hidden="1">#REF!</definedName>
    <definedName name="FDP_178_1_aUrv" hidden="1">#REF!</definedName>
    <definedName name="FDP_179_1_aUrv" localSheetId="2" hidden="1">#REF!</definedName>
    <definedName name="FDP_179_1_aUrv" hidden="1">#REF!</definedName>
    <definedName name="FDP_18_1_aUrv" localSheetId="2" hidden="1">#REF!</definedName>
    <definedName name="FDP_18_1_aUrv" hidden="1">#REF!</definedName>
    <definedName name="FDP_180_1_aUdv" localSheetId="2" hidden="1">#REF!</definedName>
    <definedName name="FDP_180_1_aUdv" hidden="1">#REF!</definedName>
    <definedName name="FDP_181_1_aUdv" localSheetId="2" hidden="1">#REF!</definedName>
    <definedName name="FDP_181_1_aUdv" hidden="1">#REF!</definedName>
    <definedName name="FDP_182_1_aUdv" localSheetId="2" hidden="1">#REF!</definedName>
    <definedName name="FDP_182_1_aUdv" hidden="1">#REF!</definedName>
    <definedName name="FDP_183_1_aUdv" localSheetId="2" hidden="1">#REF!</definedName>
    <definedName name="FDP_183_1_aUdv" hidden="1">#REF!</definedName>
    <definedName name="FDP_184_1_aUdv" localSheetId="2" hidden="1">#REF!</definedName>
    <definedName name="FDP_184_1_aUdv" hidden="1">#REF!</definedName>
    <definedName name="FDP_185_1_aUdv" localSheetId="2" hidden="1">#REF!</definedName>
    <definedName name="FDP_185_1_aUdv" hidden="1">#REF!</definedName>
    <definedName name="FDP_186_1_aUdv" localSheetId="2" hidden="1">#REF!</definedName>
    <definedName name="FDP_186_1_aUdv" hidden="1">#REF!</definedName>
    <definedName name="FDP_187_1_aUdv" localSheetId="2" hidden="1">#REF!</definedName>
    <definedName name="FDP_187_1_aUdv" hidden="1">#REF!</definedName>
    <definedName name="FDP_188_1_aUdv" localSheetId="2" hidden="1">#REF!</definedName>
    <definedName name="FDP_188_1_aUdv" hidden="1">#REF!</definedName>
    <definedName name="FDP_189_1_aUdv" localSheetId="2" hidden="1">#REF!</definedName>
    <definedName name="FDP_189_1_aUdv" hidden="1">#REF!</definedName>
    <definedName name="FDP_19_1_aUrv" localSheetId="2" hidden="1">#REF!</definedName>
    <definedName name="FDP_19_1_aUrv" hidden="1">#REF!</definedName>
    <definedName name="FDP_190_1_aUdv" localSheetId="2" hidden="1">#REF!</definedName>
    <definedName name="FDP_190_1_aUdv" hidden="1">#REF!</definedName>
    <definedName name="FDP_191_1_aUdv" localSheetId="2" hidden="1">#REF!</definedName>
    <definedName name="FDP_191_1_aUdv" hidden="1">#REF!</definedName>
    <definedName name="FDP_192_1_aUdv" localSheetId="2" hidden="1">#REF!</definedName>
    <definedName name="FDP_192_1_aUdv" hidden="1">#REF!</definedName>
    <definedName name="FDP_193_1_aUdv" localSheetId="2" hidden="1">#REF!</definedName>
    <definedName name="FDP_193_1_aUdv" hidden="1">#REF!</definedName>
    <definedName name="FDP_194_1_aUdv" localSheetId="2" hidden="1">#REF!</definedName>
    <definedName name="FDP_194_1_aUdv" hidden="1">#REF!</definedName>
    <definedName name="FDP_195_1_aUdv" localSheetId="2" hidden="1">#REF!</definedName>
    <definedName name="FDP_195_1_aUdv" hidden="1">#REF!</definedName>
    <definedName name="FDP_196_1_aUdv" localSheetId="2" hidden="1">#REF!</definedName>
    <definedName name="FDP_196_1_aUdv" hidden="1">#REF!</definedName>
    <definedName name="FDP_196_1aUdv1" localSheetId="2" hidden="1">#REF!</definedName>
    <definedName name="FDP_196_1aUdv1" hidden="1">#REF!</definedName>
    <definedName name="FDP_197_1_aUdv" localSheetId="2" hidden="1">#REF!</definedName>
    <definedName name="FDP_197_1_aUdv" hidden="1">#REF!</definedName>
    <definedName name="FDP_198_1_aUdv" localSheetId="2" hidden="1">#REF!</definedName>
    <definedName name="FDP_198_1_aUdv" hidden="1">#REF!</definedName>
    <definedName name="FDP_199_1_aUdv" localSheetId="2" hidden="1">#REF!</definedName>
    <definedName name="FDP_199_1_aUdv" hidden="1">#REF!</definedName>
    <definedName name="FDP_2_1_aUrv" localSheetId="2" hidden="1">#REF!</definedName>
    <definedName name="FDP_2_1_aUrv" hidden="1">#REF!</definedName>
    <definedName name="FDP_20_1_aUrv" localSheetId="2" hidden="1">#REF!</definedName>
    <definedName name="FDP_20_1_aUrv" hidden="1">#REF!</definedName>
    <definedName name="FDP_21_1_aUrv" localSheetId="2" hidden="1">#REF!</definedName>
    <definedName name="FDP_21_1_aUrv" hidden="1">#REF!</definedName>
    <definedName name="FDP_22_1_aUrv" localSheetId="2" hidden="1">#REF!</definedName>
    <definedName name="FDP_22_1_aUrv" hidden="1">#REF!</definedName>
    <definedName name="FDP_23_1_aDrv" localSheetId="2" hidden="1">#REF!</definedName>
    <definedName name="FDP_23_1_aDrv" hidden="1">#REF!</definedName>
    <definedName name="FDP_24_1_aUrv" localSheetId="2" hidden="1">#REF!</definedName>
    <definedName name="FDP_24_1_aUrv" hidden="1">#REF!</definedName>
    <definedName name="FDP_25_1_aUrv" localSheetId="2" hidden="1">#REF!</definedName>
    <definedName name="FDP_25_1_aUrv" hidden="1">#REF!</definedName>
    <definedName name="FDP_26_1_aUrv" localSheetId="2" hidden="1">#REF!</definedName>
    <definedName name="FDP_26_1_aUrv" hidden="1">#REF!</definedName>
    <definedName name="FDP_27_1_aUrv" localSheetId="2" hidden="1">#REF!</definedName>
    <definedName name="FDP_27_1_aUrv" hidden="1">#REF!</definedName>
    <definedName name="FDP_28_1_aUrv" localSheetId="2" hidden="1">#REF!</definedName>
    <definedName name="FDP_28_1_aUrv" hidden="1">#REF!</definedName>
    <definedName name="FDP_29_1_aDrv" localSheetId="2" hidden="1">#REF!</definedName>
    <definedName name="FDP_29_1_aDrv" hidden="1">#REF!</definedName>
    <definedName name="FDP_3_1_aUrv" localSheetId="2" hidden="1">#REF!</definedName>
    <definedName name="FDP_3_1_aUrv" hidden="1">#REF!</definedName>
    <definedName name="FDP_30_1_aUrv" localSheetId="2" hidden="1">#REF!</definedName>
    <definedName name="FDP_30_1_aUrv" hidden="1">#REF!</definedName>
    <definedName name="FDP_31_1_aUrv" localSheetId="2" hidden="1">#REF!</definedName>
    <definedName name="FDP_31_1_aUrv" hidden="1">#REF!</definedName>
    <definedName name="FDP_32_1_aUrv" localSheetId="2" hidden="1">#REF!</definedName>
    <definedName name="FDP_32_1_aUrv" hidden="1">#REF!</definedName>
    <definedName name="FDP_33_1_aUrv" localSheetId="2" hidden="1">#REF!</definedName>
    <definedName name="FDP_33_1_aUrv" hidden="1">#REF!</definedName>
    <definedName name="FDP_34_1_aUrv" localSheetId="2" hidden="1">#REF!</definedName>
    <definedName name="FDP_34_1_aUrv" hidden="1">#REF!</definedName>
    <definedName name="FDP_35_1_aSrv" localSheetId="2" hidden="1">#REF!</definedName>
    <definedName name="FDP_35_1_aSrv" hidden="1">#REF!</definedName>
    <definedName name="FDP_36_1_aUrv" localSheetId="2" hidden="1">#REF!</definedName>
    <definedName name="FDP_36_1_aUrv" hidden="1">#REF!</definedName>
    <definedName name="FDP_37_1_aUrv" localSheetId="2" hidden="1">#REF!</definedName>
    <definedName name="FDP_37_1_aUrv" hidden="1">#REF!</definedName>
    <definedName name="FDP_38_1_aUrv" localSheetId="2" hidden="1">#REF!</definedName>
    <definedName name="FDP_38_1_aUrv" hidden="1">#REF!</definedName>
    <definedName name="FDP_39_1_aUrv" localSheetId="2" hidden="1">#REF!</definedName>
    <definedName name="FDP_39_1_aUrv" hidden="1">#REF!</definedName>
    <definedName name="FDP_4_1_aUrv" localSheetId="2" hidden="1">#REF!</definedName>
    <definedName name="FDP_4_1_aUrv" hidden="1">#REF!</definedName>
    <definedName name="FDP_40_1_aUrv" localSheetId="2" hidden="1">#REF!</definedName>
    <definedName name="FDP_40_1_aUrv" hidden="1">#REF!</definedName>
    <definedName name="FDP_41_1_aSrv" localSheetId="2" hidden="1">#REF!</definedName>
    <definedName name="FDP_41_1_aSrv" hidden="1">#REF!</definedName>
    <definedName name="FDP_42_1_aSrv" localSheetId="2" hidden="1">#REF!</definedName>
    <definedName name="FDP_42_1_aSrv" hidden="1">#REF!</definedName>
    <definedName name="FDP_43_1_aUrv" localSheetId="2" hidden="1">#REF!</definedName>
    <definedName name="FDP_43_1_aUrv" hidden="1">#REF!</definedName>
    <definedName name="FDP_44_1_aUrv" localSheetId="2" hidden="1">#REF!</definedName>
    <definedName name="FDP_44_1_aUrv" hidden="1">#REF!</definedName>
    <definedName name="FDP_45_1_aUrv" localSheetId="2" hidden="1">#REF!</definedName>
    <definedName name="FDP_45_1_aUrv" hidden="1">#REF!</definedName>
    <definedName name="FDP_46_1_aUrv" localSheetId="2" hidden="1">#REF!</definedName>
    <definedName name="FDP_46_1_aUrv" hidden="1">#REF!</definedName>
    <definedName name="FDP_47_1_aUrv" localSheetId="2" hidden="1">#REF!</definedName>
    <definedName name="FDP_47_1_aUrv" hidden="1">#REF!</definedName>
    <definedName name="FDP_48_1_aSrv" localSheetId="2" hidden="1">#REF!</definedName>
    <definedName name="FDP_48_1_aSrv" hidden="1">#REF!</definedName>
    <definedName name="FDP_49_1_aUrv" localSheetId="2" hidden="1">#REF!</definedName>
    <definedName name="FDP_49_1_aUrv" hidden="1">#REF!</definedName>
    <definedName name="FDP_5_1_aUrv" localSheetId="2" hidden="1">#REF!</definedName>
    <definedName name="FDP_5_1_aUrv" hidden="1">#REF!</definedName>
    <definedName name="FDP_50_1_aUrv" localSheetId="2" hidden="1">#REF!</definedName>
    <definedName name="FDP_50_1_aUrv" hidden="1">#REF!</definedName>
    <definedName name="FDP_51_1_aUrv" localSheetId="2" hidden="1">#REF!</definedName>
    <definedName name="FDP_51_1_aUrv" hidden="1">#REF!</definedName>
    <definedName name="FDP_52_1_aUrv" localSheetId="2" hidden="1">#REF!</definedName>
    <definedName name="FDP_52_1_aUrv" hidden="1">#REF!</definedName>
    <definedName name="FDP_53_1_aUrv" localSheetId="2" hidden="1">#REF!</definedName>
    <definedName name="FDP_53_1_aUrv" hidden="1">#REF!</definedName>
    <definedName name="FDP_54_1_aUrv" localSheetId="2" hidden="1">#REF!</definedName>
    <definedName name="FDP_54_1_aUrv" hidden="1">#REF!</definedName>
    <definedName name="FDP_55_1_aUrv" localSheetId="2" hidden="1">#REF!</definedName>
    <definedName name="FDP_55_1_aUrv" hidden="1">#REF!</definedName>
    <definedName name="FDP_56_1_aUrv" localSheetId="2" hidden="1">#REF!</definedName>
    <definedName name="FDP_56_1_aUrv" hidden="1">#REF!</definedName>
    <definedName name="FDP_57_1_aUrv" localSheetId="2" hidden="1">#REF!</definedName>
    <definedName name="FDP_57_1_aUrv" hidden="1">#REF!</definedName>
    <definedName name="FDP_58_1_aUrv" localSheetId="2" hidden="1">#REF!</definedName>
    <definedName name="FDP_58_1_aUrv" hidden="1">#REF!</definedName>
    <definedName name="FDP_59_1_aUrv" localSheetId="2" hidden="1">#REF!</definedName>
    <definedName name="FDP_59_1_aUrv" hidden="1">#REF!</definedName>
    <definedName name="FDP_6_1_aUrv" localSheetId="2" hidden="1">#REF!</definedName>
    <definedName name="FDP_6_1_aUrv" hidden="1">#REF!</definedName>
    <definedName name="FDP_60_1_aUrv" localSheetId="2" hidden="1">#REF!</definedName>
    <definedName name="FDP_60_1_aUrv" hidden="1">#REF!</definedName>
    <definedName name="FDP_61_1_aSrv" localSheetId="2" hidden="1">#REF!</definedName>
    <definedName name="FDP_61_1_aSrv" hidden="1">#REF!</definedName>
    <definedName name="FDP_62_1_aSrv" localSheetId="2" hidden="1">#REF!</definedName>
    <definedName name="FDP_62_1_aSrv" hidden="1">#REF!</definedName>
    <definedName name="FDP_63_1_aUrv" localSheetId="2" hidden="1">#REF!</definedName>
    <definedName name="FDP_63_1_aUrv" hidden="1">#REF!</definedName>
    <definedName name="FDP_64_1_aSrv" localSheetId="2" hidden="1">#REF!</definedName>
    <definedName name="FDP_64_1_aSrv" hidden="1">#REF!</definedName>
    <definedName name="FDP_65_1_aSrv" localSheetId="2" hidden="1">#REF!</definedName>
    <definedName name="FDP_65_1_aSrv" hidden="1">#REF!</definedName>
    <definedName name="FDP_66_1_aUrv" localSheetId="2" hidden="1">#REF!</definedName>
    <definedName name="FDP_66_1_aUrv" hidden="1">#REF!</definedName>
    <definedName name="FDP_67_1_aUrv" localSheetId="2" hidden="1">#REF!</definedName>
    <definedName name="FDP_67_1_aUrv" hidden="1">#REF!</definedName>
    <definedName name="FDP_68_1_aUrv" localSheetId="2" hidden="1">#REF!</definedName>
    <definedName name="FDP_68_1_aUrv" hidden="1">#REF!</definedName>
    <definedName name="FDP_69_1_aUrv" localSheetId="2" hidden="1">#REF!</definedName>
    <definedName name="FDP_69_1_aUrv" hidden="1">#REF!</definedName>
    <definedName name="FDP_7_1_aUrv" localSheetId="2" hidden="1">#REF!</definedName>
    <definedName name="FDP_7_1_aUrv" hidden="1">#REF!</definedName>
    <definedName name="FDP_70_1_aDrv" localSheetId="2" hidden="1">#REF!</definedName>
    <definedName name="FDP_70_1_aDrv" hidden="1">#REF!</definedName>
    <definedName name="FDP_71_1_aUrv" localSheetId="2" hidden="1">#REF!</definedName>
    <definedName name="FDP_71_1_aUrv" hidden="1">#REF!</definedName>
    <definedName name="FDP_72_1_aDrv" localSheetId="2" hidden="1">#REF!</definedName>
    <definedName name="FDP_72_1_aDrv" hidden="1">#REF!</definedName>
    <definedName name="FDP_73_1_aUrv" localSheetId="2" hidden="1">#REF!</definedName>
    <definedName name="FDP_73_1_aUrv" hidden="1">#REF!</definedName>
    <definedName name="FDP_74_1_aUrv" localSheetId="2" hidden="1">#REF!</definedName>
    <definedName name="FDP_74_1_aUrv" hidden="1">#REF!</definedName>
    <definedName name="FDP_75_1_aSrv" localSheetId="2" hidden="1">#REF!</definedName>
    <definedName name="FDP_75_1_aSrv" hidden="1">#REF!</definedName>
    <definedName name="FDP_76_1_aUrv" localSheetId="2" hidden="1">#REF!</definedName>
    <definedName name="FDP_76_1_aUrv" hidden="1">#REF!</definedName>
    <definedName name="FDP_77_1_aUrv" localSheetId="2" hidden="1">#REF!</definedName>
    <definedName name="FDP_77_1_aUrv" hidden="1">#REF!</definedName>
    <definedName name="FDP_78_1_aUrv" localSheetId="2" hidden="1">#REF!</definedName>
    <definedName name="FDP_78_1_aUrv" hidden="1">#REF!</definedName>
    <definedName name="FDP_79_1_aUrv" localSheetId="2" hidden="1">#REF!</definedName>
    <definedName name="FDP_79_1_aUrv" hidden="1">#REF!</definedName>
    <definedName name="FDP_8_1_aDrv" localSheetId="2" hidden="1">#REF!</definedName>
    <definedName name="FDP_8_1_aDrv" hidden="1">#REF!</definedName>
    <definedName name="FDP_80_1_aUrv" localSheetId="2" hidden="1">#REF!</definedName>
    <definedName name="FDP_80_1_aUrv" hidden="1">#REF!</definedName>
    <definedName name="FDP_81_1_aSrv" localSheetId="2" hidden="1">#REF!</definedName>
    <definedName name="FDP_81_1_aSrv" hidden="1">#REF!</definedName>
    <definedName name="FDP_82_1_aUrv" localSheetId="2" hidden="1">#REF!</definedName>
    <definedName name="FDP_82_1_aUrv" hidden="1">#REF!</definedName>
    <definedName name="FDP_83_1_aSrv" localSheetId="2" hidden="1">#REF!</definedName>
    <definedName name="FDP_83_1_aSrv" hidden="1">#REF!</definedName>
    <definedName name="FDP_84_1_aUrv" localSheetId="2" hidden="1">#REF!</definedName>
    <definedName name="FDP_84_1_aUrv" hidden="1">#REF!</definedName>
    <definedName name="FDP_85_1_aUrv" localSheetId="2" hidden="1">#REF!</definedName>
    <definedName name="FDP_85_1_aUrv" hidden="1">#REF!</definedName>
    <definedName name="FDP_86_1_aUrv" localSheetId="2" hidden="1">#REF!</definedName>
    <definedName name="FDP_86_1_aUrv" hidden="1">#REF!</definedName>
    <definedName name="FDP_87_1_aSrv" localSheetId="2" hidden="1">#REF!</definedName>
    <definedName name="FDP_87_1_aSrv" hidden="1">#REF!</definedName>
    <definedName name="FDP_88_1_aUrv" localSheetId="2" hidden="1">#REF!</definedName>
    <definedName name="FDP_88_1_aUrv" hidden="1">#REF!</definedName>
    <definedName name="FDP_89_1_aSrv" localSheetId="2" hidden="1">#REF!</definedName>
    <definedName name="FDP_89_1_aSrv" hidden="1">#REF!</definedName>
    <definedName name="FDP_9_1_aDrv" localSheetId="2" hidden="1">#REF!</definedName>
    <definedName name="FDP_9_1_aDrv" hidden="1">#REF!</definedName>
    <definedName name="FDP_90_1_aUrv" localSheetId="2" hidden="1">#REF!</definedName>
    <definedName name="FDP_90_1_aUrv" hidden="1">#REF!</definedName>
    <definedName name="FDP_91_1_aUrv" localSheetId="2" hidden="1">#REF!</definedName>
    <definedName name="FDP_91_1_aUrv" hidden="1">#REF!</definedName>
    <definedName name="FDP_92_1_aSrv" localSheetId="2" hidden="1">#REF!</definedName>
    <definedName name="FDP_92_1_aSrv" hidden="1">#REF!</definedName>
    <definedName name="FDP_93_1_aDrv" localSheetId="2" hidden="1">#REF!</definedName>
    <definedName name="FDP_93_1_aDrv" hidden="1">#REF!</definedName>
    <definedName name="FDP_94_1_aUrv" localSheetId="2" hidden="1">#REF!</definedName>
    <definedName name="FDP_94_1_aUrv" hidden="1">#REF!</definedName>
    <definedName name="FDP_95_1_aUrv" localSheetId="2" hidden="1">#REF!</definedName>
    <definedName name="FDP_95_1_aUrv" hidden="1">#REF!</definedName>
    <definedName name="FDP_96_1_aUrv" localSheetId="2" hidden="1">#REF!</definedName>
    <definedName name="FDP_96_1_aUrv" hidden="1">#REF!</definedName>
    <definedName name="FDP_97_1_aUrv" localSheetId="2" hidden="1">#REF!</definedName>
    <definedName name="FDP_97_1_aUrv" hidden="1">#REF!</definedName>
    <definedName name="FDP_98_1_aUrv" localSheetId="2" hidden="1">#REF!</definedName>
    <definedName name="FDP_98_1_aUrv" hidden="1">#REF!</definedName>
    <definedName name="FDP_99_1_aUrv" localSheetId="2" hidden="1">#REF!</definedName>
    <definedName name="FDP_99_1_aUrv" hidden="1">#REF!</definedName>
    <definedName name="fuel_electricity">Dropdown!$C$4</definedName>
    <definedName name="fuel_natural_gas">Dropdown!$C$3</definedName>
    <definedName name="HTML_CodePage" hidden="1">1252</definedName>
    <definedName name="HTML_Control"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limcount" hidden="1">3</definedName>
    <definedName name="MAT_AR">Dropdown!$B$4</definedName>
    <definedName name="MAT_NR">Dropdown!$B$3</definedName>
    <definedName name="MMBtu_per_therm">Reference!$D$6</definedName>
    <definedName name="NG_metric_tonne_CO2_therm">Reference!$D$10</definedName>
    <definedName name="sencount" hidden="1">1</definedName>
    <definedName name="Short_Ton_per_Metric_Tonne">Reference!$D$5</definedName>
    <definedName name="solver_adj" localSheetId="2"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2"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1." hidden="1">{"Summary","1",FALSE,"Summary"}</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papers." hidden="1">{#N/A,#N/A,FALSE,"Inputs And Assumptions";#N/A,#N/A,FALSE,"Revenue Allocation";#N/A,#N/A,FALSE,"RSP Surch Allocations";#N/A,#N/A,FALSE,"Generation Calculations";#N/A,#N/A,FALSE,"Test Year 2001 Sales and Revs."}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6" i="7" l="1"/>
  <c r="I95" i="7"/>
  <c r="I96" i="7"/>
  <c r="I97" i="7"/>
  <c r="I80" i="7"/>
  <c r="I79" i="7"/>
  <c r="K61" i="7"/>
  <c r="K60" i="7"/>
  <c r="J61" i="7"/>
  <c r="J60" i="7"/>
  <c r="H43" i="7"/>
  <c r="H42" i="7"/>
  <c r="H25" i="7" l="1"/>
  <c r="H24" i="7"/>
  <c r="J24" i="7"/>
  <c r="K24" i="7"/>
  <c r="L24" i="7"/>
  <c r="J25" i="7"/>
  <c r="K25" i="7"/>
  <c r="L25" i="7"/>
  <c r="I25" i="7"/>
  <c r="I24" i="7"/>
  <c r="T15" i="10" l="1"/>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P290" i="10"/>
  <c r="P291" i="10"/>
  <c r="P292" i="10"/>
  <c r="P293" i="10"/>
  <c r="P294" i="10"/>
  <c r="P295" i="10"/>
  <c r="P296" i="10"/>
  <c r="P297" i="10"/>
  <c r="P298" i="10"/>
  <c r="P299" i="10"/>
  <c r="P300" i="10"/>
  <c r="P301" i="10"/>
  <c r="P302" i="10"/>
  <c r="P303" i="10"/>
  <c r="P304" i="10"/>
  <c r="P305" i="10"/>
  <c r="P306" i="10"/>
  <c r="P307" i="10"/>
  <c r="P308" i="10"/>
  <c r="P309" i="10"/>
  <c r="P310" i="10"/>
  <c r="P311"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7" i="10"/>
  <c r="P368" i="10"/>
  <c r="P369" i="10"/>
  <c r="P370" i="10"/>
  <c r="P371" i="10"/>
  <c r="P372" i="10"/>
  <c r="P373" i="10"/>
  <c r="P374" i="10"/>
  <c r="P375" i="10"/>
  <c r="P376" i="10"/>
  <c r="P377" i="10"/>
  <c r="P378" i="10"/>
  <c r="P379" i="10"/>
  <c r="P380" i="10"/>
  <c r="P381" i="10"/>
  <c r="P382" i="10"/>
  <c r="P383" i="10"/>
  <c r="P384" i="10"/>
  <c r="P385" i="10"/>
  <c r="P386" i="10"/>
  <c r="P387" i="10"/>
  <c r="P388" i="10"/>
  <c r="P389" i="10"/>
  <c r="P390" i="10"/>
  <c r="P391" i="10"/>
  <c r="P392" i="10"/>
  <c r="P393" i="10"/>
  <c r="P394" i="10"/>
  <c r="P395" i="10"/>
  <c r="P396" i="10"/>
  <c r="P397" i="10"/>
  <c r="P398" i="10"/>
  <c r="P399" i="10"/>
  <c r="P400" i="10"/>
  <c r="P401" i="10"/>
  <c r="P402" i="10"/>
  <c r="P403" i="10"/>
  <c r="P404" i="10"/>
  <c r="P405" i="10"/>
  <c r="P406" i="10"/>
  <c r="P407" i="10"/>
  <c r="P408" i="10"/>
  <c r="P409" i="10"/>
  <c r="P410" i="10"/>
  <c r="P411" i="10"/>
  <c r="P412" i="10"/>
  <c r="P413" i="10"/>
  <c r="P414" i="10"/>
  <c r="P415" i="10"/>
  <c r="P416" i="10"/>
  <c r="P417" i="10"/>
  <c r="P418" i="10"/>
  <c r="P419" i="10"/>
  <c r="P420" i="10"/>
  <c r="P421" i="10"/>
  <c r="P422" i="10"/>
  <c r="P423" i="10"/>
  <c r="P424" i="10"/>
  <c r="P425" i="10"/>
  <c r="P426" i="10"/>
  <c r="P427" i="10"/>
  <c r="P428" i="10"/>
  <c r="P429" i="10"/>
  <c r="P430" i="10"/>
  <c r="P431" i="10"/>
  <c r="P432" i="10"/>
  <c r="P433" i="10"/>
  <c r="P434" i="10"/>
  <c r="P435" i="10"/>
  <c r="P436" i="10"/>
  <c r="P437" i="10"/>
  <c r="P438" i="10"/>
  <c r="P439" i="10"/>
  <c r="P440" i="10"/>
  <c r="P441" i="10"/>
  <c r="P442" i="10"/>
  <c r="P443" i="10"/>
  <c r="P444" i="10"/>
  <c r="P445" i="10"/>
  <c r="P446" i="10"/>
  <c r="P447" i="10"/>
  <c r="P448" i="10"/>
  <c r="P449" i="10"/>
  <c r="P450" i="10"/>
  <c r="P451" i="10"/>
  <c r="P452" i="10"/>
  <c r="P453" i="10"/>
  <c r="P454" i="10"/>
  <c r="P455" i="10"/>
  <c r="P456" i="10"/>
  <c r="P457" i="10"/>
  <c r="P458" i="10"/>
  <c r="P459" i="10"/>
  <c r="P460" i="10"/>
  <c r="P461" i="10"/>
  <c r="P462" i="10"/>
  <c r="P463" i="10"/>
  <c r="P464" i="10"/>
  <c r="P465" i="10"/>
  <c r="P466" i="10"/>
  <c r="P467" i="10"/>
  <c r="P468" i="10"/>
  <c r="P469" i="10"/>
  <c r="P470" i="10"/>
  <c r="P471" i="10"/>
  <c r="P472" i="10"/>
  <c r="P473" i="10"/>
  <c r="P474" i="10"/>
  <c r="P475" i="10"/>
  <c r="P476" i="10"/>
  <c r="P477" i="10"/>
  <c r="P478" i="10"/>
  <c r="P479" i="10"/>
  <c r="P480" i="10"/>
  <c r="P481" i="10"/>
  <c r="P482" i="10"/>
  <c r="P483" i="10"/>
  <c r="P484" i="10"/>
  <c r="P485" i="10"/>
  <c r="P486" i="10"/>
  <c r="P487" i="10"/>
  <c r="P488" i="10"/>
  <c r="P489" i="10"/>
  <c r="P490" i="10"/>
  <c r="P491" i="10"/>
  <c r="P492" i="10"/>
  <c r="P493" i="10"/>
  <c r="P494" i="10"/>
  <c r="P495" i="10"/>
  <c r="P496" i="10"/>
  <c r="P497" i="10"/>
  <c r="P498" i="10"/>
  <c r="P499" i="10"/>
  <c r="P500" i="10"/>
  <c r="P501" i="10"/>
  <c r="P502" i="10"/>
  <c r="P503" i="10"/>
  <c r="P504" i="10"/>
  <c r="P505" i="10"/>
  <c r="P506" i="10"/>
  <c r="P507" i="10"/>
  <c r="P508" i="10"/>
  <c r="P509" i="10"/>
  <c r="P510" i="10"/>
  <c r="P511" i="10"/>
  <c r="P512" i="10"/>
  <c r="P513" i="10"/>
  <c r="P514" i="10"/>
  <c r="P515" i="10"/>
  <c r="P516" i="10"/>
  <c r="P517" i="10"/>
  <c r="P518" i="10"/>
  <c r="P519" i="10"/>
  <c r="P520" i="10"/>
  <c r="P521" i="10"/>
  <c r="P522" i="10"/>
  <c r="P523" i="10"/>
  <c r="P524" i="10"/>
  <c r="P525" i="10"/>
  <c r="P526" i="10"/>
  <c r="P527" i="10"/>
  <c r="P528" i="10"/>
  <c r="P529" i="10"/>
  <c r="P530" i="10"/>
  <c r="P531" i="10"/>
  <c r="P532" i="10"/>
  <c r="P533" i="10"/>
  <c r="P534" i="10"/>
  <c r="P535" i="10"/>
  <c r="P536" i="10"/>
  <c r="P537" i="10"/>
  <c r="P538" i="10"/>
  <c r="P539" i="10"/>
  <c r="P540" i="10"/>
  <c r="P541" i="10"/>
  <c r="P542" i="10"/>
  <c r="P543" i="10"/>
  <c r="P544" i="10"/>
  <c r="P545" i="10"/>
  <c r="P546" i="10"/>
  <c r="P547" i="10"/>
  <c r="P548" i="10"/>
  <c r="P549" i="10"/>
  <c r="P550" i="10"/>
  <c r="P551" i="10"/>
  <c r="P552" i="10"/>
  <c r="P553" i="10"/>
  <c r="P554" i="10"/>
  <c r="P555" i="10"/>
  <c r="P556" i="10"/>
  <c r="P557" i="10"/>
  <c r="P558" i="10"/>
  <c r="P559" i="10"/>
  <c r="P560" i="10"/>
  <c r="P561" i="10"/>
  <c r="P562" i="10"/>
  <c r="P563" i="10"/>
  <c r="P564" i="10"/>
  <c r="P565" i="10"/>
  <c r="P566" i="10"/>
  <c r="P567" i="10"/>
  <c r="P568" i="10"/>
  <c r="P569" i="10"/>
  <c r="P570" i="10"/>
  <c r="P571" i="10"/>
  <c r="P572" i="10"/>
  <c r="P573" i="10"/>
  <c r="P574" i="10"/>
  <c r="P575" i="10"/>
  <c r="P576" i="10"/>
  <c r="P577" i="10"/>
  <c r="P578" i="10"/>
  <c r="P579" i="10"/>
  <c r="P580" i="10"/>
  <c r="P581" i="10"/>
  <c r="P582" i="10"/>
  <c r="P583" i="10"/>
  <c r="P584" i="10"/>
  <c r="P585" i="10"/>
  <c r="P586" i="10"/>
  <c r="P587" i="10"/>
  <c r="P588" i="10"/>
  <c r="P589" i="10"/>
  <c r="P590" i="10"/>
  <c r="P591" i="10"/>
  <c r="P592" i="10"/>
  <c r="P593" i="10"/>
  <c r="P594" i="10"/>
  <c r="P595" i="10"/>
  <c r="P596" i="10"/>
  <c r="P597" i="10"/>
  <c r="P598" i="10"/>
  <c r="P599" i="10"/>
  <c r="P600" i="10"/>
  <c r="P601" i="10"/>
  <c r="P602" i="10"/>
  <c r="P603" i="10"/>
  <c r="P604" i="10"/>
  <c r="P605" i="10"/>
  <c r="P606" i="10"/>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68" i="10"/>
  <c r="P669" i="10"/>
  <c r="P670" i="10"/>
  <c r="P671" i="10"/>
  <c r="P672" i="10"/>
  <c r="P673" i="10"/>
  <c r="P674" i="10"/>
  <c r="P675" i="10"/>
  <c r="P676" i="10"/>
  <c r="P677" i="10"/>
  <c r="P678" i="10"/>
  <c r="P679" i="10"/>
  <c r="P680" i="10"/>
  <c r="P681" i="10"/>
  <c r="P682" i="10"/>
  <c r="P683" i="10"/>
  <c r="P684" i="10"/>
  <c r="P685" i="10"/>
  <c r="P686" i="10"/>
  <c r="P687" i="10"/>
  <c r="P688" i="10"/>
  <c r="P689" i="10"/>
  <c r="P690" i="10"/>
  <c r="P691" i="10"/>
  <c r="P692" i="10"/>
  <c r="P693" i="10"/>
  <c r="P694" i="10"/>
  <c r="P695" i="10"/>
  <c r="P696" i="10"/>
  <c r="P697" i="10"/>
  <c r="P698" i="10"/>
  <c r="P699" i="10"/>
  <c r="P700" i="10"/>
  <c r="P701" i="10"/>
  <c r="P702" i="10"/>
  <c r="P703" i="10"/>
  <c r="P704" i="10"/>
  <c r="P705" i="10"/>
  <c r="P706" i="10"/>
  <c r="P707" i="10"/>
  <c r="P708" i="10"/>
  <c r="P709" i="10"/>
  <c r="P710" i="10"/>
  <c r="P711" i="10"/>
  <c r="P712" i="10"/>
  <c r="P713" i="10"/>
  <c r="P714" i="10"/>
  <c r="P715" i="10"/>
  <c r="P716" i="10"/>
  <c r="P717" i="10"/>
  <c r="P718" i="10"/>
  <c r="P719" i="10"/>
  <c r="P720" i="10"/>
  <c r="P721" i="10"/>
  <c r="P722" i="10"/>
  <c r="P723" i="10"/>
  <c r="P724" i="10"/>
  <c r="P725" i="10"/>
  <c r="P726" i="10"/>
  <c r="P727" i="10"/>
  <c r="P728" i="10"/>
  <c r="P729" i="10"/>
  <c r="P730" i="10"/>
  <c r="P731" i="10"/>
  <c r="P732" i="10"/>
  <c r="P733" i="10"/>
  <c r="P734" i="10"/>
  <c r="P735" i="10"/>
  <c r="P736" i="10"/>
  <c r="P737" i="10"/>
  <c r="P738" i="10"/>
  <c r="P739" i="10"/>
  <c r="P740" i="10"/>
  <c r="P741"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872" i="10"/>
  <c r="P873" i="10"/>
  <c r="P874" i="10"/>
  <c r="P875" i="10"/>
  <c r="P876" i="10"/>
  <c r="P877" i="10"/>
  <c r="P878" i="10"/>
  <c r="P879" i="10"/>
  <c r="P880" i="10"/>
  <c r="P881" i="10"/>
  <c r="P882" i="10"/>
  <c r="P883" i="10"/>
  <c r="P884" i="10"/>
  <c r="P885" i="10"/>
  <c r="P886" i="10"/>
  <c r="P887" i="10"/>
  <c r="P888" i="10"/>
  <c r="P889" i="10"/>
  <c r="P890" i="10"/>
  <c r="P891" i="10"/>
  <c r="P892" i="10"/>
  <c r="P893" i="10"/>
  <c r="P894" i="10"/>
  <c r="P895" i="10"/>
  <c r="P896" i="10"/>
  <c r="P897" i="10"/>
  <c r="P898" i="10"/>
  <c r="P899" i="10"/>
  <c r="P900" i="10"/>
  <c r="P901" i="10"/>
  <c r="P902" i="10"/>
  <c r="P903" i="10"/>
  <c r="P904" i="10"/>
  <c r="P905" i="10"/>
  <c r="P906" i="10"/>
  <c r="P907" i="10"/>
  <c r="P908" i="10"/>
  <c r="P909" i="10"/>
  <c r="P910" i="10"/>
  <c r="P911" i="10"/>
  <c r="P912" i="10"/>
  <c r="P913" i="10"/>
  <c r="P914" i="10"/>
  <c r="P915" i="10"/>
  <c r="P916" i="10"/>
  <c r="P917" i="10"/>
  <c r="P918" i="10"/>
  <c r="P919" i="10"/>
  <c r="P920" i="10"/>
  <c r="P921" i="10"/>
  <c r="P922" i="10"/>
  <c r="P923" i="10"/>
  <c r="P924" i="10"/>
  <c r="P925" i="10"/>
  <c r="P926" i="10"/>
  <c r="P927" i="10"/>
  <c r="P928" i="10"/>
  <c r="P929" i="10"/>
  <c r="P930" i="10"/>
  <c r="P931" i="10"/>
  <c r="P932" i="10"/>
  <c r="P933" i="10"/>
  <c r="P934" i="10"/>
  <c r="P935" i="10"/>
  <c r="P936" i="10"/>
  <c r="P937" i="10"/>
  <c r="P938" i="10"/>
  <c r="P939" i="10"/>
  <c r="P940" i="10"/>
  <c r="P941" i="10"/>
  <c r="P942" i="10"/>
  <c r="P943" i="10"/>
  <c r="P944" i="10"/>
  <c r="P945" i="10"/>
  <c r="P946" i="10"/>
  <c r="P947" i="10"/>
  <c r="P948" i="10"/>
  <c r="P949" i="10"/>
  <c r="P950" i="10"/>
  <c r="P951" i="10"/>
  <c r="P952" i="10"/>
  <c r="P953" i="10"/>
  <c r="P954" i="10"/>
  <c r="P955" i="10"/>
  <c r="P956" i="10"/>
  <c r="P957" i="10"/>
  <c r="P958" i="10"/>
  <c r="P959" i="10"/>
  <c r="P960" i="10"/>
  <c r="P961" i="10"/>
  <c r="P962" i="10"/>
  <c r="P963" i="10"/>
  <c r="P964" i="10"/>
  <c r="P965" i="10"/>
  <c r="P966" i="10"/>
  <c r="P967" i="10"/>
  <c r="P968" i="10"/>
  <c r="P969" i="10"/>
  <c r="P970" i="10"/>
  <c r="P971" i="10"/>
  <c r="P972" i="10"/>
  <c r="P973" i="10"/>
  <c r="P974" i="10"/>
  <c r="P975" i="10"/>
  <c r="P976" i="10"/>
  <c r="P977" i="10"/>
  <c r="P978" i="10"/>
  <c r="P979" i="10"/>
  <c r="P980" i="10"/>
  <c r="P981" i="10"/>
  <c r="P982" i="10"/>
  <c r="P983" i="10"/>
  <c r="P984" i="10"/>
  <c r="P985" i="10"/>
  <c r="P986" i="10"/>
  <c r="P987" i="10"/>
  <c r="P988" i="10"/>
  <c r="P989" i="10"/>
  <c r="P990" i="10"/>
  <c r="P991" i="10"/>
  <c r="P992" i="10"/>
  <c r="P993" i="10"/>
  <c r="P994" i="10"/>
  <c r="P995" i="10"/>
  <c r="P996" i="10"/>
  <c r="P997" i="10"/>
  <c r="P998" i="10"/>
  <c r="P999" i="10"/>
  <c r="P1000" i="10"/>
  <c r="P1001" i="10"/>
  <c r="P1002" i="10"/>
  <c r="P1003" i="10"/>
  <c r="P1004" i="10"/>
  <c r="P1005" i="10"/>
  <c r="P1006" i="10"/>
  <c r="P1007" i="10"/>
  <c r="P1008" i="10"/>
  <c r="P1009" i="10"/>
  <c r="P1010" i="10"/>
  <c r="P1011" i="10"/>
  <c r="P1012" i="10"/>
  <c r="P1013" i="10"/>
  <c r="P1014"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Z511" i="10"/>
  <c r="Z512" i="10"/>
  <c r="Z513" i="10"/>
  <c r="Z514" i="10"/>
  <c r="Z515" i="10"/>
  <c r="Z516" i="10"/>
  <c r="Z517" i="10"/>
  <c r="Z518" i="10"/>
  <c r="Z519" i="10"/>
  <c r="Z520" i="10"/>
  <c r="Z521" i="10"/>
  <c r="Z522" i="10"/>
  <c r="Z523" i="10"/>
  <c r="Z524" i="10"/>
  <c r="Z525" i="10"/>
  <c r="Z526" i="10"/>
  <c r="Z527" i="10"/>
  <c r="Z528" i="10"/>
  <c r="Z529" i="10"/>
  <c r="Z530" i="10"/>
  <c r="Z531" i="10"/>
  <c r="Z532" i="10"/>
  <c r="Z533" i="10"/>
  <c r="Z534" i="10"/>
  <c r="Z535" i="10"/>
  <c r="Z536" i="10"/>
  <c r="Z537" i="10"/>
  <c r="Z538" i="10"/>
  <c r="Z539" i="10"/>
  <c r="Z540" i="10"/>
  <c r="Z541" i="10"/>
  <c r="Z542" i="10"/>
  <c r="Z543" i="10"/>
  <c r="Z544" i="10"/>
  <c r="Z545" i="10"/>
  <c r="Z546" i="10"/>
  <c r="Z547" i="10"/>
  <c r="Z548" i="10"/>
  <c r="Z549" i="10"/>
  <c r="Z550" i="10"/>
  <c r="Z551" i="10"/>
  <c r="Z552" i="10"/>
  <c r="Z553" i="10"/>
  <c r="Z554" i="10"/>
  <c r="Z555" i="10"/>
  <c r="Z556" i="10"/>
  <c r="Z557" i="10"/>
  <c r="Z558" i="10"/>
  <c r="Z559" i="10"/>
  <c r="Z560" i="10"/>
  <c r="Z561" i="10"/>
  <c r="Z562" i="10"/>
  <c r="Z563" i="10"/>
  <c r="Z564" i="10"/>
  <c r="Z565" i="10"/>
  <c r="Z566" i="10"/>
  <c r="Z567" i="10"/>
  <c r="Z568" i="10"/>
  <c r="Z569"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Z601" i="10"/>
  <c r="Z602" i="10"/>
  <c r="Z603" i="10"/>
  <c r="Z604" i="10"/>
  <c r="Z605" i="10"/>
  <c r="Z606" i="10"/>
  <c r="Z607" i="10"/>
  <c r="Z608" i="10"/>
  <c r="Z609" i="10"/>
  <c r="Z610" i="10"/>
  <c r="Z611" i="10"/>
  <c r="Z612" i="10"/>
  <c r="Z613" i="10"/>
  <c r="Z614" i="10"/>
  <c r="Z615" i="10"/>
  <c r="Z616" i="10"/>
  <c r="Z617" i="10"/>
  <c r="Z618" i="10"/>
  <c r="Z619" i="10"/>
  <c r="Z620" i="10"/>
  <c r="Z621" i="10"/>
  <c r="Z622" i="10"/>
  <c r="Z623" i="10"/>
  <c r="Z624" i="10"/>
  <c r="Z625" i="10"/>
  <c r="Z626" i="10"/>
  <c r="Z627" i="10"/>
  <c r="Z628" i="10"/>
  <c r="Z629" i="10"/>
  <c r="Z630" i="10"/>
  <c r="Z631" i="10"/>
  <c r="Z632"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Z665" i="10"/>
  <c r="Z666" i="10"/>
  <c r="Z667" i="10"/>
  <c r="Z668" i="10"/>
  <c r="Z669" i="10"/>
  <c r="Z670" i="10"/>
  <c r="Z671" i="10"/>
  <c r="Z672" i="10"/>
  <c r="Z673" i="10"/>
  <c r="Z674" i="10"/>
  <c r="Z675" i="10"/>
  <c r="Z676" i="10"/>
  <c r="Z677" i="10"/>
  <c r="Z678" i="10"/>
  <c r="Z679" i="10"/>
  <c r="Z680" i="10"/>
  <c r="Z681" i="10"/>
  <c r="Z682" i="10"/>
  <c r="Z683" i="10"/>
  <c r="Z684" i="10"/>
  <c r="Z685" i="10"/>
  <c r="Z686" i="10"/>
  <c r="Z687" i="10"/>
  <c r="Z688" i="10"/>
  <c r="Z689" i="10"/>
  <c r="Z690" i="10"/>
  <c r="Z691" i="10"/>
  <c r="Z692" i="10"/>
  <c r="Z693" i="10"/>
  <c r="Z694" i="10"/>
  <c r="Z695"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Z728" i="10"/>
  <c r="Z729" i="10"/>
  <c r="Z730" i="10"/>
  <c r="Z731" i="10"/>
  <c r="Z732" i="10"/>
  <c r="Z733" i="10"/>
  <c r="Z734" i="10"/>
  <c r="Z735" i="10"/>
  <c r="Z736" i="10"/>
  <c r="Z737" i="10"/>
  <c r="Z738" i="10"/>
  <c r="Z739" i="10"/>
  <c r="Z740" i="10"/>
  <c r="Z741" i="10"/>
  <c r="Z742" i="10"/>
  <c r="Z743" i="10"/>
  <c r="Z744" i="10"/>
  <c r="Z745" i="10"/>
  <c r="Z746" i="10"/>
  <c r="Z747" i="10"/>
  <c r="Z748" i="10"/>
  <c r="Z749" i="10"/>
  <c r="Z750" i="10"/>
  <c r="Z751" i="10"/>
  <c r="Z752" i="10"/>
  <c r="Z753" i="10"/>
  <c r="Z754" i="10"/>
  <c r="Z755" i="10"/>
  <c r="Z756" i="10"/>
  <c r="Z757" i="10"/>
  <c r="Z758" i="10"/>
  <c r="Z759" i="10"/>
  <c r="Z760" i="10"/>
  <c r="Z761" i="10"/>
  <c r="Z762" i="10"/>
  <c r="Z763" i="10"/>
  <c r="Z764" i="10"/>
  <c r="Z765" i="10"/>
  <c r="Z766" i="10"/>
  <c r="Z767" i="10"/>
  <c r="Z768" i="10"/>
  <c r="Z769" i="10"/>
  <c r="Z770" i="10"/>
  <c r="Z771" i="10"/>
  <c r="Z772" i="10"/>
  <c r="Z773" i="10"/>
  <c r="Z774" i="10"/>
  <c r="Z775" i="10"/>
  <c r="Z776" i="10"/>
  <c r="Z777" i="10"/>
  <c r="Z778" i="10"/>
  <c r="Z779" i="10"/>
  <c r="Z780" i="10"/>
  <c r="Z781" i="10"/>
  <c r="Z782" i="10"/>
  <c r="Z783" i="10"/>
  <c r="Z784" i="10"/>
  <c r="Z785" i="10"/>
  <c r="Z786" i="10"/>
  <c r="Z787" i="10"/>
  <c r="Z788" i="10"/>
  <c r="Z789" i="10"/>
  <c r="Z790" i="10"/>
  <c r="Z791" i="10"/>
  <c r="Z792" i="10"/>
  <c r="Z793" i="10"/>
  <c r="Z794" i="10"/>
  <c r="Z795" i="10"/>
  <c r="Z796" i="10"/>
  <c r="Z797" i="10"/>
  <c r="Z798" i="10"/>
  <c r="Z799" i="10"/>
  <c r="Z800" i="10"/>
  <c r="Z801" i="10"/>
  <c r="Z802" i="10"/>
  <c r="Z803" i="10"/>
  <c r="Z804" i="10"/>
  <c r="Z805" i="10"/>
  <c r="Z806" i="10"/>
  <c r="Z807" i="10"/>
  <c r="Z808" i="10"/>
  <c r="Z809" i="10"/>
  <c r="Z810" i="10"/>
  <c r="Z811" i="10"/>
  <c r="Z812" i="10"/>
  <c r="Z813" i="10"/>
  <c r="Z814" i="10"/>
  <c r="Z815" i="10"/>
  <c r="Z816" i="10"/>
  <c r="Z817" i="10"/>
  <c r="Z818" i="10"/>
  <c r="Z819" i="10"/>
  <c r="Z820" i="10"/>
  <c r="Z821" i="10"/>
  <c r="Z822" i="10"/>
  <c r="Z823" i="10"/>
  <c r="Z824" i="10"/>
  <c r="Z825" i="10"/>
  <c r="Z826" i="10"/>
  <c r="Z827" i="10"/>
  <c r="Z828" i="10"/>
  <c r="Z829" i="10"/>
  <c r="Z830" i="10"/>
  <c r="Z831" i="10"/>
  <c r="Z832" i="10"/>
  <c r="Z833" i="10"/>
  <c r="Z834" i="10"/>
  <c r="Z835" i="10"/>
  <c r="Z836" i="10"/>
  <c r="Z837" i="10"/>
  <c r="Z838" i="10"/>
  <c r="Z839" i="10"/>
  <c r="Z840" i="10"/>
  <c r="Z841" i="10"/>
  <c r="Z842" i="10"/>
  <c r="Z843" i="10"/>
  <c r="Z844" i="10"/>
  <c r="Z845" i="10"/>
  <c r="Z846" i="10"/>
  <c r="Z847" i="10"/>
  <c r="Z848" i="10"/>
  <c r="Z849" i="10"/>
  <c r="Z850" i="10"/>
  <c r="Z851" i="10"/>
  <c r="Z852" i="10"/>
  <c r="Z853" i="10"/>
  <c r="Z854" i="10"/>
  <c r="Z855" i="10"/>
  <c r="Z856" i="10"/>
  <c r="Z857" i="10"/>
  <c r="Z858" i="10"/>
  <c r="Z859" i="10"/>
  <c r="Z860" i="10"/>
  <c r="Z861" i="10"/>
  <c r="Z862" i="10"/>
  <c r="Z863" i="10"/>
  <c r="Z864" i="10"/>
  <c r="Z865" i="10"/>
  <c r="Z866" i="10"/>
  <c r="Z867" i="10"/>
  <c r="Z868" i="10"/>
  <c r="Z869" i="10"/>
  <c r="Z870" i="10"/>
  <c r="Z871" i="10"/>
  <c r="Z872" i="10"/>
  <c r="Z873" i="10"/>
  <c r="Z874" i="10"/>
  <c r="Z875" i="10"/>
  <c r="Z876" i="10"/>
  <c r="Z877" i="10"/>
  <c r="Z878" i="10"/>
  <c r="Z879" i="10"/>
  <c r="Z880" i="10"/>
  <c r="Z881" i="10"/>
  <c r="Z882" i="10"/>
  <c r="Z883" i="10"/>
  <c r="Z884" i="10"/>
  <c r="Z885" i="10"/>
  <c r="Z886" i="10"/>
  <c r="Z887" i="10"/>
  <c r="Z888" i="10"/>
  <c r="Z889" i="10"/>
  <c r="Z890" i="10"/>
  <c r="Z891" i="10"/>
  <c r="Z892" i="10"/>
  <c r="Z893" i="10"/>
  <c r="Z894" i="10"/>
  <c r="Z895" i="10"/>
  <c r="Z896" i="10"/>
  <c r="Z897" i="10"/>
  <c r="Z898" i="10"/>
  <c r="Z899" i="10"/>
  <c r="Z900" i="10"/>
  <c r="Z901" i="10"/>
  <c r="Z902" i="10"/>
  <c r="Z903" i="10"/>
  <c r="Z904" i="10"/>
  <c r="Z905" i="10"/>
  <c r="Z906" i="10"/>
  <c r="Z907" i="10"/>
  <c r="Z908" i="10"/>
  <c r="Z909" i="10"/>
  <c r="Z910" i="10"/>
  <c r="Z911" i="10"/>
  <c r="Z912" i="10"/>
  <c r="Z913" i="10"/>
  <c r="Z914" i="10"/>
  <c r="Z915" i="10"/>
  <c r="Z916" i="10"/>
  <c r="Z917" i="10"/>
  <c r="Z918" i="10"/>
  <c r="Z919" i="10"/>
  <c r="Z920" i="10"/>
  <c r="Z921" i="10"/>
  <c r="Z922" i="10"/>
  <c r="Z923" i="10"/>
  <c r="Z924" i="10"/>
  <c r="Z925" i="10"/>
  <c r="Z926" i="10"/>
  <c r="Z927" i="10"/>
  <c r="Z928" i="10"/>
  <c r="Z929" i="10"/>
  <c r="Z930" i="10"/>
  <c r="Z931" i="10"/>
  <c r="Z932" i="10"/>
  <c r="Z933" i="10"/>
  <c r="Z934" i="10"/>
  <c r="Z935" i="10"/>
  <c r="Z936" i="10"/>
  <c r="Z937" i="10"/>
  <c r="Z938" i="10"/>
  <c r="Z939" i="10"/>
  <c r="Z940" i="10"/>
  <c r="Z941" i="10"/>
  <c r="Z942" i="10"/>
  <c r="Z943" i="10"/>
  <c r="Z944" i="10"/>
  <c r="Z945" i="10"/>
  <c r="Z946" i="10"/>
  <c r="Z947" i="10"/>
  <c r="Z948" i="10"/>
  <c r="Z949" i="10"/>
  <c r="Z950" i="10"/>
  <c r="Z951" i="10"/>
  <c r="Z952" i="10"/>
  <c r="Z953" i="10"/>
  <c r="Z954" i="10"/>
  <c r="Z955" i="10"/>
  <c r="Z956" i="10"/>
  <c r="Z957" i="10"/>
  <c r="Z958" i="10"/>
  <c r="Z959" i="10"/>
  <c r="Z960" i="10"/>
  <c r="Z961" i="10"/>
  <c r="Z962" i="10"/>
  <c r="Z963" i="10"/>
  <c r="Z964" i="10"/>
  <c r="Z965" i="10"/>
  <c r="Z966" i="10"/>
  <c r="Z967" i="10"/>
  <c r="Z968" i="10"/>
  <c r="Z969" i="10"/>
  <c r="Z970" i="10"/>
  <c r="Z971" i="10"/>
  <c r="Z972" i="10"/>
  <c r="Z973" i="10"/>
  <c r="Z974" i="10"/>
  <c r="Z975" i="10"/>
  <c r="Z976" i="10"/>
  <c r="Z977" i="10"/>
  <c r="Z978" i="10"/>
  <c r="Z979" i="10"/>
  <c r="Z980" i="10"/>
  <c r="Z981" i="10"/>
  <c r="Z982" i="10"/>
  <c r="Z983" i="10"/>
  <c r="Z984" i="10"/>
  <c r="Z985" i="10"/>
  <c r="Z986" i="10"/>
  <c r="Z987" i="10"/>
  <c r="Z988" i="10"/>
  <c r="Z989" i="10"/>
  <c r="Z990" i="10"/>
  <c r="Z991" i="10"/>
  <c r="Z992" i="10"/>
  <c r="Z993" i="10"/>
  <c r="Z994" i="10"/>
  <c r="Z995" i="10"/>
  <c r="Z996" i="10"/>
  <c r="Z997" i="10"/>
  <c r="Z998" i="10"/>
  <c r="Z999" i="10"/>
  <c r="Z1000" i="10"/>
  <c r="Z1001" i="10"/>
  <c r="Z1002" i="10"/>
  <c r="Z1003" i="10"/>
  <c r="Z1004" i="10"/>
  <c r="Z1005" i="10"/>
  <c r="Z1006" i="10"/>
  <c r="Z1007" i="10"/>
  <c r="Z1008" i="10"/>
  <c r="Z1009" i="10"/>
  <c r="Z1010" i="10"/>
  <c r="Z1011" i="10"/>
  <c r="Z1012" i="10"/>
  <c r="Z1013" i="10"/>
  <c r="Z1014" i="10"/>
  <c r="AJ16" i="10" l="1"/>
  <c r="CX15" i="10" l="1"/>
  <c r="DJ30" i="10"/>
  <c r="DJ31" i="10"/>
  <c r="DJ32" i="10"/>
  <c r="DJ33" i="10"/>
  <c r="DJ34" i="10"/>
  <c r="DJ35" i="10"/>
  <c r="DJ36" i="10"/>
  <c r="DJ37" i="10"/>
  <c r="DJ38" i="10"/>
  <c r="DJ39" i="10"/>
  <c r="DJ40" i="10"/>
  <c r="DJ41" i="10"/>
  <c r="DJ42" i="10"/>
  <c r="DJ43" i="10"/>
  <c r="DJ44" i="10"/>
  <c r="DJ45" i="10"/>
  <c r="DJ46" i="10"/>
  <c r="DJ47" i="10"/>
  <c r="DJ48" i="10"/>
  <c r="DJ49" i="10"/>
  <c r="DJ50" i="10"/>
  <c r="DJ51" i="10"/>
  <c r="DJ52" i="10"/>
  <c r="DJ53" i="10"/>
  <c r="DJ54" i="10"/>
  <c r="DJ55" i="10"/>
  <c r="DJ56" i="10"/>
  <c r="DJ57" i="10"/>
  <c r="DJ58" i="10"/>
  <c r="DJ59" i="10"/>
  <c r="DJ60" i="10"/>
  <c r="DJ61" i="10"/>
  <c r="DJ62" i="10"/>
  <c r="DJ63" i="10"/>
  <c r="DJ64" i="10"/>
  <c r="DJ65" i="10"/>
  <c r="DJ66" i="10"/>
  <c r="DJ67" i="10"/>
  <c r="DJ68" i="10"/>
  <c r="DJ69" i="10"/>
  <c r="DJ70" i="10"/>
  <c r="DJ71" i="10"/>
  <c r="DJ72" i="10"/>
  <c r="DJ73" i="10"/>
  <c r="DJ74" i="10"/>
  <c r="DJ75" i="10"/>
  <c r="DJ76" i="10"/>
  <c r="DJ77" i="10"/>
  <c r="DJ78" i="10"/>
  <c r="DJ79" i="10"/>
  <c r="DJ80" i="10"/>
  <c r="DJ81" i="10"/>
  <c r="DJ82" i="10"/>
  <c r="DJ83" i="10"/>
  <c r="DJ84" i="10"/>
  <c r="DJ85" i="10"/>
  <c r="DJ86" i="10"/>
  <c r="DJ87" i="10"/>
  <c r="DJ88" i="10"/>
  <c r="DJ89" i="10"/>
  <c r="DJ90" i="10"/>
  <c r="DJ91" i="10"/>
  <c r="DJ92" i="10"/>
  <c r="DJ93" i="10"/>
  <c r="DJ94" i="10"/>
  <c r="DJ95" i="10"/>
  <c r="DJ96" i="10"/>
  <c r="DJ97" i="10"/>
  <c r="DJ98" i="10"/>
  <c r="DJ99" i="10"/>
  <c r="DJ100" i="10"/>
  <c r="DJ101" i="10"/>
  <c r="DJ102" i="10"/>
  <c r="DJ103" i="10"/>
  <c r="DJ104" i="10"/>
  <c r="DJ105" i="10"/>
  <c r="DJ106" i="10"/>
  <c r="DJ107" i="10"/>
  <c r="DJ108" i="10"/>
  <c r="DJ109" i="10"/>
  <c r="DJ110" i="10"/>
  <c r="DJ111" i="10"/>
  <c r="DJ112" i="10"/>
  <c r="DJ113" i="10"/>
  <c r="DJ114" i="10"/>
  <c r="DJ115" i="10"/>
  <c r="DJ116" i="10"/>
  <c r="DJ117" i="10"/>
  <c r="DJ118" i="10"/>
  <c r="DJ119" i="10"/>
  <c r="DJ120" i="10"/>
  <c r="DJ121" i="10"/>
  <c r="DJ122" i="10"/>
  <c r="DJ123" i="10"/>
  <c r="DJ124" i="10"/>
  <c r="DJ125" i="10"/>
  <c r="DJ126" i="10"/>
  <c r="DJ127" i="10"/>
  <c r="DJ128" i="10"/>
  <c r="DJ129" i="10"/>
  <c r="DJ130" i="10"/>
  <c r="DJ131" i="10"/>
  <c r="DJ132" i="10"/>
  <c r="DJ133" i="10"/>
  <c r="DJ134" i="10"/>
  <c r="DJ135" i="10"/>
  <c r="DJ136" i="10"/>
  <c r="DJ137" i="10"/>
  <c r="DJ138" i="10"/>
  <c r="DJ139" i="10"/>
  <c r="DJ140" i="10"/>
  <c r="DJ141" i="10"/>
  <c r="DJ142" i="10"/>
  <c r="DJ143" i="10"/>
  <c r="DJ144" i="10"/>
  <c r="DJ145" i="10"/>
  <c r="DJ146" i="10"/>
  <c r="DJ147" i="10"/>
  <c r="DJ148" i="10"/>
  <c r="DJ149" i="10"/>
  <c r="DJ150" i="10"/>
  <c r="DJ151" i="10"/>
  <c r="DJ152" i="10"/>
  <c r="DJ153" i="10"/>
  <c r="DJ154" i="10"/>
  <c r="DJ155" i="10"/>
  <c r="DJ156" i="10"/>
  <c r="DJ157" i="10"/>
  <c r="DJ158" i="10"/>
  <c r="DJ159" i="10"/>
  <c r="DJ160" i="10"/>
  <c r="DJ161" i="10"/>
  <c r="DJ162" i="10"/>
  <c r="DJ163" i="10"/>
  <c r="DJ164" i="10"/>
  <c r="DJ165" i="10"/>
  <c r="DJ166" i="10"/>
  <c r="DJ167" i="10"/>
  <c r="DJ168" i="10"/>
  <c r="DJ169" i="10"/>
  <c r="DJ170" i="10"/>
  <c r="DJ171" i="10"/>
  <c r="DJ172" i="10"/>
  <c r="DJ173" i="10"/>
  <c r="DJ174" i="10"/>
  <c r="DJ175" i="10"/>
  <c r="DJ176" i="10"/>
  <c r="DJ177" i="10"/>
  <c r="DJ178" i="10"/>
  <c r="DJ179" i="10"/>
  <c r="DJ180" i="10"/>
  <c r="DJ181" i="10"/>
  <c r="DJ182" i="10"/>
  <c r="DJ183" i="10"/>
  <c r="DJ184" i="10"/>
  <c r="DJ185" i="10"/>
  <c r="DJ186" i="10"/>
  <c r="DJ187" i="10"/>
  <c r="DJ188" i="10"/>
  <c r="DJ189" i="10"/>
  <c r="DJ190" i="10"/>
  <c r="DJ191" i="10"/>
  <c r="DJ192" i="10"/>
  <c r="DJ193" i="10"/>
  <c r="DJ194" i="10"/>
  <c r="DJ195" i="10"/>
  <c r="DJ196" i="10"/>
  <c r="DJ197" i="10"/>
  <c r="DJ198" i="10"/>
  <c r="DJ199" i="10"/>
  <c r="DJ200" i="10"/>
  <c r="DJ201" i="10"/>
  <c r="DJ202" i="10"/>
  <c r="DJ203" i="10"/>
  <c r="DJ204" i="10"/>
  <c r="DJ205" i="10"/>
  <c r="DJ206" i="10"/>
  <c r="DJ207" i="10"/>
  <c r="DJ208" i="10"/>
  <c r="DJ209" i="10"/>
  <c r="DJ210" i="10"/>
  <c r="DJ211" i="10"/>
  <c r="DJ212" i="10"/>
  <c r="DJ213" i="10"/>
  <c r="DJ214" i="10"/>
  <c r="DJ215" i="10"/>
  <c r="DJ216" i="10"/>
  <c r="DJ217" i="10"/>
  <c r="DJ218" i="10"/>
  <c r="DJ219" i="10"/>
  <c r="DJ220" i="10"/>
  <c r="DJ221" i="10"/>
  <c r="DJ222" i="10"/>
  <c r="DJ223" i="10"/>
  <c r="DJ224" i="10"/>
  <c r="DJ225" i="10"/>
  <c r="DJ226" i="10"/>
  <c r="DJ227" i="10"/>
  <c r="DJ228" i="10"/>
  <c r="DJ229" i="10"/>
  <c r="DJ230" i="10"/>
  <c r="DJ231" i="10"/>
  <c r="DJ232" i="10"/>
  <c r="DJ233" i="10"/>
  <c r="DJ234" i="10"/>
  <c r="DJ235" i="10"/>
  <c r="DJ236" i="10"/>
  <c r="DJ237" i="10"/>
  <c r="DJ238" i="10"/>
  <c r="DJ239" i="10"/>
  <c r="DJ240" i="10"/>
  <c r="DJ241" i="10"/>
  <c r="DJ242" i="10"/>
  <c r="DJ243" i="10"/>
  <c r="DJ244" i="10"/>
  <c r="DJ245" i="10"/>
  <c r="DJ246" i="10"/>
  <c r="DJ247" i="10"/>
  <c r="DJ248" i="10"/>
  <c r="DJ249" i="10"/>
  <c r="DJ250" i="10"/>
  <c r="DJ251" i="10"/>
  <c r="DJ252" i="10"/>
  <c r="DJ253" i="10"/>
  <c r="DJ254" i="10"/>
  <c r="DJ255" i="10"/>
  <c r="DJ256" i="10"/>
  <c r="DJ257" i="10"/>
  <c r="DJ258" i="10"/>
  <c r="DJ259" i="10"/>
  <c r="DJ260" i="10"/>
  <c r="DJ261" i="10"/>
  <c r="DJ262" i="10"/>
  <c r="DJ263" i="10"/>
  <c r="DJ264" i="10"/>
  <c r="DJ265" i="10"/>
  <c r="DJ266" i="10"/>
  <c r="DJ267" i="10"/>
  <c r="DJ268" i="10"/>
  <c r="DJ269" i="10"/>
  <c r="DJ270" i="10"/>
  <c r="DJ271" i="10"/>
  <c r="DJ272" i="10"/>
  <c r="DJ273" i="10"/>
  <c r="DJ274" i="10"/>
  <c r="DJ275" i="10"/>
  <c r="DJ276" i="10"/>
  <c r="DJ277" i="10"/>
  <c r="DJ278" i="10"/>
  <c r="DJ279" i="10"/>
  <c r="DJ280" i="10"/>
  <c r="DJ281" i="10"/>
  <c r="DJ282" i="10"/>
  <c r="DJ283" i="10"/>
  <c r="DJ284" i="10"/>
  <c r="DJ285" i="10"/>
  <c r="DJ286" i="10"/>
  <c r="DJ287" i="10"/>
  <c r="DJ288" i="10"/>
  <c r="DJ289" i="10"/>
  <c r="DJ290" i="10"/>
  <c r="DJ291" i="10"/>
  <c r="DJ292" i="10"/>
  <c r="DJ293" i="10"/>
  <c r="DJ294" i="10"/>
  <c r="DJ295" i="10"/>
  <c r="DJ296" i="10"/>
  <c r="DJ297" i="10"/>
  <c r="DJ298" i="10"/>
  <c r="DJ299" i="10"/>
  <c r="DJ300" i="10"/>
  <c r="DJ301" i="10"/>
  <c r="DJ302" i="10"/>
  <c r="DJ303" i="10"/>
  <c r="DJ304" i="10"/>
  <c r="DJ305" i="10"/>
  <c r="DJ306" i="10"/>
  <c r="DJ307" i="10"/>
  <c r="DJ308" i="10"/>
  <c r="DJ309" i="10"/>
  <c r="DJ310" i="10"/>
  <c r="DJ311" i="10"/>
  <c r="DJ312" i="10"/>
  <c r="DJ313" i="10"/>
  <c r="DJ314" i="10"/>
  <c r="DJ315" i="10"/>
  <c r="DJ316" i="10"/>
  <c r="DJ317" i="10"/>
  <c r="DJ318" i="10"/>
  <c r="DJ319" i="10"/>
  <c r="DJ320" i="10"/>
  <c r="DJ321" i="10"/>
  <c r="DJ322" i="10"/>
  <c r="DJ323" i="10"/>
  <c r="DJ324" i="10"/>
  <c r="DJ325" i="10"/>
  <c r="DJ326" i="10"/>
  <c r="DJ327" i="10"/>
  <c r="DJ328" i="10"/>
  <c r="DJ329" i="10"/>
  <c r="DJ330" i="10"/>
  <c r="DJ331" i="10"/>
  <c r="DJ332" i="10"/>
  <c r="DJ333" i="10"/>
  <c r="DJ334" i="10"/>
  <c r="DJ335" i="10"/>
  <c r="DJ336" i="10"/>
  <c r="DJ337" i="10"/>
  <c r="DJ338" i="10"/>
  <c r="DJ339" i="10"/>
  <c r="DJ340" i="10"/>
  <c r="DJ341" i="10"/>
  <c r="DJ342" i="10"/>
  <c r="DJ343" i="10"/>
  <c r="DJ344" i="10"/>
  <c r="DJ345" i="10"/>
  <c r="DJ346" i="10"/>
  <c r="DJ347" i="10"/>
  <c r="DJ348" i="10"/>
  <c r="DJ349" i="10"/>
  <c r="DJ350" i="10"/>
  <c r="DJ351" i="10"/>
  <c r="DJ352" i="10"/>
  <c r="DJ353" i="10"/>
  <c r="DJ354" i="10"/>
  <c r="DJ355" i="10"/>
  <c r="DJ356" i="10"/>
  <c r="DJ357" i="10"/>
  <c r="DJ358" i="10"/>
  <c r="DJ359" i="10"/>
  <c r="DJ360" i="10"/>
  <c r="DJ361" i="10"/>
  <c r="DJ362" i="10"/>
  <c r="DJ363" i="10"/>
  <c r="DJ364" i="10"/>
  <c r="DJ365" i="10"/>
  <c r="DJ366" i="10"/>
  <c r="DJ367" i="10"/>
  <c r="DJ368" i="10"/>
  <c r="DJ369" i="10"/>
  <c r="DJ370" i="10"/>
  <c r="DJ371" i="10"/>
  <c r="DJ372" i="10"/>
  <c r="DJ373" i="10"/>
  <c r="DJ374" i="10"/>
  <c r="DJ375" i="10"/>
  <c r="DJ376" i="10"/>
  <c r="DJ377" i="10"/>
  <c r="DJ378" i="10"/>
  <c r="DJ379" i="10"/>
  <c r="DJ380" i="10"/>
  <c r="DJ381" i="10"/>
  <c r="DJ382" i="10"/>
  <c r="DJ383" i="10"/>
  <c r="DJ384" i="10"/>
  <c r="DJ385" i="10"/>
  <c r="DJ386" i="10"/>
  <c r="DJ387" i="10"/>
  <c r="DJ388" i="10"/>
  <c r="DJ389" i="10"/>
  <c r="DJ390" i="10"/>
  <c r="DJ391" i="10"/>
  <c r="DJ392" i="10"/>
  <c r="DJ393" i="10"/>
  <c r="DJ394" i="10"/>
  <c r="DJ395" i="10"/>
  <c r="DJ396" i="10"/>
  <c r="DJ397" i="10"/>
  <c r="DJ398" i="10"/>
  <c r="DJ399" i="10"/>
  <c r="DJ400" i="10"/>
  <c r="DJ401" i="10"/>
  <c r="DJ402" i="10"/>
  <c r="DJ403" i="10"/>
  <c r="DJ404" i="10"/>
  <c r="DJ405" i="10"/>
  <c r="DJ406" i="10"/>
  <c r="DJ407" i="10"/>
  <c r="DJ408" i="10"/>
  <c r="DJ409" i="10"/>
  <c r="DJ410" i="10"/>
  <c r="DJ411" i="10"/>
  <c r="DJ412" i="10"/>
  <c r="DJ413" i="10"/>
  <c r="DJ414" i="10"/>
  <c r="DJ415" i="10"/>
  <c r="DJ416" i="10"/>
  <c r="DJ417" i="10"/>
  <c r="DJ418" i="10"/>
  <c r="DJ419" i="10"/>
  <c r="DJ420" i="10"/>
  <c r="DJ421" i="10"/>
  <c r="DJ422" i="10"/>
  <c r="DJ423" i="10"/>
  <c r="DJ424" i="10"/>
  <c r="DJ425" i="10"/>
  <c r="DJ426" i="10"/>
  <c r="DJ427" i="10"/>
  <c r="DJ428" i="10"/>
  <c r="DJ429" i="10"/>
  <c r="DJ430" i="10"/>
  <c r="DJ431" i="10"/>
  <c r="DJ432" i="10"/>
  <c r="DJ433" i="10"/>
  <c r="DJ434" i="10"/>
  <c r="DJ435" i="10"/>
  <c r="DJ436" i="10"/>
  <c r="DJ437" i="10"/>
  <c r="DJ438" i="10"/>
  <c r="DJ439" i="10"/>
  <c r="DJ440" i="10"/>
  <c r="DJ441" i="10"/>
  <c r="DJ442" i="10"/>
  <c r="DJ443" i="10"/>
  <c r="DJ444" i="10"/>
  <c r="DJ445" i="10"/>
  <c r="DJ446" i="10"/>
  <c r="DJ447" i="10"/>
  <c r="DJ448" i="10"/>
  <c r="DJ449" i="10"/>
  <c r="DJ450" i="10"/>
  <c r="DJ451" i="10"/>
  <c r="DJ452" i="10"/>
  <c r="DJ453" i="10"/>
  <c r="DJ454" i="10"/>
  <c r="DJ455" i="10"/>
  <c r="DJ456" i="10"/>
  <c r="DJ457" i="10"/>
  <c r="DJ458" i="10"/>
  <c r="DJ459" i="10"/>
  <c r="DJ460" i="10"/>
  <c r="DJ461" i="10"/>
  <c r="DJ462" i="10"/>
  <c r="DJ463" i="10"/>
  <c r="DJ464" i="10"/>
  <c r="DJ465" i="10"/>
  <c r="DJ466" i="10"/>
  <c r="DJ467" i="10"/>
  <c r="DJ468" i="10"/>
  <c r="DJ469" i="10"/>
  <c r="DJ470" i="10"/>
  <c r="DJ471" i="10"/>
  <c r="DJ472" i="10"/>
  <c r="DJ473" i="10"/>
  <c r="DJ474" i="10"/>
  <c r="DJ475" i="10"/>
  <c r="DJ476" i="10"/>
  <c r="DJ477" i="10"/>
  <c r="DJ478" i="10"/>
  <c r="DJ479" i="10"/>
  <c r="DJ480" i="10"/>
  <c r="DJ481" i="10"/>
  <c r="DJ482" i="10"/>
  <c r="DJ483" i="10"/>
  <c r="DJ484" i="10"/>
  <c r="DJ485" i="10"/>
  <c r="DJ486" i="10"/>
  <c r="DJ487" i="10"/>
  <c r="DJ488" i="10"/>
  <c r="DJ489" i="10"/>
  <c r="DJ490" i="10"/>
  <c r="DJ491" i="10"/>
  <c r="DJ492" i="10"/>
  <c r="DJ493" i="10"/>
  <c r="DJ494" i="10"/>
  <c r="DJ495" i="10"/>
  <c r="DJ496" i="10"/>
  <c r="DJ497" i="10"/>
  <c r="DJ498" i="10"/>
  <c r="DJ499" i="10"/>
  <c r="DJ500" i="10"/>
  <c r="DJ501" i="10"/>
  <c r="DJ502" i="10"/>
  <c r="DJ503" i="10"/>
  <c r="DJ504" i="10"/>
  <c r="DJ505" i="10"/>
  <c r="DJ506" i="10"/>
  <c r="DJ507" i="10"/>
  <c r="DJ508" i="10"/>
  <c r="DJ509" i="10"/>
  <c r="DJ510" i="10"/>
  <c r="DJ511" i="10"/>
  <c r="DJ512" i="10"/>
  <c r="DJ513" i="10"/>
  <c r="DJ514" i="10"/>
  <c r="DJ515" i="10"/>
  <c r="DJ516" i="10"/>
  <c r="DJ517" i="10"/>
  <c r="DJ518" i="10"/>
  <c r="DJ519" i="10"/>
  <c r="DJ520" i="10"/>
  <c r="DJ521" i="10"/>
  <c r="DJ522" i="10"/>
  <c r="DJ523" i="10"/>
  <c r="DJ524" i="10"/>
  <c r="DJ525" i="10"/>
  <c r="DJ526" i="10"/>
  <c r="DJ527" i="10"/>
  <c r="DJ528" i="10"/>
  <c r="DJ529" i="10"/>
  <c r="DJ530" i="10"/>
  <c r="DJ531" i="10"/>
  <c r="DJ532" i="10"/>
  <c r="DJ533" i="10"/>
  <c r="DJ534" i="10"/>
  <c r="DJ535" i="10"/>
  <c r="DJ536" i="10"/>
  <c r="DJ537" i="10"/>
  <c r="DJ538" i="10"/>
  <c r="DJ539" i="10"/>
  <c r="DJ540" i="10"/>
  <c r="DJ541" i="10"/>
  <c r="DJ542" i="10"/>
  <c r="DJ543" i="10"/>
  <c r="DJ544" i="10"/>
  <c r="DJ545" i="10"/>
  <c r="DJ546" i="10"/>
  <c r="DJ547" i="10"/>
  <c r="DJ548" i="10"/>
  <c r="DJ549" i="10"/>
  <c r="DJ550" i="10"/>
  <c r="DJ551" i="10"/>
  <c r="DJ552" i="10"/>
  <c r="DJ553" i="10"/>
  <c r="DJ554" i="10"/>
  <c r="DJ555" i="10"/>
  <c r="DJ556" i="10"/>
  <c r="DJ557" i="10"/>
  <c r="DJ558" i="10"/>
  <c r="DJ559" i="10"/>
  <c r="DJ560" i="10"/>
  <c r="DJ561" i="10"/>
  <c r="DJ562" i="10"/>
  <c r="DJ563" i="10"/>
  <c r="DJ564" i="10"/>
  <c r="DJ565" i="10"/>
  <c r="DJ566" i="10"/>
  <c r="DJ567" i="10"/>
  <c r="DJ568" i="10"/>
  <c r="DJ569" i="10"/>
  <c r="DJ570" i="10"/>
  <c r="DJ571" i="10"/>
  <c r="DJ572" i="10"/>
  <c r="DJ573" i="10"/>
  <c r="DJ574" i="10"/>
  <c r="DJ575" i="10"/>
  <c r="DJ576" i="10"/>
  <c r="DJ577" i="10"/>
  <c r="DJ578" i="10"/>
  <c r="DJ579" i="10"/>
  <c r="DJ580" i="10"/>
  <c r="DJ581" i="10"/>
  <c r="DJ582" i="10"/>
  <c r="DJ583" i="10"/>
  <c r="DJ584" i="10"/>
  <c r="DJ585" i="10"/>
  <c r="DJ586" i="10"/>
  <c r="DJ587" i="10"/>
  <c r="DJ588" i="10"/>
  <c r="DJ589" i="10"/>
  <c r="DJ590" i="10"/>
  <c r="DJ591" i="10"/>
  <c r="DJ592" i="10"/>
  <c r="DJ593" i="10"/>
  <c r="DJ594" i="10"/>
  <c r="DJ595" i="10"/>
  <c r="DJ596" i="10"/>
  <c r="DJ597" i="10"/>
  <c r="DJ598" i="10"/>
  <c r="DJ599" i="10"/>
  <c r="DJ600" i="10"/>
  <c r="DJ601" i="10"/>
  <c r="DJ602" i="10"/>
  <c r="DJ603" i="10"/>
  <c r="DJ604" i="10"/>
  <c r="DJ605" i="10"/>
  <c r="DJ606" i="10"/>
  <c r="DJ607" i="10"/>
  <c r="DJ608" i="10"/>
  <c r="DJ609" i="10"/>
  <c r="DJ610" i="10"/>
  <c r="DJ611" i="10"/>
  <c r="DJ612" i="10"/>
  <c r="DJ613" i="10"/>
  <c r="DJ614" i="10"/>
  <c r="DJ615" i="10"/>
  <c r="DJ616" i="10"/>
  <c r="DJ617" i="10"/>
  <c r="DJ618" i="10"/>
  <c r="DJ619" i="10"/>
  <c r="DJ620" i="10"/>
  <c r="DJ621" i="10"/>
  <c r="DJ622" i="10"/>
  <c r="DJ623" i="10"/>
  <c r="DJ624" i="10"/>
  <c r="DJ625" i="10"/>
  <c r="DJ626" i="10"/>
  <c r="DJ627" i="10"/>
  <c r="DJ628" i="10"/>
  <c r="DJ629" i="10"/>
  <c r="DJ630" i="10"/>
  <c r="DJ631" i="10"/>
  <c r="DJ632" i="10"/>
  <c r="DJ633" i="10"/>
  <c r="DJ634" i="10"/>
  <c r="DJ635" i="10"/>
  <c r="DJ636" i="10"/>
  <c r="DJ637" i="10"/>
  <c r="DJ638" i="10"/>
  <c r="DJ639" i="10"/>
  <c r="DJ640" i="10"/>
  <c r="DJ641" i="10"/>
  <c r="DJ642" i="10"/>
  <c r="DJ643" i="10"/>
  <c r="DJ644" i="10"/>
  <c r="DJ645" i="10"/>
  <c r="DJ646" i="10"/>
  <c r="DJ647" i="10"/>
  <c r="DJ648" i="10"/>
  <c r="DJ649" i="10"/>
  <c r="DJ650" i="10"/>
  <c r="DJ651" i="10"/>
  <c r="DJ652" i="10"/>
  <c r="DJ653" i="10"/>
  <c r="DJ654" i="10"/>
  <c r="DJ655" i="10"/>
  <c r="DJ656" i="10"/>
  <c r="DJ657" i="10"/>
  <c r="DJ658" i="10"/>
  <c r="DJ659" i="10"/>
  <c r="DJ660" i="10"/>
  <c r="DJ661" i="10"/>
  <c r="DJ662" i="10"/>
  <c r="DJ663" i="10"/>
  <c r="DJ664" i="10"/>
  <c r="DJ665" i="10"/>
  <c r="DJ666" i="10"/>
  <c r="DJ667" i="10"/>
  <c r="DJ668" i="10"/>
  <c r="DJ669" i="10"/>
  <c r="DJ670" i="10"/>
  <c r="DJ671" i="10"/>
  <c r="DJ672" i="10"/>
  <c r="DJ673" i="10"/>
  <c r="DJ674" i="10"/>
  <c r="DJ675" i="10"/>
  <c r="DJ676" i="10"/>
  <c r="DJ677" i="10"/>
  <c r="DJ678" i="10"/>
  <c r="DJ679" i="10"/>
  <c r="DJ680" i="10"/>
  <c r="DJ681" i="10"/>
  <c r="DJ682" i="10"/>
  <c r="DJ683" i="10"/>
  <c r="DJ684" i="10"/>
  <c r="DJ685" i="10"/>
  <c r="DJ686" i="10"/>
  <c r="DJ687" i="10"/>
  <c r="DJ688" i="10"/>
  <c r="DJ689" i="10"/>
  <c r="DJ690" i="10"/>
  <c r="DJ691" i="10"/>
  <c r="DJ692" i="10"/>
  <c r="DJ693" i="10"/>
  <c r="DJ694" i="10"/>
  <c r="DJ695" i="10"/>
  <c r="DJ696" i="10"/>
  <c r="DJ697" i="10"/>
  <c r="DJ698" i="10"/>
  <c r="DJ699" i="10"/>
  <c r="DJ700" i="10"/>
  <c r="DJ701" i="10"/>
  <c r="DJ702" i="10"/>
  <c r="DJ703" i="10"/>
  <c r="DJ704" i="10"/>
  <c r="DJ705" i="10"/>
  <c r="DJ706" i="10"/>
  <c r="DJ707" i="10"/>
  <c r="DJ708" i="10"/>
  <c r="DJ709" i="10"/>
  <c r="DJ710" i="10"/>
  <c r="DJ711" i="10"/>
  <c r="DJ712" i="10"/>
  <c r="DJ713" i="10"/>
  <c r="DJ714" i="10"/>
  <c r="DJ715" i="10"/>
  <c r="DJ716" i="10"/>
  <c r="DJ717" i="10"/>
  <c r="DJ718" i="10"/>
  <c r="DJ719" i="10"/>
  <c r="DJ720" i="10"/>
  <c r="DJ721" i="10"/>
  <c r="DJ722" i="10"/>
  <c r="DJ723" i="10"/>
  <c r="DJ724" i="10"/>
  <c r="DJ725" i="10"/>
  <c r="DJ726" i="10"/>
  <c r="DJ727" i="10"/>
  <c r="DJ728" i="10"/>
  <c r="DJ729" i="10"/>
  <c r="DJ730" i="10"/>
  <c r="DJ731" i="10"/>
  <c r="DJ732" i="10"/>
  <c r="DJ733" i="10"/>
  <c r="DJ734" i="10"/>
  <c r="DJ735" i="10"/>
  <c r="DJ736" i="10"/>
  <c r="DJ737" i="10"/>
  <c r="DJ738" i="10"/>
  <c r="DJ739" i="10"/>
  <c r="DJ740" i="10"/>
  <c r="DJ741" i="10"/>
  <c r="DJ742" i="10"/>
  <c r="DJ743" i="10"/>
  <c r="DJ744" i="10"/>
  <c r="DJ745" i="10"/>
  <c r="DJ746" i="10"/>
  <c r="DJ747" i="10"/>
  <c r="DJ748" i="10"/>
  <c r="DJ749" i="10"/>
  <c r="DJ750" i="10"/>
  <c r="DJ751" i="10"/>
  <c r="DJ752" i="10"/>
  <c r="DJ753" i="10"/>
  <c r="DJ754" i="10"/>
  <c r="DJ755" i="10"/>
  <c r="DJ756" i="10"/>
  <c r="DJ757" i="10"/>
  <c r="DJ758" i="10"/>
  <c r="DJ759" i="10"/>
  <c r="DJ760" i="10"/>
  <c r="DJ761" i="10"/>
  <c r="DJ762" i="10"/>
  <c r="DJ763" i="10"/>
  <c r="DJ764" i="10"/>
  <c r="DJ765" i="10"/>
  <c r="DJ766" i="10"/>
  <c r="DJ767" i="10"/>
  <c r="DJ768" i="10"/>
  <c r="DJ769" i="10"/>
  <c r="DJ770" i="10"/>
  <c r="DJ771" i="10"/>
  <c r="DJ772" i="10"/>
  <c r="DJ773" i="10"/>
  <c r="DJ774" i="10"/>
  <c r="DJ775" i="10"/>
  <c r="DJ776" i="10"/>
  <c r="DJ777" i="10"/>
  <c r="DJ778" i="10"/>
  <c r="DJ779" i="10"/>
  <c r="DJ780" i="10"/>
  <c r="DJ781" i="10"/>
  <c r="DJ782" i="10"/>
  <c r="DJ783" i="10"/>
  <c r="DJ784" i="10"/>
  <c r="DJ785" i="10"/>
  <c r="DJ786" i="10"/>
  <c r="DJ787" i="10"/>
  <c r="DJ788" i="10"/>
  <c r="DJ789" i="10"/>
  <c r="DJ790" i="10"/>
  <c r="DJ791" i="10"/>
  <c r="DJ792" i="10"/>
  <c r="DJ793" i="10"/>
  <c r="DJ794" i="10"/>
  <c r="DJ795" i="10"/>
  <c r="DJ796" i="10"/>
  <c r="DJ797" i="10"/>
  <c r="DJ798" i="10"/>
  <c r="DJ799" i="10"/>
  <c r="DJ800" i="10"/>
  <c r="DJ801" i="10"/>
  <c r="DJ802" i="10"/>
  <c r="DJ803" i="10"/>
  <c r="DJ804" i="10"/>
  <c r="DJ805" i="10"/>
  <c r="DJ806" i="10"/>
  <c r="DJ807" i="10"/>
  <c r="DJ808" i="10"/>
  <c r="DJ809" i="10"/>
  <c r="DJ810" i="10"/>
  <c r="DJ811" i="10"/>
  <c r="DJ812" i="10"/>
  <c r="DJ813" i="10"/>
  <c r="DJ814" i="10"/>
  <c r="DJ815" i="10"/>
  <c r="DJ816" i="10"/>
  <c r="DJ817" i="10"/>
  <c r="DJ818" i="10"/>
  <c r="DJ819" i="10"/>
  <c r="DJ820" i="10"/>
  <c r="DJ821" i="10"/>
  <c r="DJ822" i="10"/>
  <c r="DJ823" i="10"/>
  <c r="DJ824" i="10"/>
  <c r="DJ825" i="10"/>
  <c r="DJ826" i="10"/>
  <c r="DJ827" i="10"/>
  <c r="DJ828" i="10"/>
  <c r="DJ829" i="10"/>
  <c r="DJ830" i="10"/>
  <c r="DJ831" i="10"/>
  <c r="DJ832" i="10"/>
  <c r="DJ833" i="10"/>
  <c r="DJ834" i="10"/>
  <c r="DJ835" i="10"/>
  <c r="DJ836" i="10"/>
  <c r="DJ837" i="10"/>
  <c r="DJ838" i="10"/>
  <c r="DJ839" i="10"/>
  <c r="DJ840" i="10"/>
  <c r="DJ841" i="10"/>
  <c r="DJ842" i="10"/>
  <c r="DJ843" i="10"/>
  <c r="DJ844" i="10"/>
  <c r="DJ845" i="10"/>
  <c r="DJ846" i="10"/>
  <c r="DJ847" i="10"/>
  <c r="DJ848" i="10"/>
  <c r="DJ849" i="10"/>
  <c r="DJ850" i="10"/>
  <c r="DJ851" i="10"/>
  <c r="DJ852" i="10"/>
  <c r="DJ853" i="10"/>
  <c r="DJ854" i="10"/>
  <c r="DJ855" i="10"/>
  <c r="DJ856" i="10"/>
  <c r="DJ857" i="10"/>
  <c r="DJ858" i="10"/>
  <c r="DJ859" i="10"/>
  <c r="DJ860" i="10"/>
  <c r="DJ861" i="10"/>
  <c r="DJ862" i="10"/>
  <c r="DJ863" i="10"/>
  <c r="DJ864" i="10"/>
  <c r="DJ865" i="10"/>
  <c r="DJ866" i="10"/>
  <c r="DJ867" i="10"/>
  <c r="DJ868" i="10"/>
  <c r="DJ869" i="10"/>
  <c r="DJ870" i="10"/>
  <c r="DJ871" i="10"/>
  <c r="DJ872" i="10"/>
  <c r="DJ873" i="10"/>
  <c r="DJ874" i="10"/>
  <c r="DJ875" i="10"/>
  <c r="DJ876" i="10"/>
  <c r="DJ877" i="10"/>
  <c r="DJ878" i="10"/>
  <c r="DJ879" i="10"/>
  <c r="DJ880" i="10"/>
  <c r="DJ881" i="10"/>
  <c r="DJ882" i="10"/>
  <c r="DJ883" i="10"/>
  <c r="DJ884" i="10"/>
  <c r="DJ885" i="10"/>
  <c r="DJ886" i="10"/>
  <c r="DJ887" i="10"/>
  <c r="DJ888" i="10"/>
  <c r="DJ889" i="10"/>
  <c r="DJ890" i="10"/>
  <c r="DJ891" i="10"/>
  <c r="DJ892" i="10"/>
  <c r="DJ893" i="10"/>
  <c r="DJ894" i="10"/>
  <c r="DJ895" i="10"/>
  <c r="DJ896" i="10"/>
  <c r="DJ897" i="10"/>
  <c r="DJ898" i="10"/>
  <c r="DJ899" i="10"/>
  <c r="DJ900" i="10"/>
  <c r="DJ901" i="10"/>
  <c r="DJ902" i="10"/>
  <c r="DJ903" i="10"/>
  <c r="DJ904" i="10"/>
  <c r="DJ905" i="10"/>
  <c r="DJ906" i="10"/>
  <c r="DJ907" i="10"/>
  <c r="DJ908" i="10"/>
  <c r="DJ909" i="10"/>
  <c r="DJ910" i="10"/>
  <c r="DJ911" i="10"/>
  <c r="DJ912" i="10"/>
  <c r="DJ913" i="10"/>
  <c r="DJ914" i="10"/>
  <c r="DJ915" i="10"/>
  <c r="DJ916" i="10"/>
  <c r="DJ917" i="10"/>
  <c r="DJ918" i="10"/>
  <c r="DJ919" i="10"/>
  <c r="DJ920" i="10"/>
  <c r="DJ921" i="10"/>
  <c r="DJ922" i="10"/>
  <c r="DJ923" i="10"/>
  <c r="DJ924" i="10"/>
  <c r="DJ925" i="10"/>
  <c r="DJ926" i="10"/>
  <c r="DJ927" i="10"/>
  <c r="DJ928" i="10"/>
  <c r="DJ929" i="10"/>
  <c r="DJ930" i="10"/>
  <c r="DJ931" i="10"/>
  <c r="DJ932" i="10"/>
  <c r="DJ933" i="10"/>
  <c r="DJ934" i="10"/>
  <c r="DJ935" i="10"/>
  <c r="DJ936" i="10"/>
  <c r="DJ937" i="10"/>
  <c r="DJ938" i="10"/>
  <c r="DJ939" i="10"/>
  <c r="DJ940" i="10"/>
  <c r="DJ941" i="10"/>
  <c r="DJ942" i="10"/>
  <c r="DJ943" i="10"/>
  <c r="DJ944" i="10"/>
  <c r="DJ945" i="10"/>
  <c r="DJ946" i="10"/>
  <c r="DJ947" i="10"/>
  <c r="DJ948" i="10"/>
  <c r="DJ949" i="10"/>
  <c r="DJ950" i="10"/>
  <c r="DJ951" i="10"/>
  <c r="DJ952" i="10"/>
  <c r="DJ953" i="10"/>
  <c r="DJ954" i="10"/>
  <c r="DJ955" i="10"/>
  <c r="DJ956" i="10"/>
  <c r="DJ957" i="10"/>
  <c r="DJ958" i="10"/>
  <c r="DJ959" i="10"/>
  <c r="DJ960" i="10"/>
  <c r="DJ961" i="10"/>
  <c r="DJ962" i="10"/>
  <c r="DJ963" i="10"/>
  <c r="DJ964" i="10"/>
  <c r="DJ965" i="10"/>
  <c r="DJ966" i="10"/>
  <c r="DJ967" i="10"/>
  <c r="DJ968" i="10"/>
  <c r="DJ969" i="10"/>
  <c r="DJ970" i="10"/>
  <c r="DJ971" i="10"/>
  <c r="DJ972" i="10"/>
  <c r="DJ973" i="10"/>
  <c r="DJ974" i="10"/>
  <c r="DJ975" i="10"/>
  <c r="DJ976" i="10"/>
  <c r="DJ977" i="10"/>
  <c r="DJ978" i="10"/>
  <c r="DJ979" i="10"/>
  <c r="DJ980" i="10"/>
  <c r="DJ981" i="10"/>
  <c r="DJ982" i="10"/>
  <c r="DJ983" i="10"/>
  <c r="DJ984" i="10"/>
  <c r="DJ985" i="10"/>
  <c r="DJ986" i="10"/>
  <c r="DJ987" i="10"/>
  <c r="DJ988" i="10"/>
  <c r="DJ989" i="10"/>
  <c r="DJ990" i="10"/>
  <c r="DJ991" i="10"/>
  <c r="DJ992" i="10"/>
  <c r="DJ993" i="10"/>
  <c r="DJ994" i="10"/>
  <c r="DJ995" i="10"/>
  <c r="DJ996" i="10"/>
  <c r="DJ997" i="10"/>
  <c r="DJ998" i="10"/>
  <c r="DJ999" i="10"/>
  <c r="DJ1000" i="10"/>
  <c r="DJ1001" i="10"/>
  <c r="DJ1002" i="10"/>
  <c r="DJ1003" i="10"/>
  <c r="DJ1004" i="10"/>
  <c r="DJ1005" i="10"/>
  <c r="DJ1006" i="10"/>
  <c r="DJ1007" i="10"/>
  <c r="DJ1008" i="10"/>
  <c r="DJ1009" i="10"/>
  <c r="DJ1010" i="10"/>
  <c r="DJ1011" i="10"/>
  <c r="DJ1012" i="10"/>
  <c r="DJ1013" i="10"/>
  <c r="DJ1014" i="10"/>
  <c r="DI30" i="10"/>
  <c r="DI31" i="10"/>
  <c r="DI32" i="10"/>
  <c r="DI33" i="10"/>
  <c r="DI34" i="10"/>
  <c r="DI35" i="10"/>
  <c r="DI36" i="10"/>
  <c r="DI37" i="10"/>
  <c r="DI38" i="10"/>
  <c r="DI39" i="10"/>
  <c r="DI40" i="10"/>
  <c r="DI41" i="10"/>
  <c r="DI42" i="10"/>
  <c r="DI43" i="10"/>
  <c r="DI44" i="10"/>
  <c r="DI45" i="10"/>
  <c r="DI46" i="10"/>
  <c r="DI47" i="10"/>
  <c r="DI48" i="10"/>
  <c r="DI49" i="10"/>
  <c r="DI50" i="10"/>
  <c r="DI51" i="10"/>
  <c r="DI52" i="10"/>
  <c r="DI53" i="10"/>
  <c r="DI54" i="10"/>
  <c r="DI55" i="10"/>
  <c r="DI56" i="10"/>
  <c r="DI57" i="10"/>
  <c r="DI58" i="10"/>
  <c r="DI59" i="10"/>
  <c r="DI60" i="10"/>
  <c r="DI61" i="10"/>
  <c r="DI62" i="10"/>
  <c r="DI63" i="10"/>
  <c r="DI64" i="10"/>
  <c r="DI65" i="10"/>
  <c r="DI66" i="10"/>
  <c r="DI67" i="10"/>
  <c r="DI68" i="10"/>
  <c r="DI69" i="10"/>
  <c r="DI70" i="10"/>
  <c r="DI71" i="10"/>
  <c r="DI72" i="10"/>
  <c r="DI73" i="10"/>
  <c r="DI74" i="10"/>
  <c r="DI75" i="10"/>
  <c r="DI76" i="10"/>
  <c r="DI77" i="10"/>
  <c r="DI78" i="10"/>
  <c r="DI79" i="10"/>
  <c r="DI80" i="10"/>
  <c r="DI81" i="10"/>
  <c r="DI82" i="10"/>
  <c r="DI83" i="10"/>
  <c r="DI84" i="10"/>
  <c r="DI85" i="10"/>
  <c r="DI86" i="10"/>
  <c r="DI87" i="10"/>
  <c r="DI88" i="10"/>
  <c r="DI89" i="10"/>
  <c r="DI90" i="10"/>
  <c r="DI91" i="10"/>
  <c r="DI92" i="10"/>
  <c r="DI93" i="10"/>
  <c r="DI94" i="10"/>
  <c r="DI95" i="10"/>
  <c r="DI96" i="10"/>
  <c r="DI97" i="10"/>
  <c r="DI98" i="10"/>
  <c r="DI99" i="10"/>
  <c r="DI100" i="10"/>
  <c r="DI101" i="10"/>
  <c r="DI102" i="10"/>
  <c r="DI103" i="10"/>
  <c r="DI104" i="10"/>
  <c r="DI105" i="10"/>
  <c r="DI106" i="10"/>
  <c r="DI107" i="10"/>
  <c r="DI108" i="10"/>
  <c r="DI109" i="10"/>
  <c r="DI110" i="10"/>
  <c r="DI111" i="10"/>
  <c r="DI112" i="10"/>
  <c r="DI113" i="10"/>
  <c r="DI114" i="10"/>
  <c r="DI115" i="10"/>
  <c r="DI116" i="10"/>
  <c r="DI117" i="10"/>
  <c r="DI118" i="10"/>
  <c r="DI119" i="10"/>
  <c r="DI120" i="10"/>
  <c r="DI121" i="10"/>
  <c r="DI122" i="10"/>
  <c r="DI123" i="10"/>
  <c r="DI124" i="10"/>
  <c r="DI125" i="10"/>
  <c r="DI126" i="10"/>
  <c r="DI127" i="10"/>
  <c r="DI128" i="10"/>
  <c r="DI129" i="10"/>
  <c r="DI130" i="10"/>
  <c r="DI131" i="10"/>
  <c r="DI132" i="10"/>
  <c r="DI133" i="10"/>
  <c r="DI134" i="10"/>
  <c r="DI135" i="10"/>
  <c r="DI136" i="10"/>
  <c r="DI137" i="10"/>
  <c r="DI138" i="10"/>
  <c r="DI139" i="10"/>
  <c r="DI140" i="10"/>
  <c r="DI141" i="10"/>
  <c r="DI142" i="10"/>
  <c r="DI143" i="10"/>
  <c r="DI144" i="10"/>
  <c r="DI145" i="10"/>
  <c r="DI146" i="10"/>
  <c r="DI147" i="10"/>
  <c r="DI148" i="10"/>
  <c r="DI149" i="10"/>
  <c r="DI150" i="10"/>
  <c r="DI151" i="10"/>
  <c r="DI152" i="10"/>
  <c r="DI153" i="10"/>
  <c r="DI154" i="10"/>
  <c r="DI155" i="10"/>
  <c r="DI156" i="10"/>
  <c r="DI157" i="10"/>
  <c r="DI158" i="10"/>
  <c r="DI159" i="10"/>
  <c r="DI160" i="10"/>
  <c r="DI161" i="10"/>
  <c r="DI162" i="10"/>
  <c r="DI163" i="10"/>
  <c r="DI164" i="10"/>
  <c r="DI165" i="10"/>
  <c r="DI166" i="10"/>
  <c r="DI167" i="10"/>
  <c r="DI168" i="10"/>
  <c r="DI169" i="10"/>
  <c r="DI170" i="10"/>
  <c r="DI171" i="10"/>
  <c r="DI172" i="10"/>
  <c r="DI173" i="10"/>
  <c r="DI174" i="10"/>
  <c r="DI175" i="10"/>
  <c r="DI176" i="10"/>
  <c r="DI177" i="10"/>
  <c r="DI178" i="10"/>
  <c r="DI179" i="10"/>
  <c r="DI180" i="10"/>
  <c r="DI181" i="10"/>
  <c r="DI182" i="10"/>
  <c r="DI183" i="10"/>
  <c r="DI184" i="10"/>
  <c r="DI185" i="10"/>
  <c r="DI186" i="10"/>
  <c r="DI187" i="10"/>
  <c r="DI188" i="10"/>
  <c r="DI189" i="10"/>
  <c r="DI190" i="10"/>
  <c r="DI191" i="10"/>
  <c r="DI192" i="10"/>
  <c r="DI193" i="10"/>
  <c r="DI194" i="10"/>
  <c r="DI195" i="10"/>
  <c r="DI196" i="10"/>
  <c r="DI197" i="10"/>
  <c r="DI198" i="10"/>
  <c r="DI199" i="10"/>
  <c r="DI200" i="10"/>
  <c r="DI201" i="10"/>
  <c r="DI202" i="10"/>
  <c r="DI203" i="10"/>
  <c r="DI204" i="10"/>
  <c r="DI205" i="10"/>
  <c r="DI206" i="10"/>
  <c r="DI207" i="10"/>
  <c r="DI208" i="10"/>
  <c r="DI209" i="10"/>
  <c r="DI210" i="10"/>
  <c r="DI211" i="10"/>
  <c r="DI212" i="10"/>
  <c r="DI213" i="10"/>
  <c r="DI214" i="10"/>
  <c r="DI215" i="10"/>
  <c r="DI216" i="10"/>
  <c r="DI217" i="10"/>
  <c r="DI218" i="10"/>
  <c r="DI219" i="10"/>
  <c r="DI220" i="10"/>
  <c r="DI221" i="10"/>
  <c r="DI222" i="10"/>
  <c r="DI223" i="10"/>
  <c r="DI224" i="10"/>
  <c r="DI225" i="10"/>
  <c r="DI226" i="10"/>
  <c r="DI227" i="10"/>
  <c r="DI228" i="10"/>
  <c r="DI229" i="10"/>
  <c r="DI230" i="10"/>
  <c r="DI231" i="10"/>
  <c r="DI232" i="10"/>
  <c r="DI233" i="10"/>
  <c r="DI234" i="10"/>
  <c r="DI235" i="10"/>
  <c r="DI236" i="10"/>
  <c r="DI237" i="10"/>
  <c r="DI238" i="10"/>
  <c r="DI239" i="10"/>
  <c r="DI240" i="10"/>
  <c r="DI241" i="10"/>
  <c r="DI242" i="10"/>
  <c r="DI243" i="10"/>
  <c r="DI244" i="10"/>
  <c r="DI245" i="10"/>
  <c r="DI246" i="10"/>
  <c r="DI247" i="10"/>
  <c r="DI248" i="10"/>
  <c r="DI249" i="10"/>
  <c r="DI250" i="10"/>
  <c r="DI251" i="10"/>
  <c r="DI252" i="10"/>
  <c r="DI253" i="10"/>
  <c r="DI254" i="10"/>
  <c r="DI255" i="10"/>
  <c r="DI256" i="10"/>
  <c r="DI257" i="10"/>
  <c r="DI258" i="10"/>
  <c r="DI259" i="10"/>
  <c r="DI260" i="10"/>
  <c r="DI261" i="10"/>
  <c r="DI262" i="10"/>
  <c r="DI263" i="10"/>
  <c r="DI264" i="10"/>
  <c r="DI265" i="10"/>
  <c r="DI266" i="10"/>
  <c r="DI267" i="10"/>
  <c r="DI268" i="10"/>
  <c r="DI269" i="10"/>
  <c r="DI270" i="10"/>
  <c r="DI271" i="10"/>
  <c r="DI272" i="10"/>
  <c r="DI273" i="10"/>
  <c r="DI274" i="10"/>
  <c r="DI275" i="10"/>
  <c r="DI276" i="10"/>
  <c r="DI277" i="10"/>
  <c r="DI278" i="10"/>
  <c r="DI279" i="10"/>
  <c r="DI280" i="10"/>
  <c r="DI281" i="10"/>
  <c r="DI282" i="10"/>
  <c r="DI283" i="10"/>
  <c r="DI284" i="10"/>
  <c r="DI285" i="10"/>
  <c r="DI286" i="10"/>
  <c r="DI287" i="10"/>
  <c r="DI288" i="10"/>
  <c r="DI289" i="10"/>
  <c r="DI290" i="10"/>
  <c r="DI291" i="10"/>
  <c r="DI292" i="10"/>
  <c r="DI293" i="10"/>
  <c r="DI294" i="10"/>
  <c r="DI295" i="10"/>
  <c r="DI296" i="10"/>
  <c r="DI297" i="10"/>
  <c r="DI298" i="10"/>
  <c r="DI299" i="10"/>
  <c r="DI300" i="10"/>
  <c r="DI301" i="10"/>
  <c r="DI302" i="10"/>
  <c r="DI303" i="10"/>
  <c r="DI304" i="10"/>
  <c r="DI305" i="10"/>
  <c r="DI306" i="10"/>
  <c r="DI307" i="10"/>
  <c r="DI308" i="10"/>
  <c r="DI309" i="10"/>
  <c r="DI310" i="10"/>
  <c r="DI311" i="10"/>
  <c r="DI312" i="10"/>
  <c r="DI313" i="10"/>
  <c r="DI314" i="10"/>
  <c r="DI315" i="10"/>
  <c r="DI316" i="10"/>
  <c r="DI317" i="10"/>
  <c r="DI318" i="10"/>
  <c r="DI319" i="10"/>
  <c r="DI320" i="10"/>
  <c r="DI321" i="10"/>
  <c r="DI322" i="10"/>
  <c r="DI323" i="10"/>
  <c r="DI324" i="10"/>
  <c r="DI325" i="10"/>
  <c r="DI326" i="10"/>
  <c r="DI327" i="10"/>
  <c r="DI328" i="10"/>
  <c r="DI329" i="10"/>
  <c r="DI330" i="10"/>
  <c r="DI331" i="10"/>
  <c r="DI332" i="10"/>
  <c r="DI333" i="10"/>
  <c r="DI334" i="10"/>
  <c r="DI335" i="10"/>
  <c r="DI336" i="10"/>
  <c r="DI337" i="10"/>
  <c r="DI338" i="10"/>
  <c r="DI339" i="10"/>
  <c r="DI340" i="10"/>
  <c r="DI341" i="10"/>
  <c r="DI342" i="10"/>
  <c r="DI343" i="10"/>
  <c r="DI344" i="10"/>
  <c r="DI345" i="10"/>
  <c r="DI346" i="10"/>
  <c r="DI347" i="10"/>
  <c r="DI348" i="10"/>
  <c r="DI349" i="10"/>
  <c r="DI350" i="10"/>
  <c r="DI351" i="10"/>
  <c r="DI352" i="10"/>
  <c r="DI353" i="10"/>
  <c r="DI354" i="10"/>
  <c r="DI355" i="10"/>
  <c r="DI356" i="10"/>
  <c r="DI357" i="10"/>
  <c r="DI358" i="10"/>
  <c r="DI359" i="10"/>
  <c r="DI360" i="10"/>
  <c r="DI361" i="10"/>
  <c r="DI362" i="10"/>
  <c r="DI363" i="10"/>
  <c r="DI364" i="10"/>
  <c r="DI365" i="10"/>
  <c r="DI366" i="10"/>
  <c r="DI367" i="10"/>
  <c r="DI368" i="10"/>
  <c r="DI369" i="10"/>
  <c r="DI370" i="10"/>
  <c r="DI371" i="10"/>
  <c r="DI372" i="10"/>
  <c r="DI373" i="10"/>
  <c r="DI374" i="10"/>
  <c r="DI375" i="10"/>
  <c r="DI376" i="10"/>
  <c r="DI377" i="10"/>
  <c r="DI378" i="10"/>
  <c r="DI379" i="10"/>
  <c r="DI380" i="10"/>
  <c r="DI381" i="10"/>
  <c r="DI382" i="10"/>
  <c r="DI383" i="10"/>
  <c r="DI384" i="10"/>
  <c r="DI385" i="10"/>
  <c r="DI386" i="10"/>
  <c r="DI387" i="10"/>
  <c r="DI388" i="10"/>
  <c r="DI389" i="10"/>
  <c r="DI390" i="10"/>
  <c r="DI391" i="10"/>
  <c r="DI392" i="10"/>
  <c r="DI393" i="10"/>
  <c r="DI394" i="10"/>
  <c r="DI395" i="10"/>
  <c r="DI396" i="10"/>
  <c r="DI397" i="10"/>
  <c r="DI398" i="10"/>
  <c r="DI399" i="10"/>
  <c r="DI400" i="10"/>
  <c r="DI401" i="10"/>
  <c r="DI402" i="10"/>
  <c r="DI403" i="10"/>
  <c r="DI404" i="10"/>
  <c r="DI405" i="10"/>
  <c r="DI406" i="10"/>
  <c r="DI407" i="10"/>
  <c r="DI408" i="10"/>
  <c r="DI409" i="10"/>
  <c r="DI410" i="10"/>
  <c r="DI411" i="10"/>
  <c r="DI412" i="10"/>
  <c r="DI413" i="10"/>
  <c r="DI414" i="10"/>
  <c r="DI415" i="10"/>
  <c r="DI416" i="10"/>
  <c r="DI417" i="10"/>
  <c r="DI418" i="10"/>
  <c r="DI419" i="10"/>
  <c r="DI420" i="10"/>
  <c r="DI421" i="10"/>
  <c r="DI422" i="10"/>
  <c r="DI423" i="10"/>
  <c r="DI424" i="10"/>
  <c r="DI425" i="10"/>
  <c r="DI426" i="10"/>
  <c r="DI427" i="10"/>
  <c r="DI428" i="10"/>
  <c r="DI429" i="10"/>
  <c r="DI430" i="10"/>
  <c r="DI431" i="10"/>
  <c r="DI432" i="10"/>
  <c r="DI433" i="10"/>
  <c r="DI434" i="10"/>
  <c r="DI435" i="10"/>
  <c r="DI436" i="10"/>
  <c r="DI437" i="10"/>
  <c r="DI438" i="10"/>
  <c r="DI439" i="10"/>
  <c r="DI440" i="10"/>
  <c r="DI441" i="10"/>
  <c r="DI442" i="10"/>
  <c r="DI443" i="10"/>
  <c r="DI444" i="10"/>
  <c r="DI445" i="10"/>
  <c r="DI446" i="10"/>
  <c r="DI447" i="10"/>
  <c r="DI448" i="10"/>
  <c r="DI449" i="10"/>
  <c r="DI450" i="10"/>
  <c r="DI451" i="10"/>
  <c r="DI452" i="10"/>
  <c r="DI453" i="10"/>
  <c r="DI454" i="10"/>
  <c r="DI455" i="10"/>
  <c r="DI456" i="10"/>
  <c r="DI457" i="10"/>
  <c r="DI458" i="10"/>
  <c r="DI459" i="10"/>
  <c r="DI460" i="10"/>
  <c r="DI461" i="10"/>
  <c r="DI462" i="10"/>
  <c r="DI463" i="10"/>
  <c r="DI464" i="10"/>
  <c r="DI465" i="10"/>
  <c r="DI466" i="10"/>
  <c r="DI467" i="10"/>
  <c r="DI468" i="10"/>
  <c r="DI469" i="10"/>
  <c r="DI470" i="10"/>
  <c r="DI471" i="10"/>
  <c r="DI472" i="10"/>
  <c r="DI473" i="10"/>
  <c r="DI474" i="10"/>
  <c r="DI475" i="10"/>
  <c r="DI476" i="10"/>
  <c r="DI477" i="10"/>
  <c r="DI478" i="10"/>
  <c r="DI479" i="10"/>
  <c r="DI480" i="10"/>
  <c r="DI481" i="10"/>
  <c r="DI482" i="10"/>
  <c r="DI483" i="10"/>
  <c r="DI484" i="10"/>
  <c r="DI485" i="10"/>
  <c r="DI486" i="10"/>
  <c r="DI487" i="10"/>
  <c r="DI488" i="10"/>
  <c r="DI489" i="10"/>
  <c r="DI490" i="10"/>
  <c r="DI491" i="10"/>
  <c r="DI492" i="10"/>
  <c r="DI493" i="10"/>
  <c r="DI494" i="10"/>
  <c r="DI495" i="10"/>
  <c r="DI496" i="10"/>
  <c r="DI497" i="10"/>
  <c r="DI498" i="10"/>
  <c r="DI499" i="10"/>
  <c r="DI500" i="10"/>
  <c r="DI501" i="10"/>
  <c r="DI502" i="10"/>
  <c r="DI503" i="10"/>
  <c r="DI504" i="10"/>
  <c r="DI505" i="10"/>
  <c r="DI506" i="10"/>
  <c r="DI507" i="10"/>
  <c r="DI508" i="10"/>
  <c r="DI509" i="10"/>
  <c r="DI510" i="10"/>
  <c r="DI511" i="10"/>
  <c r="DI512" i="10"/>
  <c r="DI513" i="10"/>
  <c r="DI514" i="10"/>
  <c r="DI515" i="10"/>
  <c r="DI516" i="10"/>
  <c r="DI517" i="10"/>
  <c r="DI518" i="10"/>
  <c r="DI519" i="10"/>
  <c r="DI520" i="10"/>
  <c r="DI521" i="10"/>
  <c r="DI522" i="10"/>
  <c r="DI523" i="10"/>
  <c r="DI524" i="10"/>
  <c r="DI525" i="10"/>
  <c r="DI526" i="10"/>
  <c r="DI527" i="10"/>
  <c r="DI528" i="10"/>
  <c r="DI529" i="10"/>
  <c r="DI530" i="10"/>
  <c r="DI531" i="10"/>
  <c r="DI532" i="10"/>
  <c r="DI533" i="10"/>
  <c r="DI534" i="10"/>
  <c r="DI535" i="10"/>
  <c r="DI536" i="10"/>
  <c r="DI537" i="10"/>
  <c r="DI538" i="10"/>
  <c r="DI539" i="10"/>
  <c r="DI540" i="10"/>
  <c r="DI541" i="10"/>
  <c r="DI542" i="10"/>
  <c r="DI543" i="10"/>
  <c r="DI544" i="10"/>
  <c r="DI545" i="10"/>
  <c r="DI546" i="10"/>
  <c r="DI547" i="10"/>
  <c r="DI548" i="10"/>
  <c r="DI549" i="10"/>
  <c r="DI550" i="10"/>
  <c r="DI551" i="10"/>
  <c r="DI552" i="10"/>
  <c r="DI553" i="10"/>
  <c r="DI554" i="10"/>
  <c r="DI555" i="10"/>
  <c r="DI556" i="10"/>
  <c r="DI557" i="10"/>
  <c r="DI558" i="10"/>
  <c r="DI559" i="10"/>
  <c r="DI560" i="10"/>
  <c r="DI561" i="10"/>
  <c r="DI562" i="10"/>
  <c r="DI563" i="10"/>
  <c r="DI564" i="10"/>
  <c r="DI565" i="10"/>
  <c r="DI566" i="10"/>
  <c r="DI567" i="10"/>
  <c r="DI568" i="10"/>
  <c r="DI569" i="10"/>
  <c r="DI570" i="10"/>
  <c r="DI571" i="10"/>
  <c r="DI572" i="10"/>
  <c r="DI573" i="10"/>
  <c r="DI574" i="10"/>
  <c r="DI575" i="10"/>
  <c r="DI576" i="10"/>
  <c r="DI577" i="10"/>
  <c r="DI578" i="10"/>
  <c r="DI579" i="10"/>
  <c r="DI580" i="10"/>
  <c r="DI581" i="10"/>
  <c r="DI582" i="10"/>
  <c r="DI583" i="10"/>
  <c r="DI584" i="10"/>
  <c r="DI585" i="10"/>
  <c r="DI586" i="10"/>
  <c r="DI587" i="10"/>
  <c r="DI588" i="10"/>
  <c r="DI589" i="10"/>
  <c r="DI590" i="10"/>
  <c r="DI591" i="10"/>
  <c r="DI592" i="10"/>
  <c r="DI593" i="10"/>
  <c r="DI594" i="10"/>
  <c r="DI595" i="10"/>
  <c r="DI596" i="10"/>
  <c r="DI597" i="10"/>
  <c r="DI598" i="10"/>
  <c r="DI599" i="10"/>
  <c r="DI600" i="10"/>
  <c r="DI601" i="10"/>
  <c r="DI602" i="10"/>
  <c r="DI603" i="10"/>
  <c r="DI604" i="10"/>
  <c r="DI605" i="10"/>
  <c r="DI606" i="10"/>
  <c r="DI607" i="10"/>
  <c r="DI608" i="10"/>
  <c r="DI609" i="10"/>
  <c r="DI610" i="10"/>
  <c r="DI611" i="10"/>
  <c r="DI612" i="10"/>
  <c r="DI613" i="10"/>
  <c r="DI614" i="10"/>
  <c r="DI615" i="10"/>
  <c r="DI616" i="10"/>
  <c r="DI617" i="10"/>
  <c r="DI618" i="10"/>
  <c r="DI619" i="10"/>
  <c r="DI620" i="10"/>
  <c r="DI621" i="10"/>
  <c r="DI622" i="10"/>
  <c r="DI623" i="10"/>
  <c r="DI624" i="10"/>
  <c r="DI625" i="10"/>
  <c r="DI626" i="10"/>
  <c r="DI627" i="10"/>
  <c r="DI628" i="10"/>
  <c r="DI629" i="10"/>
  <c r="DI630" i="10"/>
  <c r="DI631" i="10"/>
  <c r="DI632" i="10"/>
  <c r="DI633" i="10"/>
  <c r="DI634" i="10"/>
  <c r="DI635" i="10"/>
  <c r="DI636" i="10"/>
  <c r="DI637" i="10"/>
  <c r="DI638" i="10"/>
  <c r="DI639" i="10"/>
  <c r="DI640" i="10"/>
  <c r="DI641" i="10"/>
  <c r="DI642" i="10"/>
  <c r="DI643" i="10"/>
  <c r="DI644" i="10"/>
  <c r="DI645" i="10"/>
  <c r="DI646" i="10"/>
  <c r="DI647" i="10"/>
  <c r="DI648" i="10"/>
  <c r="DI649" i="10"/>
  <c r="DI650" i="10"/>
  <c r="DI651" i="10"/>
  <c r="DI652" i="10"/>
  <c r="DI653" i="10"/>
  <c r="DI654" i="10"/>
  <c r="DI655" i="10"/>
  <c r="DI656" i="10"/>
  <c r="DI657" i="10"/>
  <c r="DI658" i="10"/>
  <c r="DI659" i="10"/>
  <c r="DI660" i="10"/>
  <c r="DI661" i="10"/>
  <c r="DI662" i="10"/>
  <c r="DI663" i="10"/>
  <c r="DI664" i="10"/>
  <c r="DI665" i="10"/>
  <c r="DI666" i="10"/>
  <c r="DI667" i="10"/>
  <c r="DI668" i="10"/>
  <c r="DI669" i="10"/>
  <c r="DI670" i="10"/>
  <c r="DI671" i="10"/>
  <c r="DI672" i="10"/>
  <c r="DI673" i="10"/>
  <c r="DI674" i="10"/>
  <c r="DI675" i="10"/>
  <c r="DI676" i="10"/>
  <c r="DI677" i="10"/>
  <c r="DI678" i="10"/>
  <c r="DI679" i="10"/>
  <c r="DI680" i="10"/>
  <c r="DI681" i="10"/>
  <c r="DI682" i="10"/>
  <c r="DI683" i="10"/>
  <c r="DI684" i="10"/>
  <c r="DI685" i="10"/>
  <c r="DI686" i="10"/>
  <c r="DI687" i="10"/>
  <c r="DI688" i="10"/>
  <c r="DI689" i="10"/>
  <c r="DI690" i="10"/>
  <c r="DI691" i="10"/>
  <c r="DI692" i="10"/>
  <c r="DI693" i="10"/>
  <c r="DI694" i="10"/>
  <c r="DI695" i="10"/>
  <c r="DI696" i="10"/>
  <c r="DI697" i="10"/>
  <c r="DI698" i="10"/>
  <c r="DI699" i="10"/>
  <c r="DI700" i="10"/>
  <c r="DI701" i="10"/>
  <c r="DI702" i="10"/>
  <c r="DI703" i="10"/>
  <c r="DI704" i="10"/>
  <c r="DI705" i="10"/>
  <c r="DI706" i="10"/>
  <c r="DI707" i="10"/>
  <c r="DI708" i="10"/>
  <c r="DI709" i="10"/>
  <c r="DI710" i="10"/>
  <c r="DI711" i="10"/>
  <c r="DI712" i="10"/>
  <c r="DI713" i="10"/>
  <c r="DI714" i="10"/>
  <c r="DI715" i="10"/>
  <c r="DI716" i="10"/>
  <c r="DI717" i="10"/>
  <c r="DI718" i="10"/>
  <c r="DI719" i="10"/>
  <c r="DI720" i="10"/>
  <c r="DI721" i="10"/>
  <c r="DI722" i="10"/>
  <c r="DI723" i="10"/>
  <c r="DI724" i="10"/>
  <c r="DI725" i="10"/>
  <c r="DI726" i="10"/>
  <c r="DI727" i="10"/>
  <c r="DI728" i="10"/>
  <c r="DI729" i="10"/>
  <c r="DI730" i="10"/>
  <c r="DI731" i="10"/>
  <c r="DI732" i="10"/>
  <c r="DI733" i="10"/>
  <c r="DI734" i="10"/>
  <c r="DI735" i="10"/>
  <c r="DI736" i="10"/>
  <c r="DI737" i="10"/>
  <c r="DI738" i="10"/>
  <c r="DI739" i="10"/>
  <c r="DI740" i="10"/>
  <c r="DI741" i="10"/>
  <c r="DI742" i="10"/>
  <c r="DI743" i="10"/>
  <c r="DI744" i="10"/>
  <c r="DI745" i="10"/>
  <c r="DI746" i="10"/>
  <c r="DI747" i="10"/>
  <c r="DI748" i="10"/>
  <c r="DI749" i="10"/>
  <c r="DI750" i="10"/>
  <c r="DI751" i="10"/>
  <c r="DI752" i="10"/>
  <c r="DI753" i="10"/>
  <c r="DI754" i="10"/>
  <c r="DI755" i="10"/>
  <c r="DI756" i="10"/>
  <c r="DI757" i="10"/>
  <c r="DI758" i="10"/>
  <c r="DI759" i="10"/>
  <c r="DI760" i="10"/>
  <c r="DI761" i="10"/>
  <c r="DI762" i="10"/>
  <c r="DI763" i="10"/>
  <c r="DI764" i="10"/>
  <c r="DI765" i="10"/>
  <c r="DI766" i="10"/>
  <c r="DI767" i="10"/>
  <c r="DI768" i="10"/>
  <c r="DI769" i="10"/>
  <c r="DI770" i="10"/>
  <c r="DI771" i="10"/>
  <c r="DI772" i="10"/>
  <c r="DI773" i="10"/>
  <c r="DI774" i="10"/>
  <c r="DI775" i="10"/>
  <c r="DI776" i="10"/>
  <c r="DI777" i="10"/>
  <c r="DI778" i="10"/>
  <c r="DI779" i="10"/>
  <c r="DI780" i="10"/>
  <c r="DI781" i="10"/>
  <c r="DI782" i="10"/>
  <c r="DI783" i="10"/>
  <c r="DI784" i="10"/>
  <c r="DI785" i="10"/>
  <c r="DI786" i="10"/>
  <c r="DI787" i="10"/>
  <c r="DI788" i="10"/>
  <c r="DI789" i="10"/>
  <c r="DI790" i="10"/>
  <c r="DI791" i="10"/>
  <c r="DI792" i="10"/>
  <c r="DI793" i="10"/>
  <c r="DI794" i="10"/>
  <c r="DI795" i="10"/>
  <c r="DI796" i="10"/>
  <c r="DI797" i="10"/>
  <c r="DI798" i="10"/>
  <c r="DI799" i="10"/>
  <c r="DI800" i="10"/>
  <c r="DI801" i="10"/>
  <c r="DI802" i="10"/>
  <c r="DI803" i="10"/>
  <c r="DI804" i="10"/>
  <c r="DI805" i="10"/>
  <c r="DI806" i="10"/>
  <c r="DI807" i="10"/>
  <c r="DI808" i="10"/>
  <c r="DI809" i="10"/>
  <c r="DI810" i="10"/>
  <c r="DI811" i="10"/>
  <c r="DI812" i="10"/>
  <c r="DI813" i="10"/>
  <c r="DI814" i="10"/>
  <c r="DI815" i="10"/>
  <c r="DI816" i="10"/>
  <c r="DI817" i="10"/>
  <c r="DI818" i="10"/>
  <c r="DI819" i="10"/>
  <c r="DI820" i="10"/>
  <c r="DI821" i="10"/>
  <c r="DI822" i="10"/>
  <c r="DI823" i="10"/>
  <c r="DI824" i="10"/>
  <c r="DI825" i="10"/>
  <c r="DI826" i="10"/>
  <c r="DI827" i="10"/>
  <c r="DI828" i="10"/>
  <c r="DI829" i="10"/>
  <c r="DI830" i="10"/>
  <c r="DI831" i="10"/>
  <c r="DI832" i="10"/>
  <c r="DI833" i="10"/>
  <c r="DI834" i="10"/>
  <c r="DI835" i="10"/>
  <c r="DI836" i="10"/>
  <c r="DI837" i="10"/>
  <c r="DI838" i="10"/>
  <c r="DI839" i="10"/>
  <c r="DI840" i="10"/>
  <c r="DI841" i="10"/>
  <c r="DI842" i="10"/>
  <c r="DI843" i="10"/>
  <c r="DI844" i="10"/>
  <c r="DI845" i="10"/>
  <c r="DI846" i="10"/>
  <c r="DI847" i="10"/>
  <c r="DI848" i="10"/>
  <c r="DI849" i="10"/>
  <c r="DI850" i="10"/>
  <c r="DI851" i="10"/>
  <c r="DI852" i="10"/>
  <c r="DI853" i="10"/>
  <c r="DI854" i="10"/>
  <c r="DI855" i="10"/>
  <c r="DI856" i="10"/>
  <c r="DI857" i="10"/>
  <c r="DI858" i="10"/>
  <c r="DI859" i="10"/>
  <c r="DI860" i="10"/>
  <c r="DI861" i="10"/>
  <c r="DI862" i="10"/>
  <c r="DI863" i="10"/>
  <c r="DI864" i="10"/>
  <c r="DI865" i="10"/>
  <c r="DI866" i="10"/>
  <c r="DI867" i="10"/>
  <c r="DI868" i="10"/>
  <c r="DI869" i="10"/>
  <c r="DI870" i="10"/>
  <c r="DI871" i="10"/>
  <c r="DI872" i="10"/>
  <c r="DI873" i="10"/>
  <c r="DI874" i="10"/>
  <c r="DI875" i="10"/>
  <c r="DI876" i="10"/>
  <c r="DI877" i="10"/>
  <c r="DI878" i="10"/>
  <c r="DI879" i="10"/>
  <c r="DI880" i="10"/>
  <c r="DI881" i="10"/>
  <c r="DI882" i="10"/>
  <c r="DI883" i="10"/>
  <c r="DI884" i="10"/>
  <c r="DI885" i="10"/>
  <c r="DI886" i="10"/>
  <c r="DI887" i="10"/>
  <c r="DI888" i="10"/>
  <c r="DI889" i="10"/>
  <c r="DI890" i="10"/>
  <c r="DI891" i="10"/>
  <c r="DI892" i="10"/>
  <c r="DI893" i="10"/>
  <c r="DI894" i="10"/>
  <c r="DI895" i="10"/>
  <c r="DI896" i="10"/>
  <c r="DI897" i="10"/>
  <c r="DI898" i="10"/>
  <c r="DI899" i="10"/>
  <c r="DI900" i="10"/>
  <c r="DI901" i="10"/>
  <c r="DI902" i="10"/>
  <c r="DI903" i="10"/>
  <c r="DI904" i="10"/>
  <c r="DI905" i="10"/>
  <c r="DI906" i="10"/>
  <c r="DI907" i="10"/>
  <c r="DI908" i="10"/>
  <c r="DI909" i="10"/>
  <c r="DI910" i="10"/>
  <c r="DI911" i="10"/>
  <c r="DI912" i="10"/>
  <c r="DI913" i="10"/>
  <c r="DI914" i="10"/>
  <c r="DI915" i="10"/>
  <c r="DI916" i="10"/>
  <c r="DI917" i="10"/>
  <c r="DI918" i="10"/>
  <c r="DI919" i="10"/>
  <c r="DI920" i="10"/>
  <c r="DI921" i="10"/>
  <c r="DI922" i="10"/>
  <c r="DI923" i="10"/>
  <c r="DI924" i="10"/>
  <c r="DI925" i="10"/>
  <c r="DI926" i="10"/>
  <c r="DI927" i="10"/>
  <c r="DI928" i="10"/>
  <c r="DI929" i="10"/>
  <c r="DI930" i="10"/>
  <c r="DI931" i="10"/>
  <c r="DI932" i="10"/>
  <c r="DI933" i="10"/>
  <c r="DI934" i="10"/>
  <c r="DI935" i="10"/>
  <c r="DI936" i="10"/>
  <c r="DI937" i="10"/>
  <c r="DI938" i="10"/>
  <c r="DI939" i="10"/>
  <c r="DI940" i="10"/>
  <c r="DI941" i="10"/>
  <c r="DI942" i="10"/>
  <c r="DI943" i="10"/>
  <c r="DI944" i="10"/>
  <c r="DI945" i="10"/>
  <c r="DI946" i="10"/>
  <c r="DI947" i="10"/>
  <c r="DI948" i="10"/>
  <c r="DI949" i="10"/>
  <c r="DI950" i="10"/>
  <c r="DI951" i="10"/>
  <c r="DI952" i="10"/>
  <c r="DI953" i="10"/>
  <c r="DI954" i="10"/>
  <c r="DI955" i="10"/>
  <c r="DI956" i="10"/>
  <c r="DI957" i="10"/>
  <c r="DI958" i="10"/>
  <c r="DI959" i="10"/>
  <c r="DI960" i="10"/>
  <c r="DI961" i="10"/>
  <c r="DI962" i="10"/>
  <c r="DI963" i="10"/>
  <c r="DI964" i="10"/>
  <c r="DI965" i="10"/>
  <c r="DI966" i="10"/>
  <c r="DI967" i="10"/>
  <c r="DI968" i="10"/>
  <c r="DI969" i="10"/>
  <c r="DI970" i="10"/>
  <c r="DI971" i="10"/>
  <c r="DI972" i="10"/>
  <c r="DI973" i="10"/>
  <c r="DI974" i="10"/>
  <c r="DI975" i="10"/>
  <c r="DI976" i="10"/>
  <c r="DI977" i="10"/>
  <c r="DI978" i="10"/>
  <c r="DI979" i="10"/>
  <c r="DI980" i="10"/>
  <c r="DI981" i="10"/>
  <c r="DI982" i="10"/>
  <c r="DI983" i="10"/>
  <c r="DI984" i="10"/>
  <c r="DI985" i="10"/>
  <c r="DI986" i="10"/>
  <c r="DI987" i="10"/>
  <c r="DI988" i="10"/>
  <c r="DI989" i="10"/>
  <c r="DI990" i="10"/>
  <c r="DI991" i="10"/>
  <c r="DI992" i="10"/>
  <c r="DI993" i="10"/>
  <c r="DI994" i="10"/>
  <c r="DI995" i="10"/>
  <c r="DI996" i="10"/>
  <c r="DI997" i="10"/>
  <c r="DI998" i="10"/>
  <c r="DI999" i="10"/>
  <c r="DI1000" i="10"/>
  <c r="DI1001" i="10"/>
  <c r="DI1002" i="10"/>
  <c r="DI1003" i="10"/>
  <c r="DI1004" i="10"/>
  <c r="DI1005" i="10"/>
  <c r="DI1006" i="10"/>
  <c r="DI1007" i="10"/>
  <c r="DI1008" i="10"/>
  <c r="DI1009" i="10"/>
  <c r="DI1010" i="10"/>
  <c r="DI1011" i="10"/>
  <c r="DI1012" i="10"/>
  <c r="DI1013" i="10"/>
  <c r="DI1014" i="10"/>
  <c r="G51" i="4"/>
  <c r="AE12" i="3"/>
  <c r="N6" i="10" l="1"/>
  <c r="DK1014" i="10"/>
  <c r="DK1013" i="10"/>
  <c r="DK1012" i="10"/>
  <c r="DK1011" i="10"/>
  <c r="DK1010" i="10"/>
  <c r="DK1009" i="10"/>
  <c r="DK1008" i="10"/>
  <c r="DK1007" i="10"/>
  <c r="DK1006" i="10"/>
  <c r="DK1005" i="10"/>
  <c r="DK1004" i="10"/>
  <c r="DK1003" i="10"/>
  <c r="DK1002" i="10"/>
  <c r="DK1001" i="10"/>
  <c r="DK1000" i="10"/>
  <c r="DK999" i="10"/>
  <c r="DK998" i="10"/>
  <c r="DK997" i="10"/>
  <c r="DK996" i="10"/>
  <c r="DK995" i="10"/>
  <c r="DK994" i="10"/>
  <c r="DK993" i="10"/>
  <c r="DK992" i="10"/>
  <c r="DK991" i="10"/>
  <c r="DK990" i="10"/>
  <c r="DK989" i="10"/>
  <c r="DK988" i="10"/>
  <c r="DK987" i="10"/>
  <c r="DK986" i="10"/>
  <c r="DK985" i="10"/>
  <c r="DK984" i="10"/>
  <c r="DK983" i="10"/>
  <c r="DK982" i="10"/>
  <c r="DK981" i="10"/>
  <c r="DK980" i="10"/>
  <c r="DK979" i="10"/>
  <c r="DK978" i="10"/>
  <c r="DK977" i="10"/>
  <c r="DK976" i="10"/>
  <c r="DK975" i="10"/>
  <c r="DK974" i="10"/>
  <c r="DK973" i="10"/>
  <c r="DK972" i="10"/>
  <c r="DK971" i="10"/>
  <c r="DK970" i="10"/>
  <c r="DK969" i="10"/>
  <c r="DK968" i="10"/>
  <c r="DK967" i="10"/>
  <c r="DK966" i="10"/>
  <c r="DK965" i="10"/>
  <c r="DK964" i="10"/>
  <c r="DK963" i="10"/>
  <c r="DK962" i="10"/>
  <c r="DK961" i="10"/>
  <c r="DK960" i="10"/>
  <c r="DK959" i="10"/>
  <c r="DK958" i="10"/>
  <c r="DK957" i="10"/>
  <c r="DK956" i="10"/>
  <c r="DK955" i="10"/>
  <c r="DK954" i="10"/>
  <c r="DK953" i="10"/>
  <c r="DK952" i="10"/>
  <c r="DK951" i="10"/>
  <c r="DK950" i="10"/>
  <c r="DK949" i="10"/>
  <c r="DK948" i="10"/>
  <c r="DK947" i="10"/>
  <c r="DK946" i="10"/>
  <c r="DK945" i="10"/>
  <c r="DK944" i="10"/>
  <c r="DK943" i="10"/>
  <c r="DK942" i="10"/>
  <c r="DK941" i="10"/>
  <c r="DK940" i="10"/>
  <c r="DK939" i="10"/>
  <c r="DK938" i="10"/>
  <c r="DK937" i="10"/>
  <c r="DK936" i="10"/>
  <c r="DK935" i="10"/>
  <c r="DK934" i="10"/>
  <c r="DK933" i="10"/>
  <c r="DK932" i="10"/>
  <c r="DK931" i="10"/>
  <c r="DK930" i="10"/>
  <c r="DK929" i="10"/>
  <c r="DK928" i="10"/>
  <c r="DK927" i="10"/>
  <c r="DK926" i="10"/>
  <c r="DK925" i="10"/>
  <c r="DK924" i="10"/>
  <c r="DK923" i="10"/>
  <c r="DK922" i="10"/>
  <c r="DK921" i="10"/>
  <c r="DK920" i="10"/>
  <c r="DK919" i="10"/>
  <c r="DK918" i="10"/>
  <c r="DK917" i="10"/>
  <c r="DK916" i="10"/>
  <c r="DK915" i="10"/>
  <c r="DK914" i="10"/>
  <c r="DK913" i="10"/>
  <c r="DK912" i="10"/>
  <c r="DK911" i="10"/>
  <c r="DK910" i="10"/>
  <c r="DK909" i="10"/>
  <c r="DK908" i="10"/>
  <c r="DK907" i="10"/>
  <c r="DK906" i="10"/>
  <c r="DK905" i="10"/>
  <c r="DK904" i="10"/>
  <c r="DK903" i="10"/>
  <c r="DK902" i="10"/>
  <c r="DK901" i="10"/>
  <c r="DK900" i="10"/>
  <c r="DK899" i="10"/>
  <c r="DK898" i="10"/>
  <c r="DK897" i="10"/>
  <c r="DK896" i="10"/>
  <c r="DK895" i="10"/>
  <c r="DK894" i="10"/>
  <c r="DK893" i="10"/>
  <c r="DK892" i="10"/>
  <c r="DK891" i="10"/>
  <c r="DK890" i="10"/>
  <c r="DK889" i="10"/>
  <c r="DK888" i="10"/>
  <c r="DK887" i="10"/>
  <c r="DK886" i="10"/>
  <c r="DK885" i="10"/>
  <c r="DK884" i="10"/>
  <c r="DK883" i="10"/>
  <c r="DK882" i="10"/>
  <c r="DK881" i="10"/>
  <c r="DK880" i="10"/>
  <c r="DK879" i="10"/>
  <c r="DK878" i="10"/>
  <c r="DK877" i="10"/>
  <c r="DK876" i="10"/>
  <c r="DK875" i="10"/>
  <c r="DK874" i="10"/>
  <c r="DK873" i="10"/>
  <c r="DK872" i="10"/>
  <c r="DK871" i="10"/>
  <c r="DK870" i="10"/>
  <c r="DK869" i="10"/>
  <c r="DK868" i="10"/>
  <c r="DK867" i="10"/>
  <c r="DK866" i="10"/>
  <c r="DK865" i="10"/>
  <c r="DK864" i="10"/>
  <c r="DK863" i="10"/>
  <c r="DK862" i="10"/>
  <c r="DK861" i="10"/>
  <c r="DK860" i="10"/>
  <c r="DK859" i="10"/>
  <c r="DK858" i="10"/>
  <c r="DK857" i="10"/>
  <c r="DK856" i="10"/>
  <c r="DK855" i="10"/>
  <c r="DK854" i="10"/>
  <c r="DK853" i="10"/>
  <c r="DK852" i="10"/>
  <c r="DK851" i="10"/>
  <c r="DK850" i="10"/>
  <c r="DK849" i="10"/>
  <c r="DK848" i="10"/>
  <c r="DK847" i="10"/>
  <c r="DK846" i="10"/>
  <c r="DK845" i="10"/>
  <c r="DK844" i="10"/>
  <c r="DK843" i="10"/>
  <c r="DK842" i="10"/>
  <c r="DK841" i="10"/>
  <c r="DK840" i="10"/>
  <c r="DK839" i="10"/>
  <c r="DK838" i="10"/>
  <c r="DK837" i="10"/>
  <c r="DK836" i="10"/>
  <c r="DK835" i="10"/>
  <c r="DK834" i="10"/>
  <c r="DK833" i="10"/>
  <c r="DK832" i="10"/>
  <c r="DK831" i="10"/>
  <c r="DK830" i="10"/>
  <c r="DK829" i="10"/>
  <c r="DK828" i="10"/>
  <c r="DK827" i="10"/>
  <c r="DK826" i="10"/>
  <c r="DK825" i="10"/>
  <c r="DK824" i="10"/>
  <c r="DK823" i="10"/>
  <c r="DK822" i="10"/>
  <c r="DK821" i="10"/>
  <c r="DK820" i="10"/>
  <c r="DK819" i="10"/>
  <c r="DK818" i="10"/>
  <c r="DK817" i="10"/>
  <c r="DK816" i="10"/>
  <c r="DK815" i="10"/>
  <c r="DK814" i="10"/>
  <c r="DK813" i="10"/>
  <c r="DK812" i="10"/>
  <c r="DK811" i="10"/>
  <c r="DK810" i="10"/>
  <c r="DK809" i="10"/>
  <c r="DK808" i="10"/>
  <c r="DK807" i="10"/>
  <c r="DK806" i="10"/>
  <c r="DK805" i="10"/>
  <c r="DK804" i="10"/>
  <c r="DK803" i="10"/>
  <c r="DK802" i="10"/>
  <c r="DK801" i="10"/>
  <c r="DK800" i="10"/>
  <c r="DK799" i="10"/>
  <c r="DK798" i="10"/>
  <c r="DK797" i="10"/>
  <c r="DK796" i="10"/>
  <c r="DK795" i="10"/>
  <c r="DK794" i="10"/>
  <c r="DK793" i="10"/>
  <c r="DK792" i="10"/>
  <c r="DK791" i="10"/>
  <c r="DK790" i="10"/>
  <c r="DK789" i="10"/>
  <c r="DK788" i="10"/>
  <c r="DK787" i="10"/>
  <c r="DK786" i="10"/>
  <c r="DK785" i="10"/>
  <c r="DK784" i="10"/>
  <c r="DK783" i="10"/>
  <c r="DK782" i="10"/>
  <c r="DK781" i="10"/>
  <c r="DK780" i="10"/>
  <c r="DK779" i="10"/>
  <c r="DK778" i="10"/>
  <c r="DK777" i="10"/>
  <c r="DK776" i="10"/>
  <c r="DK775" i="10"/>
  <c r="DK774" i="10"/>
  <c r="DK773" i="10"/>
  <c r="DK772" i="10"/>
  <c r="DK771" i="10"/>
  <c r="DK770" i="10"/>
  <c r="DK769" i="10"/>
  <c r="DK768" i="10"/>
  <c r="DK767" i="10"/>
  <c r="DK766" i="10"/>
  <c r="DK765" i="10"/>
  <c r="DK764" i="10"/>
  <c r="DK763" i="10"/>
  <c r="DK762" i="10"/>
  <c r="DK761" i="10"/>
  <c r="DK760" i="10"/>
  <c r="DK759" i="10"/>
  <c r="DK758" i="10"/>
  <c r="DK757" i="10"/>
  <c r="DK756" i="10"/>
  <c r="DK755" i="10"/>
  <c r="DK754" i="10"/>
  <c r="DK753" i="10"/>
  <c r="DK752" i="10"/>
  <c r="DK751" i="10"/>
  <c r="DK750" i="10"/>
  <c r="DK749" i="10"/>
  <c r="DK748" i="10"/>
  <c r="DK747" i="10"/>
  <c r="DK746" i="10"/>
  <c r="DK745" i="10"/>
  <c r="DK744" i="10"/>
  <c r="DK743" i="10"/>
  <c r="DK742" i="10"/>
  <c r="DK741" i="10"/>
  <c r="DK740" i="10"/>
  <c r="DK739" i="10"/>
  <c r="DK738" i="10"/>
  <c r="DK737" i="10"/>
  <c r="DK736" i="10"/>
  <c r="DK735" i="10"/>
  <c r="DK734" i="10"/>
  <c r="DK733" i="10"/>
  <c r="DK732" i="10"/>
  <c r="DK731" i="10"/>
  <c r="DK730" i="10"/>
  <c r="DK729" i="10"/>
  <c r="DK728" i="10"/>
  <c r="DK727" i="10"/>
  <c r="DK726" i="10"/>
  <c r="DK725" i="10"/>
  <c r="DK724" i="10"/>
  <c r="DK723" i="10"/>
  <c r="DK722" i="10"/>
  <c r="DK721" i="10"/>
  <c r="DK720" i="10"/>
  <c r="DK719" i="10"/>
  <c r="DK718" i="10"/>
  <c r="DK717" i="10"/>
  <c r="DK716" i="10"/>
  <c r="DK715" i="10"/>
  <c r="DK714" i="10"/>
  <c r="DK713" i="10"/>
  <c r="DK712" i="10"/>
  <c r="DK711" i="10"/>
  <c r="DK710" i="10"/>
  <c r="DK709" i="10"/>
  <c r="DK708" i="10"/>
  <c r="DK707" i="10"/>
  <c r="DK706" i="10"/>
  <c r="DK705" i="10"/>
  <c r="DK704" i="10"/>
  <c r="DK703" i="10"/>
  <c r="DK702" i="10"/>
  <c r="DK701" i="10"/>
  <c r="DK700" i="10"/>
  <c r="DK699" i="10"/>
  <c r="DK698" i="10"/>
  <c r="DK697" i="10"/>
  <c r="DK696" i="10"/>
  <c r="DK695" i="10"/>
  <c r="DK694" i="10"/>
  <c r="DK693" i="10"/>
  <c r="DK692" i="10"/>
  <c r="DK691" i="10"/>
  <c r="DK690" i="10"/>
  <c r="DK689" i="10"/>
  <c r="DK688" i="10"/>
  <c r="DK687" i="10"/>
  <c r="DK686" i="10"/>
  <c r="DK685" i="10"/>
  <c r="DK684" i="10"/>
  <c r="DK683" i="10"/>
  <c r="DK682" i="10"/>
  <c r="DK681" i="10"/>
  <c r="DK680" i="10"/>
  <c r="DK679" i="10"/>
  <c r="DK678" i="10"/>
  <c r="DK677" i="10"/>
  <c r="DK676" i="10"/>
  <c r="DK675" i="10"/>
  <c r="DK674" i="10"/>
  <c r="DK673" i="10"/>
  <c r="DK672" i="10"/>
  <c r="DK671" i="10"/>
  <c r="DK670" i="10"/>
  <c r="DK669" i="10"/>
  <c r="DK668" i="10"/>
  <c r="DK667" i="10"/>
  <c r="DK666" i="10"/>
  <c r="DK665" i="10"/>
  <c r="DK664" i="10"/>
  <c r="DK663" i="10"/>
  <c r="DK662" i="10"/>
  <c r="DK661" i="10"/>
  <c r="DK660" i="10"/>
  <c r="DK659" i="10"/>
  <c r="DK658" i="10"/>
  <c r="DK657" i="10"/>
  <c r="DK656" i="10"/>
  <c r="DK655" i="10"/>
  <c r="DK654" i="10"/>
  <c r="DK653" i="10"/>
  <c r="DK652" i="10"/>
  <c r="DK651" i="10"/>
  <c r="DK650" i="10"/>
  <c r="DK649" i="10"/>
  <c r="DK648" i="10"/>
  <c r="DK647" i="10"/>
  <c r="DK646" i="10"/>
  <c r="DK645" i="10"/>
  <c r="DK644" i="10"/>
  <c r="DK643" i="10"/>
  <c r="DK642" i="10"/>
  <c r="DK641" i="10"/>
  <c r="DK640" i="10"/>
  <c r="DK639" i="10"/>
  <c r="DK638" i="10"/>
  <c r="DK637" i="10"/>
  <c r="DK636" i="10"/>
  <c r="DK635" i="10"/>
  <c r="DK634" i="10"/>
  <c r="DK633" i="10"/>
  <c r="DK632" i="10"/>
  <c r="DK631" i="10"/>
  <c r="DK630" i="10"/>
  <c r="DK629" i="10"/>
  <c r="DK628" i="10"/>
  <c r="DK627" i="10"/>
  <c r="DK626" i="10"/>
  <c r="DK625" i="10"/>
  <c r="DK624" i="10"/>
  <c r="DK623" i="10"/>
  <c r="DK622" i="10"/>
  <c r="DK621" i="10"/>
  <c r="DK620" i="10"/>
  <c r="DK619" i="10"/>
  <c r="DK618" i="10"/>
  <c r="DK617" i="10"/>
  <c r="DK616" i="10"/>
  <c r="DK615" i="10"/>
  <c r="DK614" i="10"/>
  <c r="DK613" i="10"/>
  <c r="DK612" i="10"/>
  <c r="DK611" i="10"/>
  <c r="DK610" i="10"/>
  <c r="DK609" i="10"/>
  <c r="DK608" i="10"/>
  <c r="DK607" i="10"/>
  <c r="DK606" i="10"/>
  <c r="DK605" i="10"/>
  <c r="DK604" i="10"/>
  <c r="DK603" i="10"/>
  <c r="DK602" i="10"/>
  <c r="DK601" i="10"/>
  <c r="DK600" i="10"/>
  <c r="DK599" i="10"/>
  <c r="DK598" i="10"/>
  <c r="DK597" i="10"/>
  <c r="DK596" i="10"/>
  <c r="DK595" i="10"/>
  <c r="DK594" i="10"/>
  <c r="DK593" i="10"/>
  <c r="DK592" i="10"/>
  <c r="DK591" i="10"/>
  <c r="DK590" i="10"/>
  <c r="DK589" i="10"/>
  <c r="DK588" i="10"/>
  <c r="DK587" i="10"/>
  <c r="DK586" i="10"/>
  <c r="DK585" i="10"/>
  <c r="DK584" i="10"/>
  <c r="DK583" i="10"/>
  <c r="DK582" i="10"/>
  <c r="DK581" i="10"/>
  <c r="DK580" i="10"/>
  <c r="DK579" i="10"/>
  <c r="DK578" i="10"/>
  <c r="DK577" i="10"/>
  <c r="DK576" i="10"/>
  <c r="DK575" i="10"/>
  <c r="DK574" i="10"/>
  <c r="DK573" i="10"/>
  <c r="DK572" i="10"/>
  <c r="DK571" i="10"/>
  <c r="DK570" i="10"/>
  <c r="DK569" i="10"/>
  <c r="DK568" i="10"/>
  <c r="DK567" i="10"/>
  <c r="DK566" i="10"/>
  <c r="DK565" i="10"/>
  <c r="DK564" i="10"/>
  <c r="DK563" i="10"/>
  <c r="DK562" i="10"/>
  <c r="DK561" i="10"/>
  <c r="DK560" i="10"/>
  <c r="DK559" i="10"/>
  <c r="DK558" i="10"/>
  <c r="DK557" i="10"/>
  <c r="DK556" i="10"/>
  <c r="DK555" i="10"/>
  <c r="DK554" i="10"/>
  <c r="DK553" i="10"/>
  <c r="DK552" i="10"/>
  <c r="DK551" i="10"/>
  <c r="DK550" i="10"/>
  <c r="DK549" i="10"/>
  <c r="DK548" i="10"/>
  <c r="DK547" i="10"/>
  <c r="DK546" i="10"/>
  <c r="DK545" i="10"/>
  <c r="DK544" i="10"/>
  <c r="DK543" i="10"/>
  <c r="DK542" i="10"/>
  <c r="DK541" i="10"/>
  <c r="DK540" i="10"/>
  <c r="DK539" i="10"/>
  <c r="DK538" i="10"/>
  <c r="DK537" i="10"/>
  <c r="DK536" i="10"/>
  <c r="DK535" i="10"/>
  <c r="DK534" i="10"/>
  <c r="DK533" i="10"/>
  <c r="DK532" i="10"/>
  <c r="DK531" i="10"/>
  <c r="DK530" i="10"/>
  <c r="DK529" i="10"/>
  <c r="DK528" i="10"/>
  <c r="DK527" i="10"/>
  <c r="DK526" i="10"/>
  <c r="DK525" i="10"/>
  <c r="DK524" i="10"/>
  <c r="DK523" i="10"/>
  <c r="DK522" i="10"/>
  <c r="DK521" i="10"/>
  <c r="DK520" i="10"/>
  <c r="DK519" i="10"/>
  <c r="DK518" i="10"/>
  <c r="DK517" i="10"/>
  <c r="DK516" i="10"/>
  <c r="DK515" i="10"/>
  <c r="DK514" i="10"/>
  <c r="DK513" i="10"/>
  <c r="DK512" i="10"/>
  <c r="DK511" i="10"/>
  <c r="DK510" i="10"/>
  <c r="DK509" i="10"/>
  <c r="DK508" i="10"/>
  <c r="DK507" i="10"/>
  <c r="DK506" i="10"/>
  <c r="DK505" i="10"/>
  <c r="DK504" i="10"/>
  <c r="DK503" i="10"/>
  <c r="DK502" i="10"/>
  <c r="DK501" i="10"/>
  <c r="DK500" i="10"/>
  <c r="DK499" i="10"/>
  <c r="DK498" i="10"/>
  <c r="DK497" i="10"/>
  <c r="DK496" i="10"/>
  <c r="DK495" i="10"/>
  <c r="DK494" i="10"/>
  <c r="DK493" i="10"/>
  <c r="DK492" i="10"/>
  <c r="DK491" i="10"/>
  <c r="DK490" i="10"/>
  <c r="DK489" i="10"/>
  <c r="DK488" i="10"/>
  <c r="DK487" i="10"/>
  <c r="DK486" i="10"/>
  <c r="DK485" i="10"/>
  <c r="DK484" i="10"/>
  <c r="DK483" i="10"/>
  <c r="DK482" i="10"/>
  <c r="DK481" i="10"/>
  <c r="DK480" i="10"/>
  <c r="DK479" i="10"/>
  <c r="DK478" i="10"/>
  <c r="DK477" i="10"/>
  <c r="DK476" i="10"/>
  <c r="DK475" i="10"/>
  <c r="DK474" i="10"/>
  <c r="DK473" i="10"/>
  <c r="DK472" i="10"/>
  <c r="DK471" i="10"/>
  <c r="DK470" i="10"/>
  <c r="DK469" i="10"/>
  <c r="DK468" i="10"/>
  <c r="DK467" i="10"/>
  <c r="DK466" i="10"/>
  <c r="DK465" i="10"/>
  <c r="DK464" i="10"/>
  <c r="DK463" i="10"/>
  <c r="DK462" i="10"/>
  <c r="DK461" i="10"/>
  <c r="DK460" i="10"/>
  <c r="DK459" i="10"/>
  <c r="DK458" i="10"/>
  <c r="DK457" i="10"/>
  <c r="DK456" i="10"/>
  <c r="DK455" i="10"/>
  <c r="DK454" i="10"/>
  <c r="DK453" i="10"/>
  <c r="DK452" i="10"/>
  <c r="DK451" i="10"/>
  <c r="DK450" i="10"/>
  <c r="DK449" i="10"/>
  <c r="DK448" i="10"/>
  <c r="DK447" i="10"/>
  <c r="DK446" i="10"/>
  <c r="DK445" i="10"/>
  <c r="DK444" i="10"/>
  <c r="DK443" i="10"/>
  <c r="DK442" i="10"/>
  <c r="DK441" i="10"/>
  <c r="DK440" i="10"/>
  <c r="DK439" i="10"/>
  <c r="DK438" i="10"/>
  <c r="DK437" i="10"/>
  <c r="DK436" i="10"/>
  <c r="DK435" i="10"/>
  <c r="DK434" i="10"/>
  <c r="DK433" i="10"/>
  <c r="DK432" i="10"/>
  <c r="DK431" i="10"/>
  <c r="DK430" i="10"/>
  <c r="DK429" i="10"/>
  <c r="DK428" i="10"/>
  <c r="DK427" i="10"/>
  <c r="DK426" i="10"/>
  <c r="DK425" i="10"/>
  <c r="DK424" i="10"/>
  <c r="DK423" i="10"/>
  <c r="DK422" i="10"/>
  <c r="DK421" i="10"/>
  <c r="DK420" i="10"/>
  <c r="DK419" i="10"/>
  <c r="DK418" i="10"/>
  <c r="DK417" i="10"/>
  <c r="DK416" i="10"/>
  <c r="DK415" i="10"/>
  <c r="DK414" i="10"/>
  <c r="DK413" i="10"/>
  <c r="DK412" i="10"/>
  <c r="DK411" i="10"/>
  <c r="DK410" i="10"/>
  <c r="DK409" i="10"/>
  <c r="DK408" i="10"/>
  <c r="DK407" i="10"/>
  <c r="DK406" i="10"/>
  <c r="DK405" i="10"/>
  <c r="DK404" i="10"/>
  <c r="DK403" i="10"/>
  <c r="DK402" i="10"/>
  <c r="DK401" i="10"/>
  <c r="DK400" i="10"/>
  <c r="DK399" i="10"/>
  <c r="DK398" i="10"/>
  <c r="DK397" i="10"/>
  <c r="DK396" i="10"/>
  <c r="DK395" i="10"/>
  <c r="DK394" i="10"/>
  <c r="DK393" i="10"/>
  <c r="DK392" i="10"/>
  <c r="DK391" i="10"/>
  <c r="DK390" i="10"/>
  <c r="DK389" i="10"/>
  <c r="DK388" i="10"/>
  <c r="DK387" i="10"/>
  <c r="DK386" i="10"/>
  <c r="DK385" i="10"/>
  <c r="DK384" i="10"/>
  <c r="DK383" i="10"/>
  <c r="DK382" i="10"/>
  <c r="DK381" i="10"/>
  <c r="DK380" i="10"/>
  <c r="DK379" i="10"/>
  <c r="DK378" i="10"/>
  <c r="DK377" i="10"/>
  <c r="DK376" i="10"/>
  <c r="DK375" i="10"/>
  <c r="DK374" i="10"/>
  <c r="DK373" i="10"/>
  <c r="DK372" i="10"/>
  <c r="DK371" i="10"/>
  <c r="DK370" i="10"/>
  <c r="DK369" i="10"/>
  <c r="DK368" i="10"/>
  <c r="DK367" i="10"/>
  <c r="DK366" i="10"/>
  <c r="DK365" i="10"/>
  <c r="DK364" i="10"/>
  <c r="DK363" i="10"/>
  <c r="DK362" i="10"/>
  <c r="DK361" i="10"/>
  <c r="DK360" i="10"/>
  <c r="DK359" i="10"/>
  <c r="DK358" i="10"/>
  <c r="DK357" i="10"/>
  <c r="DK356" i="10"/>
  <c r="DK355" i="10"/>
  <c r="DK354" i="10"/>
  <c r="DK353" i="10"/>
  <c r="DK352" i="10"/>
  <c r="DK351" i="10"/>
  <c r="DK350" i="10"/>
  <c r="DK349" i="10"/>
  <c r="DK348" i="10"/>
  <c r="DK347" i="10"/>
  <c r="DK346" i="10"/>
  <c r="DK345" i="10"/>
  <c r="DK344" i="10"/>
  <c r="DK343" i="10"/>
  <c r="DK342" i="10"/>
  <c r="DK341" i="10"/>
  <c r="DK340" i="10"/>
  <c r="DK339" i="10"/>
  <c r="DK338" i="10"/>
  <c r="DK337" i="10"/>
  <c r="DK336" i="10"/>
  <c r="DK335" i="10"/>
  <c r="DK334" i="10"/>
  <c r="DK333" i="10"/>
  <c r="DK332" i="10"/>
  <c r="DK331" i="10"/>
  <c r="DK330" i="10"/>
  <c r="DK329" i="10"/>
  <c r="DK328" i="10"/>
  <c r="DK327" i="10"/>
  <c r="DK326" i="10"/>
  <c r="DK325" i="10"/>
  <c r="DK324" i="10"/>
  <c r="DK323" i="10"/>
  <c r="DK322" i="10"/>
  <c r="DK321" i="10"/>
  <c r="DK320" i="10"/>
  <c r="DK319" i="10"/>
  <c r="DK318" i="10"/>
  <c r="DK317" i="10"/>
  <c r="DK316" i="10"/>
  <c r="DK315" i="10"/>
  <c r="DK314" i="10"/>
  <c r="DK313" i="10"/>
  <c r="DK312" i="10"/>
  <c r="DK311" i="10"/>
  <c r="DK310" i="10"/>
  <c r="DK309" i="10"/>
  <c r="DK308" i="10"/>
  <c r="DK307" i="10"/>
  <c r="DK306" i="10"/>
  <c r="DK305" i="10"/>
  <c r="DK304" i="10"/>
  <c r="DK303" i="10"/>
  <c r="DK302" i="10"/>
  <c r="DK301" i="10"/>
  <c r="DK300" i="10"/>
  <c r="DK299" i="10"/>
  <c r="DK298" i="10"/>
  <c r="DK297" i="10"/>
  <c r="DK296" i="10"/>
  <c r="DK295" i="10"/>
  <c r="DK294" i="10"/>
  <c r="DK293" i="10"/>
  <c r="DK292" i="10"/>
  <c r="DK291" i="10"/>
  <c r="DK290" i="10"/>
  <c r="DK289" i="10"/>
  <c r="DK288" i="10"/>
  <c r="DK287" i="10"/>
  <c r="DK286" i="10"/>
  <c r="DK285" i="10"/>
  <c r="DK284" i="10"/>
  <c r="DK283" i="10"/>
  <c r="DK282" i="10"/>
  <c r="DK281" i="10"/>
  <c r="DK280" i="10"/>
  <c r="DK279" i="10"/>
  <c r="DK278" i="10"/>
  <c r="DK277" i="10"/>
  <c r="DK276" i="10"/>
  <c r="DK275" i="10"/>
  <c r="DK274" i="10"/>
  <c r="DK273" i="10"/>
  <c r="DK272" i="10"/>
  <c r="DK271" i="10"/>
  <c r="DK270" i="10"/>
  <c r="DK269" i="10"/>
  <c r="DK268" i="10"/>
  <c r="DK267" i="10"/>
  <c r="DK266" i="10"/>
  <c r="DK265" i="10"/>
  <c r="DK264" i="10"/>
  <c r="DK263" i="10"/>
  <c r="DK262" i="10"/>
  <c r="DK261" i="10"/>
  <c r="DK260" i="10"/>
  <c r="DK259" i="10"/>
  <c r="DK258" i="10"/>
  <c r="DK257" i="10"/>
  <c r="DK256" i="10"/>
  <c r="DK255" i="10"/>
  <c r="DK254" i="10"/>
  <c r="DK253" i="10"/>
  <c r="DK252" i="10"/>
  <c r="DK251" i="10"/>
  <c r="DK250" i="10"/>
  <c r="DK249" i="10"/>
  <c r="DK248" i="10"/>
  <c r="DK247" i="10"/>
  <c r="DK246" i="10"/>
  <c r="DK245" i="10"/>
  <c r="DK244" i="10"/>
  <c r="DK243" i="10"/>
  <c r="DK242" i="10"/>
  <c r="DK241" i="10"/>
  <c r="DK240" i="10"/>
  <c r="DK239" i="10"/>
  <c r="DK238" i="10"/>
  <c r="DK237" i="10"/>
  <c r="DK236" i="10"/>
  <c r="DK235" i="10"/>
  <c r="DK234" i="10"/>
  <c r="DK233" i="10"/>
  <c r="DK232" i="10"/>
  <c r="DK231" i="10"/>
  <c r="DK230" i="10"/>
  <c r="DK229" i="10"/>
  <c r="DK228" i="10"/>
  <c r="DK227" i="10"/>
  <c r="DK226" i="10"/>
  <c r="DK225" i="10"/>
  <c r="DK224" i="10"/>
  <c r="DK223" i="10"/>
  <c r="DK222" i="10"/>
  <c r="DK221" i="10"/>
  <c r="DK220" i="10"/>
  <c r="DK219" i="10"/>
  <c r="DK218" i="10"/>
  <c r="DK217" i="10"/>
  <c r="DK216" i="10"/>
  <c r="DK215" i="10"/>
  <c r="DK214" i="10"/>
  <c r="DK213" i="10"/>
  <c r="DK212" i="10"/>
  <c r="DK211" i="10"/>
  <c r="DK210" i="10"/>
  <c r="DK209" i="10"/>
  <c r="DK208" i="10"/>
  <c r="DK207" i="10"/>
  <c r="DK206" i="10"/>
  <c r="DK205" i="10"/>
  <c r="DK204" i="10"/>
  <c r="DK203" i="10"/>
  <c r="DK202" i="10"/>
  <c r="DK201" i="10"/>
  <c r="DK200" i="10"/>
  <c r="DK199" i="10"/>
  <c r="DK198" i="10"/>
  <c r="DK197" i="10"/>
  <c r="DK196" i="10"/>
  <c r="DK195" i="10"/>
  <c r="DK194" i="10"/>
  <c r="DK193" i="10"/>
  <c r="DK192" i="10"/>
  <c r="DK191" i="10"/>
  <c r="DK190" i="10"/>
  <c r="DK189" i="10"/>
  <c r="DK188" i="10"/>
  <c r="DK187" i="10"/>
  <c r="DK186" i="10"/>
  <c r="DK185" i="10"/>
  <c r="DK184" i="10"/>
  <c r="DK183" i="10"/>
  <c r="DK182" i="10"/>
  <c r="DK181" i="10"/>
  <c r="DK180" i="10"/>
  <c r="DK179" i="10"/>
  <c r="DK178" i="10"/>
  <c r="DK177" i="10"/>
  <c r="DK176" i="10"/>
  <c r="DK175" i="10"/>
  <c r="DK174" i="10"/>
  <c r="DK173" i="10"/>
  <c r="DK172" i="10"/>
  <c r="DK171" i="10"/>
  <c r="DK170" i="10"/>
  <c r="DK169" i="10"/>
  <c r="DK168" i="10"/>
  <c r="DK167" i="10"/>
  <c r="DK166" i="10"/>
  <c r="DK165" i="10"/>
  <c r="DK164" i="10"/>
  <c r="DK163" i="10"/>
  <c r="DK162" i="10"/>
  <c r="DK161" i="10"/>
  <c r="DK160" i="10"/>
  <c r="DK159" i="10"/>
  <c r="DK158" i="10"/>
  <c r="DK157" i="10"/>
  <c r="DK156" i="10"/>
  <c r="DK155" i="10"/>
  <c r="DK154" i="10"/>
  <c r="DK153" i="10"/>
  <c r="DK152" i="10"/>
  <c r="DK151" i="10"/>
  <c r="DK150" i="10"/>
  <c r="DK149" i="10"/>
  <c r="DK148" i="10"/>
  <c r="DK147" i="10"/>
  <c r="DK146" i="10"/>
  <c r="DK145" i="10"/>
  <c r="DK144" i="10"/>
  <c r="DK143" i="10"/>
  <c r="DK142" i="10"/>
  <c r="DK141" i="10"/>
  <c r="DK140" i="10"/>
  <c r="DK139" i="10"/>
  <c r="DK138" i="10"/>
  <c r="DK137" i="10"/>
  <c r="DK136" i="10"/>
  <c r="DK135" i="10"/>
  <c r="DK134" i="10"/>
  <c r="DK133" i="10"/>
  <c r="DK132" i="10"/>
  <c r="DK131" i="10"/>
  <c r="DK130" i="10"/>
  <c r="DK129" i="10"/>
  <c r="DK128" i="10"/>
  <c r="DK127" i="10"/>
  <c r="DK126" i="10"/>
  <c r="DK125" i="10"/>
  <c r="DK124" i="10"/>
  <c r="DK123" i="10"/>
  <c r="DK122" i="10"/>
  <c r="DK121" i="10"/>
  <c r="DK120" i="10"/>
  <c r="DK119" i="10"/>
  <c r="DK118" i="10"/>
  <c r="DK117" i="10"/>
  <c r="DK116" i="10"/>
  <c r="DK115" i="10"/>
  <c r="DK114" i="10"/>
  <c r="DK113" i="10"/>
  <c r="DK112" i="10"/>
  <c r="DK111" i="10"/>
  <c r="DK110" i="10"/>
  <c r="DK109" i="10"/>
  <c r="DK108" i="10"/>
  <c r="DK107" i="10"/>
  <c r="DK106" i="10"/>
  <c r="DK105" i="10"/>
  <c r="DK104" i="10"/>
  <c r="DK103" i="10"/>
  <c r="DK102" i="10"/>
  <c r="DK101" i="10"/>
  <c r="DK100" i="10"/>
  <c r="DK99" i="10"/>
  <c r="DK98" i="10"/>
  <c r="DK97" i="10"/>
  <c r="DK96" i="10"/>
  <c r="DK95" i="10"/>
  <c r="DK94" i="10"/>
  <c r="DK93" i="10"/>
  <c r="DK92" i="10"/>
  <c r="DK91" i="10"/>
  <c r="DK90" i="10"/>
  <c r="DK89" i="10"/>
  <c r="DK88" i="10"/>
  <c r="DK87" i="10"/>
  <c r="DK86" i="10"/>
  <c r="DK85" i="10"/>
  <c r="DK84" i="10"/>
  <c r="DK83" i="10"/>
  <c r="DK82" i="10"/>
  <c r="DK81" i="10"/>
  <c r="DK80" i="10"/>
  <c r="DK79" i="10"/>
  <c r="DK78" i="10"/>
  <c r="DK77" i="10"/>
  <c r="DK76" i="10"/>
  <c r="DK75" i="10"/>
  <c r="DK74" i="10"/>
  <c r="DK73" i="10"/>
  <c r="DK72" i="10"/>
  <c r="DK71" i="10"/>
  <c r="DK70" i="10"/>
  <c r="DK69" i="10"/>
  <c r="DK68" i="10"/>
  <c r="DK67" i="10"/>
  <c r="DK66" i="10"/>
  <c r="DK65" i="10"/>
  <c r="DK64" i="10"/>
  <c r="DK63" i="10"/>
  <c r="DK62" i="10"/>
  <c r="DK61" i="10"/>
  <c r="DK60" i="10"/>
  <c r="DK59" i="10"/>
  <c r="DK58" i="10"/>
  <c r="DK57" i="10"/>
  <c r="DK56" i="10"/>
  <c r="DK55" i="10"/>
  <c r="DK54" i="10"/>
  <c r="DK53" i="10"/>
  <c r="DK52" i="10"/>
  <c r="DK51" i="10"/>
  <c r="DK50" i="10"/>
  <c r="DK49" i="10"/>
  <c r="DK48" i="10"/>
  <c r="DK47" i="10"/>
  <c r="DK46" i="10"/>
  <c r="DK45" i="10"/>
  <c r="DK44" i="10"/>
  <c r="DK43" i="10"/>
  <c r="DK42" i="10"/>
  <c r="DK41" i="10"/>
  <c r="DK40" i="10"/>
  <c r="DK39" i="10"/>
  <c r="DK38" i="10"/>
  <c r="DK37" i="10"/>
  <c r="DK36" i="10"/>
  <c r="DK35" i="10"/>
  <c r="DK34" i="10"/>
  <c r="DK33" i="10"/>
  <c r="DK32" i="10"/>
  <c r="DK31" i="10"/>
  <c r="DK30" i="10"/>
  <c r="DF15" i="10"/>
  <c r="DE15" i="10"/>
  <c r="DH15" i="10"/>
  <c r="DG15" i="10"/>
  <c r="CP27" i="10"/>
  <c r="CO27" i="10"/>
  <c r="CR27" i="10"/>
  <c r="CQ27" i="10"/>
  <c r="CX27" i="10"/>
  <c r="CW27" i="10"/>
  <c r="CZ27" i="10"/>
  <c r="CY27" i="10"/>
  <c r="CP26" i="10"/>
  <c r="CO26" i="10"/>
  <c r="CR26" i="10"/>
  <c r="CQ26" i="10"/>
  <c r="CX26" i="10"/>
  <c r="CW26" i="10"/>
  <c r="CZ26" i="10"/>
  <c r="CY26" i="10"/>
  <c r="CP25" i="10"/>
  <c r="CO25" i="10"/>
  <c r="CR25" i="10"/>
  <c r="CQ25" i="10"/>
  <c r="CX25" i="10"/>
  <c r="CW25" i="10"/>
  <c r="CZ25" i="10"/>
  <c r="CY25" i="10"/>
  <c r="CP24" i="10"/>
  <c r="CO24" i="10"/>
  <c r="CR24" i="10"/>
  <c r="CQ24" i="10"/>
  <c r="CX24" i="10"/>
  <c r="CW24" i="10"/>
  <c r="CZ24" i="10"/>
  <c r="CY24" i="10"/>
  <c r="CP23" i="10"/>
  <c r="CO23" i="10"/>
  <c r="CS23" i="10" s="1"/>
  <c r="CR23" i="10"/>
  <c r="CQ23" i="10"/>
  <c r="CX23" i="10"/>
  <c r="CW23" i="10"/>
  <c r="CZ23" i="10"/>
  <c r="CY23" i="10"/>
  <c r="CP22" i="10"/>
  <c r="CO22" i="10"/>
  <c r="CR22" i="10"/>
  <c r="CQ22" i="10"/>
  <c r="CX22" i="10"/>
  <c r="CW22" i="10"/>
  <c r="CZ22" i="10"/>
  <c r="CY22" i="10"/>
  <c r="CP21" i="10"/>
  <c r="CO21" i="10"/>
  <c r="CR21" i="10"/>
  <c r="CQ21" i="10"/>
  <c r="CX21" i="10"/>
  <c r="CW21" i="10"/>
  <c r="CZ21" i="10"/>
  <c r="CY21" i="10"/>
  <c r="CP20" i="10"/>
  <c r="CO20" i="10"/>
  <c r="CS20" i="10" s="1"/>
  <c r="CR20" i="10"/>
  <c r="CQ20" i="10"/>
  <c r="CX20" i="10"/>
  <c r="CW20" i="10"/>
  <c r="CZ20" i="10"/>
  <c r="CY20" i="10"/>
  <c r="CP19" i="10"/>
  <c r="CO19" i="10"/>
  <c r="CR19" i="10"/>
  <c r="CQ19" i="10"/>
  <c r="CX19" i="10"/>
  <c r="CW19" i="10"/>
  <c r="CZ19" i="10"/>
  <c r="CY19" i="10"/>
  <c r="CP18" i="10"/>
  <c r="CO18" i="10"/>
  <c r="CR18" i="10"/>
  <c r="CQ18" i="10"/>
  <c r="CX18" i="10"/>
  <c r="CW18" i="10"/>
  <c r="CZ18" i="10"/>
  <c r="CY18" i="10"/>
  <c r="CP17" i="10"/>
  <c r="CO17" i="10"/>
  <c r="CR17" i="10"/>
  <c r="CQ17" i="10"/>
  <c r="CX17" i="10"/>
  <c r="CW17" i="10"/>
  <c r="CZ17" i="10"/>
  <c r="CY17" i="10"/>
  <c r="CP16" i="10"/>
  <c r="CO16" i="10"/>
  <c r="CR16" i="10"/>
  <c r="CQ16" i="10"/>
  <c r="CX16" i="10"/>
  <c r="CW16" i="10"/>
  <c r="CZ16" i="10"/>
  <c r="CY16" i="10"/>
  <c r="CP15" i="10"/>
  <c r="CO15" i="10"/>
  <c r="CR15" i="10"/>
  <c r="CQ15" i="10"/>
  <c r="CZ15" i="10"/>
  <c r="CY15" i="10"/>
  <c r="AT1014" i="10"/>
  <c r="AX1014" i="10" s="1"/>
  <c r="CJ1014" i="10" s="1"/>
  <c r="AJ1014" i="10"/>
  <c r="BE1014" i="10" s="1"/>
  <c r="BT1014" i="10" s="1"/>
  <c r="AT1013" i="10"/>
  <c r="AX1013" i="10" s="1"/>
  <c r="CJ1013" i="10" s="1"/>
  <c r="AJ1013" i="10"/>
  <c r="BE1013" i="10" s="1"/>
  <c r="BT1013" i="10" s="1"/>
  <c r="AT1012" i="10"/>
  <c r="AX1012" i="10" s="1"/>
  <c r="AJ1012" i="10"/>
  <c r="BE1012" i="10" s="1"/>
  <c r="BT1012" i="10" s="1"/>
  <c r="AT1011" i="10"/>
  <c r="AX1011" i="10" s="1"/>
  <c r="CJ1011" i="10" s="1"/>
  <c r="AJ1011" i="10"/>
  <c r="BE1011" i="10" s="1"/>
  <c r="BT1011" i="10" s="1"/>
  <c r="AT1010" i="10"/>
  <c r="AX1010" i="10" s="1"/>
  <c r="CJ1010" i="10" s="1"/>
  <c r="AJ1010" i="10"/>
  <c r="BE1010" i="10" s="1"/>
  <c r="BT1010" i="10" s="1"/>
  <c r="AT1009" i="10"/>
  <c r="AX1009" i="10" s="1"/>
  <c r="CJ1009" i="10" s="1"/>
  <c r="AJ1009" i="10"/>
  <c r="BE1009" i="10" s="1"/>
  <c r="BT1009" i="10" s="1"/>
  <c r="AT1008" i="10"/>
  <c r="AX1008" i="10" s="1"/>
  <c r="CJ1008" i="10" s="1"/>
  <c r="AJ1008" i="10"/>
  <c r="BE1008" i="10" s="1"/>
  <c r="BT1008" i="10" s="1"/>
  <c r="AT1007" i="10"/>
  <c r="AX1007" i="10" s="1"/>
  <c r="CJ1007" i="10" s="1"/>
  <c r="AJ1007" i="10"/>
  <c r="BE1007" i="10" s="1"/>
  <c r="BT1007" i="10" s="1"/>
  <c r="AT1006" i="10"/>
  <c r="AJ1006" i="10"/>
  <c r="BE1006" i="10" s="1"/>
  <c r="BT1006" i="10" s="1"/>
  <c r="AT1005" i="10"/>
  <c r="AX1005" i="10" s="1"/>
  <c r="CJ1005" i="10" s="1"/>
  <c r="AJ1005" i="10"/>
  <c r="BE1005" i="10" s="1"/>
  <c r="BT1005" i="10" s="1"/>
  <c r="AT1004" i="10"/>
  <c r="AX1004" i="10" s="1"/>
  <c r="CJ1004" i="10" s="1"/>
  <c r="AJ1004" i="10"/>
  <c r="BE1004" i="10" s="1"/>
  <c r="BT1004" i="10" s="1"/>
  <c r="AT1003" i="10"/>
  <c r="AX1003" i="10" s="1"/>
  <c r="CJ1003" i="10" s="1"/>
  <c r="AJ1003" i="10"/>
  <c r="BE1003" i="10" s="1"/>
  <c r="BT1003" i="10" s="1"/>
  <c r="DY1003" i="10" s="1"/>
  <c r="AT1002" i="10"/>
  <c r="AX1002" i="10" s="1"/>
  <c r="CJ1002" i="10" s="1"/>
  <c r="AJ1002" i="10"/>
  <c r="BE1002" i="10" s="1"/>
  <c r="BT1002" i="10" s="1"/>
  <c r="AT1001" i="10"/>
  <c r="AX1001" i="10" s="1"/>
  <c r="CJ1001" i="10" s="1"/>
  <c r="AJ1001" i="10"/>
  <c r="AT1000" i="10"/>
  <c r="AX1000" i="10" s="1"/>
  <c r="CJ1000" i="10" s="1"/>
  <c r="AJ1000" i="10"/>
  <c r="BE1000" i="10" s="1"/>
  <c r="BT1000" i="10" s="1"/>
  <c r="AT999" i="10"/>
  <c r="AX999" i="10" s="1"/>
  <c r="CJ999" i="10" s="1"/>
  <c r="AJ999" i="10"/>
  <c r="BE999" i="10" s="1"/>
  <c r="BT999" i="10" s="1"/>
  <c r="AT998" i="10"/>
  <c r="AX998" i="10" s="1"/>
  <c r="CJ998" i="10" s="1"/>
  <c r="AJ998" i="10"/>
  <c r="BE998" i="10" s="1"/>
  <c r="BT998" i="10" s="1"/>
  <c r="AT997" i="10"/>
  <c r="AX997" i="10" s="1"/>
  <c r="CJ997" i="10" s="1"/>
  <c r="AJ997" i="10"/>
  <c r="BE997" i="10" s="1"/>
  <c r="BT997" i="10" s="1"/>
  <c r="AT996" i="10"/>
  <c r="AX996" i="10" s="1"/>
  <c r="CJ996" i="10" s="1"/>
  <c r="AJ996" i="10"/>
  <c r="BE996" i="10" s="1"/>
  <c r="BT996" i="10" s="1"/>
  <c r="AT995" i="10"/>
  <c r="AX995" i="10" s="1"/>
  <c r="CJ995" i="10" s="1"/>
  <c r="AJ995" i="10"/>
  <c r="BE995" i="10" s="1"/>
  <c r="BT995" i="10" s="1"/>
  <c r="AT994" i="10"/>
  <c r="AX994" i="10" s="1"/>
  <c r="CJ994" i="10" s="1"/>
  <c r="AJ994" i="10"/>
  <c r="BE994" i="10" s="1"/>
  <c r="BT994" i="10" s="1"/>
  <c r="AT993" i="10"/>
  <c r="AX993" i="10" s="1"/>
  <c r="CJ993" i="10" s="1"/>
  <c r="AJ993" i="10"/>
  <c r="BE993" i="10" s="1"/>
  <c r="BT993" i="10" s="1"/>
  <c r="AT992" i="10"/>
  <c r="AX992" i="10" s="1"/>
  <c r="CJ992" i="10" s="1"/>
  <c r="AJ992" i="10"/>
  <c r="BE992" i="10" s="1"/>
  <c r="BT992" i="10" s="1"/>
  <c r="AT991" i="10"/>
  <c r="AX991" i="10" s="1"/>
  <c r="CJ991" i="10" s="1"/>
  <c r="AJ991" i="10"/>
  <c r="BE991" i="10" s="1"/>
  <c r="BT991" i="10" s="1"/>
  <c r="AT990" i="10"/>
  <c r="AJ990" i="10"/>
  <c r="BE990" i="10" s="1"/>
  <c r="BT990" i="10" s="1"/>
  <c r="AT989" i="10"/>
  <c r="AX989" i="10" s="1"/>
  <c r="CJ989" i="10" s="1"/>
  <c r="AJ989" i="10"/>
  <c r="BE989" i="10" s="1"/>
  <c r="BT989" i="10" s="1"/>
  <c r="AT988" i="10"/>
  <c r="AX988" i="10" s="1"/>
  <c r="CJ988" i="10" s="1"/>
  <c r="AJ988" i="10"/>
  <c r="BE988" i="10" s="1"/>
  <c r="BT988" i="10" s="1"/>
  <c r="AT987" i="10"/>
  <c r="AX987" i="10" s="1"/>
  <c r="CJ987" i="10" s="1"/>
  <c r="AJ987" i="10"/>
  <c r="BE987" i="10" s="1"/>
  <c r="BT987" i="10" s="1"/>
  <c r="AT986" i="10"/>
  <c r="AX986" i="10" s="1"/>
  <c r="CJ986" i="10" s="1"/>
  <c r="AJ986" i="10"/>
  <c r="BE986" i="10" s="1"/>
  <c r="BT986" i="10" s="1"/>
  <c r="AT985" i="10"/>
  <c r="AX985" i="10" s="1"/>
  <c r="CJ985" i="10" s="1"/>
  <c r="AJ985" i="10"/>
  <c r="BE985" i="10" s="1"/>
  <c r="BT985" i="10" s="1"/>
  <c r="DY985" i="10" s="1"/>
  <c r="AT984" i="10"/>
  <c r="AX984" i="10" s="1"/>
  <c r="CJ984" i="10" s="1"/>
  <c r="AJ984" i="10"/>
  <c r="BE984" i="10" s="1"/>
  <c r="BT984" i="10" s="1"/>
  <c r="AT983" i="10"/>
  <c r="AX983" i="10" s="1"/>
  <c r="CJ983" i="10" s="1"/>
  <c r="AJ983" i="10"/>
  <c r="BE983" i="10" s="1"/>
  <c r="BT983" i="10" s="1"/>
  <c r="AT982" i="10"/>
  <c r="AX982" i="10" s="1"/>
  <c r="CJ982" i="10" s="1"/>
  <c r="AJ982" i="10"/>
  <c r="BE982" i="10" s="1"/>
  <c r="BT982" i="10" s="1"/>
  <c r="AT981" i="10"/>
  <c r="AX981" i="10" s="1"/>
  <c r="CJ981" i="10" s="1"/>
  <c r="AJ981" i="10"/>
  <c r="BE981" i="10" s="1"/>
  <c r="BT981" i="10" s="1"/>
  <c r="AT980" i="10"/>
  <c r="AX980" i="10" s="1"/>
  <c r="CJ980" i="10" s="1"/>
  <c r="AJ980" i="10"/>
  <c r="AT979" i="10"/>
  <c r="AX979" i="10" s="1"/>
  <c r="CJ979" i="10" s="1"/>
  <c r="AJ979" i="10"/>
  <c r="BE979" i="10" s="1"/>
  <c r="BT979" i="10" s="1"/>
  <c r="AT978" i="10"/>
  <c r="AX978" i="10" s="1"/>
  <c r="CJ978" i="10" s="1"/>
  <c r="AJ978" i="10"/>
  <c r="BE978" i="10" s="1"/>
  <c r="BT978" i="10" s="1"/>
  <c r="AT977" i="10"/>
  <c r="AX977" i="10" s="1"/>
  <c r="CJ977" i="10" s="1"/>
  <c r="AJ977" i="10"/>
  <c r="BE977" i="10" s="1"/>
  <c r="BT977" i="10" s="1"/>
  <c r="AT976" i="10"/>
  <c r="AX976" i="10" s="1"/>
  <c r="CJ976" i="10" s="1"/>
  <c r="AJ976" i="10"/>
  <c r="BE976" i="10" s="1"/>
  <c r="BT976" i="10" s="1"/>
  <c r="AT975" i="10"/>
  <c r="AX975" i="10" s="1"/>
  <c r="CJ975" i="10" s="1"/>
  <c r="AJ975" i="10"/>
  <c r="BE975" i="10" s="1"/>
  <c r="BT975" i="10" s="1"/>
  <c r="AT974" i="10"/>
  <c r="AX974" i="10" s="1"/>
  <c r="CJ974" i="10" s="1"/>
  <c r="AJ974" i="10"/>
  <c r="AT973" i="10"/>
  <c r="AX973" i="10" s="1"/>
  <c r="CJ973" i="10" s="1"/>
  <c r="AJ973" i="10"/>
  <c r="BE973" i="10" s="1"/>
  <c r="BT973" i="10" s="1"/>
  <c r="AT972" i="10"/>
  <c r="AX972" i="10" s="1"/>
  <c r="CJ972" i="10" s="1"/>
  <c r="AJ972" i="10"/>
  <c r="BE972" i="10" s="1"/>
  <c r="BT972" i="10" s="1"/>
  <c r="AT971" i="10"/>
  <c r="AX971" i="10" s="1"/>
  <c r="CJ971" i="10" s="1"/>
  <c r="AJ971" i="10"/>
  <c r="BE971" i="10" s="1"/>
  <c r="BT971" i="10" s="1"/>
  <c r="AT970" i="10"/>
  <c r="AX970" i="10" s="1"/>
  <c r="CJ970" i="10" s="1"/>
  <c r="AJ970" i="10"/>
  <c r="BE970" i="10" s="1"/>
  <c r="BT970" i="10" s="1"/>
  <c r="AT969" i="10"/>
  <c r="AX969" i="10" s="1"/>
  <c r="CJ969" i="10" s="1"/>
  <c r="AJ969" i="10"/>
  <c r="BE969" i="10" s="1"/>
  <c r="BT969" i="10" s="1"/>
  <c r="AT968" i="10"/>
  <c r="AX968" i="10" s="1"/>
  <c r="CJ968" i="10" s="1"/>
  <c r="AJ968" i="10"/>
  <c r="BE968" i="10" s="1"/>
  <c r="BT968" i="10" s="1"/>
  <c r="AT967" i="10"/>
  <c r="AX967" i="10" s="1"/>
  <c r="CJ967" i="10" s="1"/>
  <c r="AJ967" i="10"/>
  <c r="BE967" i="10" s="1"/>
  <c r="BT967" i="10" s="1"/>
  <c r="DY967" i="10" s="1"/>
  <c r="AT966" i="10"/>
  <c r="AX966" i="10" s="1"/>
  <c r="CJ966" i="10" s="1"/>
  <c r="AJ966" i="10"/>
  <c r="BE966" i="10" s="1"/>
  <c r="BT966" i="10" s="1"/>
  <c r="AT965" i="10"/>
  <c r="AX965" i="10" s="1"/>
  <c r="CJ965" i="10" s="1"/>
  <c r="AJ965" i="10"/>
  <c r="BE965" i="10" s="1"/>
  <c r="BT965" i="10" s="1"/>
  <c r="AT964" i="10"/>
  <c r="AX964" i="10" s="1"/>
  <c r="CJ964" i="10" s="1"/>
  <c r="AJ964" i="10"/>
  <c r="BE964" i="10" s="1"/>
  <c r="BT964" i="10" s="1"/>
  <c r="AT963" i="10"/>
  <c r="AX963" i="10" s="1"/>
  <c r="CJ963" i="10" s="1"/>
  <c r="AJ963" i="10"/>
  <c r="BE963" i="10" s="1"/>
  <c r="BT963" i="10" s="1"/>
  <c r="AT962" i="10"/>
  <c r="AX962" i="10" s="1"/>
  <c r="CJ962" i="10" s="1"/>
  <c r="AJ962" i="10"/>
  <c r="AT961" i="10"/>
  <c r="AX961" i="10" s="1"/>
  <c r="CJ961" i="10" s="1"/>
  <c r="AJ961" i="10"/>
  <c r="BE961" i="10" s="1"/>
  <c r="BT961" i="10" s="1"/>
  <c r="AT960" i="10"/>
  <c r="AX960" i="10" s="1"/>
  <c r="CJ960" i="10" s="1"/>
  <c r="AJ960" i="10"/>
  <c r="BE960" i="10" s="1"/>
  <c r="BT960" i="10" s="1"/>
  <c r="AT959" i="10"/>
  <c r="AX959" i="10" s="1"/>
  <c r="CJ959" i="10" s="1"/>
  <c r="AJ959" i="10"/>
  <c r="BE959" i="10" s="1"/>
  <c r="BT959" i="10" s="1"/>
  <c r="AT958" i="10"/>
  <c r="AX958" i="10" s="1"/>
  <c r="CJ958" i="10" s="1"/>
  <c r="AJ958" i="10"/>
  <c r="BE958" i="10" s="1"/>
  <c r="BT958" i="10" s="1"/>
  <c r="AT957" i="10"/>
  <c r="AX957" i="10" s="1"/>
  <c r="CJ957" i="10" s="1"/>
  <c r="AJ957" i="10"/>
  <c r="BE957" i="10" s="1"/>
  <c r="BT957" i="10" s="1"/>
  <c r="AT956" i="10"/>
  <c r="AX956" i="10" s="1"/>
  <c r="AJ956" i="10"/>
  <c r="BE956" i="10" s="1"/>
  <c r="BT956" i="10" s="1"/>
  <c r="AT955" i="10"/>
  <c r="AX955" i="10" s="1"/>
  <c r="CJ955" i="10" s="1"/>
  <c r="AJ955" i="10"/>
  <c r="BE955" i="10" s="1"/>
  <c r="BT955" i="10" s="1"/>
  <c r="DY955" i="10" s="1"/>
  <c r="AT954" i="10"/>
  <c r="AX954" i="10" s="1"/>
  <c r="CJ954" i="10" s="1"/>
  <c r="AJ954" i="10"/>
  <c r="BE954" i="10" s="1"/>
  <c r="BT954" i="10" s="1"/>
  <c r="AT953" i="10"/>
  <c r="AX953" i="10" s="1"/>
  <c r="CJ953" i="10" s="1"/>
  <c r="AJ953" i="10"/>
  <c r="BE953" i="10" s="1"/>
  <c r="BT953" i="10" s="1"/>
  <c r="AT952" i="10"/>
  <c r="AX952" i="10" s="1"/>
  <c r="CJ952" i="10" s="1"/>
  <c r="AJ952" i="10"/>
  <c r="BE952" i="10" s="1"/>
  <c r="BT952" i="10" s="1"/>
  <c r="AT951" i="10"/>
  <c r="AX951" i="10" s="1"/>
  <c r="CJ951" i="10" s="1"/>
  <c r="AJ951" i="10"/>
  <c r="BE951" i="10" s="1"/>
  <c r="BT951" i="10" s="1"/>
  <c r="AT950" i="10"/>
  <c r="AX950" i="10" s="1"/>
  <c r="CJ950" i="10" s="1"/>
  <c r="AJ950" i="10"/>
  <c r="BE950" i="10" s="1"/>
  <c r="BT950" i="10" s="1"/>
  <c r="AT949" i="10"/>
  <c r="AX949" i="10" s="1"/>
  <c r="CJ949" i="10" s="1"/>
  <c r="AJ949" i="10"/>
  <c r="BE949" i="10" s="1"/>
  <c r="BT949" i="10" s="1"/>
  <c r="AT948" i="10"/>
  <c r="AX948" i="10" s="1"/>
  <c r="AJ948" i="10"/>
  <c r="BE948" i="10" s="1"/>
  <c r="BT948" i="10" s="1"/>
  <c r="AT947" i="10"/>
  <c r="AX947" i="10" s="1"/>
  <c r="CJ947" i="10" s="1"/>
  <c r="AJ947" i="10"/>
  <c r="BE947" i="10" s="1"/>
  <c r="BT947" i="10" s="1"/>
  <c r="AT946" i="10"/>
  <c r="AX946" i="10" s="1"/>
  <c r="CJ946" i="10" s="1"/>
  <c r="AJ946" i="10"/>
  <c r="BE946" i="10" s="1"/>
  <c r="BT946" i="10" s="1"/>
  <c r="AT945" i="10"/>
  <c r="AX945" i="10" s="1"/>
  <c r="CJ945" i="10" s="1"/>
  <c r="AJ945" i="10"/>
  <c r="BE945" i="10" s="1"/>
  <c r="BT945" i="10" s="1"/>
  <c r="AT944" i="10"/>
  <c r="AJ944" i="10"/>
  <c r="BE944" i="10" s="1"/>
  <c r="BT944" i="10" s="1"/>
  <c r="AX944" i="10"/>
  <c r="CJ944" i="10" s="1"/>
  <c r="AT943" i="10"/>
  <c r="AX943" i="10" s="1"/>
  <c r="CJ943" i="10" s="1"/>
  <c r="AJ943" i="10"/>
  <c r="BE943" i="10" s="1"/>
  <c r="BT943" i="10" s="1"/>
  <c r="AT942" i="10"/>
  <c r="AX942" i="10" s="1"/>
  <c r="CJ942" i="10" s="1"/>
  <c r="AJ942" i="10"/>
  <c r="BE942" i="10" s="1"/>
  <c r="BT942" i="10" s="1"/>
  <c r="AT941" i="10"/>
  <c r="AX941" i="10" s="1"/>
  <c r="CJ941" i="10" s="1"/>
  <c r="AJ941" i="10"/>
  <c r="BE941" i="10" s="1"/>
  <c r="BT941" i="10" s="1"/>
  <c r="AT940" i="10"/>
  <c r="AX940" i="10" s="1"/>
  <c r="AJ940" i="10"/>
  <c r="BE940" i="10" s="1"/>
  <c r="BT940" i="10" s="1"/>
  <c r="AT939" i="10"/>
  <c r="AX939" i="10" s="1"/>
  <c r="CJ939" i="10" s="1"/>
  <c r="AJ939" i="10"/>
  <c r="BE939" i="10" s="1"/>
  <c r="BT939" i="10" s="1"/>
  <c r="AT938" i="10"/>
  <c r="AX938" i="10" s="1"/>
  <c r="CJ938" i="10" s="1"/>
  <c r="AJ938" i="10"/>
  <c r="BE938" i="10" s="1"/>
  <c r="BT938" i="10" s="1"/>
  <c r="AT937" i="10"/>
  <c r="AX937" i="10" s="1"/>
  <c r="CJ937" i="10" s="1"/>
  <c r="AJ937" i="10"/>
  <c r="BE937" i="10" s="1"/>
  <c r="BT937" i="10" s="1"/>
  <c r="AT936" i="10"/>
  <c r="AX936" i="10" s="1"/>
  <c r="CJ936" i="10" s="1"/>
  <c r="AJ936" i="10"/>
  <c r="BE936" i="10" s="1"/>
  <c r="BT936" i="10" s="1"/>
  <c r="AT935" i="10"/>
  <c r="AJ935" i="10"/>
  <c r="BE935" i="10" s="1"/>
  <c r="BT935" i="10" s="1"/>
  <c r="AT934" i="10"/>
  <c r="AX934" i="10" s="1"/>
  <c r="CJ934" i="10" s="1"/>
  <c r="AJ934" i="10"/>
  <c r="BE934" i="10" s="1"/>
  <c r="BT934" i="10" s="1"/>
  <c r="BX934" i="10" s="1"/>
  <c r="AT933" i="10"/>
  <c r="AX933" i="10" s="1"/>
  <c r="CJ933" i="10" s="1"/>
  <c r="AJ933" i="10"/>
  <c r="BE933" i="10" s="1"/>
  <c r="BT933" i="10" s="1"/>
  <c r="AT932" i="10"/>
  <c r="AX932" i="10" s="1"/>
  <c r="CJ932" i="10" s="1"/>
  <c r="AJ932" i="10"/>
  <c r="BE932" i="10" s="1"/>
  <c r="BT932" i="10" s="1"/>
  <c r="AT931" i="10"/>
  <c r="AX931" i="10" s="1"/>
  <c r="CJ931" i="10" s="1"/>
  <c r="AJ931" i="10"/>
  <c r="BE931" i="10" s="1"/>
  <c r="BT931" i="10" s="1"/>
  <c r="AT930" i="10"/>
  <c r="AX930" i="10" s="1"/>
  <c r="CJ930" i="10" s="1"/>
  <c r="AJ930" i="10"/>
  <c r="BE930" i="10" s="1"/>
  <c r="BT930" i="10" s="1"/>
  <c r="AT929" i="10"/>
  <c r="AX929" i="10" s="1"/>
  <c r="CJ929" i="10" s="1"/>
  <c r="AJ929" i="10"/>
  <c r="BE929" i="10" s="1"/>
  <c r="BT929" i="10" s="1"/>
  <c r="AT928" i="10"/>
  <c r="AX928" i="10" s="1"/>
  <c r="CJ928" i="10" s="1"/>
  <c r="AJ928" i="10"/>
  <c r="BE928" i="10" s="1"/>
  <c r="BT928" i="10" s="1"/>
  <c r="AT927" i="10"/>
  <c r="AX927" i="10" s="1"/>
  <c r="CJ927" i="10" s="1"/>
  <c r="AJ927" i="10"/>
  <c r="BE927" i="10" s="1"/>
  <c r="BT927" i="10" s="1"/>
  <c r="AT926" i="10"/>
  <c r="AX926" i="10" s="1"/>
  <c r="CJ926" i="10" s="1"/>
  <c r="AJ926" i="10"/>
  <c r="BE926" i="10" s="1"/>
  <c r="BT926" i="10" s="1"/>
  <c r="AT925" i="10"/>
  <c r="AX925" i="10" s="1"/>
  <c r="CJ925" i="10" s="1"/>
  <c r="AJ925" i="10"/>
  <c r="BE925" i="10" s="1"/>
  <c r="BT925" i="10" s="1"/>
  <c r="BX925" i="10" s="1"/>
  <c r="AT924" i="10"/>
  <c r="AX924" i="10" s="1"/>
  <c r="CJ924" i="10" s="1"/>
  <c r="AJ924" i="10"/>
  <c r="BE924" i="10" s="1"/>
  <c r="BT924" i="10" s="1"/>
  <c r="AT923" i="10"/>
  <c r="AX923" i="10" s="1"/>
  <c r="CJ923" i="10" s="1"/>
  <c r="AJ923" i="10"/>
  <c r="BE923" i="10" s="1"/>
  <c r="BT923" i="10" s="1"/>
  <c r="AT922" i="10"/>
  <c r="AX922" i="10" s="1"/>
  <c r="CJ922" i="10" s="1"/>
  <c r="AJ922" i="10"/>
  <c r="BE922" i="10" s="1"/>
  <c r="BT922" i="10" s="1"/>
  <c r="AT921" i="10"/>
  <c r="AX921" i="10" s="1"/>
  <c r="CJ921" i="10" s="1"/>
  <c r="AJ921" i="10"/>
  <c r="BE921" i="10" s="1"/>
  <c r="BT921" i="10" s="1"/>
  <c r="AT920" i="10"/>
  <c r="AX920" i="10" s="1"/>
  <c r="CJ920" i="10" s="1"/>
  <c r="AJ920" i="10"/>
  <c r="BE920" i="10" s="1"/>
  <c r="BT920" i="10" s="1"/>
  <c r="AT919" i="10"/>
  <c r="AX919" i="10" s="1"/>
  <c r="CJ919" i="10" s="1"/>
  <c r="AJ919" i="10"/>
  <c r="BE919" i="10" s="1"/>
  <c r="BT919" i="10" s="1"/>
  <c r="AT918" i="10"/>
  <c r="AX918" i="10" s="1"/>
  <c r="CJ918" i="10" s="1"/>
  <c r="AJ918" i="10"/>
  <c r="BE918" i="10" s="1"/>
  <c r="BT918" i="10" s="1"/>
  <c r="AT917" i="10"/>
  <c r="AJ917" i="10"/>
  <c r="BE917" i="10" s="1"/>
  <c r="BT917" i="10" s="1"/>
  <c r="AT916" i="10"/>
  <c r="AX916" i="10" s="1"/>
  <c r="CJ916" i="10" s="1"/>
  <c r="AJ916" i="10"/>
  <c r="BE916" i="10" s="1"/>
  <c r="BT916" i="10" s="1"/>
  <c r="AT915" i="10"/>
  <c r="AX915" i="10" s="1"/>
  <c r="AJ915" i="10"/>
  <c r="BE915" i="10" s="1"/>
  <c r="BT915" i="10" s="1"/>
  <c r="AT914" i="10"/>
  <c r="AX914" i="10" s="1"/>
  <c r="CJ914" i="10" s="1"/>
  <c r="AJ914" i="10"/>
  <c r="BE914" i="10" s="1"/>
  <c r="BT914" i="10" s="1"/>
  <c r="AT913" i="10"/>
  <c r="AX913" i="10" s="1"/>
  <c r="CJ913" i="10" s="1"/>
  <c r="AJ913" i="10"/>
  <c r="BE913" i="10" s="1"/>
  <c r="BT913" i="10" s="1"/>
  <c r="AT912" i="10"/>
  <c r="AX912" i="10" s="1"/>
  <c r="CJ912" i="10" s="1"/>
  <c r="AJ912" i="10"/>
  <c r="BE912" i="10" s="1"/>
  <c r="BT912" i="10" s="1"/>
  <c r="AT911" i="10"/>
  <c r="AX911" i="10" s="1"/>
  <c r="CJ911" i="10" s="1"/>
  <c r="AJ911" i="10"/>
  <c r="BE911" i="10" s="1"/>
  <c r="BT911" i="10" s="1"/>
  <c r="AT910" i="10"/>
  <c r="AX910" i="10" s="1"/>
  <c r="AJ910" i="10"/>
  <c r="BE910" i="10" s="1"/>
  <c r="BT910" i="10" s="1"/>
  <c r="AT909" i="10"/>
  <c r="AX909" i="10" s="1"/>
  <c r="CJ909" i="10" s="1"/>
  <c r="AJ909" i="10"/>
  <c r="BE909" i="10" s="1"/>
  <c r="BT909" i="10" s="1"/>
  <c r="AT908" i="10"/>
  <c r="AX908" i="10" s="1"/>
  <c r="CJ908" i="10" s="1"/>
  <c r="AJ908" i="10"/>
  <c r="BE908" i="10" s="1"/>
  <c r="BT908" i="10" s="1"/>
  <c r="AT907" i="10"/>
  <c r="AX907" i="10" s="1"/>
  <c r="CJ907" i="10" s="1"/>
  <c r="AJ907" i="10"/>
  <c r="BE907" i="10" s="1"/>
  <c r="BT907" i="10" s="1"/>
  <c r="AT906" i="10"/>
  <c r="AX906" i="10" s="1"/>
  <c r="CJ906" i="10" s="1"/>
  <c r="AJ906" i="10"/>
  <c r="BE906" i="10" s="1"/>
  <c r="BT906" i="10" s="1"/>
  <c r="AT905" i="10"/>
  <c r="AX905" i="10" s="1"/>
  <c r="CJ905" i="10" s="1"/>
  <c r="AJ905" i="10"/>
  <c r="BE905" i="10" s="1"/>
  <c r="BT905" i="10" s="1"/>
  <c r="AT904" i="10"/>
  <c r="AX904" i="10" s="1"/>
  <c r="CJ904" i="10" s="1"/>
  <c r="AJ904" i="10"/>
  <c r="BE904" i="10" s="1"/>
  <c r="BT904" i="10" s="1"/>
  <c r="AT903" i="10"/>
  <c r="AX903" i="10" s="1"/>
  <c r="CJ903" i="10" s="1"/>
  <c r="AJ903" i="10"/>
  <c r="BE903" i="10" s="1"/>
  <c r="BT903" i="10" s="1"/>
  <c r="AT902" i="10"/>
  <c r="AX902" i="10" s="1"/>
  <c r="CJ902" i="10" s="1"/>
  <c r="AJ902" i="10"/>
  <c r="BE902" i="10" s="1"/>
  <c r="BT902" i="10" s="1"/>
  <c r="AT901" i="10"/>
  <c r="AX901" i="10" s="1"/>
  <c r="CJ901" i="10" s="1"/>
  <c r="AJ901" i="10"/>
  <c r="BE901" i="10" s="1"/>
  <c r="BT901" i="10" s="1"/>
  <c r="AT900" i="10"/>
  <c r="AX900" i="10" s="1"/>
  <c r="CJ900" i="10" s="1"/>
  <c r="AJ900" i="10"/>
  <c r="BE900" i="10" s="1"/>
  <c r="BT900" i="10" s="1"/>
  <c r="AT899" i="10"/>
  <c r="AJ899" i="10"/>
  <c r="BE899" i="10" s="1"/>
  <c r="BT899" i="10" s="1"/>
  <c r="AT898" i="10"/>
  <c r="AX898" i="10" s="1"/>
  <c r="CJ898" i="10" s="1"/>
  <c r="AJ898" i="10"/>
  <c r="BE898" i="10" s="1"/>
  <c r="BT898" i="10" s="1"/>
  <c r="AT897" i="10"/>
  <c r="AX897" i="10" s="1"/>
  <c r="CJ897" i="10" s="1"/>
  <c r="AJ897" i="10"/>
  <c r="BE897" i="10" s="1"/>
  <c r="BT897" i="10" s="1"/>
  <c r="AT896" i="10"/>
  <c r="AX896" i="10" s="1"/>
  <c r="CJ896" i="10" s="1"/>
  <c r="AJ896" i="10"/>
  <c r="BE896" i="10" s="1"/>
  <c r="BT896" i="10" s="1"/>
  <c r="AT895" i="10"/>
  <c r="AX895" i="10" s="1"/>
  <c r="CJ895" i="10" s="1"/>
  <c r="AJ895" i="10"/>
  <c r="BE895" i="10" s="1"/>
  <c r="BT895" i="10" s="1"/>
  <c r="AT894" i="10"/>
  <c r="AX894" i="10" s="1"/>
  <c r="CJ894" i="10" s="1"/>
  <c r="AJ894" i="10"/>
  <c r="BE894" i="10" s="1"/>
  <c r="BT894" i="10" s="1"/>
  <c r="AT893" i="10"/>
  <c r="AX893" i="10" s="1"/>
  <c r="CJ893" i="10" s="1"/>
  <c r="AJ893" i="10"/>
  <c r="BE893" i="10" s="1"/>
  <c r="BT893" i="10" s="1"/>
  <c r="AT892" i="10"/>
  <c r="AX892" i="10" s="1"/>
  <c r="CJ892" i="10" s="1"/>
  <c r="AJ892" i="10"/>
  <c r="BE892" i="10" s="1"/>
  <c r="BT892" i="10" s="1"/>
  <c r="AT891" i="10"/>
  <c r="AX891" i="10" s="1"/>
  <c r="CJ891" i="10" s="1"/>
  <c r="AJ891" i="10"/>
  <c r="BE891" i="10" s="1"/>
  <c r="BT891" i="10" s="1"/>
  <c r="AT890" i="10"/>
  <c r="AJ890" i="10"/>
  <c r="BE890" i="10" s="1"/>
  <c r="BT890" i="10" s="1"/>
  <c r="AT889" i="10"/>
  <c r="AX889" i="10" s="1"/>
  <c r="CJ889" i="10" s="1"/>
  <c r="AJ889" i="10"/>
  <c r="BE889" i="10" s="1"/>
  <c r="BT889" i="10" s="1"/>
  <c r="AT888" i="10"/>
  <c r="AX888" i="10" s="1"/>
  <c r="CJ888" i="10" s="1"/>
  <c r="AJ888" i="10"/>
  <c r="BE888" i="10" s="1"/>
  <c r="BT888" i="10" s="1"/>
  <c r="AT887" i="10"/>
  <c r="AX887" i="10" s="1"/>
  <c r="CJ887" i="10" s="1"/>
  <c r="AJ887" i="10"/>
  <c r="BE887" i="10" s="1"/>
  <c r="BT887" i="10" s="1"/>
  <c r="AT886" i="10"/>
  <c r="AX886" i="10" s="1"/>
  <c r="AJ886" i="10"/>
  <c r="BE886" i="10" s="1"/>
  <c r="BT886" i="10" s="1"/>
  <c r="AT885" i="10"/>
  <c r="AX885" i="10" s="1"/>
  <c r="CJ885" i="10" s="1"/>
  <c r="AJ885" i="10"/>
  <c r="BE885" i="10" s="1"/>
  <c r="BT885" i="10" s="1"/>
  <c r="AT884" i="10"/>
  <c r="AX884" i="10" s="1"/>
  <c r="CJ884" i="10" s="1"/>
  <c r="AJ884" i="10"/>
  <c r="BE884" i="10" s="1"/>
  <c r="BT884" i="10" s="1"/>
  <c r="AT883" i="10"/>
  <c r="AX883" i="10" s="1"/>
  <c r="CJ883" i="10" s="1"/>
  <c r="AJ883" i="10"/>
  <c r="BE883" i="10" s="1"/>
  <c r="BT883" i="10" s="1"/>
  <c r="AT882" i="10"/>
  <c r="AX882" i="10" s="1"/>
  <c r="CJ882" i="10" s="1"/>
  <c r="AJ882" i="10"/>
  <c r="BE882" i="10" s="1"/>
  <c r="BT882" i="10" s="1"/>
  <c r="AT881" i="10"/>
  <c r="AJ881" i="10"/>
  <c r="BE881" i="10" s="1"/>
  <c r="BT881" i="10" s="1"/>
  <c r="AT880" i="10"/>
  <c r="AX880" i="10" s="1"/>
  <c r="CJ880" i="10" s="1"/>
  <c r="AJ880" i="10"/>
  <c r="BE880" i="10" s="1"/>
  <c r="BT880" i="10" s="1"/>
  <c r="AT879" i="10"/>
  <c r="AX879" i="10" s="1"/>
  <c r="CJ879" i="10" s="1"/>
  <c r="AJ879" i="10"/>
  <c r="BE879" i="10" s="1"/>
  <c r="BT879" i="10" s="1"/>
  <c r="AT878" i="10"/>
  <c r="AX878" i="10" s="1"/>
  <c r="CJ878" i="10" s="1"/>
  <c r="AJ878" i="10"/>
  <c r="AT877" i="10"/>
  <c r="AX877" i="10" s="1"/>
  <c r="CJ877" i="10" s="1"/>
  <c r="AJ877" i="10"/>
  <c r="BE877" i="10" s="1"/>
  <c r="BT877" i="10" s="1"/>
  <c r="AT876" i="10"/>
  <c r="AX876" i="10" s="1"/>
  <c r="CJ876" i="10" s="1"/>
  <c r="AJ876" i="10"/>
  <c r="BE876" i="10" s="1"/>
  <c r="BT876" i="10" s="1"/>
  <c r="AT875" i="10"/>
  <c r="AX875" i="10" s="1"/>
  <c r="CJ875" i="10" s="1"/>
  <c r="AJ875" i="10"/>
  <c r="BE875" i="10" s="1"/>
  <c r="BT875" i="10" s="1"/>
  <c r="AT874" i="10"/>
  <c r="AX874" i="10" s="1"/>
  <c r="CJ874" i="10" s="1"/>
  <c r="AJ874" i="10"/>
  <c r="BE874" i="10" s="1"/>
  <c r="BT874" i="10" s="1"/>
  <c r="AT873" i="10"/>
  <c r="AX873" i="10" s="1"/>
  <c r="CJ873" i="10" s="1"/>
  <c r="AJ873" i="10"/>
  <c r="BE873" i="10" s="1"/>
  <c r="BT873" i="10" s="1"/>
  <c r="AT872" i="10"/>
  <c r="AX872" i="10" s="1"/>
  <c r="CJ872" i="10" s="1"/>
  <c r="AJ872" i="10"/>
  <c r="AT871" i="10"/>
  <c r="AX871" i="10" s="1"/>
  <c r="CJ871" i="10" s="1"/>
  <c r="AJ871" i="10"/>
  <c r="BE871" i="10" s="1"/>
  <c r="BT871" i="10" s="1"/>
  <c r="AT870" i="10"/>
  <c r="AJ870" i="10"/>
  <c r="BE870" i="10" s="1"/>
  <c r="BT870" i="10" s="1"/>
  <c r="AT869" i="10"/>
  <c r="AX869" i="10" s="1"/>
  <c r="CJ869" i="10" s="1"/>
  <c r="AJ869" i="10"/>
  <c r="AT868" i="10"/>
  <c r="AX868" i="10" s="1"/>
  <c r="CJ868" i="10" s="1"/>
  <c r="AJ868" i="10"/>
  <c r="BE868" i="10" s="1"/>
  <c r="BT868" i="10" s="1"/>
  <c r="AT867" i="10"/>
  <c r="AX867" i="10" s="1"/>
  <c r="CJ867" i="10" s="1"/>
  <c r="AJ867" i="10"/>
  <c r="BE867" i="10" s="1"/>
  <c r="BT867" i="10" s="1"/>
  <c r="AT866" i="10"/>
  <c r="AX866" i="10" s="1"/>
  <c r="CJ866" i="10" s="1"/>
  <c r="AJ866" i="10"/>
  <c r="BE866" i="10" s="1"/>
  <c r="BT866" i="10" s="1"/>
  <c r="AT865" i="10"/>
  <c r="AX865" i="10" s="1"/>
  <c r="CJ865" i="10" s="1"/>
  <c r="AJ865" i="10"/>
  <c r="BE865" i="10" s="1"/>
  <c r="BT865" i="10" s="1"/>
  <c r="AT864" i="10"/>
  <c r="AX864" i="10" s="1"/>
  <c r="CJ864" i="10" s="1"/>
  <c r="AJ864" i="10"/>
  <c r="BE864" i="10" s="1"/>
  <c r="BT864" i="10" s="1"/>
  <c r="AT863" i="10"/>
  <c r="AX863" i="10" s="1"/>
  <c r="CJ863" i="10" s="1"/>
  <c r="AJ863" i="10"/>
  <c r="BE863" i="10" s="1"/>
  <c r="BT863" i="10" s="1"/>
  <c r="AT862" i="10"/>
  <c r="AX862" i="10" s="1"/>
  <c r="CJ862" i="10" s="1"/>
  <c r="AJ862" i="10"/>
  <c r="BE862" i="10" s="1"/>
  <c r="BT862" i="10" s="1"/>
  <c r="AT861" i="10"/>
  <c r="AX861" i="10" s="1"/>
  <c r="CJ861" i="10" s="1"/>
  <c r="AJ861" i="10"/>
  <c r="BE861" i="10" s="1"/>
  <c r="BT861" i="10" s="1"/>
  <c r="AT860" i="10"/>
  <c r="AX860" i="10" s="1"/>
  <c r="CJ860" i="10" s="1"/>
  <c r="AJ860" i="10"/>
  <c r="AT859" i="10"/>
  <c r="AX859" i="10" s="1"/>
  <c r="CJ859" i="10" s="1"/>
  <c r="AJ859" i="10"/>
  <c r="BE859" i="10" s="1"/>
  <c r="BT859" i="10" s="1"/>
  <c r="AT858" i="10"/>
  <c r="AJ858" i="10"/>
  <c r="BE858" i="10" s="1"/>
  <c r="BT858" i="10" s="1"/>
  <c r="AT857" i="10"/>
  <c r="AX857" i="10" s="1"/>
  <c r="CJ857" i="10" s="1"/>
  <c r="AJ857" i="10"/>
  <c r="BE857" i="10" s="1"/>
  <c r="BT857" i="10" s="1"/>
  <c r="AT856" i="10"/>
  <c r="AX856" i="10" s="1"/>
  <c r="CJ856" i="10" s="1"/>
  <c r="AJ856" i="10"/>
  <c r="BE856" i="10" s="1"/>
  <c r="BT856" i="10" s="1"/>
  <c r="AT855" i="10"/>
  <c r="AX855" i="10" s="1"/>
  <c r="CJ855" i="10" s="1"/>
  <c r="AJ855" i="10"/>
  <c r="BE855" i="10" s="1"/>
  <c r="BT855" i="10" s="1"/>
  <c r="AT854" i="10"/>
  <c r="AX854" i="10" s="1"/>
  <c r="CJ854" i="10" s="1"/>
  <c r="AJ854" i="10"/>
  <c r="AT853" i="10"/>
  <c r="AX853" i="10" s="1"/>
  <c r="CJ853" i="10" s="1"/>
  <c r="AJ853" i="10"/>
  <c r="BE853" i="10" s="1"/>
  <c r="BT853" i="10" s="1"/>
  <c r="AT852" i="10"/>
  <c r="AJ852" i="10"/>
  <c r="BE852" i="10" s="1"/>
  <c r="BT852" i="10" s="1"/>
  <c r="AT851" i="10"/>
  <c r="AX851" i="10" s="1"/>
  <c r="CJ851" i="10" s="1"/>
  <c r="AJ851" i="10"/>
  <c r="BE851" i="10" s="1"/>
  <c r="BT851" i="10" s="1"/>
  <c r="AT850" i="10"/>
  <c r="AX850" i="10" s="1"/>
  <c r="CJ850" i="10" s="1"/>
  <c r="AJ850" i="10"/>
  <c r="BE850" i="10" s="1"/>
  <c r="BT850" i="10" s="1"/>
  <c r="AT849" i="10"/>
  <c r="AX849" i="10" s="1"/>
  <c r="CJ849" i="10" s="1"/>
  <c r="AJ849" i="10"/>
  <c r="BE849" i="10" s="1"/>
  <c r="BT849" i="10" s="1"/>
  <c r="AT848" i="10"/>
  <c r="AX848" i="10" s="1"/>
  <c r="CJ848" i="10" s="1"/>
  <c r="AJ848" i="10"/>
  <c r="AT847" i="10"/>
  <c r="AX847" i="10" s="1"/>
  <c r="CJ847" i="10" s="1"/>
  <c r="AJ847" i="10"/>
  <c r="BE847" i="10" s="1"/>
  <c r="BT847" i="10" s="1"/>
  <c r="AT846" i="10"/>
  <c r="AJ846" i="10"/>
  <c r="BE846" i="10" s="1"/>
  <c r="BT846" i="10" s="1"/>
  <c r="AT845" i="10"/>
  <c r="AX845" i="10" s="1"/>
  <c r="CJ845" i="10" s="1"/>
  <c r="AJ845" i="10"/>
  <c r="BE845" i="10" s="1"/>
  <c r="BT845" i="10" s="1"/>
  <c r="AT844" i="10"/>
  <c r="AX844" i="10" s="1"/>
  <c r="CJ844" i="10" s="1"/>
  <c r="AJ844" i="10"/>
  <c r="BE844" i="10" s="1"/>
  <c r="BT844" i="10" s="1"/>
  <c r="AT843" i="10"/>
  <c r="AX843" i="10" s="1"/>
  <c r="CJ843" i="10" s="1"/>
  <c r="AJ843" i="10"/>
  <c r="BE843" i="10" s="1"/>
  <c r="BT843" i="10" s="1"/>
  <c r="AT842" i="10"/>
  <c r="AX842" i="10" s="1"/>
  <c r="CJ842" i="10" s="1"/>
  <c r="AJ842" i="10"/>
  <c r="AT841" i="10"/>
  <c r="AX841" i="10" s="1"/>
  <c r="CJ841" i="10" s="1"/>
  <c r="AJ841" i="10"/>
  <c r="BE841" i="10" s="1"/>
  <c r="BT841" i="10" s="1"/>
  <c r="AT840" i="10"/>
  <c r="AJ840" i="10"/>
  <c r="BE840" i="10" s="1"/>
  <c r="BT840" i="10" s="1"/>
  <c r="AT839" i="10"/>
  <c r="AJ839" i="10"/>
  <c r="BE839" i="10" s="1"/>
  <c r="BT839" i="10" s="1"/>
  <c r="AT838" i="10"/>
  <c r="AX838" i="10" s="1"/>
  <c r="CJ838" i="10" s="1"/>
  <c r="AJ838" i="10"/>
  <c r="BE838" i="10" s="1"/>
  <c r="BT838" i="10" s="1"/>
  <c r="AT837" i="10"/>
  <c r="AX837" i="10" s="1"/>
  <c r="CJ837" i="10" s="1"/>
  <c r="AJ837" i="10"/>
  <c r="BE837" i="10" s="1"/>
  <c r="BT837" i="10" s="1"/>
  <c r="AT836" i="10"/>
  <c r="AX836" i="10" s="1"/>
  <c r="CJ836" i="10" s="1"/>
  <c r="AJ836" i="10"/>
  <c r="AT835" i="10"/>
  <c r="AX835" i="10" s="1"/>
  <c r="CJ835" i="10" s="1"/>
  <c r="AJ835" i="10"/>
  <c r="BE835" i="10" s="1"/>
  <c r="BT835" i="10" s="1"/>
  <c r="AT834" i="10"/>
  <c r="AX834" i="10" s="1"/>
  <c r="CJ834" i="10" s="1"/>
  <c r="AJ834" i="10"/>
  <c r="BE834" i="10" s="1"/>
  <c r="BT834" i="10" s="1"/>
  <c r="AT833" i="10"/>
  <c r="AJ833" i="10"/>
  <c r="BE833" i="10" s="1"/>
  <c r="BT833" i="10" s="1"/>
  <c r="AT832" i="10"/>
  <c r="AX832" i="10" s="1"/>
  <c r="CJ832" i="10" s="1"/>
  <c r="AJ832" i="10"/>
  <c r="BE832" i="10" s="1"/>
  <c r="BT832" i="10" s="1"/>
  <c r="AT831" i="10"/>
  <c r="AX831" i="10" s="1"/>
  <c r="CJ831" i="10" s="1"/>
  <c r="AJ831" i="10"/>
  <c r="BE831" i="10" s="1"/>
  <c r="BT831" i="10" s="1"/>
  <c r="AT830" i="10"/>
  <c r="AX830" i="10" s="1"/>
  <c r="CJ830" i="10" s="1"/>
  <c r="AJ830" i="10"/>
  <c r="BE830" i="10" s="1"/>
  <c r="BT830" i="10" s="1"/>
  <c r="AT829" i="10"/>
  <c r="AX829" i="10" s="1"/>
  <c r="CJ829" i="10" s="1"/>
  <c r="AJ829" i="10"/>
  <c r="BE829" i="10" s="1"/>
  <c r="BT829" i="10" s="1"/>
  <c r="AT828" i="10"/>
  <c r="AX828" i="10" s="1"/>
  <c r="CJ828" i="10" s="1"/>
  <c r="AJ828" i="10"/>
  <c r="BE828" i="10" s="1"/>
  <c r="BT828" i="10" s="1"/>
  <c r="AT827" i="10"/>
  <c r="AJ827" i="10"/>
  <c r="AT826" i="10"/>
  <c r="AX826" i="10" s="1"/>
  <c r="CJ826" i="10" s="1"/>
  <c r="AJ826" i="10"/>
  <c r="BE826" i="10" s="1"/>
  <c r="BT826" i="10" s="1"/>
  <c r="AT825" i="10"/>
  <c r="AX825" i="10" s="1"/>
  <c r="CJ825" i="10" s="1"/>
  <c r="AJ825" i="10"/>
  <c r="BE825" i="10" s="1"/>
  <c r="BT825" i="10" s="1"/>
  <c r="AT824" i="10"/>
  <c r="AX824" i="10" s="1"/>
  <c r="CJ824" i="10" s="1"/>
  <c r="AJ824" i="10"/>
  <c r="AT823" i="10"/>
  <c r="AX823" i="10" s="1"/>
  <c r="CJ823" i="10" s="1"/>
  <c r="AJ823" i="10"/>
  <c r="BE823" i="10" s="1"/>
  <c r="BT823" i="10" s="1"/>
  <c r="AT822" i="10"/>
  <c r="AX822" i="10" s="1"/>
  <c r="CJ822" i="10" s="1"/>
  <c r="AJ822" i="10"/>
  <c r="BE822" i="10" s="1"/>
  <c r="BT822" i="10" s="1"/>
  <c r="AT821" i="10"/>
  <c r="AJ821" i="10"/>
  <c r="AT820" i="10"/>
  <c r="AX820" i="10" s="1"/>
  <c r="CJ820" i="10" s="1"/>
  <c r="AJ820" i="10"/>
  <c r="BE820" i="10" s="1"/>
  <c r="BT820" i="10" s="1"/>
  <c r="AT819" i="10"/>
  <c r="AX819" i="10" s="1"/>
  <c r="CJ819" i="10" s="1"/>
  <c r="AJ819" i="10"/>
  <c r="BE819" i="10" s="1"/>
  <c r="BT819" i="10" s="1"/>
  <c r="AT818" i="10"/>
  <c r="AX818" i="10" s="1"/>
  <c r="CJ818" i="10" s="1"/>
  <c r="AJ818" i="10"/>
  <c r="AT817" i="10"/>
  <c r="AX817" i="10" s="1"/>
  <c r="CJ817" i="10" s="1"/>
  <c r="AJ817" i="10"/>
  <c r="BE817" i="10" s="1"/>
  <c r="BT817" i="10" s="1"/>
  <c r="AT816" i="10"/>
  <c r="AJ816" i="10"/>
  <c r="BE816" i="10" s="1"/>
  <c r="BT816" i="10" s="1"/>
  <c r="AT815" i="10"/>
  <c r="AJ815" i="10"/>
  <c r="AT814" i="10"/>
  <c r="AX814" i="10" s="1"/>
  <c r="CJ814" i="10" s="1"/>
  <c r="AJ814" i="10"/>
  <c r="BE814" i="10" s="1"/>
  <c r="BT814" i="10" s="1"/>
  <c r="AT813" i="10"/>
  <c r="AX813" i="10" s="1"/>
  <c r="CJ813" i="10" s="1"/>
  <c r="AJ813" i="10"/>
  <c r="BE813" i="10" s="1"/>
  <c r="BT813" i="10" s="1"/>
  <c r="AT812" i="10"/>
  <c r="AX812" i="10" s="1"/>
  <c r="CJ812" i="10" s="1"/>
  <c r="AJ812" i="10"/>
  <c r="AT811" i="10"/>
  <c r="AX811" i="10" s="1"/>
  <c r="CJ811" i="10" s="1"/>
  <c r="AJ811" i="10"/>
  <c r="BE811" i="10" s="1"/>
  <c r="BT811" i="10" s="1"/>
  <c r="AT810" i="10"/>
  <c r="AJ810" i="10"/>
  <c r="BE810" i="10" s="1"/>
  <c r="BT810" i="10" s="1"/>
  <c r="AT809" i="10"/>
  <c r="AJ809" i="10"/>
  <c r="AT808" i="10"/>
  <c r="AX808" i="10" s="1"/>
  <c r="CJ808" i="10" s="1"/>
  <c r="AJ808" i="10"/>
  <c r="BE808" i="10" s="1"/>
  <c r="BT808" i="10" s="1"/>
  <c r="AT807" i="10"/>
  <c r="AX807" i="10" s="1"/>
  <c r="CJ807" i="10" s="1"/>
  <c r="AJ807" i="10"/>
  <c r="BE807" i="10" s="1"/>
  <c r="BT807" i="10" s="1"/>
  <c r="AT806" i="10"/>
  <c r="AX806" i="10" s="1"/>
  <c r="CJ806" i="10" s="1"/>
  <c r="AJ806" i="10"/>
  <c r="AT805" i="10"/>
  <c r="AX805" i="10" s="1"/>
  <c r="CJ805" i="10" s="1"/>
  <c r="AJ805" i="10"/>
  <c r="BE805" i="10" s="1"/>
  <c r="BT805" i="10" s="1"/>
  <c r="AT804" i="10"/>
  <c r="AJ804" i="10"/>
  <c r="BE804" i="10" s="1"/>
  <c r="BT804" i="10" s="1"/>
  <c r="AT803" i="10"/>
  <c r="AJ803" i="10"/>
  <c r="AT802" i="10"/>
  <c r="AX802" i="10" s="1"/>
  <c r="CJ802" i="10" s="1"/>
  <c r="AJ802" i="10"/>
  <c r="BE802" i="10" s="1"/>
  <c r="BT802" i="10" s="1"/>
  <c r="AT801" i="10"/>
  <c r="AX801" i="10" s="1"/>
  <c r="CJ801" i="10" s="1"/>
  <c r="AJ801" i="10"/>
  <c r="BE801" i="10" s="1"/>
  <c r="BT801" i="10" s="1"/>
  <c r="AT800" i="10"/>
  <c r="AX800" i="10" s="1"/>
  <c r="CJ800" i="10" s="1"/>
  <c r="AJ800" i="10"/>
  <c r="AT799" i="10"/>
  <c r="AX799" i="10" s="1"/>
  <c r="CJ799" i="10" s="1"/>
  <c r="AJ799" i="10"/>
  <c r="BE799" i="10" s="1"/>
  <c r="BT799" i="10" s="1"/>
  <c r="AT798" i="10"/>
  <c r="AJ798" i="10"/>
  <c r="BE798" i="10" s="1"/>
  <c r="BT798" i="10" s="1"/>
  <c r="AT797" i="10"/>
  <c r="AX797" i="10" s="1"/>
  <c r="CJ797" i="10" s="1"/>
  <c r="AJ797" i="10"/>
  <c r="AT796" i="10"/>
  <c r="AX796" i="10" s="1"/>
  <c r="CJ796" i="10" s="1"/>
  <c r="AJ796" i="10"/>
  <c r="BE796" i="10" s="1"/>
  <c r="BT796" i="10" s="1"/>
  <c r="AT795" i="10"/>
  <c r="AX795" i="10" s="1"/>
  <c r="CJ795" i="10" s="1"/>
  <c r="AJ795" i="10"/>
  <c r="BE795" i="10" s="1"/>
  <c r="BT795" i="10" s="1"/>
  <c r="AT794" i="10"/>
  <c r="AX794" i="10" s="1"/>
  <c r="CJ794" i="10" s="1"/>
  <c r="AJ794" i="10"/>
  <c r="AT793" i="10"/>
  <c r="AX793" i="10" s="1"/>
  <c r="CJ793" i="10" s="1"/>
  <c r="AJ793" i="10"/>
  <c r="BE793" i="10" s="1"/>
  <c r="BT793" i="10" s="1"/>
  <c r="AT792" i="10"/>
  <c r="AJ792" i="10"/>
  <c r="BE792" i="10" s="1"/>
  <c r="BT792" i="10" s="1"/>
  <c r="AT791" i="10"/>
  <c r="AJ791" i="10"/>
  <c r="AT790" i="10"/>
  <c r="AX790" i="10" s="1"/>
  <c r="CJ790" i="10" s="1"/>
  <c r="AJ790" i="10"/>
  <c r="BE790" i="10" s="1"/>
  <c r="BT790" i="10" s="1"/>
  <c r="AT789" i="10"/>
  <c r="AX789" i="10" s="1"/>
  <c r="CJ789" i="10" s="1"/>
  <c r="AJ789" i="10"/>
  <c r="BE789" i="10" s="1"/>
  <c r="BT789" i="10" s="1"/>
  <c r="AT788" i="10"/>
  <c r="AX788" i="10" s="1"/>
  <c r="CJ788" i="10" s="1"/>
  <c r="AJ788" i="10"/>
  <c r="AT787" i="10"/>
  <c r="AX787" i="10" s="1"/>
  <c r="CJ787" i="10" s="1"/>
  <c r="AJ787" i="10"/>
  <c r="BE787" i="10" s="1"/>
  <c r="BT787" i="10" s="1"/>
  <c r="AT786" i="10"/>
  <c r="AJ786" i="10"/>
  <c r="BE786" i="10" s="1"/>
  <c r="BT786" i="10" s="1"/>
  <c r="AT785" i="10"/>
  <c r="AJ785" i="10"/>
  <c r="AT784" i="10"/>
  <c r="AX784" i="10" s="1"/>
  <c r="CJ784" i="10" s="1"/>
  <c r="AJ784" i="10"/>
  <c r="BE784" i="10" s="1"/>
  <c r="BT784" i="10" s="1"/>
  <c r="AT783" i="10"/>
  <c r="AX783" i="10" s="1"/>
  <c r="CJ783" i="10" s="1"/>
  <c r="AJ783" i="10"/>
  <c r="BE783" i="10" s="1"/>
  <c r="BT783" i="10" s="1"/>
  <c r="AT782" i="10"/>
  <c r="AX782" i="10" s="1"/>
  <c r="CJ782" i="10" s="1"/>
  <c r="AJ782" i="10"/>
  <c r="AT781" i="10"/>
  <c r="AX781" i="10" s="1"/>
  <c r="CJ781" i="10" s="1"/>
  <c r="AJ781" i="10"/>
  <c r="BE781" i="10" s="1"/>
  <c r="BT781" i="10" s="1"/>
  <c r="AT780" i="10"/>
  <c r="AJ780" i="10"/>
  <c r="BE780" i="10" s="1"/>
  <c r="BT780" i="10" s="1"/>
  <c r="AT779" i="10"/>
  <c r="AJ779" i="10"/>
  <c r="AT778" i="10"/>
  <c r="AX778" i="10" s="1"/>
  <c r="CJ778" i="10" s="1"/>
  <c r="AJ778" i="10"/>
  <c r="BE778" i="10" s="1"/>
  <c r="BT778" i="10" s="1"/>
  <c r="AT777" i="10"/>
  <c r="AX777" i="10" s="1"/>
  <c r="CJ777" i="10" s="1"/>
  <c r="AJ777" i="10"/>
  <c r="BE777" i="10" s="1"/>
  <c r="BT777" i="10" s="1"/>
  <c r="AT776" i="10"/>
  <c r="AX776" i="10" s="1"/>
  <c r="CJ776" i="10" s="1"/>
  <c r="AJ776" i="10"/>
  <c r="AT775" i="10"/>
  <c r="AX775" i="10" s="1"/>
  <c r="CJ775" i="10" s="1"/>
  <c r="AJ775" i="10"/>
  <c r="BE775" i="10" s="1"/>
  <c r="BT775" i="10" s="1"/>
  <c r="AT774" i="10"/>
  <c r="AJ774" i="10"/>
  <c r="BE774" i="10" s="1"/>
  <c r="BT774" i="10" s="1"/>
  <c r="AT773" i="10"/>
  <c r="AJ773" i="10"/>
  <c r="AT772" i="10"/>
  <c r="AX772" i="10" s="1"/>
  <c r="CJ772" i="10" s="1"/>
  <c r="AJ772" i="10"/>
  <c r="BE772" i="10" s="1"/>
  <c r="BT772" i="10" s="1"/>
  <c r="AT771" i="10"/>
  <c r="AX771" i="10" s="1"/>
  <c r="CJ771" i="10" s="1"/>
  <c r="AJ771" i="10"/>
  <c r="BE771" i="10" s="1"/>
  <c r="BT771" i="10" s="1"/>
  <c r="AT770" i="10"/>
  <c r="AX770" i="10" s="1"/>
  <c r="CJ770" i="10" s="1"/>
  <c r="AJ770" i="10"/>
  <c r="BA770" i="10" s="1"/>
  <c r="BC770" i="10" s="1"/>
  <c r="AT769" i="10"/>
  <c r="AX769" i="10" s="1"/>
  <c r="CJ769" i="10" s="1"/>
  <c r="AJ769" i="10"/>
  <c r="BE769" i="10" s="1"/>
  <c r="BT769" i="10" s="1"/>
  <c r="AT768" i="10"/>
  <c r="AJ768" i="10"/>
  <c r="BE768" i="10" s="1"/>
  <c r="BT768" i="10" s="1"/>
  <c r="AT767" i="10"/>
  <c r="AJ767" i="10"/>
  <c r="AT766" i="10"/>
  <c r="AX766" i="10" s="1"/>
  <c r="CJ766" i="10" s="1"/>
  <c r="AJ766" i="10"/>
  <c r="BE766" i="10" s="1"/>
  <c r="BT766" i="10" s="1"/>
  <c r="AT765" i="10"/>
  <c r="AX765" i="10" s="1"/>
  <c r="CJ765" i="10" s="1"/>
  <c r="AJ765" i="10"/>
  <c r="BE765" i="10" s="1"/>
  <c r="BT765" i="10" s="1"/>
  <c r="AT764" i="10"/>
  <c r="AX764" i="10" s="1"/>
  <c r="CJ764" i="10" s="1"/>
  <c r="AJ764" i="10"/>
  <c r="AT763" i="10"/>
  <c r="AX763" i="10" s="1"/>
  <c r="CJ763" i="10" s="1"/>
  <c r="AJ763" i="10"/>
  <c r="BE763" i="10" s="1"/>
  <c r="BT763" i="10" s="1"/>
  <c r="AT762" i="10"/>
  <c r="AJ762" i="10"/>
  <c r="BE762" i="10" s="1"/>
  <c r="BT762" i="10" s="1"/>
  <c r="AT761" i="10"/>
  <c r="AJ761" i="10"/>
  <c r="AT760" i="10"/>
  <c r="AX760" i="10" s="1"/>
  <c r="CJ760" i="10" s="1"/>
  <c r="AJ760" i="10"/>
  <c r="BE760" i="10" s="1"/>
  <c r="BT760" i="10" s="1"/>
  <c r="AT759" i="10"/>
  <c r="AX759" i="10" s="1"/>
  <c r="CJ759" i="10" s="1"/>
  <c r="AJ759" i="10"/>
  <c r="BE759" i="10" s="1"/>
  <c r="BT759" i="10" s="1"/>
  <c r="AT758" i="10"/>
  <c r="AX758" i="10" s="1"/>
  <c r="CJ758" i="10" s="1"/>
  <c r="AJ758" i="10"/>
  <c r="AT757" i="10"/>
  <c r="AX757" i="10" s="1"/>
  <c r="CJ757" i="10" s="1"/>
  <c r="AJ757" i="10"/>
  <c r="BE757" i="10" s="1"/>
  <c r="BT757" i="10" s="1"/>
  <c r="AT756" i="10"/>
  <c r="AJ756" i="10"/>
  <c r="BE756" i="10" s="1"/>
  <c r="BT756" i="10" s="1"/>
  <c r="AT755" i="10"/>
  <c r="AX755" i="10" s="1"/>
  <c r="CJ755" i="10" s="1"/>
  <c r="AJ755" i="10"/>
  <c r="AT754" i="10"/>
  <c r="AX754" i="10" s="1"/>
  <c r="CJ754" i="10" s="1"/>
  <c r="AJ754" i="10"/>
  <c r="BE754" i="10" s="1"/>
  <c r="BT754" i="10" s="1"/>
  <c r="AT753" i="10"/>
  <c r="AX753" i="10" s="1"/>
  <c r="CJ753" i="10" s="1"/>
  <c r="AJ753" i="10"/>
  <c r="BE753" i="10" s="1"/>
  <c r="BT753" i="10" s="1"/>
  <c r="AT752" i="10"/>
  <c r="AX752" i="10" s="1"/>
  <c r="CJ752" i="10" s="1"/>
  <c r="AJ752" i="10"/>
  <c r="AT751" i="10"/>
  <c r="AX751" i="10" s="1"/>
  <c r="CJ751" i="10" s="1"/>
  <c r="AJ751" i="10"/>
  <c r="AT750" i="10"/>
  <c r="AX750" i="10" s="1"/>
  <c r="CJ750" i="10" s="1"/>
  <c r="AJ750" i="10"/>
  <c r="BE750" i="10" s="1"/>
  <c r="BT750" i="10" s="1"/>
  <c r="AT749" i="10"/>
  <c r="AX749" i="10" s="1"/>
  <c r="CJ749" i="10" s="1"/>
  <c r="AJ749" i="10"/>
  <c r="BE749" i="10" s="1"/>
  <c r="BT749" i="10" s="1"/>
  <c r="AT748" i="10"/>
  <c r="AX748" i="10" s="1"/>
  <c r="CJ748" i="10" s="1"/>
  <c r="AJ748" i="10"/>
  <c r="BE748" i="10" s="1"/>
  <c r="BT748" i="10" s="1"/>
  <c r="AT747" i="10"/>
  <c r="AX747" i="10" s="1"/>
  <c r="CJ747" i="10" s="1"/>
  <c r="AJ747" i="10"/>
  <c r="AT746" i="10"/>
  <c r="AX746" i="10" s="1"/>
  <c r="CJ746" i="10" s="1"/>
  <c r="AJ746" i="10"/>
  <c r="BE746" i="10" s="1"/>
  <c r="BT746" i="10" s="1"/>
  <c r="AT745" i="10"/>
  <c r="AX745" i="10" s="1"/>
  <c r="CJ745" i="10" s="1"/>
  <c r="AJ745" i="10"/>
  <c r="BE745" i="10" s="1"/>
  <c r="BT745" i="10" s="1"/>
  <c r="AT744" i="10"/>
  <c r="AX744" i="10" s="1"/>
  <c r="CJ744" i="10" s="1"/>
  <c r="AJ744" i="10"/>
  <c r="AT743" i="10"/>
  <c r="AX743" i="10" s="1"/>
  <c r="CJ743" i="10" s="1"/>
  <c r="AJ743" i="10"/>
  <c r="BE743" i="10" s="1"/>
  <c r="BT743" i="10" s="1"/>
  <c r="AT742" i="10"/>
  <c r="AX742" i="10" s="1"/>
  <c r="CJ742" i="10" s="1"/>
  <c r="AJ742" i="10"/>
  <c r="AT741" i="10"/>
  <c r="AX741" i="10" s="1"/>
  <c r="CJ741" i="10" s="1"/>
  <c r="AJ741" i="10"/>
  <c r="BE741" i="10" s="1"/>
  <c r="BT741" i="10" s="1"/>
  <c r="AT740" i="10"/>
  <c r="AX740" i="10" s="1"/>
  <c r="CJ740" i="10" s="1"/>
  <c r="AJ740" i="10"/>
  <c r="BE740" i="10" s="1"/>
  <c r="BT740" i="10" s="1"/>
  <c r="AT739" i="10"/>
  <c r="AX739" i="10" s="1"/>
  <c r="CJ739" i="10" s="1"/>
  <c r="AJ739" i="10"/>
  <c r="BE739" i="10" s="1"/>
  <c r="BT739" i="10" s="1"/>
  <c r="AT738" i="10"/>
  <c r="AJ738" i="10"/>
  <c r="BE738" i="10" s="1"/>
  <c r="BT738" i="10" s="1"/>
  <c r="AT737" i="10"/>
  <c r="AX737" i="10" s="1"/>
  <c r="CJ737" i="10" s="1"/>
  <c r="AJ737" i="10"/>
  <c r="AT736" i="10"/>
  <c r="AX736" i="10" s="1"/>
  <c r="CJ736" i="10" s="1"/>
  <c r="AJ736" i="10"/>
  <c r="BE736" i="10" s="1"/>
  <c r="BT736" i="10" s="1"/>
  <c r="AT735" i="10"/>
  <c r="AX735" i="10" s="1"/>
  <c r="CJ735" i="10" s="1"/>
  <c r="AJ735" i="10"/>
  <c r="BE735" i="10" s="1"/>
  <c r="BT735" i="10" s="1"/>
  <c r="AT734" i="10"/>
  <c r="AX734" i="10" s="1"/>
  <c r="CJ734" i="10" s="1"/>
  <c r="AJ734" i="10"/>
  <c r="BE734" i="10" s="1"/>
  <c r="BT734" i="10" s="1"/>
  <c r="AT733" i="10"/>
  <c r="AX733" i="10" s="1"/>
  <c r="CJ733" i="10" s="1"/>
  <c r="AJ733" i="10"/>
  <c r="EC733" i="10" s="1"/>
  <c r="AT732" i="10"/>
  <c r="AX732" i="10" s="1"/>
  <c r="CJ732" i="10" s="1"/>
  <c r="AJ732" i="10"/>
  <c r="BE732" i="10" s="1"/>
  <c r="BT732" i="10" s="1"/>
  <c r="AT731" i="10"/>
  <c r="AX731" i="10" s="1"/>
  <c r="CJ731" i="10" s="1"/>
  <c r="AJ731" i="10"/>
  <c r="BE731" i="10" s="1"/>
  <c r="BT731" i="10" s="1"/>
  <c r="AT730" i="10"/>
  <c r="AX730" i="10" s="1"/>
  <c r="CJ730" i="10" s="1"/>
  <c r="AJ730" i="10"/>
  <c r="BE730" i="10" s="1"/>
  <c r="BT730" i="10" s="1"/>
  <c r="AT729" i="10"/>
  <c r="AX729" i="10" s="1"/>
  <c r="CJ729" i="10" s="1"/>
  <c r="AJ729" i="10"/>
  <c r="AT728" i="10"/>
  <c r="AX728" i="10" s="1"/>
  <c r="CJ728" i="10" s="1"/>
  <c r="AJ728" i="10"/>
  <c r="AT727" i="10"/>
  <c r="AX727" i="10" s="1"/>
  <c r="CJ727" i="10" s="1"/>
  <c r="AJ727" i="10"/>
  <c r="AT726" i="10"/>
  <c r="AX726" i="10" s="1"/>
  <c r="CJ726" i="10" s="1"/>
  <c r="AJ726" i="10"/>
  <c r="AT725" i="10"/>
  <c r="AX725" i="10" s="1"/>
  <c r="CJ725" i="10" s="1"/>
  <c r="AJ725" i="10"/>
  <c r="BE725" i="10" s="1"/>
  <c r="BT725" i="10" s="1"/>
  <c r="AT724" i="10"/>
  <c r="AX724" i="10" s="1"/>
  <c r="CJ724" i="10" s="1"/>
  <c r="AJ724" i="10"/>
  <c r="AT723" i="10"/>
  <c r="AX723" i="10" s="1"/>
  <c r="CJ723" i="10" s="1"/>
  <c r="AJ723" i="10"/>
  <c r="BE723" i="10" s="1"/>
  <c r="BT723" i="10" s="1"/>
  <c r="AT722" i="10"/>
  <c r="AX722" i="10" s="1"/>
  <c r="CJ722" i="10" s="1"/>
  <c r="AJ722" i="10"/>
  <c r="BE722" i="10" s="1"/>
  <c r="BT722" i="10" s="1"/>
  <c r="AT721" i="10"/>
  <c r="AX721" i="10" s="1"/>
  <c r="CJ721" i="10" s="1"/>
  <c r="AJ721" i="10"/>
  <c r="AT720" i="10"/>
  <c r="AX720" i="10" s="1"/>
  <c r="CJ720" i="10" s="1"/>
  <c r="AJ720" i="10"/>
  <c r="BE720" i="10" s="1"/>
  <c r="BT720" i="10" s="1"/>
  <c r="AT719" i="10"/>
  <c r="AX719" i="10" s="1"/>
  <c r="CJ719" i="10" s="1"/>
  <c r="AJ719" i="10"/>
  <c r="BE719" i="10" s="1"/>
  <c r="BT719" i="10" s="1"/>
  <c r="AT718" i="10"/>
  <c r="AX718" i="10" s="1"/>
  <c r="CJ718" i="10" s="1"/>
  <c r="AJ718" i="10"/>
  <c r="AT717" i="10"/>
  <c r="AX717" i="10" s="1"/>
  <c r="CJ717" i="10" s="1"/>
  <c r="AJ717" i="10"/>
  <c r="BE717" i="10" s="1"/>
  <c r="BT717" i="10" s="1"/>
  <c r="AT716" i="10"/>
  <c r="AX716" i="10" s="1"/>
  <c r="CJ716" i="10" s="1"/>
  <c r="AJ716" i="10"/>
  <c r="AT715" i="10"/>
  <c r="AJ715" i="10"/>
  <c r="AT714" i="10"/>
  <c r="AX714" i="10" s="1"/>
  <c r="CJ714" i="10" s="1"/>
  <c r="AJ714" i="10"/>
  <c r="BE714" i="10" s="1"/>
  <c r="BT714" i="10" s="1"/>
  <c r="AT713" i="10"/>
  <c r="AX713" i="10" s="1"/>
  <c r="CJ713" i="10" s="1"/>
  <c r="AJ713" i="10"/>
  <c r="BE713" i="10" s="1"/>
  <c r="BT713" i="10" s="1"/>
  <c r="AT712" i="10"/>
  <c r="AX712" i="10" s="1"/>
  <c r="CJ712" i="10" s="1"/>
  <c r="AJ712" i="10"/>
  <c r="AT711" i="10"/>
  <c r="AX711" i="10" s="1"/>
  <c r="CJ711" i="10" s="1"/>
  <c r="AJ711" i="10"/>
  <c r="BA711" i="10" s="1"/>
  <c r="BC711" i="10" s="1"/>
  <c r="AT710" i="10"/>
  <c r="AX710" i="10" s="1"/>
  <c r="CJ710" i="10" s="1"/>
  <c r="AJ710" i="10"/>
  <c r="BE710" i="10" s="1"/>
  <c r="BT710" i="10" s="1"/>
  <c r="AT709" i="10"/>
  <c r="AJ709" i="10"/>
  <c r="AT708" i="10"/>
  <c r="AX708" i="10" s="1"/>
  <c r="CJ708" i="10" s="1"/>
  <c r="AJ708" i="10"/>
  <c r="AT707" i="10"/>
  <c r="AX707" i="10" s="1"/>
  <c r="CJ707" i="10" s="1"/>
  <c r="AJ707" i="10"/>
  <c r="BE707" i="10" s="1"/>
  <c r="BT707" i="10" s="1"/>
  <c r="AT706" i="10"/>
  <c r="AX706" i="10" s="1"/>
  <c r="CJ706" i="10" s="1"/>
  <c r="AJ706" i="10"/>
  <c r="AT705" i="10"/>
  <c r="AJ705" i="10"/>
  <c r="AT704" i="10"/>
  <c r="AX704" i="10" s="1"/>
  <c r="CJ704" i="10" s="1"/>
  <c r="AJ704" i="10"/>
  <c r="BE704" i="10" s="1"/>
  <c r="BT704" i="10" s="1"/>
  <c r="AT703" i="10"/>
  <c r="AJ703" i="10"/>
  <c r="AT702" i="10"/>
  <c r="AX702" i="10" s="1"/>
  <c r="CJ702" i="10" s="1"/>
  <c r="AJ702" i="10"/>
  <c r="BE702" i="10" s="1"/>
  <c r="BT702" i="10" s="1"/>
  <c r="AT701" i="10"/>
  <c r="AX701" i="10" s="1"/>
  <c r="CJ701" i="10" s="1"/>
  <c r="AJ701" i="10"/>
  <c r="BE701" i="10" s="1"/>
  <c r="BT701" i="10" s="1"/>
  <c r="AT700" i="10"/>
  <c r="AX700" i="10" s="1"/>
  <c r="CJ700" i="10" s="1"/>
  <c r="AJ700" i="10"/>
  <c r="BE700" i="10" s="1"/>
  <c r="BT700" i="10" s="1"/>
  <c r="AT699" i="10"/>
  <c r="AX699" i="10" s="1"/>
  <c r="CJ699" i="10" s="1"/>
  <c r="AJ699" i="10"/>
  <c r="BE699" i="10" s="1"/>
  <c r="BT699" i="10" s="1"/>
  <c r="AT698" i="10"/>
  <c r="AX698" i="10" s="1"/>
  <c r="CJ698" i="10" s="1"/>
  <c r="AJ698" i="10"/>
  <c r="BE698" i="10" s="1"/>
  <c r="BT698" i="10" s="1"/>
  <c r="AT697" i="10"/>
  <c r="AJ697" i="10"/>
  <c r="AT696" i="10"/>
  <c r="AX696" i="10" s="1"/>
  <c r="CJ696" i="10" s="1"/>
  <c r="AJ696" i="10"/>
  <c r="BE696" i="10" s="1"/>
  <c r="BT696" i="10" s="1"/>
  <c r="AT695" i="10"/>
  <c r="AX695" i="10" s="1"/>
  <c r="CJ695" i="10" s="1"/>
  <c r="AJ695" i="10"/>
  <c r="AT694" i="10"/>
  <c r="AX694" i="10" s="1"/>
  <c r="CJ694" i="10" s="1"/>
  <c r="AJ694" i="10"/>
  <c r="AT693" i="10"/>
  <c r="AX693" i="10" s="1"/>
  <c r="CJ693" i="10" s="1"/>
  <c r="AJ693" i="10"/>
  <c r="BE693" i="10" s="1"/>
  <c r="BT693" i="10" s="1"/>
  <c r="AT692" i="10"/>
  <c r="AX692" i="10" s="1"/>
  <c r="CJ692" i="10" s="1"/>
  <c r="AJ692" i="10"/>
  <c r="AT691" i="10"/>
  <c r="AX691" i="10" s="1"/>
  <c r="CJ691" i="10" s="1"/>
  <c r="AJ691" i="10"/>
  <c r="BE691" i="10" s="1"/>
  <c r="BT691" i="10" s="1"/>
  <c r="AT690" i="10"/>
  <c r="AX690" i="10" s="1"/>
  <c r="CJ690" i="10" s="1"/>
  <c r="AJ690" i="10"/>
  <c r="BE690" i="10" s="1"/>
  <c r="BT690" i="10" s="1"/>
  <c r="AT689" i="10"/>
  <c r="AX689" i="10" s="1"/>
  <c r="CJ689" i="10" s="1"/>
  <c r="AJ689" i="10"/>
  <c r="AT688" i="10"/>
  <c r="AX688" i="10" s="1"/>
  <c r="CJ688" i="10" s="1"/>
  <c r="AJ688" i="10"/>
  <c r="BE688" i="10" s="1"/>
  <c r="BT688" i="10" s="1"/>
  <c r="AT687" i="10"/>
  <c r="AX687" i="10" s="1"/>
  <c r="CJ687" i="10" s="1"/>
  <c r="AJ687" i="10"/>
  <c r="BE687" i="10" s="1"/>
  <c r="BT687" i="10" s="1"/>
  <c r="AT686" i="10"/>
  <c r="AX686" i="10" s="1"/>
  <c r="CJ686" i="10" s="1"/>
  <c r="AJ686" i="10"/>
  <c r="AT685" i="10"/>
  <c r="AX685" i="10" s="1"/>
  <c r="CJ685" i="10" s="1"/>
  <c r="AJ685" i="10"/>
  <c r="BE685" i="10" s="1"/>
  <c r="BT685" i="10" s="1"/>
  <c r="AT684" i="10"/>
  <c r="AX684" i="10" s="1"/>
  <c r="CJ684" i="10" s="1"/>
  <c r="AJ684" i="10"/>
  <c r="AT683" i="10"/>
  <c r="AX683" i="10" s="1"/>
  <c r="CJ683" i="10" s="1"/>
  <c r="AJ683" i="10"/>
  <c r="BE683" i="10" s="1"/>
  <c r="BT683" i="10" s="1"/>
  <c r="AT682" i="10"/>
  <c r="AJ682" i="10"/>
  <c r="BE682" i="10" s="1"/>
  <c r="BT682" i="10" s="1"/>
  <c r="AT681" i="10"/>
  <c r="AX681" i="10" s="1"/>
  <c r="CJ681" i="10" s="1"/>
  <c r="AJ681" i="10"/>
  <c r="BE681" i="10" s="1"/>
  <c r="BT681" i="10" s="1"/>
  <c r="AT680" i="10"/>
  <c r="AJ680" i="10"/>
  <c r="BE680" i="10" s="1"/>
  <c r="BT680" i="10" s="1"/>
  <c r="AT679" i="10"/>
  <c r="AX679" i="10" s="1"/>
  <c r="CJ679" i="10" s="1"/>
  <c r="AJ679" i="10"/>
  <c r="BE679" i="10" s="1"/>
  <c r="BT679" i="10" s="1"/>
  <c r="AT678" i="10"/>
  <c r="AX678" i="10" s="1"/>
  <c r="CJ678" i="10" s="1"/>
  <c r="AJ678" i="10"/>
  <c r="AT677" i="10"/>
  <c r="AX677" i="10" s="1"/>
  <c r="CJ677" i="10" s="1"/>
  <c r="AJ677" i="10"/>
  <c r="BE677" i="10" s="1"/>
  <c r="BT677" i="10" s="1"/>
  <c r="AT676" i="10"/>
  <c r="AX676" i="10" s="1"/>
  <c r="CJ676" i="10" s="1"/>
  <c r="AJ676" i="10"/>
  <c r="BE676" i="10" s="1"/>
  <c r="BT676" i="10" s="1"/>
  <c r="AT675" i="10"/>
  <c r="AX675" i="10" s="1"/>
  <c r="CJ675" i="10" s="1"/>
  <c r="AJ675" i="10"/>
  <c r="AT674" i="10"/>
  <c r="AX674" i="10" s="1"/>
  <c r="CJ674" i="10" s="1"/>
  <c r="AJ674" i="10"/>
  <c r="AT673" i="10"/>
  <c r="AX673" i="10" s="1"/>
  <c r="CJ673" i="10" s="1"/>
  <c r="AJ673" i="10"/>
  <c r="AT672" i="10"/>
  <c r="AX672" i="10" s="1"/>
  <c r="CJ672" i="10" s="1"/>
  <c r="AJ672" i="10"/>
  <c r="BE672" i="10" s="1"/>
  <c r="BT672" i="10" s="1"/>
  <c r="AT671" i="10"/>
  <c r="AX671" i="10" s="1"/>
  <c r="CJ671" i="10" s="1"/>
  <c r="AJ671" i="10"/>
  <c r="BE671" i="10" s="1"/>
  <c r="BT671" i="10" s="1"/>
  <c r="AT670" i="10"/>
  <c r="AX670" i="10" s="1"/>
  <c r="CJ670" i="10" s="1"/>
  <c r="AJ670" i="10"/>
  <c r="BE670" i="10" s="1"/>
  <c r="BT670" i="10" s="1"/>
  <c r="AT669" i="10"/>
  <c r="AX669" i="10" s="1"/>
  <c r="CJ669" i="10" s="1"/>
  <c r="AJ669" i="10"/>
  <c r="AT668" i="10"/>
  <c r="AX668" i="10" s="1"/>
  <c r="CJ668" i="10" s="1"/>
  <c r="AJ668" i="10"/>
  <c r="BE668" i="10" s="1"/>
  <c r="BT668" i="10" s="1"/>
  <c r="AT667" i="10"/>
  <c r="AJ667" i="10"/>
  <c r="AT666" i="10"/>
  <c r="AX666" i="10" s="1"/>
  <c r="CJ666" i="10" s="1"/>
  <c r="AJ666" i="10"/>
  <c r="BE666" i="10" s="1"/>
  <c r="BT666" i="10" s="1"/>
  <c r="AT665" i="10"/>
  <c r="AX665" i="10" s="1"/>
  <c r="CJ665" i="10" s="1"/>
  <c r="AJ665" i="10"/>
  <c r="BE665" i="10" s="1"/>
  <c r="BT665" i="10" s="1"/>
  <c r="AT664" i="10"/>
  <c r="AX664" i="10" s="1"/>
  <c r="CJ664" i="10" s="1"/>
  <c r="AJ664" i="10"/>
  <c r="BE664" i="10" s="1"/>
  <c r="BT664" i="10" s="1"/>
  <c r="AT663" i="10"/>
  <c r="AX663" i="10" s="1"/>
  <c r="CJ663" i="10" s="1"/>
  <c r="AJ663" i="10"/>
  <c r="BE663" i="10" s="1"/>
  <c r="BT663" i="10" s="1"/>
  <c r="AT662" i="10"/>
  <c r="AX662" i="10" s="1"/>
  <c r="CJ662" i="10" s="1"/>
  <c r="AJ662" i="10"/>
  <c r="AT661" i="10"/>
  <c r="AJ661" i="10"/>
  <c r="BE661" i="10" s="1"/>
  <c r="BT661" i="10" s="1"/>
  <c r="AT660" i="10"/>
  <c r="AX660" i="10" s="1"/>
  <c r="CJ660" i="10" s="1"/>
  <c r="AJ660" i="10"/>
  <c r="BE660" i="10" s="1"/>
  <c r="BT660" i="10" s="1"/>
  <c r="AT659" i="10"/>
  <c r="AX659" i="10" s="1"/>
  <c r="CJ659" i="10" s="1"/>
  <c r="AJ659" i="10"/>
  <c r="BE659" i="10" s="1"/>
  <c r="BT659" i="10" s="1"/>
  <c r="AT658" i="10"/>
  <c r="AX658" i="10" s="1"/>
  <c r="CJ658" i="10" s="1"/>
  <c r="AJ658" i="10"/>
  <c r="BE658" i="10" s="1"/>
  <c r="BT658" i="10" s="1"/>
  <c r="AT657" i="10"/>
  <c r="AX657" i="10" s="1"/>
  <c r="CJ657" i="10" s="1"/>
  <c r="AJ657" i="10"/>
  <c r="AT656" i="10"/>
  <c r="AX656" i="10" s="1"/>
  <c r="CJ656" i="10" s="1"/>
  <c r="AJ656" i="10"/>
  <c r="AT655" i="10"/>
  <c r="AJ655" i="10"/>
  <c r="BE655" i="10" s="1"/>
  <c r="BT655" i="10" s="1"/>
  <c r="AT654" i="10"/>
  <c r="AX654" i="10" s="1"/>
  <c r="CJ654" i="10" s="1"/>
  <c r="AJ654" i="10"/>
  <c r="BE654" i="10" s="1"/>
  <c r="BT654" i="10" s="1"/>
  <c r="AT653" i="10"/>
  <c r="AX653" i="10" s="1"/>
  <c r="CJ653" i="10" s="1"/>
  <c r="AJ653" i="10"/>
  <c r="AT652" i="10"/>
  <c r="AX652" i="10" s="1"/>
  <c r="CJ652" i="10" s="1"/>
  <c r="AJ652" i="10"/>
  <c r="BE652" i="10" s="1"/>
  <c r="BT652" i="10" s="1"/>
  <c r="AT651" i="10"/>
  <c r="AX651" i="10" s="1"/>
  <c r="CJ651" i="10" s="1"/>
  <c r="AJ651" i="10"/>
  <c r="EC651" i="10" s="1"/>
  <c r="AT650" i="10"/>
  <c r="AX650" i="10" s="1"/>
  <c r="CJ650" i="10" s="1"/>
  <c r="AJ650" i="10"/>
  <c r="AT649" i="10"/>
  <c r="CG649" i="10" s="1"/>
  <c r="AJ649" i="10"/>
  <c r="BE649" i="10" s="1"/>
  <c r="BT649" i="10" s="1"/>
  <c r="AT648" i="10"/>
  <c r="AX648" i="10" s="1"/>
  <c r="CJ648" i="10" s="1"/>
  <c r="AJ648" i="10"/>
  <c r="BE648" i="10" s="1"/>
  <c r="BT648" i="10" s="1"/>
  <c r="AT647" i="10"/>
  <c r="AX647" i="10" s="1"/>
  <c r="CJ647" i="10" s="1"/>
  <c r="AJ647" i="10"/>
  <c r="BE647" i="10" s="1"/>
  <c r="BT647" i="10" s="1"/>
  <c r="AT646" i="10"/>
  <c r="AX646" i="10" s="1"/>
  <c r="CJ646" i="10" s="1"/>
  <c r="AJ646" i="10"/>
  <c r="AT645" i="10"/>
  <c r="AX645" i="10" s="1"/>
  <c r="CJ645" i="10" s="1"/>
  <c r="AJ645" i="10"/>
  <c r="BE645" i="10" s="1"/>
  <c r="BT645" i="10" s="1"/>
  <c r="AT644" i="10"/>
  <c r="AX644" i="10" s="1"/>
  <c r="CJ644" i="10" s="1"/>
  <c r="AJ644" i="10"/>
  <c r="BE644" i="10" s="1"/>
  <c r="BT644" i="10" s="1"/>
  <c r="AT643" i="10"/>
  <c r="AX643" i="10" s="1"/>
  <c r="AJ643" i="10"/>
  <c r="BE643" i="10" s="1"/>
  <c r="BT643" i="10" s="1"/>
  <c r="AT642" i="10"/>
  <c r="AX642" i="10" s="1"/>
  <c r="CJ642" i="10" s="1"/>
  <c r="AJ642" i="10"/>
  <c r="BE642" i="10" s="1"/>
  <c r="BT642" i="10" s="1"/>
  <c r="AT641" i="10"/>
  <c r="AX641" i="10" s="1"/>
  <c r="CJ641" i="10" s="1"/>
  <c r="AJ641" i="10"/>
  <c r="BE641" i="10" s="1"/>
  <c r="BT641" i="10" s="1"/>
  <c r="AT640" i="10"/>
  <c r="AX640" i="10" s="1"/>
  <c r="CJ640" i="10" s="1"/>
  <c r="AJ640" i="10"/>
  <c r="BE640" i="10" s="1"/>
  <c r="BT640" i="10" s="1"/>
  <c r="AT639" i="10"/>
  <c r="AX639" i="10" s="1"/>
  <c r="CJ639" i="10" s="1"/>
  <c r="AJ639" i="10"/>
  <c r="AT638" i="10"/>
  <c r="AX638" i="10" s="1"/>
  <c r="CJ638" i="10" s="1"/>
  <c r="AJ638" i="10"/>
  <c r="BE638" i="10" s="1"/>
  <c r="BT638" i="10" s="1"/>
  <c r="AT637" i="10"/>
  <c r="AJ637" i="10"/>
  <c r="BE637" i="10" s="1"/>
  <c r="BT637" i="10" s="1"/>
  <c r="AT636" i="10"/>
  <c r="AX636" i="10" s="1"/>
  <c r="CJ636" i="10" s="1"/>
  <c r="AJ636" i="10"/>
  <c r="BE636" i="10" s="1"/>
  <c r="BT636" i="10" s="1"/>
  <c r="AT635" i="10"/>
  <c r="AX635" i="10" s="1"/>
  <c r="CJ635" i="10" s="1"/>
  <c r="AJ635" i="10"/>
  <c r="AT634" i="10"/>
  <c r="AX634" i="10" s="1"/>
  <c r="CJ634" i="10" s="1"/>
  <c r="AJ634" i="10"/>
  <c r="AT633" i="10"/>
  <c r="AJ633" i="10"/>
  <c r="BE633" i="10" s="1"/>
  <c r="BT633" i="10" s="1"/>
  <c r="AT632" i="10"/>
  <c r="AX632" i="10" s="1"/>
  <c r="CJ632" i="10" s="1"/>
  <c r="AJ632" i="10"/>
  <c r="BE632" i="10" s="1"/>
  <c r="BT632" i="10" s="1"/>
  <c r="AT631" i="10"/>
  <c r="AJ631" i="10"/>
  <c r="BE631" i="10" s="1"/>
  <c r="BT631" i="10" s="1"/>
  <c r="AT630" i="10"/>
  <c r="AX630" i="10" s="1"/>
  <c r="CJ630" i="10" s="1"/>
  <c r="AJ630" i="10"/>
  <c r="AT629" i="10"/>
  <c r="AX629" i="10" s="1"/>
  <c r="CJ629" i="10" s="1"/>
  <c r="AJ629" i="10"/>
  <c r="BE629" i="10" s="1"/>
  <c r="BT629" i="10" s="1"/>
  <c r="AT628" i="10"/>
  <c r="AX628" i="10" s="1"/>
  <c r="CJ628" i="10" s="1"/>
  <c r="AJ628" i="10"/>
  <c r="AT627" i="10"/>
  <c r="AX627" i="10" s="1"/>
  <c r="CJ627" i="10" s="1"/>
  <c r="AJ627" i="10"/>
  <c r="BE627" i="10" s="1"/>
  <c r="BT627" i="10" s="1"/>
  <c r="AT626" i="10"/>
  <c r="AX626" i="10" s="1"/>
  <c r="CJ626" i="10" s="1"/>
  <c r="AJ626" i="10"/>
  <c r="BE626" i="10" s="1"/>
  <c r="BT626" i="10" s="1"/>
  <c r="AT625" i="10"/>
  <c r="AJ625" i="10"/>
  <c r="BA625" i="10" s="1"/>
  <c r="BC625" i="10" s="1"/>
  <c r="AT624" i="10"/>
  <c r="AX624" i="10" s="1"/>
  <c r="CJ624" i="10" s="1"/>
  <c r="AJ624" i="10"/>
  <c r="BE624" i="10" s="1"/>
  <c r="BT624" i="10" s="1"/>
  <c r="AT623" i="10"/>
  <c r="AX623" i="10" s="1"/>
  <c r="CJ623" i="10" s="1"/>
  <c r="AJ623" i="10"/>
  <c r="AT622" i="10"/>
  <c r="AX622" i="10" s="1"/>
  <c r="CJ622" i="10" s="1"/>
  <c r="AJ622" i="10"/>
  <c r="AT621" i="10"/>
  <c r="AX621" i="10" s="1"/>
  <c r="CJ621" i="10" s="1"/>
  <c r="AJ621" i="10"/>
  <c r="BE621" i="10" s="1"/>
  <c r="BT621" i="10" s="1"/>
  <c r="AT620" i="10"/>
  <c r="AX620" i="10" s="1"/>
  <c r="CJ620" i="10" s="1"/>
  <c r="AJ620" i="10"/>
  <c r="BE620" i="10" s="1"/>
  <c r="BT620" i="10" s="1"/>
  <c r="AT619" i="10"/>
  <c r="AJ619" i="10"/>
  <c r="AT618" i="10"/>
  <c r="AX618" i="10" s="1"/>
  <c r="CJ618" i="10" s="1"/>
  <c r="AJ618" i="10"/>
  <c r="AT617" i="10"/>
  <c r="AX617" i="10" s="1"/>
  <c r="CJ617" i="10" s="1"/>
  <c r="AJ617" i="10"/>
  <c r="BE617" i="10" s="1"/>
  <c r="BT617" i="10" s="1"/>
  <c r="AT616" i="10"/>
  <c r="AX616" i="10" s="1"/>
  <c r="CJ616" i="10" s="1"/>
  <c r="AJ616" i="10"/>
  <c r="AT615" i="10"/>
  <c r="AX615" i="10" s="1"/>
  <c r="CJ615" i="10" s="1"/>
  <c r="AJ615" i="10"/>
  <c r="AT614" i="10"/>
  <c r="AX614" i="10" s="1"/>
  <c r="CJ614" i="10" s="1"/>
  <c r="AJ614" i="10"/>
  <c r="AT613" i="10"/>
  <c r="AJ613" i="10"/>
  <c r="BE613" i="10" s="1"/>
  <c r="BT613" i="10" s="1"/>
  <c r="AT612" i="10"/>
  <c r="AX612" i="10" s="1"/>
  <c r="CJ612" i="10" s="1"/>
  <c r="AJ612" i="10"/>
  <c r="BE612" i="10" s="1"/>
  <c r="BT612" i="10" s="1"/>
  <c r="AT611" i="10"/>
  <c r="AX611" i="10" s="1"/>
  <c r="CJ611" i="10" s="1"/>
  <c r="AJ611" i="10"/>
  <c r="BE611" i="10" s="1"/>
  <c r="BT611" i="10" s="1"/>
  <c r="AT610" i="10"/>
  <c r="AJ610" i="10"/>
  <c r="BE610" i="10" s="1"/>
  <c r="BT610" i="10" s="1"/>
  <c r="AT609" i="10"/>
  <c r="AX609" i="10" s="1"/>
  <c r="CJ609" i="10" s="1"/>
  <c r="AJ609" i="10"/>
  <c r="AT608" i="10"/>
  <c r="AX608" i="10" s="1"/>
  <c r="CJ608" i="10" s="1"/>
  <c r="AJ608" i="10"/>
  <c r="BE608" i="10" s="1"/>
  <c r="BT608" i="10" s="1"/>
  <c r="AT607" i="10"/>
  <c r="AJ607" i="10"/>
  <c r="BE607" i="10" s="1"/>
  <c r="BT607" i="10" s="1"/>
  <c r="AT606" i="10"/>
  <c r="AX606" i="10" s="1"/>
  <c r="CJ606" i="10" s="1"/>
  <c r="AJ606" i="10"/>
  <c r="BE606" i="10" s="1"/>
  <c r="BT606" i="10" s="1"/>
  <c r="AT605" i="10"/>
  <c r="AX605" i="10" s="1"/>
  <c r="CJ605" i="10" s="1"/>
  <c r="AJ605" i="10"/>
  <c r="BE605" i="10" s="1"/>
  <c r="BT605" i="10" s="1"/>
  <c r="AT604" i="10"/>
  <c r="AX604" i="10" s="1"/>
  <c r="CJ604" i="10" s="1"/>
  <c r="AJ604" i="10"/>
  <c r="BE604" i="10" s="1"/>
  <c r="BT604" i="10" s="1"/>
  <c r="AT603" i="10"/>
  <c r="AX603" i="10" s="1"/>
  <c r="CJ603" i="10" s="1"/>
  <c r="AJ603" i="10"/>
  <c r="AT602" i="10"/>
  <c r="AX602" i="10" s="1"/>
  <c r="CJ602" i="10" s="1"/>
  <c r="AJ602" i="10"/>
  <c r="BE602" i="10" s="1"/>
  <c r="BT602" i="10" s="1"/>
  <c r="AT601" i="10"/>
  <c r="AJ601" i="10"/>
  <c r="BE601" i="10" s="1"/>
  <c r="BT601" i="10" s="1"/>
  <c r="AT600" i="10"/>
  <c r="AX600" i="10" s="1"/>
  <c r="CJ600" i="10" s="1"/>
  <c r="AJ600" i="10"/>
  <c r="BE600" i="10" s="1"/>
  <c r="BT600" i="10" s="1"/>
  <c r="AT599" i="10"/>
  <c r="AX599" i="10" s="1"/>
  <c r="CJ599" i="10" s="1"/>
  <c r="AJ599" i="10"/>
  <c r="AT598" i="10"/>
  <c r="AX598" i="10" s="1"/>
  <c r="CJ598" i="10" s="1"/>
  <c r="AJ598" i="10"/>
  <c r="AT597" i="10"/>
  <c r="AX597" i="10" s="1"/>
  <c r="CJ597" i="10" s="1"/>
  <c r="AJ597" i="10"/>
  <c r="BE597" i="10" s="1"/>
  <c r="BT597" i="10" s="1"/>
  <c r="AT596" i="10"/>
  <c r="AX596" i="10" s="1"/>
  <c r="CJ596" i="10" s="1"/>
  <c r="AJ596" i="10"/>
  <c r="AT595" i="10"/>
  <c r="AJ595" i="10"/>
  <c r="BE595" i="10" s="1"/>
  <c r="BT595" i="10" s="1"/>
  <c r="AT594" i="10"/>
  <c r="AX594" i="10" s="1"/>
  <c r="CJ594" i="10" s="1"/>
  <c r="AJ594" i="10"/>
  <c r="BE594" i="10" s="1"/>
  <c r="BT594" i="10" s="1"/>
  <c r="AT593" i="10"/>
  <c r="AX593" i="10" s="1"/>
  <c r="CJ593" i="10" s="1"/>
  <c r="AJ593" i="10"/>
  <c r="AT592" i="10"/>
  <c r="AJ592" i="10"/>
  <c r="BE592" i="10" s="1"/>
  <c r="BT592" i="10" s="1"/>
  <c r="AT591" i="10"/>
  <c r="AX591" i="10" s="1"/>
  <c r="CJ591" i="10" s="1"/>
  <c r="AJ591" i="10"/>
  <c r="BE591" i="10" s="1"/>
  <c r="BT591" i="10" s="1"/>
  <c r="AT590" i="10"/>
  <c r="AX590" i="10" s="1"/>
  <c r="CJ590" i="10" s="1"/>
  <c r="AJ590" i="10"/>
  <c r="AT589" i="10"/>
  <c r="AJ589" i="10"/>
  <c r="BE589" i="10" s="1"/>
  <c r="BT589" i="10" s="1"/>
  <c r="AT588" i="10"/>
  <c r="AX588" i="10" s="1"/>
  <c r="CJ588" i="10" s="1"/>
  <c r="AJ588" i="10"/>
  <c r="BE588" i="10" s="1"/>
  <c r="BT588" i="10" s="1"/>
  <c r="AT587" i="10"/>
  <c r="AX587" i="10" s="1"/>
  <c r="CJ587" i="10" s="1"/>
  <c r="AJ587" i="10"/>
  <c r="BE587" i="10" s="1"/>
  <c r="BT587" i="10" s="1"/>
  <c r="AT586" i="10"/>
  <c r="AJ586" i="10"/>
  <c r="BE586" i="10" s="1"/>
  <c r="BT586" i="10" s="1"/>
  <c r="AT585" i="10"/>
  <c r="AX585" i="10" s="1"/>
  <c r="CJ585" i="10" s="1"/>
  <c r="AJ585" i="10"/>
  <c r="BE585" i="10" s="1"/>
  <c r="BT585" i="10" s="1"/>
  <c r="AT584" i="10"/>
  <c r="AX584" i="10" s="1"/>
  <c r="CJ584" i="10" s="1"/>
  <c r="AJ584" i="10"/>
  <c r="BE584" i="10" s="1"/>
  <c r="BT584" i="10" s="1"/>
  <c r="AT583" i="10"/>
  <c r="AJ583" i="10"/>
  <c r="BE583" i="10" s="1"/>
  <c r="BT583" i="10" s="1"/>
  <c r="AT582" i="10"/>
  <c r="AX582" i="10" s="1"/>
  <c r="CJ582" i="10" s="1"/>
  <c r="AJ582" i="10"/>
  <c r="AT581" i="10"/>
  <c r="AX581" i="10" s="1"/>
  <c r="CJ581" i="10" s="1"/>
  <c r="AJ581" i="10"/>
  <c r="BE581" i="10" s="1"/>
  <c r="BT581" i="10" s="1"/>
  <c r="AT580" i="10"/>
  <c r="AX580" i="10" s="1"/>
  <c r="CJ580" i="10" s="1"/>
  <c r="AJ580" i="10"/>
  <c r="BE580" i="10" s="1"/>
  <c r="BT580" i="10" s="1"/>
  <c r="AT579" i="10"/>
  <c r="AX579" i="10" s="1"/>
  <c r="CJ579" i="10" s="1"/>
  <c r="AJ579" i="10"/>
  <c r="BE579" i="10" s="1"/>
  <c r="BT579" i="10" s="1"/>
  <c r="AT578" i="10"/>
  <c r="AX578" i="10" s="1"/>
  <c r="CJ578" i="10" s="1"/>
  <c r="AJ578" i="10"/>
  <c r="AT577" i="10"/>
  <c r="AJ577" i="10"/>
  <c r="AT576" i="10"/>
  <c r="AX576" i="10" s="1"/>
  <c r="CJ576" i="10" s="1"/>
  <c r="AJ576" i="10"/>
  <c r="BE576" i="10" s="1"/>
  <c r="BT576" i="10" s="1"/>
  <c r="AT575" i="10"/>
  <c r="AX575" i="10" s="1"/>
  <c r="AJ575" i="10"/>
  <c r="AT574" i="10"/>
  <c r="AX574" i="10" s="1"/>
  <c r="CJ574" i="10" s="1"/>
  <c r="AJ574" i="10"/>
  <c r="BE574" i="10" s="1"/>
  <c r="BT574" i="10" s="1"/>
  <c r="AT573" i="10"/>
  <c r="AX573" i="10" s="1"/>
  <c r="CJ573" i="10" s="1"/>
  <c r="AJ573" i="10"/>
  <c r="AT572" i="10"/>
  <c r="AJ572" i="10"/>
  <c r="BE572" i="10" s="1"/>
  <c r="BT572" i="10" s="1"/>
  <c r="AT571" i="10"/>
  <c r="AJ571" i="10"/>
  <c r="AT570" i="10"/>
  <c r="AX570" i="10" s="1"/>
  <c r="CJ570" i="10" s="1"/>
  <c r="AJ570" i="10"/>
  <c r="BE570" i="10" s="1"/>
  <c r="BT570" i="10" s="1"/>
  <c r="AT569" i="10"/>
  <c r="AX569" i="10" s="1"/>
  <c r="CJ569" i="10" s="1"/>
  <c r="AJ569" i="10"/>
  <c r="AT568" i="10"/>
  <c r="AX568" i="10" s="1"/>
  <c r="CJ568" i="10" s="1"/>
  <c r="AJ568" i="10"/>
  <c r="AT567" i="10"/>
  <c r="AX567" i="10" s="1"/>
  <c r="CJ567" i="10" s="1"/>
  <c r="AJ567" i="10"/>
  <c r="BE567" i="10" s="1"/>
  <c r="BT567" i="10" s="1"/>
  <c r="AT566" i="10"/>
  <c r="AJ566" i="10"/>
  <c r="AT565" i="10"/>
  <c r="AJ565" i="10"/>
  <c r="AT564" i="10"/>
  <c r="AX564" i="10" s="1"/>
  <c r="CJ564" i="10" s="1"/>
  <c r="AJ564" i="10"/>
  <c r="BE564" i="10" s="1"/>
  <c r="BT564" i="10" s="1"/>
  <c r="AT563" i="10"/>
  <c r="AX563" i="10" s="1"/>
  <c r="CJ563" i="10" s="1"/>
  <c r="AJ563" i="10"/>
  <c r="AT562" i="10"/>
  <c r="AX562" i="10" s="1"/>
  <c r="CJ562" i="10" s="1"/>
  <c r="AJ562" i="10"/>
  <c r="AT561" i="10"/>
  <c r="AX561" i="10" s="1"/>
  <c r="CJ561" i="10" s="1"/>
  <c r="AJ561" i="10"/>
  <c r="EC561" i="10" s="1"/>
  <c r="AT560" i="10"/>
  <c r="AJ560" i="10"/>
  <c r="BE560" i="10" s="1"/>
  <c r="BT560" i="10" s="1"/>
  <c r="AT559" i="10"/>
  <c r="AJ559" i="10"/>
  <c r="BE559" i="10" s="1"/>
  <c r="BT559" i="10" s="1"/>
  <c r="AT558" i="10"/>
  <c r="AX558" i="10" s="1"/>
  <c r="CJ558" i="10" s="1"/>
  <c r="AJ558" i="10"/>
  <c r="BE558" i="10" s="1"/>
  <c r="BT558" i="10" s="1"/>
  <c r="AT557" i="10"/>
  <c r="AX557" i="10" s="1"/>
  <c r="AJ557" i="10"/>
  <c r="AT556" i="10"/>
  <c r="AX556" i="10" s="1"/>
  <c r="CJ556" i="10" s="1"/>
  <c r="AJ556" i="10"/>
  <c r="BE556" i="10" s="1"/>
  <c r="BT556" i="10" s="1"/>
  <c r="AT555" i="10"/>
  <c r="AX555" i="10" s="1"/>
  <c r="CJ555" i="10" s="1"/>
  <c r="AJ555" i="10"/>
  <c r="AT554" i="10"/>
  <c r="AX554" i="10" s="1"/>
  <c r="CJ554" i="10" s="1"/>
  <c r="AJ554" i="10"/>
  <c r="AT553" i="10"/>
  <c r="AJ553" i="10"/>
  <c r="BE553" i="10" s="1"/>
  <c r="BT553" i="10" s="1"/>
  <c r="AT552" i="10"/>
  <c r="AX552" i="10" s="1"/>
  <c r="CJ552" i="10" s="1"/>
  <c r="AJ552" i="10"/>
  <c r="BE552" i="10" s="1"/>
  <c r="BT552" i="10" s="1"/>
  <c r="AT551" i="10"/>
  <c r="AX551" i="10" s="1"/>
  <c r="CJ551" i="10" s="1"/>
  <c r="AJ551" i="10"/>
  <c r="AT550" i="10"/>
  <c r="AX550" i="10" s="1"/>
  <c r="CJ550" i="10" s="1"/>
  <c r="AJ550" i="10"/>
  <c r="AT549" i="10"/>
  <c r="AX549" i="10" s="1"/>
  <c r="CJ549" i="10" s="1"/>
  <c r="AJ549" i="10"/>
  <c r="BE549" i="10" s="1"/>
  <c r="BT549" i="10" s="1"/>
  <c r="AT548" i="10"/>
  <c r="AX548" i="10" s="1"/>
  <c r="CJ548" i="10" s="1"/>
  <c r="AJ548" i="10"/>
  <c r="BE548" i="10" s="1"/>
  <c r="BT548" i="10" s="1"/>
  <c r="AT547" i="10"/>
  <c r="AJ547" i="10"/>
  <c r="BE547" i="10" s="1"/>
  <c r="BT547" i="10" s="1"/>
  <c r="AT546" i="10"/>
  <c r="AX546" i="10" s="1"/>
  <c r="CJ546" i="10" s="1"/>
  <c r="AJ546" i="10"/>
  <c r="AT545" i="10"/>
  <c r="AX545" i="10" s="1"/>
  <c r="CJ545" i="10" s="1"/>
  <c r="AJ545" i="10"/>
  <c r="AT544" i="10"/>
  <c r="AX544" i="10" s="1"/>
  <c r="CJ544" i="10" s="1"/>
  <c r="AJ544" i="10"/>
  <c r="BE544" i="10" s="1"/>
  <c r="BT544" i="10" s="1"/>
  <c r="AT543" i="10"/>
  <c r="AX543" i="10" s="1"/>
  <c r="CJ543" i="10" s="1"/>
  <c r="AJ543" i="10"/>
  <c r="AT542" i="10"/>
  <c r="AX542" i="10" s="1"/>
  <c r="CJ542" i="10" s="1"/>
  <c r="AJ542" i="10"/>
  <c r="BE542" i="10" s="1"/>
  <c r="BT542" i="10" s="1"/>
  <c r="AT541" i="10"/>
  <c r="AJ541" i="10"/>
  <c r="BE541" i="10" s="1"/>
  <c r="BT541" i="10" s="1"/>
  <c r="AT540" i="10"/>
  <c r="AX540" i="10" s="1"/>
  <c r="CJ540" i="10" s="1"/>
  <c r="AJ540" i="10"/>
  <c r="AT539" i="10"/>
  <c r="AX539" i="10" s="1"/>
  <c r="CJ539" i="10" s="1"/>
  <c r="AJ539" i="10"/>
  <c r="EC539" i="10" s="1"/>
  <c r="AT538" i="10"/>
  <c r="AX538" i="10" s="1"/>
  <c r="CJ538" i="10" s="1"/>
  <c r="AJ538" i="10"/>
  <c r="BE538" i="10" s="1"/>
  <c r="BT538" i="10" s="1"/>
  <c r="AT537" i="10"/>
  <c r="AX537" i="10" s="1"/>
  <c r="CJ537" i="10" s="1"/>
  <c r="AJ537" i="10"/>
  <c r="BE537" i="10" s="1"/>
  <c r="BT537" i="10" s="1"/>
  <c r="AT536" i="10"/>
  <c r="AX536" i="10" s="1"/>
  <c r="CJ536" i="10" s="1"/>
  <c r="AJ536" i="10"/>
  <c r="BE536" i="10" s="1"/>
  <c r="BT536" i="10" s="1"/>
  <c r="AT535" i="10"/>
  <c r="CG535" i="10" s="1"/>
  <c r="AJ535" i="10"/>
  <c r="AT534" i="10"/>
  <c r="AX534" i="10" s="1"/>
  <c r="CJ534" i="10" s="1"/>
  <c r="AJ534" i="10"/>
  <c r="BE534" i="10" s="1"/>
  <c r="BT534" i="10" s="1"/>
  <c r="AT533" i="10"/>
  <c r="AX533" i="10" s="1"/>
  <c r="CJ533" i="10" s="1"/>
  <c r="AJ533" i="10"/>
  <c r="AT532" i="10"/>
  <c r="AX532" i="10" s="1"/>
  <c r="CJ532" i="10" s="1"/>
  <c r="AJ532" i="10"/>
  <c r="BE532" i="10" s="1"/>
  <c r="BT532" i="10" s="1"/>
  <c r="AT531" i="10"/>
  <c r="AX531" i="10" s="1"/>
  <c r="CJ531" i="10" s="1"/>
  <c r="AJ531" i="10"/>
  <c r="BE531" i="10" s="1"/>
  <c r="BT531" i="10" s="1"/>
  <c r="AT530" i="10"/>
  <c r="AX530" i="10" s="1"/>
  <c r="CJ530" i="10" s="1"/>
  <c r="AJ530" i="10"/>
  <c r="BE530" i="10" s="1"/>
  <c r="BT530" i="10" s="1"/>
  <c r="AT529" i="10"/>
  <c r="AJ529" i="10"/>
  <c r="BE529" i="10" s="1"/>
  <c r="BT529" i="10" s="1"/>
  <c r="AT528" i="10"/>
  <c r="AX528" i="10" s="1"/>
  <c r="CJ528" i="10" s="1"/>
  <c r="AJ528" i="10"/>
  <c r="AT527" i="10"/>
  <c r="AX527" i="10" s="1"/>
  <c r="CJ527" i="10" s="1"/>
  <c r="AJ527" i="10"/>
  <c r="AT526" i="10"/>
  <c r="AX526" i="10" s="1"/>
  <c r="CJ526" i="10" s="1"/>
  <c r="AJ526" i="10"/>
  <c r="BE526" i="10" s="1"/>
  <c r="BT526" i="10" s="1"/>
  <c r="AT525" i="10"/>
  <c r="AJ525" i="10"/>
  <c r="BE525" i="10" s="1"/>
  <c r="BT525" i="10" s="1"/>
  <c r="AT524" i="10"/>
  <c r="AX524" i="10" s="1"/>
  <c r="CJ524" i="10" s="1"/>
  <c r="AJ524" i="10"/>
  <c r="BE524" i="10" s="1"/>
  <c r="BT524" i="10" s="1"/>
  <c r="AT523" i="10"/>
  <c r="AJ523" i="10"/>
  <c r="BE523" i="10" s="1"/>
  <c r="BT523" i="10" s="1"/>
  <c r="AT522" i="10"/>
  <c r="AX522" i="10" s="1"/>
  <c r="CJ522" i="10" s="1"/>
  <c r="AJ522" i="10"/>
  <c r="BE522" i="10" s="1"/>
  <c r="BT522" i="10" s="1"/>
  <c r="AT521" i="10"/>
  <c r="AX521" i="10" s="1"/>
  <c r="CJ521" i="10" s="1"/>
  <c r="AJ521" i="10"/>
  <c r="AT520" i="10"/>
  <c r="AX520" i="10" s="1"/>
  <c r="CJ520" i="10" s="1"/>
  <c r="AJ520" i="10"/>
  <c r="BE520" i="10" s="1"/>
  <c r="BT520" i="10" s="1"/>
  <c r="AT519" i="10"/>
  <c r="AX519" i="10" s="1"/>
  <c r="CJ519" i="10" s="1"/>
  <c r="AJ519" i="10"/>
  <c r="BE519" i="10" s="1"/>
  <c r="BT519" i="10" s="1"/>
  <c r="AT518" i="10"/>
  <c r="AX518" i="10" s="1"/>
  <c r="CJ518" i="10" s="1"/>
  <c r="AJ518" i="10"/>
  <c r="BE518" i="10" s="1"/>
  <c r="BT518" i="10" s="1"/>
  <c r="AT517" i="10"/>
  <c r="AJ517" i="10"/>
  <c r="BE517" i="10" s="1"/>
  <c r="BT517" i="10" s="1"/>
  <c r="AT516" i="10"/>
  <c r="AX516" i="10" s="1"/>
  <c r="CJ516" i="10" s="1"/>
  <c r="AJ516" i="10"/>
  <c r="BE516" i="10" s="1"/>
  <c r="BT516" i="10" s="1"/>
  <c r="AT515" i="10"/>
  <c r="AX515" i="10" s="1"/>
  <c r="CJ515" i="10" s="1"/>
  <c r="AJ515" i="10"/>
  <c r="AT514" i="10"/>
  <c r="AX514" i="10" s="1"/>
  <c r="CJ514" i="10" s="1"/>
  <c r="AJ514" i="10"/>
  <c r="BE514" i="10" s="1"/>
  <c r="BT514" i="10" s="1"/>
  <c r="AT513" i="10"/>
  <c r="AX513" i="10" s="1"/>
  <c r="CJ513" i="10" s="1"/>
  <c r="AJ513" i="10"/>
  <c r="BE513" i="10" s="1"/>
  <c r="BT513" i="10" s="1"/>
  <c r="AT512" i="10"/>
  <c r="AX512" i="10" s="1"/>
  <c r="CJ512" i="10" s="1"/>
  <c r="AJ512" i="10"/>
  <c r="AT511" i="10"/>
  <c r="AJ511" i="10"/>
  <c r="BE511" i="10" s="1"/>
  <c r="BT511" i="10" s="1"/>
  <c r="AT510" i="10"/>
  <c r="AX510" i="10" s="1"/>
  <c r="CJ510" i="10" s="1"/>
  <c r="AJ510" i="10"/>
  <c r="BE510" i="10" s="1"/>
  <c r="BT510" i="10" s="1"/>
  <c r="AT509" i="10"/>
  <c r="AX509" i="10" s="1"/>
  <c r="CJ509" i="10" s="1"/>
  <c r="AJ509" i="10"/>
  <c r="AT508" i="10"/>
  <c r="AX508" i="10" s="1"/>
  <c r="CJ508" i="10" s="1"/>
  <c r="AJ508" i="10"/>
  <c r="BE508" i="10" s="1"/>
  <c r="BT508" i="10" s="1"/>
  <c r="AT507" i="10"/>
  <c r="AX507" i="10" s="1"/>
  <c r="CJ507" i="10" s="1"/>
  <c r="AJ507" i="10"/>
  <c r="BE507" i="10" s="1"/>
  <c r="BT507" i="10" s="1"/>
  <c r="AT506" i="10"/>
  <c r="AX506" i="10" s="1"/>
  <c r="CJ506" i="10" s="1"/>
  <c r="AJ506" i="10"/>
  <c r="BE506" i="10" s="1"/>
  <c r="BT506" i="10" s="1"/>
  <c r="AT505" i="10"/>
  <c r="AJ505" i="10"/>
  <c r="BE505" i="10" s="1"/>
  <c r="BT505" i="10" s="1"/>
  <c r="AT504" i="10"/>
  <c r="AX504" i="10" s="1"/>
  <c r="CJ504" i="10" s="1"/>
  <c r="AJ504" i="10"/>
  <c r="BE504" i="10" s="1"/>
  <c r="BT504" i="10" s="1"/>
  <c r="AT503" i="10"/>
  <c r="AX503" i="10" s="1"/>
  <c r="CJ503" i="10" s="1"/>
  <c r="AJ503" i="10"/>
  <c r="AT502" i="10"/>
  <c r="AX502" i="10" s="1"/>
  <c r="CJ502" i="10" s="1"/>
  <c r="AJ502" i="10"/>
  <c r="BE502" i="10" s="1"/>
  <c r="BT502" i="10" s="1"/>
  <c r="AT501" i="10"/>
  <c r="AX501" i="10" s="1"/>
  <c r="CJ501" i="10" s="1"/>
  <c r="AJ501" i="10"/>
  <c r="BE501" i="10" s="1"/>
  <c r="BT501" i="10" s="1"/>
  <c r="AT500" i="10"/>
  <c r="AX500" i="10" s="1"/>
  <c r="CJ500" i="10" s="1"/>
  <c r="AJ500" i="10"/>
  <c r="BE500" i="10" s="1"/>
  <c r="BT500" i="10" s="1"/>
  <c r="AT499" i="10"/>
  <c r="AJ499" i="10"/>
  <c r="AT498" i="10"/>
  <c r="AX498" i="10" s="1"/>
  <c r="CJ498" i="10" s="1"/>
  <c r="AJ498" i="10"/>
  <c r="BE498" i="10" s="1"/>
  <c r="BT498" i="10" s="1"/>
  <c r="AT497" i="10"/>
  <c r="AJ497" i="10"/>
  <c r="AT496" i="10"/>
  <c r="AX496" i="10" s="1"/>
  <c r="CJ496" i="10" s="1"/>
  <c r="AJ496" i="10"/>
  <c r="AT495" i="10"/>
  <c r="AX495" i="10" s="1"/>
  <c r="CJ495" i="10" s="1"/>
  <c r="AJ495" i="10"/>
  <c r="BE495" i="10" s="1"/>
  <c r="BT495" i="10" s="1"/>
  <c r="AT494" i="10"/>
  <c r="AX494" i="10" s="1"/>
  <c r="CJ494" i="10" s="1"/>
  <c r="AJ494" i="10"/>
  <c r="BE494" i="10" s="1"/>
  <c r="BT494" i="10" s="1"/>
  <c r="AT493" i="10"/>
  <c r="AJ493" i="10"/>
  <c r="AT492" i="10"/>
  <c r="AX492" i="10" s="1"/>
  <c r="CJ492" i="10" s="1"/>
  <c r="AJ492" i="10"/>
  <c r="AT491" i="10"/>
  <c r="AX491" i="10" s="1"/>
  <c r="CJ491" i="10" s="1"/>
  <c r="AJ491" i="10"/>
  <c r="AT490" i="10"/>
  <c r="AX490" i="10" s="1"/>
  <c r="CJ490" i="10" s="1"/>
  <c r="AJ490" i="10"/>
  <c r="AT489" i="10"/>
  <c r="AX489" i="10" s="1"/>
  <c r="CJ489" i="10" s="1"/>
  <c r="AJ489" i="10"/>
  <c r="BE489" i="10" s="1"/>
  <c r="BT489" i="10" s="1"/>
  <c r="AT488" i="10"/>
  <c r="AX488" i="10" s="1"/>
  <c r="CJ488" i="10" s="1"/>
  <c r="AJ488" i="10"/>
  <c r="BE488" i="10" s="1"/>
  <c r="BT488" i="10" s="1"/>
  <c r="AT487" i="10"/>
  <c r="AJ487" i="10"/>
  <c r="AT486" i="10"/>
  <c r="AX486" i="10" s="1"/>
  <c r="CJ486" i="10" s="1"/>
  <c r="AJ486" i="10"/>
  <c r="AT485" i="10"/>
  <c r="AX485" i="10" s="1"/>
  <c r="AJ485" i="10"/>
  <c r="AT484" i="10"/>
  <c r="AX484" i="10" s="1"/>
  <c r="CJ484" i="10" s="1"/>
  <c r="AJ484" i="10"/>
  <c r="AT483" i="10"/>
  <c r="AX483" i="10" s="1"/>
  <c r="CJ483" i="10" s="1"/>
  <c r="AJ483" i="10"/>
  <c r="BE483" i="10" s="1"/>
  <c r="BT483" i="10" s="1"/>
  <c r="AT482" i="10"/>
  <c r="AX482" i="10" s="1"/>
  <c r="CJ482" i="10" s="1"/>
  <c r="AJ482" i="10"/>
  <c r="BE482" i="10" s="1"/>
  <c r="BT482" i="10" s="1"/>
  <c r="AT481" i="10"/>
  <c r="AJ481" i="10"/>
  <c r="AT480" i="10"/>
  <c r="AX480" i="10" s="1"/>
  <c r="CJ480" i="10" s="1"/>
  <c r="AJ480" i="10"/>
  <c r="AT479" i="10"/>
  <c r="AJ479" i="10"/>
  <c r="AT478" i="10"/>
  <c r="AX478" i="10" s="1"/>
  <c r="CJ478" i="10" s="1"/>
  <c r="AJ478" i="10"/>
  <c r="AT477" i="10"/>
  <c r="AX477" i="10" s="1"/>
  <c r="CJ477" i="10" s="1"/>
  <c r="AJ477" i="10"/>
  <c r="AT476" i="10"/>
  <c r="AX476" i="10" s="1"/>
  <c r="CJ476" i="10" s="1"/>
  <c r="AJ476" i="10"/>
  <c r="BE476" i="10" s="1"/>
  <c r="BT476" i="10" s="1"/>
  <c r="AT475" i="10"/>
  <c r="AJ475" i="10"/>
  <c r="AT474" i="10"/>
  <c r="AX474" i="10" s="1"/>
  <c r="CJ474" i="10" s="1"/>
  <c r="AJ474" i="10"/>
  <c r="AT473" i="10"/>
  <c r="AJ473" i="10"/>
  <c r="AT472" i="10"/>
  <c r="AX472" i="10" s="1"/>
  <c r="CJ472" i="10" s="1"/>
  <c r="AJ472" i="10"/>
  <c r="AT471" i="10"/>
  <c r="AX471" i="10" s="1"/>
  <c r="CJ471" i="10" s="1"/>
  <c r="AJ471" i="10"/>
  <c r="BE471" i="10" s="1"/>
  <c r="BT471" i="10" s="1"/>
  <c r="AT470" i="10"/>
  <c r="AX470" i="10" s="1"/>
  <c r="CJ470" i="10" s="1"/>
  <c r="AJ470" i="10"/>
  <c r="BE470" i="10" s="1"/>
  <c r="BT470" i="10" s="1"/>
  <c r="AT469" i="10"/>
  <c r="AJ469" i="10"/>
  <c r="AT468" i="10"/>
  <c r="AX468" i="10" s="1"/>
  <c r="CJ468" i="10" s="1"/>
  <c r="AJ468" i="10"/>
  <c r="BE468" i="10" s="1"/>
  <c r="BT468" i="10" s="1"/>
  <c r="AT467" i="10"/>
  <c r="AJ467" i="10"/>
  <c r="BA467" i="10" s="1"/>
  <c r="BC467" i="10" s="1"/>
  <c r="AT466" i="10"/>
  <c r="AX466" i="10" s="1"/>
  <c r="CJ466" i="10" s="1"/>
  <c r="AJ466" i="10"/>
  <c r="BE466" i="10" s="1"/>
  <c r="BT466" i="10" s="1"/>
  <c r="AT465" i="10"/>
  <c r="AX465" i="10" s="1"/>
  <c r="CJ465" i="10" s="1"/>
  <c r="AJ465" i="10"/>
  <c r="BE465" i="10" s="1"/>
  <c r="BT465" i="10" s="1"/>
  <c r="AT464" i="10"/>
  <c r="AX464" i="10" s="1"/>
  <c r="CJ464" i="10" s="1"/>
  <c r="AJ464" i="10"/>
  <c r="BE464" i="10" s="1"/>
  <c r="BT464" i="10" s="1"/>
  <c r="AT463" i="10"/>
  <c r="AJ463" i="10"/>
  <c r="BE463" i="10" s="1"/>
  <c r="BT463" i="10" s="1"/>
  <c r="AT462" i="10"/>
  <c r="AX462" i="10" s="1"/>
  <c r="CJ462" i="10" s="1"/>
  <c r="AJ462" i="10"/>
  <c r="BE462" i="10" s="1"/>
  <c r="BT462" i="10" s="1"/>
  <c r="AT461" i="10"/>
  <c r="AJ461" i="10"/>
  <c r="AT460" i="10"/>
  <c r="AX460" i="10" s="1"/>
  <c r="CJ460" i="10" s="1"/>
  <c r="AJ460" i="10"/>
  <c r="BE460" i="10" s="1"/>
  <c r="BT460" i="10" s="1"/>
  <c r="AT459" i="10"/>
  <c r="AX459" i="10" s="1"/>
  <c r="CJ459" i="10" s="1"/>
  <c r="AJ459" i="10"/>
  <c r="BE459" i="10" s="1"/>
  <c r="BT459" i="10" s="1"/>
  <c r="AT458" i="10"/>
  <c r="AX458" i="10" s="1"/>
  <c r="CJ458" i="10" s="1"/>
  <c r="AJ458" i="10"/>
  <c r="AT457" i="10"/>
  <c r="AJ457" i="10"/>
  <c r="BE457" i="10" s="1"/>
  <c r="BT457" i="10" s="1"/>
  <c r="AT456" i="10"/>
  <c r="AX456" i="10" s="1"/>
  <c r="CJ456" i="10" s="1"/>
  <c r="AJ456" i="10"/>
  <c r="BE456" i="10" s="1"/>
  <c r="BT456" i="10" s="1"/>
  <c r="AT455" i="10"/>
  <c r="AJ455" i="10"/>
  <c r="AT454" i="10"/>
  <c r="AX454" i="10" s="1"/>
  <c r="CJ454" i="10" s="1"/>
  <c r="AJ454" i="10"/>
  <c r="BE454" i="10" s="1"/>
  <c r="BT454" i="10" s="1"/>
  <c r="AT453" i="10"/>
  <c r="AX453" i="10" s="1"/>
  <c r="CJ453" i="10" s="1"/>
  <c r="AJ453" i="10"/>
  <c r="AT452" i="10"/>
  <c r="AX452" i="10" s="1"/>
  <c r="CJ452" i="10" s="1"/>
  <c r="AJ452" i="10"/>
  <c r="BE452" i="10" s="1"/>
  <c r="BT452" i="10" s="1"/>
  <c r="AT451" i="10"/>
  <c r="AJ451" i="10"/>
  <c r="BE451" i="10" s="1"/>
  <c r="BT451" i="10" s="1"/>
  <c r="AT450" i="10"/>
  <c r="AX450" i="10" s="1"/>
  <c r="CJ450" i="10" s="1"/>
  <c r="AJ450" i="10"/>
  <c r="AT449" i="10"/>
  <c r="AJ449" i="10"/>
  <c r="EC449" i="10" s="1"/>
  <c r="AT448" i="10"/>
  <c r="AX448" i="10" s="1"/>
  <c r="CJ448" i="10" s="1"/>
  <c r="AJ448" i="10"/>
  <c r="BE448" i="10" s="1"/>
  <c r="BT448" i="10" s="1"/>
  <c r="AT447" i="10"/>
  <c r="AX447" i="10" s="1"/>
  <c r="CJ447" i="10" s="1"/>
  <c r="AJ447" i="10"/>
  <c r="AT446" i="10"/>
  <c r="AX446" i="10" s="1"/>
  <c r="CJ446" i="10" s="1"/>
  <c r="AJ446" i="10"/>
  <c r="BE446" i="10" s="1"/>
  <c r="BT446" i="10" s="1"/>
  <c r="AT445" i="10"/>
  <c r="AJ445" i="10"/>
  <c r="AT444" i="10"/>
  <c r="AX444" i="10" s="1"/>
  <c r="CJ444" i="10" s="1"/>
  <c r="AJ444" i="10"/>
  <c r="AT443" i="10"/>
  <c r="AJ443" i="10"/>
  <c r="BE443" i="10" s="1"/>
  <c r="BT443" i="10" s="1"/>
  <c r="AT442" i="10"/>
  <c r="AX442" i="10" s="1"/>
  <c r="CJ442" i="10" s="1"/>
  <c r="AJ442" i="10"/>
  <c r="AT441" i="10"/>
  <c r="AX441" i="10" s="1"/>
  <c r="CJ441" i="10" s="1"/>
  <c r="AJ441" i="10"/>
  <c r="BE441" i="10" s="1"/>
  <c r="BT441" i="10" s="1"/>
  <c r="AT440" i="10"/>
  <c r="AX440" i="10" s="1"/>
  <c r="CJ440" i="10" s="1"/>
  <c r="AJ440" i="10"/>
  <c r="AT439" i="10"/>
  <c r="AJ439" i="10"/>
  <c r="AT438" i="10"/>
  <c r="AX438" i="10" s="1"/>
  <c r="CJ438" i="10" s="1"/>
  <c r="AJ438" i="10"/>
  <c r="AT437" i="10"/>
  <c r="AJ437" i="10"/>
  <c r="BE437" i="10" s="1"/>
  <c r="BT437" i="10" s="1"/>
  <c r="AT436" i="10"/>
  <c r="AX436" i="10" s="1"/>
  <c r="CJ436" i="10" s="1"/>
  <c r="AJ436" i="10"/>
  <c r="BE436" i="10" s="1"/>
  <c r="BT436" i="10" s="1"/>
  <c r="AT435" i="10"/>
  <c r="AX435" i="10" s="1"/>
  <c r="CJ435" i="10" s="1"/>
  <c r="AJ435" i="10"/>
  <c r="BE435" i="10" s="1"/>
  <c r="BT435" i="10" s="1"/>
  <c r="AT434" i="10"/>
  <c r="AX434" i="10" s="1"/>
  <c r="CJ434" i="10" s="1"/>
  <c r="AJ434" i="10"/>
  <c r="BE434" i="10" s="1"/>
  <c r="BT434" i="10" s="1"/>
  <c r="AT433" i="10"/>
  <c r="AJ433" i="10"/>
  <c r="AT432" i="10"/>
  <c r="AU432" i="10" s="1"/>
  <c r="AJ432" i="10"/>
  <c r="AT431" i="10"/>
  <c r="AJ431" i="10"/>
  <c r="BE431" i="10" s="1"/>
  <c r="BT431" i="10" s="1"/>
  <c r="AT430" i="10"/>
  <c r="AX430" i="10" s="1"/>
  <c r="CJ430" i="10" s="1"/>
  <c r="AJ430" i="10"/>
  <c r="BE430" i="10" s="1"/>
  <c r="BT430" i="10" s="1"/>
  <c r="AT429" i="10"/>
  <c r="AX429" i="10" s="1"/>
  <c r="CJ429" i="10" s="1"/>
  <c r="AJ429" i="10"/>
  <c r="BE429" i="10" s="1"/>
  <c r="BT429" i="10" s="1"/>
  <c r="AT428" i="10"/>
  <c r="AX428" i="10" s="1"/>
  <c r="CJ428" i="10" s="1"/>
  <c r="AJ428" i="10"/>
  <c r="AT427" i="10"/>
  <c r="AJ427" i="10"/>
  <c r="AT426" i="10"/>
  <c r="AX426" i="10" s="1"/>
  <c r="CJ426" i="10" s="1"/>
  <c r="AJ426" i="10"/>
  <c r="EC426" i="10" s="1"/>
  <c r="AT425" i="10"/>
  <c r="AJ425" i="10"/>
  <c r="BE425" i="10" s="1"/>
  <c r="BT425" i="10" s="1"/>
  <c r="AT424" i="10"/>
  <c r="AJ424" i="10"/>
  <c r="BE424" i="10" s="1"/>
  <c r="BT424" i="10" s="1"/>
  <c r="AT423" i="10"/>
  <c r="AJ423" i="10"/>
  <c r="BE423" i="10" s="1"/>
  <c r="BT423" i="10" s="1"/>
  <c r="AT422" i="10"/>
  <c r="AX422" i="10" s="1"/>
  <c r="CJ422" i="10" s="1"/>
  <c r="AJ422" i="10"/>
  <c r="AT421" i="10"/>
  <c r="AJ421" i="10"/>
  <c r="AT420" i="10"/>
  <c r="AX420" i="10" s="1"/>
  <c r="CJ420" i="10" s="1"/>
  <c r="AJ420" i="10"/>
  <c r="AT419" i="10"/>
  <c r="AJ419" i="10"/>
  <c r="AT418" i="10"/>
  <c r="AX418" i="10" s="1"/>
  <c r="CJ418" i="10" s="1"/>
  <c r="AJ418" i="10"/>
  <c r="AT417" i="10"/>
  <c r="AX417" i="10" s="1"/>
  <c r="CJ417" i="10" s="1"/>
  <c r="AJ417" i="10"/>
  <c r="BE417" i="10" s="1"/>
  <c r="BT417" i="10" s="1"/>
  <c r="AT416" i="10"/>
  <c r="AX416" i="10" s="1"/>
  <c r="CJ416" i="10" s="1"/>
  <c r="AJ416" i="10"/>
  <c r="AT415" i="10"/>
  <c r="AJ415" i="10"/>
  <c r="AT414" i="10"/>
  <c r="AX414" i="10" s="1"/>
  <c r="CJ414" i="10" s="1"/>
  <c r="AJ414" i="10"/>
  <c r="AT413" i="10"/>
  <c r="AX413" i="10" s="1"/>
  <c r="CJ413" i="10" s="1"/>
  <c r="AJ413" i="10"/>
  <c r="AT412" i="10"/>
  <c r="AX412" i="10" s="1"/>
  <c r="CJ412" i="10" s="1"/>
  <c r="AJ412" i="10"/>
  <c r="BE412" i="10" s="1"/>
  <c r="BT412" i="10" s="1"/>
  <c r="AT411" i="10"/>
  <c r="AX411" i="10" s="1"/>
  <c r="CJ411" i="10" s="1"/>
  <c r="AJ411" i="10"/>
  <c r="BE411" i="10" s="1"/>
  <c r="BT411" i="10" s="1"/>
  <c r="AT410" i="10"/>
  <c r="AX410" i="10" s="1"/>
  <c r="CJ410" i="10" s="1"/>
  <c r="AJ410" i="10"/>
  <c r="AT409" i="10"/>
  <c r="AJ409" i="10"/>
  <c r="AT408" i="10"/>
  <c r="AX408" i="10" s="1"/>
  <c r="CJ408" i="10" s="1"/>
  <c r="AJ408" i="10"/>
  <c r="BE408" i="10" s="1"/>
  <c r="BT408" i="10" s="1"/>
  <c r="AT407" i="10"/>
  <c r="AX407" i="10" s="1"/>
  <c r="CJ407" i="10" s="1"/>
  <c r="AJ407" i="10"/>
  <c r="AT406" i="10"/>
  <c r="AJ406" i="10"/>
  <c r="BE406" i="10" s="1"/>
  <c r="BT406" i="10" s="1"/>
  <c r="AT405" i="10"/>
  <c r="AJ405" i="10"/>
  <c r="AT404" i="10"/>
  <c r="AX404" i="10" s="1"/>
  <c r="CJ404" i="10" s="1"/>
  <c r="AJ404" i="10"/>
  <c r="AT403" i="10"/>
  <c r="CG403" i="10" s="1"/>
  <c r="AJ403" i="10"/>
  <c r="BE403" i="10" s="1"/>
  <c r="BT403" i="10" s="1"/>
  <c r="AT402" i="10"/>
  <c r="AX402" i="10" s="1"/>
  <c r="CJ402" i="10" s="1"/>
  <c r="AJ402" i="10"/>
  <c r="BE402" i="10" s="1"/>
  <c r="BT402" i="10" s="1"/>
  <c r="AT401" i="10"/>
  <c r="AX401" i="10" s="1"/>
  <c r="CJ401" i="10" s="1"/>
  <c r="AJ401" i="10"/>
  <c r="BE401" i="10" s="1"/>
  <c r="BT401" i="10" s="1"/>
  <c r="AT400" i="10"/>
  <c r="AJ400" i="10"/>
  <c r="AT399" i="10"/>
  <c r="AX399" i="10" s="1"/>
  <c r="CJ399" i="10" s="1"/>
  <c r="AJ399" i="10"/>
  <c r="BE399" i="10" s="1"/>
  <c r="BT399" i="10" s="1"/>
  <c r="AT398" i="10"/>
  <c r="AX398" i="10" s="1"/>
  <c r="CJ398" i="10" s="1"/>
  <c r="AJ398" i="10"/>
  <c r="AT397" i="10"/>
  <c r="AX397" i="10" s="1"/>
  <c r="AJ397" i="10"/>
  <c r="BE397" i="10" s="1"/>
  <c r="BT397" i="10" s="1"/>
  <c r="AT396" i="10"/>
  <c r="AX396" i="10" s="1"/>
  <c r="CJ396" i="10" s="1"/>
  <c r="AJ396" i="10"/>
  <c r="BE396" i="10" s="1"/>
  <c r="BT396" i="10" s="1"/>
  <c r="AT395" i="10"/>
  <c r="AX395" i="10" s="1"/>
  <c r="CJ395" i="10" s="1"/>
  <c r="AJ395" i="10"/>
  <c r="AT394" i="10"/>
  <c r="AX394" i="10" s="1"/>
  <c r="CJ394" i="10" s="1"/>
  <c r="AJ394" i="10"/>
  <c r="AT393" i="10"/>
  <c r="AX393" i="10" s="1"/>
  <c r="CJ393" i="10" s="1"/>
  <c r="AJ393" i="10"/>
  <c r="BE393" i="10" s="1"/>
  <c r="BT393" i="10" s="1"/>
  <c r="AT392" i="10"/>
  <c r="AX392" i="10" s="1"/>
  <c r="CJ392" i="10" s="1"/>
  <c r="AJ392" i="10"/>
  <c r="AT391" i="10"/>
  <c r="AJ391" i="10"/>
  <c r="AT390" i="10"/>
  <c r="AX390" i="10" s="1"/>
  <c r="CJ390" i="10" s="1"/>
  <c r="AJ390" i="10"/>
  <c r="AT389" i="10"/>
  <c r="AX389" i="10" s="1"/>
  <c r="CJ389" i="10" s="1"/>
  <c r="AJ389" i="10"/>
  <c r="BA389" i="10" s="1"/>
  <c r="BC389" i="10" s="1"/>
  <c r="AT388" i="10"/>
  <c r="AJ388" i="10"/>
  <c r="BE388" i="10" s="1"/>
  <c r="BT388" i="10" s="1"/>
  <c r="AT387" i="10"/>
  <c r="AX387" i="10" s="1"/>
  <c r="CJ387" i="10" s="1"/>
  <c r="AJ387" i="10"/>
  <c r="AT386" i="10"/>
  <c r="AX386" i="10" s="1"/>
  <c r="CJ386" i="10" s="1"/>
  <c r="AJ386" i="10"/>
  <c r="BE386" i="10" s="1"/>
  <c r="BT386" i="10" s="1"/>
  <c r="AT385" i="10"/>
  <c r="AJ385" i="10"/>
  <c r="BE385" i="10" s="1"/>
  <c r="BT385" i="10" s="1"/>
  <c r="AT384" i="10"/>
  <c r="AX384" i="10" s="1"/>
  <c r="CJ384" i="10" s="1"/>
  <c r="AJ384" i="10"/>
  <c r="BE384" i="10" s="1"/>
  <c r="BT384" i="10" s="1"/>
  <c r="AT383" i="10"/>
  <c r="AJ383" i="10"/>
  <c r="AT382" i="10"/>
  <c r="AX382" i="10" s="1"/>
  <c r="CJ382" i="10" s="1"/>
  <c r="AJ382" i="10"/>
  <c r="BE382" i="10" s="1"/>
  <c r="BT382" i="10" s="1"/>
  <c r="AT381" i="10"/>
  <c r="AX381" i="10" s="1"/>
  <c r="CJ381" i="10" s="1"/>
  <c r="AJ381" i="10"/>
  <c r="AT380" i="10"/>
  <c r="AX380" i="10" s="1"/>
  <c r="CJ380" i="10" s="1"/>
  <c r="AJ380" i="10"/>
  <c r="BE380" i="10" s="1"/>
  <c r="BT380" i="10" s="1"/>
  <c r="AT379" i="10"/>
  <c r="AJ379" i="10"/>
  <c r="AT378" i="10"/>
  <c r="AX378" i="10" s="1"/>
  <c r="CJ378" i="10" s="1"/>
  <c r="AJ378" i="10"/>
  <c r="AT377" i="10"/>
  <c r="AX377" i="10" s="1"/>
  <c r="CJ377" i="10" s="1"/>
  <c r="AJ377" i="10"/>
  <c r="BE377" i="10" s="1"/>
  <c r="BT377" i="10" s="1"/>
  <c r="AT376" i="10"/>
  <c r="AX376" i="10" s="1"/>
  <c r="CJ376" i="10" s="1"/>
  <c r="AJ376" i="10"/>
  <c r="AT375" i="10"/>
  <c r="AJ375" i="10"/>
  <c r="AT374" i="10"/>
  <c r="AX374" i="10" s="1"/>
  <c r="CJ374" i="10" s="1"/>
  <c r="AJ374" i="10"/>
  <c r="AT373" i="10"/>
  <c r="AJ373" i="10"/>
  <c r="AT372" i="10"/>
  <c r="AX372" i="10" s="1"/>
  <c r="CJ372" i="10" s="1"/>
  <c r="AJ372" i="10"/>
  <c r="AT371" i="10"/>
  <c r="AX371" i="10" s="1"/>
  <c r="CJ371" i="10" s="1"/>
  <c r="AJ371" i="10"/>
  <c r="AT370" i="10"/>
  <c r="AX370" i="10" s="1"/>
  <c r="CJ370" i="10" s="1"/>
  <c r="AJ370" i="10"/>
  <c r="BE370" i="10" s="1"/>
  <c r="BT370" i="10" s="1"/>
  <c r="AT369" i="10"/>
  <c r="AJ369" i="10"/>
  <c r="AT368" i="10"/>
  <c r="AX368" i="10" s="1"/>
  <c r="CJ368" i="10" s="1"/>
  <c r="AJ368" i="10"/>
  <c r="AT367" i="10"/>
  <c r="AJ367" i="10"/>
  <c r="AT366" i="10"/>
  <c r="AX366" i="10" s="1"/>
  <c r="CJ366" i="10" s="1"/>
  <c r="AJ366" i="10"/>
  <c r="AT365" i="10"/>
  <c r="AX365" i="10" s="1"/>
  <c r="CJ365" i="10" s="1"/>
  <c r="AJ365" i="10"/>
  <c r="BE365" i="10" s="1"/>
  <c r="BT365" i="10" s="1"/>
  <c r="AT364" i="10"/>
  <c r="AX364" i="10" s="1"/>
  <c r="CJ364" i="10" s="1"/>
  <c r="AJ364" i="10"/>
  <c r="BE364" i="10" s="1"/>
  <c r="BT364" i="10" s="1"/>
  <c r="AT363" i="10"/>
  <c r="AX363" i="10" s="1"/>
  <c r="CJ363" i="10" s="1"/>
  <c r="AJ363" i="10"/>
  <c r="AT362" i="10"/>
  <c r="AX362" i="10" s="1"/>
  <c r="CJ362" i="10" s="1"/>
  <c r="AJ362" i="10"/>
  <c r="AT361" i="10"/>
  <c r="AJ361" i="10"/>
  <c r="AT360" i="10"/>
  <c r="AX360" i="10" s="1"/>
  <c r="CJ360" i="10" s="1"/>
  <c r="AJ360" i="10"/>
  <c r="AT359" i="10"/>
  <c r="AX359" i="10" s="1"/>
  <c r="CJ359" i="10" s="1"/>
  <c r="AJ359" i="10"/>
  <c r="AT358" i="10"/>
  <c r="AJ358" i="10"/>
  <c r="BE358" i="10" s="1"/>
  <c r="BT358" i="10" s="1"/>
  <c r="AT357" i="10"/>
  <c r="AX357" i="10" s="1"/>
  <c r="CJ357" i="10" s="1"/>
  <c r="AJ357" i="10"/>
  <c r="AT356" i="10"/>
  <c r="AX356" i="10" s="1"/>
  <c r="CJ356" i="10" s="1"/>
  <c r="AJ356" i="10"/>
  <c r="BE356" i="10" s="1"/>
  <c r="BT356" i="10" s="1"/>
  <c r="AT355" i="10"/>
  <c r="AJ355" i="10"/>
  <c r="AT354" i="10"/>
  <c r="AJ354" i="10"/>
  <c r="AT353" i="10"/>
  <c r="AX353" i="10" s="1"/>
  <c r="CJ353" i="10" s="1"/>
  <c r="AJ353" i="10"/>
  <c r="BE353" i="10" s="1"/>
  <c r="BT353" i="10" s="1"/>
  <c r="AT352" i="10"/>
  <c r="AJ352" i="10"/>
  <c r="BE352" i="10" s="1"/>
  <c r="BT352" i="10" s="1"/>
  <c r="AT351" i="10"/>
  <c r="AJ351" i="10"/>
  <c r="AT350" i="10"/>
  <c r="AX350" i="10" s="1"/>
  <c r="CJ350" i="10" s="1"/>
  <c r="AJ350" i="10"/>
  <c r="BE350" i="10" s="1"/>
  <c r="BT350" i="10" s="1"/>
  <c r="AT349" i="10"/>
  <c r="AJ349" i="10"/>
  <c r="BE349" i="10" s="1"/>
  <c r="BT349" i="10" s="1"/>
  <c r="AT348" i="10"/>
  <c r="AJ348" i="10"/>
  <c r="AT347" i="10"/>
  <c r="AX347" i="10" s="1"/>
  <c r="CJ347" i="10" s="1"/>
  <c r="AJ347" i="10"/>
  <c r="EC347" i="10" s="1"/>
  <c r="AT346" i="10"/>
  <c r="AX346" i="10" s="1"/>
  <c r="AJ346" i="10"/>
  <c r="BE346" i="10" s="1"/>
  <c r="BT346" i="10" s="1"/>
  <c r="AT345" i="10"/>
  <c r="AJ345" i="10"/>
  <c r="AT344" i="10"/>
  <c r="AJ344" i="10"/>
  <c r="BE344" i="10" s="1"/>
  <c r="BT344" i="10" s="1"/>
  <c r="AT343" i="10"/>
  <c r="AJ343" i="10"/>
  <c r="AT342" i="10"/>
  <c r="AX342" i="10" s="1"/>
  <c r="CJ342" i="10" s="1"/>
  <c r="AJ342" i="10"/>
  <c r="BE342" i="10" s="1"/>
  <c r="BT342" i="10" s="1"/>
  <c r="AT341" i="10"/>
  <c r="AJ341" i="10"/>
  <c r="BE341" i="10" s="1"/>
  <c r="BT341" i="10" s="1"/>
  <c r="AT340" i="10"/>
  <c r="AX340" i="10" s="1"/>
  <c r="CJ340" i="10" s="1"/>
  <c r="AJ340" i="10"/>
  <c r="AT339" i="10"/>
  <c r="AX339" i="10" s="1"/>
  <c r="CJ339" i="10" s="1"/>
  <c r="AJ339" i="10"/>
  <c r="BE339" i="10" s="1"/>
  <c r="BT339" i="10" s="1"/>
  <c r="AT338" i="10"/>
  <c r="AJ338" i="10"/>
  <c r="BE338" i="10" s="1"/>
  <c r="BT338" i="10" s="1"/>
  <c r="AT337" i="10"/>
  <c r="AX337" i="10" s="1"/>
  <c r="AJ337" i="10"/>
  <c r="BE337" i="10" s="1"/>
  <c r="BT337" i="10" s="1"/>
  <c r="AT336" i="10"/>
  <c r="AX336" i="10" s="1"/>
  <c r="CJ336" i="10" s="1"/>
  <c r="AJ336" i="10"/>
  <c r="AT335" i="10"/>
  <c r="AJ335" i="10"/>
  <c r="AT334" i="10"/>
  <c r="AX334" i="10" s="1"/>
  <c r="CJ334" i="10" s="1"/>
  <c r="AJ334" i="10"/>
  <c r="AT333" i="10"/>
  <c r="AX333" i="10" s="1"/>
  <c r="CJ333" i="10" s="1"/>
  <c r="AJ333" i="10"/>
  <c r="BE333" i="10" s="1"/>
  <c r="BT333" i="10" s="1"/>
  <c r="AT332" i="10"/>
  <c r="AJ332" i="10"/>
  <c r="BE332" i="10" s="1"/>
  <c r="BT332" i="10" s="1"/>
  <c r="AT331" i="10"/>
  <c r="AJ331" i="10"/>
  <c r="AT330" i="10"/>
  <c r="AJ330" i="10"/>
  <c r="AT329" i="10"/>
  <c r="AX329" i="10" s="1"/>
  <c r="CJ329" i="10" s="1"/>
  <c r="AJ329" i="10"/>
  <c r="BE329" i="10" s="1"/>
  <c r="BT329" i="10" s="1"/>
  <c r="AT328" i="10"/>
  <c r="AJ328" i="10"/>
  <c r="BE328" i="10" s="1"/>
  <c r="BT328" i="10" s="1"/>
  <c r="AT327" i="10"/>
  <c r="AX327" i="10" s="1"/>
  <c r="CJ327" i="10" s="1"/>
  <c r="AJ327" i="10"/>
  <c r="AT326" i="10"/>
  <c r="AX326" i="10" s="1"/>
  <c r="CJ326" i="10" s="1"/>
  <c r="AJ326" i="10"/>
  <c r="BE326" i="10" s="1"/>
  <c r="BT326" i="10" s="1"/>
  <c r="AT325" i="10"/>
  <c r="AJ325" i="10"/>
  <c r="AT324" i="10"/>
  <c r="AX324" i="10" s="1"/>
  <c r="CJ324" i="10" s="1"/>
  <c r="AJ324" i="10"/>
  <c r="AT323" i="10"/>
  <c r="AJ323" i="10"/>
  <c r="BE323" i="10" s="1"/>
  <c r="BT323" i="10" s="1"/>
  <c r="AT322" i="10"/>
  <c r="AX322" i="10" s="1"/>
  <c r="CJ322" i="10" s="1"/>
  <c r="AJ322" i="10"/>
  <c r="BE322" i="10" s="1"/>
  <c r="BT322" i="10" s="1"/>
  <c r="AT321" i="10"/>
  <c r="AX321" i="10" s="1"/>
  <c r="CJ321" i="10" s="1"/>
  <c r="AJ321" i="10"/>
  <c r="BE321" i="10" s="1"/>
  <c r="BT321" i="10" s="1"/>
  <c r="AT320" i="10"/>
  <c r="AJ320" i="10"/>
  <c r="BE320" i="10" s="1"/>
  <c r="BT320" i="10" s="1"/>
  <c r="AT319" i="10"/>
  <c r="AJ319" i="10"/>
  <c r="EC319" i="10" s="1"/>
  <c r="AT318" i="10"/>
  <c r="AX318" i="10" s="1"/>
  <c r="CJ318" i="10" s="1"/>
  <c r="AJ318" i="10"/>
  <c r="AT317" i="10"/>
  <c r="AJ317" i="10"/>
  <c r="BE317" i="10" s="1"/>
  <c r="BT317" i="10" s="1"/>
  <c r="AT316" i="10"/>
  <c r="AJ316" i="10"/>
  <c r="BE316" i="10" s="1"/>
  <c r="BT316" i="10" s="1"/>
  <c r="AT315" i="10"/>
  <c r="AX315" i="10" s="1"/>
  <c r="CJ315" i="10" s="1"/>
  <c r="AJ315" i="10"/>
  <c r="AT314" i="10"/>
  <c r="AJ314" i="10"/>
  <c r="BE314" i="10" s="1"/>
  <c r="BT314" i="10" s="1"/>
  <c r="AT313" i="10"/>
  <c r="AJ313" i="10"/>
  <c r="AT312" i="10"/>
  <c r="AX312" i="10" s="1"/>
  <c r="CJ312" i="10" s="1"/>
  <c r="AJ312" i="10"/>
  <c r="AT311" i="10"/>
  <c r="AJ311" i="10"/>
  <c r="AT310" i="10"/>
  <c r="AJ310" i="10"/>
  <c r="BE310" i="10" s="1"/>
  <c r="BT310" i="10" s="1"/>
  <c r="AT309" i="10"/>
  <c r="AX309" i="10" s="1"/>
  <c r="CJ309" i="10" s="1"/>
  <c r="AJ309" i="10"/>
  <c r="BE309" i="10" s="1"/>
  <c r="BT309" i="10" s="1"/>
  <c r="AT308" i="10"/>
  <c r="AX308" i="10" s="1"/>
  <c r="CJ308" i="10" s="1"/>
  <c r="AJ308" i="10"/>
  <c r="AT307" i="10"/>
  <c r="AJ307" i="10"/>
  <c r="EC307" i="10" s="1"/>
  <c r="AT306" i="10"/>
  <c r="AJ306" i="10"/>
  <c r="BE306" i="10" s="1"/>
  <c r="BT306" i="10" s="1"/>
  <c r="AT305" i="10"/>
  <c r="AX305" i="10" s="1"/>
  <c r="CJ305" i="10" s="1"/>
  <c r="AJ305" i="10"/>
  <c r="AT304" i="10"/>
  <c r="AX304" i="10" s="1"/>
  <c r="AJ304" i="10"/>
  <c r="AT303" i="10"/>
  <c r="AX303" i="10" s="1"/>
  <c r="CJ303" i="10" s="1"/>
  <c r="AJ303" i="10"/>
  <c r="AT302" i="10"/>
  <c r="AJ302" i="10"/>
  <c r="AT301" i="10"/>
  <c r="AJ301" i="10"/>
  <c r="AT300" i="10"/>
  <c r="AX300" i="10" s="1"/>
  <c r="CJ300" i="10" s="1"/>
  <c r="AJ300" i="10"/>
  <c r="BE300" i="10" s="1"/>
  <c r="BT300" i="10" s="1"/>
  <c r="AT299" i="10"/>
  <c r="AJ299" i="10"/>
  <c r="AT298" i="10"/>
  <c r="AJ298" i="10"/>
  <c r="BE298" i="10" s="1"/>
  <c r="BT298" i="10" s="1"/>
  <c r="AT297" i="10"/>
  <c r="AX297" i="10" s="1"/>
  <c r="AJ297" i="10"/>
  <c r="BE297" i="10" s="1"/>
  <c r="BT297" i="10" s="1"/>
  <c r="AT296" i="10"/>
  <c r="AX296" i="10" s="1"/>
  <c r="AJ296" i="10"/>
  <c r="BE296" i="10" s="1"/>
  <c r="BT296" i="10" s="1"/>
  <c r="AT295" i="10"/>
  <c r="AJ295" i="10"/>
  <c r="EC295" i="10" s="1"/>
  <c r="AT294" i="10"/>
  <c r="AJ294" i="10"/>
  <c r="BE294" i="10" s="1"/>
  <c r="BT294" i="10" s="1"/>
  <c r="AT293" i="10"/>
  <c r="AX293" i="10" s="1"/>
  <c r="CJ293" i="10" s="1"/>
  <c r="AJ293" i="10"/>
  <c r="BE293" i="10" s="1"/>
  <c r="BT293" i="10" s="1"/>
  <c r="AT292" i="10"/>
  <c r="AJ292" i="10"/>
  <c r="BE292" i="10" s="1"/>
  <c r="BT292" i="10" s="1"/>
  <c r="AT291" i="10"/>
  <c r="AX291" i="10" s="1"/>
  <c r="CJ291" i="10" s="1"/>
  <c r="AJ291" i="10"/>
  <c r="BE291" i="10" s="1"/>
  <c r="BT291" i="10" s="1"/>
  <c r="AT290" i="10"/>
  <c r="AJ290" i="10"/>
  <c r="AT289" i="10"/>
  <c r="AJ289" i="10"/>
  <c r="BE289" i="10" s="1"/>
  <c r="BT289" i="10" s="1"/>
  <c r="AT288" i="10"/>
  <c r="AX288" i="10" s="1"/>
  <c r="CJ288" i="10" s="1"/>
  <c r="AJ288" i="10"/>
  <c r="BE288" i="10" s="1"/>
  <c r="BT288" i="10" s="1"/>
  <c r="AT287" i="10"/>
  <c r="AX287" i="10" s="1"/>
  <c r="CJ287" i="10" s="1"/>
  <c r="AJ287" i="10"/>
  <c r="BE287" i="10" s="1"/>
  <c r="BT287" i="10" s="1"/>
  <c r="AT286" i="10"/>
  <c r="AJ286" i="10"/>
  <c r="BE286" i="10" s="1"/>
  <c r="BT286" i="10" s="1"/>
  <c r="AT285" i="10"/>
  <c r="AJ285" i="10"/>
  <c r="BE285" i="10" s="1"/>
  <c r="BT285" i="10" s="1"/>
  <c r="AT284" i="10"/>
  <c r="AX284" i="10" s="1"/>
  <c r="AJ284" i="10"/>
  <c r="BE284" i="10" s="1"/>
  <c r="BT284" i="10" s="1"/>
  <c r="AT283" i="10"/>
  <c r="AJ283" i="10"/>
  <c r="BE283" i="10" s="1"/>
  <c r="BT283" i="10" s="1"/>
  <c r="AT282" i="10"/>
  <c r="AX282" i="10" s="1"/>
  <c r="CJ282" i="10" s="1"/>
  <c r="AJ282" i="10"/>
  <c r="AT281" i="10"/>
  <c r="AX281" i="10" s="1"/>
  <c r="CJ281" i="10" s="1"/>
  <c r="AJ281" i="10"/>
  <c r="AT280" i="10"/>
  <c r="AJ280" i="10"/>
  <c r="AT279" i="10"/>
  <c r="AJ279" i="10"/>
  <c r="AT278" i="10"/>
  <c r="AJ278" i="10"/>
  <c r="BE278" i="10" s="1"/>
  <c r="BT278" i="10" s="1"/>
  <c r="AT277" i="10"/>
  <c r="AJ277" i="10"/>
  <c r="BE277" i="10" s="1"/>
  <c r="BT277" i="10" s="1"/>
  <c r="AT276" i="10"/>
  <c r="AX276" i="10" s="1"/>
  <c r="CJ276" i="10" s="1"/>
  <c r="AJ276" i="10"/>
  <c r="BE276" i="10" s="1"/>
  <c r="BT276" i="10" s="1"/>
  <c r="AT275" i="10"/>
  <c r="AX275" i="10" s="1"/>
  <c r="CJ275" i="10" s="1"/>
  <c r="AJ275" i="10"/>
  <c r="BA275" i="10" s="1"/>
  <c r="BC275" i="10" s="1"/>
  <c r="AT274" i="10"/>
  <c r="AJ274" i="10"/>
  <c r="EC274" i="10" s="1"/>
  <c r="AT273" i="10"/>
  <c r="AJ273" i="10"/>
  <c r="AT272" i="10"/>
  <c r="AX272" i="10" s="1"/>
  <c r="CJ272" i="10" s="1"/>
  <c r="AJ272" i="10"/>
  <c r="BE272" i="10" s="1"/>
  <c r="BT272" i="10" s="1"/>
  <c r="AT271" i="10"/>
  <c r="AJ271" i="10"/>
  <c r="BE271" i="10" s="1"/>
  <c r="BT271" i="10" s="1"/>
  <c r="AT270" i="10"/>
  <c r="AJ270" i="10"/>
  <c r="AT269" i="10"/>
  <c r="AJ269" i="10"/>
  <c r="BE269" i="10" s="1"/>
  <c r="BT269" i="10" s="1"/>
  <c r="AT268" i="10"/>
  <c r="AJ268" i="10"/>
  <c r="BE268" i="10" s="1"/>
  <c r="BT268" i="10" s="1"/>
  <c r="AT267" i="10"/>
  <c r="AJ267" i="10"/>
  <c r="AT266" i="10"/>
  <c r="AJ266" i="10"/>
  <c r="AT265" i="10"/>
  <c r="AX265" i="10" s="1"/>
  <c r="CJ265" i="10" s="1"/>
  <c r="AJ265" i="10"/>
  <c r="BE265" i="10" s="1"/>
  <c r="BT265" i="10" s="1"/>
  <c r="AT264" i="10"/>
  <c r="AX264" i="10" s="1"/>
  <c r="CJ264" i="10" s="1"/>
  <c r="AJ264" i="10"/>
  <c r="BE264" i="10" s="1"/>
  <c r="BT264" i="10" s="1"/>
  <c r="AT263" i="10"/>
  <c r="AX263" i="10" s="1"/>
  <c r="CJ263" i="10" s="1"/>
  <c r="AJ263" i="10"/>
  <c r="BE263" i="10" s="1"/>
  <c r="BT263" i="10" s="1"/>
  <c r="AT262" i="10"/>
  <c r="AJ262" i="10"/>
  <c r="BE262" i="10" s="1"/>
  <c r="BT262" i="10" s="1"/>
  <c r="AT261" i="10"/>
  <c r="AJ261" i="10"/>
  <c r="AT260" i="10"/>
  <c r="AJ260" i="10"/>
  <c r="BE260" i="10" s="1"/>
  <c r="BT260" i="10" s="1"/>
  <c r="AT259" i="10"/>
  <c r="AJ259" i="10"/>
  <c r="BE259" i="10" s="1"/>
  <c r="BT259" i="10" s="1"/>
  <c r="AT258" i="10"/>
  <c r="AJ258" i="10"/>
  <c r="BE258" i="10" s="1"/>
  <c r="BT258" i="10" s="1"/>
  <c r="AT257" i="10"/>
  <c r="AJ257" i="10"/>
  <c r="AT256" i="10"/>
  <c r="AJ256" i="10"/>
  <c r="AT255" i="10"/>
  <c r="AJ255" i="10"/>
  <c r="AT254" i="10"/>
  <c r="AX254" i="10" s="1"/>
  <c r="CJ254" i="10" s="1"/>
  <c r="AJ254" i="10"/>
  <c r="AT253" i="10"/>
  <c r="AJ253" i="10"/>
  <c r="BE253" i="10" s="1"/>
  <c r="BT253" i="10" s="1"/>
  <c r="AT252" i="10"/>
  <c r="AJ252" i="10"/>
  <c r="BE252" i="10" s="1"/>
  <c r="BT252" i="10" s="1"/>
  <c r="AT251" i="10"/>
  <c r="AU251" i="10" s="1"/>
  <c r="AJ251" i="10"/>
  <c r="BE251" i="10" s="1"/>
  <c r="BT251" i="10" s="1"/>
  <c r="AT250" i="10"/>
  <c r="AJ250" i="10"/>
  <c r="AT249" i="10"/>
  <c r="AJ249" i="10"/>
  <c r="BE249" i="10" s="1"/>
  <c r="BT249" i="10" s="1"/>
  <c r="AT248" i="10"/>
  <c r="AX248" i="10" s="1"/>
  <c r="CJ248" i="10" s="1"/>
  <c r="AJ248" i="10"/>
  <c r="AT247" i="10"/>
  <c r="AJ247" i="10"/>
  <c r="BE247" i="10" s="1"/>
  <c r="BT247" i="10" s="1"/>
  <c r="AT246" i="10"/>
  <c r="AJ246" i="10"/>
  <c r="AT245" i="10"/>
  <c r="AX245" i="10" s="1"/>
  <c r="CJ245" i="10" s="1"/>
  <c r="AJ245" i="10"/>
  <c r="BE245" i="10" s="1"/>
  <c r="BT245" i="10" s="1"/>
  <c r="AT244" i="10"/>
  <c r="AJ244" i="10"/>
  <c r="EC244" i="10" s="1"/>
  <c r="AT243" i="10"/>
  <c r="AJ243" i="10"/>
  <c r="AT242" i="10"/>
  <c r="AJ242" i="10"/>
  <c r="AT241" i="10"/>
  <c r="AJ241" i="10"/>
  <c r="AT240" i="10"/>
  <c r="AJ240" i="10"/>
  <c r="AT239" i="10"/>
  <c r="AJ239" i="10"/>
  <c r="AT238" i="10"/>
  <c r="AJ238" i="10"/>
  <c r="AT237" i="10"/>
  <c r="AX237" i="10" s="1"/>
  <c r="CJ237" i="10" s="1"/>
  <c r="AJ237" i="10"/>
  <c r="BE237" i="10" s="1"/>
  <c r="BT237" i="10" s="1"/>
  <c r="AT236" i="10"/>
  <c r="AJ236" i="10"/>
  <c r="AT235" i="10"/>
  <c r="AJ235" i="10"/>
  <c r="AT234" i="10"/>
  <c r="AX234" i="10" s="1"/>
  <c r="CJ234" i="10" s="1"/>
  <c r="AJ234" i="10"/>
  <c r="AT233" i="10"/>
  <c r="AU233" i="10" s="1"/>
  <c r="AJ233" i="10"/>
  <c r="BE233" i="10" s="1"/>
  <c r="BT233" i="10" s="1"/>
  <c r="AT232" i="10"/>
  <c r="AJ232" i="10"/>
  <c r="BE232" i="10" s="1"/>
  <c r="BT232" i="10" s="1"/>
  <c r="AT231" i="10"/>
  <c r="AJ231" i="10"/>
  <c r="EC231" i="10" s="1"/>
  <c r="AT230" i="10"/>
  <c r="AJ230" i="10"/>
  <c r="EC230" i="10" s="1"/>
  <c r="AT229" i="10"/>
  <c r="AJ229" i="10"/>
  <c r="BE229" i="10" s="1"/>
  <c r="BT229" i="10" s="1"/>
  <c r="AT228" i="10"/>
  <c r="AX228" i="10" s="1"/>
  <c r="AJ228" i="10"/>
  <c r="BE228" i="10" s="1"/>
  <c r="BT228" i="10" s="1"/>
  <c r="AT227" i="10"/>
  <c r="AJ227" i="10"/>
  <c r="BE227" i="10" s="1"/>
  <c r="BT227" i="10" s="1"/>
  <c r="AT226" i="10"/>
  <c r="AJ226" i="10"/>
  <c r="BE226" i="10" s="1"/>
  <c r="BT226" i="10" s="1"/>
  <c r="AT225" i="10"/>
  <c r="AX225" i="10" s="1"/>
  <c r="CJ225" i="10" s="1"/>
  <c r="AJ225" i="10"/>
  <c r="BE225" i="10" s="1"/>
  <c r="BT225" i="10" s="1"/>
  <c r="AT224" i="10"/>
  <c r="AJ224" i="10"/>
  <c r="BE224" i="10" s="1"/>
  <c r="BT224" i="10" s="1"/>
  <c r="AT223" i="10"/>
  <c r="AJ223" i="10"/>
  <c r="BE223" i="10" s="1"/>
  <c r="BT223" i="10" s="1"/>
  <c r="AT222" i="10"/>
  <c r="AX222" i="10" s="1"/>
  <c r="CJ222" i="10" s="1"/>
  <c r="AJ222" i="10"/>
  <c r="BA222" i="10" s="1"/>
  <c r="BC222" i="10" s="1"/>
  <c r="AT221" i="10"/>
  <c r="AX221" i="10" s="1"/>
  <c r="CJ221" i="10" s="1"/>
  <c r="AJ221" i="10"/>
  <c r="BE221" i="10" s="1"/>
  <c r="BT221" i="10" s="1"/>
  <c r="AT220" i="10"/>
  <c r="AU220" i="10" s="1"/>
  <c r="AJ220" i="10"/>
  <c r="AT219" i="10"/>
  <c r="AX219" i="10" s="1"/>
  <c r="CJ219" i="10" s="1"/>
  <c r="AJ219" i="10"/>
  <c r="AT218" i="10"/>
  <c r="AJ218" i="10"/>
  <c r="BE218" i="10" s="1"/>
  <c r="BT218" i="10" s="1"/>
  <c r="AT217" i="10"/>
  <c r="AJ217" i="10"/>
  <c r="BE217" i="10" s="1"/>
  <c r="BT217" i="10" s="1"/>
  <c r="AT216" i="10"/>
  <c r="AJ216" i="10"/>
  <c r="BA216" i="10" s="1"/>
  <c r="BC216" i="10" s="1"/>
  <c r="AT215" i="10"/>
  <c r="AX215" i="10" s="1"/>
  <c r="CJ215" i="10" s="1"/>
  <c r="AJ215" i="10"/>
  <c r="AT214" i="10"/>
  <c r="AJ214" i="10"/>
  <c r="BE214" i="10" s="1"/>
  <c r="BT214" i="10" s="1"/>
  <c r="AT213" i="10"/>
  <c r="AX213" i="10" s="1"/>
  <c r="CJ213" i="10" s="1"/>
  <c r="AJ213" i="10"/>
  <c r="BE213" i="10" s="1"/>
  <c r="BT213" i="10" s="1"/>
  <c r="AT212" i="10"/>
  <c r="AJ212" i="10"/>
  <c r="BE212" i="10" s="1"/>
  <c r="BT212" i="10" s="1"/>
  <c r="AT211" i="10"/>
  <c r="AJ211" i="10"/>
  <c r="AT210" i="10"/>
  <c r="AX210" i="10" s="1"/>
  <c r="CJ210" i="10" s="1"/>
  <c r="AJ210" i="10"/>
  <c r="BE210" i="10" s="1"/>
  <c r="BT210" i="10" s="1"/>
  <c r="AT209" i="10"/>
  <c r="AX209" i="10" s="1"/>
  <c r="CJ209" i="10" s="1"/>
  <c r="AJ209" i="10"/>
  <c r="BE209" i="10" s="1"/>
  <c r="BT209" i="10" s="1"/>
  <c r="AT208" i="10"/>
  <c r="AJ208" i="10"/>
  <c r="BE208" i="10" s="1"/>
  <c r="BT208" i="10" s="1"/>
  <c r="AT207" i="10"/>
  <c r="AX207" i="10" s="1"/>
  <c r="CJ207" i="10" s="1"/>
  <c r="AJ207" i="10"/>
  <c r="BE207" i="10" s="1"/>
  <c r="BT207" i="10" s="1"/>
  <c r="AT206" i="10"/>
  <c r="AX206" i="10" s="1"/>
  <c r="CJ206" i="10" s="1"/>
  <c r="AJ206" i="10"/>
  <c r="EC206" i="10" s="1"/>
  <c r="AT205" i="10"/>
  <c r="AJ205" i="10"/>
  <c r="BE205" i="10" s="1"/>
  <c r="BT205" i="10" s="1"/>
  <c r="AT204" i="10"/>
  <c r="AX204" i="10" s="1"/>
  <c r="CJ204" i="10" s="1"/>
  <c r="AJ204" i="10"/>
  <c r="BE204" i="10" s="1"/>
  <c r="BT204" i="10" s="1"/>
  <c r="AT203" i="10"/>
  <c r="AX203" i="10" s="1"/>
  <c r="CJ203" i="10" s="1"/>
  <c r="AJ203" i="10"/>
  <c r="BE203" i="10" s="1"/>
  <c r="BT203" i="10" s="1"/>
  <c r="AT202" i="10"/>
  <c r="AJ202" i="10"/>
  <c r="AT201" i="10"/>
  <c r="AJ201" i="10"/>
  <c r="AT200" i="10"/>
  <c r="AX200" i="10" s="1"/>
  <c r="CJ200" i="10" s="1"/>
  <c r="AJ200" i="10"/>
  <c r="BE200" i="10" s="1"/>
  <c r="BT200" i="10" s="1"/>
  <c r="AT199" i="10"/>
  <c r="AJ199" i="10"/>
  <c r="BE199" i="10" s="1"/>
  <c r="BT199" i="10" s="1"/>
  <c r="AT198" i="10"/>
  <c r="AX198" i="10" s="1"/>
  <c r="CJ198" i="10" s="1"/>
  <c r="AJ198" i="10"/>
  <c r="BE198" i="10" s="1"/>
  <c r="BT198" i="10" s="1"/>
  <c r="AT197" i="10"/>
  <c r="AX197" i="10" s="1"/>
  <c r="CJ197" i="10" s="1"/>
  <c r="AJ197" i="10"/>
  <c r="BE197" i="10" s="1"/>
  <c r="BT197" i="10" s="1"/>
  <c r="AT196" i="10"/>
  <c r="AJ196" i="10"/>
  <c r="AT195" i="10"/>
  <c r="AX195" i="10" s="1"/>
  <c r="CJ195" i="10" s="1"/>
  <c r="AJ195" i="10"/>
  <c r="BE195" i="10" s="1"/>
  <c r="BT195" i="10" s="1"/>
  <c r="AT194" i="10"/>
  <c r="AX194" i="10" s="1"/>
  <c r="CJ194" i="10" s="1"/>
  <c r="AJ194" i="10"/>
  <c r="BE194" i="10" s="1"/>
  <c r="BT194" i="10" s="1"/>
  <c r="AT193" i="10"/>
  <c r="AJ193" i="10"/>
  <c r="BE193" i="10" s="1"/>
  <c r="BT193" i="10" s="1"/>
  <c r="AT192" i="10"/>
  <c r="AX192" i="10" s="1"/>
  <c r="CJ192" i="10" s="1"/>
  <c r="AJ192" i="10"/>
  <c r="AT191" i="10"/>
  <c r="AX191" i="10" s="1"/>
  <c r="CJ191" i="10" s="1"/>
  <c r="AJ191" i="10"/>
  <c r="BE191" i="10" s="1"/>
  <c r="BT191" i="10" s="1"/>
  <c r="AT190" i="10"/>
  <c r="AJ190" i="10"/>
  <c r="BE190" i="10" s="1"/>
  <c r="BT190" i="10" s="1"/>
  <c r="AT189" i="10"/>
  <c r="AX189" i="10" s="1"/>
  <c r="CJ189" i="10" s="1"/>
  <c r="AJ189" i="10"/>
  <c r="BE189" i="10" s="1"/>
  <c r="BT189" i="10" s="1"/>
  <c r="AT188" i="10"/>
  <c r="AJ188" i="10"/>
  <c r="BA188" i="10" s="1"/>
  <c r="BC188" i="10" s="1"/>
  <c r="AT187" i="10"/>
  <c r="AX187" i="10" s="1"/>
  <c r="CJ187" i="10" s="1"/>
  <c r="AJ187" i="10"/>
  <c r="BE187" i="10" s="1"/>
  <c r="BT187" i="10" s="1"/>
  <c r="AT186" i="10"/>
  <c r="AJ186" i="10"/>
  <c r="BE186" i="10" s="1"/>
  <c r="BT186" i="10" s="1"/>
  <c r="AT185" i="10"/>
  <c r="AX185" i="10" s="1"/>
  <c r="CJ185" i="10" s="1"/>
  <c r="AJ185" i="10"/>
  <c r="BE185" i="10" s="1"/>
  <c r="BT185" i="10" s="1"/>
  <c r="AT184" i="10"/>
  <c r="AJ184" i="10"/>
  <c r="BE184" i="10" s="1"/>
  <c r="BT184" i="10" s="1"/>
  <c r="AT183" i="10"/>
  <c r="AJ183" i="10"/>
  <c r="BE183" i="10" s="1"/>
  <c r="BT183" i="10" s="1"/>
  <c r="AT182" i="10"/>
  <c r="AJ182" i="10"/>
  <c r="BE182" i="10" s="1"/>
  <c r="BT182" i="10" s="1"/>
  <c r="AT181" i="10"/>
  <c r="AJ181" i="10"/>
  <c r="BE181" i="10" s="1"/>
  <c r="BT181" i="10" s="1"/>
  <c r="AT180" i="10"/>
  <c r="AJ180" i="10"/>
  <c r="BE180" i="10" s="1"/>
  <c r="BT180" i="10" s="1"/>
  <c r="AT179" i="10"/>
  <c r="AX179" i="10" s="1"/>
  <c r="CJ179" i="10" s="1"/>
  <c r="AJ179" i="10"/>
  <c r="BE179" i="10" s="1"/>
  <c r="BT179" i="10" s="1"/>
  <c r="AT178" i="10"/>
  <c r="AJ178" i="10"/>
  <c r="BE178" i="10" s="1"/>
  <c r="BT178" i="10" s="1"/>
  <c r="AT177" i="10"/>
  <c r="AX177" i="10" s="1"/>
  <c r="CJ177" i="10" s="1"/>
  <c r="AJ177" i="10"/>
  <c r="BE177" i="10" s="1"/>
  <c r="BT177" i="10" s="1"/>
  <c r="AT176" i="10"/>
  <c r="AJ176" i="10"/>
  <c r="BE176" i="10" s="1"/>
  <c r="BT176" i="10" s="1"/>
  <c r="AT175" i="10"/>
  <c r="AX175" i="10" s="1"/>
  <c r="CJ175" i="10" s="1"/>
  <c r="AJ175" i="10"/>
  <c r="BE175" i="10" s="1"/>
  <c r="BT175" i="10" s="1"/>
  <c r="AT174" i="10"/>
  <c r="AX174" i="10" s="1"/>
  <c r="CJ174" i="10" s="1"/>
  <c r="AJ174" i="10"/>
  <c r="BE174" i="10" s="1"/>
  <c r="BT174" i="10" s="1"/>
  <c r="AT173" i="10"/>
  <c r="AX173" i="10" s="1"/>
  <c r="CJ173" i="10" s="1"/>
  <c r="AJ173" i="10"/>
  <c r="BE173" i="10" s="1"/>
  <c r="BT173" i="10" s="1"/>
  <c r="AT172" i="10"/>
  <c r="AJ172" i="10"/>
  <c r="AT171" i="10"/>
  <c r="AJ171" i="10"/>
  <c r="AT170" i="10"/>
  <c r="AX170" i="10" s="1"/>
  <c r="CJ170" i="10" s="1"/>
  <c r="AJ170" i="10"/>
  <c r="BE170" i="10" s="1"/>
  <c r="BT170" i="10" s="1"/>
  <c r="AT169" i="10"/>
  <c r="AJ169" i="10"/>
  <c r="BE169" i="10" s="1"/>
  <c r="BT169" i="10" s="1"/>
  <c r="AT168" i="10"/>
  <c r="AJ168" i="10"/>
  <c r="AT167" i="10"/>
  <c r="AX167" i="10" s="1"/>
  <c r="CJ167" i="10" s="1"/>
  <c r="AJ167" i="10"/>
  <c r="BE167" i="10" s="1"/>
  <c r="BT167" i="10" s="1"/>
  <c r="AT166" i="10"/>
  <c r="AJ166" i="10"/>
  <c r="AT165" i="10"/>
  <c r="AJ165" i="10"/>
  <c r="BE165" i="10" s="1"/>
  <c r="BT165" i="10" s="1"/>
  <c r="AT164" i="10"/>
  <c r="AX164" i="10" s="1"/>
  <c r="CJ164" i="10" s="1"/>
  <c r="AJ164" i="10"/>
  <c r="BE164" i="10" s="1"/>
  <c r="BT164" i="10" s="1"/>
  <c r="AT163" i="10"/>
  <c r="AJ163" i="10"/>
  <c r="BE163" i="10" s="1"/>
  <c r="BT163" i="10" s="1"/>
  <c r="AT162" i="10"/>
  <c r="AJ162" i="10"/>
  <c r="AT161" i="10"/>
  <c r="AU161" i="10" s="1"/>
  <c r="AJ161" i="10"/>
  <c r="AT160" i="10"/>
  <c r="AJ160" i="10"/>
  <c r="BE160" i="10" s="1"/>
  <c r="BT160" i="10" s="1"/>
  <c r="AT159" i="10"/>
  <c r="AJ159" i="10"/>
  <c r="BE159" i="10" s="1"/>
  <c r="BT159" i="10" s="1"/>
  <c r="AT158" i="10"/>
  <c r="AX158" i="10" s="1"/>
  <c r="CJ158" i="10" s="1"/>
  <c r="AJ158" i="10"/>
  <c r="BE158" i="10" s="1"/>
  <c r="BT158" i="10" s="1"/>
  <c r="AT157" i="10"/>
  <c r="AJ157" i="10"/>
  <c r="AT156" i="10"/>
  <c r="AJ156" i="10"/>
  <c r="AT155" i="10"/>
  <c r="AX155" i="10" s="1"/>
  <c r="CJ155" i="10" s="1"/>
  <c r="AJ155" i="10"/>
  <c r="AT154" i="10"/>
  <c r="AJ154" i="10"/>
  <c r="AT153" i="10"/>
  <c r="AX153" i="10" s="1"/>
  <c r="CJ153" i="10" s="1"/>
  <c r="AJ153" i="10"/>
  <c r="BE153" i="10" s="1"/>
  <c r="BT153" i="10" s="1"/>
  <c r="AT152" i="10"/>
  <c r="AX152" i="10" s="1"/>
  <c r="CJ152" i="10" s="1"/>
  <c r="AJ152" i="10"/>
  <c r="BE152" i="10" s="1"/>
  <c r="BT152" i="10" s="1"/>
  <c r="AT151" i="10"/>
  <c r="AJ151" i="10"/>
  <c r="BE151" i="10" s="1"/>
  <c r="BT151" i="10" s="1"/>
  <c r="AT150" i="10"/>
  <c r="AX150" i="10" s="1"/>
  <c r="CJ150" i="10" s="1"/>
  <c r="AJ150" i="10"/>
  <c r="AT149" i="10"/>
  <c r="AX149" i="10" s="1"/>
  <c r="CJ149" i="10" s="1"/>
  <c r="AJ149" i="10"/>
  <c r="BE149" i="10" s="1"/>
  <c r="BT149" i="10" s="1"/>
  <c r="AT148" i="10"/>
  <c r="AJ148" i="10"/>
  <c r="BE148" i="10" s="1"/>
  <c r="BT148" i="10" s="1"/>
  <c r="AT147" i="10"/>
  <c r="AX147" i="10" s="1"/>
  <c r="AJ147" i="10"/>
  <c r="BE147" i="10" s="1"/>
  <c r="BT147" i="10" s="1"/>
  <c r="AT146" i="10"/>
  <c r="AJ146" i="10"/>
  <c r="BE146" i="10" s="1"/>
  <c r="BT146" i="10" s="1"/>
  <c r="AT145" i="10"/>
  <c r="AJ145" i="10"/>
  <c r="BE145" i="10" s="1"/>
  <c r="BT145" i="10" s="1"/>
  <c r="AT144" i="10"/>
  <c r="AJ144" i="10"/>
  <c r="AT143" i="10"/>
  <c r="AX143" i="10" s="1"/>
  <c r="CJ143" i="10" s="1"/>
  <c r="AJ143" i="10"/>
  <c r="AT142" i="10"/>
  <c r="AJ142" i="10"/>
  <c r="AT141" i="10"/>
  <c r="AX141" i="10" s="1"/>
  <c r="CJ141" i="10" s="1"/>
  <c r="AJ141" i="10"/>
  <c r="BE141" i="10" s="1"/>
  <c r="BT141" i="10" s="1"/>
  <c r="AT140" i="10"/>
  <c r="AJ140" i="10"/>
  <c r="BA140" i="10" s="1"/>
  <c r="BC140" i="10" s="1"/>
  <c r="AT139" i="10"/>
  <c r="AJ139" i="10"/>
  <c r="AT138" i="10"/>
  <c r="AX138" i="10" s="1"/>
  <c r="AJ138" i="10"/>
  <c r="BE138" i="10" s="1"/>
  <c r="BT138" i="10" s="1"/>
  <c r="AT137" i="10"/>
  <c r="AX137" i="10" s="1"/>
  <c r="CJ137" i="10" s="1"/>
  <c r="AJ137" i="10"/>
  <c r="BE137" i="10" s="1"/>
  <c r="BT137" i="10" s="1"/>
  <c r="AT136" i="10"/>
  <c r="AJ136" i="10"/>
  <c r="AT135" i="10"/>
  <c r="AX135" i="10" s="1"/>
  <c r="CJ135" i="10" s="1"/>
  <c r="AJ135" i="10"/>
  <c r="BE135" i="10" s="1"/>
  <c r="BT135" i="10" s="1"/>
  <c r="AT134" i="10"/>
  <c r="AX134" i="10" s="1"/>
  <c r="CJ134" i="10" s="1"/>
  <c r="AJ134" i="10"/>
  <c r="BE134" i="10" s="1"/>
  <c r="BT134" i="10" s="1"/>
  <c r="AT133" i="10"/>
  <c r="AJ133" i="10"/>
  <c r="AT132" i="10"/>
  <c r="AJ132" i="10"/>
  <c r="AT131" i="10"/>
  <c r="AX131" i="10" s="1"/>
  <c r="CJ131" i="10" s="1"/>
  <c r="AJ131" i="10"/>
  <c r="BE131" i="10" s="1"/>
  <c r="BT131" i="10" s="1"/>
  <c r="AT130" i="10"/>
  <c r="AJ130" i="10"/>
  <c r="AT129" i="10"/>
  <c r="AJ129" i="10"/>
  <c r="BE129" i="10" s="1"/>
  <c r="BT129" i="10" s="1"/>
  <c r="AT128" i="10"/>
  <c r="AJ128" i="10"/>
  <c r="AT127" i="10"/>
  <c r="AJ127" i="10"/>
  <c r="AT126" i="10"/>
  <c r="AX126" i="10" s="1"/>
  <c r="CJ126" i="10" s="1"/>
  <c r="AJ126" i="10"/>
  <c r="BE126" i="10" s="1"/>
  <c r="BT126" i="10" s="1"/>
  <c r="AT125" i="10"/>
  <c r="AX125" i="10" s="1"/>
  <c r="CJ125" i="10" s="1"/>
  <c r="AJ125" i="10"/>
  <c r="BE125" i="10" s="1"/>
  <c r="BT125" i="10" s="1"/>
  <c r="AT124" i="10"/>
  <c r="AJ124" i="10"/>
  <c r="AT123" i="10"/>
  <c r="AJ123" i="10"/>
  <c r="AT122" i="10"/>
  <c r="AJ122" i="10"/>
  <c r="AT121" i="10"/>
  <c r="AJ121" i="10"/>
  <c r="BE121" i="10" s="1"/>
  <c r="BT121" i="10" s="1"/>
  <c r="AT120" i="10"/>
  <c r="AX120" i="10" s="1"/>
  <c r="CJ120" i="10" s="1"/>
  <c r="AJ120" i="10"/>
  <c r="AT119" i="10"/>
  <c r="AX119" i="10" s="1"/>
  <c r="CJ119" i="10" s="1"/>
  <c r="AJ119" i="10"/>
  <c r="BE119" i="10" s="1"/>
  <c r="BT119" i="10" s="1"/>
  <c r="AT118" i="10"/>
  <c r="AJ118" i="10"/>
  <c r="AT117" i="10"/>
  <c r="AX117" i="10" s="1"/>
  <c r="CJ117" i="10" s="1"/>
  <c r="AJ117" i="10"/>
  <c r="BE117" i="10" s="1"/>
  <c r="BT117" i="10" s="1"/>
  <c r="AT116" i="10"/>
  <c r="AJ116" i="10"/>
  <c r="AT115" i="10"/>
  <c r="AJ115" i="10"/>
  <c r="AT114" i="10"/>
  <c r="AJ114" i="10"/>
  <c r="BE114" i="10" s="1"/>
  <c r="BT114" i="10" s="1"/>
  <c r="AT113" i="10"/>
  <c r="AX113" i="10" s="1"/>
  <c r="CJ113" i="10" s="1"/>
  <c r="AJ113" i="10"/>
  <c r="BE113" i="10" s="1"/>
  <c r="BT113" i="10" s="1"/>
  <c r="AT112" i="10"/>
  <c r="AJ112" i="10"/>
  <c r="AT111" i="10"/>
  <c r="AX111" i="10" s="1"/>
  <c r="CJ111" i="10" s="1"/>
  <c r="AJ111" i="10"/>
  <c r="BE111" i="10" s="1"/>
  <c r="BT111" i="10" s="1"/>
  <c r="AT110" i="10"/>
  <c r="AJ110" i="10"/>
  <c r="BE110" i="10" s="1"/>
  <c r="BT110" i="10" s="1"/>
  <c r="AT109" i="10"/>
  <c r="AX109" i="10" s="1"/>
  <c r="CJ109" i="10" s="1"/>
  <c r="AJ109" i="10"/>
  <c r="AT108" i="10"/>
  <c r="AX108" i="10" s="1"/>
  <c r="CJ108" i="10" s="1"/>
  <c r="AJ108" i="10"/>
  <c r="BE108" i="10" s="1"/>
  <c r="BT108" i="10" s="1"/>
  <c r="AT107" i="10"/>
  <c r="AX107" i="10" s="1"/>
  <c r="CJ107" i="10" s="1"/>
  <c r="AJ107" i="10"/>
  <c r="BE107" i="10" s="1"/>
  <c r="BT107" i="10" s="1"/>
  <c r="AT106" i="10"/>
  <c r="AJ106" i="10"/>
  <c r="AT105" i="10"/>
  <c r="AX105" i="10" s="1"/>
  <c r="CJ105" i="10" s="1"/>
  <c r="AJ105" i="10"/>
  <c r="BE105" i="10" s="1"/>
  <c r="BT105" i="10" s="1"/>
  <c r="AT104" i="10"/>
  <c r="AX104" i="10" s="1"/>
  <c r="CJ104" i="10" s="1"/>
  <c r="AJ104" i="10"/>
  <c r="BE104" i="10" s="1"/>
  <c r="BT104" i="10" s="1"/>
  <c r="AT103" i="10"/>
  <c r="AX103" i="10" s="1"/>
  <c r="CJ103" i="10" s="1"/>
  <c r="AJ103" i="10"/>
  <c r="BE103" i="10" s="1"/>
  <c r="BT103" i="10" s="1"/>
  <c r="AT102" i="10"/>
  <c r="AJ102" i="10"/>
  <c r="BE102" i="10" s="1"/>
  <c r="BT102" i="10" s="1"/>
  <c r="AT101" i="10"/>
  <c r="AX101" i="10" s="1"/>
  <c r="CJ101" i="10" s="1"/>
  <c r="AJ101" i="10"/>
  <c r="AT100" i="10"/>
  <c r="AJ100" i="10"/>
  <c r="AT99" i="10"/>
  <c r="AJ99" i="10"/>
  <c r="BE99" i="10" s="1"/>
  <c r="BT99" i="10" s="1"/>
  <c r="AT98" i="10"/>
  <c r="AJ98" i="10"/>
  <c r="BE98" i="10" s="1"/>
  <c r="BT98" i="10" s="1"/>
  <c r="AT97" i="10"/>
  <c r="AJ97" i="10"/>
  <c r="BA97" i="10" s="1"/>
  <c r="BC97" i="10" s="1"/>
  <c r="AT96" i="10"/>
  <c r="AX96" i="10" s="1"/>
  <c r="CJ96" i="10" s="1"/>
  <c r="AJ96" i="10"/>
  <c r="BE96" i="10" s="1"/>
  <c r="BT96" i="10" s="1"/>
  <c r="AT95" i="10"/>
  <c r="AJ95" i="10"/>
  <c r="BE95" i="10" s="1"/>
  <c r="BT95" i="10" s="1"/>
  <c r="AT94" i="10"/>
  <c r="CG94" i="10" s="1"/>
  <c r="AJ94" i="10"/>
  <c r="BE94" i="10" s="1"/>
  <c r="BT94" i="10" s="1"/>
  <c r="AT93" i="10"/>
  <c r="AJ93" i="10"/>
  <c r="BE93" i="10" s="1"/>
  <c r="BT93" i="10" s="1"/>
  <c r="AT92" i="10"/>
  <c r="AJ92" i="10"/>
  <c r="EC92" i="10" s="1"/>
  <c r="AT91" i="10"/>
  <c r="AJ91" i="10"/>
  <c r="BE91" i="10" s="1"/>
  <c r="BT91" i="10" s="1"/>
  <c r="AT90" i="10"/>
  <c r="AX90" i="10" s="1"/>
  <c r="CJ90" i="10" s="1"/>
  <c r="AJ90" i="10"/>
  <c r="BE90" i="10" s="1"/>
  <c r="BT90" i="10" s="1"/>
  <c r="AT89" i="10"/>
  <c r="AX89" i="10" s="1"/>
  <c r="CJ89" i="10" s="1"/>
  <c r="AJ89" i="10"/>
  <c r="AT88" i="10"/>
  <c r="AX88" i="10" s="1"/>
  <c r="AJ88" i="10"/>
  <c r="BE88" i="10" s="1"/>
  <c r="BT88" i="10" s="1"/>
  <c r="AT87" i="10"/>
  <c r="AJ87" i="10"/>
  <c r="BE87" i="10" s="1"/>
  <c r="BT87" i="10" s="1"/>
  <c r="AT86" i="10"/>
  <c r="AX86" i="10" s="1"/>
  <c r="CJ86" i="10" s="1"/>
  <c r="AJ86" i="10"/>
  <c r="BE86" i="10" s="1"/>
  <c r="BT86" i="10" s="1"/>
  <c r="AT85" i="10"/>
  <c r="AJ85" i="10"/>
  <c r="BE85" i="10" s="1"/>
  <c r="BT85" i="10" s="1"/>
  <c r="AT84" i="10"/>
  <c r="AJ84" i="10"/>
  <c r="BE84" i="10" s="1"/>
  <c r="BT84" i="10" s="1"/>
  <c r="AT83" i="10"/>
  <c r="AX83" i="10" s="1"/>
  <c r="CJ83" i="10" s="1"/>
  <c r="AJ83" i="10"/>
  <c r="BE83" i="10" s="1"/>
  <c r="BT83" i="10" s="1"/>
  <c r="AT82" i="10"/>
  <c r="AJ82" i="10"/>
  <c r="BE82" i="10" s="1"/>
  <c r="BT82" i="10" s="1"/>
  <c r="AT81" i="10"/>
  <c r="AX81" i="10" s="1"/>
  <c r="CJ81" i="10" s="1"/>
  <c r="AJ81" i="10"/>
  <c r="BE81" i="10" s="1"/>
  <c r="BT81" i="10" s="1"/>
  <c r="AT80" i="10"/>
  <c r="AJ80" i="10"/>
  <c r="BE80" i="10" s="1"/>
  <c r="BT80" i="10" s="1"/>
  <c r="AT79" i="10"/>
  <c r="AJ79" i="10"/>
  <c r="BE79" i="10" s="1"/>
  <c r="BT79" i="10" s="1"/>
  <c r="AT78" i="10"/>
  <c r="AJ78" i="10"/>
  <c r="BE78" i="10" s="1"/>
  <c r="BT78" i="10" s="1"/>
  <c r="AT77" i="10"/>
  <c r="AJ77" i="10"/>
  <c r="BE77" i="10" s="1"/>
  <c r="BT77" i="10" s="1"/>
  <c r="AT76" i="10"/>
  <c r="AJ76" i="10"/>
  <c r="BE76" i="10" s="1"/>
  <c r="BT76" i="10" s="1"/>
  <c r="AT75" i="10"/>
  <c r="AX75" i="10" s="1"/>
  <c r="CJ75" i="10" s="1"/>
  <c r="AJ75" i="10"/>
  <c r="BE75" i="10" s="1"/>
  <c r="BT75" i="10" s="1"/>
  <c r="AT74" i="10"/>
  <c r="AX74" i="10" s="1"/>
  <c r="CJ74" i="10" s="1"/>
  <c r="AJ74" i="10"/>
  <c r="BE74" i="10" s="1"/>
  <c r="BT74" i="10" s="1"/>
  <c r="AT73" i="10"/>
  <c r="AX73" i="10" s="1"/>
  <c r="CJ73" i="10" s="1"/>
  <c r="AJ73" i="10"/>
  <c r="BE73" i="10" s="1"/>
  <c r="BT73" i="10" s="1"/>
  <c r="AT72" i="10"/>
  <c r="AJ72" i="10"/>
  <c r="BE72" i="10" s="1"/>
  <c r="BT72" i="10" s="1"/>
  <c r="AT71" i="10"/>
  <c r="AX71" i="10" s="1"/>
  <c r="CJ71" i="10" s="1"/>
  <c r="AJ71" i="10"/>
  <c r="BE71" i="10" s="1"/>
  <c r="BT71" i="10" s="1"/>
  <c r="AT70" i="10"/>
  <c r="AJ70" i="10"/>
  <c r="BE70" i="10" s="1"/>
  <c r="BT70" i="10" s="1"/>
  <c r="AT69" i="10"/>
  <c r="AJ69" i="10"/>
  <c r="BE69" i="10" s="1"/>
  <c r="BT69" i="10" s="1"/>
  <c r="AT68" i="10"/>
  <c r="AX68" i="10" s="1"/>
  <c r="CJ68" i="10" s="1"/>
  <c r="AJ68" i="10"/>
  <c r="BE68" i="10" s="1"/>
  <c r="BT68" i="10" s="1"/>
  <c r="AT67" i="10"/>
  <c r="AX67" i="10" s="1"/>
  <c r="CJ67" i="10" s="1"/>
  <c r="AJ67" i="10"/>
  <c r="AT66" i="10"/>
  <c r="AJ66" i="10"/>
  <c r="BE66" i="10" s="1"/>
  <c r="BT66" i="10" s="1"/>
  <c r="AT65" i="10"/>
  <c r="AX65" i="10" s="1"/>
  <c r="CJ65" i="10" s="1"/>
  <c r="AJ65" i="10"/>
  <c r="BE65" i="10" s="1"/>
  <c r="BT65" i="10" s="1"/>
  <c r="AT64" i="10"/>
  <c r="AJ64" i="10"/>
  <c r="BE64" i="10" s="1"/>
  <c r="BT64" i="10" s="1"/>
  <c r="AT63" i="10"/>
  <c r="AJ63" i="10"/>
  <c r="AT62" i="10"/>
  <c r="AX62" i="10" s="1"/>
  <c r="CJ62" i="10" s="1"/>
  <c r="AJ62" i="10"/>
  <c r="BE62" i="10" s="1"/>
  <c r="BT62" i="10" s="1"/>
  <c r="AT61" i="10"/>
  <c r="AX61" i="10" s="1"/>
  <c r="CJ61" i="10" s="1"/>
  <c r="AJ61" i="10"/>
  <c r="BE61" i="10" s="1"/>
  <c r="BT61" i="10" s="1"/>
  <c r="AT60" i="10"/>
  <c r="AJ60" i="10"/>
  <c r="BE60" i="10" s="1"/>
  <c r="BT60" i="10" s="1"/>
  <c r="AT59" i="10"/>
  <c r="AX59" i="10" s="1"/>
  <c r="CJ59" i="10" s="1"/>
  <c r="AJ59" i="10"/>
  <c r="BE59" i="10" s="1"/>
  <c r="BT59" i="10" s="1"/>
  <c r="AT58" i="10"/>
  <c r="AJ58" i="10"/>
  <c r="BE58" i="10" s="1"/>
  <c r="BT58" i="10" s="1"/>
  <c r="AT57" i="10"/>
  <c r="AJ57" i="10"/>
  <c r="BE57" i="10" s="1"/>
  <c r="BT57" i="10" s="1"/>
  <c r="AT56" i="10"/>
  <c r="AJ56" i="10"/>
  <c r="BE56" i="10" s="1"/>
  <c r="BT56" i="10" s="1"/>
  <c r="AT55" i="10"/>
  <c r="AX55" i="10" s="1"/>
  <c r="CJ55" i="10" s="1"/>
  <c r="AJ55" i="10"/>
  <c r="BE55" i="10" s="1"/>
  <c r="BT55" i="10" s="1"/>
  <c r="AT54" i="10"/>
  <c r="AX54" i="10" s="1"/>
  <c r="CJ54" i="10" s="1"/>
  <c r="AJ54" i="10"/>
  <c r="BE54" i="10" s="1"/>
  <c r="BT54" i="10" s="1"/>
  <c r="AT53" i="10"/>
  <c r="AJ53" i="10"/>
  <c r="BE53" i="10" s="1"/>
  <c r="BT53" i="10" s="1"/>
  <c r="AT52" i="10"/>
  <c r="AJ52" i="10"/>
  <c r="BE52" i="10" s="1"/>
  <c r="BT52" i="10" s="1"/>
  <c r="AT51" i="10"/>
  <c r="AX51" i="10" s="1"/>
  <c r="CJ51" i="10" s="1"/>
  <c r="AJ51" i="10"/>
  <c r="BE51" i="10" s="1"/>
  <c r="BT51" i="10" s="1"/>
  <c r="AT50" i="10"/>
  <c r="AJ50" i="10"/>
  <c r="BE50" i="10" s="1"/>
  <c r="BT50" i="10" s="1"/>
  <c r="AT49" i="10"/>
  <c r="AX49" i="10" s="1"/>
  <c r="CJ49" i="10" s="1"/>
  <c r="AJ49" i="10"/>
  <c r="BE49" i="10" s="1"/>
  <c r="BT49" i="10" s="1"/>
  <c r="AT48" i="10"/>
  <c r="AX48" i="10" s="1"/>
  <c r="CJ48" i="10" s="1"/>
  <c r="AJ48" i="10"/>
  <c r="BE48" i="10" s="1"/>
  <c r="BT48" i="10" s="1"/>
  <c r="AT47" i="10"/>
  <c r="AJ47" i="10"/>
  <c r="BE47" i="10" s="1"/>
  <c r="BT47" i="10" s="1"/>
  <c r="AT46" i="10"/>
  <c r="AJ46" i="10"/>
  <c r="BE46" i="10" s="1"/>
  <c r="BT46" i="10" s="1"/>
  <c r="AT45" i="10"/>
  <c r="AX45" i="10" s="1"/>
  <c r="CJ45" i="10" s="1"/>
  <c r="AJ45" i="10"/>
  <c r="AT44" i="10"/>
  <c r="AX44" i="10" s="1"/>
  <c r="CJ44" i="10" s="1"/>
  <c r="AJ44" i="10"/>
  <c r="AT43" i="10"/>
  <c r="AX43" i="10" s="1"/>
  <c r="CJ43" i="10" s="1"/>
  <c r="AJ43" i="10"/>
  <c r="BE43" i="10" s="1"/>
  <c r="BT43" i="10" s="1"/>
  <c r="AT42" i="10"/>
  <c r="AJ42" i="10"/>
  <c r="BE42" i="10" s="1"/>
  <c r="BT42" i="10" s="1"/>
  <c r="AT41" i="10"/>
  <c r="AX41" i="10" s="1"/>
  <c r="CJ41" i="10" s="1"/>
  <c r="AJ41" i="10"/>
  <c r="AT40" i="10"/>
  <c r="CG40" i="10" s="1"/>
  <c r="AJ40" i="10"/>
  <c r="BE40" i="10" s="1"/>
  <c r="BT40" i="10" s="1"/>
  <c r="AT39" i="10"/>
  <c r="AJ39" i="10"/>
  <c r="BE39" i="10" s="1"/>
  <c r="BT39" i="10" s="1"/>
  <c r="AT38" i="10"/>
  <c r="AX38" i="10" s="1"/>
  <c r="CJ38" i="10" s="1"/>
  <c r="AJ38" i="10"/>
  <c r="BA38" i="10" s="1"/>
  <c r="BC38" i="10" s="1"/>
  <c r="AT37" i="10"/>
  <c r="AX37" i="10" s="1"/>
  <c r="CJ37" i="10" s="1"/>
  <c r="AJ37" i="10"/>
  <c r="BE37" i="10" s="1"/>
  <c r="BT37" i="10" s="1"/>
  <c r="AT36" i="10"/>
  <c r="AJ36" i="10"/>
  <c r="BE36" i="10" s="1"/>
  <c r="BT36" i="10" s="1"/>
  <c r="AT35" i="10"/>
  <c r="AX35" i="10" s="1"/>
  <c r="CJ35" i="10" s="1"/>
  <c r="AJ35" i="10"/>
  <c r="BE35" i="10" s="1"/>
  <c r="BT35" i="10" s="1"/>
  <c r="AT34" i="10"/>
  <c r="AJ34" i="10"/>
  <c r="BE34" i="10" s="1"/>
  <c r="BT34" i="10" s="1"/>
  <c r="AT33" i="10"/>
  <c r="AX33" i="10" s="1"/>
  <c r="CJ33" i="10" s="1"/>
  <c r="AJ33" i="10"/>
  <c r="BE33" i="10" s="1"/>
  <c r="BT33" i="10" s="1"/>
  <c r="AT32" i="10"/>
  <c r="AX32" i="10" s="1"/>
  <c r="CJ32" i="10" s="1"/>
  <c r="AJ32" i="10"/>
  <c r="AT31" i="10"/>
  <c r="AX31" i="10" s="1"/>
  <c r="CJ31" i="10" s="1"/>
  <c r="AJ31" i="10"/>
  <c r="BE31" i="10" s="1"/>
  <c r="BT31" i="10" s="1"/>
  <c r="AT30" i="10"/>
  <c r="AX30" i="10" s="1"/>
  <c r="CJ30" i="10" s="1"/>
  <c r="AJ30" i="10"/>
  <c r="AT29" i="10"/>
  <c r="AX29" i="10" s="1"/>
  <c r="CJ29" i="10" s="1"/>
  <c r="AJ29" i="10"/>
  <c r="BE29" i="10" s="1"/>
  <c r="BT29" i="10" s="1"/>
  <c r="AT28" i="10"/>
  <c r="AX28" i="10" s="1"/>
  <c r="CJ28" i="10" s="1"/>
  <c r="AJ28" i="10"/>
  <c r="BE28" i="10" s="1"/>
  <c r="BT28" i="10" s="1"/>
  <c r="AT27" i="10"/>
  <c r="AJ27" i="10"/>
  <c r="AT26" i="10"/>
  <c r="AX26" i="10" s="1"/>
  <c r="AJ26" i="10"/>
  <c r="BE26" i="10" s="1"/>
  <c r="BT26" i="10" s="1"/>
  <c r="AT25" i="10"/>
  <c r="AU25" i="10" s="1"/>
  <c r="AJ25" i="10"/>
  <c r="BE25" i="10" s="1"/>
  <c r="BT25" i="10" s="1"/>
  <c r="AT24" i="10"/>
  <c r="AX24" i="10" s="1"/>
  <c r="AJ24" i="10"/>
  <c r="BE24" i="10" s="1"/>
  <c r="BT24" i="10" s="1"/>
  <c r="AT23" i="10"/>
  <c r="AJ23" i="10"/>
  <c r="BE23" i="10" s="1"/>
  <c r="BT23" i="10" s="1"/>
  <c r="AT22" i="10"/>
  <c r="AX22" i="10" s="1"/>
  <c r="AJ22" i="10"/>
  <c r="AT21" i="10"/>
  <c r="AU21" i="10" s="1"/>
  <c r="AY21" i="10" s="1"/>
  <c r="AJ21" i="10"/>
  <c r="BE21" i="10" s="1"/>
  <c r="BT21" i="10" s="1"/>
  <c r="AT20" i="10"/>
  <c r="AX20" i="10" s="1"/>
  <c r="AJ20" i="10"/>
  <c r="BE20" i="10" s="1"/>
  <c r="BT20" i="10" s="1"/>
  <c r="AT19" i="10"/>
  <c r="AU19" i="10" s="1"/>
  <c r="AY19" i="10" s="1"/>
  <c r="AJ19" i="10"/>
  <c r="BE19" i="10" s="1"/>
  <c r="BT19" i="10" s="1"/>
  <c r="AT18" i="10"/>
  <c r="AX18" i="10" s="1"/>
  <c r="AJ18" i="10"/>
  <c r="BE18" i="10" s="1"/>
  <c r="BT18" i="10" s="1"/>
  <c r="AT17" i="10"/>
  <c r="AJ17" i="10"/>
  <c r="BE17" i="10" s="1"/>
  <c r="BT17" i="10" s="1"/>
  <c r="AT16" i="10"/>
  <c r="AX16" i="10" s="1"/>
  <c r="BE16" i="10"/>
  <c r="BT16" i="10" s="1"/>
  <c r="AT15" i="10"/>
  <c r="AU15" i="10" s="1"/>
  <c r="AJ15" i="10"/>
  <c r="BE15" i="10" s="1"/>
  <c r="BT15" i="10" s="1"/>
  <c r="AO15" i="10"/>
  <c r="BM15" i="10" s="1"/>
  <c r="BV15" i="10" s="1"/>
  <c r="H96" i="7"/>
  <c r="H97" i="7"/>
  <c r="G96" i="7"/>
  <c r="G97" i="7"/>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2" i="15"/>
  <c r="G3" i="15"/>
  <c r="F96" i="7"/>
  <c r="F97" i="7"/>
  <c r="E96" i="7"/>
  <c r="E97" i="7"/>
  <c r="D96" i="7"/>
  <c r="D97" i="7"/>
  <c r="C96" i="7"/>
  <c r="C97" i="7"/>
  <c r="AK16" i="10"/>
  <c r="BF16" i="10" s="1"/>
  <c r="BU16" i="10" s="1"/>
  <c r="CK16" i="10"/>
  <c r="AK17" i="10"/>
  <c r="BF17" i="10" s="1"/>
  <c r="BU17" i="10" s="1"/>
  <c r="BY17" i="10" s="1"/>
  <c r="CK17" i="10"/>
  <c r="AK18" i="10"/>
  <c r="BF18" i="10" s="1"/>
  <c r="BU18" i="10" s="1"/>
  <c r="CK18" i="10"/>
  <c r="AK19" i="10"/>
  <c r="CK19" i="10"/>
  <c r="AK20" i="10"/>
  <c r="CK20" i="10"/>
  <c r="AK21" i="10"/>
  <c r="CK21" i="10"/>
  <c r="AK22" i="10"/>
  <c r="BF22" i="10" s="1"/>
  <c r="BU22" i="10" s="1"/>
  <c r="CK22" i="10"/>
  <c r="AK23" i="10"/>
  <c r="BF23" i="10" s="1"/>
  <c r="BU23" i="10" s="1"/>
  <c r="CK23" i="10"/>
  <c r="AK24" i="10"/>
  <c r="BF24" i="10" s="1"/>
  <c r="BU24" i="10" s="1"/>
  <c r="CK24" i="10"/>
  <c r="AK25" i="10"/>
  <c r="CK25" i="10"/>
  <c r="AK26" i="10"/>
  <c r="CK26" i="10"/>
  <c r="AK27" i="10"/>
  <c r="CK27" i="10"/>
  <c r="AK28" i="10"/>
  <c r="CK28" i="10"/>
  <c r="AK29" i="10"/>
  <c r="BF29" i="10" s="1"/>
  <c r="BU29" i="10" s="1"/>
  <c r="CK29" i="10"/>
  <c r="AK30" i="10"/>
  <c r="CK30" i="10"/>
  <c r="AK31" i="10"/>
  <c r="BF31" i="10" s="1"/>
  <c r="BU31" i="10" s="1"/>
  <c r="CK31" i="10"/>
  <c r="AK32" i="10"/>
  <c r="CK32" i="10"/>
  <c r="AK33" i="10"/>
  <c r="BF33" i="10" s="1"/>
  <c r="BU33" i="10" s="1"/>
  <c r="CK33" i="10"/>
  <c r="AK34" i="10"/>
  <c r="CK34" i="10"/>
  <c r="AK35" i="10"/>
  <c r="BF35" i="10" s="1"/>
  <c r="BU35" i="10" s="1"/>
  <c r="CK35" i="10"/>
  <c r="AK36" i="10"/>
  <c r="CK36" i="10"/>
  <c r="AK37" i="10"/>
  <c r="BF37" i="10" s="1"/>
  <c r="BU37" i="10" s="1"/>
  <c r="CK37" i="10"/>
  <c r="AK38" i="10"/>
  <c r="CK38" i="10"/>
  <c r="AK39" i="10"/>
  <c r="BF39" i="10" s="1"/>
  <c r="BU39" i="10" s="1"/>
  <c r="CK39" i="10"/>
  <c r="AK40" i="10"/>
  <c r="BF40" i="10" s="1"/>
  <c r="BU40" i="10" s="1"/>
  <c r="CK40" i="10"/>
  <c r="AK41" i="10"/>
  <c r="BF41" i="10" s="1"/>
  <c r="BU41" i="10" s="1"/>
  <c r="CK41" i="10"/>
  <c r="AK42" i="10"/>
  <c r="CK42" i="10"/>
  <c r="AK43" i="10"/>
  <c r="CK43" i="10"/>
  <c r="AK44" i="10"/>
  <c r="BF44" i="10" s="1"/>
  <c r="BU44" i="10" s="1"/>
  <c r="CK44" i="10"/>
  <c r="AK45" i="10"/>
  <c r="BF45" i="10" s="1"/>
  <c r="BU45" i="10" s="1"/>
  <c r="CK45" i="10"/>
  <c r="AK46" i="10"/>
  <c r="CK46" i="10"/>
  <c r="AK47" i="10"/>
  <c r="BF47" i="10" s="1"/>
  <c r="BU47" i="10" s="1"/>
  <c r="CK47" i="10"/>
  <c r="AK48" i="10"/>
  <c r="CK48" i="10"/>
  <c r="AK49" i="10"/>
  <c r="BF49" i="10" s="1"/>
  <c r="BU49" i="10" s="1"/>
  <c r="CK49" i="10"/>
  <c r="AK50" i="10"/>
  <c r="BF50" i="10" s="1"/>
  <c r="BU50" i="10" s="1"/>
  <c r="BY50" i="10" s="1"/>
  <c r="CK50" i="10"/>
  <c r="AK51" i="10"/>
  <c r="BF51" i="10" s="1"/>
  <c r="BU51" i="10" s="1"/>
  <c r="CK51" i="10"/>
  <c r="AK52" i="10"/>
  <c r="CK52" i="10"/>
  <c r="AK53" i="10"/>
  <c r="BF53" i="10" s="1"/>
  <c r="BU53" i="10" s="1"/>
  <c r="CK53" i="10"/>
  <c r="AK54" i="10"/>
  <c r="CK54" i="10"/>
  <c r="AK55" i="10"/>
  <c r="CK55" i="10"/>
  <c r="AK56" i="10"/>
  <c r="CK56" i="10"/>
  <c r="AK57" i="10"/>
  <c r="BF57" i="10" s="1"/>
  <c r="BU57" i="10" s="1"/>
  <c r="CK57" i="10"/>
  <c r="AK58" i="10"/>
  <c r="CK58" i="10"/>
  <c r="AK59" i="10"/>
  <c r="BF59" i="10" s="1"/>
  <c r="BU59" i="10" s="1"/>
  <c r="CK59" i="10"/>
  <c r="AK60" i="10"/>
  <c r="CK60" i="10"/>
  <c r="AK61" i="10"/>
  <c r="CK61" i="10"/>
  <c r="AK62" i="10"/>
  <c r="CK62" i="10"/>
  <c r="AK63" i="10"/>
  <c r="BF63" i="10" s="1"/>
  <c r="BU63" i="10" s="1"/>
  <c r="CK63" i="10"/>
  <c r="AK64" i="10"/>
  <c r="CK64" i="10"/>
  <c r="AK65" i="10"/>
  <c r="BF65" i="10" s="1"/>
  <c r="BU65" i="10" s="1"/>
  <c r="CK65" i="10"/>
  <c r="AK66" i="10"/>
  <c r="CK66" i="10"/>
  <c r="AK67" i="10"/>
  <c r="CK67" i="10"/>
  <c r="AK68" i="10"/>
  <c r="BF68" i="10" s="1"/>
  <c r="BU68" i="10" s="1"/>
  <c r="CK68" i="10"/>
  <c r="AK69" i="10"/>
  <c r="BF69" i="10" s="1"/>
  <c r="BU69" i="10" s="1"/>
  <c r="DY69" i="10" s="1"/>
  <c r="CK69" i="10"/>
  <c r="AK70" i="10"/>
  <c r="BF70" i="10" s="1"/>
  <c r="BU70" i="10" s="1"/>
  <c r="CK70" i="10"/>
  <c r="AK71" i="10"/>
  <c r="BF71" i="10" s="1"/>
  <c r="BU71" i="10" s="1"/>
  <c r="CK71" i="10"/>
  <c r="AK72" i="10"/>
  <c r="CK72" i="10"/>
  <c r="AK73" i="10"/>
  <c r="CK73" i="10"/>
  <c r="AK74" i="10"/>
  <c r="BF74" i="10" s="1"/>
  <c r="BU74" i="10" s="1"/>
  <c r="CK74" i="10"/>
  <c r="AK75" i="10"/>
  <c r="BF75" i="10" s="1"/>
  <c r="BU75" i="10" s="1"/>
  <c r="CK75" i="10"/>
  <c r="AK76" i="10"/>
  <c r="CK76" i="10"/>
  <c r="AK77" i="10"/>
  <c r="BF77" i="10" s="1"/>
  <c r="BU77" i="10" s="1"/>
  <c r="CK77" i="10"/>
  <c r="AK78" i="10"/>
  <c r="CK78" i="10"/>
  <c r="AK79" i="10"/>
  <c r="CK79" i="10"/>
  <c r="AK80" i="10"/>
  <c r="BF80" i="10" s="1"/>
  <c r="BU80" i="10" s="1"/>
  <c r="CK80" i="10"/>
  <c r="AK81" i="10"/>
  <c r="BF81" i="10" s="1"/>
  <c r="BU81" i="10" s="1"/>
  <c r="CK81" i="10"/>
  <c r="AK82" i="10"/>
  <c r="CK82" i="10"/>
  <c r="AK83" i="10"/>
  <c r="BF83" i="10" s="1"/>
  <c r="BU83" i="10" s="1"/>
  <c r="CK83" i="10"/>
  <c r="AK84" i="10"/>
  <c r="BF84" i="10" s="1"/>
  <c r="BU84" i="10" s="1"/>
  <c r="CK84" i="10"/>
  <c r="AK85" i="10"/>
  <c r="BF85" i="10" s="1"/>
  <c r="BU85" i="10" s="1"/>
  <c r="CK85" i="10"/>
  <c r="AK86" i="10"/>
  <c r="BF86" i="10" s="1"/>
  <c r="BU86" i="10" s="1"/>
  <c r="CK86" i="10"/>
  <c r="AK87" i="10"/>
  <c r="BF87" i="10" s="1"/>
  <c r="BU87" i="10" s="1"/>
  <c r="CK87" i="10"/>
  <c r="AK88" i="10"/>
  <c r="BF88" i="10" s="1"/>
  <c r="BU88" i="10" s="1"/>
  <c r="CK88" i="10"/>
  <c r="AK89" i="10"/>
  <c r="BF89" i="10" s="1"/>
  <c r="BU89" i="10" s="1"/>
  <c r="CK89" i="10"/>
  <c r="AK90" i="10"/>
  <c r="CK90" i="10"/>
  <c r="AK91" i="10"/>
  <c r="CK91" i="10"/>
  <c r="AK92" i="10"/>
  <c r="BF92" i="10" s="1"/>
  <c r="BU92" i="10" s="1"/>
  <c r="CK92" i="10"/>
  <c r="AK93" i="10"/>
  <c r="BF93" i="10" s="1"/>
  <c r="BU93" i="10" s="1"/>
  <c r="CK93" i="10"/>
  <c r="AK94" i="10"/>
  <c r="CK94" i="10"/>
  <c r="AK95" i="10"/>
  <c r="BF95" i="10" s="1"/>
  <c r="BU95" i="10" s="1"/>
  <c r="CK95" i="10"/>
  <c r="AK96" i="10"/>
  <c r="CK96" i="10"/>
  <c r="AK97" i="10"/>
  <c r="BF97" i="10" s="1"/>
  <c r="BU97" i="10" s="1"/>
  <c r="CK97" i="10"/>
  <c r="AK98" i="10"/>
  <c r="BF98" i="10" s="1"/>
  <c r="BU98" i="10" s="1"/>
  <c r="CK98" i="10"/>
  <c r="AK99" i="10"/>
  <c r="BF99" i="10" s="1"/>
  <c r="BU99" i="10" s="1"/>
  <c r="CK99" i="10"/>
  <c r="AK100" i="10"/>
  <c r="CK100" i="10"/>
  <c r="AK101" i="10"/>
  <c r="BF101" i="10" s="1"/>
  <c r="BU101" i="10" s="1"/>
  <c r="CK101" i="10"/>
  <c r="AK102" i="10"/>
  <c r="CK102" i="10"/>
  <c r="AK103" i="10"/>
  <c r="CK103" i="10"/>
  <c r="AK104" i="10"/>
  <c r="BF104" i="10" s="1"/>
  <c r="BU104" i="10" s="1"/>
  <c r="CK104" i="10"/>
  <c r="AK105" i="10"/>
  <c r="BF105" i="10" s="1"/>
  <c r="BU105" i="10" s="1"/>
  <c r="CK105" i="10"/>
  <c r="AK106" i="10"/>
  <c r="CK106" i="10"/>
  <c r="AK107" i="10"/>
  <c r="BF107" i="10" s="1"/>
  <c r="BU107" i="10" s="1"/>
  <c r="CK107" i="10"/>
  <c r="AK108" i="10"/>
  <c r="CK108" i="10"/>
  <c r="AK109" i="10"/>
  <c r="BF109" i="10" s="1"/>
  <c r="BU109" i="10" s="1"/>
  <c r="CK109" i="10"/>
  <c r="AK110" i="10"/>
  <c r="BF110" i="10" s="1"/>
  <c r="BU110" i="10" s="1"/>
  <c r="CK110" i="10"/>
  <c r="AK111" i="10"/>
  <c r="BF111" i="10" s="1"/>
  <c r="BU111" i="10" s="1"/>
  <c r="DY111" i="10" s="1"/>
  <c r="CK111" i="10"/>
  <c r="AK112" i="10"/>
  <c r="CK112" i="10"/>
  <c r="AK113" i="10"/>
  <c r="CK113" i="10"/>
  <c r="AK114" i="10"/>
  <c r="CK114" i="10"/>
  <c r="AK115" i="10"/>
  <c r="CK115" i="10"/>
  <c r="AK116" i="10"/>
  <c r="BF116" i="10" s="1"/>
  <c r="BU116" i="10" s="1"/>
  <c r="CK116" i="10"/>
  <c r="AK117" i="10"/>
  <c r="BF117" i="10" s="1"/>
  <c r="BU117" i="10" s="1"/>
  <c r="DY117" i="10" s="1"/>
  <c r="CK117" i="10"/>
  <c r="AK118" i="10"/>
  <c r="BF118" i="10" s="1"/>
  <c r="BU118" i="10" s="1"/>
  <c r="CK118" i="10"/>
  <c r="AK119" i="10"/>
  <c r="CK119" i="10"/>
  <c r="AK120" i="10"/>
  <c r="BF120" i="10" s="1"/>
  <c r="BU120" i="10" s="1"/>
  <c r="CK120" i="10"/>
  <c r="AK121" i="10"/>
  <c r="BF121" i="10" s="1"/>
  <c r="BU121" i="10" s="1"/>
  <c r="CK121" i="10"/>
  <c r="AK122" i="10"/>
  <c r="BF122" i="10" s="1"/>
  <c r="BU122" i="10" s="1"/>
  <c r="CK122" i="10"/>
  <c r="AK123" i="10"/>
  <c r="BF123" i="10" s="1"/>
  <c r="BU123" i="10" s="1"/>
  <c r="CK123" i="10"/>
  <c r="AK124" i="10"/>
  <c r="CK124" i="10"/>
  <c r="AK125" i="10"/>
  <c r="CK125" i="10"/>
  <c r="AK126" i="10"/>
  <c r="CK126" i="10"/>
  <c r="AK127" i="10"/>
  <c r="CK127" i="10"/>
  <c r="AK128" i="10"/>
  <c r="BF128" i="10" s="1"/>
  <c r="BU128" i="10" s="1"/>
  <c r="CK128" i="10"/>
  <c r="AK129" i="10"/>
  <c r="BF129" i="10" s="1"/>
  <c r="BU129" i="10" s="1"/>
  <c r="DY129" i="10" s="1"/>
  <c r="CK129" i="10"/>
  <c r="AK130" i="10"/>
  <c r="BF130" i="10" s="1"/>
  <c r="BU130" i="10" s="1"/>
  <c r="CK130" i="10"/>
  <c r="AK131" i="10"/>
  <c r="BF131" i="10" s="1"/>
  <c r="BU131" i="10" s="1"/>
  <c r="CK131" i="10"/>
  <c r="AK132" i="10"/>
  <c r="CK132" i="10"/>
  <c r="AK133" i="10"/>
  <c r="BF133" i="10" s="1"/>
  <c r="BU133" i="10" s="1"/>
  <c r="CK133" i="10"/>
  <c r="AK134" i="10"/>
  <c r="CK134" i="10"/>
  <c r="AK135" i="10"/>
  <c r="BF135" i="10" s="1"/>
  <c r="BU135" i="10" s="1"/>
  <c r="DY135" i="10" s="1"/>
  <c r="CK135" i="10"/>
  <c r="AK136" i="10"/>
  <c r="CK136" i="10"/>
  <c r="AK137" i="10"/>
  <c r="BF137" i="10" s="1"/>
  <c r="BU137" i="10" s="1"/>
  <c r="CK137" i="10"/>
  <c r="AK138" i="10"/>
  <c r="CK138" i="10"/>
  <c r="AK139" i="10"/>
  <c r="BF139" i="10" s="1"/>
  <c r="BU139" i="10" s="1"/>
  <c r="CK139" i="10"/>
  <c r="AK140" i="10"/>
  <c r="BF140" i="10" s="1"/>
  <c r="BU140" i="10" s="1"/>
  <c r="CK140" i="10"/>
  <c r="AK141" i="10"/>
  <c r="BF141" i="10" s="1"/>
  <c r="BU141" i="10" s="1"/>
  <c r="DY141" i="10" s="1"/>
  <c r="CK141" i="10"/>
  <c r="AK142" i="10"/>
  <c r="CK142" i="10"/>
  <c r="AK143" i="10"/>
  <c r="BF143" i="10" s="1"/>
  <c r="BU143" i="10" s="1"/>
  <c r="CK143" i="10"/>
  <c r="AK144" i="10"/>
  <c r="CK144" i="10"/>
  <c r="AK145" i="10"/>
  <c r="BF145" i="10" s="1"/>
  <c r="BU145" i="10" s="1"/>
  <c r="CK145" i="10"/>
  <c r="AK146" i="10"/>
  <c r="BF146" i="10" s="1"/>
  <c r="BU146" i="10" s="1"/>
  <c r="CK146" i="10"/>
  <c r="AK147" i="10"/>
  <c r="BF147" i="10" s="1"/>
  <c r="BU147" i="10" s="1"/>
  <c r="DY147" i="10" s="1"/>
  <c r="CK147" i="10"/>
  <c r="AK148" i="10"/>
  <c r="BF148" i="10" s="1"/>
  <c r="BU148" i="10" s="1"/>
  <c r="CK148" i="10"/>
  <c r="AK149" i="10"/>
  <c r="BF149" i="10" s="1"/>
  <c r="BU149" i="10" s="1"/>
  <c r="CK149" i="10"/>
  <c r="AK150" i="10"/>
  <c r="CK150" i="10"/>
  <c r="AK151" i="10"/>
  <c r="BF151" i="10" s="1"/>
  <c r="BU151" i="10" s="1"/>
  <c r="CK151" i="10"/>
  <c r="AK152" i="10"/>
  <c r="BF152" i="10" s="1"/>
  <c r="BU152" i="10" s="1"/>
  <c r="CK152" i="10"/>
  <c r="AK153" i="10"/>
  <c r="BF153" i="10" s="1"/>
  <c r="BU153" i="10" s="1"/>
  <c r="DY153" i="10" s="1"/>
  <c r="CK153" i="10"/>
  <c r="AK154" i="10"/>
  <c r="BF154" i="10" s="1"/>
  <c r="BU154" i="10" s="1"/>
  <c r="CK154" i="10"/>
  <c r="AK155" i="10"/>
  <c r="BF155" i="10" s="1"/>
  <c r="BU155" i="10" s="1"/>
  <c r="CK155" i="10"/>
  <c r="AK156" i="10"/>
  <c r="CK156" i="10"/>
  <c r="AK157" i="10"/>
  <c r="BF157" i="10" s="1"/>
  <c r="BU157" i="10" s="1"/>
  <c r="CK157" i="10"/>
  <c r="AK158" i="10"/>
  <c r="BF158" i="10" s="1"/>
  <c r="BU158" i="10" s="1"/>
  <c r="CK158" i="10"/>
  <c r="AK159" i="10"/>
  <c r="BF159" i="10" s="1"/>
  <c r="BU159" i="10" s="1"/>
  <c r="DY159" i="10" s="1"/>
  <c r="CK159" i="10"/>
  <c r="AK160" i="10"/>
  <c r="BF160" i="10" s="1"/>
  <c r="BU160" i="10" s="1"/>
  <c r="CK160" i="10"/>
  <c r="AK161" i="10"/>
  <c r="BF161" i="10" s="1"/>
  <c r="BU161" i="10" s="1"/>
  <c r="CK161" i="10"/>
  <c r="AK162" i="10"/>
  <c r="CK162" i="10"/>
  <c r="AK163" i="10"/>
  <c r="BF163" i="10" s="1"/>
  <c r="BU163" i="10" s="1"/>
  <c r="CK163" i="10"/>
  <c r="AK164" i="10"/>
  <c r="BF164" i="10" s="1"/>
  <c r="BU164" i="10" s="1"/>
  <c r="CK164" i="10"/>
  <c r="AK165" i="10"/>
  <c r="BF165" i="10" s="1"/>
  <c r="BU165" i="10" s="1"/>
  <c r="DY165" i="10" s="1"/>
  <c r="ED165" i="10" s="1"/>
  <c r="CK165" i="10"/>
  <c r="AK166" i="10"/>
  <c r="BF166" i="10" s="1"/>
  <c r="BU166" i="10" s="1"/>
  <c r="CK166" i="10"/>
  <c r="AK167" i="10"/>
  <c r="BF167" i="10" s="1"/>
  <c r="BU167" i="10" s="1"/>
  <c r="BY167" i="10" s="1"/>
  <c r="CK167" i="10"/>
  <c r="AK168" i="10"/>
  <c r="CK168" i="10"/>
  <c r="AK169" i="10"/>
  <c r="BF169" i="10" s="1"/>
  <c r="BU169" i="10" s="1"/>
  <c r="CK169" i="10"/>
  <c r="AK170" i="10"/>
  <c r="BF170" i="10" s="1"/>
  <c r="BU170" i="10" s="1"/>
  <c r="CK170" i="10"/>
  <c r="AK171" i="10"/>
  <c r="BF171" i="10" s="1"/>
  <c r="BU171" i="10" s="1"/>
  <c r="CK171" i="10"/>
  <c r="AK172" i="10"/>
  <c r="BF172" i="10" s="1"/>
  <c r="BU172" i="10" s="1"/>
  <c r="CK172" i="10"/>
  <c r="AK173" i="10"/>
  <c r="BF173" i="10" s="1"/>
  <c r="BU173" i="10" s="1"/>
  <c r="BY173" i="10" s="1"/>
  <c r="CK173" i="10"/>
  <c r="AK174" i="10"/>
  <c r="CK174" i="10"/>
  <c r="AK175" i="10"/>
  <c r="BF175" i="10" s="1"/>
  <c r="BU175" i="10" s="1"/>
  <c r="CK175" i="10"/>
  <c r="AK176" i="10"/>
  <c r="BF176" i="10" s="1"/>
  <c r="BU176" i="10" s="1"/>
  <c r="CK176" i="10"/>
  <c r="AK177" i="10"/>
  <c r="BF177" i="10" s="1"/>
  <c r="BU177" i="10" s="1"/>
  <c r="DY177" i="10" s="1"/>
  <c r="CK177" i="10"/>
  <c r="AK178" i="10"/>
  <c r="BF178" i="10" s="1"/>
  <c r="BU178" i="10" s="1"/>
  <c r="CK178" i="10"/>
  <c r="AK179" i="10"/>
  <c r="BF179" i="10" s="1"/>
  <c r="BU179" i="10" s="1"/>
  <c r="CK179" i="10"/>
  <c r="AK180" i="10"/>
  <c r="BF180" i="10" s="1"/>
  <c r="BU180" i="10" s="1"/>
  <c r="CK180" i="10"/>
  <c r="AK181" i="10"/>
  <c r="BF181" i="10" s="1"/>
  <c r="BU181" i="10" s="1"/>
  <c r="CK181" i="10"/>
  <c r="AK182" i="10"/>
  <c r="BF182" i="10" s="1"/>
  <c r="BU182" i="10" s="1"/>
  <c r="CK182" i="10"/>
  <c r="AK183" i="10"/>
  <c r="BF183" i="10" s="1"/>
  <c r="BU183" i="10" s="1"/>
  <c r="DY183" i="10" s="1"/>
  <c r="CK183" i="10"/>
  <c r="AK184" i="10"/>
  <c r="BF184" i="10" s="1"/>
  <c r="BU184" i="10" s="1"/>
  <c r="CK184" i="10"/>
  <c r="AK185" i="10"/>
  <c r="BF185" i="10" s="1"/>
  <c r="BU185" i="10" s="1"/>
  <c r="CK185" i="10"/>
  <c r="AK186" i="10"/>
  <c r="CK186" i="10"/>
  <c r="AK187" i="10"/>
  <c r="BF187" i="10" s="1"/>
  <c r="BU187" i="10" s="1"/>
  <c r="CK187" i="10"/>
  <c r="AK188" i="10"/>
  <c r="BF188" i="10" s="1"/>
  <c r="BU188" i="10" s="1"/>
  <c r="CK188" i="10"/>
  <c r="AK189" i="10"/>
  <c r="BF189" i="10" s="1"/>
  <c r="BU189" i="10" s="1"/>
  <c r="DY189" i="10" s="1"/>
  <c r="CK189" i="10"/>
  <c r="AK190" i="10"/>
  <c r="BF190" i="10" s="1"/>
  <c r="BU190" i="10" s="1"/>
  <c r="CK190" i="10"/>
  <c r="AK191" i="10"/>
  <c r="BF191" i="10" s="1"/>
  <c r="BU191" i="10" s="1"/>
  <c r="CK191" i="10"/>
  <c r="AK192" i="10"/>
  <c r="CK192" i="10"/>
  <c r="AK193" i="10"/>
  <c r="BF193" i="10" s="1"/>
  <c r="BU193" i="10" s="1"/>
  <c r="CK193" i="10"/>
  <c r="AK194" i="10"/>
  <c r="BF194" i="10" s="1"/>
  <c r="BU194" i="10" s="1"/>
  <c r="BY194" i="10" s="1"/>
  <c r="CK194" i="10"/>
  <c r="AK195" i="10"/>
  <c r="BF195" i="10" s="1"/>
  <c r="BU195" i="10" s="1"/>
  <c r="CK195" i="10"/>
  <c r="AK196" i="10"/>
  <c r="BF196" i="10" s="1"/>
  <c r="BU196" i="10" s="1"/>
  <c r="CK196" i="10"/>
  <c r="AK197" i="10"/>
  <c r="BF197" i="10" s="1"/>
  <c r="BU197" i="10" s="1"/>
  <c r="CK197" i="10"/>
  <c r="AK198" i="10"/>
  <c r="CK198" i="10"/>
  <c r="AK199" i="10"/>
  <c r="BF199" i="10" s="1"/>
  <c r="BU199" i="10" s="1"/>
  <c r="CK199" i="10"/>
  <c r="AK200" i="10"/>
  <c r="CK200" i="10"/>
  <c r="AK201" i="10"/>
  <c r="CK201" i="10"/>
  <c r="AK202" i="10"/>
  <c r="CK202" i="10"/>
  <c r="AK203" i="10"/>
  <c r="BF203" i="10" s="1"/>
  <c r="BU203" i="10" s="1"/>
  <c r="CK203" i="10"/>
  <c r="AK204" i="10"/>
  <c r="CK204" i="10"/>
  <c r="AK205" i="10"/>
  <c r="BF205" i="10" s="1"/>
  <c r="BU205" i="10" s="1"/>
  <c r="CK205" i="10"/>
  <c r="AK206" i="10"/>
  <c r="CK206" i="10"/>
  <c r="AK207" i="10"/>
  <c r="BF207" i="10" s="1"/>
  <c r="BU207" i="10" s="1"/>
  <c r="DY207" i="10" s="1"/>
  <c r="CK207" i="10"/>
  <c r="AK208" i="10"/>
  <c r="CK208" i="10"/>
  <c r="AK209" i="10"/>
  <c r="BF209" i="10" s="1"/>
  <c r="BU209" i="10" s="1"/>
  <c r="BY209" i="10" s="1"/>
  <c r="CK209" i="10"/>
  <c r="AK210" i="10"/>
  <c r="CK210" i="10"/>
  <c r="AK211" i="10"/>
  <c r="BF211" i="10" s="1"/>
  <c r="BU211" i="10" s="1"/>
  <c r="CK211" i="10"/>
  <c r="AK212" i="10"/>
  <c r="BF212" i="10" s="1"/>
  <c r="BU212" i="10" s="1"/>
  <c r="BY212" i="10" s="1"/>
  <c r="CK212" i="10"/>
  <c r="AK213" i="10"/>
  <c r="BF213" i="10" s="1"/>
  <c r="BU213" i="10" s="1"/>
  <c r="CK213" i="10"/>
  <c r="AK214" i="10"/>
  <c r="BF214" i="10" s="1"/>
  <c r="BU214" i="10" s="1"/>
  <c r="CK214" i="10"/>
  <c r="AK215" i="10"/>
  <c r="CK215" i="10"/>
  <c r="AK216" i="10"/>
  <c r="CK216" i="10"/>
  <c r="AK217" i="10"/>
  <c r="CK217" i="10"/>
  <c r="AK218" i="10"/>
  <c r="BF218" i="10" s="1"/>
  <c r="BU218" i="10" s="1"/>
  <c r="BY218" i="10" s="1"/>
  <c r="CK218" i="10"/>
  <c r="AK219" i="10"/>
  <c r="BF219" i="10" s="1"/>
  <c r="BU219" i="10" s="1"/>
  <c r="CK219" i="10"/>
  <c r="AK220" i="10"/>
  <c r="CK220" i="10"/>
  <c r="AK221" i="10"/>
  <c r="BF221" i="10" s="1"/>
  <c r="BU221" i="10" s="1"/>
  <c r="CK221" i="10"/>
  <c r="AK222" i="10"/>
  <c r="CK222" i="10"/>
  <c r="AK223" i="10"/>
  <c r="CK223" i="10"/>
  <c r="AK224" i="10"/>
  <c r="CK224" i="10"/>
  <c r="AK225" i="10"/>
  <c r="BF225" i="10" s="1"/>
  <c r="BU225" i="10" s="1"/>
  <c r="DY225" i="10" s="1"/>
  <c r="CK225" i="10"/>
  <c r="AK226" i="10"/>
  <c r="CK226" i="10"/>
  <c r="AK227" i="10"/>
  <c r="BF227" i="10" s="1"/>
  <c r="BU227" i="10" s="1"/>
  <c r="CK227" i="10"/>
  <c r="AK228" i="10"/>
  <c r="CK228" i="10"/>
  <c r="AK229" i="10"/>
  <c r="BF229" i="10" s="1"/>
  <c r="BU229" i="10" s="1"/>
  <c r="CK229" i="10"/>
  <c r="AK230" i="10"/>
  <c r="CK230" i="10"/>
  <c r="AK231" i="10"/>
  <c r="CK231" i="10"/>
  <c r="AK232" i="10"/>
  <c r="CK232" i="10"/>
  <c r="AK233" i="10"/>
  <c r="CK233" i="10"/>
  <c r="AK234" i="10"/>
  <c r="CK234" i="10"/>
  <c r="AK235" i="10"/>
  <c r="CK235" i="10"/>
  <c r="AK236" i="10"/>
  <c r="BF236" i="10" s="1"/>
  <c r="BU236" i="10" s="1"/>
  <c r="CK236" i="10"/>
  <c r="AK237" i="10"/>
  <c r="CK237" i="10"/>
  <c r="AK238" i="10"/>
  <c r="CK238" i="10"/>
  <c r="AK239" i="10"/>
  <c r="BF239" i="10" s="1"/>
  <c r="BU239" i="10" s="1"/>
  <c r="CK239" i="10"/>
  <c r="AK240" i="10"/>
  <c r="CK240" i="10"/>
  <c r="AK241" i="10"/>
  <c r="BF241" i="10" s="1"/>
  <c r="BU241" i="10" s="1"/>
  <c r="CK241" i="10"/>
  <c r="AK242" i="10"/>
  <c r="BF242" i="10" s="1"/>
  <c r="BU242" i="10" s="1"/>
  <c r="CK242" i="10"/>
  <c r="AK243" i="10"/>
  <c r="CK243" i="10"/>
  <c r="AK244" i="10"/>
  <c r="BF244" i="10" s="1"/>
  <c r="BU244" i="10" s="1"/>
  <c r="CK244" i="10"/>
  <c r="AK245" i="10"/>
  <c r="BF245" i="10" s="1"/>
  <c r="BU245" i="10" s="1"/>
  <c r="CK245" i="10"/>
  <c r="AK246" i="10"/>
  <c r="CK246" i="10"/>
  <c r="AK247" i="10"/>
  <c r="BF247" i="10" s="1"/>
  <c r="BU247" i="10" s="1"/>
  <c r="CK247" i="10"/>
  <c r="AK248" i="10"/>
  <c r="CK248" i="10"/>
  <c r="AK249" i="10"/>
  <c r="CK249" i="10"/>
  <c r="AK250" i="10"/>
  <c r="BF250" i="10" s="1"/>
  <c r="BU250" i="10" s="1"/>
  <c r="CK250" i="10"/>
  <c r="AK251" i="10"/>
  <c r="BF251" i="10" s="1"/>
  <c r="BU251" i="10" s="1"/>
  <c r="CK251" i="10"/>
  <c r="AK252" i="10"/>
  <c r="CK252" i="10"/>
  <c r="AK253" i="10"/>
  <c r="CK253" i="10"/>
  <c r="AK254" i="10"/>
  <c r="CK254" i="10"/>
  <c r="AK255" i="10"/>
  <c r="CK255" i="10"/>
  <c r="AK256" i="10"/>
  <c r="CK256" i="10"/>
  <c r="AK257" i="10"/>
  <c r="BF257" i="10" s="1"/>
  <c r="BU257" i="10" s="1"/>
  <c r="BY257" i="10" s="1"/>
  <c r="CK257" i="10"/>
  <c r="AK258" i="10"/>
  <c r="BF258" i="10" s="1"/>
  <c r="BU258" i="10" s="1"/>
  <c r="BY258" i="10" s="1"/>
  <c r="CK258" i="10"/>
  <c r="AK259" i="10"/>
  <c r="BF259" i="10" s="1"/>
  <c r="BU259" i="10" s="1"/>
  <c r="CK259" i="10"/>
  <c r="AK260" i="10"/>
  <c r="CK260" i="10"/>
  <c r="AK261" i="10"/>
  <c r="CK261" i="10"/>
  <c r="AK262" i="10"/>
  <c r="BF262" i="10" s="1"/>
  <c r="BU262" i="10" s="1"/>
  <c r="CK262" i="10"/>
  <c r="AK263" i="10"/>
  <c r="BF263" i="10" s="1"/>
  <c r="BU263" i="10" s="1"/>
  <c r="CK263" i="10"/>
  <c r="AK264" i="10"/>
  <c r="CK264" i="10"/>
  <c r="AK265" i="10"/>
  <c r="BF265" i="10" s="1"/>
  <c r="BU265" i="10" s="1"/>
  <c r="CK265" i="10"/>
  <c r="AK266" i="10"/>
  <c r="CK266" i="10"/>
  <c r="AK267" i="10"/>
  <c r="CK267" i="10"/>
  <c r="AK268" i="10"/>
  <c r="BF268" i="10" s="1"/>
  <c r="BU268" i="10" s="1"/>
  <c r="CK268" i="10"/>
  <c r="AK269" i="10"/>
  <c r="CK269" i="10"/>
  <c r="AK270" i="10"/>
  <c r="CK270" i="10"/>
  <c r="AK271" i="10"/>
  <c r="CK271" i="10"/>
  <c r="AK272" i="10"/>
  <c r="BF272" i="10" s="1"/>
  <c r="BU272" i="10" s="1"/>
  <c r="CK272" i="10"/>
  <c r="AK273" i="10"/>
  <c r="CK273" i="10"/>
  <c r="AK274" i="10"/>
  <c r="BF274" i="10" s="1"/>
  <c r="BU274" i="10" s="1"/>
  <c r="CK274" i="10"/>
  <c r="AK275" i="10"/>
  <c r="BF275" i="10" s="1"/>
  <c r="BU275" i="10" s="1"/>
  <c r="CK275" i="10"/>
  <c r="AK276" i="10"/>
  <c r="CK276" i="10"/>
  <c r="AK277" i="10"/>
  <c r="CK277" i="10"/>
  <c r="AK278" i="10"/>
  <c r="BF278" i="10" s="1"/>
  <c r="BU278" i="10" s="1"/>
  <c r="CK278" i="10"/>
  <c r="AK279" i="10"/>
  <c r="CK279" i="10"/>
  <c r="AK280" i="10"/>
  <c r="CK280" i="10"/>
  <c r="AK281" i="10"/>
  <c r="BF281" i="10" s="1"/>
  <c r="BU281" i="10" s="1"/>
  <c r="CK281" i="10"/>
  <c r="AK282" i="10"/>
  <c r="CK282" i="10"/>
  <c r="AK283" i="10"/>
  <c r="BF283" i="10" s="1"/>
  <c r="BU283" i="10" s="1"/>
  <c r="CK283" i="10"/>
  <c r="AK284" i="10"/>
  <c r="BF284" i="10" s="1"/>
  <c r="BU284" i="10" s="1"/>
  <c r="CK284" i="10"/>
  <c r="AK285" i="10"/>
  <c r="BF285" i="10" s="1"/>
  <c r="BU285" i="10" s="1"/>
  <c r="CK285" i="10"/>
  <c r="AK286" i="10"/>
  <c r="CK286" i="10"/>
  <c r="AK287" i="10"/>
  <c r="CK287" i="10"/>
  <c r="AK288" i="10"/>
  <c r="CK288" i="10"/>
  <c r="AK289" i="10"/>
  <c r="BF289" i="10" s="1"/>
  <c r="BU289" i="10" s="1"/>
  <c r="CK289" i="10"/>
  <c r="AK290" i="10"/>
  <c r="CK290" i="10"/>
  <c r="AK291" i="10"/>
  <c r="CK291" i="10"/>
  <c r="AK292" i="10"/>
  <c r="BF292" i="10" s="1"/>
  <c r="BU292" i="10" s="1"/>
  <c r="CK292" i="10"/>
  <c r="AK293" i="10"/>
  <c r="BF293" i="10" s="1"/>
  <c r="BU293" i="10" s="1"/>
  <c r="BY293" i="10" s="1"/>
  <c r="CK293" i="10"/>
  <c r="AK294" i="10"/>
  <c r="CK294" i="10"/>
  <c r="AK295" i="10"/>
  <c r="BF295" i="10" s="1"/>
  <c r="BU295" i="10" s="1"/>
  <c r="CK295" i="10"/>
  <c r="AK296" i="10"/>
  <c r="CK296" i="10"/>
  <c r="AK297" i="10"/>
  <c r="CK297" i="10"/>
  <c r="AK298" i="10"/>
  <c r="CK298" i="10"/>
  <c r="AK299" i="10"/>
  <c r="CK299" i="10"/>
  <c r="AK300" i="10"/>
  <c r="CK300" i="10"/>
  <c r="AK301" i="10"/>
  <c r="BF301" i="10" s="1"/>
  <c r="BU301" i="10" s="1"/>
  <c r="CK301" i="10"/>
  <c r="AK302" i="10"/>
  <c r="CK302" i="10"/>
  <c r="AK303" i="10"/>
  <c r="CK303" i="10"/>
  <c r="AK304" i="10"/>
  <c r="CK304" i="10"/>
  <c r="AK305" i="10"/>
  <c r="BF305" i="10" s="1"/>
  <c r="BU305" i="10" s="1"/>
  <c r="CK305" i="10"/>
  <c r="AK306" i="10"/>
  <c r="CK306" i="10"/>
  <c r="AK307" i="10"/>
  <c r="BF307" i="10" s="1"/>
  <c r="BU307" i="10" s="1"/>
  <c r="CK307" i="10"/>
  <c r="AK308" i="10"/>
  <c r="CK308" i="10"/>
  <c r="AK309" i="10"/>
  <c r="CK309" i="10"/>
  <c r="AK310" i="10"/>
  <c r="CK310" i="10"/>
  <c r="AK311" i="10"/>
  <c r="BF311" i="10" s="1"/>
  <c r="BU311" i="10" s="1"/>
  <c r="CK311" i="10"/>
  <c r="AK312" i="10"/>
  <c r="CK312" i="10"/>
  <c r="AK313" i="10"/>
  <c r="BF313" i="10" s="1"/>
  <c r="BU313" i="10" s="1"/>
  <c r="CK313" i="10"/>
  <c r="AK314" i="10"/>
  <c r="CK314" i="10"/>
  <c r="AK315" i="10"/>
  <c r="CK315" i="10"/>
  <c r="AK316" i="10"/>
  <c r="CK316" i="10"/>
  <c r="AK317" i="10"/>
  <c r="CK317" i="10"/>
  <c r="AK318" i="10"/>
  <c r="CK318" i="10"/>
  <c r="AK319" i="10"/>
  <c r="BF319" i="10" s="1"/>
  <c r="BU319" i="10" s="1"/>
  <c r="CK319" i="10"/>
  <c r="AK320" i="10"/>
  <c r="CK320" i="10"/>
  <c r="AK321" i="10"/>
  <c r="CK321" i="10"/>
  <c r="AK322" i="10"/>
  <c r="BF322" i="10" s="1"/>
  <c r="BU322" i="10" s="1"/>
  <c r="CK322" i="10"/>
  <c r="AK323" i="10"/>
  <c r="BF323" i="10" s="1"/>
  <c r="BU323" i="10" s="1"/>
  <c r="CK323" i="10"/>
  <c r="AK324" i="10"/>
  <c r="CK324" i="10"/>
  <c r="AK325" i="10"/>
  <c r="CK325" i="10"/>
  <c r="AK326" i="10"/>
  <c r="BF326" i="10" s="1"/>
  <c r="BU326" i="10" s="1"/>
  <c r="CK326" i="10"/>
  <c r="AK327" i="10"/>
  <c r="CK327" i="10"/>
  <c r="AK328" i="10"/>
  <c r="BF328" i="10" s="1"/>
  <c r="BU328" i="10" s="1"/>
  <c r="CK328" i="10"/>
  <c r="AK329" i="10"/>
  <c r="BF329" i="10" s="1"/>
  <c r="BU329" i="10" s="1"/>
  <c r="CK329" i="10"/>
  <c r="AK330" i="10"/>
  <c r="BF330" i="10" s="1"/>
  <c r="BU330" i="10" s="1"/>
  <c r="CK330" i="10"/>
  <c r="AK331" i="10"/>
  <c r="CK331" i="10"/>
  <c r="AK332" i="10"/>
  <c r="CK332" i="10"/>
  <c r="AK333" i="10"/>
  <c r="CK333" i="10"/>
  <c r="AK334" i="10"/>
  <c r="BF334" i="10" s="1"/>
  <c r="BU334" i="10" s="1"/>
  <c r="CK334" i="10"/>
  <c r="AK335" i="10"/>
  <c r="BF335" i="10" s="1"/>
  <c r="BU335" i="10" s="1"/>
  <c r="CK335" i="10"/>
  <c r="AK336" i="10"/>
  <c r="BF336" i="10" s="1"/>
  <c r="BU336" i="10" s="1"/>
  <c r="BY336" i="10" s="1"/>
  <c r="CK336" i="10"/>
  <c r="AK337" i="10"/>
  <c r="CK337" i="10"/>
  <c r="AK338" i="10"/>
  <c r="CK338" i="10"/>
  <c r="AK339" i="10"/>
  <c r="CK339" i="10"/>
  <c r="AK340" i="10"/>
  <c r="BF340" i="10" s="1"/>
  <c r="BU340" i="10" s="1"/>
  <c r="CK340" i="10"/>
  <c r="AK341" i="10"/>
  <c r="CK341" i="10"/>
  <c r="AK342" i="10"/>
  <c r="CK342" i="10"/>
  <c r="AK343" i="10"/>
  <c r="BF343" i="10" s="1"/>
  <c r="BU343" i="10" s="1"/>
  <c r="CK343" i="10"/>
  <c r="AK344" i="10"/>
  <c r="CK344" i="10"/>
  <c r="AK345" i="10"/>
  <c r="CK345" i="10"/>
  <c r="AK346" i="10"/>
  <c r="BF346" i="10" s="1"/>
  <c r="BU346" i="10" s="1"/>
  <c r="CK346" i="10"/>
  <c r="AK347" i="10"/>
  <c r="BF347" i="10" s="1"/>
  <c r="BU347" i="10" s="1"/>
  <c r="CK347" i="10"/>
  <c r="AK348" i="10"/>
  <c r="CK348" i="10"/>
  <c r="AK349" i="10"/>
  <c r="CK349" i="10"/>
  <c r="AK350" i="10"/>
  <c r="CK350" i="10"/>
  <c r="AK351" i="10"/>
  <c r="CK351" i="10"/>
  <c r="AK352" i="10"/>
  <c r="CK352" i="10"/>
  <c r="AK353" i="10"/>
  <c r="BF353" i="10" s="1"/>
  <c r="BU353" i="10" s="1"/>
  <c r="CK353" i="10"/>
  <c r="AK354" i="10"/>
  <c r="CK354" i="10"/>
  <c r="AK355" i="10"/>
  <c r="BF355" i="10" s="1"/>
  <c r="BU355" i="10" s="1"/>
  <c r="CK355" i="10"/>
  <c r="AK356" i="10"/>
  <c r="BF356" i="10" s="1"/>
  <c r="BU356" i="10" s="1"/>
  <c r="CK356" i="10"/>
  <c r="AK357" i="10"/>
  <c r="CK357" i="10"/>
  <c r="AK358" i="10"/>
  <c r="CK358" i="10"/>
  <c r="AK359" i="10"/>
  <c r="BF359" i="10" s="1"/>
  <c r="BU359" i="10" s="1"/>
  <c r="CK359" i="10"/>
  <c r="AK360" i="10"/>
  <c r="CK360" i="10"/>
  <c r="AK361" i="10"/>
  <c r="CK361" i="10"/>
  <c r="AK362" i="10"/>
  <c r="BF362" i="10" s="1"/>
  <c r="BU362" i="10" s="1"/>
  <c r="CK362" i="10"/>
  <c r="AK363" i="10"/>
  <c r="CK363" i="10"/>
  <c r="AK364" i="10"/>
  <c r="CK364" i="10"/>
  <c r="AK365" i="10"/>
  <c r="BF365" i="10" s="1"/>
  <c r="BU365" i="10" s="1"/>
  <c r="CK365" i="10"/>
  <c r="AK366" i="10"/>
  <c r="BF366" i="10" s="1"/>
  <c r="BU366" i="10" s="1"/>
  <c r="BY366" i="10" s="1"/>
  <c r="CK366" i="10"/>
  <c r="AK367" i="10"/>
  <c r="BF367" i="10" s="1"/>
  <c r="BU367" i="10" s="1"/>
  <c r="CK367" i="10"/>
  <c r="AK368" i="10"/>
  <c r="CK368" i="10"/>
  <c r="AK369" i="10"/>
  <c r="CK369" i="10"/>
  <c r="AK370" i="10"/>
  <c r="BF370" i="10" s="1"/>
  <c r="BU370" i="10" s="1"/>
  <c r="CK370" i="10"/>
  <c r="AK371" i="10"/>
  <c r="BF371" i="10" s="1"/>
  <c r="BU371" i="10" s="1"/>
  <c r="CK371" i="10"/>
  <c r="AK372" i="10"/>
  <c r="CK372" i="10"/>
  <c r="AK373" i="10"/>
  <c r="BF373" i="10" s="1"/>
  <c r="BU373" i="10" s="1"/>
  <c r="CK373" i="10"/>
  <c r="AK374" i="10"/>
  <c r="CK374" i="10"/>
  <c r="AK375" i="10"/>
  <c r="CK375" i="10"/>
  <c r="AK376" i="10"/>
  <c r="BF376" i="10" s="1"/>
  <c r="BU376" i="10" s="1"/>
  <c r="CK376" i="10"/>
  <c r="AK377" i="10"/>
  <c r="CK377" i="10"/>
  <c r="AK378" i="10"/>
  <c r="CK378" i="10"/>
  <c r="AK379" i="10"/>
  <c r="BF379" i="10" s="1"/>
  <c r="BU379" i="10" s="1"/>
  <c r="CK379" i="10"/>
  <c r="AK380" i="10"/>
  <c r="CK380" i="10"/>
  <c r="AK381" i="10"/>
  <c r="BB381" i="10" s="1"/>
  <c r="BD381" i="10" s="1"/>
  <c r="CK381" i="10"/>
  <c r="AK382" i="10"/>
  <c r="BF382" i="10" s="1"/>
  <c r="BU382" i="10" s="1"/>
  <c r="CK382" i="10"/>
  <c r="AK383" i="10"/>
  <c r="CK383" i="10"/>
  <c r="AK384" i="10"/>
  <c r="CK384" i="10"/>
  <c r="AK385" i="10"/>
  <c r="CK385" i="10"/>
  <c r="AK386" i="10"/>
  <c r="BF386" i="10" s="1"/>
  <c r="BU386" i="10" s="1"/>
  <c r="CK386" i="10"/>
  <c r="AK387" i="10"/>
  <c r="CK387" i="10"/>
  <c r="AK388" i="10"/>
  <c r="CK388" i="10"/>
  <c r="AK389" i="10"/>
  <c r="CK389" i="10"/>
  <c r="AK390" i="10"/>
  <c r="CK390" i="10"/>
  <c r="AK391" i="10"/>
  <c r="CK391" i="10"/>
  <c r="AK392" i="10"/>
  <c r="BF392" i="10" s="1"/>
  <c r="BU392" i="10" s="1"/>
  <c r="CK392" i="10"/>
  <c r="AK393" i="10"/>
  <c r="CK393" i="10"/>
  <c r="AK394" i="10"/>
  <c r="CK394" i="10"/>
  <c r="AK395" i="10"/>
  <c r="CK395" i="10"/>
  <c r="AK396" i="10"/>
  <c r="CK396" i="10"/>
  <c r="AK397" i="10"/>
  <c r="CK397" i="10"/>
  <c r="AK398" i="10"/>
  <c r="BF398" i="10" s="1"/>
  <c r="BU398" i="10" s="1"/>
  <c r="CK398" i="10"/>
  <c r="AK399" i="10"/>
  <c r="CK399" i="10"/>
  <c r="AK400" i="10"/>
  <c r="CK400" i="10"/>
  <c r="AK401" i="10"/>
  <c r="CK401" i="10"/>
  <c r="AK402" i="10"/>
  <c r="CK402" i="10"/>
  <c r="AK403" i="10"/>
  <c r="CK403" i="10"/>
  <c r="AK404" i="10"/>
  <c r="CK404" i="10"/>
  <c r="AK405" i="10"/>
  <c r="CK405" i="10"/>
  <c r="AK406" i="10"/>
  <c r="CK406" i="10"/>
  <c r="AK407" i="10"/>
  <c r="CK407" i="10"/>
  <c r="AK408" i="10"/>
  <c r="CK408" i="10"/>
  <c r="AK409" i="10"/>
  <c r="CK409" i="10"/>
  <c r="AK410" i="10"/>
  <c r="BF410" i="10" s="1"/>
  <c r="BU410" i="10" s="1"/>
  <c r="CK410" i="10"/>
  <c r="AK411" i="10"/>
  <c r="CK411" i="10"/>
  <c r="AK412" i="10"/>
  <c r="CK412" i="10"/>
  <c r="AK413" i="10"/>
  <c r="CK413" i="10"/>
  <c r="AK414" i="10"/>
  <c r="CK414" i="10"/>
  <c r="AK415" i="10"/>
  <c r="CK415" i="10"/>
  <c r="AK416" i="10"/>
  <c r="BF416" i="10" s="1"/>
  <c r="BU416" i="10" s="1"/>
  <c r="BY416" i="10" s="1"/>
  <c r="CK416" i="10"/>
  <c r="AK417" i="10"/>
  <c r="CK417" i="10"/>
  <c r="AK418" i="10"/>
  <c r="CK418" i="10"/>
  <c r="AK419" i="10"/>
  <c r="BF419" i="10" s="1"/>
  <c r="BU419" i="10" s="1"/>
  <c r="CK419" i="10"/>
  <c r="AK420" i="10"/>
  <c r="CK420" i="10"/>
  <c r="AK421" i="10"/>
  <c r="CK421" i="10"/>
  <c r="AK422" i="10"/>
  <c r="CK422" i="10"/>
  <c r="AK423" i="10"/>
  <c r="CK423" i="10"/>
  <c r="AK424" i="10"/>
  <c r="CK424" i="10"/>
  <c r="AK425" i="10"/>
  <c r="CK425" i="10"/>
  <c r="AK426" i="10"/>
  <c r="CK426" i="10"/>
  <c r="AK427" i="10"/>
  <c r="CK427" i="10"/>
  <c r="AK428" i="10"/>
  <c r="BF428" i="10" s="1"/>
  <c r="BU428" i="10" s="1"/>
  <c r="BY428" i="10" s="1"/>
  <c r="CK428" i="10"/>
  <c r="AK429" i="10"/>
  <c r="BF429" i="10" s="1"/>
  <c r="BU429" i="10" s="1"/>
  <c r="DY429" i="10" s="1"/>
  <c r="CK429" i="10"/>
  <c r="AK430" i="10"/>
  <c r="BF430" i="10" s="1"/>
  <c r="BU430" i="10" s="1"/>
  <c r="CK430" i="10"/>
  <c r="AK431" i="10"/>
  <c r="BF431" i="10" s="1"/>
  <c r="BU431" i="10" s="1"/>
  <c r="CK431" i="10"/>
  <c r="AK432" i="10"/>
  <c r="CK432" i="10"/>
  <c r="AK433" i="10"/>
  <c r="BF433" i="10" s="1"/>
  <c r="BU433" i="10" s="1"/>
  <c r="CK433" i="10"/>
  <c r="AK434" i="10"/>
  <c r="BF434" i="10" s="1"/>
  <c r="BU434" i="10" s="1"/>
  <c r="BY434" i="10" s="1"/>
  <c r="CK434" i="10"/>
  <c r="AK435" i="10"/>
  <c r="CK435" i="10"/>
  <c r="AK436" i="10"/>
  <c r="CK436" i="10"/>
  <c r="AK437" i="10"/>
  <c r="CK437" i="10"/>
  <c r="AK438" i="10"/>
  <c r="CK438" i="10"/>
  <c r="AK439" i="10"/>
  <c r="BF439" i="10" s="1"/>
  <c r="BU439" i="10" s="1"/>
  <c r="CK439" i="10"/>
  <c r="AK440" i="10"/>
  <c r="CK440" i="10"/>
  <c r="AK441" i="10"/>
  <c r="CK441" i="10"/>
  <c r="AK442" i="10"/>
  <c r="CK442" i="10"/>
  <c r="AK443" i="10"/>
  <c r="BF443" i="10" s="1"/>
  <c r="BU443" i="10" s="1"/>
  <c r="CK443" i="10"/>
  <c r="AK444" i="10"/>
  <c r="CK444" i="10"/>
  <c r="AK445" i="10"/>
  <c r="CK445" i="10"/>
  <c r="AK446" i="10"/>
  <c r="BF446" i="10" s="1"/>
  <c r="BU446" i="10" s="1"/>
  <c r="CK446" i="10"/>
  <c r="AK447" i="10"/>
  <c r="CK447" i="10"/>
  <c r="AK448" i="10"/>
  <c r="BF448" i="10" s="1"/>
  <c r="BU448" i="10" s="1"/>
  <c r="BY448" i="10" s="1"/>
  <c r="CK448" i="10"/>
  <c r="AK449" i="10"/>
  <c r="BF449" i="10" s="1"/>
  <c r="BU449" i="10" s="1"/>
  <c r="CK449" i="10"/>
  <c r="AK450" i="10"/>
  <c r="CK450" i="10"/>
  <c r="AK451" i="10"/>
  <c r="CK451" i="10"/>
  <c r="AK452" i="10"/>
  <c r="BF452" i="10" s="1"/>
  <c r="BU452" i="10" s="1"/>
  <c r="BY452" i="10" s="1"/>
  <c r="CK452" i="10"/>
  <c r="AK453" i="10"/>
  <c r="CK453" i="10"/>
  <c r="AK454" i="10"/>
  <c r="BF454" i="10" s="1"/>
  <c r="BU454" i="10" s="1"/>
  <c r="BY454" i="10" s="1"/>
  <c r="CK454" i="10"/>
  <c r="AK455" i="10"/>
  <c r="CK455" i="10"/>
  <c r="AK456" i="10"/>
  <c r="CK456" i="10"/>
  <c r="AK457" i="10"/>
  <c r="BF457" i="10" s="1"/>
  <c r="BU457" i="10" s="1"/>
  <c r="CK457" i="10"/>
  <c r="AK458" i="10"/>
  <c r="CK458" i="10"/>
  <c r="AK459" i="10"/>
  <c r="CK459" i="10"/>
  <c r="AK460" i="10"/>
  <c r="BF460" i="10" s="1"/>
  <c r="BU460" i="10" s="1"/>
  <c r="CK460" i="10"/>
  <c r="AK461" i="10"/>
  <c r="BF461" i="10" s="1"/>
  <c r="BU461" i="10" s="1"/>
  <c r="CK461" i="10"/>
  <c r="AK462" i="10"/>
  <c r="CK462" i="10"/>
  <c r="AK463" i="10"/>
  <c r="BB463" i="10" s="1"/>
  <c r="BD463" i="10" s="1"/>
  <c r="CK463" i="10"/>
  <c r="AK464" i="10"/>
  <c r="BF464" i="10" s="1"/>
  <c r="BU464" i="10" s="1"/>
  <c r="CK464" i="10"/>
  <c r="AK465" i="10"/>
  <c r="CK465" i="10"/>
  <c r="AK466" i="10"/>
  <c r="BF466" i="10" s="1"/>
  <c r="BU466" i="10" s="1"/>
  <c r="BY466" i="10" s="1"/>
  <c r="CK466" i="10"/>
  <c r="AK467" i="10"/>
  <c r="CK467" i="10"/>
  <c r="AK468" i="10"/>
  <c r="BF468" i="10" s="1"/>
  <c r="BU468" i="10" s="1"/>
  <c r="BY468" i="10" s="1"/>
  <c r="CK468" i="10"/>
  <c r="AK469" i="10"/>
  <c r="CK469" i="10"/>
  <c r="AK470" i="10"/>
  <c r="BF470" i="10" s="1"/>
  <c r="BU470" i="10" s="1"/>
  <c r="CK470" i="10"/>
  <c r="AK471" i="10"/>
  <c r="CK471" i="10"/>
  <c r="AK472" i="10"/>
  <c r="CK472" i="10"/>
  <c r="AK473" i="10"/>
  <c r="BF473" i="10" s="1"/>
  <c r="BU473" i="10" s="1"/>
  <c r="CK473" i="10"/>
  <c r="AK474" i="10"/>
  <c r="BF474" i="10" s="1"/>
  <c r="BU474" i="10" s="1"/>
  <c r="BY474" i="10" s="1"/>
  <c r="CK474" i="10"/>
  <c r="AK475" i="10"/>
  <c r="CK475" i="10"/>
  <c r="AK476" i="10"/>
  <c r="CK476" i="10"/>
  <c r="AK477" i="10"/>
  <c r="CK477" i="10"/>
  <c r="AK478" i="10"/>
  <c r="BF478" i="10" s="1"/>
  <c r="BU478" i="10" s="1"/>
  <c r="BY478" i="10" s="1"/>
  <c r="CK478" i="10"/>
  <c r="AK479" i="10"/>
  <c r="BF479" i="10" s="1"/>
  <c r="BU479" i="10" s="1"/>
  <c r="CK479" i="10"/>
  <c r="AK480" i="10"/>
  <c r="CK480" i="10"/>
  <c r="AK481" i="10"/>
  <c r="CK481" i="10"/>
  <c r="AK482" i="10"/>
  <c r="CK482" i="10"/>
  <c r="AK483" i="10"/>
  <c r="CK483" i="10"/>
  <c r="AK484" i="10"/>
  <c r="BF484" i="10" s="1"/>
  <c r="BU484" i="10" s="1"/>
  <c r="BY484" i="10" s="1"/>
  <c r="CK484" i="10"/>
  <c r="AK485" i="10"/>
  <c r="CK485" i="10"/>
  <c r="AK486" i="10"/>
  <c r="BF486" i="10" s="1"/>
  <c r="BU486" i="10" s="1"/>
  <c r="BY486" i="10" s="1"/>
  <c r="CK486" i="10"/>
  <c r="AK487" i="10"/>
  <c r="CK487" i="10"/>
  <c r="AK488" i="10"/>
  <c r="CK488" i="10"/>
  <c r="AK489" i="10"/>
  <c r="CK489" i="10"/>
  <c r="AK490" i="10"/>
  <c r="CK490" i="10"/>
  <c r="AK491" i="10"/>
  <c r="CK491" i="10"/>
  <c r="AK492" i="10"/>
  <c r="CK492" i="10"/>
  <c r="AK493" i="10"/>
  <c r="CK493" i="10"/>
  <c r="AK494" i="10"/>
  <c r="CK494" i="10"/>
  <c r="AK495" i="10"/>
  <c r="CK495" i="10"/>
  <c r="AK496" i="10"/>
  <c r="CK496" i="10"/>
  <c r="AK497" i="10"/>
  <c r="CK497" i="10"/>
  <c r="AK498" i="10"/>
  <c r="CK498" i="10"/>
  <c r="AK499" i="10"/>
  <c r="BF499" i="10" s="1"/>
  <c r="BU499" i="10" s="1"/>
  <c r="CK499" i="10"/>
  <c r="AK500" i="10"/>
  <c r="CK500" i="10"/>
  <c r="AK501" i="10"/>
  <c r="CK501" i="10"/>
  <c r="AK502" i="10"/>
  <c r="CK502" i="10"/>
  <c r="AK503" i="10"/>
  <c r="BF503" i="10" s="1"/>
  <c r="BU503" i="10" s="1"/>
  <c r="CK503" i="10"/>
  <c r="AK504" i="10"/>
  <c r="CK504" i="10"/>
  <c r="AK505" i="10"/>
  <c r="CK505" i="10"/>
  <c r="AK506" i="10"/>
  <c r="CK506" i="10"/>
  <c r="AK507" i="10"/>
  <c r="CK507" i="10"/>
  <c r="AK508" i="10"/>
  <c r="CK508" i="10"/>
  <c r="AK509" i="10"/>
  <c r="BF509" i="10" s="1"/>
  <c r="BU509" i="10" s="1"/>
  <c r="CK509" i="10"/>
  <c r="AK510" i="10"/>
  <c r="CK510" i="10"/>
  <c r="AK511" i="10"/>
  <c r="BF511" i="10" s="1"/>
  <c r="BU511" i="10" s="1"/>
  <c r="CK511" i="10"/>
  <c r="AK512" i="10"/>
  <c r="BF512" i="10" s="1"/>
  <c r="BU512" i="10" s="1"/>
  <c r="BY512" i="10" s="1"/>
  <c r="CK512" i="10"/>
  <c r="AK513" i="10"/>
  <c r="CK513" i="10"/>
  <c r="AK514" i="10"/>
  <c r="BF514" i="10" s="1"/>
  <c r="BU514" i="10" s="1"/>
  <c r="CK514" i="10"/>
  <c r="AK515" i="10"/>
  <c r="CK515" i="10"/>
  <c r="AK516" i="10"/>
  <c r="CK516" i="10"/>
  <c r="AK517" i="10"/>
  <c r="CK517" i="10"/>
  <c r="AK518" i="10"/>
  <c r="BF518" i="10" s="1"/>
  <c r="BU518" i="10" s="1"/>
  <c r="CK518" i="10"/>
  <c r="AK519" i="10"/>
  <c r="BF519" i="10" s="1"/>
  <c r="BU519" i="10" s="1"/>
  <c r="DY519" i="10" s="1"/>
  <c r="CK519" i="10"/>
  <c r="AK520" i="10"/>
  <c r="BF520" i="10" s="1"/>
  <c r="BU520" i="10" s="1"/>
  <c r="BY520" i="10" s="1"/>
  <c r="CK520" i="10"/>
  <c r="AK521" i="10"/>
  <c r="CK521" i="10"/>
  <c r="AK522" i="10"/>
  <c r="BF522" i="10" s="1"/>
  <c r="BU522" i="10" s="1"/>
  <c r="BY522" i="10" s="1"/>
  <c r="CK522" i="10"/>
  <c r="AK523" i="10"/>
  <c r="BF523" i="10" s="1"/>
  <c r="BU523" i="10" s="1"/>
  <c r="CK523" i="10"/>
  <c r="AK524" i="10"/>
  <c r="BF524" i="10" s="1"/>
  <c r="BU524" i="10" s="1"/>
  <c r="BY524" i="10" s="1"/>
  <c r="CK524" i="10"/>
  <c r="AK525" i="10"/>
  <c r="CK525" i="10"/>
  <c r="AK526" i="10"/>
  <c r="CK526" i="10"/>
  <c r="AK527" i="10"/>
  <c r="BF527" i="10" s="1"/>
  <c r="BU527" i="10" s="1"/>
  <c r="BY527" i="10" s="1"/>
  <c r="CK527" i="10"/>
  <c r="AK528" i="10"/>
  <c r="CK528" i="10"/>
  <c r="AK529" i="10"/>
  <c r="CK529" i="10"/>
  <c r="AK530" i="10"/>
  <c r="CK530" i="10"/>
  <c r="AK531" i="10"/>
  <c r="CK531" i="10"/>
  <c r="AK532" i="10"/>
  <c r="BF532" i="10" s="1"/>
  <c r="BU532" i="10" s="1"/>
  <c r="BY532" i="10" s="1"/>
  <c r="CK532" i="10"/>
  <c r="AK533" i="10"/>
  <c r="CK533" i="10"/>
  <c r="AK534" i="10"/>
  <c r="BF534" i="10" s="1"/>
  <c r="BU534" i="10" s="1"/>
  <c r="BY534" i="10" s="1"/>
  <c r="CK534" i="10"/>
  <c r="AK535" i="10"/>
  <c r="BF535" i="10" s="1"/>
  <c r="BU535" i="10" s="1"/>
  <c r="CK535" i="10"/>
  <c r="AK536" i="10"/>
  <c r="BF536" i="10" s="1"/>
  <c r="BU536" i="10" s="1"/>
  <c r="BY536" i="10" s="1"/>
  <c r="CK536" i="10"/>
  <c r="AK537" i="10"/>
  <c r="CK537" i="10"/>
  <c r="AK538" i="10"/>
  <c r="CK538" i="10"/>
  <c r="AK539" i="10"/>
  <c r="CK539" i="10"/>
  <c r="AK540" i="10"/>
  <c r="CK540" i="10"/>
  <c r="AK541" i="10"/>
  <c r="BF541" i="10" s="1"/>
  <c r="BU541" i="10" s="1"/>
  <c r="CK541" i="10"/>
  <c r="AK542" i="10"/>
  <c r="CK542" i="10"/>
  <c r="AK543" i="10"/>
  <c r="CK543" i="10"/>
  <c r="AK544" i="10"/>
  <c r="CK544" i="10"/>
  <c r="AK545" i="10"/>
  <c r="CK545" i="10"/>
  <c r="AK546" i="10"/>
  <c r="BF546" i="10" s="1"/>
  <c r="BU546" i="10" s="1"/>
  <c r="BY546" i="10" s="1"/>
  <c r="CK546" i="10"/>
  <c r="AK547" i="10"/>
  <c r="CK547" i="10"/>
  <c r="AK548" i="10"/>
  <c r="CK548" i="10"/>
  <c r="AK549" i="10"/>
  <c r="BF549" i="10" s="1"/>
  <c r="BU549" i="10" s="1"/>
  <c r="CK549" i="10"/>
  <c r="AK550" i="10"/>
  <c r="CK550" i="10"/>
  <c r="AK551" i="10"/>
  <c r="BF551" i="10" s="1"/>
  <c r="BU551" i="10" s="1"/>
  <c r="CK551" i="10"/>
  <c r="AK552" i="10"/>
  <c r="CK552" i="10"/>
  <c r="AK553" i="10"/>
  <c r="BF553" i="10" s="1"/>
  <c r="BU553" i="10" s="1"/>
  <c r="CK553" i="10"/>
  <c r="AK554" i="10"/>
  <c r="CK554" i="10"/>
  <c r="AK555" i="10"/>
  <c r="CK555" i="10"/>
  <c r="AK556" i="10"/>
  <c r="CK556" i="10"/>
  <c r="AK557" i="10"/>
  <c r="CK557" i="10"/>
  <c r="AK558" i="10"/>
  <c r="CK558" i="10"/>
  <c r="AK559" i="10"/>
  <c r="CK559" i="10"/>
  <c r="AK560" i="10"/>
  <c r="BF560" i="10" s="1"/>
  <c r="BU560" i="10" s="1"/>
  <c r="CK560" i="10"/>
  <c r="AK561" i="10"/>
  <c r="CK561" i="10"/>
  <c r="AK562" i="10"/>
  <c r="CK562" i="10"/>
  <c r="AK563" i="10"/>
  <c r="BF563" i="10" s="1"/>
  <c r="BU563" i="10" s="1"/>
  <c r="BY563" i="10" s="1"/>
  <c r="CK563" i="10"/>
  <c r="AK564" i="10"/>
  <c r="BF564" i="10" s="1"/>
  <c r="BU564" i="10" s="1"/>
  <c r="BY564" i="10" s="1"/>
  <c r="CK564" i="10"/>
  <c r="AK565" i="10"/>
  <c r="CK565" i="10"/>
  <c r="AK566" i="10"/>
  <c r="CK566" i="10"/>
  <c r="AK567" i="10"/>
  <c r="CK567" i="10"/>
  <c r="AK568" i="10"/>
  <c r="CK568" i="10"/>
  <c r="AK569" i="10"/>
  <c r="BF569" i="10" s="1"/>
  <c r="BU569" i="10" s="1"/>
  <c r="CK569" i="10"/>
  <c r="AK570" i="10"/>
  <c r="CK570" i="10"/>
  <c r="AK571" i="10"/>
  <c r="CK571" i="10"/>
  <c r="AK572" i="10"/>
  <c r="CK572" i="10"/>
  <c r="AK573" i="10"/>
  <c r="CK573" i="10"/>
  <c r="AK574" i="10"/>
  <c r="CK574" i="10"/>
  <c r="AK575" i="10"/>
  <c r="BF575" i="10" s="1"/>
  <c r="BU575" i="10" s="1"/>
  <c r="BY575" i="10" s="1"/>
  <c r="CK575" i="10"/>
  <c r="AK576" i="10"/>
  <c r="BF576" i="10" s="1"/>
  <c r="BU576" i="10" s="1"/>
  <c r="CK576" i="10"/>
  <c r="AK577" i="10"/>
  <c r="CK577" i="10"/>
  <c r="AK578" i="10"/>
  <c r="CK578" i="10"/>
  <c r="AK579" i="10"/>
  <c r="CK579" i="10"/>
  <c r="AK580" i="10"/>
  <c r="CK580" i="10"/>
  <c r="AK581" i="10"/>
  <c r="BF581" i="10" s="1"/>
  <c r="BU581" i="10" s="1"/>
  <c r="BY581" i="10" s="1"/>
  <c r="CK581" i="10"/>
  <c r="AK582" i="10"/>
  <c r="CK582" i="10"/>
  <c r="AK583" i="10"/>
  <c r="CK583" i="10"/>
  <c r="AK584" i="10"/>
  <c r="CK584" i="10"/>
  <c r="AK585" i="10"/>
  <c r="CK585" i="10"/>
  <c r="AK586" i="10"/>
  <c r="CK586" i="10"/>
  <c r="AK587" i="10"/>
  <c r="BF587" i="10" s="1"/>
  <c r="BU587" i="10" s="1"/>
  <c r="CK587" i="10"/>
  <c r="AK588" i="10"/>
  <c r="CK588" i="10"/>
  <c r="AK589" i="10"/>
  <c r="CK589" i="10"/>
  <c r="AK590" i="10"/>
  <c r="CK590" i="10"/>
  <c r="AK591" i="10"/>
  <c r="BF591" i="10" s="1"/>
  <c r="BU591" i="10" s="1"/>
  <c r="BY591" i="10" s="1"/>
  <c r="CK591" i="10"/>
  <c r="AK592" i="10"/>
  <c r="CK592" i="10"/>
  <c r="AK593" i="10"/>
  <c r="BF593" i="10" s="1"/>
  <c r="BU593" i="10" s="1"/>
  <c r="BY593" i="10" s="1"/>
  <c r="CK593" i="10"/>
  <c r="AK594" i="10"/>
  <c r="CK594" i="10"/>
  <c r="AK595" i="10"/>
  <c r="BF595" i="10" s="1"/>
  <c r="BU595" i="10" s="1"/>
  <c r="CK595" i="10"/>
  <c r="AK596" i="10"/>
  <c r="CK596" i="10"/>
  <c r="AK597" i="10"/>
  <c r="BF597" i="10" s="1"/>
  <c r="BU597" i="10" s="1"/>
  <c r="CK597" i="10"/>
  <c r="AK598" i="10"/>
  <c r="BF598" i="10" s="1"/>
  <c r="BU598" i="10" s="1"/>
  <c r="CK598" i="10"/>
  <c r="AK599" i="10"/>
  <c r="BF599" i="10" s="1"/>
  <c r="BU599" i="10" s="1"/>
  <c r="BY599" i="10" s="1"/>
  <c r="CK599" i="10"/>
  <c r="AK600" i="10"/>
  <c r="CK600" i="10"/>
  <c r="AK601" i="10"/>
  <c r="CK601" i="10"/>
  <c r="AK602" i="10"/>
  <c r="CK602" i="10"/>
  <c r="AK603" i="10"/>
  <c r="CK603" i="10"/>
  <c r="AK604" i="10"/>
  <c r="CK604" i="10"/>
  <c r="AK605" i="10"/>
  <c r="BF605" i="10" s="1"/>
  <c r="BU605" i="10" s="1"/>
  <c r="BY605" i="10" s="1"/>
  <c r="CK605" i="10"/>
  <c r="AK606" i="10"/>
  <c r="CK606" i="10"/>
  <c r="AK607" i="10"/>
  <c r="CK607" i="10"/>
  <c r="AK608" i="10"/>
  <c r="CK608" i="10"/>
  <c r="AK609" i="10"/>
  <c r="CK609" i="10"/>
  <c r="AK610" i="10"/>
  <c r="BF610" i="10" s="1"/>
  <c r="BU610" i="10" s="1"/>
  <c r="CK610" i="10"/>
  <c r="AK611" i="10"/>
  <c r="CK611" i="10"/>
  <c r="AK612" i="10"/>
  <c r="CK612" i="10"/>
  <c r="AK613" i="10"/>
  <c r="CK613" i="10"/>
  <c r="AK614" i="10"/>
  <c r="CK614" i="10"/>
  <c r="AK615" i="10"/>
  <c r="CK615" i="10"/>
  <c r="AK616" i="10"/>
  <c r="CK616" i="10"/>
  <c r="AK617" i="10"/>
  <c r="CK617" i="10"/>
  <c r="AK618" i="10"/>
  <c r="CK618" i="10"/>
  <c r="AK619" i="10"/>
  <c r="BF619" i="10" s="1"/>
  <c r="BU619" i="10" s="1"/>
  <c r="CK619" i="10"/>
  <c r="AK620" i="10"/>
  <c r="CK620" i="10"/>
  <c r="AK621" i="10"/>
  <c r="CK621" i="10"/>
  <c r="AK622" i="10"/>
  <c r="CK622" i="10"/>
  <c r="AK623" i="10"/>
  <c r="CK623" i="10"/>
  <c r="AK624" i="10"/>
  <c r="CK624" i="10"/>
  <c r="AK625" i="10"/>
  <c r="BF625" i="10" s="1"/>
  <c r="BU625" i="10" s="1"/>
  <c r="CK625" i="10"/>
  <c r="AK626" i="10"/>
  <c r="BF626" i="10" s="1"/>
  <c r="BU626" i="10" s="1"/>
  <c r="CK626" i="10"/>
  <c r="AK627" i="10"/>
  <c r="CK627" i="10"/>
  <c r="AK628" i="10"/>
  <c r="CK628" i="10"/>
  <c r="AK629" i="10"/>
  <c r="CK629" i="10"/>
  <c r="AK630" i="10"/>
  <c r="CK630" i="10"/>
  <c r="AK631" i="10"/>
  <c r="CK631" i="10"/>
  <c r="AK632" i="10"/>
  <c r="CK632" i="10"/>
  <c r="AK633" i="10"/>
  <c r="BF633" i="10" s="1"/>
  <c r="BU633" i="10" s="1"/>
  <c r="CK633" i="10"/>
  <c r="AK634" i="10"/>
  <c r="BF634" i="10" s="1"/>
  <c r="BU634" i="10" s="1"/>
  <c r="CK634" i="10"/>
  <c r="AK635" i="10"/>
  <c r="CK635" i="10"/>
  <c r="AK636" i="10"/>
  <c r="CK636" i="10"/>
  <c r="AK637" i="10"/>
  <c r="BF637" i="10" s="1"/>
  <c r="BU637" i="10" s="1"/>
  <c r="CK637" i="10"/>
  <c r="AK638" i="10"/>
  <c r="CK638" i="10"/>
  <c r="AK639" i="10"/>
  <c r="BF639" i="10" s="1"/>
  <c r="BU639" i="10" s="1"/>
  <c r="CK639" i="10"/>
  <c r="AK640" i="10"/>
  <c r="BF640" i="10" s="1"/>
  <c r="BU640" i="10" s="1"/>
  <c r="CK640" i="10"/>
  <c r="AK641" i="10"/>
  <c r="CK641" i="10"/>
  <c r="AK642" i="10"/>
  <c r="BF642" i="10" s="1"/>
  <c r="BU642" i="10" s="1"/>
  <c r="BY642" i="10" s="1"/>
  <c r="CK642" i="10"/>
  <c r="AK643" i="10"/>
  <c r="CK643" i="10"/>
  <c r="AK644" i="10"/>
  <c r="CK644" i="10"/>
  <c r="AK645" i="10"/>
  <c r="CK645" i="10"/>
  <c r="AK646" i="10"/>
  <c r="BF646" i="10" s="1"/>
  <c r="BU646" i="10" s="1"/>
  <c r="CK646" i="10"/>
  <c r="AK647" i="10"/>
  <c r="BF647" i="10" s="1"/>
  <c r="BU647" i="10" s="1"/>
  <c r="BY647" i="10" s="1"/>
  <c r="CK647" i="10"/>
  <c r="AK648" i="10"/>
  <c r="CK648" i="10"/>
  <c r="AK649" i="10"/>
  <c r="BF649" i="10" s="1"/>
  <c r="BU649" i="10" s="1"/>
  <c r="CK649" i="10"/>
  <c r="AK650" i="10"/>
  <c r="CK650" i="10"/>
  <c r="AK651" i="10"/>
  <c r="BF651" i="10" s="1"/>
  <c r="BU651" i="10" s="1"/>
  <c r="CK651" i="10"/>
  <c r="AK652" i="10"/>
  <c r="CK652" i="10"/>
  <c r="AK653" i="10"/>
  <c r="BF653" i="10" s="1"/>
  <c r="BU653" i="10" s="1"/>
  <c r="CK653" i="10"/>
  <c r="AK654" i="10"/>
  <c r="CK654" i="10"/>
  <c r="AK655" i="10"/>
  <c r="CK655" i="10"/>
  <c r="AK656" i="10"/>
  <c r="CK656" i="10"/>
  <c r="AK657" i="10"/>
  <c r="CK657" i="10"/>
  <c r="AK658" i="10"/>
  <c r="BF658" i="10" s="1"/>
  <c r="BU658" i="10" s="1"/>
  <c r="BY658" i="10" s="1"/>
  <c r="CK658" i="10"/>
  <c r="AK659" i="10"/>
  <c r="BF659" i="10" s="1"/>
  <c r="BU659" i="10" s="1"/>
  <c r="BY659" i="10" s="1"/>
  <c r="CK659" i="10"/>
  <c r="AK660" i="10"/>
  <c r="CK660" i="10"/>
  <c r="AK661" i="10"/>
  <c r="CK661" i="10"/>
  <c r="AK662" i="10"/>
  <c r="CK662" i="10"/>
  <c r="AK663" i="10"/>
  <c r="CK663" i="10"/>
  <c r="AK664" i="10"/>
  <c r="BF664" i="10" s="1"/>
  <c r="BU664" i="10" s="1"/>
  <c r="CK664" i="10"/>
  <c r="AK665" i="10"/>
  <c r="BF665" i="10" s="1"/>
  <c r="BU665" i="10" s="1"/>
  <c r="BY665" i="10" s="1"/>
  <c r="CK665" i="10"/>
  <c r="AK666" i="10"/>
  <c r="BF666" i="10" s="1"/>
  <c r="BU666" i="10" s="1"/>
  <c r="CK666" i="10"/>
  <c r="AK667" i="10"/>
  <c r="BF667" i="10" s="1"/>
  <c r="BU667" i="10" s="1"/>
  <c r="CK667" i="10"/>
  <c r="AK668" i="10"/>
  <c r="CK668" i="10"/>
  <c r="AK669" i="10"/>
  <c r="CK669" i="10"/>
  <c r="AK670" i="10"/>
  <c r="BF670" i="10" s="1"/>
  <c r="BU670" i="10" s="1"/>
  <c r="CK670" i="10"/>
  <c r="AK671" i="10"/>
  <c r="BF671" i="10" s="1"/>
  <c r="BU671" i="10" s="1"/>
  <c r="BY671" i="10" s="1"/>
  <c r="CK671" i="10"/>
  <c r="AK672" i="10"/>
  <c r="CK672" i="10"/>
  <c r="AK673" i="10"/>
  <c r="CK673" i="10"/>
  <c r="AK674" i="10"/>
  <c r="CK674" i="10"/>
  <c r="AK675" i="10"/>
  <c r="CK675" i="10"/>
  <c r="AK676" i="10"/>
  <c r="BF676" i="10" s="1"/>
  <c r="BU676" i="10" s="1"/>
  <c r="CK676" i="10"/>
  <c r="AK677" i="10"/>
  <c r="BF677" i="10" s="1"/>
  <c r="BU677" i="10" s="1"/>
  <c r="BY677" i="10" s="1"/>
  <c r="CK677" i="10"/>
  <c r="AK678" i="10"/>
  <c r="CK678" i="10"/>
  <c r="AK679" i="10"/>
  <c r="CK679" i="10"/>
  <c r="AK680" i="10"/>
  <c r="CK680" i="10"/>
  <c r="AK681" i="10"/>
  <c r="CK681" i="10"/>
  <c r="AK682" i="10"/>
  <c r="CK682" i="10"/>
  <c r="AK683" i="10"/>
  <c r="CK683" i="10"/>
  <c r="AK684" i="10"/>
  <c r="CK684" i="10"/>
  <c r="AK685" i="10"/>
  <c r="CK685" i="10"/>
  <c r="AK686" i="10"/>
  <c r="CK686" i="10"/>
  <c r="AK687" i="10"/>
  <c r="CK687" i="10"/>
  <c r="AK688" i="10"/>
  <c r="BF688" i="10" s="1"/>
  <c r="BU688" i="10" s="1"/>
  <c r="CK688" i="10"/>
  <c r="AK689" i="10"/>
  <c r="BF689" i="10" s="1"/>
  <c r="BU689" i="10" s="1"/>
  <c r="BY689" i="10" s="1"/>
  <c r="CK689" i="10"/>
  <c r="AK690" i="10"/>
  <c r="CK690" i="10"/>
  <c r="AK691" i="10"/>
  <c r="CK691" i="10"/>
  <c r="AK692" i="10"/>
  <c r="CK692" i="10"/>
  <c r="AK693" i="10"/>
  <c r="CK693" i="10"/>
  <c r="AK694" i="10"/>
  <c r="BF694" i="10" s="1"/>
  <c r="BU694" i="10" s="1"/>
  <c r="BY694" i="10" s="1"/>
  <c r="CK694" i="10"/>
  <c r="AK695" i="10"/>
  <c r="BF695" i="10" s="1"/>
  <c r="BU695" i="10" s="1"/>
  <c r="BY695" i="10" s="1"/>
  <c r="CK695" i="10"/>
  <c r="AK696" i="10"/>
  <c r="CK696" i="10"/>
  <c r="AK697" i="10"/>
  <c r="BF697" i="10" s="1"/>
  <c r="BU697" i="10" s="1"/>
  <c r="CK697" i="10"/>
  <c r="AK698" i="10"/>
  <c r="CK698" i="10"/>
  <c r="AK699" i="10"/>
  <c r="BF699" i="10" s="1"/>
  <c r="BU699" i="10" s="1"/>
  <c r="DY699" i="10" s="1"/>
  <c r="CK699" i="10"/>
  <c r="AK700" i="10"/>
  <c r="BF700" i="10" s="1"/>
  <c r="BU700" i="10" s="1"/>
  <c r="BY700" i="10" s="1"/>
  <c r="CK700" i="10"/>
  <c r="AK701" i="10"/>
  <c r="BF701" i="10" s="1"/>
  <c r="BU701" i="10" s="1"/>
  <c r="BY701" i="10" s="1"/>
  <c r="CK701" i="10"/>
  <c r="AK702" i="10"/>
  <c r="CK702" i="10"/>
  <c r="AK703" i="10"/>
  <c r="CK703" i="10"/>
  <c r="AK704" i="10"/>
  <c r="CK704" i="10"/>
  <c r="AK705" i="10"/>
  <c r="BF705" i="10" s="1"/>
  <c r="BU705" i="10" s="1"/>
  <c r="CK705" i="10"/>
  <c r="AK706" i="10"/>
  <c r="CK706" i="10"/>
  <c r="AK707" i="10"/>
  <c r="BF707" i="10" s="1"/>
  <c r="BU707" i="10" s="1"/>
  <c r="BY707" i="10" s="1"/>
  <c r="CK707" i="10"/>
  <c r="AK708" i="10"/>
  <c r="CK708" i="10"/>
  <c r="AK709" i="10"/>
  <c r="BF709" i="10" s="1"/>
  <c r="BU709" i="10" s="1"/>
  <c r="CK709" i="10"/>
  <c r="AK710" i="10"/>
  <c r="CK710" i="10"/>
  <c r="AK711" i="10"/>
  <c r="CK711" i="10"/>
  <c r="AK712" i="10"/>
  <c r="CK712" i="10"/>
  <c r="AK713" i="10"/>
  <c r="BF713" i="10" s="1"/>
  <c r="BU713" i="10" s="1"/>
  <c r="CK713" i="10"/>
  <c r="AK714" i="10"/>
  <c r="BF714" i="10" s="1"/>
  <c r="BU714" i="10" s="1"/>
  <c r="BY714" i="10" s="1"/>
  <c r="CK714" i="10"/>
  <c r="AK715" i="10"/>
  <c r="CK715" i="10"/>
  <c r="AK716" i="10"/>
  <c r="CK716" i="10"/>
  <c r="AK717" i="10"/>
  <c r="CK717" i="10"/>
  <c r="AK718" i="10"/>
  <c r="CK718" i="10"/>
  <c r="AK719" i="10"/>
  <c r="BF719" i="10" s="1"/>
  <c r="BU719" i="10" s="1"/>
  <c r="BY719" i="10" s="1"/>
  <c r="CK719" i="10"/>
  <c r="AK720" i="10"/>
  <c r="CK720" i="10"/>
  <c r="AK721" i="10"/>
  <c r="CK721" i="10"/>
  <c r="AK722" i="10"/>
  <c r="CK722" i="10"/>
  <c r="AK723" i="10"/>
  <c r="CK723" i="10"/>
  <c r="AK724" i="10"/>
  <c r="CK724" i="10"/>
  <c r="AK725" i="10"/>
  <c r="BF725" i="10" s="1"/>
  <c r="BU725" i="10" s="1"/>
  <c r="CK725" i="10"/>
  <c r="AK726" i="10"/>
  <c r="CK726" i="10"/>
  <c r="AK727" i="10"/>
  <c r="BF727" i="10" s="1"/>
  <c r="BU727" i="10" s="1"/>
  <c r="BY727" i="10" s="1"/>
  <c r="CK727" i="10"/>
  <c r="AK728" i="10"/>
  <c r="CK728" i="10"/>
  <c r="AK729" i="10"/>
  <c r="CK729" i="10"/>
  <c r="AK730" i="10"/>
  <c r="CK730" i="10"/>
  <c r="AK731" i="10"/>
  <c r="BF731" i="10" s="1"/>
  <c r="BU731" i="10" s="1"/>
  <c r="BY731" i="10" s="1"/>
  <c r="CK731" i="10"/>
  <c r="AK732" i="10"/>
  <c r="BF732" i="10" s="1"/>
  <c r="BU732" i="10" s="1"/>
  <c r="BY732" i="10" s="1"/>
  <c r="CK732" i="10"/>
  <c r="AK733" i="10"/>
  <c r="CK733" i="10"/>
  <c r="AK734" i="10"/>
  <c r="CK734" i="10"/>
  <c r="AK735" i="10"/>
  <c r="BF735" i="10" s="1"/>
  <c r="BU735" i="10" s="1"/>
  <c r="BY735" i="10" s="1"/>
  <c r="CK735" i="10"/>
  <c r="AK736" i="10"/>
  <c r="CK736" i="10"/>
  <c r="AK737" i="10"/>
  <c r="CK737" i="10"/>
  <c r="AK738" i="10"/>
  <c r="CK738" i="10"/>
  <c r="AK739" i="10"/>
  <c r="CK739" i="10"/>
  <c r="AK740" i="10"/>
  <c r="CK740" i="10"/>
  <c r="AK741" i="10"/>
  <c r="CK741" i="10"/>
  <c r="AK742" i="10"/>
  <c r="CK742" i="10"/>
  <c r="AK743" i="10"/>
  <c r="BF743" i="10" s="1"/>
  <c r="BU743" i="10" s="1"/>
  <c r="CK743" i="10"/>
  <c r="AK744" i="10"/>
  <c r="BF744" i="10" s="1"/>
  <c r="BU744" i="10" s="1"/>
  <c r="BY744" i="10" s="1"/>
  <c r="CK744" i="10"/>
  <c r="AK745" i="10"/>
  <c r="BF745" i="10" s="1"/>
  <c r="BU745" i="10" s="1"/>
  <c r="BY745" i="10" s="1"/>
  <c r="CK745" i="10"/>
  <c r="AK746" i="10"/>
  <c r="CK746" i="10"/>
  <c r="AK747" i="10"/>
  <c r="CK747" i="10"/>
  <c r="AK748" i="10"/>
  <c r="CK748" i="10"/>
  <c r="AK749" i="10"/>
  <c r="BF749" i="10" s="1"/>
  <c r="BU749" i="10" s="1"/>
  <c r="DY749" i="10" s="1"/>
  <c r="CK749" i="10"/>
  <c r="AK750" i="10"/>
  <c r="CK750" i="10"/>
  <c r="AK751" i="10"/>
  <c r="BF751" i="10" s="1"/>
  <c r="BU751" i="10" s="1"/>
  <c r="BY751" i="10" s="1"/>
  <c r="CK751" i="10"/>
  <c r="AK752" i="10"/>
  <c r="CK752" i="10"/>
  <c r="AK753" i="10"/>
  <c r="BF753" i="10" s="1"/>
  <c r="BU753" i="10" s="1"/>
  <c r="CK753" i="10"/>
  <c r="AK754" i="10"/>
  <c r="BF754" i="10" s="1"/>
  <c r="BU754" i="10" s="1"/>
  <c r="BY754" i="10" s="1"/>
  <c r="CK754" i="10"/>
  <c r="AK755" i="10"/>
  <c r="BF755" i="10" s="1"/>
  <c r="BU755" i="10" s="1"/>
  <c r="CK755" i="10"/>
  <c r="AK756" i="10"/>
  <c r="BF756" i="10" s="1"/>
  <c r="BU756" i="10" s="1"/>
  <c r="CK756" i="10"/>
  <c r="AK757" i="10"/>
  <c r="CK757" i="10"/>
  <c r="AK758" i="10"/>
  <c r="CK758" i="10"/>
  <c r="AK759" i="10"/>
  <c r="CK759" i="10"/>
  <c r="AK760" i="10"/>
  <c r="BF760" i="10" s="1"/>
  <c r="BU760" i="10" s="1"/>
  <c r="BY760" i="10" s="1"/>
  <c r="CK760" i="10"/>
  <c r="AK761" i="10"/>
  <c r="CK761" i="10"/>
  <c r="AK762" i="10"/>
  <c r="CK762" i="10"/>
  <c r="AK763" i="10"/>
  <c r="CK763" i="10"/>
  <c r="AK764" i="10"/>
  <c r="CK764" i="10"/>
  <c r="AK765" i="10"/>
  <c r="CK765" i="10"/>
  <c r="AK766" i="10"/>
  <c r="CK766" i="10"/>
  <c r="AK767" i="10"/>
  <c r="BF767" i="10" s="1"/>
  <c r="BU767" i="10" s="1"/>
  <c r="CK767" i="10"/>
  <c r="AK768" i="10"/>
  <c r="CK768" i="10"/>
  <c r="AK769" i="10"/>
  <c r="BF769" i="10" s="1"/>
  <c r="BU769" i="10" s="1"/>
  <c r="CK769" i="10"/>
  <c r="AK770" i="10"/>
  <c r="CK770" i="10"/>
  <c r="AK771" i="10"/>
  <c r="CK771" i="10"/>
  <c r="AK772" i="10"/>
  <c r="CK772" i="10"/>
  <c r="AK773" i="10"/>
  <c r="CK773" i="10"/>
  <c r="AK774" i="10"/>
  <c r="BF774" i="10" s="1"/>
  <c r="BU774" i="10" s="1"/>
  <c r="CK774" i="10"/>
  <c r="AK775" i="10"/>
  <c r="BF775" i="10" s="1"/>
  <c r="BU775" i="10" s="1"/>
  <c r="CK775" i="10"/>
  <c r="AK776" i="10"/>
  <c r="CK776" i="10"/>
  <c r="AK777" i="10"/>
  <c r="CK777" i="10"/>
  <c r="AK778" i="10"/>
  <c r="CK778" i="10"/>
  <c r="AK779" i="10"/>
  <c r="BF779" i="10" s="1"/>
  <c r="BU779" i="10" s="1"/>
  <c r="CK779" i="10"/>
  <c r="AK780" i="10"/>
  <c r="CK780" i="10"/>
  <c r="AK781" i="10"/>
  <c r="BF781" i="10" s="1"/>
  <c r="BU781" i="10" s="1"/>
  <c r="CK781" i="10"/>
  <c r="AK782" i="10"/>
  <c r="CK782" i="10"/>
  <c r="AK783" i="10"/>
  <c r="CK783" i="10"/>
  <c r="AK784" i="10"/>
  <c r="CK784" i="10"/>
  <c r="AK785" i="10"/>
  <c r="CK785" i="10"/>
  <c r="AK786" i="10"/>
  <c r="BF786" i="10" s="1"/>
  <c r="BU786" i="10" s="1"/>
  <c r="CK786" i="10"/>
  <c r="AK787" i="10"/>
  <c r="CK787" i="10"/>
  <c r="AK788" i="10"/>
  <c r="CK788" i="10"/>
  <c r="AK789" i="10"/>
  <c r="CK789" i="10"/>
  <c r="AK790" i="10"/>
  <c r="BF790" i="10" s="1"/>
  <c r="BU790" i="10" s="1"/>
  <c r="BY790" i="10" s="1"/>
  <c r="CK790" i="10"/>
  <c r="AK791" i="10"/>
  <c r="BF791" i="10" s="1"/>
  <c r="BU791" i="10" s="1"/>
  <c r="CK791" i="10"/>
  <c r="AK792" i="10"/>
  <c r="BF792" i="10" s="1"/>
  <c r="BU792" i="10" s="1"/>
  <c r="CK792" i="10"/>
  <c r="AK793" i="10"/>
  <c r="CK793" i="10"/>
  <c r="AK794" i="10"/>
  <c r="CK794" i="10"/>
  <c r="AK795" i="10"/>
  <c r="BF795" i="10" s="1"/>
  <c r="BU795" i="10" s="1"/>
  <c r="DY795" i="10" s="1"/>
  <c r="CK795" i="10"/>
  <c r="AK796" i="10"/>
  <c r="BF796" i="10" s="1"/>
  <c r="BU796" i="10" s="1"/>
  <c r="BY796" i="10" s="1"/>
  <c r="CK796" i="10"/>
  <c r="AK797" i="10"/>
  <c r="CK797" i="10"/>
  <c r="AK798" i="10"/>
  <c r="BF798" i="10" s="1"/>
  <c r="BU798" i="10" s="1"/>
  <c r="CK798" i="10"/>
  <c r="AK799" i="10"/>
  <c r="CK799" i="10"/>
  <c r="AK800" i="10"/>
  <c r="CK800" i="10"/>
  <c r="AK801" i="10"/>
  <c r="CK801" i="10"/>
  <c r="AK802" i="10"/>
  <c r="CK802" i="10"/>
  <c r="AK803" i="10"/>
  <c r="BF803" i="10" s="1"/>
  <c r="BU803" i="10" s="1"/>
  <c r="CK803" i="10"/>
  <c r="AK804" i="10"/>
  <c r="BF804" i="10" s="1"/>
  <c r="BU804" i="10" s="1"/>
  <c r="DY804" i="10" s="1"/>
  <c r="CK804" i="10"/>
  <c r="AK805" i="10"/>
  <c r="CK805" i="10"/>
  <c r="AK806" i="10"/>
  <c r="CK806" i="10"/>
  <c r="AK807" i="10"/>
  <c r="CK807" i="10"/>
  <c r="AK808" i="10"/>
  <c r="CK808" i="10"/>
  <c r="AK809" i="10"/>
  <c r="BF809" i="10" s="1"/>
  <c r="BU809" i="10" s="1"/>
  <c r="CK809" i="10"/>
  <c r="AK810" i="10"/>
  <c r="CK810" i="10"/>
  <c r="AK811" i="10"/>
  <c r="CK811" i="10"/>
  <c r="AK812" i="10"/>
  <c r="CK812" i="10"/>
  <c r="AK813" i="10"/>
  <c r="CK813" i="10"/>
  <c r="AK814" i="10"/>
  <c r="CK814" i="10"/>
  <c r="AK815" i="10"/>
  <c r="BF815" i="10" s="1"/>
  <c r="BU815" i="10" s="1"/>
  <c r="CK815" i="10"/>
  <c r="AK816" i="10"/>
  <c r="CK816" i="10"/>
  <c r="AK817" i="10"/>
  <c r="BF817" i="10" s="1"/>
  <c r="BU817" i="10" s="1"/>
  <c r="BY817" i="10" s="1"/>
  <c r="CK817" i="10"/>
  <c r="AK818" i="10"/>
  <c r="CK818" i="10"/>
  <c r="AK819" i="10"/>
  <c r="BF819" i="10" s="1"/>
  <c r="BU819" i="10" s="1"/>
  <c r="DY819" i="10" s="1"/>
  <c r="CK819" i="10"/>
  <c r="AK820" i="10"/>
  <c r="CK820" i="10"/>
  <c r="AK821" i="10"/>
  <c r="BF821" i="10" s="1"/>
  <c r="BU821" i="10" s="1"/>
  <c r="CK821" i="10"/>
  <c r="AK822" i="10"/>
  <c r="CK822" i="10"/>
  <c r="AK823" i="10"/>
  <c r="BF823" i="10" s="1"/>
  <c r="BU823" i="10" s="1"/>
  <c r="BY823" i="10" s="1"/>
  <c r="CK823" i="10"/>
  <c r="AK824" i="10"/>
  <c r="CK824" i="10"/>
  <c r="AK825" i="10"/>
  <c r="CK825" i="10"/>
  <c r="AK826" i="10"/>
  <c r="CK826" i="10"/>
  <c r="AK827" i="10"/>
  <c r="BF827" i="10" s="1"/>
  <c r="BU827" i="10" s="1"/>
  <c r="CK827" i="10"/>
  <c r="AK828" i="10"/>
  <c r="BF828" i="10" s="1"/>
  <c r="BU828" i="10" s="1"/>
  <c r="CK828" i="10"/>
  <c r="AK829" i="10"/>
  <c r="BF829" i="10" s="1"/>
  <c r="BU829" i="10" s="1"/>
  <c r="BY829" i="10" s="1"/>
  <c r="CK829" i="10"/>
  <c r="AK830" i="10"/>
  <c r="CK830" i="10"/>
  <c r="AK831" i="10"/>
  <c r="CK831" i="10"/>
  <c r="AK832" i="10"/>
  <c r="CK832" i="10"/>
  <c r="AK833" i="10"/>
  <c r="BF833" i="10" s="1"/>
  <c r="BU833" i="10" s="1"/>
  <c r="DY833" i="10" s="1"/>
  <c r="CK833" i="10"/>
  <c r="AK834" i="10"/>
  <c r="CK834" i="10"/>
  <c r="AK835" i="10"/>
  <c r="CK835" i="10"/>
  <c r="AK836" i="10"/>
  <c r="CK836" i="10"/>
  <c r="AK837" i="10"/>
  <c r="CK837" i="10"/>
  <c r="AK838" i="10"/>
  <c r="CK838" i="10"/>
  <c r="AK839" i="10"/>
  <c r="BF839" i="10" s="1"/>
  <c r="BU839" i="10" s="1"/>
  <c r="DY839" i="10" s="1"/>
  <c r="CK839" i="10"/>
  <c r="AK840" i="10"/>
  <c r="CK840" i="10"/>
  <c r="AK841" i="10"/>
  <c r="CK841" i="10"/>
  <c r="AK842" i="10"/>
  <c r="CK842" i="10"/>
  <c r="AK843" i="10"/>
  <c r="BF843" i="10" s="1"/>
  <c r="BU843" i="10" s="1"/>
  <c r="DY843" i="10" s="1"/>
  <c r="CK843" i="10"/>
  <c r="AK844" i="10"/>
  <c r="CK844" i="10"/>
  <c r="AK845" i="10"/>
  <c r="BF845" i="10" s="1"/>
  <c r="BU845" i="10" s="1"/>
  <c r="CK845" i="10"/>
  <c r="AK846" i="10"/>
  <c r="CK846" i="10"/>
  <c r="AK847" i="10"/>
  <c r="CK847" i="10"/>
  <c r="AK848" i="10"/>
  <c r="CK848" i="10"/>
  <c r="AK849" i="10"/>
  <c r="CK849" i="10"/>
  <c r="AK850" i="10"/>
  <c r="CK850" i="10"/>
  <c r="AK851" i="10"/>
  <c r="BF851" i="10" s="1"/>
  <c r="BU851" i="10" s="1"/>
  <c r="DY851" i="10" s="1"/>
  <c r="CK851" i="10"/>
  <c r="AK852" i="10"/>
  <c r="CK852" i="10"/>
  <c r="AK853" i="10"/>
  <c r="CK853" i="10"/>
  <c r="AK854" i="10"/>
  <c r="CK854" i="10"/>
  <c r="AK855" i="10"/>
  <c r="BF855" i="10" s="1"/>
  <c r="BU855" i="10" s="1"/>
  <c r="CK855" i="10"/>
  <c r="AK856" i="10"/>
  <c r="BF856" i="10" s="1"/>
  <c r="BU856" i="10" s="1"/>
  <c r="BY856" i="10" s="1"/>
  <c r="CK856" i="10"/>
  <c r="AK857" i="10"/>
  <c r="BF857" i="10" s="1"/>
  <c r="BU857" i="10" s="1"/>
  <c r="DY857" i="10" s="1"/>
  <c r="CK857" i="10"/>
  <c r="AK858" i="10"/>
  <c r="CK858" i="10"/>
  <c r="AK859" i="10"/>
  <c r="BF859" i="10" s="1"/>
  <c r="BU859" i="10" s="1"/>
  <c r="BY859" i="10" s="1"/>
  <c r="CK859" i="10"/>
  <c r="AK860" i="10"/>
  <c r="CK860" i="10"/>
  <c r="AK861" i="10"/>
  <c r="CK861" i="10"/>
  <c r="AK862" i="10"/>
  <c r="CK862" i="10"/>
  <c r="AK863" i="10"/>
  <c r="BF863" i="10" s="1"/>
  <c r="BU863" i="10" s="1"/>
  <c r="DY863" i="10" s="1"/>
  <c r="CK863" i="10"/>
  <c r="AK864" i="10"/>
  <c r="BF864" i="10" s="1"/>
  <c r="BU864" i="10" s="1"/>
  <c r="CK864" i="10"/>
  <c r="AK865" i="10"/>
  <c r="BF865" i="10" s="1"/>
  <c r="BU865" i="10" s="1"/>
  <c r="BY865" i="10" s="1"/>
  <c r="CK865" i="10"/>
  <c r="AK866" i="10"/>
  <c r="CK866" i="10"/>
  <c r="AK867" i="10"/>
  <c r="CK867" i="10"/>
  <c r="AK868" i="10"/>
  <c r="BF868" i="10" s="1"/>
  <c r="BU868" i="10" s="1"/>
  <c r="BY868" i="10" s="1"/>
  <c r="CK868" i="10"/>
  <c r="AK869" i="10"/>
  <c r="BF869" i="10" s="1"/>
  <c r="BU869" i="10" s="1"/>
  <c r="CK869" i="10"/>
  <c r="AK870" i="10"/>
  <c r="CK870" i="10"/>
  <c r="AK871" i="10"/>
  <c r="BF871" i="10" s="1"/>
  <c r="BU871" i="10" s="1"/>
  <c r="BY871" i="10" s="1"/>
  <c r="CK871" i="10"/>
  <c r="AK872" i="10"/>
  <c r="CK872" i="10"/>
  <c r="AK873" i="10"/>
  <c r="CK873" i="10"/>
  <c r="AK874" i="10"/>
  <c r="CK874" i="10"/>
  <c r="AK875" i="10"/>
  <c r="BF875" i="10" s="1"/>
  <c r="BU875" i="10" s="1"/>
  <c r="DY875" i="10" s="1"/>
  <c r="CK875" i="10"/>
  <c r="AK876" i="10"/>
  <c r="CK876" i="10"/>
  <c r="AK877" i="10"/>
  <c r="BF877" i="10" s="1"/>
  <c r="BU877" i="10" s="1"/>
  <c r="BY877" i="10" s="1"/>
  <c r="CK877" i="10"/>
  <c r="AK878" i="10"/>
  <c r="CK878" i="10"/>
  <c r="AK879" i="10"/>
  <c r="CK879" i="10"/>
  <c r="AK880" i="10"/>
  <c r="BF880" i="10" s="1"/>
  <c r="BU880" i="10" s="1"/>
  <c r="BY880" i="10" s="1"/>
  <c r="CK880" i="10"/>
  <c r="AK881" i="10"/>
  <c r="BF881" i="10" s="1"/>
  <c r="BU881" i="10" s="1"/>
  <c r="DY881" i="10" s="1"/>
  <c r="CK881" i="10"/>
  <c r="AK882" i="10"/>
  <c r="BF882" i="10" s="1"/>
  <c r="BU882" i="10" s="1"/>
  <c r="BY882" i="10" s="1"/>
  <c r="CK882" i="10"/>
  <c r="AK883" i="10"/>
  <c r="BF883" i="10" s="1"/>
  <c r="BU883" i="10" s="1"/>
  <c r="BY883" i="10" s="1"/>
  <c r="CK883" i="10"/>
  <c r="AK884" i="10"/>
  <c r="CK884" i="10"/>
  <c r="AK885" i="10"/>
  <c r="CK885" i="10"/>
  <c r="AK886" i="10"/>
  <c r="BF886" i="10" s="1"/>
  <c r="BU886" i="10" s="1"/>
  <c r="BY886" i="10" s="1"/>
  <c r="CK886" i="10"/>
  <c r="AK887" i="10"/>
  <c r="BF887" i="10" s="1"/>
  <c r="BU887" i="10" s="1"/>
  <c r="BY887" i="10" s="1"/>
  <c r="CK887" i="10"/>
  <c r="AK888" i="10"/>
  <c r="BF888" i="10" s="1"/>
  <c r="BU888" i="10" s="1"/>
  <c r="BY888" i="10" s="1"/>
  <c r="CK888" i="10"/>
  <c r="AK889" i="10"/>
  <c r="CK889" i="10"/>
  <c r="AK890" i="10"/>
  <c r="CK890" i="10"/>
  <c r="AK891" i="10"/>
  <c r="CK891" i="10"/>
  <c r="AK892" i="10"/>
  <c r="CK892" i="10"/>
  <c r="AK893" i="10"/>
  <c r="BF893" i="10" s="1"/>
  <c r="BU893" i="10" s="1"/>
  <c r="BY893" i="10" s="1"/>
  <c r="CK893" i="10"/>
  <c r="AK894" i="10"/>
  <c r="CK894" i="10"/>
  <c r="AK895" i="10"/>
  <c r="CK895" i="10"/>
  <c r="AK896" i="10"/>
  <c r="CK896" i="10"/>
  <c r="AK897" i="10"/>
  <c r="CK897" i="10"/>
  <c r="AK898" i="10"/>
  <c r="CK898" i="10"/>
  <c r="AK899" i="10"/>
  <c r="BF899" i="10" s="1"/>
  <c r="BU899" i="10" s="1"/>
  <c r="BY899" i="10" s="1"/>
  <c r="CK899" i="10"/>
  <c r="AK900" i="10"/>
  <c r="CK900" i="10"/>
  <c r="AK901" i="10"/>
  <c r="BF901" i="10" s="1"/>
  <c r="BU901" i="10" s="1"/>
  <c r="BY901" i="10" s="1"/>
  <c r="CK901" i="10"/>
  <c r="AK902" i="10"/>
  <c r="BF902" i="10" s="1"/>
  <c r="BU902" i="10" s="1"/>
  <c r="BY902" i="10" s="1"/>
  <c r="CK902" i="10"/>
  <c r="AK903" i="10"/>
  <c r="CK903" i="10"/>
  <c r="AK904" i="10"/>
  <c r="BF904" i="10" s="1"/>
  <c r="BU904" i="10" s="1"/>
  <c r="BY904" i="10" s="1"/>
  <c r="CK904" i="10"/>
  <c r="AK905" i="10"/>
  <c r="BF905" i="10" s="1"/>
  <c r="BU905" i="10" s="1"/>
  <c r="CK905" i="10"/>
  <c r="AK906" i="10"/>
  <c r="CK906" i="10"/>
  <c r="AK907" i="10"/>
  <c r="BF907" i="10" s="1"/>
  <c r="BU907" i="10" s="1"/>
  <c r="BY907" i="10" s="1"/>
  <c r="CK907" i="10"/>
  <c r="AK908" i="10"/>
  <c r="BF908" i="10" s="1"/>
  <c r="BU908" i="10" s="1"/>
  <c r="CK908" i="10"/>
  <c r="AK909" i="10"/>
  <c r="BB909" i="10" s="1"/>
  <c r="BD909" i="10" s="1"/>
  <c r="CK909" i="10"/>
  <c r="AK910" i="10"/>
  <c r="BF910" i="10" s="1"/>
  <c r="BU910" i="10" s="1"/>
  <c r="CK910" i="10"/>
  <c r="AK911" i="10"/>
  <c r="BF911" i="10" s="1"/>
  <c r="BU911" i="10" s="1"/>
  <c r="BY911" i="10" s="1"/>
  <c r="CK911" i="10"/>
  <c r="AK912" i="10"/>
  <c r="CK912" i="10"/>
  <c r="AK913" i="10"/>
  <c r="CK913" i="10"/>
  <c r="AK914" i="10"/>
  <c r="BF914" i="10" s="1"/>
  <c r="BU914" i="10" s="1"/>
  <c r="BY914" i="10" s="1"/>
  <c r="CK914" i="10"/>
  <c r="AK915" i="10"/>
  <c r="CK915" i="10"/>
  <c r="AK916" i="10"/>
  <c r="BF916" i="10" s="1"/>
  <c r="BU916" i="10" s="1"/>
  <c r="BY916" i="10" s="1"/>
  <c r="CK916" i="10"/>
  <c r="AK917" i="10"/>
  <c r="BF917" i="10" s="1"/>
  <c r="BU917" i="10" s="1"/>
  <c r="DY917" i="10" s="1"/>
  <c r="CK917" i="10"/>
  <c r="AK918" i="10"/>
  <c r="CK918" i="10"/>
  <c r="AK919" i="10"/>
  <c r="BF919" i="10" s="1"/>
  <c r="BU919" i="10" s="1"/>
  <c r="CK919" i="10"/>
  <c r="AK920" i="10"/>
  <c r="CK920" i="10"/>
  <c r="AK921" i="10"/>
  <c r="BB921" i="10" s="1"/>
  <c r="BD921" i="10" s="1"/>
  <c r="CK921" i="10"/>
  <c r="AK922" i="10"/>
  <c r="BF922" i="10" s="1"/>
  <c r="BU922" i="10" s="1"/>
  <c r="BY922" i="10" s="1"/>
  <c r="CK922" i="10"/>
  <c r="AK923" i="10"/>
  <c r="CK923" i="10"/>
  <c r="AK924" i="10"/>
  <c r="CK924" i="10"/>
  <c r="AK925" i="10"/>
  <c r="CK925" i="10"/>
  <c r="AK926" i="10"/>
  <c r="BB926" i="10" s="1"/>
  <c r="BD926" i="10" s="1"/>
  <c r="CK926" i="10"/>
  <c r="AK927" i="10"/>
  <c r="BF927" i="10" s="1"/>
  <c r="BU927" i="10" s="1"/>
  <c r="BY927" i="10" s="1"/>
  <c r="CK927" i="10"/>
  <c r="AK928" i="10"/>
  <c r="CK928" i="10"/>
  <c r="AK929" i="10"/>
  <c r="BF929" i="10" s="1"/>
  <c r="BU929" i="10" s="1"/>
  <c r="BY929" i="10" s="1"/>
  <c r="CK929" i="10"/>
  <c r="AK930" i="10"/>
  <c r="CK930" i="10"/>
  <c r="AK931" i="10"/>
  <c r="CK931" i="10"/>
  <c r="AK932" i="10"/>
  <c r="BF932" i="10" s="1"/>
  <c r="BU932" i="10" s="1"/>
  <c r="BY932" i="10" s="1"/>
  <c r="CK932" i="10"/>
  <c r="AK933" i="10"/>
  <c r="BF933" i="10" s="1"/>
  <c r="BU933" i="10" s="1"/>
  <c r="BY933" i="10" s="1"/>
  <c r="CK933" i="10"/>
  <c r="AK934" i="10"/>
  <c r="BF934" i="10" s="1"/>
  <c r="BU934" i="10" s="1"/>
  <c r="BY934" i="10" s="1"/>
  <c r="CK934" i="10"/>
  <c r="AK935" i="10"/>
  <c r="BF935" i="10" s="1"/>
  <c r="BU935" i="10" s="1"/>
  <c r="CK935" i="10"/>
  <c r="AK936" i="10"/>
  <c r="BF936" i="10" s="1"/>
  <c r="BU936" i="10" s="1"/>
  <c r="BY936" i="10" s="1"/>
  <c r="CK936" i="10"/>
  <c r="AK937" i="10"/>
  <c r="CK937" i="10"/>
  <c r="AK938" i="10"/>
  <c r="CK938" i="10"/>
  <c r="AK939" i="10"/>
  <c r="BF939" i="10" s="1"/>
  <c r="BU939" i="10" s="1"/>
  <c r="DY939" i="10" s="1"/>
  <c r="CK939" i="10"/>
  <c r="AK940" i="10"/>
  <c r="BF940" i="10" s="1"/>
  <c r="BU940" i="10" s="1"/>
  <c r="BY940" i="10" s="1"/>
  <c r="CK940" i="10"/>
  <c r="AK941" i="10"/>
  <c r="BF941" i="10" s="1"/>
  <c r="BU941" i="10" s="1"/>
  <c r="CK941" i="10"/>
  <c r="AK942" i="10"/>
  <c r="CK942" i="10"/>
  <c r="AK943" i="10"/>
  <c r="CK943" i="10"/>
  <c r="AK944" i="10"/>
  <c r="CK944" i="10"/>
  <c r="AK945" i="10"/>
  <c r="BF945" i="10" s="1"/>
  <c r="BU945" i="10" s="1"/>
  <c r="BY945" i="10" s="1"/>
  <c r="CK945" i="10"/>
  <c r="AK946" i="10"/>
  <c r="CK946" i="10"/>
  <c r="AK947" i="10"/>
  <c r="BB947" i="10" s="1"/>
  <c r="BD947" i="10" s="1"/>
  <c r="CK947" i="10"/>
  <c r="AK948" i="10"/>
  <c r="CK948" i="10"/>
  <c r="AK949" i="10"/>
  <c r="CK949" i="10"/>
  <c r="AK950" i="10"/>
  <c r="BF950" i="10" s="1"/>
  <c r="BU950" i="10" s="1"/>
  <c r="BY950" i="10" s="1"/>
  <c r="DU950" i="10" s="1"/>
  <c r="CK950" i="10"/>
  <c r="AK951" i="10"/>
  <c r="BF951" i="10" s="1"/>
  <c r="BU951" i="10" s="1"/>
  <c r="BY951" i="10" s="1"/>
  <c r="CK951" i="10"/>
  <c r="AK952" i="10"/>
  <c r="CK952" i="10"/>
  <c r="AK953" i="10"/>
  <c r="CK953" i="10"/>
  <c r="AK954" i="10"/>
  <c r="CK954" i="10"/>
  <c r="AK955" i="10"/>
  <c r="BF955" i="10" s="1"/>
  <c r="BU955" i="10" s="1"/>
  <c r="BY955" i="10" s="1"/>
  <c r="CK955" i="10"/>
  <c r="AK956" i="10"/>
  <c r="CK956" i="10"/>
  <c r="AK957" i="10"/>
  <c r="BF957" i="10" s="1"/>
  <c r="BU957" i="10" s="1"/>
  <c r="BY957" i="10" s="1"/>
  <c r="CK957" i="10"/>
  <c r="AK958" i="10"/>
  <c r="BF958" i="10" s="1"/>
  <c r="BU958" i="10" s="1"/>
  <c r="BY958" i="10" s="1"/>
  <c r="CK958" i="10"/>
  <c r="AK959" i="10"/>
  <c r="CK959" i="10"/>
  <c r="AK960" i="10"/>
  <c r="CK960" i="10"/>
  <c r="AK961" i="10"/>
  <c r="CK961" i="10"/>
  <c r="AK962" i="10"/>
  <c r="CK962" i="10"/>
  <c r="AK963" i="10"/>
  <c r="BF963" i="10" s="1"/>
  <c r="BU963" i="10" s="1"/>
  <c r="CK963" i="10"/>
  <c r="AK964" i="10"/>
  <c r="BF964" i="10" s="1"/>
  <c r="BU964" i="10" s="1"/>
  <c r="BY964" i="10" s="1"/>
  <c r="CK964" i="10"/>
  <c r="AK965" i="10"/>
  <c r="CK965" i="10"/>
  <c r="AK966" i="10"/>
  <c r="CK966" i="10"/>
  <c r="AK967" i="10"/>
  <c r="BF967" i="10" s="1"/>
  <c r="BU967" i="10" s="1"/>
  <c r="BY967" i="10" s="1"/>
  <c r="CK967" i="10"/>
  <c r="AK968" i="10"/>
  <c r="CK968" i="10"/>
  <c r="AK969" i="10"/>
  <c r="BF969" i="10" s="1"/>
  <c r="BU969" i="10" s="1"/>
  <c r="BY969" i="10" s="1"/>
  <c r="CK969" i="10"/>
  <c r="AK970" i="10"/>
  <c r="BF970" i="10" s="1"/>
  <c r="BU970" i="10" s="1"/>
  <c r="BY970" i="10" s="1"/>
  <c r="CK970" i="10"/>
  <c r="AK971" i="10"/>
  <c r="CK971" i="10"/>
  <c r="AK972" i="10"/>
  <c r="CK972" i="10"/>
  <c r="AK973" i="10"/>
  <c r="CK973" i="10"/>
  <c r="AK974" i="10"/>
  <c r="CK974" i="10"/>
  <c r="AK975" i="10"/>
  <c r="BF975" i="10" s="1"/>
  <c r="BU975" i="10" s="1"/>
  <c r="BY975" i="10" s="1"/>
  <c r="CK975" i="10"/>
  <c r="AK976" i="10"/>
  <c r="CK976" i="10"/>
  <c r="AK977" i="10"/>
  <c r="CK977" i="10"/>
  <c r="AK978" i="10"/>
  <c r="CK978" i="10"/>
  <c r="AK979" i="10"/>
  <c r="CK979" i="10"/>
  <c r="AK980" i="10"/>
  <c r="CK980" i="10"/>
  <c r="AK981" i="10"/>
  <c r="BF981" i="10" s="1"/>
  <c r="BU981" i="10" s="1"/>
  <c r="BY981" i="10" s="1"/>
  <c r="CK981" i="10"/>
  <c r="AK982" i="10"/>
  <c r="BF982" i="10" s="1"/>
  <c r="BU982" i="10" s="1"/>
  <c r="BY982" i="10" s="1"/>
  <c r="CK982" i="10"/>
  <c r="AK983" i="10"/>
  <c r="CK983" i="10"/>
  <c r="AK984" i="10"/>
  <c r="CK984" i="10"/>
  <c r="AK985" i="10"/>
  <c r="BF985" i="10" s="1"/>
  <c r="BU985" i="10" s="1"/>
  <c r="BY985" i="10" s="1"/>
  <c r="CK985" i="10"/>
  <c r="AK986" i="10"/>
  <c r="CK986" i="10"/>
  <c r="AK987" i="10"/>
  <c r="BF987" i="10" s="1"/>
  <c r="BU987" i="10" s="1"/>
  <c r="DY987" i="10" s="1"/>
  <c r="CK987" i="10"/>
  <c r="AK988" i="10"/>
  <c r="CK988" i="10"/>
  <c r="AK989" i="10"/>
  <c r="CK989" i="10"/>
  <c r="AK990" i="10"/>
  <c r="CK990" i="10"/>
  <c r="AK991" i="10"/>
  <c r="CK991" i="10"/>
  <c r="AK992" i="10"/>
  <c r="CK992" i="10"/>
  <c r="AK993" i="10"/>
  <c r="BF993" i="10" s="1"/>
  <c r="BU993" i="10" s="1"/>
  <c r="DY993" i="10" s="1"/>
  <c r="CK993" i="10"/>
  <c r="AK994" i="10"/>
  <c r="BF994" i="10" s="1"/>
  <c r="BU994" i="10" s="1"/>
  <c r="DY994" i="10" s="1"/>
  <c r="CK994" i="10"/>
  <c r="AK995" i="10"/>
  <c r="CK995" i="10"/>
  <c r="AK996" i="10"/>
  <c r="CK996" i="10"/>
  <c r="AK997" i="10"/>
  <c r="CK997" i="10"/>
  <c r="AK998" i="10"/>
  <c r="CK998" i="10"/>
  <c r="AK999" i="10"/>
  <c r="BF999" i="10" s="1"/>
  <c r="BU999" i="10" s="1"/>
  <c r="DY999" i="10" s="1"/>
  <c r="CK999" i="10"/>
  <c r="AK1000" i="10"/>
  <c r="CK1000" i="10"/>
  <c r="AK1001" i="10"/>
  <c r="CK1001" i="10"/>
  <c r="AK1002" i="10"/>
  <c r="CK1002" i="10"/>
  <c r="AK1003" i="10"/>
  <c r="BF1003" i="10" s="1"/>
  <c r="BU1003" i="10" s="1"/>
  <c r="BY1003" i="10" s="1"/>
  <c r="CK1003" i="10"/>
  <c r="AK1004" i="10"/>
  <c r="CK1004" i="10"/>
  <c r="AK1005" i="10"/>
  <c r="BF1005" i="10" s="1"/>
  <c r="BU1005" i="10" s="1"/>
  <c r="DY1005" i="10" s="1"/>
  <c r="CK1005" i="10"/>
  <c r="AK1006" i="10"/>
  <c r="CK1006" i="10"/>
  <c r="AK1007" i="10"/>
  <c r="CK1007" i="10"/>
  <c r="AK1008" i="10"/>
  <c r="CK1008" i="10"/>
  <c r="AK1009" i="10"/>
  <c r="CK1009" i="10"/>
  <c r="AK1010" i="10"/>
  <c r="CK1010" i="10"/>
  <c r="AK1011" i="10"/>
  <c r="BF1011" i="10" s="1"/>
  <c r="BU1011" i="10" s="1"/>
  <c r="DY1011" i="10" s="1"/>
  <c r="CK1011" i="10"/>
  <c r="AK1012" i="10"/>
  <c r="BF1012" i="10" s="1"/>
  <c r="BU1012" i="10" s="1"/>
  <c r="BY1012" i="10" s="1"/>
  <c r="CK1012" i="10"/>
  <c r="AK1013" i="10"/>
  <c r="CK1013" i="10"/>
  <c r="AK1014" i="10"/>
  <c r="CK1014" i="10"/>
  <c r="AK15" i="10"/>
  <c r="CK15" i="10"/>
  <c r="AP15" i="10"/>
  <c r="BN15" i="10" s="1"/>
  <c r="BW15" i="10" s="1"/>
  <c r="CM15" i="10"/>
  <c r="O6" i="3"/>
  <c r="AE13" i="3" s="1"/>
  <c r="DE16" i="10"/>
  <c r="DF16" i="10"/>
  <c r="DG16" i="10"/>
  <c r="DH16" i="10"/>
  <c r="DE17" i="10"/>
  <c r="DF17" i="10"/>
  <c r="DG17" i="10"/>
  <c r="DH17" i="10"/>
  <c r="DJ17" i="10" s="1"/>
  <c r="DE18" i="10"/>
  <c r="DF18" i="10"/>
  <c r="DG18" i="10"/>
  <c r="DH18" i="10"/>
  <c r="DF19" i="10"/>
  <c r="DG19" i="10"/>
  <c r="DH19" i="10"/>
  <c r="DE20" i="10"/>
  <c r="DF20" i="10"/>
  <c r="DI20" i="10" s="1"/>
  <c r="DG20" i="10"/>
  <c r="DH20" i="10"/>
  <c r="DJ20" i="10" s="1"/>
  <c r="DE21" i="10"/>
  <c r="DF21" i="10"/>
  <c r="DG21" i="10"/>
  <c r="DH21" i="10"/>
  <c r="DE22" i="10"/>
  <c r="DF22" i="10"/>
  <c r="DG22" i="10"/>
  <c r="DH22" i="10"/>
  <c r="DE23" i="10"/>
  <c r="DF23" i="10"/>
  <c r="DI23" i="10" s="1"/>
  <c r="DG23" i="10"/>
  <c r="DH23" i="10"/>
  <c r="DJ23" i="10" s="1"/>
  <c r="DE24" i="10"/>
  <c r="DF24" i="10"/>
  <c r="DG24" i="10"/>
  <c r="DH24" i="10"/>
  <c r="DE25" i="10"/>
  <c r="DF25" i="10"/>
  <c r="DG25" i="10"/>
  <c r="DH25" i="10"/>
  <c r="DE26" i="10"/>
  <c r="DF26" i="10"/>
  <c r="DG26" i="10"/>
  <c r="DH26" i="10"/>
  <c r="DE27" i="10"/>
  <c r="DF27" i="10"/>
  <c r="DG27" i="10"/>
  <c r="DH27" i="10"/>
  <c r="DE28" i="10"/>
  <c r="DF28" i="10"/>
  <c r="DG28" i="10"/>
  <c r="DH28" i="10"/>
  <c r="DE29" i="10"/>
  <c r="DF29" i="10"/>
  <c r="DG29" i="10"/>
  <c r="DH29" i="10"/>
  <c r="DE30" i="10"/>
  <c r="DF30" i="10"/>
  <c r="DG30" i="10"/>
  <c r="DH30" i="10"/>
  <c r="DE31" i="10"/>
  <c r="DF31" i="10"/>
  <c r="DG31" i="10"/>
  <c r="DH31" i="10"/>
  <c r="DE32" i="10"/>
  <c r="DF32" i="10"/>
  <c r="DG32" i="10"/>
  <c r="DH32" i="10"/>
  <c r="DE33" i="10"/>
  <c r="DF33" i="10"/>
  <c r="DG33" i="10"/>
  <c r="DH33" i="10"/>
  <c r="DE34" i="10"/>
  <c r="DF34" i="10"/>
  <c r="DG34" i="10"/>
  <c r="DH34" i="10"/>
  <c r="DE35" i="10"/>
  <c r="DF35" i="10"/>
  <c r="DG35" i="10"/>
  <c r="DH35" i="10"/>
  <c r="DE36" i="10"/>
  <c r="DF36" i="10"/>
  <c r="DG36" i="10"/>
  <c r="DH36" i="10"/>
  <c r="DE37" i="10"/>
  <c r="DF37" i="10"/>
  <c r="DG37" i="10"/>
  <c r="DH37" i="10"/>
  <c r="DE38" i="10"/>
  <c r="DF38" i="10"/>
  <c r="DG38" i="10"/>
  <c r="DH38" i="10"/>
  <c r="DE39" i="10"/>
  <c r="DF39" i="10"/>
  <c r="DG39" i="10"/>
  <c r="DH39" i="10"/>
  <c r="DE40" i="10"/>
  <c r="DF40" i="10"/>
  <c r="DG40" i="10"/>
  <c r="DH40" i="10"/>
  <c r="DE41" i="10"/>
  <c r="DF41" i="10"/>
  <c r="DG41" i="10"/>
  <c r="DH41" i="10"/>
  <c r="DE42" i="10"/>
  <c r="DF42" i="10"/>
  <c r="DG42" i="10"/>
  <c r="DH42" i="10"/>
  <c r="DE43" i="10"/>
  <c r="DF43" i="10"/>
  <c r="DG43" i="10"/>
  <c r="DH43" i="10"/>
  <c r="DE44" i="10"/>
  <c r="DF44" i="10"/>
  <c r="DG44" i="10"/>
  <c r="DH44" i="10"/>
  <c r="DE45" i="10"/>
  <c r="DF45" i="10"/>
  <c r="DG45" i="10"/>
  <c r="DH45" i="10"/>
  <c r="DE46" i="10"/>
  <c r="DF46" i="10"/>
  <c r="DG46" i="10"/>
  <c r="DH46" i="10"/>
  <c r="DE47" i="10"/>
  <c r="DF47" i="10"/>
  <c r="DG47" i="10"/>
  <c r="DH47" i="10"/>
  <c r="DE48" i="10"/>
  <c r="DF48" i="10"/>
  <c r="DG48" i="10"/>
  <c r="DH48" i="10"/>
  <c r="DE49" i="10"/>
  <c r="DF49" i="10"/>
  <c r="DG49" i="10"/>
  <c r="DH49" i="10"/>
  <c r="DE50" i="10"/>
  <c r="DF50" i="10"/>
  <c r="DG50" i="10"/>
  <c r="DH50" i="10"/>
  <c r="DE51" i="10"/>
  <c r="DF51" i="10"/>
  <c r="DG51" i="10"/>
  <c r="DH51" i="10"/>
  <c r="DE52" i="10"/>
  <c r="DF52" i="10"/>
  <c r="DG52" i="10"/>
  <c r="DH52" i="10"/>
  <c r="DE53" i="10"/>
  <c r="DF53" i="10"/>
  <c r="DG53" i="10"/>
  <c r="DH53" i="10"/>
  <c r="DE54" i="10"/>
  <c r="DF54" i="10"/>
  <c r="DG54" i="10"/>
  <c r="DH54" i="10"/>
  <c r="DE55" i="10"/>
  <c r="DF55" i="10"/>
  <c r="DG55" i="10"/>
  <c r="DH55" i="10"/>
  <c r="DE56" i="10"/>
  <c r="DF56" i="10"/>
  <c r="DG56" i="10"/>
  <c r="DH56" i="10"/>
  <c r="DE57" i="10"/>
  <c r="DF57" i="10"/>
  <c r="DG57" i="10"/>
  <c r="DH57" i="10"/>
  <c r="DE58" i="10"/>
  <c r="DF58" i="10"/>
  <c r="DG58" i="10"/>
  <c r="DH58" i="10"/>
  <c r="DE59" i="10"/>
  <c r="DF59" i="10"/>
  <c r="DG59" i="10"/>
  <c r="DH59" i="10"/>
  <c r="DE60" i="10"/>
  <c r="DF60" i="10"/>
  <c r="DG60" i="10"/>
  <c r="DH60" i="10"/>
  <c r="DE61" i="10"/>
  <c r="DF61" i="10"/>
  <c r="DG61" i="10"/>
  <c r="DH61" i="10"/>
  <c r="DE62" i="10"/>
  <c r="DF62" i="10"/>
  <c r="DG62" i="10"/>
  <c r="DH62" i="10"/>
  <c r="DE63" i="10"/>
  <c r="DF63" i="10"/>
  <c r="DG63" i="10"/>
  <c r="DH63" i="10"/>
  <c r="DE64" i="10"/>
  <c r="DF64" i="10"/>
  <c r="DG64" i="10"/>
  <c r="DH64" i="10"/>
  <c r="DE65" i="10"/>
  <c r="DF65" i="10"/>
  <c r="DG65" i="10"/>
  <c r="DH65" i="10"/>
  <c r="DE66" i="10"/>
  <c r="DF66" i="10"/>
  <c r="DG66" i="10"/>
  <c r="DH66" i="10"/>
  <c r="DE67" i="10"/>
  <c r="DF67" i="10"/>
  <c r="DG67" i="10"/>
  <c r="DH67" i="10"/>
  <c r="DE68" i="10"/>
  <c r="DF68" i="10"/>
  <c r="DG68" i="10"/>
  <c r="DH68" i="10"/>
  <c r="DE69" i="10"/>
  <c r="DF69" i="10"/>
  <c r="DG69" i="10"/>
  <c r="DH69" i="10"/>
  <c r="DE70" i="10"/>
  <c r="DF70" i="10"/>
  <c r="DG70" i="10"/>
  <c r="DH70" i="10"/>
  <c r="DE71" i="10"/>
  <c r="DF71" i="10"/>
  <c r="DG71" i="10"/>
  <c r="DH71" i="10"/>
  <c r="DE72" i="10"/>
  <c r="DF72" i="10"/>
  <c r="DG72" i="10"/>
  <c r="DH72" i="10"/>
  <c r="DE73" i="10"/>
  <c r="DF73" i="10"/>
  <c r="DG73" i="10"/>
  <c r="DH73" i="10"/>
  <c r="DE74" i="10"/>
  <c r="DF74" i="10"/>
  <c r="DG74" i="10"/>
  <c r="DH74" i="10"/>
  <c r="DE75" i="10"/>
  <c r="DF75" i="10"/>
  <c r="DG75" i="10"/>
  <c r="DH75" i="10"/>
  <c r="DE76" i="10"/>
  <c r="DF76" i="10"/>
  <c r="DG76" i="10"/>
  <c r="DH76" i="10"/>
  <c r="DE77" i="10"/>
  <c r="DF77" i="10"/>
  <c r="DG77" i="10"/>
  <c r="DH77" i="10"/>
  <c r="DE78" i="10"/>
  <c r="DF78" i="10"/>
  <c r="DG78" i="10"/>
  <c r="DH78" i="10"/>
  <c r="DE79" i="10"/>
  <c r="DF79" i="10"/>
  <c r="DG79" i="10"/>
  <c r="DH79" i="10"/>
  <c r="DE80" i="10"/>
  <c r="DF80" i="10"/>
  <c r="DG80" i="10"/>
  <c r="DH80" i="10"/>
  <c r="DE81" i="10"/>
  <c r="DF81" i="10"/>
  <c r="DG81" i="10"/>
  <c r="DH81" i="10"/>
  <c r="DE82" i="10"/>
  <c r="DF82" i="10"/>
  <c r="DG82" i="10"/>
  <c r="DH82" i="10"/>
  <c r="DE83" i="10"/>
  <c r="DF83" i="10"/>
  <c r="DG83" i="10"/>
  <c r="DH83" i="10"/>
  <c r="DE84" i="10"/>
  <c r="DF84" i="10"/>
  <c r="DG84" i="10"/>
  <c r="DH84" i="10"/>
  <c r="DE85" i="10"/>
  <c r="DF85" i="10"/>
  <c r="DG85" i="10"/>
  <c r="DH85" i="10"/>
  <c r="DE86" i="10"/>
  <c r="DF86" i="10"/>
  <c r="DG86" i="10"/>
  <c r="DH86" i="10"/>
  <c r="DE87" i="10"/>
  <c r="DF87" i="10"/>
  <c r="DG87" i="10"/>
  <c r="DH87" i="10"/>
  <c r="DE88" i="10"/>
  <c r="DF88" i="10"/>
  <c r="DG88" i="10"/>
  <c r="DH88" i="10"/>
  <c r="DE89" i="10"/>
  <c r="DF89" i="10"/>
  <c r="DG89" i="10"/>
  <c r="DH89" i="10"/>
  <c r="DE90" i="10"/>
  <c r="DF90" i="10"/>
  <c r="DG90" i="10"/>
  <c r="DH90" i="10"/>
  <c r="DE91" i="10"/>
  <c r="DF91" i="10"/>
  <c r="DG91" i="10"/>
  <c r="DH91" i="10"/>
  <c r="DE92" i="10"/>
  <c r="DF92" i="10"/>
  <c r="DG92" i="10"/>
  <c r="DH92" i="10"/>
  <c r="DE93" i="10"/>
  <c r="DF93" i="10"/>
  <c r="DG93" i="10"/>
  <c r="DH93" i="10"/>
  <c r="DE94" i="10"/>
  <c r="DF94" i="10"/>
  <c r="DG94" i="10"/>
  <c r="DH94" i="10"/>
  <c r="DE95" i="10"/>
  <c r="DF95" i="10"/>
  <c r="DG95" i="10"/>
  <c r="DH95" i="10"/>
  <c r="DE96" i="10"/>
  <c r="DF96" i="10"/>
  <c r="DG96" i="10"/>
  <c r="DH96" i="10"/>
  <c r="DE97" i="10"/>
  <c r="DF97" i="10"/>
  <c r="DG97" i="10"/>
  <c r="DH97" i="10"/>
  <c r="DE98" i="10"/>
  <c r="DF98" i="10"/>
  <c r="DG98" i="10"/>
  <c r="DH98" i="10"/>
  <c r="DE99" i="10"/>
  <c r="DF99" i="10"/>
  <c r="DG99" i="10"/>
  <c r="DH99" i="10"/>
  <c r="DE100" i="10"/>
  <c r="DF100" i="10"/>
  <c r="DG100" i="10"/>
  <c r="DH100" i="10"/>
  <c r="DE101" i="10"/>
  <c r="DF101" i="10"/>
  <c r="DG101" i="10"/>
  <c r="DH101" i="10"/>
  <c r="DE102" i="10"/>
  <c r="DF102" i="10"/>
  <c r="DG102" i="10"/>
  <c r="DH102" i="10"/>
  <c r="DE103" i="10"/>
  <c r="DF103" i="10"/>
  <c r="DG103" i="10"/>
  <c r="DH103" i="10"/>
  <c r="DE104" i="10"/>
  <c r="DF104" i="10"/>
  <c r="DG104" i="10"/>
  <c r="DH104" i="10"/>
  <c r="DE105" i="10"/>
  <c r="DF105" i="10"/>
  <c r="DG105" i="10"/>
  <c r="DH105" i="10"/>
  <c r="DE106" i="10"/>
  <c r="DF106" i="10"/>
  <c r="DG106" i="10"/>
  <c r="DH106" i="10"/>
  <c r="DE107" i="10"/>
  <c r="DF107" i="10"/>
  <c r="DG107" i="10"/>
  <c r="DH107" i="10"/>
  <c r="DE108" i="10"/>
  <c r="DF108" i="10"/>
  <c r="DG108" i="10"/>
  <c r="DH108" i="10"/>
  <c r="DE109" i="10"/>
  <c r="DF109" i="10"/>
  <c r="DG109" i="10"/>
  <c r="DH109" i="10"/>
  <c r="DE110" i="10"/>
  <c r="DF110" i="10"/>
  <c r="DG110" i="10"/>
  <c r="DH110" i="10"/>
  <c r="DE111" i="10"/>
  <c r="DF111" i="10"/>
  <c r="DG111" i="10"/>
  <c r="DH111" i="10"/>
  <c r="DE112" i="10"/>
  <c r="DF112" i="10"/>
  <c r="DG112" i="10"/>
  <c r="DH112" i="10"/>
  <c r="DE113" i="10"/>
  <c r="DF113" i="10"/>
  <c r="DG113" i="10"/>
  <c r="DH113" i="10"/>
  <c r="DE114" i="10"/>
  <c r="DF114" i="10"/>
  <c r="DG114" i="10"/>
  <c r="DH114" i="10"/>
  <c r="DE115" i="10"/>
  <c r="DF115" i="10"/>
  <c r="DG115" i="10"/>
  <c r="DH115" i="10"/>
  <c r="DE116" i="10"/>
  <c r="DF116" i="10"/>
  <c r="DG116" i="10"/>
  <c r="DH116" i="10"/>
  <c r="DE117" i="10"/>
  <c r="DF117" i="10"/>
  <c r="DG117" i="10"/>
  <c r="DH117" i="10"/>
  <c r="DE118" i="10"/>
  <c r="DF118" i="10"/>
  <c r="DG118" i="10"/>
  <c r="DH118" i="10"/>
  <c r="DE119" i="10"/>
  <c r="DF119" i="10"/>
  <c r="DG119" i="10"/>
  <c r="DH119" i="10"/>
  <c r="DE120" i="10"/>
  <c r="DF120" i="10"/>
  <c r="DG120" i="10"/>
  <c r="DH120" i="10"/>
  <c r="DE121" i="10"/>
  <c r="DF121" i="10"/>
  <c r="DG121" i="10"/>
  <c r="DH121" i="10"/>
  <c r="DE122" i="10"/>
  <c r="DF122" i="10"/>
  <c r="DG122" i="10"/>
  <c r="DH122" i="10"/>
  <c r="DE123" i="10"/>
  <c r="DF123" i="10"/>
  <c r="DG123" i="10"/>
  <c r="DH123" i="10"/>
  <c r="DE124" i="10"/>
  <c r="DF124" i="10"/>
  <c r="DG124" i="10"/>
  <c r="DH124" i="10"/>
  <c r="DE125" i="10"/>
  <c r="DF125" i="10"/>
  <c r="DG125" i="10"/>
  <c r="DH125" i="10"/>
  <c r="DE126" i="10"/>
  <c r="DF126" i="10"/>
  <c r="DG126" i="10"/>
  <c r="DH126" i="10"/>
  <c r="DE127" i="10"/>
  <c r="DF127" i="10"/>
  <c r="DG127" i="10"/>
  <c r="DH127" i="10"/>
  <c r="DE128" i="10"/>
  <c r="DF128" i="10"/>
  <c r="DG128" i="10"/>
  <c r="DH128" i="10"/>
  <c r="DE129" i="10"/>
  <c r="DF129" i="10"/>
  <c r="DG129" i="10"/>
  <c r="DH129" i="10"/>
  <c r="DE130" i="10"/>
  <c r="DF130" i="10"/>
  <c r="DG130" i="10"/>
  <c r="DH130" i="10"/>
  <c r="DE131" i="10"/>
  <c r="DF131" i="10"/>
  <c r="DG131" i="10"/>
  <c r="DH131" i="10"/>
  <c r="DE132" i="10"/>
  <c r="DF132" i="10"/>
  <c r="DG132" i="10"/>
  <c r="DH132" i="10"/>
  <c r="DE133" i="10"/>
  <c r="DF133" i="10"/>
  <c r="DG133" i="10"/>
  <c r="DH133" i="10"/>
  <c r="DE134" i="10"/>
  <c r="DF134" i="10"/>
  <c r="DG134" i="10"/>
  <c r="DH134" i="10"/>
  <c r="DE135" i="10"/>
  <c r="DF135" i="10"/>
  <c r="DG135" i="10"/>
  <c r="DH135" i="10"/>
  <c r="DE136" i="10"/>
  <c r="DF136" i="10"/>
  <c r="DG136" i="10"/>
  <c r="DH136" i="10"/>
  <c r="DE137" i="10"/>
  <c r="DF137" i="10"/>
  <c r="DG137" i="10"/>
  <c r="DH137" i="10"/>
  <c r="DE138" i="10"/>
  <c r="DF138" i="10"/>
  <c r="DG138" i="10"/>
  <c r="DH138" i="10"/>
  <c r="DE139" i="10"/>
  <c r="DF139" i="10"/>
  <c r="DG139" i="10"/>
  <c r="DH139" i="10"/>
  <c r="DE140" i="10"/>
  <c r="DF140" i="10"/>
  <c r="DG140" i="10"/>
  <c r="DH140" i="10"/>
  <c r="DE141" i="10"/>
  <c r="DF141" i="10"/>
  <c r="DG141" i="10"/>
  <c r="DH141" i="10"/>
  <c r="DE142" i="10"/>
  <c r="DF142" i="10"/>
  <c r="DG142" i="10"/>
  <c r="DH142" i="10"/>
  <c r="DE143" i="10"/>
  <c r="DF143" i="10"/>
  <c r="DG143" i="10"/>
  <c r="DH143" i="10"/>
  <c r="DE144" i="10"/>
  <c r="DF144" i="10"/>
  <c r="DG144" i="10"/>
  <c r="DH144" i="10"/>
  <c r="DE145" i="10"/>
  <c r="DF145" i="10"/>
  <c r="DG145" i="10"/>
  <c r="DH145" i="10"/>
  <c r="DE146" i="10"/>
  <c r="DF146" i="10"/>
  <c r="DG146" i="10"/>
  <c r="DH146" i="10"/>
  <c r="DE147" i="10"/>
  <c r="DF147" i="10"/>
  <c r="DG147" i="10"/>
  <c r="DH147" i="10"/>
  <c r="DE148" i="10"/>
  <c r="DF148" i="10"/>
  <c r="DG148" i="10"/>
  <c r="DH148" i="10"/>
  <c r="DE149" i="10"/>
  <c r="DF149" i="10"/>
  <c r="DG149" i="10"/>
  <c r="DH149" i="10"/>
  <c r="DE150" i="10"/>
  <c r="DF150" i="10"/>
  <c r="DG150" i="10"/>
  <c r="DH150" i="10"/>
  <c r="DE151" i="10"/>
  <c r="DF151" i="10"/>
  <c r="DG151" i="10"/>
  <c r="DH151" i="10"/>
  <c r="DE152" i="10"/>
  <c r="DF152" i="10"/>
  <c r="DG152" i="10"/>
  <c r="DH152" i="10"/>
  <c r="DE153" i="10"/>
  <c r="DF153" i="10"/>
  <c r="DG153" i="10"/>
  <c r="DH153" i="10"/>
  <c r="DE154" i="10"/>
  <c r="DF154" i="10"/>
  <c r="DG154" i="10"/>
  <c r="DH154" i="10"/>
  <c r="DE155" i="10"/>
  <c r="DF155" i="10"/>
  <c r="DG155" i="10"/>
  <c r="DH155" i="10"/>
  <c r="DE156" i="10"/>
  <c r="DF156" i="10"/>
  <c r="DG156" i="10"/>
  <c r="DH156" i="10"/>
  <c r="DE157" i="10"/>
  <c r="DF157" i="10"/>
  <c r="DG157" i="10"/>
  <c r="DH157" i="10"/>
  <c r="DE158" i="10"/>
  <c r="DF158" i="10"/>
  <c r="DG158" i="10"/>
  <c r="DH158" i="10"/>
  <c r="DE159" i="10"/>
  <c r="DF159" i="10"/>
  <c r="DG159" i="10"/>
  <c r="DH159" i="10"/>
  <c r="DE160" i="10"/>
  <c r="DF160" i="10"/>
  <c r="DG160" i="10"/>
  <c r="DH160" i="10"/>
  <c r="DE161" i="10"/>
  <c r="DF161" i="10"/>
  <c r="DG161" i="10"/>
  <c r="DH161" i="10"/>
  <c r="DE162" i="10"/>
  <c r="DF162" i="10"/>
  <c r="DG162" i="10"/>
  <c r="DH162" i="10"/>
  <c r="DE163" i="10"/>
  <c r="DF163" i="10"/>
  <c r="DG163" i="10"/>
  <c r="DH163" i="10"/>
  <c r="DE164" i="10"/>
  <c r="DF164" i="10"/>
  <c r="DG164" i="10"/>
  <c r="DH164" i="10"/>
  <c r="DE165" i="10"/>
  <c r="DF165" i="10"/>
  <c r="DG165" i="10"/>
  <c r="DH165" i="10"/>
  <c r="DE166" i="10"/>
  <c r="DF166" i="10"/>
  <c r="DG166" i="10"/>
  <c r="DH166" i="10"/>
  <c r="DE167" i="10"/>
  <c r="DF167" i="10"/>
  <c r="DG167" i="10"/>
  <c r="DH167" i="10"/>
  <c r="DE168" i="10"/>
  <c r="DF168" i="10"/>
  <c r="DG168" i="10"/>
  <c r="DH168" i="10"/>
  <c r="DE169" i="10"/>
  <c r="DF169" i="10"/>
  <c r="DG169" i="10"/>
  <c r="DH169" i="10"/>
  <c r="DE170" i="10"/>
  <c r="DF170" i="10"/>
  <c r="DG170" i="10"/>
  <c r="DH170" i="10"/>
  <c r="DE171" i="10"/>
  <c r="DF171" i="10"/>
  <c r="DG171" i="10"/>
  <c r="DH171" i="10"/>
  <c r="DE172" i="10"/>
  <c r="DF172" i="10"/>
  <c r="DG172" i="10"/>
  <c r="DH172" i="10"/>
  <c r="DE173" i="10"/>
  <c r="DF173" i="10"/>
  <c r="DG173" i="10"/>
  <c r="DH173" i="10"/>
  <c r="DE174" i="10"/>
  <c r="DF174" i="10"/>
  <c r="DG174" i="10"/>
  <c r="DH174" i="10"/>
  <c r="DE175" i="10"/>
  <c r="DF175" i="10"/>
  <c r="DG175" i="10"/>
  <c r="DH175" i="10"/>
  <c r="DE176" i="10"/>
  <c r="DF176" i="10"/>
  <c r="DG176" i="10"/>
  <c r="DH176" i="10"/>
  <c r="DE177" i="10"/>
  <c r="DF177" i="10"/>
  <c r="DG177" i="10"/>
  <c r="DH177" i="10"/>
  <c r="DE178" i="10"/>
  <c r="DF178" i="10"/>
  <c r="DG178" i="10"/>
  <c r="DH178" i="10"/>
  <c r="DE179" i="10"/>
  <c r="DF179" i="10"/>
  <c r="DG179" i="10"/>
  <c r="DH179" i="10"/>
  <c r="DE180" i="10"/>
  <c r="DF180" i="10"/>
  <c r="DG180" i="10"/>
  <c r="DH180" i="10"/>
  <c r="DE181" i="10"/>
  <c r="DF181" i="10"/>
  <c r="DG181" i="10"/>
  <c r="DH181" i="10"/>
  <c r="DE182" i="10"/>
  <c r="DF182" i="10"/>
  <c r="DG182" i="10"/>
  <c r="DH182" i="10"/>
  <c r="DE183" i="10"/>
  <c r="DF183" i="10"/>
  <c r="DG183" i="10"/>
  <c r="DH183" i="10"/>
  <c r="DE184" i="10"/>
  <c r="DF184" i="10"/>
  <c r="DG184" i="10"/>
  <c r="DH184" i="10"/>
  <c r="DE185" i="10"/>
  <c r="DF185" i="10"/>
  <c r="DG185" i="10"/>
  <c r="DH185" i="10"/>
  <c r="DE186" i="10"/>
  <c r="DF186" i="10"/>
  <c r="DG186" i="10"/>
  <c r="DH186" i="10"/>
  <c r="DE187" i="10"/>
  <c r="DF187" i="10"/>
  <c r="DG187" i="10"/>
  <c r="DH187" i="10"/>
  <c r="DE188" i="10"/>
  <c r="DF188" i="10"/>
  <c r="DG188" i="10"/>
  <c r="DH188" i="10"/>
  <c r="DE189" i="10"/>
  <c r="DF189" i="10"/>
  <c r="DG189" i="10"/>
  <c r="DH189" i="10"/>
  <c r="DE190" i="10"/>
  <c r="DF190" i="10"/>
  <c r="DG190" i="10"/>
  <c r="DH190" i="10"/>
  <c r="DE191" i="10"/>
  <c r="DF191" i="10"/>
  <c r="DG191" i="10"/>
  <c r="DH191" i="10"/>
  <c r="DE192" i="10"/>
  <c r="DF192" i="10"/>
  <c r="DG192" i="10"/>
  <c r="DH192" i="10"/>
  <c r="DE193" i="10"/>
  <c r="DF193" i="10"/>
  <c r="DG193" i="10"/>
  <c r="DH193" i="10"/>
  <c r="DE194" i="10"/>
  <c r="DF194" i="10"/>
  <c r="DG194" i="10"/>
  <c r="DH194" i="10"/>
  <c r="DE195" i="10"/>
  <c r="DF195" i="10"/>
  <c r="DG195" i="10"/>
  <c r="DH195" i="10"/>
  <c r="DE196" i="10"/>
  <c r="DF196" i="10"/>
  <c r="DG196" i="10"/>
  <c r="DH196" i="10"/>
  <c r="DE197" i="10"/>
  <c r="DF197" i="10"/>
  <c r="DG197" i="10"/>
  <c r="DH197" i="10"/>
  <c r="DE198" i="10"/>
  <c r="DF198" i="10"/>
  <c r="DG198" i="10"/>
  <c r="DH198" i="10"/>
  <c r="DE199" i="10"/>
  <c r="DF199" i="10"/>
  <c r="DG199" i="10"/>
  <c r="DH199" i="10"/>
  <c r="DE200" i="10"/>
  <c r="DF200" i="10"/>
  <c r="DG200" i="10"/>
  <c r="DH200" i="10"/>
  <c r="DE201" i="10"/>
  <c r="DF201" i="10"/>
  <c r="DG201" i="10"/>
  <c r="DH201" i="10"/>
  <c r="DE202" i="10"/>
  <c r="DF202" i="10"/>
  <c r="DG202" i="10"/>
  <c r="DH202" i="10"/>
  <c r="DE203" i="10"/>
  <c r="DF203" i="10"/>
  <c r="DG203" i="10"/>
  <c r="DH203" i="10"/>
  <c r="DE204" i="10"/>
  <c r="DF204" i="10"/>
  <c r="DG204" i="10"/>
  <c r="DH204" i="10"/>
  <c r="DE205" i="10"/>
  <c r="DF205" i="10"/>
  <c r="DG205" i="10"/>
  <c r="DH205" i="10"/>
  <c r="DE206" i="10"/>
  <c r="DF206" i="10"/>
  <c r="DG206" i="10"/>
  <c r="DH206" i="10"/>
  <c r="DE207" i="10"/>
  <c r="DF207" i="10"/>
  <c r="DG207" i="10"/>
  <c r="DH207" i="10"/>
  <c r="DE208" i="10"/>
  <c r="DF208" i="10"/>
  <c r="DG208" i="10"/>
  <c r="DH208" i="10"/>
  <c r="DE209" i="10"/>
  <c r="DF209" i="10"/>
  <c r="DG209" i="10"/>
  <c r="DH209" i="10"/>
  <c r="DE210" i="10"/>
  <c r="DF210" i="10"/>
  <c r="DG210" i="10"/>
  <c r="DH210" i="10"/>
  <c r="DE211" i="10"/>
  <c r="DF211" i="10"/>
  <c r="DG211" i="10"/>
  <c r="DH211" i="10"/>
  <c r="DE212" i="10"/>
  <c r="DF212" i="10"/>
  <c r="DG212" i="10"/>
  <c r="DH212" i="10"/>
  <c r="DE213" i="10"/>
  <c r="DF213" i="10"/>
  <c r="DG213" i="10"/>
  <c r="DH213" i="10"/>
  <c r="DE214" i="10"/>
  <c r="DF214" i="10"/>
  <c r="DG214" i="10"/>
  <c r="DH214" i="10"/>
  <c r="DE215" i="10"/>
  <c r="DF215" i="10"/>
  <c r="DG215" i="10"/>
  <c r="DH215" i="10"/>
  <c r="DE216" i="10"/>
  <c r="DF216" i="10"/>
  <c r="DG216" i="10"/>
  <c r="DH216" i="10"/>
  <c r="DE217" i="10"/>
  <c r="DF217" i="10"/>
  <c r="DG217" i="10"/>
  <c r="DH217" i="10"/>
  <c r="DE218" i="10"/>
  <c r="DF218" i="10"/>
  <c r="DG218" i="10"/>
  <c r="DH218" i="10"/>
  <c r="DE219" i="10"/>
  <c r="DF219" i="10"/>
  <c r="DG219" i="10"/>
  <c r="DH219" i="10"/>
  <c r="DE220" i="10"/>
  <c r="DF220" i="10"/>
  <c r="DG220" i="10"/>
  <c r="DH220" i="10"/>
  <c r="DE221" i="10"/>
  <c r="DF221" i="10"/>
  <c r="DG221" i="10"/>
  <c r="DH221" i="10"/>
  <c r="DE222" i="10"/>
  <c r="DF222" i="10"/>
  <c r="DG222" i="10"/>
  <c r="DH222" i="10"/>
  <c r="DE223" i="10"/>
  <c r="DF223" i="10"/>
  <c r="DG223" i="10"/>
  <c r="DH223" i="10"/>
  <c r="DE224" i="10"/>
  <c r="DF224" i="10"/>
  <c r="DG224" i="10"/>
  <c r="DH224" i="10"/>
  <c r="DE225" i="10"/>
  <c r="DF225" i="10"/>
  <c r="DG225" i="10"/>
  <c r="DH225" i="10"/>
  <c r="DE226" i="10"/>
  <c r="DF226" i="10"/>
  <c r="DG226" i="10"/>
  <c r="DH226" i="10"/>
  <c r="DE227" i="10"/>
  <c r="DF227" i="10"/>
  <c r="DG227" i="10"/>
  <c r="DH227" i="10"/>
  <c r="DE228" i="10"/>
  <c r="DF228" i="10"/>
  <c r="DG228" i="10"/>
  <c r="DH228" i="10"/>
  <c r="DE229" i="10"/>
  <c r="DF229" i="10"/>
  <c r="DG229" i="10"/>
  <c r="DH229" i="10"/>
  <c r="DE230" i="10"/>
  <c r="DF230" i="10"/>
  <c r="DG230" i="10"/>
  <c r="DH230" i="10"/>
  <c r="DE231" i="10"/>
  <c r="DF231" i="10"/>
  <c r="DG231" i="10"/>
  <c r="DH231" i="10"/>
  <c r="DE232" i="10"/>
  <c r="DF232" i="10"/>
  <c r="DG232" i="10"/>
  <c r="DH232" i="10"/>
  <c r="DE233" i="10"/>
  <c r="DF233" i="10"/>
  <c r="DG233" i="10"/>
  <c r="DH233" i="10"/>
  <c r="DE234" i="10"/>
  <c r="DF234" i="10"/>
  <c r="DG234" i="10"/>
  <c r="DH234" i="10"/>
  <c r="DE235" i="10"/>
  <c r="DF235" i="10"/>
  <c r="DG235" i="10"/>
  <c r="DH235" i="10"/>
  <c r="DE236" i="10"/>
  <c r="DF236" i="10"/>
  <c r="DG236" i="10"/>
  <c r="DH236" i="10"/>
  <c r="DE237" i="10"/>
  <c r="DF237" i="10"/>
  <c r="DG237" i="10"/>
  <c r="DH237" i="10"/>
  <c r="DE238" i="10"/>
  <c r="DF238" i="10"/>
  <c r="DG238" i="10"/>
  <c r="DH238" i="10"/>
  <c r="DE239" i="10"/>
  <c r="DF239" i="10"/>
  <c r="DG239" i="10"/>
  <c r="DH239" i="10"/>
  <c r="DE240" i="10"/>
  <c r="DF240" i="10"/>
  <c r="DG240" i="10"/>
  <c r="DH240" i="10"/>
  <c r="DE241" i="10"/>
  <c r="DF241" i="10"/>
  <c r="DG241" i="10"/>
  <c r="DH241" i="10"/>
  <c r="DE242" i="10"/>
  <c r="DF242" i="10"/>
  <c r="DG242" i="10"/>
  <c r="DH242" i="10"/>
  <c r="DE243" i="10"/>
  <c r="DF243" i="10"/>
  <c r="DG243" i="10"/>
  <c r="DH243" i="10"/>
  <c r="DE244" i="10"/>
  <c r="DF244" i="10"/>
  <c r="DG244" i="10"/>
  <c r="DH244" i="10"/>
  <c r="DE245" i="10"/>
  <c r="DF245" i="10"/>
  <c r="DG245" i="10"/>
  <c r="DH245" i="10"/>
  <c r="DE246" i="10"/>
  <c r="DF246" i="10"/>
  <c r="DG246" i="10"/>
  <c r="DH246" i="10"/>
  <c r="DE247" i="10"/>
  <c r="DF247" i="10"/>
  <c r="DG247" i="10"/>
  <c r="DH247" i="10"/>
  <c r="DE248" i="10"/>
  <c r="DF248" i="10"/>
  <c r="DG248" i="10"/>
  <c r="DH248" i="10"/>
  <c r="DE249" i="10"/>
  <c r="DF249" i="10"/>
  <c r="DG249" i="10"/>
  <c r="DH249" i="10"/>
  <c r="DE250" i="10"/>
  <c r="DF250" i="10"/>
  <c r="DG250" i="10"/>
  <c r="DH250" i="10"/>
  <c r="DE251" i="10"/>
  <c r="DF251" i="10"/>
  <c r="DG251" i="10"/>
  <c r="DH251" i="10"/>
  <c r="DE252" i="10"/>
  <c r="DF252" i="10"/>
  <c r="DG252" i="10"/>
  <c r="DH252" i="10"/>
  <c r="DE253" i="10"/>
  <c r="DF253" i="10"/>
  <c r="DG253" i="10"/>
  <c r="DH253" i="10"/>
  <c r="DE254" i="10"/>
  <c r="DF254" i="10"/>
  <c r="DG254" i="10"/>
  <c r="DH254" i="10"/>
  <c r="DE255" i="10"/>
  <c r="DF255" i="10"/>
  <c r="DG255" i="10"/>
  <c r="DH255" i="10"/>
  <c r="DE256" i="10"/>
  <c r="DF256" i="10"/>
  <c r="DG256" i="10"/>
  <c r="DH256" i="10"/>
  <c r="DE257" i="10"/>
  <c r="DF257" i="10"/>
  <c r="DG257" i="10"/>
  <c r="DH257" i="10"/>
  <c r="DE258" i="10"/>
  <c r="DF258" i="10"/>
  <c r="DG258" i="10"/>
  <c r="DH258" i="10"/>
  <c r="DE259" i="10"/>
  <c r="DF259" i="10"/>
  <c r="DG259" i="10"/>
  <c r="DH259" i="10"/>
  <c r="DE260" i="10"/>
  <c r="DF260" i="10"/>
  <c r="DG260" i="10"/>
  <c r="DH260" i="10"/>
  <c r="DE261" i="10"/>
  <c r="DF261" i="10"/>
  <c r="DG261" i="10"/>
  <c r="DH261" i="10"/>
  <c r="DE262" i="10"/>
  <c r="DF262" i="10"/>
  <c r="DG262" i="10"/>
  <c r="DH262" i="10"/>
  <c r="DE263" i="10"/>
  <c r="DF263" i="10"/>
  <c r="DG263" i="10"/>
  <c r="DH263" i="10"/>
  <c r="DE264" i="10"/>
  <c r="DF264" i="10"/>
  <c r="DG264" i="10"/>
  <c r="DH264" i="10"/>
  <c r="DE265" i="10"/>
  <c r="DF265" i="10"/>
  <c r="DG265" i="10"/>
  <c r="DH265" i="10"/>
  <c r="DE266" i="10"/>
  <c r="DF266" i="10"/>
  <c r="DG266" i="10"/>
  <c r="DH266" i="10"/>
  <c r="DE267" i="10"/>
  <c r="DF267" i="10"/>
  <c r="DG267" i="10"/>
  <c r="DH267" i="10"/>
  <c r="DE268" i="10"/>
  <c r="DF268" i="10"/>
  <c r="DG268" i="10"/>
  <c r="DH268" i="10"/>
  <c r="DE269" i="10"/>
  <c r="DF269" i="10"/>
  <c r="DG269" i="10"/>
  <c r="DH269" i="10"/>
  <c r="DE270" i="10"/>
  <c r="DF270" i="10"/>
  <c r="DG270" i="10"/>
  <c r="DH270" i="10"/>
  <c r="DE271" i="10"/>
  <c r="DF271" i="10"/>
  <c r="DG271" i="10"/>
  <c r="DH271" i="10"/>
  <c r="DE272" i="10"/>
  <c r="DF272" i="10"/>
  <c r="DG272" i="10"/>
  <c r="DH272" i="10"/>
  <c r="DE273" i="10"/>
  <c r="DF273" i="10"/>
  <c r="DG273" i="10"/>
  <c r="DH273" i="10"/>
  <c r="DE274" i="10"/>
  <c r="DF274" i="10"/>
  <c r="DG274" i="10"/>
  <c r="DH274" i="10"/>
  <c r="DE275" i="10"/>
  <c r="DF275" i="10"/>
  <c r="DG275" i="10"/>
  <c r="DH275" i="10"/>
  <c r="DE276" i="10"/>
  <c r="DF276" i="10"/>
  <c r="DG276" i="10"/>
  <c r="DH276" i="10"/>
  <c r="DE277" i="10"/>
  <c r="DF277" i="10"/>
  <c r="DG277" i="10"/>
  <c r="DH277" i="10"/>
  <c r="DE278" i="10"/>
  <c r="DF278" i="10"/>
  <c r="DG278" i="10"/>
  <c r="DH278" i="10"/>
  <c r="DE279" i="10"/>
  <c r="DF279" i="10"/>
  <c r="DG279" i="10"/>
  <c r="DH279" i="10"/>
  <c r="DE280" i="10"/>
  <c r="DF280" i="10"/>
  <c r="DG280" i="10"/>
  <c r="DH280" i="10"/>
  <c r="DE281" i="10"/>
  <c r="DF281" i="10"/>
  <c r="DG281" i="10"/>
  <c r="DH281" i="10"/>
  <c r="DE282" i="10"/>
  <c r="DF282" i="10"/>
  <c r="DG282" i="10"/>
  <c r="DH282" i="10"/>
  <c r="DE283" i="10"/>
  <c r="DF283" i="10"/>
  <c r="DG283" i="10"/>
  <c r="DH283" i="10"/>
  <c r="DE284" i="10"/>
  <c r="DF284" i="10"/>
  <c r="DG284" i="10"/>
  <c r="DH284" i="10"/>
  <c r="DE285" i="10"/>
  <c r="DF285" i="10"/>
  <c r="DG285" i="10"/>
  <c r="DH285" i="10"/>
  <c r="DE286" i="10"/>
  <c r="DF286" i="10"/>
  <c r="DG286" i="10"/>
  <c r="DH286" i="10"/>
  <c r="DE287" i="10"/>
  <c r="DF287" i="10"/>
  <c r="DG287" i="10"/>
  <c r="DH287" i="10"/>
  <c r="DE288" i="10"/>
  <c r="DF288" i="10"/>
  <c r="DG288" i="10"/>
  <c r="DH288" i="10"/>
  <c r="DE289" i="10"/>
  <c r="DF289" i="10"/>
  <c r="DG289" i="10"/>
  <c r="DH289" i="10"/>
  <c r="DE290" i="10"/>
  <c r="DF290" i="10"/>
  <c r="DG290" i="10"/>
  <c r="DH290" i="10"/>
  <c r="DE291" i="10"/>
  <c r="DF291" i="10"/>
  <c r="DG291" i="10"/>
  <c r="DH291" i="10"/>
  <c r="DE292" i="10"/>
  <c r="DF292" i="10"/>
  <c r="DG292" i="10"/>
  <c r="DH292" i="10"/>
  <c r="DE293" i="10"/>
  <c r="DF293" i="10"/>
  <c r="DG293" i="10"/>
  <c r="DH293" i="10"/>
  <c r="DE294" i="10"/>
  <c r="DF294" i="10"/>
  <c r="DG294" i="10"/>
  <c r="DH294" i="10"/>
  <c r="DE295" i="10"/>
  <c r="DF295" i="10"/>
  <c r="DG295" i="10"/>
  <c r="DH295" i="10"/>
  <c r="DE296" i="10"/>
  <c r="DF296" i="10"/>
  <c r="DG296" i="10"/>
  <c r="DH296" i="10"/>
  <c r="DE297" i="10"/>
  <c r="DF297" i="10"/>
  <c r="DG297" i="10"/>
  <c r="DH297" i="10"/>
  <c r="DE298" i="10"/>
  <c r="DF298" i="10"/>
  <c r="DG298" i="10"/>
  <c r="DH298" i="10"/>
  <c r="DE299" i="10"/>
  <c r="DF299" i="10"/>
  <c r="DG299" i="10"/>
  <c r="DH299" i="10"/>
  <c r="DE300" i="10"/>
  <c r="DF300" i="10"/>
  <c r="DG300" i="10"/>
  <c r="DH300" i="10"/>
  <c r="DE301" i="10"/>
  <c r="DF301" i="10"/>
  <c r="DG301" i="10"/>
  <c r="DH301" i="10"/>
  <c r="DE302" i="10"/>
  <c r="DF302" i="10"/>
  <c r="DG302" i="10"/>
  <c r="DH302" i="10"/>
  <c r="DE303" i="10"/>
  <c r="DF303" i="10"/>
  <c r="DG303" i="10"/>
  <c r="DH303" i="10"/>
  <c r="DE304" i="10"/>
  <c r="DF304" i="10"/>
  <c r="DG304" i="10"/>
  <c r="DH304" i="10"/>
  <c r="DE305" i="10"/>
  <c r="DF305" i="10"/>
  <c r="DG305" i="10"/>
  <c r="DH305" i="10"/>
  <c r="DE306" i="10"/>
  <c r="DF306" i="10"/>
  <c r="DG306" i="10"/>
  <c r="DH306" i="10"/>
  <c r="DE307" i="10"/>
  <c r="DF307" i="10"/>
  <c r="DG307" i="10"/>
  <c r="DH307" i="10"/>
  <c r="DE308" i="10"/>
  <c r="DF308" i="10"/>
  <c r="DG308" i="10"/>
  <c r="DH308" i="10"/>
  <c r="DE309" i="10"/>
  <c r="DF309" i="10"/>
  <c r="DG309" i="10"/>
  <c r="DH309" i="10"/>
  <c r="DE310" i="10"/>
  <c r="DF310" i="10"/>
  <c r="DG310" i="10"/>
  <c r="DH310" i="10"/>
  <c r="DE311" i="10"/>
  <c r="DF311" i="10"/>
  <c r="DG311" i="10"/>
  <c r="DH311" i="10"/>
  <c r="DE312" i="10"/>
  <c r="DF312" i="10"/>
  <c r="DG312" i="10"/>
  <c r="DH312" i="10"/>
  <c r="DE313" i="10"/>
  <c r="DF313" i="10"/>
  <c r="DG313" i="10"/>
  <c r="DH313" i="10"/>
  <c r="DE314" i="10"/>
  <c r="DF314" i="10"/>
  <c r="DG314" i="10"/>
  <c r="DH314" i="10"/>
  <c r="DE315" i="10"/>
  <c r="DF315" i="10"/>
  <c r="DG315" i="10"/>
  <c r="DH315" i="10"/>
  <c r="DE316" i="10"/>
  <c r="DF316" i="10"/>
  <c r="DG316" i="10"/>
  <c r="DH316" i="10"/>
  <c r="DE317" i="10"/>
  <c r="DF317" i="10"/>
  <c r="DG317" i="10"/>
  <c r="DH317" i="10"/>
  <c r="DE318" i="10"/>
  <c r="DF318" i="10"/>
  <c r="DG318" i="10"/>
  <c r="DH318" i="10"/>
  <c r="DE319" i="10"/>
  <c r="DF319" i="10"/>
  <c r="DG319" i="10"/>
  <c r="DH319" i="10"/>
  <c r="DE320" i="10"/>
  <c r="DF320" i="10"/>
  <c r="DG320" i="10"/>
  <c r="DH320" i="10"/>
  <c r="DE321" i="10"/>
  <c r="DF321" i="10"/>
  <c r="DG321" i="10"/>
  <c r="DH321" i="10"/>
  <c r="DE322" i="10"/>
  <c r="DF322" i="10"/>
  <c r="DG322" i="10"/>
  <c r="DH322" i="10"/>
  <c r="DE323" i="10"/>
  <c r="DF323" i="10"/>
  <c r="DG323" i="10"/>
  <c r="DH323" i="10"/>
  <c r="DE324" i="10"/>
  <c r="DF324" i="10"/>
  <c r="DG324" i="10"/>
  <c r="DH324" i="10"/>
  <c r="DE325" i="10"/>
  <c r="DF325" i="10"/>
  <c r="DG325" i="10"/>
  <c r="DH325" i="10"/>
  <c r="DE326" i="10"/>
  <c r="DF326" i="10"/>
  <c r="DG326" i="10"/>
  <c r="DH326" i="10"/>
  <c r="DE327" i="10"/>
  <c r="DF327" i="10"/>
  <c r="DG327" i="10"/>
  <c r="DH327" i="10"/>
  <c r="DE328" i="10"/>
  <c r="DF328" i="10"/>
  <c r="DG328" i="10"/>
  <c r="DH328" i="10"/>
  <c r="DE329" i="10"/>
  <c r="DF329" i="10"/>
  <c r="DG329" i="10"/>
  <c r="DH329" i="10"/>
  <c r="DE330" i="10"/>
  <c r="DF330" i="10"/>
  <c r="DG330" i="10"/>
  <c r="DH330" i="10"/>
  <c r="DE331" i="10"/>
  <c r="DF331" i="10"/>
  <c r="DG331" i="10"/>
  <c r="DH331" i="10"/>
  <c r="DE332" i="10"/>
  <c r="DF332" i="10"/>
  <c r="DG332" i="10"/>
  <c r="DH332" i="10"/>
  <c r="DE333" i="10"/>
  <c r="DF333" i="10"/>
  <c r="DG333" i="10"/>
  <c r="DH333" i="10"/>
  <c r="DE334" i="10"/>
  <c r="DF334" i="10"/>
  <c r="DG334" i="10"/>
  <c r="DH334" i="10"/>
  <c r="DE335" i="10"/>
  <c r="DF335" i="10"/>
  <c r="DG335" i="10"/>
  <c r="DH335" i="10"/>
  <c r="DE336" i="10"/>
  <c r="DF336" i="10"/>
  <c r="DG336" i="10"/>
  <c r="DH336" i="10"/>
  <c r="DE337" i="10"/>
  <c r="DF337" i="10"/>
  <c r="DG337" i="10"/>
  <c r="DH337" i="10"/>
  <c r="DE338" i="10"/>
  <c r="DF338" i="10"/>
  <c r="DG338" i="10"/>
  <c r="DH338" i="10"/>
  <c r="DE339" i="10"/>
  <c r="DF339" i="10"/>
  <c r="DG339" i="10"/>
  <c r="DH339" i="10"/>
  <c r="DE340" i="10"/>
  <c r="DF340" i="10"/>
  <c r="DG340" i="10"/>
  <c r="DH340" i="10"/>
  <c r="DE341" i="10"/>
  <c r="DF341" i="10"/>
  <c r="DG341" i="10"/>
  <c r="DH341" i="10"/>
  <c r="DE342" i="10"/>
  <c r="DF342" i="10"/>
  <c r="DG342" i="10"/>
  <c r="DH342" i="10"/>
  <c r="DE343" i="10"/>
  <c r="DF343" i="10"/>
  <c r="DG343" i="10"/>
  <c r="DH343" i="10"/>
  <c r="DE344" i="10"/>
  <c r="DF344" i="10"/>
  <c r="DG344" i="10"/>
  <c r="DH344" i="10"/>
  <c r="DE345" i="10"/>
  <c r="DF345" i="10"/>
  <c r="DG345" i="10"/>
  <c r="DH345" i="10"/>
  <c r="DE346" i="10"/>
  <c r="DF346" i="10"/>
  <c r="DG346" i="10"/>
  <c r="DH346" i="10"/>
  <c r="DE347" i="10"/>
  <c r="DF347" i="10"/>
  <c r="DG347" i="10"/>
  <c r="DH347" i="10"/>
  <c r="DE348" i="10"/>
  <c r="DF348" i="10"/>
  <c r="DG348" i="10"/>
  <c r="DH348" i="10"/>
  <c r="DE349" i="10"/>
  <c r="DF349" i="10"/>
  <c r="DG349" i="10"/>
  <c r="DH349" i="10"/>
  <c r="DE350" i="10"/>
  <c r="DF350" i="10"/>
  <c r="DG350" i="10"/>
  <c r="DH350" i="10"/>
  <c r="DE351" i="10"/>
  <c r="DF351" i="10"/>
  <c r="DG351" i="10"/>
  <c r="DH351" i="10"/>
  <c r="DE352" i="10"/>
  <c r="DF352" i="10"/>
  <c r="DG352" i="10"/>
  <c r="DH352" i="10"/>
  <c r="DE353" i="10"/>
  <c r="DF353" i="10"/>
  <c r="DG353" i="10"/>
  <c r="DH353" i="10"/>
  <c r="DE354" i="10"/>
  <c r="DF354" i="10"/>
  <c r="DG354" i="10"/>
  <c r="DH354" i="10"/>
  <c r="DE355" i="10"/>
  <c r="DF355" i="10"/>
  <c r="DG355" i="10"/>
  <c r="DH355" i="10"/>
  <c r="DE356" i="10"/>
  <c r="DF356" i="10"/>
  <c r="DG356" i="10"/>
  <c r="DH356" i="10"/>
  <c r="DE357" i="10"/>
  <c r="DF357" i="10"/>
  <c r="DG357" i="10"/>
  <c r="DH357" i="10"/>
  <c r="DE358" i="10"/>
  <c r="DF358" i="10"/>
  <c r="DG358" i="10"/>
  <c r="DH358" i="10"/>
  <c r="DE359" i="10"/>
  <c r="DF359" i="10"/>
  <c r="DG359" i="10"/>
  <c r="DH359" i="10"/>
  <c r="DE360" i="10"/>
  <c r="DF360" i="10"/>
  <c r="DG360" i="10"/>
  <c r="DH360" i="10"/>
  <c r="DE361" i="10"/>
  <c r="DF361" i="10"/>
  <c r="DG361" i="10"/>
  <c r="DH361" i="10"/>
  <c r="DE362" i="10"/>
  <c r="DF362" i="10"/>
  <c r="DG362" i="10"/>
  <c r="DH362" i="10"/>
  <c r="DE363" i="10"/>
  <c r="DF363" i="10"/>
  <c r="DG363" i="10"/>
  <c r="DH363" i="10"/>
  <c r="DE364" i="10"/>
  <c r="DF364" i="10"/>
  <c r="DG364" i="10"/>
  <c r="DH364" i="10"/>
  <c r="DE365" i="10"/>
  <c r="DF365" i="10"/>
  <c r="DG365" i="10"/>
  <c r="DH365" i="10"/>
  <c r="DE366" i="10"/>
  <c r="DF366" i="10"/>
  <c r="DG366" i="10"/>
  <c r="DH366" i="10"/>
  <c r="DE367" i="10"/>
  <c r="DF367" i="10"/>
  <c r="DG367" i="10"/>
  <c r="DH367" i="10"/>
  <c r="DE368" i="10"/>
  <c r="DF368" i="10"/>
  <c r="DG368" i="10"/>
  <c r="DH368" i="10"/>
  <c r="DE369" i="10"/>
  <c r="DF369" i="10"/>
  <c r="DG369" i="10"/>
  <c r="DH369" i="10"/>
  <c r="DE370" i="10"/>
  <c r="DF370" i="10"/>
  <c r="DG370" i="10"/>
  <c r="DH370" i="10"/>
  <c r="DE371" i="10"/>
  <c r="DF371" i="10"/>
  <c r="DG371" i="10"/>
  <c r="DH371" i="10"/>
  <c r="DE372" i="10"/>
  <c r="DF372" i="10"/>
  <c r="DG372" i="10"/>
  <c r="DH372" i="10"/>
  <c r="DE373" i="10"/>
  <c r="DF373" i="10"/>
  <c r="DG373" i="10"/>
  <c r="DH373" i="10"/>
  <c r="DE374" i="10"/>
  <c r="DF374" i="10"/>
  <c r="DG374" i="10"/>
  <c r="DH374" i="10"/>
  <c r="DE375" i="10"/>
  <c r="DF375" i="10"/>
  <c r="DG375" i="10"/>
  <c r="DH375" i="10"/>
  <c r="DE376" i="10"/>
  <c r="DF376" i="10"/>
  <c r="DG376" i="10"/>
  <c r="DH376" i="10"/>
  <c r="DE377" i="10"/>
  <c r="DF377" i="10"/>
  <c r="DG377" i="10"/>
  <c r="DH377" i="10"/>
  <c r="DE378" i="10"/>
  <c r="DF378" i="10"/>
  <c r="DG378" i="10"/>
  <c r="DH378" i="10"/>
  <c r="DE379" i="10"/>
  <c r="DF379" i="10"/>
  <c r="DG379" i="10"/>
  <c r="DH379" i="10"/>
  <c r="DE380" i="10"/>
  <c r="DF380" i="10"/>
  <c r="DG380" i="10"/>
  <c r="DH380" i="10"/>
  <c r="DE381" i="10"/>
  <c r="DF381" i="10"/>
  <c r="DG381" i="10"/>
  <c r="DH381" i="10"/>
  <c r="DE382" i="10"/>
  <c r="DF382" i="10"/>
  <c r="DG382" i="10"/>
  <c r="DH382" i="10"/>
  <c r="DE383" i="10"/>
  <c r="DF383" i="10"/>
  <c r="DG383" i="10"/>
  <c r="DH383" i="10"/>
  <c r="DE384" i="10"/>
  <c r="DF384" i="10"/>
  <c r="DG384" i="10"/>
  <c r="DH384" i="10"/>
  <c r="DE385" i="10"/>
  <c r="DF385" i="10"/>
  <c r="DG385" i="10"/>
  <c r="DH385" i="10"/>
  <c r="DE386" i="10"/>
  <c r="DF386" i="10"/>
  <c r="DG386" i="10"/>
  <c r="DH386" i="10"/>
  <c r="DE387" i="10"/>
  <c r="DF387" i="10"/>
  <c r="DG387" i="10"/>
  <c r="DH387" i="10"/>
  <c r="DE388" i="10"/>
  <c r="DF388" i="10"/>
  <c r="DG388" i="10"/>
  <c r="DH388" i="10"/>
  <c r="DE389" i="10"/>
  <c r="DF389" i="10"/>
  <c r="DG389" i="10"/>
  <c r="DH389" i="10"/>
  <c r="DE390" i="10"/>
  <c r="DF390" i="10"/>
  <c r="DG390" i="10"/>
  <c r="DH390" i="10"/>
  <c r="DE391" i="10"/>
  <c r="DF391" i="10"/>
  <c r="DG391" i="10"/>
  <c r="DH391" i="10"/>
  <c r="DE392" i="10"/>
  <c r="DF392" i="10"/>
  <c r="DG392" i="10"/>
  <c r="DH392" i="10"/>
  <c r="DE393" i="10"/>
  <c r="DF393" i="10"/>
  <c r="DG393" i="10"/>
  <c r="DH393" i="10"/>
  <c r="DE394" i="10"/>
  <c r="DF394" i="10"/>
  <c r="DG394" i="10"/>
  <c r="DH394" i="10"/>
  <c r="DE395" i="10"/>
  <c r="DF395" i="10"/>
  <c r="DG395" i="10"/>
  <c r="DH395" i="10"/>
  <c r="DE396" i="10"/>
  <c r="DF396" i="10"/>
  <c r="DG396" i="10"/>
  <c r="DH396" i="10"/>
  <c r="DE397" i="10"/>
  <c r="DF397" i="10"/>
  <c r="DG397" i="10"/>
  <c r="DH397" i="10"/>
  <c r="DE398" i="10"/>
  <c r="DF398" i="10"/>
  <c r="DG398" i="10"/>
  <c r="DH398" i="10"/>
  <c r="DE399" i="10"/>
  <c r="DF399" i="10"/>
  <c r="DG399" i="10"/>
  <c r="DH399" i="10"/>
  <c r="DE400" i="10"/>
  <c r="DF400" i="10"/>
  <c r="DG400" i="10"/>
  <c r="DH400" i="10"/>
  <c r="DE401" i="10"/>
  <c r="DF401" i="10"/>
  <c r="DG401" i="10"/>
  <c r="DH401" i="10"/>
  <c r="DE402" i="10"/>
  <c r="DF402" i="10"/>
  <c r="DG402" i="10"/>
  <c r="DH402" i="10"/>
  <c r="DE403" i="10"/>
  <c r="DF403" i="10"/>
  <c r="DG403" i="10"/>
  <c r="DH403" i="10"/>
  <c r="DE404" i="10"/>
  <c r="DF404" i="10"/>
  <c r="DG404" i="10"/>
  <c r="DH404" i="10"/>
  <c r="DE405" i="10"/>
  <c r="DF405" i="10"/>
  <c r="DG405" i="10"/>
  <c r="DH405" i="10"/>
  <c r="DE406" i="10"/>
  <c r="DF406" i="10"/>
  <c r="DG406" i="10"/>
  <c r="DH406" i="10"/>
  <c r="DE407" i="10"/>
  <c r="DF407" i="10"/>
  <c r="DG407" i="10"/>
  <c r="DH407" i="10"/>
  <c r="DE408" i="10"/>
  <c r="DF408" i="10"/>
  <c r="DG408" i="10"/>
  <c r="DH408" i="10"/>
  <c r="DE409" i="10"/>
  <c r="DF409" i="10"/>
  <c r="DG409" i="10"/>
  <c r="DH409" i="10"/>
  <c r="DE410" i="10"/>
  <c r="DF410" i="10"/>
  <c r="DG410" i="10"/>
  <c r="DH410" i="10"/>
  <c r="DE411" i="10"/>
  <c r="DF411" i="10"/>
  <c r="DG411" i="10"/>
  <c r="DH411" i="10"/>
  <c r="DE412" i="10"/>
  <c r="DF412" i="10"/>
  <c r="DG412" i="10"/>
  <c r="DH412" i="10"/>
  <c r="DE413" i="10"/>
  <c r="DF413" i="10"/>
  <c r="DG413" i="10"/>
  <c r="DH413" i="10"/>
  <c r="DE414" i="10"/>
  <c r="DF414" i="10"/>
  <c r="DG414" i="10"/>
  <c r="DH414" i="10"/>
  <c r="DE415" i="10"/>
  <c r="DF415" i="10"/>
  <c r="DG415" i="10"/>
  <c r="DH415" i="10"/>
  <c r="DE416" i="10"/>
  <c r="DF416" i="10"/>
  <c r="DG416" i="10"/>
  <c r="DH416" i="10"/>
  <c r="DE417" i="10"/>
  <c r="DF417" i="10"/>
  <c r="DG417" i="10"/>
  <c r="DH417" i="10"/>
  <c r="DE418" i="10"/>
  <c r="DF418" i="10"/>
  <c r="DG418" i="10"/>
  <c r="DH418" i="10"/>
  <c r="DE419" i="10"/>
  <c r="DF419" i="10"/>
  <c r="DG419" i="10"/>
  <c r="DH419" i="10"/>
  <c r="DE420" i="10"/>
  <c r="DF420" i="10"/>
  <c r="DG420" i="10"/>
  <c r="DH420" i="10"/>
  <c r="DE421" i="10"/>
  <c r="DF421" i="10"/>
  <c r="DG421" i="10"/>
  <c r="DH421" i="10"/>
  <c r="DE422" i="10"/>
  <c r="DF422" i="10"/>
  <c r="DG422" i="10"/>
  <c r="DH422" i="10"/>
  <c r="DE423" i="10"/>
  <c r="DF423" i="10"/>
  <c r="DG423" i="10"/>
  <c r="DH423" i="10"/>
  <c r="DE424" i="10"/>
  <c r="DF424" i="10"/>
  <c r="DG424" i="10"/>
  <c r="DH424" i="10"/>
  <c r="DE425" i="10"/>
  <c r="DF425" i="10"/>
  <c r="DG425" i="10"/>
  <c r="DH425" i="10"/>
  <c r="DE426" i="10"/>
  <c r="DF426" i="10"/>
  <c r="DG426" i="10"/>
  <c r="DH426" i="10"/>
  <c r="DE427" i="10"/>
  <c r="DF427" i="10"/>
  <c r="DG427" i="10"/>
  <c r="DH427" i="10"/>
  <c r="DE428" i="10"/>
  <c r="DF428" i="10"/>
  <c r="DG428" i="10"/>
  <c r="DH428" i="10"/>
  <c r="DE429" i="10"/>
  <c r="DF429" i="10"/>
  <c r="DG429" i="10"/>
  <c r="DH429" i="10"/>
  <c r="DE430" i="10"/>
  <c r="DF430" i="10"/>
  <c r="DG430" i="10"/>
  <c r="DH430" i="10"/>
  <c r="DE431" i="10"/>
  <c r="DF431" i="10"/>
  <c r="DG431" i="10"/>
  <c r="DH431" i="10"/>
  <c r="DE432" i="10"/>
  <c r="DF432" i="10"/>
  <c r="DG432" i="10"/>
  <c r="DH432" i="10"/>
  <c r="DE433" i="10"/>
  <c r="DF433" i="10"/>
  <c r="DG433" i="10"/>
  <c r="DH433" i="10"/>
  <c r="DE434" i="10"/>
  <c r="DF434" i="10"/>
  <c r="DG434" i="10"/>
  <c r="DH434" i="10"/>
  <c r="DE435" i="10"/>
  <c r="DF435" i="10"/>
  <c r="DG435" i="10"/>
  <c r="DH435" i="10"/>
  <c r="DE436" i="10"/>
  <c r="DF436" i="10"/>
  <c r="DG436" i="10"/>
  <c r="DH436" i="10"/>
  <c r="DE437" i="10"/>
  <c r="DF437" i="10"/>
  <c r="DG437" i="10"/>
  <c r="DH437" i="10"/>
  <c r="DE438" i="10"/>
  <c r="DF438" i="10"/>
  <c r="DG438" i="10"/>
  <c r="DH438" i="10"/>
  <c r="DE439" i="10"/>
  <c r="DF439" i="10"/>
  <c r="DG439" i="10"/>
  <c r="DH439" i="10"/>
  <c r="DE440" i="10"/>
  <c r="DF440" i="10"/>
  <c r="DG440" i="10"/>
  <c r="DH440" i="10"/>
  <c r="DE441" i="10"/>
  <c r="DF441" i="10"/>
  <c r="DG441" i="10"/>
  <c r="DH441" i="10"/>
  <c r="DE442" i="10"/>
  <c r="DF442" i="10"/>
  <c r="DG442" i="10"/>
  <c r="DH442" i="10"/>
  <c r="DE443" i="10"/>
  <c r="DF443" i="10"/>
  <c r="DG443" i="10"/>
  <c r="DH443" i="10"/>
  <c r="DE444" i="10"/>
  <c r="DF444" i="10"/>
  <c r="DG444" i="10"/>
  <c r="DH444" i="10"/>
  <c r="DE445" i="10"/>
  <c r="DF445" i="10"/>
  <c r="DG445" i="10"/>
  <c r="DH445" i="10"/>
  <c r="DE446" i="10"/>
  <c r="DF446" i="10"/>
  <c r="DG446" i="10"/>
  <c r="DH446" i="10"/>
  <c r="DE447" i="10"/>
  <c r="DF447" i="10"/>
  <c r="DG447" i="10"/>
  <c r="DH447" i="10"/>
  <c r="DE448" i="10"/>
  <c r="DF448" i="10"/>
  <c r="DG448" i="10"/>
  <c r="DH448" i="10"/>
  <c r="DE449" i="10"/>
  <c r="DF449" i="10"/>
  <c r="DG449" i="10"/>
  <c r="DH449" i="10"/>
  <c r="DE450" i="10"/>
  <c r="DF450" i="10"/>
  <c r="DG450" i="10"/>
  <c r="DH450" i="10"/>
  <c r="DE451" i="10"/>
  <c r="DF451" i="10"/>
  <c r="DG451" i="10"/>
  <c r="DH451" i="10"/>
  <c r="DE452" i="10"/>
  <c r="DF452" i="10"/>
  <c r="DG452" i="10"/>
  <c r="DH452" i="10"/>
  <c r="DE453" i="10"/>
  <c r="DF453" i="10"/>
  <c r="DG453" i="10"/>
  <c r="DH453" i="10"/>
  <c r="DE454" i="10"/>
  <c r="DF454" i="10"/>
  <c r="DG454" i="10"/>
  <c r="DH454" i="10"/>
  <c r="DE455" i="10"/>
  <c r="DF455" i="10"/>
  <c r="DG455" i="10"/>
  <c r="DH455" i="10"/>
  <c r="DE456" i="10"/>
  <c r="DF456" i="10"/>
  <c r="DG456" i="10"/>
  <c r="DH456" i="10"/>
  <c r="DE457" i="10"/>
  <c r="DF457" i="10"/>
  <c r="DG457" i="10"/>
  <c r="DH457" i="10"/>
  <c r="DE458" i="10"/>
  <c r="DF458" i="10"/>
  <c r="DG458" i="10"/>
  <c r="DH458" i="10"/>
  <c r="DE459" i="10"/>
  <c r="DF459" i="10"/>
  <c r="DG459" i="10"/>
  <c r="DH459" i="10"/>
  <c r="DE460" i="10"/>
  <c r="DF460" i="10"/>
  <c r="DG460" i="10"/>
  <c r="DH460" i="10"/>
  <c r="DE461" i="10"/>
  <c r="DF461" i="10"/>
  <c r="DG461" i="10"/>
  <c r="DH461" i="10"/>
  <c r="DE462" i="10"/>
  <c r="DF462" i="10"/>
  <c r="DG462" i="10"/>
  <c r="DH462" i="10"/>
  <c r="DE463" i="10"/>
  <c r="DF463" i="10"/>
  <c r="DG463" i="10"/>
  <c r="DH463" i="10"/>
  <c r="DE464" i="10"/>
  <c r="DF464" i="10"/>
  <c r="DG464" i="10"/>
  <c r="DH464" i="10"/>
  <c r="DE465" i="10"/>
  <c r="DF465" i="10"/>
  <c r="DG465" i="10"/>
  <c r="DH465" i="10"/>
  <c r="DE466" i="10"/>
  <c r="DF466" i="10"/>
  <c r="DG466" i="10"/>
  <c r="DH466" i="10"/>
  <c r="DE467" i="10"/>
  <c r="DF467" i="10"/>
  <c r="DG467" i="10"/>
  <c r="DH467" i="10"/>
  <c r="DE468" i="10"/>
  <c r="DF468" i="10"/>
  <c r="DG468" i="10"/>
  <c r="DH468" i="10"/>
  <c r="DE469" i="10"/>
  <c r="DF469" i="10"/>
  <c r="DG469" i="10"/>
  <c r="DH469" i="10"/>
  <c r="DE470" i="10"/>
  <c r="DF470" i="10"/>
  <c r="DG470" i="10"/>
  <c r="DH470" i="10"/>
  <c r="DE471" i="10"/>
  <c r="DF471" i="10"/>
  <c r="DG471" i="10"/>
  <c r="DH471" i="10"/>
  <c r="DE472" i="10"/>
  <c r="DF472" i="10"/>
  <c r="DG472" i="10"/>
  <c r="DH472" i="10"/>
  <c r="DE473" i="10"/>
  <c r="DF473" i="10"/>
  <c r="DG473" i="10"/>
  <c r="DH473" i="10"/>
  <c r="DE474" i="10"/>
  <c r="DF474" i="10"/>
  <c r="DG474" i="10"/>
  <c r="DH474" i="10"/>
  <c r="DE475" i="10"/>
  <c r="DF475" i="10"/>
  <c r="DG475" i="10"/>
  <c r="DH475" i="10"/>
  <c r="DE476" i="10"/>
  <c r="DF476" i="10"/>
  <c r="DG476" i="10"/>
  <c r="DH476" i="10"/>
  <c r="DE477" i="10"/>
  <c r="DF477" i="10"/>
  <c r="DG477" i="10"/>
  <c r="DH477" i="10"/>
  <c r="DE478" i="10"/>
  <c r="DF478" i="10"/>
  <c r="DG478" i="10"/>
  <c r="DH478" i="10"/>
  <c r="DE479" i="10"/>
  <c r="DF479" i="10"/>
  <c r="DG479" i="10"/>
  <c r="DH479" i="10"/>
  <c r="DE480" i="10"/>
  <c r="DF480" i="10"/>
  <c r="DG480" i="10"/>
  <c r="DH480" i="10"/>
  <c r="DE481" i="10"/>
  <c r="DF481" i="10"/>
  <c r="DG481" i="10"/>
  <c r="DH481" i="10"/>
  <c r="DE482" i="10"/>
  <c r="DF482" i="10"/>
  <c r="DG482" i="10"/>
  <c r="DH482" i="10"/>
  <c r="DE483" i="10"/>
  <c r="DF483" i="10"/>
  <c r="DG483" i="10"/>
  <c r="DH483" i="10"/>
  <c r="DE484" i="10"/>
  <c r="DF484" i="10"/>
  <c r="DG484" i="10"/>
  <c r="DH484" i="10"/>
  <c r="DE485" i="10"/>
  <c r="DF485" i="10"/>
  <c r="DG485" i="10"/>
  <c r="DH485" i="10"/>
  <c r="DE486" i="10"/>
  <c r="DF486" i="10"/>
  <c r="DG486" i="10"/>
  <c r="DH486" i="10"/>
  <c r="DE487" i="10"/>
  <c r="DF487" i="10"/>
  <c r="DG487" i="10"/>
  <c r="DH487" i="10"/>
  <c r="DE488" i="10"/>
  <c r="DF488" i="10"/>
  <c r="DG488" i="10"/>
  <c r="DH488" i="10"/>
  <c r="DE489" i="10"/>
  <c r="DF489" i="10"/>
  <c r="DG489" i="10"/>
  <c r="DH489" i="10"/>
  <c r="DE490" i="10"/>
  <c r="DF490" i="10"/>
  <c r="DG490" i="10"/>
  <c r="DH490" i="10"/>
  <c r="DE491" i="10"/>
  <c r="DF491" i="10"/>
  <c r="DG491" i="10"/>
  <c r="DH491" i="10"/>
  <c r="DE492" i="10"/>
  <c r="DF492" i="10"/>
  <c r="DG492" i="10"/>
  <c r="DH492" i="10"/>
  <c r="DE493" i="10"/>
  <c r="DF493" i="10"/>
  <c r="DG493" i="10"/>
  <c r="DH493" i="10"/>
  <c r="DE494" i="10"/>
  <c r="DF494" i="10"/>
  <c r="DG494" i="10"/>
  <c r="DH494" i="10"/>
  <c r="DE495" i="10"/>
  <c r="DF495" i="10"/>
  <c r="DG495" i="10"/>
  <c r="DH495" i="10"/>
  <c r="DE496" i="10"/>
  <c r="DF496" i="10"/>
  <c r="DG496" i="10"/>
  <c r="DH496" i="10"/>
  <c r="DE497" i="10"/>
  <c r="DF497" i="10"/>
  <c r="DG497" i="10"/>
  <c r="DH497" i="10"/>
  <c r="DE498" i="10"/>
  <c r="DF498" i="10"/>
  <c r="DG498" i="10"/>
  <c r="DH498" i="10"/>
  <c r="DE499" i="10"/>
  <c r="DF499" i="10"/>
  <c r="DG499" i="10"/>
  <c r="DH499" i="10"/>
  <c r="DE500" i="10"/>
  <c r="DF500" i="10"/>
  <c r="DG500" i="10"/>
  <c r="DH500" i="10"/>
  <c r="DE501" i="10"/>
  <c r="DF501" i="10"/>
  <c r="DG501" i="10"/>
  <c r="DH501" i="10"/>
  <c r="DE502" i="10"/>
  <c r="DF502" i="10"/>
  <c r="DG502" i="10"/>
  <c r="DH502" i="10"/>
  <c r="DE503" i="10"/>
  <c r="DF503" i="10"/>
  <c r="DG503" i="10"/>
  <c r="DH503" i="10"/>
  <c r="DE504" i="10"/>
  <c r="DF504" i="10"/>
  <c r="DG504" i="10"/>
  <c r="DH504" i="10"/>
  <c r="DE505" i="10"/>
  <c r="DF505" i="10"/>
  <c r="DG505" i="10"/>
  <c r="DH505" i="10"/>
  <c r="DE506" i="10"/>
  <c r="DF506" i="10"/>
  <c r="DG506" i="10"/>
  <c r="DH506" i="10"/>
  <c r="DE507" i="10"/>
  <c r="DF507" i="10"/>
  <c r="DG507" i="10"/>
  <c r="DH507" i="10"/>
  <c r="DE508" i="10"/>
  <c r="DF508" i="10"/>
  <c r="DG508" i="10"/>
  <c r="DH508" i="10"/>
  <c r="DE509" i="10"/>
  <c r="DF509" i="10"/>
  <c r="DG509" i="10"/>
  <c r="DH509" i="10"/>
  <c r="DE510" i="10"/>
  <c r="DF510" i="10"/>
  <c r="DG510" i="10"/>
  <c r="DH510" i="10"/>
  <c r="DE511" i="10"/>
  <c r="DF511" i="10"/>
  <c r="DG511" i="10"/>
  <c r="DH511" i="10"/>
  <c r="DE512" i="10"/>
  <c r="DF512" i="10"/>
  <c r="DG512" i="10"/>
  <c r="DH512" i="10"/>
  <c r="DE513" i="10"/>
  <c r="DF513" i="10"/>
  <c r="DG513" i="10"/>
  <c r="DH513" i="10"/>
  <c r="DE514" i="10"/>
  <c r="DF514" i="10"/>
  <c r="DG514" i="10"/>
  <c r="DH514" i="10"/>
  <c r="DE515" i="10"/>
  <c r="DF515" i="10"/>
  <c r="DG515" i="10"/>
  <c r="DH515" i="10"/>
  <c r="DE516" i="10"/>
  <c r="DF516" i="10"/>
  <c r="DG516" i="10"/>
  <c r="DH516" i="10"/>
  <c r="DE517" i="10"/>
  <c r="DF517" i="10"/>
  <c r="DG517" i="10"/>
  <c r="DH517" i="10"/>
  <c r="DE518" i="10"/>
  <c r="DF518" i="10"/>
  <c r="DG518" i="10"/>
  <c r="DH518" i="10"/>
  <c r="DE519" i="10"/>
  <c r="DF519" i="10"/>
  <c r="DG519" i="10"/>
  <c r="DH519" i="10"/>
  <c r="DE520" i="10"/>
  <c r="DF520" i="10"/>
  <c r="DG520" i="10"/>
  <c r="DH520" i="10"/>
  <c r="DE521" i="10"/>
  <c r="DF521" i="10"/>
  <c r="DG521" i="10"/>
  <c r="DH521" i="10"/>
  <c r="DE522" i="10"/>
  <c r="DF522" i="10"/>
  <c r="DG522" i="10"/>
  <c r="DH522" i="10"/>
  <c r="DE523" i="10"/>
  <c r="DF523" i="10"/>
  <c r="DG523" i="10"/>
  <c r="DH523" i="10"/>
  <c r="DE524" i="10"/>
  <c r="DF524" i="10"/>
  <c r="DG524" i="10"/>
  <c r="DH524" i="10"/>
  <c r="DE525" i="10"/>
  <c r="DF525" i="10"/>
  <c r="DG525" i="10"/>
  <c r="DH525" i="10"/>
  <c r="DE526" i="10"/>
  <c r="DF526" i="10"/>
  <c r="DG526" i="10"/>
  <c r="DH526" i="10"/>
  <c r="DE527" i="10"/>
  <c r="DF527" i="10"/>
  <c r="DG527" i="10"/>
  <c r="DH527" i="10"/>
  <c r="DE528" i="10"/>
  <c r="DF528" i="10"/>
  <c r="DG528" i="10"/>
  <c r="DH528" i="10"/>
  <c r="DE529" i="10"/>
  <c r="DF529" i="10"/>
  <c r="DG529" i="10"/>
  <c r="DH529" i="10"/>
  <c r="DE530" i="10"/>
  <c r="DF530" i="10"/>
  <c r="DG530" i="10"/>
  <c r="DH530" i="10"/>
  <c r="DE531" i="10"/>
  <c r="DF531" i="10"/>
  <c r="DG531" i="10"/>
  <c r="DH531" i="10"/>
  <c r="DE532" i="10"/>
  <c r="DF532" i="10"/>
  <c r="DG532" i="10"/>
  <c r="DH532" i="10"/>
  <c r="DE533" i="10"/>
  <c r="DF533" i="10"/>
  <c r="DG533" i="10"/>
  <c r="DH533" i="10"/>
  <c r="DE534" i="10"/>
  <c r="DF534" i="10"/>
  <c r="DG534" i="10"/>
  <c r="DH534" i="10"/>
  <c r="DE535" i="10"/>
  <c r="DF535" i="10"/>
  <c r="DG535" i="10"/>
  <c r="DH535" i="10"/>
  <c r="DE536" i="10"/>
  <c r="DF536" i="10"/>
  <c r="DG536" i="10"/>
  <c r="DH536" i="10"/>
  <c r="DE537" i="10"/>
  <c r="DF537" i="10"/>
  <c r="DG537" i="10"/>
  <c r="DH537" i="10"/>
  <c r="DE538" i="10"/>
  <c r="DF538" i="10"/>
  <c r="DG538" i="10"/>
  <c r="DH538" i="10"/>
  <c r="DE539" i="10"/>
  <c r="DF539" i="10"/>
  <c r="DG539" i="10"/>
  <c r="DH539" i="10"/>
  <c r="DE540" i="10"/>
  <c r="DF540" i="10"/>
  <c r="DG540" i="10"/>
  <c r="DH540" i="10"/>
  <c r="DE541" i="10"/>
  <c r="DF541" i="10"/>
  <c r="DG541" i="10"/>
  <c r="DH541" i="10"/>
  <c r="DE542" i="10"/>
  <c r="DF542" i="10"/>
  <c r="DG542" i="10"/>
  <c r="DH542" i="10"/>
  <c r="DE543" i="10"/>
  <c r="DF543" i="10"/>
  <c r="DG543" i="10"/>
  <c r="DH543" i="10"/>
  <c r="DE544" i="10"/>
  <c r="DF544" i="10"/>
  <c r="DG544" i="10"/>
  <c r="DH544" i="10"/>
  <c r="DE545" i="10"/>
  <c r="DF545" i="10"/>
  <c r="DG545" i="10"/>
  <c r="DH545" i="10"/>
  <c r="DE546" i="10"/>
  <c r="DF546" i="10"/>
  <c r="DG546" i="10"/>
  <c r="DH546" i="10"/>
  <c r="DE547" i="10"/>
  <c r="DF547" i="10"/>
  <c r="DG547" i="10"/>
  <c r="DH547" i="10"/>
  <c r="DE548" i="10"/>
  <c r="DF548" i="10"/>
  <c r="DG548" i="10"/>
  <c r="DH548" i="10"/>
  <c r="DE549" i="10"/>
  <c r="DF549" i="10"/>
  <c r="DG549" i="10"/>
  <c r="DH549" i="10"/>
  <c r="DE550" i="10"/>
  <c r="DF550" i="10"/>
  <c r="DG550" i="10"/>
  <c r="DH550" i="10"/>
  <c r="DE551" i="10"/>
  <c r="DF551" i="10"/>
  <c r="DG551" i="10"/>
  <c r="DH551" i="10"/>
  <c r="DE552" i="10"/>
  <c r="DF552" i="10"/>
  <c r="DG552" i="10"/>
  <c r="DH552" i="10"/>
  <c r="DE553" i="10"/>
  <c r="DF553" i="10"/>
  <c r="DG553" i="10"/>
  <c r="DH553" i="10"/>
  <c r="DE554" i="10"/>
  <c r="DF554" i="10"/>
  <c r="DG554" i="10"/>
  <c r="DH554" i="10"/>
  <c r="DE555" i="10"/>
  <c r="DF555" i="10"/>
  <c r="DG555" i="10"/>
  <c r="DH555" i="10"/>
  <c r="DE556" i="10"/>
  <c r="DF556" i="10"/>
  <c r="DG556" i="10"/>
  <c r="DH556" i="10"/>
  <c r="DE557" i="10"/>
  <c r="DF557" i="10"/>
  <c r="DG557" i="10"/>
  <c r="DH557" i="10"/>
  <c r="DE558" i="10"/>
  <c r="DF558" i="10"/>
  <c r="DG558" i="10"/>
  <c r="DH558" i="10"/>
  <c r="DE559" i="10"/>
  <c r="DF559" i="10"/>
  <c r="DG559" i="10"/>
  <c r="DH559" i="10"/>
  <c r="DE560" i="10"/>
  <c r="DF560" i="10"/>
  <c r="DG560" i="10"/>
  <c r="DH560" i="10"/>
  <c r="DE561" i="10"/>
  <c r="DF561" i="10"/>
  <c r="DG561" i="10"/>
  <c r="DH561" i="10"/>
  <c r="DE562" i="10"/>
  <c r="DF562" i="10"/>
  <c r="DG562" i="10"/>
  <c r="DH562" i="10"/>
  <c r="DE563" i="10"/>
  <c r="DF563" i="10"/>
  <c r="DG563" i="10"/>
  <c r="DH563" i="10"/>
  <c r="DE564" i="10"/>
  <c r="DF564" i="10"/>
  <c r="DG564" i="10"/>
  <c r="DH564" i="10"/>
  <c r="DE565" i="10"/>
  <c r="DF565" i="10"/>
  <c r="DG565" i="10"/>
  <c r="DH565" i="10"/>
  <c r="DE566" i="10"/>
  <c r="DF566" i="10"/>
  <c r="DG566" i="10"/>
  <c r="DH566" i="10"/>
  <c r="DE567" i="10"/>
  <c r="DF567" i="10"/>
  <c r="DG567" i="10"/>
  <c r="DH567" i="10"/>
  <c r="DE568" i="10"/>
  <c r="DF568" i="10"/>
  <c r="DG568" i="10"/>
  <c r="DH568" i="10"/>
  <c r="DE569" i="10"/>
  <c r="DF569" i="10"/>
  <c r="DG569" i="10"/>
  <c r="DH569" i="10"/>
  <c r="DE570" i="10"/>
  <c r="DF570" i="10"/>
  <c r="DG570" i="10"/>
  <c r="DH570" i="10"/>
  <c r="DE571" i="10"/>
  <c r="DF571" i="10"/>
  <c r="DG571" i="10"/>
  <c r="DH571" i="10"/>
  <c r="DE572" i="10"/>
  <c r="DF572" i="10"/>
  <c r="DG572" i="10"/>
  <c r="DH572" i="10"/>
  <c r="DE573" i="10"/>
  <c r="DF573" i="10"/>
  <c r="DG573" i="10"/>
  <c r="DH573" i="10"/>
  <c r="DE574" i="10"/>
  <c r="DF574" i="10"/>
  <c r="DG574" i="10"/>
  <c r="DH574" i="10"/>
  <c r="DE575" i="10"/>
  <c r="DF575" i="10"/>
  <c r="DG575" i="10"/>
  <c r="DH575" i="10"/>
  <c r="DE576" i="10"/>
  <c r="DF576" i="10"/>
  <c r="DG576" i="10"/>
  <c r="DH576" i="10"/>
  <c r="DE577" i="10"/>
  <c r="DF577" i="10"/>
  <c r="DG577" i="10"/>
  <c r="DH577" i="10"/>
  <c r="DE578" i="10"/>
  <c r="DF578" i="10"/>
  <c r="DG578" i="10"/>
  <c r="DH578" i="10"/>
  <c r="DE579" i="10"/>
  <c r="DF579" i="10"/>
  <c r="DG579" i="10"/>
  <c r="DH579" i="10"/>
  <c r="DE580" i="10"/>
  <c r="DF580" i="10"/>
  <c r="DG580" i="10"/>
  <c r="DH580" i="10"/>
  <c r="DE581" i="10"/>
  <c r="DF581" i="10"/>
  <c r="DG581" i="10"/>
  <c r="DH581" i="10"/>
  <c r="DE582" i="10"/>
  <c r="DF582" i="10"/>
  <c r="DG582" i="10"/>
  <c r="DH582" i="10"/>
  <c r="DE583" i="10"/>
  <c r="DF583" i="10"/>
  <c r="DG583" i="10"/>
  <c r="DH583" i="10"/>
  <c r="DE584" i="10"/>
  <c r="DF584" i="10"/>
  <c r="DG584" i="10"/>
  <c r="DH584" i="10"/>
  <c r="DE585" i="10"/>
  <c r="DF585" i="10"/>
  <c r="DG585" i="10"/>
  <c r="DH585" i="10"/>
  <c r="DE586" i="10"/>
  <c r="DF586" i="10"/>
  <c r="DG586" i="10"/>
  <c r="DH586" i="10"/>
  <c r="DE587" i="10"/>
  <c r="DF587" i="10"/>
  <c r="DG587" i="10"/>
  <c r="DH587" i="10"/>
  <c r="DE588" i="10"/>
  <c r="DF588" i="10"/>
  <c r="DG588" i="10"/>
  <c r="DH588" i="10"/>
  <c r="DE589" i="10"/>
  <c r="DF589" i="10"/>
  <c r="DG589" i="10"/>
  <c r="DH589" i="10"/>
  <c r="DE590" i="10"/>
  <c r="DF590" i="10"/>
  <c r="DG590" i="10"/>
  <c r="DH590" i="10"/>
  <c r="DE591" i="10"/>
  <c r="DF591" i="10"/>
  <c r="DG591" i="10"/>
  <c r="DH591" i="10"/>
  <c r="DE592" i="10"/>
  <c r="DF592" i="10"/>
  <c r="DG592" i="10"/>
  <c r="DH592" i="10"/>
  <c r="DE593" i="10"/>
  <c r="DF593" i="10"/>
  <c r="DG593" i="10"/>
  <c r="DH593" i="10"/>
  <c r="DE594" i="10"/>
  <c r="DF594" i="10"/>
  <c r="DG594" i="10"/>
  <c r="DH594" i="10"/>
  <c r="DE595" i="10"/>
  <c r="DF595" i="10"/>
  <c r="DG595" i="10"/>
  <c r="DH595" i="10"/>
  <c r="DE596" i="10"/>
  <c r="DF596" i="10"/>
  <c r="DG596" i="10"/>
  <c r="DH596" i="10"/>
  <c r="DE597" i="10"/>
  <c r="DF597" i="10"/>
  <c r="DG597" i="10"/>
  <c r="DH597" i="10"/>
  <c r="DE598" i="10"/>
  <c r="DF598" i="10"/>
  <c r="DG598" i="10"/>
  <c r="DH598" i="10"/>
  <c r="DE599" i="10"/>
  <c r="DF599" i="10"/>
  <c r="DG599" i="10"/>
  <c r="DH599" i="10"/>
  <c r="DE600" i="10"/>
  <c r="DF600" i="10"/>
  <c r="DG600" i="10"/>
  <c r="DH600" i="10"/>
  <c r="DE601" i="10"/>
  <c r="DF601" i="10"/>
  <c r="DG601" i="10"/>
  <c r="DH601" i="10"/>
  <c r="DE602" i="10"/>
  <c r="DF602" i="10"/>
  <c r="DG602" i="10"/>
  <c r="DH602" i="10"/>
  <c r="DE603" i="10"/>
  <c r="DF603" i="10"/>
  <c r="DG603" i="10"/>
  <c r="DH603" i="10"/>
  <c r="DE604" i="10"/>
  <c r="DF604" i="10"/>
  <c r="DG604" i="10"/>
  <c r="DH604" i="10"/>
  <c r="DE605" i="10"/>
  <c r="DF605" i="10"/>
  <c r="DG605" i="10"/>
  <c r="DH605" i="10"/>
  <c r="DE606" i="10"/>
  <c r="DF606" i="10"/>
  <c r="DG606" i="10"/>
  <c r="DH606" i="10"/>
  <c r="DE607" i="10"/>
  <c r="DF607" i="10"/>
  <c r="DG607" i="10"/>
  <c r="DH607" i="10"/>
  <c r="DE608" i="10"/>
  <c r="DF608" i="10"/>
  <c r="DG608" i="10"/>
  <c r="DH608" i="10"/>
  <c r="DE609" i="10"/>
  <c r="DF609" i="10"/>
  <c r="DG609" i="10"/>
  <c r="DH609" i="10"/>
  <c r="DE610" i="10"/>
  <c r="DF610" i="10"/>
  <c r="DG610" i="10"/>
  <c r="DH610" i="10"/>
  <c r="DE611" i="10"/>
  <c r="DF611" i="10"/>
  <c r="DG611" i="10"/>
  <c r="DH611" i="10"/>
  <c r="DE612" i="10"/>
  <c r="DF612" i="10"/>
  <c r="DG612" i="10"/>
  <c r="DH612" i="10"/>
  <c r="DE613" i="10"/>
  <c r="DF613" i="10"/>
  <c r="DG613" i="10"/>
  <c r="DH613" i="10"/>
  <c r="DE614" i="10"/>
  <c r="DF614" i="10"/>
  <c r="DG614" i="10"/>
  <c r="DH614" i="10"/>
  <c r="DE615" i="10"/>
  <c r="DF615" i="10"/>
  <c r="DG615" i="10"/>
  <c r="DH615" i="10"/>
  <c r="DE616" i="10"/>
  <c r="DF616" i="10"/>
  <c r="DG616" i="10"/>
  <c r="DH616" i="10"/>
  <c r="DE617" i="10"/>
  <c r="DF617" i="10"/>
  <c r="DG617" i="10"/>
  <c r="DH617" i="10"/>
  <c r="DE618" i="10"/>
  <c r="DF618" i="10"/>
  <c r="DG618" i="10"/>
  <c r="DH618" i="10"/>
  <c r="DE619" i="10"/>
  <c r="DF619" i="10"/>
  <c r="DG619" i="10"/>
  <c r="DH619" i="10"/>
  <c r="DE620" i="10"/>
  <c r="DF620" i="10"/>
  <c r="DG620" i="10"/>
  <c r="DH620" i="10"/>
  <c r="DE621" i="10"/>
  <c r="DF621" i="10"/>
  <c r="DG621" i="10"/>
  <c r="DH621" i="10"/>
  <c r="DE622" i="10"/>
  <c r="DF622" i="10"/>
  <c r="DG622" i="10"/>
  <c r="DH622" i="10"/>
  <c r="DE623" i="10"/>
  <c r="DF623" i="10"/>
  <c r="DG623" i="10"/>
  <c r="DH623" i="10"/>
  <c r="DE624" i="10"/>
  <c r="DF624" i="10"/>
  <c r="DG624" i="10"/>
  <c r="DH624" i="10"/>
  <c r="DE625" i="10"/>
  <c r="DF625" i="10"/>
  <c r="DG625" i="10"/>
  <c r="DH625" i="10"/>
  <c r="DE626" i="10"/>
  <c r="DF626" i="10"/>
  <c r="DG626" i="10"/>
  <c r="DH626" i="10"/>
  <c r="DE627" i="10"/>
  <c r="DF627" i="10"/>
  <c r="DG627" i="10"/>
  <c r="DH627" i="10"/>
  <c r="DE628" i="10"/>
  <c r="DF628" i="10"/>
  <c r="DG628" i="10"/>
  <c r="DH628" i="10"/>
  <c r="DE629" i="10"/>
  <c r="DF629" i="10"/>
  <c r="DG629" i="10"/>
  <c r="DH629" i="10"/>
  <c r="DE630" i="10"/>
  <c r="DF630" i="10"/>
  <c r="DG630" i="10"/>
  <c r="DH630" i="10"/>
  <c r="DE631" i="10"/>
  <c r="DF631" i="10"/>
  <c r="DG631" i="10"/>
  <c r="DH631" i="10"/>
  <c r="DE632" i="10"/>
  <c r="DF632" i="10"/>
  <c r="DG632" i="10"/>
  <c r="DH632" i="10"/>
  <c r="DE633" i="10"/>
  <c r="DF633" i="10"/>
  <c r="DG633" i="10"/>
  <c r="DH633" i="10"/>
  <c r="DE634" i="10"/>
  <c r="DF634" i="10"/>
  <c r="DG634" i="10"/>
  <c r="DH634" i="10"/>
  <c r="DE635" i="10"/>
  <c r="DF635" i="10"/>
  <c r="DG635" i="10"/>
  <c r="DH635" i="10"/>
  <c r="DE636" i="10"/>
  <c r="DF636" i="10"/>
  <c r="DG636" i="10"/>
  <c r="DH636" i="10"/>
  <c r="DE637" i="10"/>
  <c r="DF637" i="10"/>
  <c r="DG637" i="10"/>
  <c r="DH637" i="10"/>
  <c r="DE638" i="10"/>
  <c r="DF638" i="10"/>
  <c r="DG638" i="10"/>
  <c r="DH638" i="10"/>
  <c r="DE639" i="10"/>
  <c r="DF639" i="10"/>
  <c r="DG639" i="10"/>
  <c r="DH639" i="10"/>
  <c r="DE640" i="10"/>
  <c r="DF640" i="10"/>
  <c r="DG640" i="10"/>
  <c r="DH640" i="10"/>
  <c r="DE641" i="10"/>
  <c r="DF641" i="10"/>
  <c r="DG641" i="10"/>
  <c r="DH641" i="10"/>
  <c r="DE642" i="10"/>
  <c r="DF642" i="10"/>
  <c r="DG642" i="10"/>
  <c r="DH642" i="10"/>
  <c r="DE643" i="10"/>
  <c r="DF643" i="10"/>
  <c r="DG643" i="10"/>
  <c r="DH643" i="10"/>
  <c r="DE644" i="10"/>
  <c r="DF644" i="10"/>
  <c r="DG644" i="10"/>
  <c r="DH644" i="10"/>
  <c r="DE645" i="10"/>
  <c r="DF645" i="10"/>
  <c r="DG645" i="10"/>
  <c r="DH645" i="10"/>
  <c r="DE646" i="10"/>
  <c r="DF646" i="10"/>
  <c r="DG646" i="10"/>
  <c r="DH646" i="10"/>
  <c r="DE647" i="10"/>
  <c r="DF647" i="10"/>
  <c r="DG647" i="10"/>
  <c r="DH647" i="10"/>
  <c r="DE648" i="10"/>
  <c r="DF648" i="10"/>
  <c r="DG648" i="10"/>
  <c r="DH648" i="10"/>
  <c r="DE649" i="10"/>
  <c r="DF649" i="10"/>
  <c r="DG649" i="10"/>
  <c r="DH649" i="10"/>
  <c r="DE650" i="10"/>
  <c r="DF650" i="10"/>
  <c r="DG650" i="10"/>
  <c r="DH650" i="10"/>
  <c r="DE651" i="10"/>
  <c r="DF651" i="10"/>
  <c r="DG651" i="10"/>
  <c r="DH651" i="10"/>
  <c r="DE652" i="10"/>
  <c r="DF652" i="10"/>
  <c r="DG652" i="10"/>
  <c r="DH652" i="10"/>
  <c r="DE653" i="10"/>
  <c r="DF653" i="10"/>
  <c r="DG653" i="10"/>
  <c r="DH653" i="10"/>
  <c r="DE654" i="10"/>
  <c r="DF654" i="10"/>
  <c r="DG654" i="10"/>
  <c r="DH654" i="10"/>
  <c r="DE655" i="10"/>
  <c r="DF655" i="10"/>
  <c r="DG655" i="10"/>
  <c r="DH655" i="10"/>
  <c r="DE656" i="10"/>
  <c r="DF656" i="10"/>
  <c r="DG656" i="10"/>
  <c r="DH656" i="10"/>
  <c r="DE657" i="10"/>
  <c r="DF657" i="10"/>
  <c r="DG657" i="10"/>
  <c r="DH657" i="10"/>
  <c r="DE658" i="10"/>
  <c r="DF658" i="10"/>
  <c r="DG658" i="10"/>
  <c r="DH658" i="10"/>
  <c r="DE659" i="10"/>
  <c r="DF659" i="10"/>
  <c r="DG659" i="10"/>
  <c r="DH659" i="10"/>
  <c r="DE660" i="10"/>
  <c r="DF660" i="10"/>
  <c r="DG660" i="10"/>
  <c r="DH660" i="10"/>
  <c r="DE661" i="10"/>
  <c r="DF661" i="10"/>
  <c r="DG661" i="10"/>
  <c r="DH661" i="10"/>
  <c r="DE662" i="10"/>
  <c r="DF662" i="10"/>
  <c r="DG662" i="10"/>
  <c r="DH662" i="10"/>
  <c r="DE663" i="10"/>
  <c r="DF663" i="10"/>
  <c r="DG663" i="10"/>
  <c r="DH663" i="10"/>
  <c r="DE664" i="10"/>
  <c r="DF664" i="10"/>
  <c r="DG664" i="10"/>
  <c r="DH664" i="10"/>
  <c r="DE665" i="10"/>
  <c r="DF665" i="10"/>
  <c r="DG665" i="10"/>
  <c r="DH665" i="10"/>
  <c r="DE666" i="10"/>
  <c r="DF666" i="10"/>
  <c r="DG666" i="10"/>
  <c r="DH666" i="10"/>
  <c r="DE667" i="10"/>
  <c r="DF667" i="10"/>
  <c r="DG667" i="10"/>
  <c r="DH667" i="10"/>
  <c r="DE668" i="10"/>
  <c r="DF668" i="10"/>
  <c r="DG668" i="10"/>
  <c r="DH668" i="10"/>
  <c r="DE669" i="10"/>
  <c r="DF669" i="10"/>
  <c r="DG669" i="10"/>
  <c r="DH669" i="10"/>
  <c r="DE670" i="10"/>
  <c r="DF670" i="10"/>
  <c r="DG670" i="10"/>
  <c r="DH670" i="10"/>
  <c r="DE671" i="10"/>
  <c r="DF671" i="10"/>
  <c r="DG671" i="10"/>
  <c r="DH671" i="10"/>
  <c r="DE672" i="10"/>
  <c r="DF672" i="10"/>
  <c r="DG672" i="10"/>
  <c r="DH672" i="10"/>
  <c r="DE673" i="10"/>
  <c r="DF673" i="10"/>
  <c r="DG673" i="10"/>
  <c r="DH673" i="10"/>
  <c r="DE674" i="10"/>
  <c r="DF674" i="10"/>
  <c r="DG674" i="10"/>
  <c r="DH674" i="10"/>
  <c r="DE675" i="10"/>
  <c r="DF675" i="10"/>
  <c r="DG675" i="10"/>
  <c r="DH675" i="10"/>
  <c r="DE676" i="10"/>
  <c r="DF676" i="10"/>
  <c r="DG676" i="10"/>
  <c r="DH676" i="10"/>
  <c r="DE677" i="10"/>
  <c r="DF677" i="10"/>
  <c r="DG677" i="10"/>
  <c r="DH677" i="10"/>
  <c r="DE678" i="10"/>
  <c r="DF678" i="10"/>
  <c r="DG678" i="10"/>
  <c r="DH678" i="10"/>
  <c r="DE679" i="10"/>
  <c r="DF679" i="10"/>
  <c r="DG679" i="10"/>
  <c r="DH679" i="10"/>
  <c r="DE680" i="10"/>
  <c r="DF680" i="10"/>
  <c r="DG680" i="10"/>
  <c r="DH680" i="10"/>
  <c r="DE681" i="10"/>
  <c r="DF681" i="10"/>
  <c r="DG681" i="10"/>
  <c r="DH681" i="10"/>
  <c r="DE682" i="10"/>
  <c r="DF682" i="10"/>
  <c r="DG682" i="10"/>
  <c r="DH682" i="10"/>
  <c r="DE683" i="10"/>
  <c r="DF683" i="10"/>
  <c r="DG683" i="10"/>
  <c r="DH683" i="10"/>
  <c r="DE684" i="10"/>
  <c r="DF684" i="10"/>
  <c r="DG684" i="10"/>
  <c r="DH684" i="10"/>
  <c r="DE685" i="10"/>
  <c r="DF685" i="10"/>
  <c r="DG685" i="10"/>
  <c r="DH685" i="10"/>
  <c r="DE686" i="10"/>
  <c r="DF686" i="10"/>
  <c r="DG686" i="10"/>
  <c r="DH686" i="10"/>
  <c r="DE687" i="10"/>
  <c r="DF687" i="10"/>
  <c r="DG687" i="10"/>
  <c r="DH687" i="10"/>
  <c r="DE688" i="10"/>
  <c r="DF688" i="10"/>
  <c r="DG688" i="10"/>
  <c r="DH688" i="10"/>
  <c r="DE689" i="10"/>
  <c r="DF689" i="10"/>
  <c r="DG689" i="10"/>
  <c r="DH689" i="10"/>
  <c r="DE690" i="10"/>
  <c r="DF690" i="10"/>
  <c r="DG690" i="10"/>
  <c r="DH690" i="10"/>
  <c r="DE691" i="10"/>
  <c r="DF691" i="10"/>
  <c r="DG691" i="10"/>
  <c r="DH691" i="10"/>
  <c r="DE692" i="10"/>
  <c r="DF692" i="10"/>
  <c r="DG692" i="10"/>
  <c r="DH692" i="10"/>
  <c r="DE693" i="10"/>
  <c r="DF693" i="10"/>
  <c r="DG693" i="10"/>
  <c r="DH693" i="10"/>
  <c r="DE694" i="10"/>
  <c r="DF694" i="10"/>
  <c r="DG694" i="10"/>
  <c r="DH694" i="10"/>
  <c r="DE695" i="10"/>
  <c r="DF695" i="10"/>
  <c r="DG695" i="10"/>
  <c r="DH695" i="10"/>
  <c r="DE696" i="10"/>
  <c r="DF696" i="10"/>
  <c r="DG696" i="10"/>
  <c r="DH696" i="10"/>
  <c r="DE697" i="10"/>
  <c r="DF697" i="10"/>
  <c r="DG697" i="10"/>
  <c r="DH697" i="10"/>
  <c r="DE698" i="10"/>
  <c r="DF698" i="10"/>
  <c r="DG698" i="10"/>
  <c r="DH698" i="10"/>
  <c r="DE699" i="10"/>
  <c r="DF699" i="10"/>
  <c r="DG699" i="10"/>
  <c r="DH699" i="10"/>
  <c r="DE700" i="10"/>
  <c r="DF700" i="10"/>
  <c r="DG700" i="10"/>
  <c r="DH700" i="10"/>
  <c r="DE701" i="10"/>
  <c r="DF701" i="10"/>
  <c r="DG701" i="10"/>
  <c r="DH701" i="10"/>
  <c r="DE702" i="10"/>
  <c r="DF702" i="10"/>
  <c r="DG702" i="10"/>
  <c r="DH702" i="10"/>
  <c r="DE703" i="10"/>
  <c r="DF703" i="10"/>
  <c r="DG703" i="10"/>
  <c r="DH703" i="10"/>
  <c r="DE704" i="10"/>
  <c r="DF704" i="10"/>
  <c r="DG704" i="10"/>
  <c r="DH704" i="10"/>
  <c r="DE705" i="10"/>
  <c r="DF705" i="10"/>
  <c r="DG705" i="10"/>
  <c r="DH705" i="10"/>
  <c r="DE706" i="10"/>
  <c r="DF706" i="10"/>
  <c r="DG706" i="10"/>
  <c r="DH706" i="10"/>
  <c r="DE707" i="10"/>
  <c r="DF707" i="10"/>
  <c r="DG707" i="10"/>
  <c r="DH707" i="10"/>
  <c r="DE708" i="10"/>
  <c r="DF708" i="10"/>
  <c r="DG708" i="10"/>
  <c r="DH708" i="10"/>
  <c r="DE709" i="10"/>
  <c r="DF709" i="10"/>
  <c r="DG709" i="10"/>
  <c r="DH709" i="10"/>
  <c r="DE710" i="10"/>
  <c r="DF710" i="10"/>
  <c r="DG710" i="10"/>
  <c r="DH710" i="10"/>
  <c r="DE711" i="10"/>
  <c r="DF711" i="10"/>
  <c r="DG711" i="10"/>
  <c r="DH711" i="10"/>
  <c r="DE712" i="10"/>
  <c r="DF712" i="10"/>
  <c r="DG712" i="10"/>
  <c r="DH712" i="10"/>
  <c r="DE713" i="10"/>
  <c r="DF713" i="10"/>
  <c r="DG713" i="10"/>
  <c r="DH713" i="10"/>
  <c r="DE714" i="10"/>
  <c r="DF714" i="10"/>
  <c r="DG714" i="10"/>
  <c r="DH714" i="10"/>
  <c r="DE715" i="10"/>
  <c r="DF715" i="10"/>
  <c r="DG715" i="10"/>
  <c r="DH715" i="10"/>
  <c r="DE716" i="10"/>
  <c r="DF716" i="10"/>
  <c r="DG716" i="10"/>
  <c r="DH716" i="10"/>
  <c r="DE717" i="10"/>
  <c r="DF717" i="10"/>
  <c r="DG717" i="10"/>
  <c r="DH717" i="10"/>
  <c r="DE718" i="10"/>
  <c r="DF718" i="10"/>
  <c r="DG718" i="10"/>
  <c r="DH718" i="10"/>
  <c r="DE719" i="10"/>
  <c r="DF719" i="10"/>
  <c r="DG719" i="10"/>
  <c r="DH719" i="10"/>
  <c r="DE720" i="10"/>
  <c r="DF720" i="10"/>
  <c r="DG720" i="10"/>
  <c r="DH720" i="10"/>
  <c r="DE721" i="10"/>
  <c r="DF721" i="10"/>
  <c r="DG721" i="10"/>
  <c r="DH721" i="10"/>
  <c r="DE722" i="10"/>
  <c r="DF722" i="10"/>
  <c r="DG722" i="10"/>
  <c r="DH722" i="10"/>
  <c r="DE723" i="10"/>
  <c r="DF723" i="10"/>
  <c r="DG723" i="10"/>
  <c r="DH723" i="10"/>
  <c r="DE724" i="10"/>
  <c r="DF724" i="10"/>
  <c r="DG724" i="10"/>
  <c r="DH724" i="10"/>
  <c r="DE725" i="10"/>
  <c r="DF725" i="10"/>
  <c r="DG725" i="10"/>
  <c r="DH725" i="10"/>
  <c r="DE726" i="10"/>
  <c r="DF726" i="10"/>
  <c r="DG726" i="10"/>
  <c r="DH726" i="10"/>
  <c r="DE727" i="10"/>
  <c r="DF727" i="10"/>
  <c r="DG727" i="10"/>
  <c r="DH727" i="10"/>
  <c r="DE728" i="10"/>
  <c r="DF728" i="10"/>
  <c r="DG728" i="10"/>
  <c r="DH728" i="10"/>
  <c r="DE729" i="10"/>
  <c r="DF729" i="10"/>
  <c r="DG729" i="10"/>
  <c r="DH729" i="10"/>
  <c r="DE730" i="10"/>
  <c r="DF730" i="10"/>
  <c r="DG730" i="10"/>
  <c r="DH730" i="10"/>
  <c r="DE731" i="10"/>
  <c r="DF731" i="10"/>
  <c r="DG731" i="10"/>
  <c r="DH731" i="10"/>
  <c r="DE732" i="10"/>
  <c r="DF732" i="10"/>
  <c r="DG732" i="10"/>
  <c r="DH732" i="10"/>
  <c r="DE733" i="10"/>
  <c r="DF733" i="10"/>
  <c r="DG733" i="10"/>
  <c r="DH733" i="10"/>
  <c r="DE734" i="10"/>
  <c r="DF734" i="10"/>
  <c r="DG734" i="10"/>
  <c r="DH734" i="10"/>
  <c r="DE735" i="10"/>
  <c r="DF735" i="10"/>
  <c r="DG735" i="10"/>
  <c r="DH735" i="10"/>
  <c r="DE736" i="10"/>
  <c r="DF736" i="10"/>
  <c r="DG736" i="10"/>
  <c r="DH736" i="10"/>
  <c r="DE737" i="10"/>
  <c r="DF737" i="10"/>
  <c r="DG737" i="10"/>
  <c r="DH737" i="10"/>
  <c r="DE738" i="10"/>
  <c r="DF738" i="10"/>
  <c r="DG738" i="10"/>
  <c r="DH738" i="10"/>
  <c r="DE739" i="10"/>
  <c r="DF739" i="10"/>
  <c r="DG739" i="10"/>
  <c r="DH739" i="10"/>
  <c r="DE740" i="10"/>
  <c r="DF740" i="10"/>
  <c r="DG740" i="10"/>
  <c r="DH740" i="10"/>
  <c r="DE741" i="10"/>
  <c r="DF741" i="10"/>
  <c r="DG741" i="10"/>
  <c r="DH741" i="10"/>
  <c r="DE742" i="10"/>
  <c r="DF742" i="10"/>
  <c r="DG742" i="10"/>
  <c r="DH742" i="10"/>
  <c r="DE743" i="10"/>
  <c r="DF743" i="10"/>
  <c r="DG743" i="10"/>
  <c r="DH743" i="10"/>
  <c r="DE744" i="10"/>
  <c r="DF744" i="10"/>
  <c r="DG744" i="10"/>
  <c r="DH744" i="10"/>
  <c r="DE745" i="10"/>
  <c r="DF745" i="10"/>
  <c r="DG745" i="10"/>
  <c r="DH745" i="10"/>
  <c r="DE746" i="10"/>
  <c r="DF746" i="10"/>
  <c r="DG746" i="10"/>
  <c r="DH746" i="10"/>
  <c r="DE747" i="10"/>
  <c r="DF747" i="10"/>
  <c r="DG747" i="10"/>
  <c r="DH747" i="10"/>
  <c r="DE748" i="10"/>
  <c r="DF748" i="10"/>
  <c r="DG748" i="10"/>
  <c r="DH748" i="10"/>
  <c r="DE749" i="10"/>
  <c r="DF749" i="10"/>
  <c r="DG749" i="10"/>
  <c r="DH749" i="10"/>
  <c r="DE750" i="10"/>
  <c r="DF750" i="10"/>
  <c r="DG750" i="10"/>
  <c r="DH750" i="10"/>
  <c r="DE751" i="10"/>
  <c r="DF751" i="10"/>
  <c r="DG751" i="10"/>
  <c r="DH751" i="10"/>
  <c r="DE752" i="10"/>
  <c r="DF752" i="10"/>
  <c r="DG752" i="10"/>
  <c r="DH752" i="10"/>
  <c r="DE753" i="10"/>
  <c r="DF753" i="10"/>
  <c r="DG753" i="10"/>
  <c r="DH753" i="10"/>
  <c r="DE754" i="10"/>
  <c r="DF754" i="10"/>
  <c r="DG754" i="10"/>
  <c r="DH754" i="10"/>
  <c r="DE755" i="10"/>
  <c r="DF755" i="10"/>
  <c r="DG755" i="10"/>
  <c r="DH755" i="10"/>
  <c r="DE756" i="10"/>
  <c r="DF756" i="10"/>
  <c r="DG756" i="10"/>
  <c r="DH756" i="10"/>
  <c r="DE757" i="10"/>
  <c r="DF757" i="10"/>
  <c r="DG757" i="10"/>
  <c r="DH757" i="10"/>
  <c r="DE758" i="10"/>
  <c r="DF758" i="10"/>
  <c r="DG758" i="10"/>
  <c r="DH758" i="10"/>
  <c r="DE759" i="10"/>
  <c r="DF759" i="10"/>
  <c r="DG759" i="10"/>
  <c r="DH759" i="10"/>
  <c r="DE760" i="10"/>
  <c r="DF760" i="10"/>
  <c r="DG760" i="10"/>
  <c r="DH760" i="10"/>
  <c r="DE761" i="10"/>
  <c r="DF761" i="10"/>
  <c r="DG761" i="10"/>
  <c r="DH761" i="10"/>
  <c r="DE762" i="10"/>
  <c r="DF762" i="10"/>
  <c r="DG762" i="10"/>
  <c r="DH762" i="10"/>
  <c r="DE763" i="10"/>
  <c r="DF763" i="10"/>
  <c r="DG763" i="10"/>
  <c r="DH763" i="10"/>
  <c r="DE764" i="10"/>
  <c r="DF764" i="10"/>
  <c r="DG764" i="10"/>
  <c r="DH764" i="10"/>
  <c r="DE765" i="10"/>
  <c r="DF765" i="10"/>
  <c r="DG765" i="10"/>
  <c r="DH765" i="10"/>
  <c r="DE766" i="10"/>
  <c r="DF766" i="10"/>
  <c r="DG766" i="10"/>
  <c r="DH766" i="10"/>
  <c r="DE767" i="10"/>
  <c r="DF767" i="10"/>
  <c r="DG767" i="10"/>
  <c r="DH767" i="10"/>
  <c r="DE768" i="10"/>
  <c r="DF768" i="10"/>
  <c r="DG768" i="10"/>
  <c r="DH768" i="10"/>
  <c r="DE769" i="10"/>
  <c r="DF769" i="10"/>
  <c r="DG769" i="10"/>
  <c r="DH769" i="10"/>
  <c r="DE770" i="10"/>
  <c r="DF770" i="10"/>
  <c r="DG770" i="10"/>
  <c r="DH770" i="10"/>
  <c r="DE771" i="10"/>
  <c r="DF771" i="10"/>
  <c r="DG771" i="10"/>
  <c r="DH771" i="10"/>
  <c r="DE772" i="10"/>
  <c r="DF772" i="10"/>
  <c r="DG772" i="10"/>
  <c r="DH772" i="10"/>
  <c r="DE773" i="10"/>
  <c r="DF773" i="10"/>
  <c r="DG773" i="10"/>
  <c r="DH773" i="10"/>
  <c r="DE774" i="10"/>
  <c r="DF774" i="10"/>
  <c r="DG774" i="10"/>
  <c r="DH774" i="10"/>
  <c r="DE775" i="10"/>
  <c r="DF775" i="10"/>
  <c r="DG775" i="10"/>
  <c r="DH775" i="10"/>
  <c r="DE776" i="10"/>
  <c r="DF776" i="10"/>
  <c r="DG776" i="10"/>
  <c r="DH776" i="10"/>
  <c r="DE777" i="10"/>
  <c r="DF777" i="10"/>
  <c r="DG777" i="10"/>
  <c r="DH777" i="10"/>
  <c r="DE778" i="10"/>
  <c r="DF778" i="10"/>
  <c r="DG778" i="10"/>
  <c r="DH778" i="10"/>
  <c r="DE779" i="10"/>
  <c r="DF779" i="10"/>
  <c r="DG779" i="10"/>
  <c r="DH779" i="10"/>
  <c r="DE780" i="10"/>
  <c r="DF780" i="10"/>
  <c r="DG780" i="10"/>
  <c r="DH780" i="10"/>
  <c r="DE781" i="10"/>
  <c r="DF781" i="10"/>
  <c r="DG781" i="10"/>
  <c r="DH781" i="10"/>
  <c r="DE782" i="10"/>
  <c r="DF782" i="10"/>
  <c r="DG782" i="10"/>
  <c r="DH782" i="10"/>
  <c r="DE783" i="10"/>
  <c r="DF783" i="10"/>
  <c r="DG783" i="10"/>
  <c r="DH783" i="10"/>
  <c r="DE784" i="10"/>
  <c r="DF784" i="10"/>
  <c r="DG784" i="10"/>
  <c r="DH784" i="10"/>
  <c r="DE785" i="10"/>
  <c r="DF785" i="10"/>
  <c r="DG785" i="10"/>
  <c r="DH785" i="10"/>
  <c r="DE786" i="10"/>
  <c r="DF786" i="10"/>
  <c r="DG786" i="10"/>
  <c r="DH786" i="10"/>
  <c r="DE787" i="10"/>
  <c r="DF787" i="10"/>
  <c r="DG787" i="10"/>
  <c r="DH787" i="10"/>
  <c r="DE788" i="10"/>
  <c r="DF788" i="10"/>
  <c r="DG788" i="10"/>
  <c r="DH788" i="10"/>
  <c r="DE789" i="10"/>
  <c r="DF789" i="10"/>
  <c r="DG789" i="10"/>
  <c r="DH789" i="10"/>
  <c r="DE790" i="10"/>
  <c r="DF790" i="10"/>
  <c r="DG790" i="10"/>
  <c r="DH790" i="10"/>
  <c r="DE791" i="10"/>
  <c r="DF791" i="10"/>
  <c r="DG791" i="10"/>
  <c r="DH791" i="10"/>
  <c r="DE792" i="10"/>
  <c r="DF792" i="10"/>
  <c r="DG792" i="10"/>
  <c r="DH792" i="10"/>
  <c r="DE793" i="10"/>
  <c r="DF793" i="10"/>
  <c r="DG793" i="10"/>
  <c r="DH793" i="10"/>
  <c r="DE794" i="10"/>
  <c r="DF794" i="10"/>
  <c r="DG794" i="10"/>
  <c r="DH794" i="10"/>
  <c r="DE795" i="10"/>
  <c r="DF795" i="10"/>
  <c r="DG795" i="10"/>
  <c r="DH795" i="10"/>
  <c r="DE796" i="10"/>
  <c r="DF796" i="10"/>
  <c r="DG796" i="10"/>
  <c r="DH796" i="10"/>
  <c r="DE797" i="10"/>
  <c r="DF797" i="10"/>
  <c r="DG797" i="10"/>
  <c r="DH797" i="10"/>
  <c r="DE798" i="10"/>
  <c r="DF798" i="10"/>
  <c r="DG798" i="10"/>
  <c r="DH798" i="10"/>
  <c r="DE799" i="10"/>
  <c r="DF799" i="10"/>
  <c r="DG799" i="10"/>
  <c r="DH799" i="10"/>
  <c r="DE800" i="10"/>
  <c r="DF800" i="10"/>
  <c r="DG800" i="10"/>
  <c r="DH800" i="10"/>
  <c r="DE801" i="10"/>
  <c r="DF801" i="10"/>
  <c r="DG801" i="10"/>
  <c r="DH801" i="10"/>
  <c r="DE802" i="10"/>
  <c r="DF802" i="10"/>
  <c r="DG802" i="10"/>
  <c r="DH802" i="10"/>
  <c r="DE803" i="10"/>
  <c r="DF803" i="10"/>
  <c r="DG803" i="10"/>
  <c r="DH803" i="10"/>
  <c r="DE804" i="10"/>
  <c r="DF804" i="10"/>
  <c r="DG804" i="10"/>
  <c r="DH804" i="10"/>
  <c r="DE805" i="10"/>
  <c r="DF805" i="10"/>
  <c r="DG805" i="10"/>
  <c r="DH805" i="10"/>
  <c r="DE806" i="10"/>
  <c r="DF806" i="10"/>
  <c r="DG806" i="10"/>
  <c r="DH806" i="10"/>
  <c r="DE807" i="10"/>
  <c r="DF807" i="10"/>
  <c r="DG807" i="10"/>
  <c r="DH807" i="10"/>
  <c r="DE808" i="10"/>
  <c r="DF808" i="10"/>
  <c r="DG808" i="10"/>
  <c r="DH808" i="10"/>
  <c r="DE809" i="10"/>
  <c r="DF809" i="10"/>
  <c r="DG809" i="10"/>
  <c r="DH809" i="10"/>
  <c r="DE810" i="10"/>
  <c r="DF810" i="10"/>
  <c r="DG810" i="10"/>
  <c r="DH810" i="10"/>
  <c r="DE811" i="10"/>
  <c r="DF811" i="10"/>
  <c r="DG811" i="10"/>
  <c r="DH811" i="10"/>
  <c r="DE812" i="10"/>
  <c r="DF812" i="10"/>
  <c r="DG812" i="10"/>
  <c r="DH812" i="10"/>
  <c r="DE813" i="10"/>
  <c r="DF813" i="10"/>
  <c r="DG813" i="10"/>
  <c r="DH813" i="10"/>
  <c r="DE814" i="10"/>
  <c r="DF814" i="10"/>
  <c r="DG814" i="10"/>
  <c r="DH814" i="10"/>
  <c r="DE815" i="10"/>
  <c r="DF815" i="10"/>
  <c r="DG815" i="10"/>
  <c r="DH815" i="10"/>
  <c r="DE816" i="10"/>
  <c r="DF816" i="10"/>
  <c r="DG816" i="10"/>
  <c r="DH816" i="10"/>
  <c r="DE817" i="10"/>
  <c r="DF817" i="10"/>
  <c r="DG817" i="10"/>
  <c r="DH817" i="10"/>
  <c r="DE818" i="10"/>
  <c r="DF818" i="10"/>
  <c r="DG818" i="10"/>
  <c r="DH818" i="10"/>
  <c r="DE819" i="10"/>
  <c r="DF819" i="10"/>
  <c r="DG819" i="10"/>
  <c r="DH819" i="10"/>
  <c r="DE820" i="10"/>
  <c r="DF820" i="10"/>
  <c r="DG820" i="10"/>
  <c r="DH820" i="10"/>
  <c r="DE821" i="10"/>
  <c r="DF821" i="10"/>
  <c r="DG821" i="10"/>
  <c r="DH821" i="10"/>
  <c r="DE822" i="10"/>
  <c r="DF822" i="10"/>
  <c r="DG822" i="10"/>
  <c r="DH822" i="10"/>
  <c r="DE823" i="10"/>
  <c r="DF823" i="10"/>
  <c r="DG823" i="10"/>
  <c r="DH823" i="10"/>
  <c r="DE824" i="10"/>
  <c r="DF824" i="10"/>
  <c r="DG824" i="10"/>
  <c r="DH824" i="10"/>
  <c r="DE825" i="10"/>
  <c r="DF825" i="10"/>
  <c r="DG825" i="10"/>
  <c r="DH825" i="10"/>
  <c r="DE826" i="10"/>
  <c r="DF826" i="10"/>
  <c r="DG826" i="10"/>
  <c r="DH826" i="10"/>
  <c r="DE827" i="10"/>
  <c r="DF827" i="10"/>
  <c r="DG827" i="10"/>
  <c r="DH827" i="10"/>
  <c r="DE828" i="10"/>
  <c r="DF828" i="10"/>
  <c r="DG828" i="10"/>
  <c r="DH828" i="10"/>
  <c r="DE829" i="10"/>
  <c r="DF829" i="10"/>
  <c r="DG829" i="10"/>
  <c r="DH829" i="10"/>
  <c r="DE830" i="10"/>
  <c r="DF830" i="10"/>
  <c r="DG830" i="10"/>
  <c r="DH830" i="10"/>
  <c r="DE831" i="10"/>
  <c r="DF831" i="10"/>
  <c r="DG831" i="10"/>
  <c r="DH831" i="10"/>
  <c r="DE832" i="10"/>
  <c r="DF832" i="10"/>
  <c r="DG832" i="10"/>
  <c r="DH832" i="10"/>
  <c r="DE833" i="10"/>
  <c r="DF833" i="10"/>
  <c r="DG833" i="10"/>
  <c r="DH833" i="10"/>
  <c r="DE834" i="10"/>
  <c r="DF834" i="10"/>
  <c r="DG834" i="10"/>
  <c r="DH834" i="10"/>
  <c r="DE835" i="10"/>
  <c r="DF835" i="10"/>
  <c r="DG835" i="10"/>
  <c r="DH835" i="10"/>
  <c r="DE836" i="10"/>
  <c r="DF836" i="10"/>
  <c r="DG836" i="10"/>
  <c r="DH836" i="10"/>
  <c r="DE837" i="10"/>
  <c r="DF837" i="10"/>
  <c r="DG837" i="10"/>
  <c r="DH837" i="10"/>
  <c r="DE838" i="10"/>
  <c r="DF838" i="10"/>
  <c r="DG838" i="10"/>
  <c r="DH838" i="10"/>
  <c r="DE839" i="10"/>
  <c r="DF839" i="10"/>
  <c r="DG839" i="10"/>
  <c r="DH839" i="10"/>
  <c r="DE840" i="10"/>
  <c r="DF840" i="10"/>
  <c r="DG840" i="10"/>
  <c r="DH840" i="10"/>
  <c r="DE841" i="10"/>
  <c r="DF841" i="10"/>
  <c r="DG841" i="10"/>
  <c r="DH841" i="10"/>
  <c r="DE842" i="10"/>
  <c r="DF842" i="10"/>
  <c r="DG842" i="10"/>
  <c r="DH842" i="10"/>
  <c r="DE843" i="10"/>
  <c r="DF843" i="10"/>
  <c r="DG843" i="10"/>
  <c r="DH843" i="10"/>
  <c r="DE844" i="10"/>
  <c r="DF844" i="10"/>
  <c r="DG844" i="10"/>
  <c r="DH844" i="10"/>
  <c r="DE845" i="10"/>
  <c r="DF845" i="10"/>
  <c r="DG845" i="10"/>
  <c r="DH845" i="10"/>
  <c r="DE846" i="10"/>
  <c r="DF846" i="10"/>
  <c r="DG846" i="10"/>
  <c r="DH846" i="10"/>
  <c r="DE847" i="10"/>
  <c r="DF847" i="10"/>
  <c r="DG847" i="10"/>
  <c r="DH847" i="10"/>
  <c r="DE848" i="10"/>
  <c r="DF848" i="10"/>
  <c r="DG848" i="10"/>
  <c r="DH848" i="10"/>
  <c r="DE849" i="10"/>
  <c r="DF849" i="10"/>
  <c r="DG849" i="10"/>
  <c r="DH849" i="10"/>
  <c r="DE850" i="10"/>
  <c r="DF850" i="10"/>
  <c r="DG850" i="10"/>
  <c r="DH850" i="10"/>
  <c r="DE851" i="10"/>
  <c r="DF851" i="10"/>
  <c r="DG851" i="10"/>
  <c r="DH851" i="10"/>
  <c r="DE852" i="10"/>
  <c r="DF852" i="10"/>
  <c r="DG852" i="10"/>
  <c r="DH852" i="10"/>
  <c r="DE853" i="10"/>
  <c r="DF853" i="10"/>
  <c r="DG853" i="10"/>
  <c r="DH853" i="10"/>
  <c r="DE854" i="10"/>
  <c r="DF854" i="10"/>
  <c r="DG854" i="10"/>
  <c r="DH854" i="10"/>
  <c r="DE855" i="10"/>
  <c r="DF855" i="10"/>
  <c r="DG855" i="10"/>
  <c r="DH855" i="10"/>
  <c r="DE856" i="10"/>
  <c r="DF856" i="10"/>
  <c r="DG856" i="10"/>
  <c r="DH856" i="10"/>
  <c r="DE857" i="10"/>
  <c r="DF857" i="10"/>
  <c r="DG857" i="10"/>
  <c r="DH857" i="10"/>
  <c r="DE858" i="10"/>
  <c r="DF858" i="10"/>
  <c r="DG858" i="10"/>
  <c r="DH858" i="10"/>
  <c r="DE859" i="10"/>
  <c r="DF859" i="10"/>
  <c r="DG859" i="10"/>
  <c r="DH859" i="10"/>
  <c r="DE860" i="10"/>
  <c r="DF860" i="10"/>
  <c r="DG860" i="10"/>
  <c r="DH860" i="10"/>
  <c r="DE861" i="10"/>
  <c r="DF861" i="10"/>
  <c r="DG861" i="10"/>
  <c r="DH861" i="10"/>
  <c r="DE862" i="10"/>
  <c r="DF862" i="10"/>
  <c r="DG862" i="10"/>
  <c r="DH862" i="10"/>
  <c r="DE863" i="10"/>
  <c r="DF863" i="10"/>
  <c r="DG863" i="10"/>
  <c r="DH863" i="10"/>
  <c r="DE864" i="10"/>
  <c r="DF864" i="10"/>
  <c r="DG864" i="10"/>
  <c r="DH864" i="10"/>
  <c r="DE865" i="10"/>
  <c r="DF865" i="10"/>
  <c r="DG865" i="10"/>
  <c r="DH865" i="10"/>
  <c r="DE866" i="10"/>
  <c r="DF866" i="10"/>
  <c r="DG866" i="10"/>
  <c r="DH866" i="10"/>
  <c r="DE867" i="10"/>
  <c r="DF867" i="10"/>
  <c r="DG867" i="10"/>
  <c r="DH867" i="10"/>
  <c r="DE868" i="10"/>
  <c r="DF868" i="10"/>
  <c r="DG868" i="10"/>
  <c r="DH868" i="10"/>
  <c r="DE869" i="10"/>
  <c r="DF869" i="10"/>
  <c r="DG869" i="10"/>
  <c r="DH869" i="10"/>
  <c r="DE870" i="10"/>
  <c r="DF870" i="10"/>
  <c r="DG870" i="10"/>
  <c r="DH870" i="10"/>
  <c r="DE871" i="10"/>
  <c r="DF871" i="10"/>
  <c r="DG871" i="10"/>
  <c r="DH871" i="10"/>
  <c r="DE872" i="10"/>
  <c r="DF872" i="10"/>
  <c r="DG872" i="10"/>
  <c r="DH872" i="10"/>
  <c r="DE873" i="10"/>
  <c r="DF873" i="10"/>
  <c r="DG873" i="10"/>
  <c r="DH873" i="10"/>
  <c r="DE874" i="10"/>
  <c r="DF874" i="10"/>
  <c r="DG874" i="10"/>
  <c r="DH874" i="10"/>
  <c r="DE875" i="10"/>
  <c r="DF875" i="10"/>
  <c r="DG875" i="10"/>
  <c r="DH875" i="10"/>
  <c r="DE876" i="10"/>
  <c r="DF876" i="10"/>
  <c r="DG876" i="10"/>
  <c r="DH876" i="10"/>
  <c r="DE877" i="10"/>
  <c r="DF877" i="10"/>
  <c r="DG877" i="10"/>
  <c r="DH877" i="10"/>
  <c r="DE878" i="10"/>
  <c r="DF878" i="10"/>
  <c r="DG878" i="10"/>
  <c r="DH878" i="10"/>
  <c r="DE879" i="10"/>
  <c r="DF879" i="10"/>
  <c r="DG879" i="10"/>
  <c r="DH879" i="10"/>
  <c r="DE880" i="10"/>
  <c r="DF880" i="10"/>
  <c r="DG880" i="10"/>
  <c r="DH880" i="10"/>
  <c r="DE881" i="10"/>
  <c r="DF881" i="10"/>
  <c r="DG881" i="10"/>
  <c r="DH881" i="10"/>
  <c r="DE882" i="10"/>
  <c r="DF882" i="10"/>
  <c r="DG882" i="10"/>
  <c r="DH882" i="10"/>
  <c r="DE883" i="10"/>
  <c r="DF883" i="10"/>
  <c r="DG883" i="10"/>
  <c r="DH883" i="10"/>
  <c r="DE884" i="10"/>
  <c r="DF884" i="10"/>
  <c r="DG884" i="10"/>
  <c r="DH884" i="10"/>
  <c r="DE885" i="10"/>
  <c r="DF885" i="10"/>
  <c r="DG885" i="10"/>
  <c r="DH885" i="10"/>
  <c r="DE886" i="10"/>
  <c r="DF886" i="10"/>
  <c r="DG886" i="10"/>
  <c r="DH886" i="10"/>
  <c r="DE887" i="10"/>
  <c r="DF887" i="10"/>
  <c r="DG887" i="10"/>
  <c r="DH887" i="10"/>
  <c r="DE888" i="10"/>
  <c r="DF888" i="10"/>
  <c r="DG888" i="10"/>
  <c r="DH888" i="10"/>
  <c r="DE889" i="10"/>
  <c r="DF889" i="10"/>
  <c r="DG889" i="10"/>
  <c r="DH889" i="10"/>
  <c r="DE890" i="10"/>
  <c r="DF890" i="10"/>
  <c r="DG890" i="10"/>
  <c r="DH890" i="10"/>
  <c r="DE891" i="10"/>
  <c r="DF891" i="10"/>
  <c r="DG891" i="10"/>
  <c r="DH891" i="10"/>
  <c r="DE892" i="10"/>
  <c r="DF892" i="10"/>
  <c r="DG892" i="10"/>
  <c r="DH892" i="10"/>
  <c r="DE893" i="10"/>
  <c r="DF893" i="10"/>
  <c r="DG893" i="10"/>
  <c r="DH893" i="10"/>
  <c r="DE894" i="10"/>
  <c r="DF894" i="10"/>
  <c r="DG894" i="10"/>
  <c r="DH894" i="10"/>
  <c r="DE895" i="10"/>
  <c r="DF895" i="10"/>
  <c r="DG895" i="10"/>
  <c r="DH895" i="10"/>
  <c r="DE896" i="10"/>
  <c r="DF896" i="10"/>
  <c r="DG896" i="10"/>
  <c r="DH896" i="10"/>
  <c r="DE897" i="10"/>
  <c r="DF897" i="10"/>
  <c r="DG897" i="10"/>
  <c r="DH897" i="10"/>
  <c r="DE898" i="10"/>
  <c r="DF898" i="10"/>
  <c r="DG898" i="10"/>
  <c r="DH898" i="10"/>
  <c r="DE899" i="10"/>
  <c r="DF899" i="10"/>
  <c r="DG899" i="10"/>
  <c r="DH899" i="10"/>
  <c r="DE900" i="10"/>
  <c r="DF900" i="10"/>
  <c r="DG900" i="10"/>
  <c r="DH900" i="10"/>
  <c r="DE901" i="10"/>
  <c r="DF901" i="10"/>
  <c r="DG901" i="10"/>
  <c r="DH901" i="10"/>
  <c r="DE902" i="10"/>
  <c r="DF902" i="10"/>
  <c r="DG902" i="10"/>
  <c r="DH902" i="10"/>
  <c r="DE903" i="10"/>
  <c r="DF903" i="10"/>
  <c r="DG903" i="10"/>
  <c r="DH903" i="10"/>
  <c r="DE904" i="10"/>
  <c r="DF904" i="10"/>
  <c r="DG904" i="10"/>
  <c r="DH904" i="10"/>
  <c r="DE905" i="10"/>
  <c r="DF905" i="10"/>
  <c r="DG905" i="10"/>
  <c r="DH905" i="10"/>
  <c r="DE906" i="10"/>
  <c r="DF906" i="10"/>
  <c r="DG906" i="10"/>
  <c r="DH906" i="10"/>
  <c r="DE907" i="10"/>
  <c r="DF907" i="10"/>
  <c r="DG907" i="10"/>
  <c r="DH907" i="10"/>
  <c r="DE908" i="10"/>
  <c r="DF908" i="10"/>
  <c r="DG908" i="10"/>
  <c r="DH908" i="10"/>
  <c r="DE909" i="10"/>
  <c r="DF909" i="10"/>
  <c r="DG909" i="10"/>
  <c r="DH909" i="10"/>
  <c r="DE910" i="10"/>
  <c r="DF910" i="10"/>
  <c r="DG910" i="10"/>
  <c r="DH910" i="10"/>
  <c r="DE911" i="10"/>
  <c r="DF911" i="10"/>
  <c r="DG911" i="10"/>
  <c r="DH911" i="10"/>
  <c r="DE912" i="10"/>
  <c r="DF912" i="10"/>
  <c r="DG912" i="10"/>
  <c r="DH912" i="10"/>
  <c r="DE913" i="10"/>
  <c r="DF913" i="10"/>
  <c r="DG913" i="10"/>
  <c r="DH913" i="10"/>
  <c r="DE914" i="10"/>
  <c r="DF914" i="10"/>
  <c r="DG914" i="10"/>
  <c r="DH914" i="10"/>
  <c r="DE915" i="10"/>
  <c r="DF915" i="10"/>
  <c r="DG915" i="10"/>
  <c r="DH915" i="10"/>
  <c r="DE916" i="10"/>
  <c r="DF916" i="10"/>
  <c r="DG916" i="10"/>
  <c r="DH916" i="10"/>
  <c r="DE917" i="10"/>
  <c r="DF917" i="10"/>
  <c r="DG917" i="10"/>
  <c r="DH917" i="10"/>
  <c r="DE918" i="10"/>
  <c r="DF918" i="10"/>
  <c r="DG918" i="10"/>
  <c r="DH918" i="10"/>
  <c r="DE919" i="10"/>
  <c r="DF919" i="10"/>
  <c r="DG919" i="10"/>
  <c r="DH919" i="10"/>
  <c r="DE920" i="10"/>
  <c r="DF920" i="10"/>
  <c r="DG920" i="10"/>
  <c r="DH920" i="10"/>
  <c r="DE921" i="10"/>
  <c r="DF921" i="10"/>
  <c r="DG921" i="10"/>
  <c r="DH921" i="10"/>
  <c r="DE922" i="10"/>
  <c r="DF922" i="10"/>
  <c r="DG922" i="10"/>
  <c r="DH922" i="10"/>
  <c r="DE923" i="10"/>
  <c r="DF923" i="10"/>
  <c r="DG923" i="10"/>
  <c r="DH923" i="10"/>
  <c r="DE924" i="10"/>
  <c r="DF924" i="10"/>
  <c r="DG924" i="10"/>
  <c r="DH924" i="10"/>
  <c r="DE925" i="10"/>
  <c r="DF925" i="10"/>
  <c r="DG925" i="10"/>
  <c r="DH925" i="10"/>
  <c r="DE926" i="10"/>
  <c r="DF926" i="10"/>
  <c r="DG926" i="10"/>
  <c r="DH926" i="10"/>
  <c r="DE927" i="10"/>
  <c r="DF927" i="10"/>
  <c r="DG927" i="10"/>
  <c r="DH927" i="10"/>
  <c r="DE928" i="10"/>
  <c r="DF928" i="10"/>
  <c r="DG928" i="10"/>
  <c r="DH928" i="10"/>
  <c r="DE929" i="10"/>
  <c r="DF929" i="10"/>
  <c r="DG929" i="10"/>
  <c r="DH929" i="10"/>
  <c r="DE930" i="10"/>
  <c r="DF930" i="10"/>
  <c r="DG930" i="10"/>
  <c r="DH930" i="10"/>
  <c r="DE931" i="10"/>
  <c r="DF931" i="10"/>
  <c r="DG931" i="10"/>
  <c r="DH931" i="10"/>
  <c r="DE932" i="10"/>
  <c r="DF932" i="10"/>
  <c r="DG932" i="10"/>
  <c r="DH932" i="10"/>
  <c r="DE933" i="10"/>
  <c r="DF933" i="10"/>
  <c r="DG933" i="10"/>
  <c r="DH933" i="10"/>
  <c r="DE934" i="10"/>
  <c r="DF934" i="10"/>
  <c r="DG934" i="10"/>
  <c r="DH934" i="10"/>
  <c r="DE935" i="10"/>
  <c r="DF935" i="10"/>
  <c r="DG935" i="10"/>
  <c r="DH935" i="10"/>
  <c r="DE936" i="10"/>
  <c r="DF936" i="10"/>
  <c r="DG936" i="10"/>
  <c r="DH936" i="10"/>
  <c r="DE937" i="10"/>
  <c r="DF937" i="10"/>
  <c r="DG937" i="10"/>
  <c r="DH937" i="10"/>
  <c r="DE938" i="10"/>
  <c r="DF938" i="10"/>
  <c r="DG938" i="10"/>
  <c r="DH938" i="10"/>
  <c r="DE939" i="10"/>
  <c r="DF939" i="10"/>
  <c r="DG939" i="10"/>
  <c r="DH939" i="10"/>
  <c r="DE940" i="10"/>
  <c r="DF940" i="10"/>
  <c r="DG940" i="10"/>
  <c r="DH940" i="10"/>
  <c r="DE941" i="10"/>
  <c r="DF941" i="10"/>
  <c r="DG941" i="10"/>
  <c r="DH941" i="10"/>
  <c r="DE942" i="10"/>
  <c r="DF942" i="10"/>
  <c r="DG942" i="10"/>
  <c r="DH942" i="10"/>
  <c r="DE943" i="10"/>
  <c r="DF943" i="10"/>
  <c r="DG943" i="10"/>
  <c r="DH943" i="10"/>
  <c r="DE944" i="10"/>
  <c r="DF944" i="10"/>
  <c r="DG944" i="10"/>
  <c r="DH944" i="10"/>
  <c r="DE945" i="10"/>
  <c r="DF945" i="10"/>
  <c r="DG945" i="10"/>
  <c r="DH945" i="10"/>
  <c r="DE946" i="10"/>
  <c r="DF946" i="10"/>
  <c r="DG946" i="10"/>
  <c r="DH946" i="10"/>
  <c r="DE947" i="10"/>
  <c r="DF947" i="10"/>
  <c r="DG947" i="10"/>
  <c r="DH947" i="10"/>
  <c r="DE948" i="10"/>
  <c r="DF948" i="10"/>
  <c r="DG948" i="10"/>
  <c r="DH948" i="10"/>
  <c r="DE949" i="10"/>
  <c r="DF949" i="10"/>
  <c r="DG949" i="10"/>
  <c r="DH949" i="10"/>
  <c r="DE950" i="10"/>
  <c r="DF950" i="10"/>
  <c r="DG950" i="10"/>
  <c r="DH950" i="10"/>
  <c r="DE951" i="10"/>
  <c r="DF951" i="10"/>
  <c r="DG951" i="10"/>
  <c r="DH951" i="10"/>
  <c r="DE952" i="10"/>
  <c r="DF952" i="10"/>
  <c r="DG952" i="10"/>
  <c r="DH952" i="10"/>
  <c r="DE953" i="10"/>
  <c r="DF953" i="10"/>
  <c r="DG953" i="10"/>
  <c r="DH953" i="10"/>
  <c r="DE954" i="10"/>
  <c r="DF954" i="10"/>
  <c r="DG954" i="10"/>
  <c r="DH954" i="10"/>
  <c r="DE955" i="10"/>
  <c r="DF955" i="10"/>
  <c r="DG955" i="10"/>
  <c r="DH955" i="10"/>
  <c r="DE956" i="10"/>
  <c r="DF956" i="10"/>
  <c r="DG956" i="10"/>
  <c r="DH956" i="10"/>
  <c r="DE957" i="10"/>
  <c r="DF957" i="10"/>
  <c r="DG957" i="10"/>
  <c r="DH957" i="10"/>
  <c r="DE958" i="10"/>
  <c r="DF958" i="10"/>
  <c r="DG958" i="10"/>
  <c r="DH958" i="10"/>
  <c r="DE959" i="10"/>
  <c r="DF959" i="10"/>
  <c r="DG959" i="10"/>
  <c r="DH959" i="10"/>
  <c r="DE960" i="10"/>
  <c r="DF960" i="10"/>
  <c r="DG960" i="10"/>
  <c r="DH960" i="10"/>
  <c r="DE961" i="10"/>
  <c r="DF961" i="10"/>
  <c r="DG961" i="10"/>
  <c r="DH961" i="10"/>
  <c r="DE962" i="10"/>
  <c r="DF962" i="10"/>
  <c r="DG962" i="10"/>
  <c r="DH962" i="10"/>
  <c r="DE963" i="10"/>
  <c r="DF963" i="10"/>
  <c r="DG963" i="10"/>
  <c r="DH963" i="10"/>
  <c r="DE964" i="10"/>
  <c r="DF964" i="10"/>
  <c r="DG964" i="10"/>
  <c r="DH964" i="10"/>
  <c r="DE965" i="10"/>
  <c r="DF965" i="10"/>
  <c r="DG965" i="10"/>
  <c r="DH965" i="10"/>
  <c r="DE966" i="10"/>
  <c r="DF966" i="10"/>
  <c r="DG966" i="10"/>
  <c r="DH966" i="10"/>
  <c r="DE967" i="10"/>
  <c r="DF967" i="10"/>
  <c r="DG967" i="10"/>
  <c r="DH967" i="10"/>
  <c r="DE968" i="10"/>
  <c r="DF968" i="10"/>
  <c r="DG968" i="10"/>
  <c r="DH968" i="10"/>
  <c r="DE969" i="10"/>
  <c r="DF969" i="10"/>
  <c r="DG969" i="10"/>
  <c r="DH969" i="10"/>
  <c r="DE970" i="10"/>
  <c r="DF970" i="10"/>
  <c r="DG970" i="10"/>
  <c r="DH970" i="10"/>
  <c r="DE971" i="10"/>
  <c r="DF971" i="10"/>
  <c r="DG971" i="10"/>
  <c r="DH971" i="10"/>
  <c r="DE972" i="10"/>
  <c r="DF972" i="10"/>
  <c r="DG972" i="10"/>
  <c r="DH972" i="10"/>
  <c r="DE973" i="10"/>
  <c r="DF973" i="10"/>
  <c r="DG973" i="10"/>
  <c r="DH973" i="10"/>
  <c r="DE974" i="10"/>
  <c r="DF974" i="10"/>
  <c r="DG974" i="10"/>
  <c r="DH974" i="10"/>
  <c r="DE975" i="10"/>
  <c r="DF975" i="10"/>
  <c r="DG975" i="10"/>
  <c r="DH975" i="10"/>
  <c r="DE976" i="10"/>
  <c r="DF976" i="10"/>
  <c r="DG976" i="10"/>
  <c r="DH976" i="10"/>
  <c r="DE977" i="10"/>
  <c r="DF977" i="10"/>
  <c r="DG977" i="10"/>
  <c r="DH977" i="10"/>
  <c r="DE978" i="10"/>
  <c r="DF978" i="10"/>
  <c r="DG978" i="10"/>
  <c r="DH978" i="10"/>
  <c r="DE979" i="10"/>
  <c r="DF979" i="10"/>
  <c r="DG979" i="10"/>
  <c r="DH979" i="10"/>
  <c r="DE980" i="10"/>
  <c r="DF980" i="10"/>
  <c r="DG980" i="10"/>
  <c r="DH980" i="10"/>
  <c r="DE981" i="10"/>
  <c r="DF981" i="10"/>
  <c r="DG981" i="10"/>
  <c r="DH981" i="10"/>
  <c r="DE982" i="10"/>
  <c r="DF982" i="10"/>
  <c r="DG982" i="10"/>
  <c r="DH982" i="10"/>
  <c r="DE983" i="10"/>
  <c r="DF983" i="10"/>
  <c r="DG983" i="10"/>
  <c r="DH983" i="10"/>
  <c r="DE984" i="10"/>
  <c r="DF984" i="10"/>
  <c r="DG984" i="10"/>
  <c r="DH984" i="10"/>
  <c r="DE985" i="10"/>
  <c r="DF985" i="10"/>
  <c r="DG985" i="10"/>
  <c r="DH985" i="10"/>
  <c r="DE986" i="10"/>
  <c r="DF986" i="10"/>
  <c r="DG986" i="10"/>
  <c r="DH986" i="10"/>
  <c r="DE987" i="10"/>
  <c r="DF987" i="10"/>
  <c r="DG987" i="10"/>
  <c r="DH987" i="10"/>
  <c r="DE988" i="10"/>
  <c r="DF988" i="10"/>
  <c r="DG988" i="10"/>
  <c r="DH988" i="10"/>
  <c r="DE989" i="10"/>
  <c r="DF989" i="10"/>
  <c r="DG989" i="10"/>
  <c r="DH989" i="10"/>
  <c r="DE990" i="10"/>
  <c r="DF990" i="10"/>
  <c r="DG990" i="10"/>
  <c r="DH990" i="10"/>
  <c r="DE991" i="10"/>
  <c r="DF991" i="10"/>
  <c r="DG991" i="10"/>
  <c r="DH991" i="10"/>
  <c r="DE992" i="10"/>
  <c r="DF992" i="10"/>
  <c r="DG992" i="10"/>
  <c r="DH992" i="10"/>
  <c r="DE993" i="10"/>
  <c r="DF993" i="10"/>
  <c r="DG993" i="10"/>
  <c r="DH993" i="10"/>
  <c r="DE994" i="10"/>
  <c r="DF994" i="10"/>
  <c r="DG994" i="10"/>
  <c r="DH994" i="10"/>
  <c r="DE995" i="10"/>
  <c r="DF995" i="10"/>
  <c r="DG995" i="10"/>
  <c r="DH995" i="10"/>
  <c r="DE996" i="10"/>
  <c r="DF996" i="10"/>
  <c r="DG996" i="10"/>
  <c r="DH996" i="10"/>
  <c r="DE997" i="10"/>
  <c r="DF997" i="10"/>
  <c r="DG997" i="10"/>
  <c r="DH997" i="10"/>
  <c r="DE998" i="10"/>
  <c r="DF998" i="10"/>
  <c r="DG998" i="10"/>
  <c r="DH998" i="10"/>
  <c r="DE999" i="10"/>
  <c r="DF999" i="10"/>
  <c r="DG999" i="10"/>
  <c r="DH999" i="10"/>
  <c r="DE1000" i="10"/>
  <c r="DF1000" i="10"/>
  <c r="DG1000" i="10"/>
  <c r="DH1000" i="10"/>
  <c r="DE1001" i="10"/>
  <c r="DF1001" i="10"/>
  <c r="DG1001" i="10"/>
  <c r="DH1001" i="10"/>
  <c r="DE1002" i="10"/>
  <c r="DF1002" i="10"/>
  <c r="DG1002" i="10"/>
  <c r="DH1002" i="10"/>
  <c r="DE1003" i="10"/>
  <c r="DF1003" i="10"/>
  <c r="DG1003" i="10"/>
  <c r="DH1003" i="10"/>
  <c r="DE1004" i="10"/>
  <c r="DF1004" i="10"/>
  <c r="DG1004" i="10"/>
  <c r="DH1004" i="10"/>
  <c r="DE1005" i="10"/>
  <c r="DF1005" i="10"/>
  <c r="DG1005" i="10"/>
  <c r="DH1005" i="10"/>
  <c r="DE1006" i="10"/>
  <c r="DF1006" i="10"/>
  <c r="DG1006" i="10"/>
  <c r="DH1006" i="10"/>
  <c r="DE1007" i="10"/>
  <c r="DF1007" i="10"/>
  <c r="DG1007" i="10"/>
  <c r="DH1007" i="10"/>
  <c r="DE1008" i="10"/>
  <c r="DF1008" i="10"/>
  <c r="DG1008" i="10"/>
  <c r="DH1008" i="10"/>
  <c r="DE1009" i="10"/>
  <c r="DF1009" i="10"/>
  <c r="DG1009" i="10"/>
  <c r="DH1009" i="10"/>
  <c r="DE1010" i="10"/>
  <c r="DF1010" i="10"/>
  <c r="DG1010" i="10"/>
  <c r="DH1010" i="10"/>
  <c r="DE1011" i="10"/>
  <c r="DF1011" i="10"/>
  <c r="DG1011" i="10"/>
  <c r="DH1011" i="10"/>
  <c r="DE1012" i="10"/>
  <c r="DF1012" i="10"/>
  <c r="DG1012" i="10"/>
  <c r="DH1012" i="10"/>
  <c r="DE1013" i="10"/>
  <c r="DF1013" i="10"/>
  <c r="DG1013" i="10"/>
  <c r="DH1013" i="10"/>
  <c r="DE1014" i="10"/>
  <c r="DF1014" i="10"/>
  <c r="DG1014" i="10"/>
  <c r="DH1014" i="10"/>
  <c r="E51" i="4"/>
  <c r="CO28" i="10"/>
  <c r="CO29" i="10"/>
  <c r="CO30" i="10"/>
  <c r="CO31" i="10"/>
  <c r="CO32" i="10"/>
  <c r="CO33" i="10"/>
  <c r="CO34" i="10"/>
  <c r="CO35" i="10"/>
  <c r="CO36" i="10"/>
  <c r="CO37" i="10"/>
  <c r="CO38" i="10"/>
  <c r="CO39" i="10"/>
  <c r="CO40" i="10"/>
  <c r="CO41" i="10"/>
  <c r="CO42" i="10"/>
  <c r="CO43" i="10"/>
  <c r="CO44" i="10"/>
  <c r="CO45" i="10"/>
  <c r="CO46" i="10"/>
  <c r="CO47" i="10"/>
  <c r="CO48" i="10"/>
  <c r="CO49" i="10"/>
  <c r="CO50" i="10"/>
  <c r="CO51" i="10"/>
  <c r="CO52" i="10"/>
  <c r="CO53" i="10"/>
  <c r="CO54" i="10"/>
  <c r="CO55" i="10"/>
  <c r="CO56" i="10"/>
  <c r="CO57" i="10"/>
  <c r="CO58" i="10"/>
  <c r="CO59" i="10"/>
  <c r="CO60" i="10"/>
  <c r="CO61" i="10"/>
  <c r="CO62" i="10"/>
  <c r="CO63" i="10"/>
  <c r="CO64" i="10"/>
  <c r="CO65" i="10"/>
  <c r="CO66" i="10"/>
  <c r="CO67" i="10"/>
  <c r="CO68" i="10"/>
  <c r="CO69" i="10"/>
  <c r="CO70" i="10"/>
  <c r="CO71" i="10"/>
  <c r="CO72" i="10"/>
  <c r="CO73" i="10"/>
  <c r="CO74" i="10"/>
  <c r="CO75" i="10"/>
  <c r="CO76" i="10"/>
  <c r="CO77" i="10"/>
  <c r="CO78" i="10"/>
  <c r="CO79" i="10"/>
  <c r="CO80" i="10"/>
  <c r="CO81" i="10"/>
  <c r="CO82" i="10"/>
  <c r="CO83" i="10"/>
  <c r="CO84" i="10"/>
  <c r="CO85" i="10"/>
  <c r="CO86" i="10"/>
  <c r="CO87" i="10"/>
  <c r="CO88" i="10"/>
  <c r="CO89" i="10"/>
  <c r="CO90" i="10"/>
  <c r="CO91" i="10"/>
  <c r="CO92" i="10"/>
  <c r="CO93" i="10"/>
  <c r="CO94" i="10"/>
  <c r="CO95" i="10"/>
  <c r="CO96" i="10"/>
  <c r="CO97" i="10"/>
  <c r="CO98" i="10"/>
  <c r="CO99" i="10"/>
  <c r="CO100" i="10"/>
  <c r="CO101" i="10"/>
  <c r="CO102" i="10"/>
  <c r="CO103" i="10"/>
  <c r="CO104" i="10"/>
  <c r="CO105" i="10"/>
  <c r="CO106" i="10"/>
  <c r="CO107" i="10"/>
  <c r="CO108" i="10"/>
  <c r="CO109" i="10"/>
  <c r="CO110" i="10"/>
  <c r="CO111" i="10"/>
  <c r="CO112" i="10"/>
  <c r="CO113" i="10"/>
  <c r="CO114" i="10"/>
  <c r="CO115" i="10"/>
  <c r="CO116" i="10"/>
  <c r="CO117" i="10"/>
  <c r="CO118" i="10"/>
  <c r="CO119" i="10"/>
  <c r="CO120" i="10"/>
  <c r="CO121" i="10"/>
  <c r="CO122" i="10"/>
  <c r="CO123" i="10"/>
  <c r="CO124" i="10"/>
  <c r="CO125" i="10"/>
  <c r="CO126" i="10"/>
  <c r="CO127" i="10"/>
  <c r="CO128" i="10"/>
  <c r="CO129" i="10"/>
  <c r="CO130" i="10"/>
  <c r="CO131" i="10"/>
  <c r="CO132" i="10"/>
  <c r="CO133" i="10"/>
  <c r="CO134" i="10"/>
  <c r="CO135" i="10"/>
  <c r="CO136" i="10"/>
  <c r="CO137" i="10"/>
  <c r="CO138" i="10"/>
  <c r="CO139" i="10"/>
  <c r="CO140" i="10"/>
  <c r="CO141" i="10"/>
  <c r="CO142" i="10"/>
  <c r="CO143" i="10"/>
  <c r="CO144" i="10"/>
  <c r="CO145" i="10"/>
  <c r="CO146" i="10"/>
  <c r="CO147" i="10"/>
  <c r="CO148" i="10"/>
  <c r="CO149" i="10"/>
  <c r="CO150" i="10"/>
  <c r="CO151" i="10"/>
  <c r="CO152" i="10"/>
  <c r="CO153" i="10"/>
  <c r="CO154" i="10"/>
  <c r="CO155" i="10"/>
  <c r="CO156" i="10"/>
  <c r="CO157" i="10"/>
  <c r="CO158" i="10"/>
  <c r="CO159" i="10"/>
  <c r="CO160" i="10"/>
  <c r="CO161" i="10"/>
  <c r="CO162" i="10"/>
  <c r="CO163" i="10"/>
  <c r="CO164" i="10"/>
  <c r="CO165" i="10"/>
  <c r="CO166" i="10"/>
  <c r="CO167" i="10"/>
  <c r="CO168" i="10"/>
  <c r="CO169" i="10"/>
  <c r="CO170" i="10"/>
  <c r="CO171" i="10"/>
  <c r="CO172" i="10"/>
  <c r="CO173" i="10"/>
  <c r="CO174" i="10"/>
  <c r="CO175" i="10"/>
  <c r="CO176" i="10"/>
  <c r="CO177" i="10"/>
  <c r="CO178" i="10"/>
  <c r="CO179" i="10"/>
  <c r="CO180" i="10"/>
  <c r="CO181" i="10"/>
  <c r="CO182" i="10"/>
  <c r="CO183" i="10"/>
  <c r="CO184" i="10"/>
  <c r="CO185" i="10"/>
  <c r="CO186" i="10"/>
  <c r="CO187" i="10"/>
  <c r="CO188" i="10"/>
  <c r="CO189" i="10"/>
  <c r="CO190" i="10"/>
  <c r="CO191" i="10"/>
  <c r="CO192" i="10"/>
  <c r="CO193" i="10"/>
  <c r="CO194" i="10"/>
  <c r="CO195" i="10"/>
  <c r="CO196" i="10"/>
  <c r="CO197" i="10"/>
  <c r="CO198" i="10"/>
  <c r="CO199" i="10"/>
  <c r="CO200" i="10"/>
  <c r="CO201" i="10"/>
  <c r="CO202" i="10"/>
  <c r="CO203" i="10"/>
  <c r="CO204" i="10"/>
  <c r="CO205" i="10"/>
  <c r="CO206" i="10"/>
  <c r="CO207" i="10"/>
  <c r="CO208" i="10"/>
  <c r="CO209" i="10"/>
  <c r="CO210" i="10"/>
  <c r="CO211" i="10"/>
  <c r="CO212" i="10"/>
  <c r="CO213" i="10"/>
  <c r="CO214" i="10"/>
  <c r="CO215" i="10"/>
  <c r="CO216" i="10"/>
  <c r="CO217" i="10"/>
  <c r="CO218" i="10"/>
  <c r="CO219" i="10"/>
  <c r="CO220" i="10"/>
  <c r="CO221" i="10"/>
  <c r="CO222" i="10"/>
  <c r="CO223" i="10"/>
  <c r="CO224" i="10"/>
  <c r="CO225" i="10"/>
  <c r="CO226" i="10"/>
  <c r="CO227" i="10"/>
  <c r="CO228" i="10"/>
  <c r="CO229" i="10"/>
  <c r="CO230" i="10"/>
  <c r="CO231" i="10"/>
  <c r="CO232" i="10"/>
  <c r="CO233" i="10"/>
  <c r="CO234" i="10"/>
  <c r="CO235" i="10"/>
  <c r="CO236" i="10"/>
  <c r="CO237" i="10"/>
  <c r="CO238" i="10"/>
  <c r="CO239" i="10"/>
  <c r="CO240" i="10"/>
  <c r="CO241" i="10"/>
  <c r="CO242" i="10"/>
  <c r="CO243" i="10"/>
  <c r="CO244" i="10"/>
  <c r="CO245" i="10"/>
  <c r="CO246" i="10"/>
  <c r="CO247" i="10"/>
  <c r="CO248" i="10"/>
  <c r="CO249" i="10"/>
  <c r="CO250" i="10"/>
  <c r="CO251" i="10"/>
  <c r="CO252" i="10"/>
  <c r="CO253" i="10"/>
  <c r="CO254" i="10"/>
  <c r="CO255" i="10"/>
  <c r="CO256" i="10"/>
  <c r="CO257" i="10"/>
  <c r="CO258" i="10"/>
  <c r="CO259" i="10"/>
  <c r="CO260" i="10"/>
  <c r="CO261" i="10"/>
  <c r="CO262" i="10"/>
  <c r="CO263" i="10"/>
  <c r="CO264" i="10"/>
  <c r="CO265" i="10"/>
  <c r="CO266" i="10"/>
  <c r="CO267" i="10"/>
  <c r="CO268" i="10"/>
  <c r="CO269" i="10"/>
  <c r="CO270" i="10"/>
  <c r="CO271" i="10"/>
  <c r="CO272" i="10"/>
  <c r="CO273" i="10"/>
  <c r="CO274" i="10"/>
  <c r="CO275" i="10"/>
  <c r="CO276" i="10"/>
  <c r="CO277" i="10"/>
  <c r="CO278" i="10"/>
  <c r="CO279" i="10"/>
  <c r="CO280" i="10"/>
  <c r="CO281" i="10"/>
  <c r="CO282" i="10"/>
  <c r="CO283" i="10"/>
  <c r="CO284" i="10"/>
  <c r="CO285" i="10"/>
  <c r="CO286" i="10"/>
  <c r="CO287" i="10"/>
  <c r="CO288" i="10"/>
  <c r="CO289" i="10"/>
  <c r="CO290" i="10"/>
  <c r="CO291" i="10"/>
  <c r="CO292" i="10"/>
  <c r="CO293" i="10"/>
  <c r="CO294" i="10"/>
  <c r="CO295" i="10"/>
  <c r="CO296" i="10"/>
  <c r="CO297" i="10"/>
  <c r="CO298" i="10"/>
  <c r="CO299" i="10"/>
  <c r="CO300" i="10"/>
  <c r="CO301" i="10"/>
  <c r="CO302" i="10"/>
  <c r="CO303" i="10"/>
  <c r="CO304" i="10"/>
  <c r="CO305" i="10"/>
  <c r="CO306" i="10"/>
  <c r="CO307" i="10"/>
  <c r="CO308" i="10"/>
  <c r="CO309" i="10"/>
  <c r="CO310" i="10"/>
  <c r="CO311" i="10"/>
  <c r="CO312" i="10"/>
  <c r="CO313" i="10"/>
  <c r="CO314" i="10"/>
  <c r="CO315" i="10"/>
  <c r="CO316" i="10"/>
  <c r="CO317" i="10"/>
  <c r="CO318" i="10"/>
  <c r="CO319" i="10"/>
  <c r="CO320" i="10"/>
  <c r="CO321" i="10"/>
  <c r="CO322" i="10"/>
  <c r="CO323" i="10"/>
  <c r="CO324" i="10"/>
  <c r="CO325" i="10"/>
  <c r="CO326" i="10"/>
  <c r="CO327" i="10"/>
  <c r="CO328" i="10"/>
  <c r="CO329" i="10"/>
  <c r="CO330" i="10"/>
  <c r="CO331" i="10"/>
  <c r="CO332" i="10"/>
  <c r="CO333" i="10"/>
  <c r="CO334" i="10"/>
  <c r="CO335" i="10"/>
  <c r="CO336" i="10"/>
  <c r="CO337" i="10"/>
  <c r="CO338" i="10"/>
  <c r="CO339" i="10"/>
  <c r="CO340" i="10"/>
  <c r="CO341" i="10"/>
  <c r="CO342" i="10"/>
  <c r="CO343" i="10"/>
  <c r="CO344" i="10"/>
  <c r="CO345" i="10"/>
  <c r="CO346" i="10"/>
  <c r="CO347" i="10"/>
  <c r="CO348" i="10"/>
  <c r="CO349" i="10"/>
  <c r="CO350" i="10"/>
  <c r="CO351" i="10"/>
  <c r="CO352" i="10"/>
  <c r="CO353" i="10"/>
  <c r="CO354" i="10"/>
  <c r="CO355" i="10"/>
  <c r="CO356" i="10"/>
  <c r="CO357" i="10"/>
  <c r="CO358" i="10"/>
  <c r="CO359" i="10"/>
  <c r="CO360" i="10"/>
  <c r="CO361" i="10"/>
  <c r="CO362" i="10"/>
  <c r="CO363" i="10"/>
  <c r="CO364" i="10"/>
  <c r="CO365" i="10"/>
  <c r="CO366" i="10"/>
  <c r="CO367" i="10"/>
  <c r="CO368" i="10"/>
  <c r="CO369" i="10"/>
  <c r="CO370" i="10"/>
  <c r="CO371" i="10"/>
  <c r="CO372" i="10"/>
  <c r="CO373" i="10"/>
  <c r="CO374" i="10"/>
  <c r="CO375" i="10"/>
  <c r="CO376" i="10"/>
  <c r="CO377" i="10"/>
  <c r="CO378" i="10"/>
  <c r="CO379" i="10"/>
  <c r="CO380" i="10"/>
  <c r="CO381" i="10"/>
  <c r="CO382" i="10"/>
  <c r="CO383" i="10"/>
  <c r="CO384" i="10"/>
  <c r="CO385" i="10"/>
  <c r="CO386" i="10"/>
  <c r="CO387" i="10"/>
  <c r="CO388" i="10"/>
  <c r="CO389" i="10"/>
  <c r="CO390" i="10"/>
  <c r="CO391" i="10"/>
  <c r="CO392" i="10"/>
  <c r="CO393" i="10"/>
  <c r="CO394" i="10"/>
  <c r="CO395" i="10"/>
  <c r="CO396" i="10"/>
  <c r="CO397" i="10"/>
  <c r="CO398" i="10"/>
  <c r="CO399" i="10"/>
  <c r="CO400" i="10"/>
  <c r="CO401" i="10"/>
  <c r="CO402" i="10"/>
  <c r="CO403" i="10"/>
  <c r="CO404" i="10"/>
  <c r="CO405" i="10"/>
  <c r="CO406" i="10"/>
  <c r="CO407" i="10"/>
  <c r="CO408" i="10"/>
  <c r="CO409" i="10"/>
  <c r="CO410" i="10"/>
  <c r="CO411" i="10"/>
  <c r="CO412" i="10"/>
  <c r="CO413" i="10"/>
  <c r="CO414" i="10"/>
  <c r="CO415" i="10"/>
  <c r="CO416" i="10"/>
  <c r="CO417" i="10"/>
  <c r="CO418" i="10"/>
  <c r="CO419" i="10"/>
  <c r="CO420" i="10"/>
  <c r="CO421" i="10"/>
  <c r="CO422" i="10"/>
  <c r="CO423" i="10"/>
  <c r="CO424" i="10"/>
  <c r="CO425" i="10"/>
  <c r="CO426" i="10"/>
  <c r="CO427" i="10"/>
  <c r="CO428" i="10"/>
  <c r="CO429" i="10"/>
  <c r="CO430" i="10"/>
  <c r="CO431" i="10"/>
  <c r="CO432" i="10"/>
  <c r="CO433" i="10"/>
  <c r="CO434" i="10"/>
  <c r="CO435" i="10"/>
  <c r="CO436" i="10"/>
  <c r="CO437" i="10"/>
  <c r="CO438" i="10"/>
  <c r="CO439" i="10"/>
  <c r="CO440" i="10"/>
  <c r="CO441" i="10"/>
  <c r="CO442" i="10"/>
  <c r="CO443" i="10"/>
  <c r="CO444" i="10"/>
  <c r="CO445" i="10"/>
  <c r="CO446" i="10"/>
  <c r="CO447" i="10"/>
  <c r="CO448" i="10"/>
  <c r="CO449" i="10"/>
  <c r="CO450" i="10"/>
  <c r="CO451" i="10"/>
  <c r="CO452" i="10"/>
  <c r="CO453" i="10"/>
  <c r="CO454" i="10"/>
  <c r="CO455" i="10"/>
  <c r="CO456" i="10"/>
  <c r="CO457" i="10"/>
  <c r="CO458" i="10"/>
  <c r="CO459" i="10"/>
  <c r="CO460" i="10"/>
  <c r="CO461" i="10"/>
  <c r="CO462" i="10"/>
  <c r="CO463" i="10"/>
  <c r="CO464" i="10"/>
  <c r="CO465" i="10"/>
  <c r="CO466" i="10"/>
  <c r="CO467" i="10"/>
  <c r="CO468" i="10"/>
  <c r="CO469" i="10"/>
  <c r="CO470" i="10"/>
  <c r="CO471" i="10"/>
  <c r="CO472" i="10"/>
  <c r="CO473" i="10"/>
  <c r="CO474" i="10"/>
  <c r="CO475" i="10"/>
  <c r="CO476" i="10"/>
  <c r="CO477" i="10"/>
  <c r="CO478" i="10"/>
  <c r="CO479" i="10"/>
  <c r="CO480" i="10"/>
  <c r="CO481" i="10"/>
  <c r="CO482" i="10"/>
  <c r="CO483" i="10"/>
  <c r="CO484" i="10"/>
  <c r="CO485" i="10"/>
  <c r="CO486" i="10"/>
  <c r="CO487" i="10"/>
  <c r="CO488" i="10"/>
  <c r="CO489" i="10"/>
  <c r="CO490" i="10"/>
  <c r="CO491" i="10"/>
  <c r="CO492" i="10"/>
  <c r="CO493" i="10"/>
  <c r="CO494" i="10"/>
  <c r="CO495" i="10"/>
  <c r="CO496" i="10"/>
  <c r="CO497" i="10"/>
  <c r="CO498" i="10"/>
  <c r="CO499" i="10"/>
  <c r="CO500" i="10"/>
  <c r="CO501" i="10"/>
  <c r="CO502" i="10"/>
  <c r="CO503" i="10"/>
  <c r="CO504" i="10"/>
  <c r="CO505" i="10"/>
  <c r="CO506" i="10"/>
  <c r="CO507" i="10"/>
  <c r="CO508" i="10"/>
  <c r="CO509" i="10"/>
  <c r="CO510" i="10"/>
  <c r="CO511" i="10"/>
  <c r="CO512" i="10"/>
  <c r="CO513" i="10"/>
  <c r="CO514" i="10"/>
  <c r="CO515" i="10"/>
  <c r="CO516" i="10"/>
  <c r="CO517" i="10"/>
  <c r="CO518" i="10"/>
  <c r="CO519" i="10"/>
  <c r="CO520" i="10"/>
  <c r="CO521" i="10"/>
  <c r="CO522" i="10"/>
  <c r="CO523" i="10"/>
  <c r="CO524" i="10"/>
  <c r="CO525" i="10"/>
  <c r="CO526" i="10"/>
  <c r="CO527" i="10"/>
  <c r="CO528" i="10"/>
  <c r="CO529" i="10"/>
  <c r="CO530" i="10"/>
  <c r="CO531" i="10"/>
  <c r="CO532" i="10"/>
  <c r="CO533" i="10"/>
  <c r="CO534" i="10"/>
  <c r="CO535" i="10"/>
  <c r="CO536" i="10"/>
  <c r="CO537" i="10"/>
  <c r="CO538" i="10"/>
  <c r="CO539" i="10"/>
  <c r="CO540" i="10"/>
  <c r="CO541" i="10"/>
  <c r="CO542" i="10"/>
  <c r="CO543" i="10"/>
  <c r="CO544" i="10"/>
  <c r="CO545" i="10"/>
  <c r="CO546" i="10"/>
  <c r="CO547" i="10"/>
  <c r="CO548" i="10"/>
  <c r="CO549" i="10"/>
  <c r="CO550" i="10"/>
  <c r="CO551" i="10"/>
  <c r="CO552" i="10"/>
  <c r="CO553" i="10"/>
  <c r="CO554" i="10"/>
  <c r="CO555" i="10"/>
  <c r="CO556" i="10"/>
  <c r="CO557" i="10"/>
  <c r="CO558" i="10"/>
  <c r="CO559" i="10"/>
  <c r="CO560" i="10"/>
  <c r="CO561" i="10"/>
  <c r="CO562" i="10"/>
  <c r="CO563" i="10"/>
  <c r="CO564" i="10"/>
  <c r="CO565" i="10"/>
  <c r="CO566" i="10"/>
  <c r="CO567" i="10"/>
  <c r="CO568" i="10"/>
  <c r="CO569" i="10"/>
  <c r="CO570" i="10"/>
  <c r="CO571" i="10"/>
  <c r="CO572" i="10"/>
  <c r="CO573" i="10"/>
  <c r="CO574" i="10"/>
  <c r="CO575" i="10"/>
  <c r="CO576" i="10"/>
  <c r="CO577" i="10"/>
  <c r="CO578" i="10"/>
  <c r="CO579" i="10"/>
  <c r="CO580" i="10"/>
  <c r="CO581" i="10"/>
  <c r="CO582" i="10"/>
  <c r="CO583" i="10"/>
  <c r="CO584" i="10"/>
  <c r="CO585" i="10"/>
  <c r="CO586" i="10"/>
  <c r="CO587" i="10"/>
  <c r="CO588" i="10"/>
  <c r="CO589" i="10"/>
  <c r="CO590" i="10"/>
  <c r="CO591" i="10"/>
  <c r="CO592" i="10"/>
  <c r="CO593" i="10"/>
  <c r="CO594" i="10"/>
  <c r="CO595" i="10"/>
  <c r="CO596" i="10"/>
  <c r="CO597" i="10"/>
  <c r="CO598" i="10"/>
  <c r="CO599" i="10"/>
  <c r="CO600" i="10"/>
  <c r="CO601" i="10"/>
  <c r="CO602" i="10"/>
  <c r="CO603" i="10"/>
  <c r="CO604" i="10"/>
  <c r="CO605" i="10"/>
  <c r="CO606" i="10"/>
  <c r="CO607" i="10"/>
  <c r="CO608" i="10"/>
  <c r="CO609" i="10"/>
  <c r="CO610" i="10"/>
  <c r="CO611" i="10"/>
  <c r="CO612" i="10"/>
  <c r="CO613" i="10"/>
  <c r="CO614" i="10"/>
  <c r="CO615" i="10"/>
  <c r="CO616" i="10"/>
  <c r="CO617" i="10"/>
  <c r="CO618" i="10"/>
  <c r="CO619" i="10"/>
  <c r="CO620" i="10"/>
  <c r="CO621" i="10"/>
  <c r="CO622" i="10"/>
  <c r="CO623" i="10"/>
  <c r="CO624" i="10"/>
  <c r="CO625" i="10"/>
  <c r="CO626" i="10"/>
  <c r="CO627" i="10"/>
  <c r="CO628" i="10"/>
  <c r="CO629" i="10"/>
  <c r="CO630" i="10"/>
  <c r="CO631" i="10"/>
  <c r="CO632" i="10"/>
  <c r="CO633" i="10"/>
  <c r="CO634" i="10"/>
  <c r="CO635" i="10"/>
  <c r="CO636" i="10"/>
  <c r="CO637" i="10"/>
  <c r="CO638" i="10"/>
  <c r="CO639" i="10"/>
  <c r="CO640" i="10"/>
  <c r="CO641" i="10"/>
  <c r="CO642" i="10"/>
  <c r="CO643" i="10"/>
  <c r="CO644" i="10"/>
  <c r="CO645" i="10"/>
  <c r="CO646" i="10"/>
  <c r="CO647" i="10"/>
  <c r="CO648" i="10"/>
  <c r="CO649" i="10"/>
  <c r="CO650" i="10"/>
  <c r="CO651" i="10"/>
  <c r="CO652" i="10"/>
  <c r="CO653" i="10"/>
  <c r="CO654" i="10"/>
  <c r="CO655" i="10"/>
  <c r="CO656" i="10"/>
  <c r="CO657" i="10"/>
  <c r="CO658" i="10"/>
  <c r="CO659" i="10"/>
  <c r="CO660" i="10"/>
  <c r="CO661" i="10"/>
  <c r="CO662" i="10"/>
  <c r="CO663" i="10"/>
  <c r="CO664" i="10"/>
  <c r="CO665" i="10"/>
  <c r="CO666" i="10"/>
  <c r="CO667" i="10"/>
  <c r="CO668" i="10"/>
  <c r="CO669" i="10"/>
  <c r="CO670" i="10"/>
  <c r="CO671" i="10"/>
  <c r="CO672" i="10"/>
  <c r="CO673" i="10"/>
  <c r="CO674" i="10"/>
  <c r="CO675" i="10"/>
  <c r="CO676" i="10"/>
  <c r="CO677" i="10"/>
  <c r="CO678" i="10"/>
  <c r="CO679" i="10"/>
  <c r="CO680" i="10"/>
  <c r="CO681" i="10"/>
  <c r="CO682" i="10"/>
  <c r="CO683" i="10"/>
  <c r="CO684" i="10"/>
  <c r="CO685" i="10"/>
  <c r="CO686" i="10"/>
  <c r="CO687" i="10"/>
  <c r="CO688" i="10"/>
  <c r="CO689" i="10"/>
  <c r="CO690" i="10"/>
  <c r="CO691" i="10"/>
  <c r="CO692" i="10"/>
  <c r="CO693" i="10"/>
  <c r="CO694" i="10"/>
  <c r="CO695" i="10"/>
  <c r="CO696" i="10"/>
  <c r="CO697" i="10"/>
  <c r="CO698" i="10"/>
  <c r="CO699" i="10"/>
  <c r="CO700" i="10"/>
  <c r="CO701" i="10"/>
  <c r="CO702" i="10"/>
  <c r="CO703" i="10"/>
  <c r="CO704" i="10"/>
  <c r="CO705" i="10"/>
  <c r="CO706" i="10"/>
  <c r="CO707" i="10"/>
  <c r="CO708" i="10"/>
  <c r="CO709" i="10"/>
  <c r="CO710" i="10"/>
  <c r="CO711" i="10"/>
  <c r="CO712" i="10"/>
  <c r="CO713" i="10"/>
  <c r="CO714" i="10"/>
  <c r="CO715" i="10"/>
  <c r="CO716" i="10"/>
  <c r="CO717" i="10"/>
  <c r="CO718" i="10"/>
  <c r="CO719" i="10"/>
  <c r="CO720" i="10"/>
  <c r="CO721" i="10"/>
  <c r="CO722" i="10"/>
  <c r="CO723" i="10"/>
  <c r="CO724" i="10"/>
  <c r="CO725" i="10"/>
  <c r="CO726" i="10"/>
  <c r="CO727" i="10"/>
  <c r="CO728" i="10"/>
  <c r="CO729" i="10"/>
  <c r="CO730" i="10"/>
  <c r="CO731" i="10"/>
  <c r="CO732" i="10"/>
  <c r="CO733" i="10"/>
  <c r="CO734" i="10"/>
  <c r="CO735" i="10"/>
  <c r="CO736" i="10"/>
  <c r="CO737" i="10"/>
  <c r="CO738" i="10"/>
  <c r="CO739" i="10"/>
  <c r="CO740" i="10"/>
  <c r="CO741" i="10"/>
  <c r="CO742" i="10"/>
  <c r="CO743" i="10"/>
  <c r="CO744" i="10"/>
  <c r="CO745" i="10"/>
  <c r="CO746" i="10"/>
  <c r="CO747" i="10"/>
  <c r="CO748" i="10"/>
  <c r="CO749" i="10"/>
  <c r="CO750" i="10"/>
  <c r="CO751" i="10"/>
  <c r="CO752" i="10"/>
  <c r="CO753" i="10"/>
  <c r="CO754" i="10"/>
  <c r="CO755" i="10"/>
  <c r="CO756" i="10"/>
  <c r="CO757" i="10"/>
  <c r="CO758" i="10"/>
  <c r="CO759" i="10"/>
  <c r="CO760" i="10"/>
  <c r="CO761" i="10"/>
  <c r="CO762" i="10"/>
  <c r="CO763" i="10"/>
  <c r="CO764" i="10"/>
  <c r="CO765" i="10"/>
  <c r="CO766" i="10"/>
  <c r="CO767" i="10"/>
  <c r="CO768" i="10"/>
  <c r="CO769" i="10"/>
  <c r="CO770" i="10"/>
  <c r="CO771" i="10"/>
  <c r="CO772" i="10"/>
  <c r="CO773" i="10"/>
  <c r="CO774" i="10"/>
  <c r="CO775" i="10"/>
  <c r="CO776" i="10"/>
  <c r="CO777" i="10"/>
  <c r="CO778" i="10"/>
  <c r="CO779" i="10"/>
  <c r="CO780" i="10"/>
  <c r="CO781" i="10"/>
  <c r="CO782" i="10"/>
  <c r="CO783" i="10"/>
  <c r="CO784" i="10"/>
  <c r="CO785" i="10"/>
  <c r="CO786" i="10"/>
  <c r="CO787" i="10"/>
  <c r="CO788" i="10"/>
  <c r="CO789" i="10"/>
  <c r="CO790" i="10"/>
  <c r="CO791" i="10"/>
  <c r="CO792" i="10"/>
  <c r="CO793" i="10"/>
  <c r="CO794" i="10"/>
  <c r="CO795" i="10"/>
  <c r="CO796" i="10"/>
  <c r="CO797" i="10"/>
  <c r="CO798" i="10"/>
  <c r="CO799" i="10"/>
  <c r="CO800" i="10"/>
  <c r="CO801" i="10"/>
  <c r="CO802" i="10"/>
  <c r="CO803" i="10"/>
  <c r="CO804" i="10"/>
  <c r="CO805" i="10"/>
  <c r="CO806" i="10"/>
  <c r="CO807" i="10"/>
  <c r="CO808" i="10"/>
  <c r="CO809" i="10"/>
  <c r="CO810" i="10"/>
  <c r="CO811" i="10"/>
  <c r="CO812" i="10"/>
  <c r="CO813" i="10"/>
  <c r="CO814" i="10"/>
  <c r="CO815" i="10"/>
  <c r="CO816" i="10"/>
  <c r="CO817" i="10"/>
  <c r="CO818" i="10"/>
  <c r="CO819" i="10"/>
  <c r="CO820" i="10"/>
  <c r="CO821" i="10"/>
  <c r="CO822" i="10"/>
  <c r="CO823" i="10"/>
  <c r="CO824" i="10"/>
  <c r="CO825" i="10"/>
  <c r="CO826" i="10"/>
  <c r="CO827" i="10"/>
  <c r="CO828" i="10"/>
  <c r="CO829" i="10"/>
  <c r="CO830" i="10"/>
  <c r="CO831" i="10"/>
  <c r="CO832" i="10"/>
  <c r="CO833" i="10"/>
  <c r="CO834" i="10"/>
  <c r="CO835" i="10"/>
  <c r="CO836" i="10"/>
  <c r="CO837" i="10"/>
  <c r="CO838" i="10"/>
  <c r="CO839" i="10"/>
  <c r="CO840" i="10"/>
  <c r="CO841" i="10"/>
  <c r="CO842" i="10"/>
  <c r="CO843" i="10"/>
  <c r="CO844" i="10"/>
  <c r="CO845" i="10"/>
  <c r="CO846" i="10"/>
  <c r="CO847" i="10"/>
  <c r="CO848" i="10"/>
  <c r="CO849" i="10"/>
  <c r="CO850" i="10"/>
  <c r="CO851" i="10"/>
  <c r="CO852" i="10"/>
  <c r="CO853" i="10"/>
  <c r="CO854" i="10"/>
  <c r="CO855" i="10"/>
  <c r="CO856" i="10"/>
  <c r="CO857" i="10"/>
  <c r="CO858" i="10"/>
  <c r="CO859" i="10"/>
  <c r="CO860" i="10"/>
  <c r="CO861" i="10"/>
  <c r="CO862" i="10"/>
  <c r="CO863" i="10"/>
  <c r="CO864" i="10"/>
  <c r="CO865" i="10"/>
  <c r="CO866" i="10"/>
  <c r="CO867" i="10"/>
  <c r="CO868" i="10"/>
  <c r="CO869" i="10"/>
  <c r="CO870" i="10"/>
  <c r="CO871" i="10"/>
  <c r="CO872" i="10"/>
  <c r="CO873" i="10"/>
  <c r="CO874" i="10"/>
  <c r="CO875" i="10"/>
  <c r="CO876" i="10"/>
  <c r="CO877" i="10"/>
  <c r="CO878" i="10"/>
  <c r="CO879" i="10"/>
  <c r="CO880" i="10"/>
  <c r="CO881" i="10"/>
  <c r="CO882" i="10"/>
  <c r="CO883" i="10"/>
  <c r="CO884" i="10"/>
  <c r="CO885" i="10"/>
  <c r="CO886" i="10"/>
  <c r="CO887" i="10"/>
  <c r="CO888" i="10"/>
  <c r="CO889" i="10"/>
  <c r="CO890" i="10"/>
  <c r="CO891" i="10"/>
  <c r="CO892" i="10"/>
  <c r="CO893" i="10"/>
  <c r="CO894" i="10"/>
  <c r="CO895" i="10"/>
  <c r="CO896" i="10"/>
  <c r="CO897" i="10"/>
  <c r="CO898" i="10"/>
  <c r="CO899" i="10"/>
  <c r="CO900" i="10"/>
  <c r="CO901" i="10"/>
  <c r="CO902" i="10"/>
  <c r="CO903" i="10"/>
  <c r="CO904" i="10"/>
  <c r="CO905" i="10"/>
  <c r="CO906" i="10"/>
  <c r="CO907" i="10"/>
  <c r="CO908" i="10"/>
  <c r="CO909" i="10"/>
  <c r="CO910" i="10"/>
  <c r="CO911" i="10"/>
  <c r="CO912" i="10"/>
  <c r="CO913" i="10"/>
  <c r="CO914" i="10"/>
  <c r="CO915" i="10"/>
  <c r="CO916" i="10"/>
  <c r="CO917" i="10"/>
  <c r="CO918" i="10"/>
  <c r="CO919" i="10"/>
  <c r="CO920" i="10"/>
  <c r="CO921" i="10"/>
  <c r="CO922" i="10"/>
  <c r="CO923" i="10"/>
  <c r="CO924" i="10"/>
  <c r="CO925" i="10"/>
  <c r="CO926" i="10"/>
  <c r="CO927" i="10"/>
  <c r="CO928" i="10"/>
  <c r="CO929" i="10"/>
  <c r="CO930" i="10"/>
  <c r="CO931" i="10"/>
  <c r="CO932" i="10"/>
  <c r="CO933" i="10"/>
  <c r="CO934" i="10"/>
  <c r="CO935" i="10"/>
  <c r="CO936" i="10"/>
  <c r="CO937" i="10"/>
  <c r="CO938" i="10"/>
  <c r="CO939" i="10"/>
  <c r="CO940" i="10"/>
  <c r="CO941" i="10"/>
  <c r="CO942" i="10"/>
  <c r="CO943" i="10"/>
  <c r="CO944" i="10"/>
  <c r="CO945" i="10"/>
  <c r="CO946" i="10"/>
  <c r="CO947" i="10"/>
  <c r="CO948" i="10"/>
  <c r="CO949" i="10"/>
  <c r="CO950" i="10"/>
  <c r="CO951" i="10"/>
  <c r="CO952" i="10"/>
  <c r="CO953" i="10"/>
  <c r="CO954" i="10"/>
  <c r="CO955" i="10"/>
  <c r="CO956" i="10"/>
  <c r="CO957" i="10"/>
  <c r="CO958" i="10"/>
  <c r="CO959" i="10"/>
  <c r="CO960" i="10"/>
  <c r="CO961" i="10"/>
  <c r="CO962" i="10"/>
  <c r="CO963" i="10"/>
  <c r="CO964" i="10"/>
  <c r="CO965" i="10"/>
  <c r="CO966" i="10"/>
  <c r="CO967" i="10"/>
  <c r="CO968" i="10"/>
  <c r="CO969" i="10"/>
  <c r="CO970" i="10"/>
  <c r="CO971" i="10"/>
  <c r="CO972" i="10"/>
  <c r="CO973" i="10"/>
  <c r="CO974" i="10"/>
  <c r="CO975" i="10"/>
  <c r="CO976" i="10"/>
  <c r="CO977" i="10"/>
  <c r="CO978" i="10"/>
  <c r="CO979" i="10"/>
  <c r="CO980" i="10"/>
  <c r="CO981" i="10"/>
  <c r="CO982" i="10"/>
  <c r="CO983" i="10"/>
  <c r="CO984" i="10"/>
  <c r="CO985" i="10"/>
  <c r="CO986" i="10"/>
  <c r="CO987" i="10"/>
  <c r="CO988" i="10"/>
  <c r="CO989" i="10"/>
  <c r="CO990" i="10"/>
  <c r="CO991" i="10"/>
  <c r="CO992" i="10"/>
  <c r="CO993" i="10"/>
  <c r="CO994" i="10"/>
  <c r="CO995" i="10"/>
  <c r="CO996" i="10"/>
  <c r="CO997" i="10"/>
  <c r="CO998" i="10"/>
  <c r="CO999" i="10"/>
  <c r="CO1000" i="10"/>
  <c r="CO1001" i="10"/>
  <c r="CO1002" i="10"/>
  <c r="CO1003" i="10"/>
  <c r="CO1004" i="10"/>
  <c r="CO1005" i="10"/>
  <c r="CO1006" i="10"/>
  <c r="CO1007" i="10"/>
  <c r="CO1008" i="10"/>
  <c r="CO1009" i="10"/>
  <c r="CO1010" i="10"/>
  <c r="CO1011" i="10"/>
  <c r="CO1012" i="10"/>
  <c r="CO1013" i="10"/>
  <c r="CO1014" i="10"/>
  <c r="CW28" i="10"/>
  <c r="CW29" i="10"/>
  <c r="CW30" i="10"/>
  <c r="CW31" i="10"/>
  <c r="CW32" i="10"/>
  <c r="CW33" i="10"/>
  <c r="CW34" i="10"/>
  <c r="CW35" i="10"/>
  <c r="CW36" i="10"/>
  <c r="CW37" i="10"/>
  <c r="CW38" i="10"/>
  <c r="CW39" i="10"/>
  <c r="CW40" i="10"/>
  <c r="CW41" i="10"/>
  <c r="CW42" i="10"/>
  <c r="CW43" i="10"/>
  <c r="CW44" i="10"/>
  <c r="CW45" i="10"/>
  <c r="CW46" i="10"/>
  <c r="CW47" i="10"/>
  <c r="CW48" i="10"/>
  <c r="CW49" i="10"/>
  <c r="CW50" i="10"/>
  <c r="CW51" i="10"/>
  <c r="CW52" i="10"/>
  <c r="CW53" i="10"/>
  <c r="CW54" i="10"/>
  <c r="CW55" i="10"/>
  <c r="CW56" i="10"/>
  <c r="CW57" i="10"/>
  <c r="CW58" i="10"/>
  <c r="CW59" i="10"/>
  <c r="CW60" i="10"/>
  <c r="CW61" i="10"/>
  <c r="CW62" i="10"/>
  <c r="CW63" i="10"/>
  <c r="CW64" i="10"/>
  <c r="CW65" i="10"/>
  <c r="CW66" i="10"/>
  <c r="CW67" i="10"/>
  <c r="CW68" i="10"/>
  <c r="CW69" i="10"/>
  <c r="CW70" i="10"/>
  <c r="CW71" i="10"/>
  <c r="CW72" i="10"/>
  <c r="CW73" i="10"/>
  <c r="CW74" i="10"/>
  <c r="CW75" i="10"/>
  <c r="CW76" i="10"/>
  <c r="CW77" i="10"/>
  <c r="CW78" i="10"/>
  <c r="CW79" i="10"/>
  <c r="CW80" i="10"/>
  <c r="CW81" i="10"/>
  <c r="CW82" i="10"/>
  <c r="CW83" i="10"/>
  <c r="CW84" i="10"/>
  <c r="CW85" i="10"/>
  <c r="CW86" i="10"/>
  <c r="CW87" i="10"/>
  <c r="CW88" i="10"/>
  <c r="CW89" i="10"/>
  <c r="CW90" i="10"/>
  <c r="CW91" i="10"/>
  <c r="CW92" i="10"/>
  <c r="CW93" i="10"/>
  <c r="CW94" i="10"/>
  <c r="CW95" i="10"/>
  <c r="CW96" i="10"/>
  <c r="CW97" i="10"/>
  <c r="CW98" i="10"/>
  <c r="CW99" i="10"/>
  <c r="CW100" i="10"/>
  <c r="CW101" i="10"/>
  <c r="CW102" i="10"/>
  <c r="CW103" i="10"/>
  <c r="CW104" i="10"/>
  <c r="CW105" i="10"/>
  <c r="CW106" i="10"/>
  <c r="CW107" i="10"/>
  <c r="CW108" i="10"/>
  <c r="CW109" i="10"/>
  <c r="CW110" i="10"/>
  <c r="CW111" i="10"/>
  <c r="CW112" i="10"/>
  <c r="CW113" i="10"/>
  <c r="CW114" i="10"/>
  <c r="CW115" i="10"/>
  <c r="CW116" i="10"/>
  <c r="CW117" i="10"/>
  <c r="CW118" i="10"/>
  <c r="CW119" i="10"/>
  <c r="CW120" i="10"/>
  <c r="CW121" i="10"/>
  <c r="CW122" i="10"/>
  <c r="CW123" i="10"/>
  <c r="CW124" i="10"/>
  <c r="CW125" i="10"/>
  <c r="CW126" i="10"/>
  <c r="CW127" i="10"/>
  <c r="CW128" i="10"/>
  <c r="CW129" i="10"/>
  <c r="CW130" i="10"/>
  <c r="CW131" i="10"/>
  <c r="CW132" i="10"/>
  <c r="CW133" i="10"/>
  <c r="CW134" i="10"/>
  <c r="CW135" i="10"/>
  <c r="CW136" i="10"/>
  <c r="CW137" i="10"/>
  <c r="CW138" i="10"/>
  <c r="CW139" i="10"/>
  <c r="CW140" i="10"/>
  <c r="CW141" i="10"/>
  <c r="CW142" i="10"/>
  <c r="CW143" i="10"/>
  <c r="CW144" i="10"/>
  <c r="CW145" i="10"/>
  <c r="CW146" i="10"/>
  <c r="CW147" i="10"/>
  <c r="CW148" i="10"/>
  <c r="CW149" i="10"/>
  <c r="CW150" i="10"/>
  <c r="CW151" i="10"/>
  <c r="CW152" i="10"/>
  <c r="CW153" i="10"/>
  <c r="CW154" i="10"/>
  <c r="CW155" i="10"/>
  <c r="CW156" i="10"/>
  <c r="CW157" i="10"/>
  <c r="CW158" i="10"/>
  <c r="CW159" i="10"/>
  <c r="CW160" i="10"/>
  <c r="CW161" i="10"/>
  <c r="CW162" i="10"/>
  <c r="CW163" i="10"/>
  <c r="CW164" i="10"/>
  <c r="CW165" i="10"/>
  <c r="CW166" i="10"/>
  <c r="CW167" i="10"/>
  <c r="CW168" i="10"/>
  <c r="CW169" i="10"/>
  <c r="CW170" i="10"/>
  <c r="CW171" i="10"/>
  <c r="CW172" i="10"/>
  <c r="CW173" i="10"/>
  <c r="CW174" i="10"/>
  <c r="CW175" i="10"/>
  <c r="CW176" i="10"/>
  <c r="CW177" i="10"/>
  <c r="CW178" i="10"/>
  <c r="CW179" i="10"/>
  <c r="CW180" i="10"/>
  <c r="CW181" i="10"/>
  <c r="CW182" i="10"/>
  <c r="CW183" i="10"/>
  <c r="CW184" i="10"/>
  <c r="CW185" i="10"/>
  <c r="CW186" i="10"/>
  <c r="CW187" i="10"/>
  <c r="CW188" i="10"/>
  <c r="CW189" i="10"/>
  <c r="CW190" i="10"/>
  <c r="CW191" i="10"/>
  <c r="CW192" i="10"/>
  <c r="CW193" i="10"/>
  <c r="CW194" i="10"/>
  <c r="CW195" i="10"/>
  <c r="CW196" i="10"/>
  <c r="CW197" i="10"/>
  <c r="CW198" i="10"/>
  <c r="CW199" i="10"/>
  <c r="CW200" i="10"/>
  <c r="CW201" i="10"/>
  <c r="CW202" i="10"/>
  <c r="CW203" i="10"/>
  <c r="CW204" i="10"/>
  <c r="CW205" i="10"/>
  <c r="CW206" i="10"/>
  <c r="CW207" i="10"/>
  <c r="CW208" i="10"/>
  <c r="CW209" i="10"/>
  <c r="CW210" i="10"/>
  <c r="CW211" i="10"/>
  <c r="CW212" i="10"/>
  <c r="CW213" i="10"/>
  <c r="CW214" i="10"/>
  <c r="CW215" i="10"/>
  <c r="CW216" i="10"/>
  <c r="CW217" i="10"/>
  <c r="CW218" i="10"/>
  <c r="CW219" i="10"/>
  <c r="CW220" i="10"/>
  <c r="CW221" i="10"/>
  <c r="CW222" i="10"/>
  <c r="CW223" i="10"/>
  <c r="CW224" i="10"/>
  <c r="CW225" i="10"/>
  <c r="CW226" i="10"/>
  <c r="CW227" i="10"/>
  <c r="CW228" i="10"/>
  <c r="CW229" i="10"/>
  <c r="CW230" i="10"/>
  <c r="CW231" i="10"/>
  <c r="CW232" i="10"/>
  <c r="CW233" i="10"/>
  <c r="CW234" i="10"/>
  <c r="CW235" i="10"/>
  <c r="CW236" i="10"/>
  <c r="CW237" i="10"/>
  <c r="CW238" i="10"/>
  <c r="CW239" i="10"/>
  <c r="CW240" i="10"/>
  <c r="CW241" i="10"/>
  <c r="CW242" i="10"/>
  <c r="CW243" i="10"/>
  <c r="CW244" i="10"/>
  <c r="CW245" i="10"/>
  <c r="CW246" i="10"/>
  <c r="CW247" i="10"/>
  <c r="CW248" i="10"/>
  <c r="CW249" i="10"/>
  <c r="CW250" i="10"/>
  <c r="CW251" i="10"/>
  <c r="CW252" i="10"/>
  <c r="CW253" i="10"/>
  <c r="CW254" i="10"/>
  <c r="CW255" i="10"/>
  <c r="CW256" i="10"/>
  <c r="CW257" i="10"/>
  <c r="CW258" i="10"/>
  <c r="CW259" i="10"/>
  <c r="CW260" i="10"/>
  <c r="CW261" i="10"/>
  <c r="CW262" i="10"/>
  <c r="CW263" i="10"/>
  <c r="CW264" i="10"/>
  <c r="CW265" i="10"/>
  <c r="CW266" i="10"/>
  <c r="CW267" i="10"/>
  <c r="CW268" i="10"/>
  <c r="CW269" i="10"/>
  <c r="CW270" i="10"/>
  <c r="CW271" i="10"/>
  <c r="CW272" i="10"/>
  <c r="CW273" i="10"/>
  <c r="CW274" i="10"/>
  <c r="CW275" i="10"/>
  <c r="CW276" i="10"/>
  <c r="CW277" i="10"/>
  <c r="CW278" i="10"/>
  <c r="CW279" i="10"/>
  <c r="CW280" i="10"/>
  <c r="CW281" i="10"/>
  <c r="CW282" i="10"/>
  <c r="CW283" i="10"/>
  <c r="CW284" i="10"/>
  <c r="CW285" i="10"/>
  <c r="CW286" i="10"/>
  <c r="CW287" i="10"/>
  <c r="CW288" i="10"/>
  <c r="CW289" i="10"/>
  <c r="CW290" i="10"/>
  <c r="CW291" i="10"/>
  <c r="CW292" i="10"/>
  <c r="CW293" i="10"/>
  <c r="CW294" i="10"/>
  <c r="CW295" i="10"/>
  <c r="CW296" i="10"/>
  <c r="CW297" i="10"/>
  <c r="CW298" i="10"/>
  <c r="CW299" i="10"/>
  <c r="CW300" i="10"/>
  <c r="CW301" i="10"/>
  <c r="CW302" i="10"/>
  <c r="CW303" i="10"/>
  <c r="CW304" i="10"/>
  <c r="CW305" i="10"/>
  <c r="CW306" i="10"/>
  <c r="CW307" i="10"/>
  <c r="CW308" i="10"/>
  <c r="CW309" i="10"/>
  <c r="CW310" i="10"/>
  <c r="CW311" i="10"/>
  <c r="CW312" i="10"/>
  <c r="CW313" i="10"/>
  <c r="CW314" i="10"/>
  <c r="CW315" i="10"/>
  <c r="CW316" i="10"/>
  <c r="CW317" i="10"/>
  <c r="CW318" i="10"/>
  <c r="CW319" i="10"/>
  <c r="CW320" i="10"/>
  <c r="CW321" i="10"/>
  <c r="CW322" i="10"/>
  <c r="CW323" i="10"/>
  <c r="CW324" i="10"/>
  <c r="CW325" i="10"/>
  <c r="CW326" i="10"/>
  <c r="CW327" i="10"/>
  <c r="CW328" i="10"/>
  <c r="CW329" i="10"/>
  <c r="CW330" i="10"/>
  <c r="CW331" i="10"/>
  <c r="CW332" i="10"/>
  <c r="CW333" i="10"/>
  <c r="CW334" i="10"/>
  <c r="CW335" i="10"/>
  <c r="CW336" i="10"/>
  <c r="CW337" i="10"/>
  <c r="CW338" i="10"/>
  <c r="CW339" i="10"/>
  <c r="CW340" i="10"/>
  <c r="CW341" i="10"/>
  <c r="CW342" i="10"/>
  <c r="CW343" i="10"/>
  <c r="CW344" i="10"/>
  <c r="CW345" i="10"/>
  <c r="CW346" i="10"/>
  <c r="CW347" i="10"/>
  <c r="CW348" i="10"/>
  <c r="CW349" i="10"/>
  <c r="CW350" i="10"/>
  <c r="CW351" i="10"/>
  <c r="CW352" i="10"/>
  <c r="CW353" i="10"/>
  <c r="CW354" i="10"/>
  <c r="CW355" i="10"/>
  <c r="CW356" i="10"/>
  <c r="CW357" i="10"/>
  <c r="CW358" i="10"/>
  <c r="CW359" i="10"/>
  <c r="CW360" i="10"/>
  <c r="CW361" i="10"/>
  <c r="CW362" i="10"/>
  <c r="CW363" i="10"/>
  <c r="CW364" i="10"/>
  <c r="CW365" i="10"/>
  <c r="CW366" i="10"/>
  <c r="CW367" i="10"/>
  <c r="CW368" i="10"/>
  <c r="CW369" i="10"/>
  <c r="CW370" i="10"/>
  <c r="CW371" i="10"/>
  <c r="CW372" i="10"/>
  <c r="CW373" i="10"/>
  <c r="CW374" i="10"/>
  <c r="CW375" i="10"/>
  <c r="CW376" i="10"/>
  <c r="CW377" i="10"/>
  <c r="CW378" i="10"/>
  <c r="CW379" i="10"/>
  <c r="CW380" i="10"/>
  <c r="CW381" i="10"/>
  <c r="CW382" i="10"/>
  <c r="CW383" i="10"/>
  <c r="CW384" i="10"/>
  <c r="CW385" i="10"/>
  <c r="CW386" i="10"/>
  <c r="CW387" i="10"/>
  <c r="CW388" i="10"/>
  <c r="CW389" i="10"/>
  <c r="CW390" i="10"/>
  <c r="CW391" i="10"/>
  <c r="CW392" i="10"/>
  <c r="CW393" i="10"/>
  <c r="CW394" i="10"/>
  <c r="CW395" i="10"/>
  <c r="CW396" i="10"/>
  <c r="CW397" i="10"/>
  <c r="CW398" i="10"/>
  <c r="CW399" i="10"/>
  <c r="CW400" i="10"/>
  <c r="CW401" i="10"/>
  <c r="CW402" i="10"/>
  <c r="CW403" i="10"/>
  <c r="CW404" i="10"/>
  <c r="CW405" i="10"/>
  <c r="CW406" i="10"/>
  <c r="CW407" i="10"/>
  <c r="CW408" i="10"/>
  <c r="CW409" i="10"/>
  <c r="CW410" i="10"/>
  <c r="CW411" i="10"/>
  <c r="CW412" i="10"/>
  <c r="CW413" i="10"/>
  <c r="CW414" i="10"/>
  <c r="CW415" i="10"/>
  <c r="CW416" i="10"/>
  <c r="CW417" i="10"/>
  <c r="CW418" i="10"/>
  <c r="CW419" i="10"/>
  <c r="CW420" i="10"/>
  <c r="CW421" i="10"/>
  <c r="CW422" i="10"/>
  <c r="CW423" i="10"/>
  <c r="CW424" i="10"/>
  <c r="CW425" i="10"/>
  <c r="CW426" i="10"/>
  <c r="CW427" i="10"/>
  <c r="CW428" i="10"/>
  <c r="CW429" i="10"/>
  <c r="CW430" i="10"/>
  <c r="CW431" i="10"/>
  <c r="CW432" i="10"/>
  <c r="CW433" i="10"/>
  <c r="CW434" i="10"/>
  <c r="CW435" i="10"/>
  <c r="CW436" i="10"/>
  <c r="CW437" i="10"/>
  <c r="CW438" i="10"/>
  <c r="CW439" i="10"/>
  <c r="CW440" i="10"/>
  <c r="CW441" i="10"/>
  <c r="CW442" i="10"/>
  <c r="CW443" i="10"/>
  <c r="CW444" i="10"/>
  <c r="CW445" i="10"/>
  <c r="CW446" i="10"/>
  <c r="CW447" i="10"/>
  <c r="CW448" i="10"/>
  <c r="CW449" i="10"/>
  <c r="CW450" i="10"/>
  <c r="CW451" i="10"/>
  <c r="CW452" i="10"/>
  <c r="CW453" i="10"/>
  <c r="CW454" i="10"/>
  <c r="CW455" i="10"/>
  <c r="CW456" i="10"/>
  <c r="CW457" i="10"/>
  <c r="CW458" i="10"/>
  <c r="CW459" i="10"/>
  <c r="CW460" i="10"/>
  <c r="CW461" i="10"/>
  <c r="CW462" i="10"/>
  <c r="CW463" i="10"/>
  <c r="CW464" i="10"/>
  <c r="CW465" i="10"/>
  <c r="CW466" i="10"/>
  <c r="CW467" i="10"/>
  <c r="CW468" i="10"/>
  <c r="CW469" i="10"/>
  <c r="CW470" i="10"/>
  <c r="CW471" i="10"/>
  <c r="CW472" i="10"/>
  <c r="CW473" i="10"/>
  <c r="CW474" i="10"/>
  <c r="CW475" i="10"/>
  <c r="CW476" i="10"/>
  <c r="CW477" i="10"/>
  <c r="CW478" i="10"/>
  <c r="CW479" i="10"/>
  <c r="CW480" i="10"/>
  <c r="CW481" i="10"/>
  <c r="CW482" i="10"/>
  <c r="CW483" i="10"/>
  <c r="CW484" i="10"/>
  <c r="CW485" i="10"/>
  <c r="CW486" i="10"/>
  <c r="CW487" i="10"/>
  <c r="CW488" i="10"/>
  <c r="CW489" i="10"/>
  <c r="CW490" i="10"/>
  <c r="CW491" i="10"/>
  <c r="CW492" i="10"/>
  <c r="CW493" i="10"/>
  <c r="CW494" i="10"/>
  <c r="CW495" i="10"/>
  <c r="CW496" i="10"/>
  <c r="CW497" i="10"/>
  <c r="CW498" i="10"/>
  <c r="CW499" i="10"/>
  <c r="CW500" i="10"/>
  <c r="CW501" i="10"/>
  <c r="CW502" i="10"/>
  <c r="CW503" i="10"/>
  <c r="CW504" i="10"/>
  <c r="CW505" i="10"/>
  <c r="CW506" i="10"/>
  <c r="CW507" i="10"/>
  <c r="CW508" i="10"/>
  <c r="CW509" i="10"/>
  <c r="CW510" i="10"/>
  <c r="CW511" i="10"/>
  <c r="CW512" i="10"/>
  <c r="CW513" i="10"/>
  <c r="CW514" i="10"/>
  <c r="CW515" i="10"/>
  <c r="CW516" i="10"/>
  <c r="CW517" i="10"/>
  <c r="CW518" i="10"/>
  <c r="CW519" i="10"/>
  <c r="CW520" i="10"/>
  <c r="CW521" i="10"/>
  <c r="CW522" i="10"/>
  <c r="CW523" i="10"/>
  <c r="CW524" i="10"/>
  <c r="CW525" i="10"/>
  <c r="CW526" i="10"/>
  <c r="CW527" i="10"/>
  <c r="CW528" i="10"/>
  <c r="CW529" i="10"/>
  <c r="CW530" i="10"/>
  <c r="CW531" i="10"/>
  <c r="CW532" i="10"/>
  <c r="CW533" i="10"/>
  <c r="CW534" i="10"/>
  <c r="CW535" i="10"/>
  <c r="CW536" i="10"/>
  <c r="CW537" i="10"/>
  <c r="CW538" i="10"/>
  <c r="CW539" i="10"/>
  <c r="CW540" i="10"/>
  <c r="CW541" i="10"/>
  <c r="CW542" i="10"/>
  <c r="CW543" i="10"/>
  <c r="CW544" i="10"/>
  <c r="CW545" i="10"/>
  <c r="CW546" i="10"/>
  <c r="CW547" i="10"/>
  <c r="CW548" i="10"/>
  <c r="CW549" i="10"/>
  <c r="CW550" i="10"/>
  <c r="CW551" i="10"/>
  <c r="CW552" i="10"/>
  <c r="CW553" i="10"/>
  <c r="CW554" i="10"/>
  <c r="CW555" i="10"/>
  <c r="CW556" i="10"/>
  <c r="CW557" i="10"/>
  <c r="CW558" i="10"/>
  <c r="CW559" i="10"/>
  <c r="CW560" i="10"/>
  <c r="CW561" i="10"/>
  <c r="CW562" i="10"/>
  <c r="CW563" i="10"/>
  <c r="CW564" i="10"/>
  <c r="CW565" i="10"/>
  <c r="CW566" i="10"/>
  <c r="CW567" i="10"/>
  <c r="CW568" i="10"/>
  <c r="CW569" i="10"/>
  <c r="CW570" i="10"/>
  <c r="CW571" i="10"/>
  <c r="CW572" i="10"/>
  <c r="CW573" i="10"/>
  <c r="CW574" i="10"/>
  <c r="CW575" i="10"/>
  <c r="CW576" i="10"/>
  <c r="CW577" i="10"/>
  <c r="CW578" i="10"/>
  <c r="CW579" i="10"/>
  <c r="CW580" i="10"/>
  <c r="CW581" i="10"/>
  <c r="CW582" i="10"/>
  <c r="CW583" i="10"/>
  <c r="CW584" i="10"/>
  <c r="CW585" i="10"/>
  <c r="CW586" i="10"/>
  <c r="CW587" i="10"/>
  <c r="CW588" i="10"/>
  <c r="CW589" i="10"/>
  <c r="CW590" i="10"/>
  <c r="CW591" i="10"/>
  <c r="CW592" i="10"/>
  <c r="CW593" i="10"/>
  <c r="CW594" i="10"/>
  <c r="CW595" i="10"/>
  <c r="CW596" i="10"/>
  <c r="CW597" i="10"/>
  <c r="CW598" i="10"/>
  <c r="CW599" i="10"/>
  <c r="CW600" i="10"/>
  <c r="CW601" i="10"/>
  <c r="CW602" i="10"/>
  <c r="CW603" i="10"/>
  <c r="CW604" i="10"/>
  <c r="CW605" i="10"/>
  <c r="CW606" i="10"/>
  <c r="CW607" i="10"/>
  <c r="CW608" i="10"/>
  <c r="CW609" i="10"/>
  <c r="CW610" i="10"/>
  <c r="CW611" i="10"/>
  <c r="CW612" i="10"/>
  <c r="CW613" i="10"/>
  <c r="CW614" i="10"/>
  <c r="CW615" i="10"/>
  <c r="CW616" i="10"/>
  <c r="CW617" i="10"/>
  <c r="CW618" i="10"/>
  <c r="CW619" i="10"/>
  <c r="CW620" i="10"/>
  <c r="CW621" i="10"/>
  <c r="CW622" i="10"/>
  <c r="CW623" i="10"/>
  <c r="CW624" i="10"/>
  <c r="CW625" i="10"/>
  <c r="CW626" i="10"/>
  <c r="CW627" i="10"/>
  <c r="CW628" i="10"/>
  <c r="CW629" i="10"/>
  <c r="CW630" i="10"/>
  <c r="CW631" i="10"/>
  <c r="CW632" i="10"/>
  <c r="CW633" i="10"/>
  <c r="CW634" i="10"/>
  <c r="CW635" i="10"/>
  <c r="CW636" i="10"/>
  <c r="CW637" i="10"/>
  <c r="CW638" i="10"/>
  <c r="CW639" i="10"/>
  <c r="CW640" i="10"/>
  <c r="CW641" i="10"/>
  <c r="CW642" i="10"/>
  <c r="CW643" i="10"/>
  <c r="CW644" i="10"/>
  <c r="CW645" i="10"/>
  <c r="CW646" i="10"/>
  <c r="CW647" i="10"/>
  <c r="CW648" i="10"/>
  <c r="CW649" i="10"/>
  <c r="CW650" i="10"/>
  <c r="CW651" i="10"/>
  <c r="CW652" i="10"/>
  <c r="CW653" i="10"/>
  <c r="CW654" i="10"/>
  <c r="CW655" i="10"/>
  <c r="CW656" i="10"/>
  <c r="CW657" i="10"/>
  <c r="CW658" i="10"/>
  <c r="CW659" i="10"/>
  <c r="CW660" i="10"/>
  <c r="CW661" i="10"/>
  <c r="CW662" i="10"/>
  <c r="CW663" i="10"/>
  <c r="CW664" i="10"/>
  <c r="CW665" i="10"/>
  <c r="CW666" i="10"/>
  <c r="CW667" i="10"/>
  <c r="CW668" i="10"/>
  <c r="CW669" i="10"/>
  <c r="CW670" i="10"/>
  <c r="CW671" i="10"/>
  <c r="CW672" i="10"/>
  <c r="CW673" i="10"/>
  <c r="CW674" i="10"/>
  <c r="CW675" i="10"/>
  <c r="CW676" i="10"/>
  <c r="CW677" i="10"/>
  <c r="CW678" i="10"/>
  <c r="CW679" i="10"/>
  <c r="CW680" i="10"/>
  <c r="CW681" i="10"/>
  <c r="CW682" i="10"/>
  <c r="CW683" i="10"/>
  <c r="CW684" i="10"/>
  <c r="CW685" i="10"/>
  <c r="CW686" i="10"/>
  <c r="CW687" i="10"/>
  <c r="CW688" i="10"/>
  <c r="CW689" i="10"/>
  <c r="CW690" i="10"/>
  <c r="CW691" i="10"/>
  <c r="CW692" i="10"/>
  <c r="CW693" i="10"/>
  <c r="CW694" i="10"/>
  <c r="CW695" i="10"/>
  <c r="CW696" i="10"/>
  <c r="CW697" i="10"/>
  <c r="CW698" i="10"/>
  <c r="CW699" i="10"/>
  <c r="CW700" i="10"/>
  <c r="CW701" i="10"/>
  <c r="CW702" i="10"/>
  <c r="CW703" i="10"/>
  <c r="CW704" i="10"/>
  <c r="CW705" i="10"/>
  <c r="CW706" i="10"/>
  <c r="CW707" i="10"/>
  <c r="CW708" i="10"/>
  <c r="CW709" i="10"/>
  <c r="CW710" i="10"/>
  <c r="CW711" i="10"/>
  <c r="CW712" i="10"/>
  <c r="CW713" i="10"/>
  <c r="CW714" i="10"/>
  <c r="CW715" i="10"/>
  <c r="CW716" i="10"/>
  <c r="CW717" i="10"/>
  <c r="CW718" i="10"/>
  <c r="CW719" i="10"/>
  <c r="CW720" i="10"/>
  <c r="CW721" i="10"/>
  <c r="CW722" i="10"/>
  <c r="CW723" i="10"/>
  <c r="CW724" i="10"/>
  <c r="CW725" i="10"/>
  <c r="CW726" i="10"/>
  <c r="CW727" i="10"/>
  <c r="CW728" i="10"/>
  <c r="CW729" i="10"/>
  <c r="CW730" i="10"/>
  <c r="CW731" i="10"/>
  <c r="CW732" i="10"/>
  <c r="CW733" i="10"/>
  <c r="CW734" i="10"/>
  <c r="CW735" i="10"/>
  <c r="CW736" i="10"/>
  <c r="CW737" i="10"/>
  <c r="CW738" i="10"/>
  <c r="CW739" i="10"/>
  <c r="CW740" i="10"/>
  <c r="CW741" i="10"/>
  <c r="CW742" i="10"/>
  <c r="CW743" i="10"/>
  <c r="CW744" i="10"/>
  <c r="CW745" i="10"/>
  <c r="CW746" i="10"/>
  <c r="CW747" i="10"/>
  <c r="CW748" i="10"/>
  <c r="CW749" i="10"/>
  <c r="CW750" i="10"/>
  <c r="CW751" i="10"/>
  <c r="CW752" i="10"/>
  <c r="CW753" i="10"/>
  <c r="CW754" i="10"/>
  <c r="CW755" i="10"/>
  <c r="CW756" i="10"/>
  <c r="CW757" i="10"/>
  <c r="CW758" i="10"/>
  <c r="CW759" i="10"/>
  <c r="CW760" i="10"/>
  <c r="CW761" i="10"/>
  <c r="CW762" i="10"/>
  <c r="CW763" i="10"/>
  <c r="CW764" i="10"/>
  <c r="CW765" i="10"/>
  <c r="CW766" i="10"/>
  <c r="CW767" i="10"/>
  <c r="CW768" i="10"/>
  <c r="CW769" i="10"/>
  <c r="CW770" i="10"/>
  <c r="CW771" i="10"/>
  <c r="CW772" i="10"/>
  <c r="CW773" i="10"/>
  <c r="CW774" i="10"/>
  <c r="CW775" i="10"/>
  <c r="CW776" i="10"/>
  <c r="CW777" i="10"/>
  <c r="CW778" i="10"/>
  <c r="CW779" i="10"/>
  <c r="CW780" i="10"/>
  <c r="CW781" i="10"/>
  <c r="CW782" i="10"/>
  <c r="CW783" i="10"/>
  <c r="CW784" i="10"/>
  <c r="CW785" i="10"/>
  <c r="CW786" i="10"/>
  <c r="CW787" i="10"/>
  <c r="CW788" i="10"/>
  <c r="CW789" i="10"/>
  <c r="CW790" i="10"/>
  <c r="CW791" i="10"/>
  <c r="CW792" i="10"/>
  <c r="CW793" i="10"/>
  <c r="CW794" i="10"/>
  <c r="CW795" i="10"/>
  <c r="CW796" i="10"/>
  <c r="CW797" i="10"/>
  <c r="CW798" i="10"/>
  <c r="CW799" i="10"/>
  <c r="CW800" i="10"/>
  <c r="CW801" i="10"/>
  <c r="CW802" i="10"/>
  <c r="CW803" i="10"/>
  <c r="CW804" i="10"/>
  <c r="CW805" i="10"/>
  <c r="CW806" i="10"/>
  <c r="CW807" i="10"/>
  <c r="CW808" i="10"/>
  <c r="CW809" i="10"/>
  <c r="CW810" i="10"/>
  <c r="CW811" i="10"/>
  <c r="CW812" i="10"/>
  <c r="CW813" i="10"/>
  <c r="CW814" i="10"/>
  <c r="CW815" i="10"/>
  <c r="CW816" i="10"/>
  <c r="CW817" i="10"/>
  <c r="CW818" i="10"/>
  <c r="CW819" i="10"/>
  <c r="CW820" i="10"/>
  <c r="CW821" i="10"/>
  <c r="CW822" i="10"/>
  <c r="CW823" i="10"/>
  <c r="CW824" i="10"/>
  <c r="CW825" i="10"/>
  <c r="CW826" i="10"/>
  <c r="CW827" i="10"/>
  <c r="CW828" i="10"/>
  <c r="CW829" i="10"/>
  <c r="CW830" i="10"/>
  <c r="CW831" i="10"/>
  <c r="CW832" i="10"/>
  <c r="CW833" i="10"/>
  <c r="CW834" i="10"/>
  <c r="CW835" i="10"/>
  <c r="CW836" i="10"/>
  <c r="CW837" i="10"/>
  <c r="CW838" i="10"/>
  <c r="CW839" i="10"/>
  <c r="CW840" i="10"/>
  <c r="CW841" i="10"/>
  <c r="CW842" i="10"/>
  <c r="CW843" i="10"/>
  <c r="CW844" i="10"/>
  <c r="CW845" i="10"/>
  <c r="CW846" i="10"/>
  <c r="CW847" i="10"/>
  <c r="CW848" i="10"/>
  <c r="CW849" i="10"/>
  <c r="CW850" i="10"/>
  <c r="CW851" i="10"/>
  <c r="CW852" i="10"/>
  <c r="CW853" i="10"/>
  <c r="CW854" i="10"/>
  <c r="CW855" i="10"/>
  <c r="CW856" i="10"/>
  <c r="CW857" i="10"/>
  <c r="CW858" i="10"/>
  <c r="CW859" i="10"/>
  <c r="CW860" i="10"/>
  <c r="CW861" i="10"/>
  <c r="CW862" i="10"/>
  <c r="CW863" i="10"/>
  <c r="CW864" i="10"/>
  <c r="CW865" i="10"/>
  <c r="CW866" i="10"/>
  <c r="CW867" i="10"/>
  <c r="CW868" i="10"/>
  <c r="CW869" i="10"/>
  <c r="CW870" i="10"/>
  <c r="CW871" i="10"/>
  <c r="CW872" i="10"/>
  <c r="CW873" i="10"/>
  <c r="CW874" i="10"/>
  <c r="CW875" i="10"/>
  <c r="CW876" i="10"/>
  <c r="CW877" i="10"/>
  <c r="CW878" i="10"/>
  <c r="CW879" i="10"/>
  <c r="CW880" i="10"/>
  <c r="CW881" i="10"/>
  <c r="CW882" i="10"/>
  <c r="CW883" i="10"/>
  <c r="CW884" i="10"/>
  <c r="CW885" i="10"/>
  <c r="CW886" i="10"/>
  <c r="CW887" i="10"/>
  <c r="CW888" i="10"/>
  <c r="CW889" i="10"/>
  <c r="CW890" i="10"/>
  <c r="CW891" i="10"/>
  <c r="CW892" i="10"/>
  <c r="CW893" i="10"/>
  <c r="CW894" i="10"/>
  <c r="CW895" i="10"/>
  <c r="CW896" i="10"/>
  <c r="CW897" i="10"/>
  <c r="CW898" i="10"/>
  <c r="CW899" i="10"/>
  <c r="CW900" i="10"/>
  <c r="CW901" i="10"/>
  <c r="CW902" i="10"/>
  <c r="CW903" i="10"/>
  <c r="CW904" i="10"/>
  <c r="CW905" i="10"/>
  <c r="CW906" i="10"/>
  <c r="CW907" i="10"/>
  <c r="CW908" i="10"/>
  <c r="CW909" i="10"/>
  <c r="CW910" i="10"/>
  <c r="CW911" i="10"/>
  <c r="CW912" i="10"/>
  <c r="CW913" i="10"/>
  <c r="CW914" i="10"/>
  <c r="CW915" i="10"/>
  <c r="CW916" i="10"/>
  <c r="CW917" i="10"/>
  <c r="CW918" i="10"/>
  <c r="CW919" i="10"/>
  <c r="CW920" i="10"/>
  <c r="CW921" i="10"/>
  <c r="CW922" i="10"/>
  <c r="CW923" i="10"/>
  <c r="CW924" i="10"/>
  <c r="CW925" i="10"/>
  <c r="CW926" i="10"/>
  <c r="CW927" i="10"/>
  <c r="CW928" i="10"/>
  <c r="CW929" i="10"/>
  <c r="CW930" i="10"/>
  <c r="CW931" i="10"/>
  <c r="CW932" i="10"/>
  <c r="CW933" i="10"/>
  <c r="CW934" i="10"/>
  <c r="CW935" i="10"/>
  <c r="CW936" i="10"/>
  <c r="CW937" i="10"/>
  <c r="CW938" i="10"/>
  <c r="CW939" i="10"/>
  <c r="CW940" i="10"/>
  <c r="CW941" i="10"/>
  <c r="CW942" i="10"/>
  <c r="CW943" i="10"/>
  <c r="CW944" i="10"/>
  <c r="CW945" i="10"/>
  <c r="CW946" i="10"/>
  <c r="CW947" i="10"/>
  <c r="CW948" i="10"/>
  <c r="CW949" i="10"/>
  <c r="CW950" i="10"/>
  <c r="CW951" i="10"/>
  <c r="CW952" i="10"/>
  <c r="CW953" i="10"/>
  <c r="CW954" i="10"/>
  <c r="CW955" i="10"/>
  <c r="CW956" i="10"/>
  <c r="CW957" i="10"/>
  <c r="CW958" i="10"/>
  <c r="CW959" i="10"/>
  <c r="CW960" i="10"/>
  <c r="CW961" i="10"/>
  <c r="CW962" i="10"/>
  <c r="CW963" i="10"/>
  <c r="CW964" i="10"/>
  <c r="CW965" i="10"/>
  <c r="CW966" i="10"/>
  <c r="CW967" i="10"/>
  <c r="CW968" i="10"/>
  <c r="CW969" i="10"/>
  <c r="CW970" i="10"/>
  <c r="CW971" i="10"/>
  <c r="CW972" i="10"/>
  <c r="CW973" i="10"/>
  <c r="CW974" i="10"/>
  <c r="CW975" i="10"/>
  <c r="CW976" i="10"/>
  <c r="CW977" i="10"/>
  <c r="CW978" i="10"/>
  <c r="CW979" i="10"/>
  <c r="CW980" i="10"/>
  <c r="CW981" i="10"/>
  <c r="CW982" i="10"/>
  <c r="CW983" i="10"/>
  <c r="CW984" i="10"/>
  <c r="CW985" i="10"/>
  <c r="CW986" i="10"/>
  <c r="CW987" i="10"/>
  <c r="CW988" i="10"/>
  <c r="CW989" i="10"/>
  <c r="CW990" i="10"/>
  <c r="CW991" i="10"/>
  <c r="CW992" i="10"/>
  <c r="CW993" i="10"/>
  <c r="CW994" i="10"/>
  <c r="CW995" i="10"/>
  <c r="CW996" i="10"/>
  <c r="CW997" i="10"/>
  <c r="CW998" i="10"/>
  <c r="CW999" i="10"/>
  <c r="CW1000" i="10"/>
  <c r="CW1001" i="10"/>
  <c r="CW1002" i="10"/>
  <c r="CW1003" i="10"/>
  <c r="CW1004" i="10"/>
  <c r="CW1005" i="10"/>
  <c r="CW1006" i="10"/>
  <c r="CW1007" i="10"/>
  <c r="CW1008" i="10"/>
  <c r="CW1009" i="10"/>
  <c r="CW1010" i="10"/>
  <c r="CW1011" i="10"/>
  <c r="CW1012" i="10"/>
  <c r="CW1013" i="10"/>
  <c r="CW1014" i="10"/>
  <c r="G59" i="4"/>
  <c r="DE19" i="10"/>
  <c r="CX28" i="10"/>
  <c r="CY28" i="10"/>
  <c r="CZ28" i="10"/>
  <c r="CX29" i="10"/>
  <c r="CY29" i="10"/>
  <c r="CZ29" i="10"/>
  <c r="CX30" i="10"/>
  <c r="DA30" i="10" s="1"/>
  <c r="CY30" i="10"/>
  <c r="CZ30" i="10"/>
  <c r="CX31" i="10"/>
  <c r="CY31" i="10"/>
  <c r="CZ31" i="10"/>
  <c r="CX32" i="10"/>
  <c r="CY32" i="10"/>
  <c r="CZ32" i="10"/>
  <c r="CX33" i="10"/>
  <c r="CY33" i="10"/>
  <c r="CZ33" i="10"/>
  <c r="CX34" i="10"/>
  <c r="DA34" i="10" s="1"/>
  <c r="CY34" i="10"/>
  <c r="CZ34" i="10"/>
  <c r="CX35" i="10"/>
  <c r="CY35" i="10"/>
  <c r="CZ35" i="10"/>
  <c r="CX36" i="10"/>
  <c r="CY36" i="10"/>
  <c r="CZ36" i="10"/>
  <c r="CX37" i="10"/>
  <c r="CY37" i="10"/>
  <c r="CZ37" i="10"/>
  <c r="CX38" i="10"/>
  <c r="DA38" i="10" s="1"/>
  <c r="CY38" i="10"/>
  <c r="CZ38" i="10"/>
  <c r="CX39" i="10"/>
  <c r="CY39" i="10"/>
  <c r="CZ39" i="10"/>
  <c r="CX40" i="10"/>
  <c r="CY40" i="10"/>
  <c r="CZ40" i="10"/>
  <c r="CX41" i="10"/>
  <c r="CY41" i="10"/>
  <c r="CZ41" i="10"/>
  <c r="CX42" i="10"/>
  <c r="DA42" i="10" s="1"/>
  <c r="CY42" i="10"/>
  <c r="CZ42" i="10"/>
  <c r="CX43" i="10"/>
  <c r="CY43" i="10"/>
  <c r="CZ43" i="10"/>
  <c r="CX44" i="10"/>
  <c r="CY44" i="10"/>
  <c r="CZ44" i="10"/>
  <c r="CX45" i="10"/>
  <c r="CY45" i="10"/>
  <c r="CZ45" i="10"/>
  <c r="CX46" i="10"/>
  <c r="DA46" i="10" s="1"/>
  <c r="CY46" i="10"/>
  <c r="CZ46" i="10"/>
  <c r="CX47" i="10"/>
  <c r="CY47" i="10"/>
  <c r="CZ47" i="10"/>
  <c r="CX48" i="10"/>
  <c r="CY48" i="10"/>
  <c r="CZ48" i="10"/>
  <c r="CX49" i="10"/>
  <c r="CY49" i="10"/>
  <c r="CZ49" i="10"/>
  <c r="CX50" i="10"/>
  <c r="DA50" i="10" s="1"/>
  <c r="CY50" i="10"/>
  <c r="CZ50" i="10"/>
  <c r="CX51" i="10"/>
  <c r="CY51" i="10"/>
  <c r="CZ51" i="10"/>
  <c r="CX52" i="10"/>
  <c r="CY52" i="10"/>
  <c r="CZ52" i="10"/>
  <c r="CX53" i="10"/>
  <c r="CY53" i="10"/>
  <c r="CZ53" i="10"/>
  <c r="CX54" i="10"/>
  <c r="DA54" i="10" s="1"/>
  <c r="CY54" i="10"/>
  <c r="CZ54" i="10"/>
  <c r="CX55" i="10"/>
  <c r="CY55" i="10"/>
  <c r="CZ55" i="10"/>
  <c r="CX56" i="10"/>
  <c r="CY56" i="10"/>
  <c r="CZ56" i="10"/>
  <c r="CX57" i="10"/>
  <c r="CY57" i="10"/>
  <c r="CZ57" i="10"/>
  <c r="CX58" i="10"/>
  <c r="DA58" i="10" s="1"/>
  <c r="CY58" i="10"/>
  <c r="CZ58" i="10"/>
  <c r="CX59" i="10"/>
  <c r="CY59" i="10"/>
  <c r="CZ59" i="10"/>
  <c r="CX60" i="10"/>
  <c r="CY60" i="10"/>
  <c r="CZ60" i="10"/>
  <c r="CX61" i="10"/>
  <c r="CY61" i="10"/>
  <c r="CZ61" i="10"/>
  <c r="CX62" i="10"/>
  <c r="DA62" i="10" s="1"/>
  <c r="CY62" i="10"/>
  <c r="CZ62" i="10"/>
  <c r="CX63" i="10"/>
  <c r="CY63" i="10"/>
  <c r="CZ63" i="10"/>
  <c r="CX64" i="10"/>
  <c r="CY64" i="10"/>
  <c r="CZ64" i="10"/>
  <c r="CX65" i="10"/>
  <c r="CY65" i="10"/>
  <c r="CZ65" i="10"/>
  <c r="CX66" i="10"/>
  <c r="DA66" i="10" s="1"/>
  <c r="CY66" i="10"/>
  <c r="CZ66" i="10"/>
  <c r="CX67" i="10"/>
  <c r="CY67" i="10"/>
  <c r="CZ67" i="10"/>
  <c r="CX68" i="10"/>
  <c r="CY68" i="10"/>
  <c r="CZ68" i="10"/>
  <c r="CX69" i="10"/>
  <c r="CY69" i="10"/>
  <c r="CZ69" i="10"/>
  <c r="CX70" i="10"/>
  <c r="DA70" i="10" s="1"/>
  <c r="CY70" i="10"/>
  <c r="CZ70" i="10"/>
  <c r="CX71" i="10"/>
  <c r="CY71" i="10"/>
  <c r="CZ71" i="10"/>
  <c r="CX72" i="10"/>
  <c r="CY72" i="10"/>
  <c r="CZ72" i="10"/>
  <c r="CX73" i="10"/>
  <c r="CY73" i="10"/>
  <c r="CZ73" i="10"/>
  <c r="CX74" i="10"/>
  <c r="DA74" i="10" s="1"/>
  <c r="CY74" i="10"/>
  <c r="CZ74" i="10"/>
  <c r="CX75" i="10"/>
  <c r="CY75" i="10"/>
  <c r="CZ75" i="10"/>
  <c r="CX76" i="10"/>
  <c r="CY76" i="10"/>
  <c r="CZ76" i="10"/>
  <c r="CX77" i="10"/>
  <c r="CY77" i="10"/>
  <c r="CZ77" i="10"/>
  <c r="CX78" i="10"/>
  <c r="DA78" i="10" s="1"/>
  <c r="CY78" i="10"/>
  <c r="CZ78" i="10"/>
  <c r="CX79" i="10"/>
  <c r="CY79" i="10"/>
  <c r="CZ79" i="10"/>
  <c r="CX80" i="10"/>
  <c r="CY80" i="10"/>
  <c r="CZ80" i="10"/>
  <c r="CX81" i="10"/>
  <c r="CY81" i="10"/>
  <c r="CZ81" i="10"/>
  <c r="CX82" i="10"/>
  <c r="DA82" i="10" s="1"/>
  <c r="CY82" i="10"/>
  <c r="CZ82" i="10"/>
  <c r="CX83" i="10"/>
  <c r="CY83" i="10"/>
  <c r="CZ83" i="10"/>
  <c r="CX84" i="10"/>
  <c r="CY84" i="10"/>
  <c r="CZ84" i="10"/>
  <c r="CX85" i="10"/>
  <c r="CY85" i="10"/>
  <c r="CZ85" i="10"/>
  <c r="CX86" i="10"/>
  <c r="DA86" i="10" s="1"/>
  <c r="CY86" i="10"/>
  <c r="CZ86" i="10"/>
  <c r="CX87" i="10"/>
  <c r="CY87" i="10"/>
  <c r="CZ87" i="10"/>
  <c r="CX88" i="10"/>
  <c r="CY88" i="10"/>
  <c r="CZ88" i="10"/>
  <c r="CX89" i="10"/>
  <c r="CY89" i="10"/>
  <c r="CZ89" i="10"/>
  <c r="CX90" i="10"/>
  <c r="DA90" i="10" s="1"/>
  <c r="CY90" i="10"/>
  <c r="CZ90" i="10"/>
  <c r="CX91" i="10"/>
  <c r="CY91" i="10"/>
  <c r="CZ91" i="10"/>
  <c r="CX92" i="10"/>
  <c r="CY92" i="10"/>
  <c r="CZ92" i="10"/>
  <c r="CX93" i="10"/>
  <c r="CY93" i="10"/>
  <c r="CZ93" i="10"/>
  <c r="CX94" i="10"/>
  <c r="DA94" i="10" s="1"/>
  <c r="CY94" i="10"/>
  <c r="CZ94" i="10"/>
  <c r="CX95" i="10"/>
  <c r="CY95" i="10"/>
  <c r="CZ95" i="10"/>
  <c r="CX96" i="10"/>
  <c r="CY96" i="10"/>
  <c r="CZ96" i="10"/>
  <c r="CX97" i="10"/>
  <c r="CY97" i="10"/>
  <c r="CZ97" i="10"/>
  <c r="CX98" i="10"/>
  <c r="DA98" i="10" s="1"/>
  <c r="CY98" i="10"/>
  <c r="CZ98" i="10"/>
  <c r="CX99" i="10"/>
  <c r="CY99" i="10"/>
  <c r="CZ99" i="10"/>
  <c r="CX100" i="10"/>
  <c r="CY100" i="10"/>
  <c r="CZ100" i="10"/>
  <c r="CX101" i="10"/>
  <c r="CY101" i="10"/>
  <c r="CZ101" i="10"/>
  <c r="CX102" i="10"/>
  <c r="DA102" i="10" s="1"/>
  <c r="CY102" i="10"/>
  <c r="CZ102" i="10"/>
  <c r="CX103" i="10"/>
  <c r="CY103" i="10"/>
  <c r="CZ103" i="10"/>
  <c r="CX104" i="10"/>
  <c r="CY104" i="10"/>
  <c r="CZ104" i="10"/>
  <c r="CX105" i="10"/>
  <c r="CY105" i="10"/>
  <c r="CZ105" i="10"/>
  <c r="CX106" i="10"/>
  <c r="DA106" i="10" s="1"/>
  <c r="CY106" i="10"/>
  <c r="CZ106" i="10"/>
  <c r="CX107" i="10"/>
  <c r="CY107" i="10"/>
  <c r="CZ107" i="10"/>
  <c r="CX108" i="10"/>
  <c r="CY108" i="10"/>
  <c r="CZ108" i="10"/>
  <c r="CX109" i="10"/>
  <c r="CY109" i="10"/>
  <c r="CZ109" i="10"/>
  <c r="CX110" i="10"/>
  <c r="DA110" i="10" s="1"/>
  <c r="CY110" i="10"/>
  <c r="CZ110" i="10"/>
  <c r="CX111" i="10"/>
  <c r="CY111" i="10"/>
  <c r="CZ111" i="10"/>
  <c r="CX112" i="10"/>
  <c r="CY112" i="10"/>
  <c r="CZ112" i="10"/>
  <c r="CX113" i="10"/>
  <c r="CY113" i="10"/>
  <c r="CZ113" i="10"/>
  <c r="CX114" i="10"/>
  <c r="DA114" i="10" s="1"/>
  <c r="CY114" i="10"/>
  <c r="CZ114" i="10"/>
  <c r="CX115" i="10"/>
  <c r="CY115" i="10"/>
  <c r="CZ115" i="10"/>
  <c r="CX116" i="10"/>
  <c r="CY116" i="10"/>
  <c r="CZ116" i="10"/>
  <c r="CX117" i="10"/>
  <c r="CY117" i="10"/>
  <c r="CZ117" i="10"/>
  <c r="CX118" i="10"/>
  <c r="DA118" i="10" s="1"/>
  <c r="CY118" i="10"/>
  <c r="CZ118" i="10"/>
  <c r="CX119" i="10"/>
  <c r="CY119" i="10"/>
  <c r="CZ119" i="10"/>
  <c r="CX120" i="10"/>
  <c r="CY120" i="10"/>
  <c r="CZ120" i="10"/>
  <c r="CX121" i="10"/>
  <c r="CY121" i="10"/>
  <c r="CZ121" i="10"/>
  <c r="CX122" i="10"/>
  <c r="DA122" i="10" s="1"/>
  <c r="CY122" i="10"/>
  <c r="CZ122" i="10"/>
  <c r="CX123" i="10"/>
  <c r="CY123" i="10"/>
  <c r="CZ123" i="10"/>
  <c r="CX124" i="10"/>
  <c r="CY124" i="10"/>
  <c r="CZ124" i="10"/>
  <c r="CX125" i="10"/>
  <c r="CY125" i="10"/>
  <c r="CZ125" i="10"/>
  <c r="CX126" i="10"/>
  <c r="DA126" i="10" s="1"/>
  <c r="CY126" i="10"/>
  <c r="CZ126" i="10"/>
  <c r="CX127" i="10"/>
  <c r="CY127" i="10"/>
  <c r="CZ127" i="10"/>
  <c r="CX128" i="10"/>
  <c r="CY128" i="10"/>
  <c r="CZ128" i="10"/>
  <c r="CX129" i="10"/>
  <c r="CY129" i="10"/>
  <c r="CZ129" i="10"/>
  <c r="CX130" i="10"/>
  <c r="DA130" i="10" s="1"/>
  <c r="CY130" i="10"/>
  <c r="CZ130" i="10"/>
  <c r="CX131" i="10"/>
  <c r="CY131" i="10"/>
  <c r="CZ131" i="10"/>
  <c r="CX132" i="10"/>
  <c r="CY132" i="10"/>
  <c r="CZ132" i="10"/>
  <c r="CX133" i="10"/>
  <c r="CY133" i="10"/>
  <c r="CZ133" i="10"/>
  <c r="CX134" i="10"/>
  <c r="DA134" i="10" s="1"/>
  <c r="CY134" i="10"/>
  <c r="CZ134" i="10"/>
  <c r="CX135" i="10"/>
  <c r="CY135" i="10"/>
  <c r="CZ135" i="10"/>
  <c r="CX136" i="10"/>
  <c r="CY136" i="10"/>
  <c r="CZ136" i="10"/>
  <c r="CX137" i="10"/>
  <c r="CY137" i="10"/>
  <c r="CZ137" i="10"/>
  <c r="CX138" i="10"/>
  <c r="DA138" i="10" s="1"/>
  <c r="CY138" i="10"/>
  <c r="CZ138" i="10"/>
  <c r="CX139" i="10"/>
  <c r="CY139" i="10"/>
  <c r="CZ139" i="10"/>
  <c r="CX140" i="10"/>
  <c r="DA140" i="10" s="1"/>
  <c r="CY140" i="10"/>
  <c r="CZ140" i="10"/>
  <c r="CX141" i="10"/>
  <c r="CY141" i="10"/>
  <c r="CZ141" i="10"/>
  <c r="CX142" i="10"/>
  <c r="DA142" i="10" s="1"/>
  <c r="CY142" i="10"/>
  <c r="CZ142" i="10"/>
  <c r="CX143" i="10"/>
  <c r="CY143" i="10"/>
  <c r="CZ143" i="10"/>
  <c r="CX144" i="10"/>
  <c r="CY144" i="10"/>
  <c r="CZ144" i="10"/>
  <c r="CX145" i="10"/>
  <c r="CY145" i="10"/>
  <c r="CZ145" i="10"/>
  <c r="CX146" i="10"/>
  <c r="DA146" i="10" s="1"/>
  <c r="CY146" i="10"/>
  <c r="CZ146" i="10"/>
  <c r="CX147" i="10"/>
  <c r="CY147" i="10"/>
  <c r="CZ147" i="10"/>
  <c r="CX148" i="10"/>
  <c r="CY148" i="10"/>
  <c r="CZ148" i="10"/>
  <c r="CX149" i="10"/>
  <c r="CY149" i="10"/>
  <c r="CZ149" i="10"/>
  <c r="CX150" i="10"/>
  <c r="DA150" i="10" s="1"/>
  <c r="CY150" i="10"/>
  <c r="CZ150" i="10"/>
  <c r="CX151" i="10"/>
  <c r="CY151" i="10"/>
  <c r="CZ151" i="10"/>
  <c r="CX152" i="10"/>
  <c r="DA152" i="10" s="1"/>
  <c r="CY152" i="10"/>
  <c r="CZ152" i="10"/>
  <c r="CX153" i="10"/>
  <c r="CY153" i="10"/>
  <c r="CZ153" i="10"/>
  <c r="CX154" i="10"/>
  <c r="DA154" i="10" s="1"/>
  <c r="CY154" i="10"/>
  <c r="CZ154" i="10"/>
  <c r="CX155" i="10"/>
  <c r="CY155" i="10"/>
  <c r="CZ155" i="10"/>
  <c r="CX156" i="10"/>
  <c r="CY156" i="10"/>
  <c r="CZ156" i="10"/>
  <c r="CX157" i="10"/>
  <c r="CY157" i="10"/>
  <c r="CZ157" i="10"/>
  <c r="CX158" i="10"/>
  <c r="DA158" i="10" s="1"/>
  <c r="CY158" i="10"/>
  <c r="CZ158" i="10"/>
  <c r="CX159" i="10"/>
  <c r="CY159" i="10"/>
  <c r="CZ159" i="10"/>
  <c r="CX160" i="10"/>
  <c r="CY160" i="10"/>
  <c r="CZ160" i="10"/>
  <c r="CX161" i="10"/>
  <c r="CY161" i="10"/>
  <c r="CZ161" i="10"/>
  <c r="CX162" i="10"/>
  <c r="DA162" i="10" s="1"/>
  <c r="CY162" i="10"/>
  <c r="CZ162" i="10"/>
  <c r="CX163" i="10"/>
  <c r="CY163" i="10"/>
  <c r="CZ163" i="10"/>
  <c r="CX164" i="10"/>
  <c r="DA164" i="10" s="1"/>
  <c r="CY164" i="10"/>
  <c r="CZ164" i="10"/>
  <c r="CX165" i="10"/>
  <c r="CY165" i="10"/>
  <c r="CZ165" i="10"/>
  <c r="CX166" i="10"/>
  <c r="DA166" i="10" s="1"/>
  <c r="CY166" i="10"/>
  <c r="CZ166" i="10"/>
  <c r="CX167" i="10"/>
  <c r="CY167" i="10"/>
  <c r="CZ167" i="10"/>
  <c r="CX168" i="10"/>
  <c r="CY168" i="10"/>
  <c r="CZ168" i="10"/>
  <c r="CX169" i="10"/>
  <c r="CY169" i="10"/>
  <c r="CZ169" i="10"/>
  <c r="CX170" i="10"/>
  <c r="DA170" i="10" s="1"/>
  <c r="CY170" i="10"/>
  <c r="CZ170" i="10"/>
  <c r="CX171" i="10"/>
  <c r="CY171" i="10"/>
  <c r="CZ171" i="10"/>
  <c r="CX172" i="10"/>
  <c r="CY172" i="10"/>
  <c r="CZ172" i="10"/>
  <c r="CX173" i="10"/>
  <c r="CY173" i="10"/>
  <c r="CZ173" i="10"/>
  <c r="CX174" i="10"/>
  <c r="DA174" i="10" s="1"/>
  <c r="CY174" i="10"/>
  <c r="CZ174" i="10"/>
  <c r="CX175" i="10"/>
  <c r="CY175" i="10"/>
  <c r="CZ175" i="10"/>
  <c r="CX176" i="10"/>
  <c r="DA176" i="10" s="1"/>
  <c r="CY176" i="10"/>
  <c r="CZ176" i="10"/>
  <c r="CX177" i="10"/>
  <c r="CY177" i="10"/>
  <c r="CZ177" i="10"/>
  <c r="CX178" i="10"/>
  <c r="DA178" i="10" s="1"/>
  <c r="CY178" i="10"/>
  <c r="CZ178" i="10"/>
  <c r="CX179" i="10"/>
  <c r="CY179" i="10"/>
  <c r="CZ179" i="10"/>
  <c r="CX180" i="10"/>
  <c r="CY180" i="10"/>
  <c r="CZ180" i="10"/>
  <c r="CX181" i="10"/>
  <c r="CY181" i="10"/>
  <c r="CZ181" i="10"/>
  <c r="CX182" i="10"/>
  <c r="DA182" i="10" s="1"/>
  <c r="CY182" i="10"/>
  <c r="CZ182" i="10"/>
  <c r="CX183" i="10"/>
  <c r="CY183" i="10"/>
  <c r="CZ183" i="10"/>
  <c r="CX184" i="10"/>
  <c r="CY184" i="10"/>
  <c r="CZ184" i="10"/>
  <c r="CX185" i="10"/>
  <c r="CY185" i="10"/>
  <c r="CZ185" i="10"/>
  <c r="CX186" i="10"/>
  <c r="DA186" i="10" s="1"/>
  <c r="CY186" i="10"/>
  <c r="CZ186" i="10"/>
  <c r="CX187" i="10"/>
  <c r="CY187" i="10"/>
  <c r="CZ187" i="10"/>
  <c r="CX188" i="10"/>
  <c r="DA188" i="10" s="1"/>
  <c r="CY188" i="10"/>
  <c r="CZ188" i="10"/>
  <c r="CX189" i="10"/>
  <c r="CY189" i="10"/>
  <c r="CZ189" i="10"/>
  <c r="CX190" i="10"/>
  <c r="DA190" i="10" s="1"/>
  <c r="CY190" i="10"/>
  <c r="CZ190" i="10"/>
  <c r="CX191" i="10"/>
  <c r="CY191" i="10"/>
  <c r="CZ191" i="10"/>
  <c r="CX192" i="10"/>
  <c r="CY192" i="10"/>
  <c r="CZ192" i="10"/>
  <c r="CX193" i="10"/>
  <c r="CY193" i="10"/>
  <c r="CZ193" i="10"/>
  <c r="CX194" i="10"/>
  <c r="DA194" i="10" s="1"/>
  <c r="CY194" i="10"/>
  <c r="CZ194" i="10"/>
  <c r="CX195" i="10"/>
  <c r="CY195" i="10"/>
  <c r="CZ195" i="10"/>
  <c r="CX196" i="10"/>
  <c r="CY196" i="10"/>
  <c r="CZ196" i="10"/>
  <c r="CX197" i="10"/>
  <c r="CY197" i="10"/>
  <c r="CZ197" i="10"/>
  <c r="CX198" i="10"/>
  <c r="DA198" i="10" s="1"/>
  <c r="CY198" i="10"/>
  <c r="CZ198" i="10"/>
  <c r="CX199" i="10"/>
  <c r="CY199" i="10"/>
  <c r="CZ199" i="10"/>
  <c r="CX200" i="10"/>
  <c r="DA200" i="10" s="1"/>
  <c r="CY200" i="10"/>
  <c r="CZ200" i="10"/>
  <c r="CX201" i="10"/>
  <c r="CY201" i="10"/>
  <c r="CZ201" i="10"/>
  <c r="CX202" i="10"/>
  <c r="DA202" i="10" s="1"/>
  <c r="CY202" i="10"/>
  <c r="CZ202" i="10"/>
  <c r="CX203" i="10"/>
  <c r="CY203" i="10"/>
  <c r="CZ203" i="10"/>
  <c r="CX204" i="10"/>
  <c r="CY204" i="10"/>
  <c r="CZ204" i="10"/>
  <c r="CX205" i="10"/>
  <c r="CY205" i="10"/>
  <c r="CZ205" i="10"/>
  <c r="CX206" i="10"/>
  <c r="DA206" i="10" s="1"/>
  <c r="CY206" i="10"/>
  <c r="CZ206" i="10"/>
  <c r="CX207" i="10"/>
  <c r="CY207" i="10"/>
  <c r="CZ207" i="10"/>
  <c r="CX208" i="10"/>
  <c r="CY208" i="10"/>
  <c r="CZ208" i="10"/>
  <c r="CX209" i="10"/>
  <c r="CY209" i="10"/>
  <c r="CZ209" i="10"/>
  <c r="CX210" i="10"/>
  <c r="DA210" i="10" s="1"/>
  <c r="CY210" i="10"/>
  <c r="CZ210" i="10"/>
  <c r="CX211" i="10"/>
  <c r="CY211" i="10"/>
  <c r="CZ211" i="10"/>
  <c r="CX212" i="10"/>
  <c r="DA212" i="10" s="1"/>
  <c r="CY212" i="10"/>
  <c r="CZ212" i="10"/>
  <c r="CX213" i="10"/>
  <c r="CY213" i="10"/>
  <c r="CZ213" i="10"/>
  <c r="CX214" i="10"/>
  <c r="DA214" i="10" s="1"/>
  <c r="CY214" i="10"/>
  <c r="CZ214" i="10"/>
  <c r="CX215" i="10"/>
  <c r="CY215" i="10"/>
  <c r="CZ215" i="10"/>
  <c r="CX216" i="10"/>
  <c r="CY216" i="10"/>
  <c r="CZ216" i="10"/>
  <c r="CX217" i="10"/>
  <c r="CY217" i="10"/>
  <c r="CZ217" i="10"/>
  <c r="CX218" i="10"/>
  <c r="DA218" i="10" s="1"/>
  <c r="CY218" i="10"/>
  <c r="CZ218" i="10"/>
  <c r="CX219" i="10"/>
  <c r="CY219" i="10"/>
  <c r="CZ219" i="10"/>
  <c r="CX220" i="10"/>
  <c r="CY220" i="10"/>
  <c r="CZ220" i="10"/>
  <c r="CX221" i="10"/>
  <c r="CY221" i="10"/>
  <c r="CZ221" i="10"/>
  <c r="CX222" i="10"/>
  <c r="DA222" i="10" s="1"/>
  <c r="CY222" i="10"/>
  <c r="CZ222" i="10"/>
  <c r="CX223" i="10"/>
  <c r="CY223" i="10"/>
  <c r="CZ223" i="10"/>
  <c r="CX224" i="10"/>
  <c r="DA224" i="10" s="1"/>
  <c r="CY224" i="10"/>
  <c r="CZ224" i="10"/>
  <c r="CX225" i="10"/>
  <c r="CY225" i="10"/>
  <c r="CZ225" i="10"/>
  <c r="CX226" i="10"/>
  <c r="DA226" i="10" s="1"/>
  <c r="CY226" i="10"/>
  <c r="CZ226" i="10"/>
  <c r="CX227" i="10"/>
  <c r="CY227" i="10"/>
  <c r="CZ227" i="10"/>
  <c r="CX228" i="10"/>
  <c r="CY228" i="10"/>
  <c r="CZ228" i="10"/>
  <c r="CX229" i="10"/>
  <c r="CY229" i="10"/>
  <c r="CZ229" i="10"/>
  <c r="CX230" i="10"/>
  <c r="DA230" i="10" s="1"/>
  <c r="CY230" i="10"/>
  <c r="CZ230" i="10"/>
  <c r="CX231" i="10"/>
  <c r="CY231" i="10"/>
  <c r="CZ231" i="10"/>
  <c r="CX232" i="10"/>
  <c r="CY232" i="10"/>
  <c r="CZ232" i="10"/>
  <c r="CX233" i="10"/>
  <c r="CY233" i="10"/>
  <c r="CZ233" i="10"/>
  <c r="CX234" i="10"/>
  <c r="DA234" i="10" s="1"/>
  <c r="CY234" i="10"/>
  <c r="CZ234" i="10"/>
  <c r="CX235" i="10"/>
  <c r="CY235" i="10"/>
  <c r="CZ235" i="10"/>
  <c r="CX236" i="10"/>
  <c r="DA236" i="10" s="1"/>
  <c r="CY236" i="10"/>
  <c r="CZ236" i="10"/>
  <c r="CX237" i="10"/>
  <c r="CY237" i="10"/>
  <c r="CZ237" i="10"/>
  <c r="CX238" i="10"/>
  <c r="DA238" i="10" s="1"/>
  <c r="CY238" i="10"/>
  <c r="CZ238" i="10"/>
  <c r="CX239" i="10"/>
  <c r="CY239" i="10"/>
  <c r="CZ239" i="10"/>
  <c r="CX240" i="10"/>
  <c r="CY240" i="10"/>
  <c r="CZ240" i="10"/>
  <c r="CX241" i="10"/>
  <c r="CY241" i="10"/>
  <c r="CZ241" i="10"/>
  <c r="CX242" i="10"/>
  <c r="DA242" i="10" s="1"/>
  <c r="CY242" i="10"/>
  <c r="CZ242" i="10"/>
  <c r="CX243" i="10"/>
  <c r="CY243" i="10"/>
  <c r="CZ243" i="10"/>
  <c r="CX244" i="10"/>
  <c r="CY244" i="10"/>
  <c r="CZ244" i="10"/>
  <c r="CX245" i="10"/>
  <c r="CY245" i="10"/>
  <c r="CZ245" i="10"/>
  <c r="CX246" i="10"/>
  <c r="DA246" i="10" s="1"/>
  <c r="CY246" i="10"/>
  <c r="CZ246" i="10"/>
  <c r="CX247" i="10"/>
  <c r="CY247" i="10"/>
  <c r="CZ247" i="10"/>
  <c r="CX248" i="10"/>
  <c r="DA248" i="10" s="1"/>
  <c r="CY248" i="10"/>
  <c r="CZ248" i="10"/>
  <c r="CX249" i="10"/>
  <c r="CY249" i="10"/>
  <c r="CZ249" i="10"/>
  <c r="CX250" i="10"/>
  <c r="DA250" i="10" s="1"/>
  <c r="CY250" i="10"/>
  <c r="CZ250" i="10"/>
  <c r="CX251" i="10"/>
  <c r="CY251" i="10"/>
  <c r="CZ251" i="10"/>
  <c r="CX252" i="10"/>
  <c r="CY252" i="10"/>
  <c r="CZ252" i="10"/>
  <c r="CX253" i="10"/>
  <c r="CY253" i="10"/>
  <c r="CZ253" i="10"/>
  <c r="CX254" i="10"/>
  <c r="DA254" i="10" s="1"/>
  <c r="CY254" i="10"/>
  <c r="CZ254" i="10"/>
  <c r="CX255" i="10"/>
  <c r="CY255" i="10"/>
  <c r="CZ255" i="10"/>
  <c r="CX256" i="10"/>
  <c r="CY256" i="10"/>
  <c r="CZ256" i="10"/>
  <c r="CX257" i="10"/>
  <c r="CY257" i="10"/>
  <c r="CZ257" i="10"/>
  <c r="CX258" i="10"/>
  <c r="DA258" i="10" s="1"/>
  <c r="CY258" i="10"/>
  <c r="CZ258" i="10"/>
  <c r="CX259" i="10"/>
  <c r="CY259" i="10"/>
  <c r="CZ259" i="10"/>
  <c r="CX260" i="10"/>
  <c r="DA260" i="10" s="1"/>
  <c r="CY260" i="10"/>
  <c r="CZ260" i="10"/>
  <c r="CX261" i="10"/>
  <c r="CY261" i="10"/>
  <c r="CZ261" i="10"/>
  <c r="CX262" i="10"/>
  <c r="DA262" i="10" s="1"/>
  <c r="CY262" i="10"/>
  <c r="CZ262" i="10"/>
  <c r="CX263" i="10"/>
  <c r="CY263" i="10"/>
  <c r="CZ263" i="10"/>
  <c r="CX264" i="10"/>
  <c r="CY264" i="10"/>
  <c r="CZ264" i="10"/>
  <c r="CX265" i="10"/>
  <c r="CY265" i="10"/>
  <c r="CZ265" i="10"/>
  <c r="CX266" i="10"/>
  <c r="DA266" i="10" s="1"/>
  <c r="CY266" i="10"/>
  <c r="CZ266" i="10"/>
  <c r="CX267" i="10"/>
  <c r="CY267" i="10"/>
  <c r="CZ267" i="10"/>
  <c r="CX268" i="10"/>
  <c r="CY268" i="10"/>
  <c r="CZ268" i="10"/>
  <c r="CX269" i="10"/>
  <c r="CY269" i="10"/>
  <c r="CZ269" i="10"/>
  <c r="CX270" i="10"/>
  <c r="DA270" i="10" s="1"/>
  <c r="CY270" i="10"/>
  <c r="CZ270" i="10"/>
  <c r="CX271" i="10"/>
  <c r="CY271" i="10"/>
  <c r="CZ271" i="10"/>
  <c r="CX272" i="10"/>
  <c r="DA272" i="10" s="1"/>
  <c r="CY272" i="10"/>
  <c r="CZ272" i="10"/>
  <c r="CX273" i="10"/>
  <c r="CY273" i="10"/>
  <c r="CZ273" i="10"/>
  <c r="CX274" i="10"/>
  <c r="DA274" i="10" s="1"/>
  <c r="CY274" i="10"/>
  <c r="CZ274" i="10"/>
  <c r="CX275" i="10"/>
  <c r="CY275" i="10"/>
  <c r="CZ275" i="10"/>
  <c r="CX276" i="10"/>
  <c r="CY276" i="10"/>
  <c r="CZ276" i="10"/>
  <c r="CX277" i="10"/>
  <c r="CY277" i="10"/>
  <c r="CZ277" i="10"/>
  <c r="CX278" i="10"/>
  <c r="DA278" i="10" s="1"/>
  <c r="CY278" i="10"/>
  <c r="CZ278" i="10"/>
  <c r="CX279" i="10"/>
  <c r="CY279" i="10"/>
  <c r="CZ279" i="10"/>
  <c r="CX280" i="10"/>
  <c r="CY280" i="10"/>
  <c r="CZ280" i="10"/>
  <c r="CX281" i="10"/>
  <c r="CY281" i="10"/>
  <c r="CZ281" i="10"/>
  <c r="CX282" i="10"/>
  <c r="DA282" i="10" s="1"/>
  <c r="CY282" i="10"/>
  <c r="CZ282" i="10"/>
  <c r="CX283" i="10"/>
  <c r="CY283" i="10"/>
  <c r="CZ283" i="10"/>
  <c r="CX284" i="10"/>
  <c r="DA284" i="10" s="1"/>
  <c r="CY284" i="10"/>
  <c r="CZ284" i="10"/>
  <c r="CX285" i="10"/>
  <c r="CY285" i="10"/>
  <c r="CZ285" i="10"/>
  <c r="CX286" i="10"/>
  <c r="DA286" i="10" s="1"/>
  <c r="CY286" i="10"/>
  <c r="CZ286" i="10"/>
  <c r="CX287" i="10"/>
  <c r="CY287" i="10"/>
  <c r="CZ287" i="10"/>
  <c r="CX288" i="10"/>
  <c r="CY288" i="10"/>
  <c r="CZ288" i="10"/>
  <c r="CX289" i="10"/>
  <c r="CY289" i="10"/>
  <c r="CZ289" i="10"/>
  <c r="CX290" i="10"/>
  <c r="DA290" i="10" s="1"/>
  <c r="CY290" i="10"/>
  <c r="CZ290" i="10"/>
  <c r="CX291" i="10"/>
  <c r="CY291" i="10"/>
  <c r="CZ291" i="10"/>
  <c r="CX292" i="10"/>
  <c r="CY292" i="10"/>
  <c r="CZ292" i="10"/>
  <c r="CX293" i="10"/>
  <c r="CY293" i="10"/>
  <c r="CZ293" i="10"/>
  <c r="CX294" i="10"/>
  <c r="DA294" i="10" s="1"/>
  <c r="CY294" i="10"/>
  <c r="CZ294" i="10"/>
  <c r="CX295" i="10"/>
  <c r="CY295" i="10"/>
  <c r="CZ295" i="10"/>
  <c r="CX296" i="10"/>
  <c r="DA296" i="10" s="1"/>
  <c r="CY296" i="10"/>
  <c r="CZ296" i="10"/>
  <c r="CX297" i="10"/>
  <c r="CY297" i="10"/>
  <c r="CZ297" i="10"/>
  <c r="CX298" i="10"/>
  <c r="DA298" i="10" s="1"/>
  <c r="CY298" i="10"/>
  <c r="CZ298" i="10"/>
  <c r="CX299" i="10"/>
  <c r="CY299" i="10"/>
  <c r="CZ299" i="10"/>
  <c r="CX300" i="10"/>
  <c r="CY300" i="10"/>
  <c r="CZ300" i="10"/>
  <c r="CX301" i="10"/>
  <c r="CY301" i="10"/>
  <c r="CZ301" i="10"/>
  <c r="CX302" i="10"/>
  <c r="DA302" i="10" s="1"/>
  <c r="CY302" i="10"/>
  <c r="CZ302" i="10"/>
  <c r="CX303" i="10"/>
  <c r="CY303" i="10"/>
  <c r="CZ303" i="10"/>
  <c r="CX304" i="10"/>
  <c r="CY304" i="10"/>
  <c r="CZ304" i="10"/>
  <c r="CX305" i="10"/>
  <c r="CY305" i="10"/>
  <c r="CZ305" i="10"/>
  <c r="CX306" i="10"/>
  <c r="DA306" i="10" s="1"/>
  <c r="CY306" i="10"/>
  <c r="CZ306" i="10"/>
  <c r="CX307" i="10"/>
  <c r="CY307" i="10"/>
  <c r="CZ307" i="10"/>
  <c r="CX308" i="10"/>
  <c r="DA308" i="10" s="1"/>
  <c r="CY308" i="10"/>
  <c r="CZ308" i="10"/>
  <c r="CX309" i="10"/>
  <c r="CY309" i="10"/>
  <c r="CZ309" i="10"/>
  <c r="CX310" i="10"/>
  <c r="DA310" i="10" s="1"/>
  <c r="CY310" i="10"/>
  <c r="CZ310" i="10"/>
  <c r="CX311" i="10"/>
  <c r="CY311" i="10"/>
  <c r="CZ311" i="10"/>
  <c r="CX312" i="10"/>
  <c r="CY312" i="10"/>
  <c r="CZ312" i="10"/>
  <c r="CX313" i="10"/>
  <c r="CY313" i="10"/>
  <c r="CZ313" i="10"/>
  <c r="CX314" i="10"/>
  <c r="DA314" i="10" s="1"/>
  <c r="CY314" i="10"/>
  <c r="CZ314" i="10"/>
  <c r="CX315" i="10"/>
  <c r="CY315" i="10"/>
  <c r="CZ315" i="10"/>
  <c r="CX316" i="10"/>
  <c r="CY316" i="10"/>
  <c r="CZ316" i="10"/>
  <c r="CX317" i="10"/>
  <c r="DA317" i="10" s="1"/>
  <c r="CY317" i="10"/>
  <c r="CZ317" i="10"/>
  <c r="CX318" i="10"/>
  <c r="DA318" i="10" s="1"/>
  <c r="CY318" i="10"/>
  <c r="CZ318" i="10"/>
  <c r="CX319" i="10"/>
  <c r="CY319" i="10"/>
  <c r="CZ319" i="10"/>
  <c r="CX320" i="10"/>
  <c r="DA320" i="10" s="1"/>
  <c r="CY320" i="10"/>
  <c r="CZ320" i="10"/>
  <c r="CX321" i="10"/>
  <c r="CY321" i="10"/>
  <c r="CZ321" i="10"/>
  <c r="CX322" i="10"/>
  <c r="DA322" i="10" s="1"/>
  <c r="CY322" i="10"/>
  <c r="CZ322" i="10"/>
  <c r="CX323" i="10"/>
  <c r="CY323" i="10"/>
  <c r="CZ323" i="10"/>
  <c r="CX324" i="10"/>
  <c r="CY324" i="10"/>
  <c r="CZ324" i="10"/>
  <c r="CX325" i="10"/>
  <c r="CY325" i="10"/>
  <c r="CZ325" i="10"/>
  <c r="CX326" i="10"/>
  <c r="DA326" i="10" s="1"/>
  <c r="CY326" i="10"/>
  <c r="CZ326" i="10"/>
  <c r="CX327" i="10"/>
  <c r="CY327" i="10"/>
  <c r="CZ327" i="10"/>
  <c r="CX328" i="10"/>
  <c r="CY328" i="10"/>
  <c r="CZ328" i="10"/>
  <c r="CX329" i="10"/>
  <c r="DA329" i="10" s="1"/>
  <c r="CY329" i="10"/>
  <c r="CZ329" i="10"/>
  <c r="CX330" i="10"/>
  <c r="DA330" i="10" s="1"/>
  <c r="CY330" i="10"/>
  <c r="CZ330" i="10"/>
  <c r="CX331" i="10"/>
  <c r="CY331" i="10"/>
  <c r="CZ331" i="10"/>
  <c r="CX332" i="10"/>
  <c r="DA332" i="10" s="1"/>
  <c r="CY332" i="10"/>
  <c r="CZ332" i="10"/>
  <c r="CX333" i="10"/>
  <c r="CY333" i="10"/>
  <c r="CZ333" i="10"/>
  <c r="CX334" i="10"/>
  <c r="DA334" i="10" s="1"/>
  <c r="CY334" i="10"/>
  <c r="CZ334" i="10"/>
  <c r="CX335" i="10"/>
  <c r="CY335" i="10"/>
  <c r="CZ335" i="10"/>
  <c r="CX336" i="10"/>
  <c r="CY336" i="10"/>
  <c r="CZ336" i="10"/>
  <c r="CX337" i="10"/>
  <c r="CY337" i="10"/>
  <c r="CZ337" i="10"/>
  <c r="CX338" i="10"/>
  <c r="DA338" i="10" s="1"/>
  <c r="CY338" i="10"/>
  <c r="CZ338" i="10"/>
  <c r="CX339" i="10"/>
  <c r="CY339" i="10"/>
  <c r="CZ339" i="10"/>
  <c r="CX340" i="10"/>
  <c r="CY340" i="10"/>
  <c r="CZ340" i="10"/>
  <c r="CX341" i="10"/>
  <c r="DA341" i="10" s="1"/>
  <c r="CY341" i="10"/>
  <c r="CZ341" i="10"/>
  <c r="CX342" i="10"/>
  <c r="DA342" i="10" s="1"/>
  <c r="CY342" i="10"/>
  <c r="CZ342" i="10"/>
  <c r="CX343" i="10"/>
  <c r="CY343" i="10"/>
  <c r="CZ343" i="10"/>
  <c r="CX344" i="10"/>
  <c r="DA344" i="10" s="1"/>
  <c r="CY344" i="10"/>
  <c r="CZ344" i="10"/>
  <c r="CX345" i="10"/>
  <c r="CY345" i="10"/>
  <c r="CZ345" i="10"/>
  <c r="CX346" i="10"/>
  <c r="DA346" i="10" s="1"/>
  <c r="CY346" i="10"/>
  <c r="CZ346" i="10"/>
  <c r="CX347" i="10"/>
  <c r="CY347" i="10"/>
  <c r="CZ347" i="10"/>
  <c r="CX348" i="10"/>
  <c r="CY348" i="10"/>
  <c r="CZ348" i="10"/>
  <c r="CX349" i="10"/>
  <c r="CY349" i="10"/>
  <c r="CZ349" i="10"/>
  <c r="CX350" i="10"/>
  <c r="DA350" i="10" s="1"/>
  <c r="CY350" i="10"/>
  <c r="CZ350" i="10"/>
  <c r="CX351" i="10"/>
  <c r="CY351" i="10"/>
  <c r="CZ351" i="10"/>
  <c r="CX352" i="10"/>
  <c r="CY352" i="10"/>
  <c r="CZ352" i="10"/>
  <c r="CX353" i="10"/>
  <c r="DA353" i="10" s="1"/>
  <c r="CY353" i="10"/>
  <c r="CZ353" i="10"/>
  <c r="CX354" i="10"/>
  <c r="DA354" i="10" s="1"/>
  <c r="CY354" i="10"/>
  <c r="CZ354" i="10"/>
  <c r="CX355" i="10"/>
  <c r="CY355" i="10"/>
  <c r="CZ355" i="10"/>
  <c r="CX356" i="10"/>
  <c r="DA356" i="10" s="1"/>
  <c r="CY356" i="10"/>
  <c r="CZ356" i="10"/>
  <c r="CX357" i="10"/>
  <c r="CY357" i="10"/>
  <c r="CZ357" i="10"/>
  <c r="CX358" i="10"/>
  <c r="DA358" i="10" s="1"/>
  <c r="CY358" i="10"/>
  <c r="CZ358" i="10"/>
  <c r="CX359" i="10"/>
  <c r="CY359" i="10"/>
  <c r="CZ359" i="10"/>
  <c r="CX360" i="10"/>
  <c r="CY360" i="10"/>
  <c r="CZ360" i="10"/>
  <c r="CX361" i="10"/>
  <c r="CY361" i="10"/>
  <c r="CZ361" i="10"/>
  <c r="CX362" i="10"/>
  <c r="DA362" i="10" s="1"/>
  <c r="CY362" i="10"/>
  <c r="CZ362" i="10"/>
  <c r="CX363" i="10"/>
  <c r="CY363" i="10"/>
  <c r="CZ363" i="10"/>
  <c r="CX364" i="10"/>
  <c r="CY364" i="10"/>
  <c r="CZ364" i="10"/>
  <c r="CX365" i="10"/>
  <c r="DA365" i="10" s="1"/>
  <c r="CY365" i="10"/>
  <c r="CZ365" i="10"/>
  <c r="CX366" i="10"/>
  <c r="DA366" i="10" s="1"/>
  <c r="CY366" i="10"/>
  <c r="CZ366" i="10"/>
  <c r="CX367" i="10"/>
  <c r="CY367" i="10"/>
  <c r="CZ367" i="10"/>
  <c r="CX368" i="10"/>
  <c r="DA368" i="10" s="1"/>
  <c r="CY368" i="10"/>
  <c r="CZ368" i="10"/>
  <c r="CX369" i="10"/>
  <c r="CY369" i="10"/>
  <c r="CZ369" i="10"/>
  <c r="CX370" i="10"/>
  <c r="DA370" i="10" s="1"/>
  <c r="CY370" i="10"/>
  <c r="CZ370" i="10"/>
  <c r="CX371" i="10"/>
  <c r="CY371" i="10"/>
  <c r="CZ371" i="10"/>
  <c r="CX372" i="10"/>
  <c r="CY372" i="10"/>
  <c r="CZ372" i="10"/>
  <c r="CX373" i="10"/>
  <c r="CY373" i="10"/>
  <c r="CZ373" i="10"/>
  <c r="CX374" i="10"/>
  <c r="DA374" i="10" s="1"/>
  <c r="CY374" i="10"/>
  <c r="CZ374" i="10"/>
  <c r="CX375" i="10"/>
  <c r="CY375" i="10"/>
  <c r="CZ375" i="10"/>
  <c r="CX376" i="10"/>
  <c r="CY376" i="10"/>
  <c r="CZ376" i="10"/>
  <c r="CX377" i="10"/>
  <c r="DA377" i="10" s="1"/>
  <c r="CY377" i="10"/>
  <c r="CZ377" i="10"/>
  <c r="CX378" i="10"/>
  <c r="DA378" i="10" s="1"/>
  <c r="CY378" i="10"/>
  <c r="CZ378" i="10"/>
  <c r="CX379" i="10"/>
  <c r="CY379" i="10"/>
  <c r="CZ379" i="10"/>
  <c r="CX380" i="10"/>
  <c r="DA380" i="10" s="1"/>
  <c r="CY380" i="10"/>
  <c r="CZ380" i="10"/>
  <c r="CX381" i="10"/>
  <c r="CY381" i="10"/>
  <c r="CZ381" i="10"/>
  <c r="CX382" i="10"/>
  <c r="DA382" i="10" s="1"/>
  <c r="CY382" i="10"/>
  <c r="CZ382" i="10"/>
  <c r="CX383" i="10"/>
  <c r="CY383" i="10"/>
  <c r="CZ383" i="10"/>
  <c r="CX384" i="10"/>
  <c r="CY384" i="10"/>
  <c r="CZ384" i="10"/>
  <c r="CX385" i="10"/>
  <c r="CY385" i="10"/>
  <c r="CZ385" i="10"/>
  <c r="CX386" i="10"/>
  <c r="DA386" i="10" s="1"/>
  <c r="CY386" i="10"/>
  <c r="CZ386" i="10"/>
  <c r="CX387" i="10"/>
  <c r="CY387" i="10"/>
  <c r="CZ387" i="10"/>
  <c r="CX388" i="10"/>
  <c r="CY388" i="10"/>
  <c r="CZ388" i="10"/>
  <c r="CX389" i="10"/>
  <c r="DA389" i="10" s="1"/>
  <c r="CY389" i="10"/>
  <c r="CZ389" i="10"/>
  <c r="CX390" i="10"/>
  <c r="DA390" i="10" s="1"/>
  <c r="CY390" i="10"/>
  <c r="CZ390" i="10"/>
  <c r="CX391" i="10"/>
  <c r="CY391" i="10"/>
  <c r="CZ391" i="10"/>
  <c r="CX392" i="10"/>
  <c r="DA392" i="10" s="1"/>
  <c r="CY392" i="10"/>
  <c r="CZ392" i="10"/>
  <c r="CX393" i="10"/>
  <c r="CY393" i="10"/>
  <c r="CZ393" i="10"/>
  <c r="CX394" i="10"/>
  <c r="DA394" i="10" s="1"/>
  <c r="CY394" i="10"/>
  <c r="CZ394" i="10"/>
  <c r="CX395" i="10"/>
  <c r="CY395" i="10"/>
  <c r="CZ395" i="10"/>
  <c r="CX396" i="10"/>
  <c r="CY396" i="10"/>
  <c r="CZ396" i="10"/>
  <c r="CX397" i="10"/>
  <c r="CY397" i="10"/>
  <c r="CZ397" i="10"/>
  <c r="CX398" i="10"/>
  <c r="DA398" i="10" s="1"/>
  <c r="CY398" i="10"/>
  <c r="CZ398" i="10"/>
  <c r="CX399" i="10"/>
  <c r="CY399" i="10"/>
  <c r="CZ399" i="10"/>
  <c r="CX400" i="10"/>
  <c r="CY400" i="10"/>
  <c r="CZ400" i="10"/>
  <c r="CX401" i="10"/>
  <c r="DA401" i="10" s="1"/>
  <c r="CY401" i="10"/>
  <c r="CZ401" i="10"/>
  <c r="CX402" i="10"/>
  <c r="DA402" i="10" s="1"/>
  <c r="CY402" i="10"/>
  <c r="CZ402" i="10"/>
  <c r="CX403" i="10"/>
  <c r="CY403" i="10"/>
  <c r="CZ403" i="10"/>
  <c r="CX404" i="10"/>
  <c r="DA404" i="10" s="1"/>
  <c r="CY404" i="10"/>
  <c r="CZ404" i="10"/>
  <c r="CX405" i="10"/>
  <c r="CY405" i="10"/>
  <c r="CZ405" i="10"/>
  <c r="CX406" i="10"/>
  <c r="DA406" i="10" s="1"/>
  <c r="CY406" i="10"/>
  <c r="CZ406" i="10"/>
  <c r="CX407" i="10"/>
  <c r="CY407" i="10"/>
  <c r="CZ407" i="10"/>
  <c r="CX408" i="10"/>
  <c r="CY408" i="10"/>
  <c r="CZ408" i="10"/>
  <c r="CX409" i="10"/>
  <c r="CY409" i="10"/>
  <c r="CZ409" i="10"/>
  <c r="CX410" i="10"/>
  <c r="DA410" i="10" s="1"/>
  <c r="CY410" i="10"/>
  <c r="CZ410" i="10"/>
  <c r="CX411" i="10"/>
  <c r="CY411" i="10"/>
  <c r="CZ411" i="10"/>
  <c r="CX412" i="10"/>
  <c r="CY412" i="10"/>
  <c r="CZ412" i="10"/>
  <c r="CX413" i="10"/>
  <c r="DA413" i="10" s="1"/>
  <c r="CY413" i="10"/>
  <c r="CZ413" i="10"/>
  <c r="CX414" i="10"/>
  <c r="DA414" i="10" s="1"/>
  <c r="CY414" i="10"/>
  <c r="CZ414" i="10"/>
  <c r="CX415" i="10"/>
  <c r="CY415" i="10"/>
  <c r="CZ415" i="10"/>
  <c r="CX416" i="10"/>
  <c r="DA416" i="10" s="1"/>
  <c r="CY416" i="10"/>
  <c r="CZ416" i="10"/>
  <c r="CX417" i="10"/>
  <c r="CY417" i="10"/>
  <c r="CZ417" i="10"/>
  <c r="CX418" i="10"/>
  <c r="DA418" i="10" s="1"/>
  <c r="CY418" i="10"/>
  <c r="CZ418" i="10"/>
  <c r="CX419" i="10"/>
  <c r="CY419" i="10"/>
  <c r="CZ419" i="10"/>
  <c r="CX420" i="10"/>
  <c r="CY420" i="10"/>
  <c r="CZ420" i="10"/>
  <c r="CX421" i="10"/>
  <c r="CY421" i="10"/>
  <c r="CZ421" i="10"/>
  <c r="CX422" i="10"/>
  <c r="DA422" i="10" s="1"/>
  <c r="CY422" i="10"/>
  <c r="CZ422" i="10"/>
  <c r="CX423" i="10"/>
  <c r="CY423" i="10"/>
  <c r="CZ423" i="10"/>
  <c r="CX424" i="10"/>
  <c r="CY424" i="10"/>
  <c r="CZ424" i="10"/>
  <c r="CX425" i="10"/>
  <c r="DA425" i="10" s="1"/>
  <c r="CY425" i="10"/>
  <c r="CZ425" i="10"/>
  <c r="CX426" i="10"/>
  <c r="DA426" i="10" s="1"/>
  <c r="CY426" i="10"/>
  <c r="CZ426" i="10"/>
  <c r="CX427" i="10"/>
  <c r="CY427" i="10"/>
  <c r="CZ427" i="10"/>
  <c r="CX428" i="10"/>
  <c r="DA428" i="10" s="1"/>
  <c r="CY428" i="10"/>
  <c r="CZ428" i="10"/>
  <c r="CX429" i="10"/>
  <c r="CY429" i="10"/>
  <c r="CZ429" i="10"/>
  <c r="CX430" i="10"/>
  <c r="DA430" i="10" s="1"/>
  <c r="CY430" i="10"/>
  <c r="CZ430" i="10"/>
  <c r="CX431" i="10"/>
  <c r="CY431" i="10"/>
  <c r="CZ431" i="10"/>
  <c r="CX432" i="10"/>
  <c r="CY432" i="10"/>
  <c r="CZ432" i="10"/>
  <c r="CX433" i="10"/>
  <c r="CY433" i="10"/>
  <c r="CZ433" i="10"/>
  <c r="CX434" i="10"/>
  <c r="DA434" i="10" s="1"/>
  <c r="CY434" i="10"/>
  <c r="CZ434" i="10"/>
  <c r="CX435" i="10"/>
  <c r="CY435" i="10"/>
  <c r="CZ435" i="10"/>
  <c r="CX436" i="10"/>
  <c r="CY436" i="10"/>
  <c r="CZ436" i="10"/>
  <c r="CX437" i="10"/>
  <c r="DA437" i="10" s="1"/>
  <c r="CY437" i="10"/>
  <c r="CZ437" i="10"/>
  <c r="CX438" i="10"/>
  <c r="DA438" i="10" s="1"/>
  <c r="CY438" i="10"/>
  <c r="CZ438" i="10"/>
  <c r="CX439" i="10"/>
  <c r="CY439" i="10"/>
  <c r="CZ439" i="10"/>
  <c r="CX440" i="10"/>
  <c r="DA440" i="10" s="1"/>
  <c r="CY440" i="10"/>
  <c r="CZ440" i="10"/>
  <c r="CX441" i="10"/>
  <c r="CY441" i="10"/>
  <c r="CZ441" i="10"/>
  <c r="CX442" i="10"/>
  <c r="DA442" i="10" s="1"/>
  <c r="CY442" i="10"/>
  <c r="CZ442" i="10"/>
  <c r="CX443" i="10"/>
  <c r="CY443" i="10"/>
  <c r="CZ443" i="10"/>
  <c r="CX444" i="10"/>
  <c r="CY444" i="10"/>
  <c r="CZ444" i="10"/>
  <c r="CX445" i="10"/>
  <c r="CY445" i="10"/>
  <c r="CZ445" i="10"/>
  <c r="CX446" i="10"/>
  <c r="DA446" i="10" s="1"/>
  <c r="CY446" i="10"/>
  <c r="CZ446" i="10"/>
  <c r="CX447" i="10"/>
  <c r="CY447" i="10"/>
  <c r="CZ447" i="10"/>
  <c r="CX448" i="10"/>
  <c r="CY448" i="10"/>
  <c r="CZ448" i="10"/>
  <c r="CX449" i="10"/>
  <c r="DA449" i="10" s="1"/>
  <c r="CY449" i="10"/>
  <c r="CZ449" i="10"/>
  <c r="CX450" i="10"/>
  <c r="DA450" i="10" s="1"/>
  <c r="CY450" i="10"/>
  <c r="CZ450" i="10"/>
  <c r="CX451" i="10"/>
  <c r="CY451" i="10"/>
  <c r="CZ451" i="10"/>
  <c r="CX452" i="10"/>
  <c r="DA452" i="10" s="1"/>
  <c r="CY452" i="10"/>
  <c r="CZ452" i="10"/>
  <c r="CX453" i="10"/>
  <c r="CY453" i="10"/>
  <c r="CZ453" i="10"/>
  <c r="CX454" i="10"/>
  <c r="DA454" i="10" s="1"/>
  <c r="CY454" i="10"/>
  <c r="CZ454" i="10"/>
  <c r="CX455" i="10"/>
  <c r="CY455" i="10"/>
  <c r="CZ455" i="10"/>
  <c r="CX456" i="10"/>
  <c r="CY456" i="10"/>
  <c r="CZ456" i="10"/>
  <c r="CX457" i="10"/>
  <c r="CY457" i="10"/>
  <c r="CZ457" i="10"/>
  <c r="CX458" i="10"/>
  <c r="DA458" i="10" s="1"/>
  <c r="CY458" i="10"/>
  <c r="CZ458" i="10"/>
  <c r="CX459" i="10"/>
  <c r="CY459" i="10"/>
  <c r="CZ459" i="10"/>
  <c r="CX460" i="10"/>
  <c r="CY460" i="10"/>
  <c r="CZ460" i="10"/>
  <c r="CX461" i="10"/>
  <c r="DA461" i="10" s="1"/>
  <c r="CY461" i="10"/>
  <c r="CZ461" i="10"/>
  <c r="CX462" i="10"/>
  <c r="DA462" i="10" s="1"/>
  <c r="CY462" i="10"/>
  <c r="CZ462" i="10"/>
  <c r="CX463" i="10"/>
  <c r="CY463" i="10"/>
  <c r="CZ463" i="10"/>
  <c r="CX464" i="10"/>
  <c r="DA464" i="10" s="1"/>
  <c r="CY464" i="10"/>
  <c r="CZ464" i="10"/>
  <c r="CX465" i="10"/>
  <c r="CY465" i="10"/>
  <c r="CZ465" i="10"/>
  <c r="CX466" i="10"/>
  <c r="DA466" i="10" s="1"/>
  <c r="CY466" i="10"/>
  <c r="CZ466" i="10"/>
  <c r="CX467" i="10"/>
  <c r="CY467" i="10"/>
  <c r="CZ467" i="10"/>
  <c r="CX468" i="10"/>
  <c r="CY468" i="10"/>
  <c r="CZ468" i="10"/>
  <c r="CX469" i="10"/>
  <c r="CY469" i="10"/>
  <c r="CZ469" i="10"/>
  <c r="CX470" i="10"/>
  <c r="DA470" i="10" s="1"/>
  <c r="CY470" i="10"/>
  <c r="CZ470" i="10"/>
  <c r="CX471" i="10"/>
  <c r="CY471" i="10"/>
  <c r="CZ471" i="10"/>
  <c r="CX472" i="10"/>
  <c r="CY472" i="10"/>
  <c r="CZ472" i="10"/>
  <c r="CX473" i="10"/>
  <c r="DA473" i="10" s="1"/>
  <c r="CY473" i="10"/>
  <c r="CZ473" i="10"/>
  <c r="CX474" i="10"/>
  <c r="DA474" i="10" s="1"/>
  <c r="CY474" i="10"/>
  <c r="CZ474" i="10"/>
  <c r="CX475" i="10"/>
  <c r="CY475" i="10"/>
  <c r="CZ475" i="10"/>
  <c r="CX476" i="10"/>
  <c r="DA476" i="10" s="1"/>
  <c r="CY476" i="10"/>
  <c r="CZ476" i="10"/>
  <c r="CX477" i="10"/>
  <c r="CY477" i="10"/>
  <c r="CZ477" i="10"/>
  <c r="CX478" i="10"/>
  <c r="DA478" i="10" s="1"/>
  <c r="CY478" i="10"/>
  <c r="CZ478" i="10"/>
  <c r="CX479" i="10"/>
  <c r="CY479" i="10"/>
  <c r="CZ479" i="10"/>
  <c r="CX480" i="10"/>
  <c r="CY480" i="10"/>
  <c r="CZ480" i="10"/>
  <c r="CX481" i="10"/>
  <c r="CY481" i="10"/>
  <c r="CZ481" i="10"/>
  <c r="CX482" i="10"/>
  <c r="DA482" i="10" s="1"/>
  <c r="CY482" i="10"/>
  <c r="CZ482" i="10"/>
  <c r="CX483" i="10"/>
  <c r="CY483" i="10"/>
  <c r="CZ483" i="10"/>
  <c r="CX484" i="10"/>
  <c r="CY484" i="10"/>
  <c r="CZ484" i="10"/>
  <c r="CX485" i="10"/>
  <c r="DA485" i="10" s="1"/>
  <c r="CY485" i="10"/>
  <c r="CZ485" i="10"/>
  <c r="CX486" i="10"/>
  <c r="DA486" i="10" s="1"/>
  <c r="CY486" i="10"/>
  <c r="CZ486" i="10"/>
  <c r="CX487" i="10"/>
  <c r="CY487" i="10"/>
  <c r="CZ487" i="10"/>
  <c r="CX488" i="10"/>
  <c r="DA488" i="10" s="1"/>
  <c r="CY488" i="10"/>
  <c r="CZ488" i="10"/>
  <c r="CX489" i="10"/>
  <c r="CY489" i="10"/>
  <c r="CZ489" i="10"/>
  <c r="CX490" i="10"/>
  <c r="DA490" i="10" s="1"/>
  <c r="CY490" i="10"/>
  <c r="CZ490" i="10"/>
  <c r="CX491" i="10"/>
  <c r="CY491" i="10"/>
  <c r="CZ491" i="10"/>
  <c r="CX492" i="10"/>
  <c r="CY492" i="10"/>
  <c r="CZ492" i="10"/>
  <c r="CX493" i="10"/>
  <c r="CY493" i="10"/>
  <c r="CZ493" i="10"/>
  <c r="CX494" i="10"/>
  <c r="DA494" i="10" s="1"/>
  <c r="CY494" i="10"/>
  <c r="CZ494" i="10"/>
  <c r="CX495" i="10"/>
  <c r="CY495" i="10"/>
  <c r="CZ495" i="10"/>
  <c r="CX496" i="10"/>
  <c r="CY496" i="10"/>
  <c r="CZ496" i="10"/>
  <c r="CX497" i="10"/>
  <c r="DA497" i="10" s="1"/>
  <c r="CY497" i="10"/>
  <c r="CZ497" i="10"/>
  <c r="CX498" i="10"/>
  <c r="DA498" i="10" s="1"/>
  <c r="CY498" i="10"/>
  <c r="CZ498" i="10"/>
  <c r="CX499" i="10"/>
  <c r="CY499" i="10"/>
  <c r="CZ499" i="10"/>
  <c r="CX500" i="10"/>
  <c r="DA500" i="10" s="1"/>
  <c r="CY500" i="10"/>
  <c r="CZ500" i="10"/>
  <c r="CX501" i="10"/>
  <c r="CY501" i="10"/>
  <c r="CZ501" i="10"/>
  <c r="CX502" i="10"/>
  <c r="DA502" i="10" s="1"/>
  <c r="CY502" i="10"/>
  <c r="CZ502" i="10"/>
  <c r="CX503" i="10"/>
  <c r="CY503" i="10"/>
  <c r="CZ503" i="10"/>
  <c r="CX504" i="10"/>
  <c r="CY504" i="10"/>
  <c r="CZ504" i="10"/>
  <c r="CX505" i="10"/>
  <c r="CY505" i="10"/>
  <c r="CZ505" i="10"/>
  <c r="CX506" i="10"/>
  <c r="DA506" i="10" s="1"/>
  <c r="CY506" i="10"/>
  <c r="CZ506" i="10"/>
  <c r="CX507" i="10"/>
  <c r="CY507" i="10"/>
  <c r="CZ507" i="10"/>
  <c r="CX508" i="10"/>
  <c r="CY508" i="10"/>
  <c r="CZ508" i="10"/>
  <c r="CX509" i="10"/>
  <c r="DA509" i="10" s="1"/>
  <c r="CY509" i="10"/>
  <c r="CZ509" i="10"/>
  <c r="CX510" i="10"/>
  <c r="DA510" i="10" s="1"/>
  <c r="CY510" i="10"/>
  <c r="CZ510" i="10"/>
  <c r="CX511" i="10"/>
  <c r="CY511" i="10"/>
  <c r="CZ511" i="10"/>
  <c r="CX512" i="10"/>
  <c r="DA512" i="10" s="1"/>
  <c r="CY512" i="10"/>
  <c r="CZ512" i="10"/>
  <c r="CX513" i="10"/>
  <c r="CY513" i="10"/>
  <c r="CZ513" i="10"/>
  <c r="CX514" i="10"/>
  <c r="DA514" i="10" s="1"/>
  <c r="CY514" i="10"/>
  <c r="CZ514" i="10"/>
  <c r="CX515" i="10"/>
  <c r="CY515" i="10"/>
  <c r="CZ515" i="10"/>
  <c r="CX516" i="10"/>
  <c r="CY516" i="10"/>
  <c r="CZ516" i="10"/>
  <c r="CX517" i="10"/>
  <c r="CY517" i="10"/>
  <c r="CZ517" i="10"/>
  <c r="CX518" i="10"/>
  <c r="DA518" i="10" s="1"/>
  <c r="CY518" i="10"/>
  <c r="CZ518" i="10"/>
  <c r="CX519" i="10"/>
  <c r="CY519" i="10"/>
  <c r="CZ519" i="10"/>
  <c r="CX520" i="10"/>
  <c r="CY520" i="10"/>
  <c r="CZ520" i="10"/>
  <c r="CX521" i="10"/>
  <c r="DA521" i="10" s="1"/>
  <c r="CY521" i="10"/>
  <c r="CZ521" i="10"/>
  <c r="CX522" i="10"/>
  <c r="DA522" i="10" s="1"/>
  <c r="CY522" i="10"/>
  <c r="CZ522" i="10"/>
  <c r="CX523" i="10"/>
  <c r="DA523" i="10" s="1"/>
  <c r="CY523" i="10"/>
  <c r="CZ523" i="10"/>
  <c r="CX524" i="10"/>
  <c r="DA524" i="10" s="1"/>
  <c r="CY524" i="10"/>
  <c r="CZ524" i="10"/>
  <c r="CX525" i="10"/>
  <c r="CY525" i="10"/>
  <c r="CZ525" i="10"/>
  <c r="CX526" i="10"/>
  <c r="DA526" i="10" s="1"/>
  <c r="CY526" i="10"/>
  <c r="CZ526" i="10"/>
  <c r="CX527" i="10"/>
  <c r="CY527" i="10"/>
  <c r="CZ527" i="10"/>
  <c r="CX528" i="10"/>
  <c r="CY528" i="10"/>
  <c r="CZ528" i="10"/>
  <c r="CX529" i="10"/>
  <c r="CY529" i="10"/>
  <c r="CZ529" i="10"/>
  <c r="CX530" i="10"/>
  <c r="DA530" i="10" s="1"/>
  <c r="CY530" i="10"/>
  <c r="CZ530" i="10"/>
  <c r="CX531" i="10"/>
  <c r="CY531" i="10"/>
  <c r="CZ531" i="10"/>
  <c r="CX532" i="10"/>
  <c r="CY532" i="10"/>
  <c r="CZ532" i="10"/>
  <c r="CX533" i="10"/>
  <c r="DA533" i="10" s="1"/>
  <c r="CY533" i="10"/>
  <c r="CZ533" i="10"/>
  <c r="CX534" i="10"/>
  <c r="DA534" i="10" s="1"/>
  <c r="CY534" i="10"/>
  <c r="CZ534" i="10"/>
  <c r="CX535" i="10"/>
  <c r="DA535" i="10" s="1"/>
  <c r="CY535" i="10"/>
  <c r="CZ535" i="10"/>
  <c r="CX536" i="10"/>
  <c r="DA536" i="10" s="1"/>
  <c r="CY536" i="10"/>
  <c r="CZ536" i="10"/>
  <c r="CX537" i="10"/>
  <c r="CY537" i="10"/>
  <c r="CZ537" i="10"/>
  <c r="CX538" i="10"/>
  <c r="DA538" i="10" s="1"/>
  <c r="CY538" i="10"/>
  <c r="CZ538" i="10"/>
  <c r="CX539" i="10"/>
  <c r="CY539" i="10"/>
  <c r="CZ539" i="10"/>
  <c r="CX540" i="10"/>
  <c r="CY540" i="10"/>
  <c r="CZ540" i="10"/>
  <c r="CX541" i="10"/>
  <c r="CY541" i="10"/>
  <c r="CZ541" i="10"/>
  <c r="CX542" i="10"/>
  <c r="DA542" i="10" s="1"/>
  <c r="CY542" i="10"/>
  <c r="CZ542" i="10"/>
  <c r="CX543" i="10"/>
  <c r="CY543" i="10"/>
  <c r="CZ543" i="10"/>
  <c r="CX544" i="10"/>
  <c r="CY544" i="10"/>
  <c r="CZ544" i="10"/>
  <c r="CX545" i="10"/>
  <c r="DA545" i="10" s="1"/>
  <c r="CY545" i="10"/>
  <c r="CZ545" i="10"/>
  <c r="CX546" i="10"/>
  <c r="DA546" i="10" s="1"/>
  <c r="CY546" i="10"/>
  <c r="CZ546" i="10"/>
  <c r="CX547" i="10"/>
  <c r="DA547" i="10" s="1"/>
  <c r="CY547" i="10"/>
  <c r="CZ547" i="10"/>
  <c r="CX548" i="10"/>
  <c r="DA548" i="10" s="1"/>
  <c r="CY548" i="10"/>
  <c r="CZ548" i="10"/>
  <c r="CX549" i="10"/>
  <c r="CY549" i="10"/>
  <c r="CZ549" i="10"/>
  <c r="CX550" i="10"/>
  <c r="DA550" i="10" s="1"/>
  <c r="CY550" i="10"/>
  <c r="CZ550" i="10"/>
  <c r="CX551" i="10"/>
  <c r="CY551" i="10"/>
  <c r="CZ551" i="10"/>
  <c r="CX552" i="10"/>
  <c r="CY552" i="10"/>
  <c r="CZ552" i="10"/>
  <c r="CX553" i="10"/>
  <c r="CY553" i="10"/>
  <c r="CZ553" i="10"/>
  <c r="CX554" i="10"/>
  <c r="DA554" i="10" s="1"/>
  <c r="CY554" i="10"/>
  <c r="CZ554" i="10"/>
  <c r="CX555" i="10"/>
  <c r="CY555" i="10"/>
  <c r="CZ555" i="10"/>
  <c r="CX556" i="10"/>
  <c r="CY556" i="10"/>
  <c r="CZ556" i="10"/>
  <c r="CX557" i="10"/>
  <c r="DA557" i="10" s="1"/>
  <c r="CY557" i="10"/>
  <c r="CZ557" i="10"/>
  <c r="CX558" i="10"/>
  <c r="DA558" i="10" s="1"/>
  <c r="CY558" i="10"/>
  <c r="CZ558" i="10"/>
  <c r="CX559" i="10"/>
  <c r="DA559" i="10" s="1"/>
  <c r="CY559" i="10"/>
  <c r="CZ559" i="10"/>
  <c r="CX560" i="10"/>
  <c r="DA560" i="10" s="1"/>
  <c r="CY560" i="10"/>
  <c r="CZ560" i="10"/>
  <c r="CX561" i="10"/>
  <c r="CY561" i="10"/>
  <c r="CZ561" i="10"/>
  <c r="CX562" i="10"/>
  <c r="DA562" i="10" s="1"/>
  <c r="CY562" i="10"/>
  <c r="CZ562" i="10"/>
  <c r="CX563" i="10"/>
  <c r="CY563" i="10"/>
  <c r="CZ563" i="10"/>
  <c r="CX564" i="10"/>
  <c r="CY564" i="10"/>
  <c r="CZ564" i="10"/>
  <c r="CX565" i="10"/>
  <c r="CY565" i="10"/>
  <c r="CZ565" i="10"/>
  <c r="CX566" i="10"/>
  <c r="DA566" i="10" s="1"/>
  <c r="CY566" i="10"/>
  <c r="CZ566" i="10"/>
  <c r="CX567" i="10"/>
  <c r="CY567" i="10"/>
  <c r="CZ567" i="10"/>
  <c r="CX568" i="10"/>
  <c r="CY568" i="10"/>
  <c r="CZ568" i="10"/>
  <c r="CX569" i="10"/>
  <c r="DA569" i="10" s="1"/>
  <c r="CY569" i="10"/>
  <c r="CZ569" i="10"/>
  <c r="CX570" i="10"/>
  <c r="DA570" i="10" s="1"/>
  <c r="CY570" i="10"/>
  <c r="CZ570" i="10"/>
  <c r="CX571" i="10"/>
  <c r="DA571" i="10" s="1"/>
  <c r="CY571" i="10"/>
  <c r="CZ571" i="10"/>
  <c r="CX572" i="10"/>
  <c r="DA572" i="10" s="1"/>
  <c r="CY572" i="10"/>
  <c r="CZ572" i="10"/>
  <c r="CX573" i="10"/>
  <c r="CY573" i="10"/>
  <c r="CZ573" i="10"/>
  <c r="CX574" i="10"/>
  <c r="DA574" i="10" s="1"/>
  <c r="CY574" i="10"/>
  <c r="CZ574" i="10"/>
  <c r="CX575" i="10"/>
  <c r="CY575" i="10"/>
  <c r="CZ575" i="10"/>
  <c r="CX576" i="10"/>
  <c r="CY576" i="10"/>
  <c r="CZ576" i="10"/>
  <c r="CX577" i="10"/>
  <c r="CY577" i="10"/>
  <c r="CZ577" i="10"/>
  <c r="CX578" i="10"/>
  <c r="DA578" i="10" s="1"/>
  <c r="CY578" i="10"/>
  <c r="CZ578" i="10"/>
  <c r="CX579" i="10"/>
  <c r="CY579" i="10"/>
  <c r="CZ579" i="10"/>
  <c r="CX580" i="10"/>
  <c r="CY580" i="10"/>
  <c r="CZ580" i="10"/>
  <c r="CX581" i="10"/>
  <c r="DA581" i="10" s="1"/>
  <c r="CY581" i="10"/>
  <c r="CZ581" i="10"/>
  <c r="CX582" i="10"/>
  <c r="DA582" i="10" s="1"/>
  <c r="CY582" i="10"/>
  <c r="CZ582" i="10"/>
  <c r="CX583" i="10"/>
  <c r="DA583" i="10" s="1"/>
  <c r="CY583" i="10"/>
  <c r="CZ583" i="10"/>
  <c r="CX584" i="10"/>
  <c r="DA584" i="10" s="1"/>
  <c r="CY584" i="10"/>
  <c r="CZ584" i="10"/>
  <c r="CX585" i="10"/>
  <c r="CY585" i="10"/>
  <c r="CZ585" i="10"/>
  <c r="CX586" i="10"/>
  <c r="DA586" i="10" s="1"/>
  <c r="CY586" i="10"/>
  <c r="CZ586" i="10"/>
  <c r="CX587" i="10"/>
  <c r="CY587" i="10"/>
  <c r="CZ587" i="10"/>
  <c r="CX588" i="10"/>
  <c r="CY588" i="10"/>
  <c r="CZ588" i="10"/>
  <c r="CX589" i="10"/>
  <c r="CY589" i="10"/>
  <c r="CZ589" i="10"/>
  <c r="CX590" i="10"/>
  <c r="DA590" i="10" s="1"/>
  <c r="CY590" i="10"/>
  <c r="CZ590" i="10"/>
  <c r="CX591" i="10"/>
  <c r="CY591" i="10"/>
  <c r="CZ591" i="10"/>
  <c r="CX592" i="10"/>
  <c r="CY592" i="10"/>
  <c r="CZ592" i="10"/>
  <c r="CX593" i="10"/>
  <c r="DA593" i="10" s="1"/>
  <c r="CY593" i="10"/>
  <c r="CZ593" i="10"/>
  <c r="CX594" i="10"/>
  <c r="DA594" i="10" s="1"/>
  <c r="CY594" i="10"/>
  <c r="CZ594" i="10"/>
  <c r="CX595" i="10"/>
  <c r="DA595" i="10" s="1"/>
  <c r="CY595" i="10"/>
  <c r="CZ595" i="10"/>
  <c r="CX596" i="10"/>
  <c r="DA596" i="10" s="1"/>
  <c r="CY596" i="10"/>
  <c r="CZ596" i="10"/>
  <c r="CX597" i="10"/>
  <c r="CY597" i="10"/>
  <c r="CZ597" i="10"/>
  <c r="CX598" i="10"/>
  <c r="DA598" i="10" s="1"/>
  <c r="CY598" i="10"/>
  <c r="CZ598" i="10"/>
  <c r="CX599" i="10"/>
  <c r="CY599" i="10"/>
  <c r="CZ599" i="10"/>
  <c r="CX600" i="10"/>
  <c r="CY600" i="10"/>
  <c r="CZ600" i="10"/>
  <c r="CX601" i="10"/>
  <c r="CY601" i="10"/>
  <c r="CZ601" i="10"/>
  <c r="CX602" i="10"/>
  <c r="DA602" i="10" s="1"/>
  <c r="CY602" i="10"/>
  <c r="CZ602" i="10"/>
  <c r="CX603" i="10"/>
  <c r="CY603" i="10"/>
  <c r="CZ603" i="10"/>
  <c r="CX604" i="10"/>
  <c r="CY604" i="10"/>
  <c r="CZ604" i="10"/>
  <c r="CX605" i="10"/>
  <c r="DA605" i="10" s="1"/>
  <c r="CY605" i="10"/>
  <c r="CZ605" i="10"/>
  <c r="CX606" i="10"/>
  <c r="DA606" i="10" s="1"/>
  <c r="CY606" i="10"/>
  <c r="CZ606" i="10"/>
  <c r="CX607" i="10"/>
  <c r="DA607" i="10" s="1"/>
  <c r="CY607" i="10"/>
  <c r="CZ607" i="10"/>
  <c r="CX608" i="10"/>
  <c r="DA608" i="10" s="1"/>
  <c r="CY608" i="10"/>
  <c r="CZ608" i="10"/>
  <c r="CX609" i="10"/>
  <c r="CY609" i="10"/>
  <c r="CZ609" i="10"/>
  <c r="CX610" i="10"/>
  <c r="DA610" i="10" s="1"/>
  <c r="CY610" i="10"/>
  <c r="CZ610" i="10"/>
  <c r="CX611" i="10"/>
  <c r="CY611" i="10"/>
  <c r="CZ611" i="10"/>
  <c r="CX612" i="10"/>
  <c r="CY612" i="10"/>
  <c r="CZ612" i="10"/>
  <c r="CX613" i="10"/>
  <c r="CY613" i="10"/>
  <c r="CZ613" i="10"/>
  <c r="CX614" i="10"/>
  <c r="DA614" i="10" s="1"/>
  <c r="CY614" i="10"/>
  <c r="CZ614" i="10"/>
  <c r="CX615" i="10"/>
  <c r="CY615" i="10"/>
  <c r="CZ615" i="10"/>
  <c r="CX616" i="10"/>
  <c r="CY616" i="10"/>
  <c r="CZ616" i="10"/>
  <c r="CX617" i="10"/>
  <c r="DA617" i="10" s="1"/>
  <c r="CY617" i="10"/>
  <c r="CZ617" i="10"/>
  <c r="CX618" i="10"/>
  <c r="DA618" i="10" s="1"/>
  <c r="CY618" i="10"/>
  <c r="CZ618" i="10"/>
  <c r="CX619" i="10"/>
  <c r="DA619" i="10" s="1"/>
  <c r="CY619" i="10"/>
  <c r="CZ619" i="10"/>
  <c r="CX620" i="10"/>
  <c r="DA620" i="10" s="1"/>
  <c r="CY620" i="10"/>
  <c r="CZ620" i="10"/>
  <c r="CX621" i="10"/>
  <c r="CY621" i="10"/>
  <c r="CZ621" i="10"/>
  <c r="CX622" i="10"/>
  <c r="DA622" i="10" s="1"/>
  <c r="CY622" i="10"/>
  <c r="CZ622" i="10"/>
  <c r="CX623" i="10"/>
  <c r="CY623" i="10"/>
  <c r="CZ623" i="10"/>
  <c r="CX624" i="10"/>
  <c r="CY624" i="10"/>
  <c r="CZ624" i="10"/>
  <c r="CX625" i="10"/>
  <c r="CY625" i="10"/>
  <c r="CZ625" i="10"/>
  <c r="CX626" i="10"/>
  <c r="DA626" i="10" s="1"/>
  <c r="CY626" i="10"/>
  <c r="CZ626" i="10"/>
  <c r="CX627" i="10"/>
  <c r="CY627" i="10"/>
  <c r="CZ627" i="10"/>
  <c r="CX628" i="10"/>
  <c r="CY628" i="10"/>
  <c r="CZ628" i="10"/>
  <c r="CX629" i="10"/>
  <c r="DA629" i="10" s="1"/>
  <c r="CY629" i="10"/>
  <c r="CZ629" i="10"/>
  <c r="CX630" i="10"/>
  <c r="DA630" i="10" s="1"/>
  <c r="CY630" i="10"/>
  <c r="CZ630" i="10"/>
  <c r="CX631" i="10"/>
  <c r="DA631" i="10" s="1"/>
  <c r="CY631" i="10"/>
  <c r="CZ631" i="10"/>
  <c r="CX632" i="10"/>
  <c r="DA632" i="10" s="1"/>
  <c r="CY632" i="10"/>
  <c r="CZ632" i="10"/>
  <c r="CX633" i="10"/>
  <c r="CY633" i="10"/>
  <c r="CZ633" i="10"/>
  <c r="CX634" i="10"/>
  <c r="DA634" i="10" s="1"/>
  <c r="CY634" i="10"/>
  <c r="CZ634" i="10"/>
  <c r="CX635" i="10"/>
  <c r="CY635" i="10"/>
  <c r="CZ635" i="10"/>
  <c r="CX636" i="10"/>
  <c r="CY636" i="10"/>
  <c r="CZ636" i="10"/>
  <c r="CX637" i="10"/>
  <c r="CY637" i="10"/>
  <c r="CZ637" i="10"/>
  <c r="CX638" i="10"/>
  <c r="DA638" i="10" s="1"/>
  <c r="CY638" i="10"/>
  <c r="CZ638" i="10"/>
  <c r="CX639" i="10"/>
  <c r="CY639" i="10"/>
  <c r="CZ639" i="10"/>
  <c r="CX640" i="10"/>
  <c r="CY640" i="10"/>
  <c r="CZ640" i="10"/>
  <c r="CX641" i="10"/>
  <c r="DA641" i="10" s="1"/>
  <c r="CY641" i="10"/>
  <c r="CZ641" i="10"/>
  <c r="CX642" i="10"/>
  <c r="DA642" i="10" s="1"/>
  <c r="CY642" i="10"/>
  <c r="CZ642" i="10"/>
  <c r="CX643" i="10"/>
  <c r="DA643" i="10" s="1"/>
  <c r="CY643" i="10"/>
  <c r="CZ643" i="10"/>
  <c r="CX644" i="10"/>
  <c r="DA644" i="10" s="1"/>
  <c r="CY644" i="10"/>
  <c r="CZ644" i="10"/>
  <c r="CX645" i="10"/>
  <c r="CY645" i="10"/>
  <c r="CZ645" i="10"/>
  <c r="CX646" i="10"/>
  <c r="DA646" i="10" s="1"/>
  <c r="CY646" i="10"/>
  <c r="CZ646" i="10"/>
  <c r="CX647" i="10"/>
  <c r="CY647" i="10"/>
  <c r="CZ647" i="10"/>
  <c r="CX648" i="10"/>
  <c r="CY648" i="10"/>
  <c r="CZ648" i="10"/>
  <c r="CX649" i="10"/>
  <c r="CY649" i="10"/>
  <c r="CZ649" i="10"/>
  <c r="CX650" i="10"/>
  <c r="DA650" i="10" s="1"/>
  <c r="CY650" i="10"/>
  <c r="CZ650" i="10"/>
  <c r="CX651" i="10"/>
  <c r="CY651" i="10"/>
  <c r="CZ651" i="10"/>
  <c r="CX652" i="10"/>
  <c r="CY652" i="10"/>
  <c r="CZ652" i="10"/>
  <c r="CX653" i="10"/>
  <c r="DA653" i="10" s="1"/>
  <c r="CY653" i="10"/>
  <c r="CZ653" i="10"/>
  <c r="CX654" i="10"/>
  <c r="DA654" i="10" s="1"/>
  <c r="CY654" i="10"/>
  <c r="CZ654" i="10"/>
  <c r="CX655" i="10"/>
  <c r="DA655" i="10" s="1"/>
  <c r="CY655" i="10"/>
  <c r="CZ655" i="10"/>
  <c r="CX656" i="10"/>
  <c r="DA656" i="10" s="1"/>
  <c r="CY656" i="10"/>
  <c r="CZ656" i="10"/>
  <c r="CX657" i="10"/>
  <c r="CY657" i="10"/>
  <c r="CZ657" i="10"/>
  <c r="CX658" i="10"/>
  <c r="DA658" i="10" s="1"/>
  <c r="CY658" i="10"/>
  <c r="CZ658" i="10"/>
  <c r="CX659" i="10"/>
  <c r="CY659" i="10"/>
  <c r="CZ659" i="10"/>
  <c r="CX660" i="10"/>
  <c r="CY660" i="10"/>
  <c r="CZ660" i="10"/>
  <c r="CX661" i="10"/>
  <c r="CY661" i="10"/>
  <c r="CZ661" i="10"/>
  <c r="CX662" i="10"/>
  <c r="DA662" i="10" s="1"/>
  <c r="CY662" i="10"/>
  <c r="CZ662" i="10"/>
  <c r="CX663" i="10"/>
  <c r="CY663" i="10"/>
  <c r="CZ663" i="10"/>
  <c r="CX664" i="10"/>
  <c r="CY664" i="10"/>
  <c r="CZ664" i="10"/>
  <c r="CX665" i="10"/>
  <c r="DA665" i="10" s="1"/>
  <c r="CY665" i="10"/>
  <c r="CZ665" i="10"/>
  <c r="CX666" i="10"/>
  <c r="DA666" i="10" s="1"/>
  <c r="CY666" i="10"/>
  <c r="CZ666" i="10"/>
  <c r="CX667" i="10"/>
  <c r="DA667" i="10" s="1"/>
  <c r="CY667" i="10"/>
  <c r="CZ667" i="10"/>
  <c r="CX668" i="10"/>
  <c r="DA668" i="10" s="1"/>
  <c r="CY668" i="10"/>
  <c r="CZ668" i="10"/>
  <c r="CX669" i="10"/>
  <c r="CY669" i="10"/>
  <c r="CZ669" i="10"/>
  <c r="CX670" i="10"/>
  <c r="DA670" i="10" s="1"/>
  <c r="CY670" i="10"/>
  <c r="CZ670" i="10"/>
  <c r="CX671" i="10"/>
  <c r="CY671" i="10"/>
  <c r="CZ671" i="10"/>
  <c r="CX672" i="10"/>
  <c r="CY672" i="10"/>
  <c r="CZ672" i="10"/>
  <c r="CX673" i="10"/>
  <c r="CY673" i="10"/>
  <c r="CZ673" i="10"/>
  <c r="CX674" i="10"/>
  <c r="DA674" i="10" s="1"/>
  <c r="CY674" i="10"/>
  <c r="CZ674" i="10"/>
  <c r="CX675" i="10"/>
  <c r="CY675" i="10"/>
  <c r="CZ675" i="10"/>
  <c r="CX676" i="10"/>
  <c r="CY676" i="10"/>
  <c r="CZ676" i="10"/>
  <c r="CX677" i="10"/>
  <c r="DA677" i="10" s="1"/>
  <c r="CY677" i="10"/>
  <c r="CZ677" i="10"/>
  <c r="CX678" i="10"/>
  <c r="DA678" i="10" s="1"/>
  <c r="CY678" i="10"/>
  <c r="CZ678" i="10"/>
  <c r="CX679" i="10"/>
  <c r="DA679" i="10" s="1"/>
  <c r="CY679" i="10"/>
  <c r="CZ679" i="10"/>
  <c r="CX680" i="10"/>
  <c r="DA680" i="10" s="1"/>
  <c r="CY680" i="10"/>
  <c r="CZ680" i="10"/>
  <c r="CX681" i="10"/>
  <c r="CY681" i="10"/>
  <c r="CZ681" i="10"/>
  <c r="CX682" i="10"/>
  <c r="DA682" i="10" s="1"/>
  <c r="CY682" i="10"/>
  <c r="CZ682" i="10"/>
  <c r="CX683" i="10"/>
  <c r="CY683" i="10"/>
  <c r="CZ683" i="10"/>
  <c r="CX684" i="10"/>
  <c r="CY684" i="10"/>
  <c r="CZ684" i="10"/>
  <c r="CX685" i="10"/>
  <c r="CY685" i="10"/>
  <c r="CZ685" i="10"/>
  <c r="CX686" i="10"/>
  <c r="DA686" i="10" s="1"/>
  <c r="CY686" i="10"/>
  <c r="CZ686" i="10"/>
  <c r="CX687" i="10"/>
  <c r="CY687" i="10"/>
  <c r="CZ687" i="10"/>
  <c r="CX688" i="10"/>
  <c r="CY688" i="10"/>
  <c r="CZ688" i="10"/>
  <c r="CX689" i="10"/>
  <c r="DA689" i="10" s="1"/>
  <c r="CY689" i="10"/>
  <c r="CZ689" i="10"/>
  <c r="CX690" i="10"/>
  <c r="DA690" i="10" s="1"/>
  <c r="CY690" i="10"/>
  <c r="CZ690" i="10"/>
  <c r="CX691" i="10"/>
  <c r="DA691" i="10" s="1"/>
  <c r="CY691" i="10"/>
  <c r="CZ691" i="10"/>
  <c r="CX692" i="10"/>
  <c r="DA692" i="10" s="1"/>
  <c r="CY692" i="10"/>
  <c r="CZ692" i="10"/>
  <c r="CX693" i="10"/>
  <c r="CY693" i="10"/>
  <c r="CZ693" i="10"/>
  <c r="CX694" i="10"/>
  <c r="DA694" i="10" s="1"/>
  <c r="CY694" i="10"/>
  <c r="CZ694" i="10"/>
  <c r="CX695" i="10"/>
  <c r="CY695" i="10"/>
  <c r="CZ695" i="10"/>
  <c r="CX696" i="10"/>
  <c r="CY696" i="10"/>
  <c r="CZ696" i="10"/>
  <c r="CX697" i="10"/>
  <c r="CY697" i="10"/>
  <c r="CZ697" i="10"/>
  <c r="CX698" i="10"/>
  <c r="DA698" i="10" s="1"/>
  <c r="CY698" i="10"/>
  <c r="CZ698" i="10"/>
  <c r="CX699" i="10"/>
  <c r="CY699" i="10"/>
  <c r="CZ699" i="10"/>
  <c r="CX700" i="10"/>
  <c r="CY700" i="10"/>
  <c r="CZ700" i="10"/>
  <c r="CX701" i="10"/>
  <c r="DA701" i="10" s="1"/>
  <c r="CY701" i="10"/>
  <c r="CZ701" i="10"/>
  <c r="CX702" i="10"/>
  <c r="DA702" i="10" s="1"/>
  <c r="CY702" i="10"/>
  <c r="CZ702" i="10"/>
  <c r="CX703" i="10"/>
  <c r="DA703" i="10" s="1"/>
  <c r="CY703" i="10"/>
  <c r="CZ703" i="10"/>
  <c r="CX704" i="10"/>
  <c r="DA704" i="10" s="1"/>
  <c r="CY704" i="10"/>
  <c r="CZ704" i="10"/>
  <c r="CX705" i="10"/>
  <c r="CY705" i="10"/>
  <c r="CZ705" i="10"/>
  <c r="CX706" i="10"/>
  <c r="DA706" i="10" s="1"/>
  <c r="CY706" i="10"/>
  <c r="CZ706" i="10"/>
  <c r="CX707" i="10"/>
  <c r="CY707" i="10"/>
  <c r="CZ707" i="10"/>
  <c r="CX708" i="10"/>
  <c r="CY708" i="10"/>
  <c r="CZ708" i="10"/>
  <c r="CX709" i="10"/>
  <c r="CY709" i="10"/>
  <c r="CZ709" i="10"/>
  <c r="CX710" i="10"/>
  <c r="DA710" i="10" s="1"/>
  <c r="CY710" i="10"/>
  <c r="CZ710" i="10"/>
  <c r="CX711" i="10"/>
  <c r="CY711" i="10"/>
  <c r="CZ711" i="10"/>
  <c r="CX712" i="10"/>
  <c r="CY712" i="10"/>
  <c r="CZ712" i="10"/>
  <c r="CX713" i="10"/>
  <c r="DA713" i="10" s="1"/>
  <c r="CY713" i="10"/>
  <c r="CZ713" i="10"/>
  <c r="CX714" i="10"/>
  <c r="DA714" i="10" s="1"/>
  <c r="CY714" i="10"/>
  <c r="CZ714" i="10"/>
  <c r="CX715" i="10"/>
  <c r="DA715" i="10" s="1"/>
  <c r="CY715" i="10"/>
  <c r="CZ715" i="10"/>
  <c r="CX716" i="10"/>
  <c r="DA716" i="10" s="1"/>
  <c r="CY716" i="10"/>
  <c r="CZ716" i="10"/>
  <c r="CX717" i="10"/>
  <c r="CY717" i="10"/>
  <c r="CZ717" i="10"/>
  <c r="CX718" i="10"/>
  <c r="DA718" i="10" s="1"/>
  <c r="CY718" i="10"/>
  <c r="CZ718" i="10"/>
  <c r="CX719" i="10"/>
  <c r="CY719" i="10"/>
  <c r="CZ719" i="10"/>
  <c r="CX720" i="10"/>
  <c r="CY720" i="10"/>
  <c r="CZ720" i="10"/>
  <c r="CX721" i="10"/>
  <c r="CY721" i="10"/>
  <c r="CZ721" i="10"/>
  <c r="CX722" i="10"/>
  <c r="DA722" i="10" s="1"/>
  <c r="CY722" i="10"/>
  <c r="CZ722" i="10"/>
  <c r="CX723" i="10"/>
  <c r="CY723" i="10"/>
  <c r="CZ723" i="10"/>
  <c r="CX724" i="10"/>
  <c r="CY724" i="10"/>
  <c r="CZ724" i="10"/>
  <c r="CX725" i="10"/>
  <c r="DA725" i="10" s="1"/>
  <c r="CY725" i="10"/>
  <c r="CZ725" i="10"/>
  <c r="CX726" i="10"/>
  <c r="DA726" i="10" s="1"/>
  <c r="CY726" i="10"/>
  <c r="CZ726" i="10"/>
  <c r="CX727" i="10"/>
  <c r="DA727" i="10" s="1"/>
  <c r="CY727" i="10"/>
  <c r="CZ727" i="10"/>
  <c r="CX728" i="10"/>
  <c r="DA728" i="10" s="1"/>
  <c r="CY728" i="10"/>
  <c r="CZ728" i="10"/>
  <c r="CX729" i="10"/>
  <c r="CY729" i="10"/>
  <c r="CZ729" i="10"/>
  <c r="CX730" i="10"/>
  <c r="DA730" i="10" s="1"/>
  <c r="CY730" i="10"/>
  <c r="CZ730" i="10"/>
  <c r="CX731" i="10"/>
  <c r="CY731" i="10"/>
  <c r="CZ731" i="10"/>
  <c r="CX732" i="10"/>
  <c r="CY732" i="10"/>
  <c r="CZ732" i="10"/>
  <c r="CX733" i="10"/>
  <c r="CY733" i="10"/>
  <c r="CZ733" i="10"/>
  <c r="CX734" i="10"/>
  <c r="DA734" i="10" s="1"/>
  <c r="CY734" i="10"/>
  <c r="CZ734" i="10"/>
  <c r="CX735" i="10"/>
  <c r="CY735" i="10"/>
  <c r="CZ735" i="10"/>
  <c r="CX736" i="10"/>
  <c r="CY736" i="10"/>
  <c r="CZ736" i="10"/>
  <c r="CX737" i="10"/>
  <c r="DA737" i="10" s="1"/>
  <c r="CY737" i="10"/>
  <c r="CZ737" i="10"/>
  <c r="CX738" i="10"/>
  <c r="DA738" i="10" s="1"/>
  <c r="CY738" i="10"/>
  <c r="CZ738" i="10"/>
  <c r="CX739" i="10"/>
  <c r="DA739" i="10" s="1"/>
  <c r="CY739" i="10"/>
  <c r="CZ739" i="10"/>
  <c r="CX740" i="10"/>
  <c r="DA740" i="10" s="1"/>
  <c r="CY740" i="10"/>
  <c r="CZ740" i="10"/>
  <c r="CX741" i="10"/>
  <c r="CY741" i="10"/>
  <c r="CZ741" i="10"/>
  <c r="CX742" i="10"/>
  <c r="DA742" i="10" s="1"/>
  <c r="CY742" i="10"/>
  <c r="CZ742" i="10"/>
  <c r="CX743" i="10"/>
  <c r="DA743" i="10" s="1"/>
  <c r="CY743" i="10"/>
  <c r="CZ743" i="10"/>
  <c r="CX744" i="10"/>
  <c r="CY744" i="10"/>
  <c r="CZ744" i="10"/>
  <c r="CX745" i="10"/>
  <c r="CY745" i="10"/>
  <c r="CZ745" i="10"/>
  <c r="CX746" i="10"/>
  <c r="DA746" i="10" s="1"/>
  <c r="CY746" i="10"/>
  <c r="CZ746" i="10"/>
  <c r="CX747" i="10"/>
  <c r="CY747" i="10"/>
  <c r="CZ747" i="10"/>
  <c r="CX748" i="10"/>
  <c r="CY748" i="10"/>
  <c r="CZ748" i="10"/>
  <c r="CX749" i="10"/>
  <c r="DA749" i="10" s="1"/>
  <c r="CY749" i="10"/>
  <c r="CZ749" i="10"/>
  <c r="CX750" i="10"/>
  <c r="DA750" i="10" s="1"/>
  <c r="CY750" i="10"/>
  <c r="CZ750" i="10"/>
  <c r="CX751" i="10"/>
  <c r="DA751" i="10" s="1"/>
  <c r="CY751" i="10"/>
  <c r="CZ751" i="10"/>
  <c r="CX752" i="10"/>
  <c r="DA752" i="10" s="1"/>
  <c r="CY752" i="10"/>
  <c r="CZ752" i="10"/>
  <c r="CX753" i="10"/>
  <c r="CY753" i="10"/>
  <c r="CZ753" i="10"/>
  <c r="CX754" i="10"/>
  <c r="DA754" i="10" s="1"/>
  <c r="CY754" i="10"/>
  <c r="CZ754" i="10"/>
  <c r="CX755" i="10"/>
  <c r="DA755" i="10" s="1"/>
  <c r="CY755" i="10"/>
  <c r="CZ755" i="10"/>
  <c r="CX756" i="10"/>
  <c r="CY756" i="10"/>
  <c r="CZ756" i="10"/>
  <c r="CX757" i="10"/>
  <c r="CY757" i="10"/>
  <c r="CZ757" i="10"/>
  <c r="CX758" i="10"/>
  <c r="DA758" i="10" s="1"/>
  <c r="CY758" i="10"/>
  <c r="CZ758" i="10"/>
  <c r="CX759" i="10"/>
  <c r="CY759" i="10"/>
  <c r="CZ759" i="10"/>
  <c r="CX760" i="10"/>
  <c r="CY760" i="10"/>
  <c r="CZ760" i="10"/>
  <c r="CX761" i="10"/>
  <c r="DA761" i="10" s="1"/>
  <c r="CY761" i="10"/>
  <c r="CZ761" i="10"/>
  <c r="CX762" i="10"/>
  <c r="DA762" i="10" s="1"/>
  <c r="CY762" i="10"/>
  <c r="CZ762" i="10"/>
  <c r="CX763" i="10"/>
  <c r="DA763" i="10" s="1"/>
  <c r="CY763" i="10"/>
  <c r="CZ763" i="10"/>
  <c r="CX764" i="10"/>
  <c r="DA764" i="10" s="1"/>
  <c r="CY764" i="10"/>
  <c r="CZ764" i="10"/>
  <c r="CX765" i="10"/>
  <c r="CY765" i="10"/>
  <c r="CZ765" i="10"/>
  <c r="CX766" i="10"/>
  <c r="DA766" i="10" s="1"/>
  <c r="CY766" i="10"/>
  <c r="CZ766" i="10"/>
  <c r="CX767" i="10"/>
  <c r="DA767" i="10" s="1"/>
  <c r="CY767" i="10"/>
  <c r="CZ767" i="10"/>
  <c r="CX768" i="10"/>
  <c r="CY768" i="10"/>
  <c r="CZ768" i="10"/>
  <c r="CX769" i="10"/>
  <c r="CY769" i="10"/>
  <c r="CZ769" i="10"/>
  <c r="CX770" i="10"/>
  <c r="DA770" i="10" s="1"/>
  <c r="CY770" i="10"/>
  <c r="CZ770" i="10"/>
  <c r="CX771" i="10"/>
  <c r="CY771" i="10"/>
  <c r="CZ771" i="10"/>
  <c r="CX772" i="10"/>
  <c r="CY772" i="10"/>
  <c r="CZ772" i="10"/>
  <c r="CX773" i="10"/>
  <c r="DA773" i="10" s="1"/>
  <c r="CY773" i="10"/>
  <c r="CZ773" i="10"/>
  <c r="CX774" i="10"/>
  <c r="DA774" i="10" s="1"/>
  <c r="CY774" i="10"/>
  <c r="CZ774" i="10"/>
  <c r="CX775" i="10"/>
  <c r="DA775" i="10" s="1"/>
  <c r="CY775" i="10"/>
  <c r="CZ775" i="10"/>
  <c r="CX776" i="10"/>
  <c r="DA776" i="10" s="1"/>
  <c r="CY776" i="10"/>
  <c r="CZ776" i="10"/>
  <c r="CX777" i="10"/>
  <c r="CY777" i="10"/>
  <c r="CZ777" i="10"/>
  <c r="CX778" i="10"/>
  <c r="DA778" i="10" s="1"/>
  <c r="CY778" i="10"/>
  <c r="CZ778" i="10"/>
  <c r="CX779" i="10"/>
  <c r="DA779" i="10" s="1"/>
  <c r="CY779" i="10"/>
  <c r="CZ779" i="10"/>
  <c r="CX780" i="10"/>
  <c r="CY780" i="10"/>
  <c r="CZ780" i="10"/>
  <c r="CX781" i="10"/>
  <c r="CY781" i="10"/>
  <c r="CZ781" i="10"/>
  <c r="CX782" i="10"/>
  <c r="DA782" i="10" s="1"/>
  <c r="CY782" i="10"/>
  <c r="CZ782" i="10"/>
  <c r="CX783" i="10"/>
  <c r="CY783" i="10"/>
  <c r="CZ783" i="10"/>
  <c r="CX784" i="10"/>
  <c r="CY784" i="10"/>
  <c r="CZ784" i="10"/>
  <c r="CX785" i="10"/>
  <c r="DA785" i="10" s="1"/>
  <c r="CY785" i="10"/>
  <c r="CZ785" i="10"/>
  <c r="CX786" i="10"/>
  <c r="DA786" i="10" s="1"/>
  <c r="CY786" i="10"/>
  <c r="CZ786" i="10"/>
  <c r="CX787" i="10"/>
  <c r="DA787" i="10" s="1"/>
  <c r="CY787" i="10"/>
  <c r="CZ787" i="10"/>
  <c r="CX788" i="10"/>
  <c r="DA788" i="10" s="1"/>
  <c r="CY788" i="10"/>
  <c r="CZ788" i="10"/>
  <c r="CX789" i="10"/>
  <c r="CY789" i="10"/>
  <c r="CZ789" i="10"/>
  <c r="CX790" i="10"/>
  <c r="DA790" i="10" s="1"/>
  <c r="CY790" i="10"/>
  <c r="CZ790" i="10"/>
  <c r="CX791" i="10"/>
  <c r="DA791" i="10" s="1"/>
  <c r="CY791" i="10"/>
  <c r="CZ791" i="10"/>
  <c r="CX792" i="10"/>
  <c r="CY792" i="10"/>
  <c r="CZ792" i="10"/>
  <c r="CX793" i="10"/>
  <c r="CY793" i="10"/>
  <c r="CZ793" i="10"/>
  <c r="CX794" i="10"/>
  <c r="DA794" i="10" s="1"/>
  <c r="CY794" i="10"/>
  <c r="CZ794" i="10"/>
  <c r="CX795" i="10"/>
  <c r="CY795" i="10"/>
  <c r="CZ795" i="10"/>
  <c r="CX796" i="10"/>
  <c r="CY796" i="10"/>
  <c r="CZ796" i="10"/>
  <c r="CX797" i="10"/>
  <c r="DA797" i="10" s="1"/>
  <c r="CY797" i="10"/>
  <c r="CZ797" i="10"/>
  <c r="CX798" i="10"/>
  <c r="DA798" i="10" s="1"/>
  <c r="CY798" i="10"/>
  <c r="CZ798" i="10"/>
  <c r="CX799" i="10"/>
  <c r="DA799" i="10" s="1"/>
  <c r="CY799" i="10"/>
  <c r="CZ799" i="10"/>
  <c r="CX800" i="10"/>
  <c r="DA800" i="10" s="1"/>
  <c r="CY800" i="10"/>
  <c r="CZ800" i="10"/>
  <c r="CX801" i="10"/>
  <c r="CY801" i="10"/>
  <c r="CZ801" i="10"/>
  <c r="CX802" i="10"/>
  <c r="DA802" i="10" s="1"/>
  <c r="CY802" i="10"/>
  <c r="CZ802" i="10"/>
  <c r="CX803" i="10"/>
  <c r="DA803" i="10" s="1"/>
  <c r="CY803" i="10"/>
  <c r="CZ803" i="10"/>
  <c r="CX804" i="10"/>
  <c r="CY804" i="10"/>
  <c r="CZ804" i="10"/>
  <c r="CX805" i="10"/>
  <c r="CY805" i="10"/>
  <c r="CZ805" i="10"/>
  <c r="CX806" i="10"/>
  <c r="DA806" i="10" s="1"/>
  <c r="CY806" i="10"/>
  <c r="CZ806" i="10"/>
  <c r="CX807" i="10"/>
  <c r="CY807" i="10"/>
  <c r="CZ807" i="10"/>
  <c r="CX808" i="10"/>
  <c r="CY808" i="10"/>
  <c r="CZ808" i="10"/>
  <c r="CX809" i="10"/>
  <c r="DA809" i="10" s="1"/>
  <c r="CY809" i="10"/>
  <c r="CZ809" i="10"/>
  <c r="CX810" i="10"/>
  <c r="DA810" i="10" s="1"/>
  <c r="CY810" i="10"/>
  <c r="CZ810" i="10"/>
  <c r="CX811" i="10"/>
  <c r="DA811" i="10" s="1"/>
  <c r="CY811" i="10"/>
  <c r="CZ811" i="10"/>
  <c r="CX812" i="10"/>
  <c r="DA812" i="10" s="1"/>
  <c r="CY812" i="10"/>
  <c r="CZ812" i="10"/>
  <c r="CX813" i="10"/>
  <c r="CY813" i="10"/>
  <c r="CZ813" i="10"/>
  <c r="CX814" i="10"/>
  <c r="DA814" i="10" s="1"/>
  <c r="CY814" i="10"/>
  <c r="CZ814" i="10"/>
  <c r="CX815" i="10"/>
  <c r="DA815" i="10" s="1"/>
  <c r="CY815" i="10"/>
  <c r="CZ815" i="10"/>
  <c r="CX816" i="10"/>
  <c r="CY816" i="10"/>
  <c r="CZ816" i="10"/>
  <c r="CX817" i="10"/>
  <c r="CY817" i="10"/>
  <c r="CZ817" i="10"/>
  <c r="CX818" i="10"/>
  <c r="DA818" i="10" s="1"/>
  <c r="CY818" i="10"/>
  <c r="CZ818" i="10"/>
  <c r="CX819" i="10"/>
  <c r="CY819" i="10"/>
  <c r="CZ819" i="10"/>
  <c r="CX820" i="10"/>
  <c r="CY820" i="10"/>
  <c r="CZ820" i="10"/>
  <c r="CX821" i="10"/>
  <c r="DA821" i="10" s="1"/>
  <c r="CY821" i="10"/>
  <c r="CZ821" i="10"/>
  <c r="CX822" i="10"/>
  <c r="DA822" i="10" s="1"/>
  <c r="CY822" i="10"/>
  <c r="CZ822" i="10"/>
  <c r="CX823" i="10"/>
  <c r="DA823" i="10" s="1"/>
  <c r="CY823" i="10"/>
  <c r="CZ823" i="10"/>
  <c r="CX824" i="10"/>
  <c r="DA824" i="10" s="1"/>
  <c r="CY824" i="10"/>
  <c r="CZ824" i="10"/>
  <c r="CX825" i="10"/>
  <c r="CY825" i="10"/>
  <c r="CZ825" i="10"/>
  <c r="CX826" i="10"/>
  <c r="DA826" i="10" s="1"/>
  <c r="CY826" i="10"/>
  <c r="CZ826" i="10"/>
  <c r="CX827" i="10"/>
  <c r="DA827" i="10" s="1"/>
  <c r="CY827" i="10"/>
  <c r="CZ827" i="10"/>
  <c r="CX828" i="10"/>
  <c r="CY828" i="10"/>
  <c r="CZ828" i="10"/>
  <c r="CX829" i="10"/>
  <c r="CY829" i="10"/>
  <c r="CZ829" i="10"/>
  <c r="CX830" i="10"/>
  <c r="DA830" i="10" s="1"/>
  <c r="CY830" i="10"/>
  <c r="CZ830" i="10"/>
  <c r="CX831" i="10"/>
  <c r="CY831" i="10"/>
  <c r="CZ831" i="10"/>
  <c r="CX832" i="10"/>
  <c r="CY832" i="10"/>
  <c r="CZ832" i="10"/>
  <c r="CX833" i="10"/>
  <c r="DA833" i="10" s="1"/>
  <c r="CY833" i="10"/>
  <c r="CZ833" i="10"/>
  <c r="CX834" i="10"/>
  <c r="DA834" i="10" s="1"/>
  <c r="CY834" i="10"/>
  <c r="CZ834" i="10"/>
  <c r="CX835" i="10"/>
  <c r="DA835" i="10" s="1"/>
  <c r="CY835" i="10"/>
  <c r="CZ835" i="10"/>
  <c r="CX836" i="10"/>
  <c r="DA836" i="10" s="1"/>
  <c r="CY836" i="10"/>
  <c r="CZ836" i="10"/>
  <c r="CX837" i="10"/>
  <c r="CY837" i="10"/>
  <c r="CZ837" i="10"/>
  <c r="CX838" i="10"/>
  <c r="DA838" i="10" s="1"/>
  <c r="CY838" i="10"/>
  <c r="CZ838" i="10"/>
  <c r="CX839" i="10"/>
  <c r="DA839" i="10" s="1"/>
  <c r="CY839" i="10"/>
  <c r="CZ839" i="10"/>
  <c r="CX840" i="10"/>
  <c r="CY840" i="10"/>
  <c r="CZ840" i="10"/>
  <c r="CX841" i="10"/>
  <c r="CY841" i="10"/>
  <c r="CZ841" i="10"/>
  <c r="CX842" i="10"/>
  <c r="DA842" i="10" s="1"/>
  <c r="CY842" i="10"/>
  <c r="CZ842" i="10"/>
  <c r="CX843" i="10"/>
  <c r="CY843" i="10"/>
  <c r="CZ843" i="10"/>
  <c r="CX844" i="10"/>
  <c r="DA844" i="10" s="1"/>
  <c r="CY844" i="10"/>
  <c r="CZ844" i="10"/>
  <c r="CX845" i="10"/>
  <c r="DA845" i="10" s="1"/>
  <c r="CY845" i="10"/>
  <c r="CZ845" i="10"/>
  <c r="CX846" i="10"/>
  <c r="DA846" i="10" s="1"/>
  <c r="CY846" i="10"/>
  <c r="CZ846" i="10"/>
  <c r="CX847" i="10"/>
  <c r="DA847" i="10" s="1"/>
  <c r="CY847" i="10"/>
  <c r="CZ847" i="10"/>
  <c r="CX848" i="10"/>
  <c r="DA848" i="10" s="1"/>
  <c r="CY848" i="10"/>
  <c r="CZ848" i="10"/>
  <c r="CX849" i="10"/>
  <c r="DA849" i="10" s="1"/>
  <c r="CY849" i="10"/>
  <c r="CZ849" i="10"/>
  <c r="CX850" i="10"/>
  <c r="DA850" i="10" s="1"/>
  <c r="CY850" i="10"/>
  <c r="CZ850" i="10"/>
  <c r="CX851" i="10"/>
  <c r="DA851" i="10" s="1"/>
  <c r="CY851" i="10"/>
  <c r="CZ851" i="10"/>
  <c r="CX852" i="10"/>
  <c r="CY852" i="10"/>
  <c r="CZ852" i="10"/>
  <c r="CX853" i="10"/>
  <c r="CY853" i="10"/>
  <c r="CZ853" i="10"/>
  <c r="CX854" i="10"/>
  <c r="DA854" i="10" s="1"/>
  <c r="CY854" i="10"/>
  <c r="CZ854" i="10"/>
  <c r="CX855" i="10"/>
  <c r="CY855" i="10"/>
  <c r="CZ855" i="10"/>
  <c r="CX856" i="10"/>
  <c r="DA856" i="10" s="1"/>
  <c r="CY856" i="10"/>
  <c r="CZ856" i="10"/>
  <c r="CX857" i="10"/>
  <c r="DA857" i="10" s="1"/>
  <c r="CY857" i="10"/>
  <c r="CZ857" i="10"/>
  <c r="CX858" i="10"/>
  <c r="DA858" i="10" s="1"/>
  <c r="CY858" i="10"/>
  <c r="CZ858" i="10"/>
  <c r="CX859" i="10"/>
  <c r="DA859" i="10" s="1"/>
  <c r="CY859" i="10"/>
  <c r="CZ859" i="10"/>
  <c r="CX860" i="10"/>
  <c r="DA860" i="10" s="1"/>
  <c r="CY860" i="10"/>
  <c r="CZ860" i="10"/>
  <c r="CX861" i="10"/>
  <c r="DA861" i="10" s="1"/>
  <c r="CY861" i="10"/>
  <c r="CZ861" i="10"/>
  <c r="CX862" i="10"/>
  <c r="DA862" i="10" s="1"/>
  <c r="CY862" i="10"/>
  <c r="CZ862" i="10"/>
  <c r="CX863" i="10"/>
  <c r="DA863" i="10" s="1"/>
  <c r="CY863" i="10"/>
  <c r="CZ863" i="10"/>
  <c r="CX864" i="10"/>
  <c r="CY864" i="10"/>
  <c r="CZ864" i="10"/>
  <c r="CX865" i="10"/>
  <c r="CY865" i="10"/>
  <c r="CZ865" i="10"/>
  <c r="CX866" i="10"/>
  <c r="DA866" i="10" s="1"/>
  <c r="CY866" i="10"/>
  <c r="CZ866" i="10"/>
  <c r="CX867" i="10"/>
  <c r="CY867" i="10"/>
  <c r="CZ867" i="10"/>
  <c r="CX868" i="10"/>
  <c r="DA868" i="10" s="1"/>
  <c r="CY868" i="10"/>
  <c r="CZ868" i="10"/>
  <c r="CX869" i="10"/>
  <c r="DA869" i="10" s="1"/>
  <c r="CY869" i="10"/>
  <c r="CZ869" i="10"/>
  <c r="CX870" i="10"/>
  <c r="DA870" i="10" s="1"/>
  <c r="CY870" i="10"/>
  <c r="CZ870" i="10"/>
  <c r="CX871" i="10"/>
  <c r="DA871" i="10" s="1"/>
  <c r="CY871" i="10"/>
  <c r="CZ871" i="10"/>
  <c r="CX872" i="10"/>
  <c r="DA872" i="10" s="1"/>
  <c r="CY872" i="10"/>
  <c r="CZ872" i="10"/>
  <c r="CX873" i="10"/>
  <c r="DA873" i="10" s="1"/>
  <c r="CY873" i="10"/>
  <c r="CZ873" i="10"/>
  <c r="CX874" i="10"/>
  <c r="DA874" i="10" s="1"/>
  <c r="CY874" i="10"/>
  <c r="CZ874" i="10"/>
  <c r="CX875" i="10"/>
  <c r="DA875" i="10" s="1"/>
  <c r="CY875" i="10"/>
  <c r="CZ875" i="10"/>
  <c r="CX876" i="10"/>
  <c r="CY876" i="10"/>
  <c r="CZ876" i="10"/>
  <c r="CX877" i="10"/>
  <c r="CY877" i="10"/>
  <c r="CZ877" i="10"/>
  <c r="CX878" i="10"/>
  <c r="DA878" i="10" s="1"/>
  <c r="CY878" i="10"/>
  <c r="CZ878" i="10"/>
  <c r="CX879" i="10"/>
  <c r="CY879" i="10"/>
  <c r="CZ879" i="10"/>
  <c r="CX880" i="10"/>
  <c r="DA880" i="10" s="1"/>
  <c r="CY880" i="10"/>
  <c r="CZ880" i="10"/>
  <c r="CX881" i="10"/>
  <c r="DA881" i="10" s="1"/>
  <c r="CY881" i="10"/>
  <c r="CZ881" i="10"/>
  <c r="CX882" i="10"/>
  <c r="DA882" i="10" s="1"/>
  <c r="CY882" i="10"/>
  <c r="CZ882" i="10"/>
  <c r="CX883" i="10"/>
  <c r="DA883" i="10" s="1"/>
  <c r="CY883" i="10"/>
  <c r="CZ883" i="10"/>
  <c r="CX884" i="10"/>
  <c r="DA884" i="10" s="1"/>
  <c r="CY884" i="10"/>
  <c r="CZ884" i="10"/>
  <c r="CX885" i="10"/>
  <c r="DA885" i="10" s="1"/>
  <c r="CY885" i="10"/>
  <c r="CZ885" i="10"/>
  <c r="CX886" i="10"/>
  <c r="DA886" i="10" s="1"/>
  <c r="CY886" i="10"/>
  <c r="CZ886" i="10"/>
  <c r="CX887" i="10"/>
  <c r="DA887" i="10" s="1"/>
  <c r="CY887" i="10"/>
  <c r="CZ887" i="10"/>
  <c r="CX888" i="10"/>
  <c r="CY888" i="10"/>
  <c r="CZ888" i="10"/>
  <c r="CX889" i="10"/>
  <c r="DA889" i="10" s="1"/>
  <c r="CY889" i="10"/>
  <c r="CZ889" i="10"/>
  <c r="CX890" i="10"/>
  <c r="DA890" i="10" s="1"/>
  <c r="CY890" i="10"/>
  <c r="CZ890" i="10"/>
  <c r="CX891" i="10"/>
  <c r="CY891" i="10"/>
  <c r="CZ891" i="10"/>
  <c r="CX892" i="10"/>
  <c r="DA892" i="10" s="1"/>
  <c r="CY892" i="10"/>
  <c r="CZ892" i="10"/>
  <c r="CX893" i="10"/>
  <c r="DA893" i="10" s="1"/>
  <c r="CY893" i="10"/>
  <c r="CZ893" i="10"/>
  <c r="CX894" i="10"/>
  <c r="DA894" i="10" s="1"/>
  <c r="CY894" i="10"/>
  <c r="CZ894" i="10"/>
  <c r="CX895" i="10"/>
  <c r="DA895" i="10" s="1"/>
  <c r="CY895" i="10"/>
  <c r="CZ895" i="10"/>
  <c r="CX896" i="10"/>
  <c r="DA896" i="10" s="1"/>
  <c r="CY896" i="10"/>
  <c r="CZ896" i="10"/>
  <c r="CX897" i="10"/>
  <c r="DA897" i="10" s="1"/>
  <c r="CY897" i="10"/>
  <c r="CZ897" i="10"/>
  <c r="CX898" i="10"/>
  <c r="DA898" i="10" s="1"/>
  <c r="CY898" i="10"/>
  <c r="CZ898" i="10"/>
  <c r="CX899" i="10"/>
  <c r="DA899" i="10" s="1"/>
  <c r="CY899" i="10"/>
  <c r="CZ899" i="10"/>
  <c r="CX900" i="10"/>
  <c r="CY900" i="10"/>
  <c r="CZ900" i="10"/>
  <c r="CX901" i="10"/>
  <c r="DA901" i="10" s="1"/>
  <c r="CY901" i="10"/>
  <c r="CZ901" i="10"/>
  <c r="CX902" i="10"/>
  <c r="DA902" i="10" s="1"/>
  <c r="CY902" i="10"/>
  <c r="CZ902" i="10"/>
  <c r="CX903" i="10"/>
  <c r="CY903" i="10"/>
  <c r="CZ903" i="10"/>
  <c r="CX904" i="10"/>
  <c r="DA904" i="10" s="1"/>
  <c r="CY904" i="10"/>
  <c r="CZ904" i="10"/>
  <c r="CX905" i="10"/>
  <c r="DA905" i="10" s="1"/>
  <c r="CY905" i="10"/>
  <c r="CZ905" i="10"/>
  <c r="CX906" i="10"/>
  <c r="DA906" i="10" s="1"/>
  <c r="CY906" i="10"/>
  <c r="CZ906" i="10"/>
  <c r="CX907" i="10"/>
  <c r="DA907" i="10" s="1"/>
  <c r="CY907" i="10"/>
  <c r="CZ907" i="10"/>
  <c r="CX908" i="10"/>
  <c r="DA908" i="10" s="1"/>
  <c r="CY908" i="10"/>
  <c r="CZ908" i="10"/>
  <c r="CX909" i="10"/>
  <c r="DA909" i="10" s="1"/>
  <c r="CY909" i="10"/>
  <c r="CZ909" i="10"/>
  <c r="CX910" i="10"/>
  <c r="DA910" i="10" s="1"/>
  <c r="CY910" i="10"/>
  <c r="CZ910" i="10"/>
  <c r="CX911" i="10"/>
  <c r="DA911" i="10" s="1"/>
  <c r="CY911" i="10"/>
  <c r="CZ911" i="10"/>
  <c r="CX912" i="10"/>
  <c r="CY912" i="10"/>
  <c r="CZ912" i="10"/>
  <c r="CX913" i="10"/>
  <c r="DA913" i="10" s="1"/>
  <c r="CY913" i="10"/>
  <c r="CZ913" i="10"/>
  <c r="CX914" i="10"/>
  <c r="DA914" i="10" s="1"/>
  <c r="CY914" i="10"/>
  <c r="CZ914" i="10"/>
  <c r="CX915" i="10"/>
  <c r="CY915" i="10"/>
  <c r="CZ915" i="10"/>
  <c r="CX916" i="10"/>
  <c r="DA916" i="10" s="1"/>
  <c r="CY916" i="10"/>
  <c r="CZ916" i="10"/>
  <c r="CX917" i="10"/>
  <c r="DA917" i="10" s="1"/>
  <c r="CY917" i="10"/>
  <c r="CZ917" i="10"/>
  <c r="CX918" i="10"/>
  <c r="DA918" i="10" s="1"/>
  <c r="CY918" i="10"/>
  <c r="CZ918" i="10"/>
  <c r="CX919" i="10"/>
  <c r="DA919" i="10" s="1"/>
  <c r="CY919" i="10"/>
  <c r="CZ919" i="10"/>
  <c r="CX920" i="10"/>
  <c r="DA920" i="10" s="1"/>
  <c r="CY920" i="10"/>
  <c r="CZ920" i="10"/>
  <c r="CX921" i="10"/>
  <c r="DA921" i="10" s="1"/>
  <c r="CY921" i="10"/>
  <c r="CZ921" i="10"/>
  <c r="CX922" i="10"/>
  <c r="DA922" i="10" s="1"/>
  <c r="CY922" i="10"/>
  <c r="CZ922" i="10"/>
  <c r="CX923" i="10"/>
  <c r="DA923" i="10" s="1"/>
  <c r="CY923" i="10"/>
  <c r="CZ923" i="10"/>
  <c r="CX924" i="10"/>
  <c r="CY924" i="10"/>
  <c r="CZ924" i="10"/>
  <c r="CX925" i="10"/>
  <c r="DA925" i="10" s="1"/>
  <c r="CY925" i="10"/>
  <c r="CZ925" i="10"/>
  <c r="CX926" i="10"/>
  <c r="DA926" i="10" s="1"/>
  <c r="CY926" i="10"/>
  <c r="CZ926" i="10"/>
  <c r="CX927" i="10"/>
  <c r="CY927" i="10"/>
  <c r="CZ927" i="10"/>
  <c r="CX928" i="10"/>
  <c r="DA928" i="10" s="1"/>
  <c r="CY928" i="10"/>
  <c r="CZ928" i="10"/>
  <c r="CX929" i="10"/>
  <c r="DA929" i="10" s="1"/>
  <c r="CY929" i="10"/>
  <c r="CZ929" i="10"/>
  <c r="CX930" i="10"/>
  <c r="DA930" i="10" s="1"/>
  <c r="CY930" i="10"/>
  <c r="CZ930" i="10"/>
  <c r="CX931" i="10"/>
  <c r="DA931" i="10" s="1"/>
  <c r="CY931" i="10"/>
  <c r="CZ931" i="10"/>
  <c r="CX932" i="10"/>
  <c r="DA932" i="10" s="1"/>
  <c r="CY932" i="10"/>
  <c r="CZ932" i="10"/>
  <c r="CX933" i="10"/>
  <c r="DA933" i="10" s="1"/>
  <c r="CY933" i="10"/>
  <c r="CZ933" i="10"/>
  <c r="CX934" i="10"/>
  <c r="DA934" i="10" s="1"/>
  <c r="CY934" i="10"/>
  <c r="CZ934" i="10"/>
  <c r="CX935" i="10"/>
  <c r="DA935" i="10" s="1"/>
  <c r="CY935" i="10"/>
  <c r="CZ935" i="10"/>
  <c r="CX936" i="10"/>
  <c r="CY936" i="10"/>
  <c r="CZ936" i="10"/>
  <c r="CX937" i="10"/>
  <c r="DA937" i="10" s="1"/>
  <c r="CY937" i="10"/>
  <c r="CZ937" i="10"/>
  <c r="CX938" i="10"/>
  <c r="DA938" i="10" s="1"/>
  <c r="CY938" i="10"/>
  <c r="CZ938" i="10"/>
  <c r="CX939" i="10"/>
  <c r="CY939" i="10"/>
  <c r="CZ939" i="10"/>
  <c r="CX940" i="10"/>
  <c r="DA940" i="10" s="1"/>
  <c r="CY940" i="10"/>
  <c r="CZ940" i="10"/>
  <c r="CX941" i="10"/>
  <c r="DA941" i="10" s="1"/>
  <c r="CY941" i="10"/>
  <c r="CZ941" i="10"/>
  <c r="CX942" i="10"/>
  <c r="DA942" i="10" s="1"/>
  <c r="CY942" i="10"/>
  <c r="CZ942" i="10"/>
  <c r="CX943" i="10"/>
  <c r="DA943" i="10" s="1"/>
  <c r="CY943" i="10"/>
  <c r="CZ943" i="10"/>
  <c r="CX944" i="10"/>
  <c r="DA944" i="10" s="1"/>
  <c r="CY944" i="10"/>
  <c r="CZ944" i="10"/>
  <c r="CX945" i="10"/>
  <c r="DA945" i="10" s="1"/>
  <c r="CY945" i="10"/>
  <c r="CZ945" i="10"/>
  <c r="CX946" i="10"/>
  <c r="DA946" i="10" s="1"/>
  <c r="CY946" i="10"/>
  <c r="CZ946" i="10"/>
  <c r="CX947" i="10"/>
  <c r="DA947" i="10" s="1"/>
  <c r="CY947" i="10"/>
  <c r="CZ947" i="10"/>
  <c r="CX948" i="10"/>
  <c r="CY948" i="10"/>
  <c r="CZ948" i="10"/>
  <c r="CX949" i="10"/>
  <c r="DA949" i="10" s="1"/>
  <c r="CY949" i="10"/>
  <c r="CZ949" i="10"/>
  <c r="CX950" i="10"/>
  <c r="DA950" i="10" s="1"/>
  <c r="CY950" i="10"/>
  <c r="CZ950" i="10"/>
  <c r="CX951" i="10"/>
  <c r="CY951" i="10"/>
  <c r="CZ951" i="10"/>
  <c r="CX952" i="10"/>
  <c r="DA952" i="10" s="1"/>
  <c r="CY952" i="10"/>
  <c r="CZ952" i="10"/>
  <c r="CX953" i="10"/>
  <c r="DA953" i="10" s="1"/>
  <c r="CY953" i="10"/>
  <c r="CZ953" i="10"/>
  <c r="CX954" i="10"/>
  <c r="DA954" i="10" s="1"/>
  <c r="CY954" i="10"/>
  <c r="CZ954" i="10"/>
  <c r="CX955" i="10"/>
  <c r="DA955" i="10" s="1"/>
  <c r="CY955" i="10"/>
  <c r="CZ955" i="10"/>
  <c r="CX956" i="10"/>
  <c r="DA956" i="10" s="1"/>
  <c r="CY956" i="10"/>
  <c r="CZ956" i="10"/>
  <c r="CX957" i="10"/>
  <c r="DA957" i="10" s="1"/>
  <c r="CY957" i="10"/>
  <c r="CZ957" i="10"/>
  <c r="CX958" i="10"/>
  <c r="DA958" i="10" s="1"/>
  <c r="CY958" i="10"/>
  <c r="CZ958" i="10"/>
  <c r="CX959" i="10"/>
  <c r="DA959" i="10" s="1"/>
  <c r="CY959" i="10"/>
  <c r="CZ959" i="10"/>
  <c r="CX960" i="10"/>
  <c r="CY960" i="10"/>
  <c r="CZ960" i="10"/>
  <c r="CX961" i="10"/>
  <c r="DA961" i="10" s="1"/>
  <c r="CY961" i="10"/>
  <c r="CZ961" i="10"/>
  <c r="CX962" i="10"/>
  <c r="DA962" i="10" s="1"/>
  <c r="CY962" i="10"/>
  <c r="CZ962" i="10"/>
  <c r="CX963" i="10"/>
  <c r="CY963" i="10"/>
  <c r="CZ963" i="10"/>
  <c r="CX964" i="10"/>
  <c r="DA964" i="10" s="1"/>
  <c r="CY964" i="10"/>
  <c r="CZ964" i="10"/>
  <c r="CX965" i="10"/>
  <c r="DA965" i="10" s="1"/>
  <c r="CY965" i="10"/>
  <c r="CZ965" i="10"/>
  <c r="CX966" i="10"/>
  <c r="DA966" i="10" s="1"/>
  <c r="CY966" i="10"/>
  <c r="CZ966" i="10"/>
  <c r="CX967" i="10"/>
  <c r="DA967" i="10" s="1"/>
  <c r="CY967" i="10"/>
  <c r="CZ967" i="10"/>
  <c r="CX968" i="10"/>
  <c r="DA968" i="10" s="1"/>
  <c r="CY968" i="10"/>
  <c r="CZ968" i="10"/>
  <c r="CX969" i="10"/>
  <c r="DA969" i="10" s="1"/>
  <c r="CY969" i="10"/>
  <c r="CZ969" i="10"/>
  <c r="CX970" i="10"/>
  <c r="DA970" i="10" s="1"/>
  <c r="CY970" i="10"/>
  <c r="CZ970" i="10"/>
  <c r="CX971" i="10"/>
  <c r="DA971" i="10" s="1"/>
  <c r="CY971" i="10"/>
  <c r="CZ971" i="10"/>
  <c r="CX972" i="10"/>
  <c r="CY972" i="10"/>
  <c r="CZ972" i="10"/>
  <c r="CX973" i="10"/>
  <c r="DA973" i="10" s="1"/>
  <c r="CY973" i="10"/>
  <c r="CZ973" i="10"/>
  <c r="CX974" i="10"/>
  <c r="DA974" i="10" s="1"/>
  <c r="CY974" i="10"/>
  <c r="CZ974" i="10"/>
  <c r="CX975" i="10"/>
  <c r="CY975" i="10"/>
  <c r="CZ975" i="10"/>
  <c r="CX976" i="10"/>
  <c r="DA976" i="10" s="1"/>
  <c r="CY976" i="10"/>
  <c r="CZ976" i="10"/>
  <c r="CX977" i="10"/>
  <c r="DA977" i="10" s="1"/>
  <c r="CY977" i="10"/>
  <c r="CZ977" i="10"/>
  <c r="CX978" i="10"/>
  <c r="DA978" i="10" s="1"/>
  <c r="CY978" i="10"/>
  <c r="CZ978" i="10"/>
  <c r="CX979" i="10"/>
  <c r="DA979" i="10" s="1"/>
  <c r="CY979" i="10"/>
  <c r="CZ979" i="10"/>
  <c r="CX980" i="10"/>
  <c r="DA980" i="10" s="1"/>
  <c r="CY980" i="10"/>
  <c r="CZ980" i="10"/>
  <c r="CX981" i="10"/>
  <c r="DA981" i="10" s="1"/>
  <c r="CY981" i="10"/>
  <c r="CZ981" i="10"/>
  <c r="CX982" i="10"/>
  <c r="DA982" i="10" s="1"/>
  <c r="CY982" i="10"/>
  <c r="CZ982" i="10"/>
  <c r="CX983" i="10"/>
  <c r="DA983" i="10" s="1"/>
  <c r="CY983" i="10"/>
  <c r="CZ983" i="10"/>
  <c r="CX984" i="10"/>
  <c r="CY984" i="10"/>
  <c r="CZ984" i="10"/>
  <c r="CX985" i="10"/>
  <c r="DA985" i="10" s="1"/>
  <c r="CY985" i="10"/>
  <c r="CZ985" i="10"/>
  <c r="CX986" i="10"/>
  <c r="DA986" i="10" s="1"/>
  <c r="CY986" i="10"/>
  <c r="CZ986" i="10"/>
  <c r="CX987" i="10"/>
  <c r="CY987" i="10"/>
  <c r="CZ987" i="10"/>
  <c r="CX988" i="10"/>
  <c r="DA988" i="10" s="1"/>
  <c r="CY988" i="10"/>
  <c r="CZ988" i="10"/>
  <c r="CX989" i="10"/>
  <c r="DA989" i="10" s="1"/>
  <c r="CY989" i="10"/>
  <c r="CZ989" i="10"/>
  <c r="CX990" i="10"/>
  <c r="DA990" i="10" s="1"/>
  <c r="CY990" i="10"/>
  <c r="CZ990" i="10"/>
  <c r="CX991" i="10"/>
  <c r="DA991" i="10" s="1"/>
  <c r="CY991" i="10"/>
  <c r="CZ991" i="10"/>
  <c r="CX992" i="10"/>
  <c r="DA992" i="10" s="1"/>
  <c r="CY992" i="10"/>
  <c r="CZ992" i="10"/>
  <c r="CX993" i="10"/>
  <c r="DA993" i="10" s="1"/>
  <c r="CY993" i="10"/>
  <c r="CZ993" i="10"/>
  <c r="CX994" i="10"/>
  <c r="DA994" i="10" s="1"/>
  <c r="CY994" i="10"/>
  <c r="CZ994" i="10"/>
  <c r="CX995" i="10"/>
  <c r="DA995" i="10" s="1"/>
  <c r="CY995" i="10"/>
  <c r="CZ995" i="10"/>
  <c r="CX996" i="10"/>
  <c r="CY996" i="10"/>
  <c r="CZ996" i="10"/>
  <c r="CX997" i="10"/>
  <c r="DA997" i="10" s="1"/>
  <c r="CY997" i="10"/>
  <c r="CZ997" i="10"/>
  <c r="CX998" i="10"/>
  <c r="DA998" i="10" s="1"/>
  <c r="CY998" i="10"/>
  <c r="CZ998" i="10"/>
  <c r="CX999" i="10"/>
  <c r="CY999" i="10"/>
  <c r="CZ999" i="10"/>
  <c r="CX1000" i="10"/>
  <c r="DA1000" i="10" s="1"/>
  <c r="CY1000" i="10"/>
  <c r="CZ1000" i="10"/>
  <c r="CX1001" i="10"/>
  <c r="DA1001" i="10" s="1"/>
  <c r="CY1001" i="10"/>
  <c r="CZ1001" i="10"/>
  <c r="CX1002" i="10"/>
  <c r="DA1002" i="10" s="1"/>
  <c r="CY1002" i="10"/>
  <c r="CZ1002" i="10"/>
  <c r="CX1003" i="10"/>
  <c r="DA1003" i="10" s="1"/>
  <c r="CY1003" i="10"/>
  <c r="CZ1003" i="10"/>
  <c r="CX1004" i="10"/>
  <c r="DA1004" i="10" s="1"/>
  <c r="CY1004" i="10"/>
  <c r="CZ1004" i="10"/>
  <c r="CX1005" i="10"/>
  <c r="DA1005" i="10" s="1"/>
  <c r="CY1005" i="10"/>
  <c r="CZ1005" i="10"/>
  <c r="CX1006" i="10"/>
  <c r="DA1006" i="10" s="1"/>
  <c r="CY1006" i="10"/>
  <c r="CZ1006" i="10"/>
  <c r="CX1007" i="10"/>
  <c r="DA1007" i="10" s="1"/>
  <c r="CY1007" i="10"/>
  <c r="CZ1007" i="10"/>
  <c r="CX1008" i="10"/>
  <c r="CY1008" i="10"/>
  <c r="CZ1008" i="10"/>
  <c r="CX1009" i="10"/>
  <c r="DA1009" i="10" s="1"/>
  <c r="CY1009" i="10"/>
  <c r="CZ1009" i="10"/>
  <c r="CX1010" i="10"/>
  <c r="DA1010" i="10" s="1"/>
  <c r="CY1010" i="10"/>
  <c r="CZ1010" i="10"/>
  <c r="CX1011" i="10"/>
  <c r="CY1011" i="10"/>
  <c r="CZ1011" i="10"/>
  <c r="CX1012" i="10"/>
  <c r="DA1012" i="10" s="1"/>
  <c r="CY1012" i="10"/>
  <c r="CZ1012" i="10"/>
  <c r="CX1013" i="10"/>
  <c r="DA1013" i="10" s="1"/>
  <c r="CY1013" i="10"/>
  <c r="CZ1013" i="10"/>
  <c r="CX1014" i="10"/>
  <c r="DA1014" i="10" s="1"/>
  <c r="CY1014" i="10"/>
  <c r="CZ1014" i="10"/>
  <c r="CP28" i="10"/>
  <c r="CS28" i="10" s="1"/>
  <c r="CQ28" i="10"/>
  <c r="CR28" i="10"/>
  <c r="CP29" i="10"/>
  <c r="CS29" i="10" s="1"/>
  <c r="CQ29" i="10"/>
  <c r="CR29" i="10"/>
  <c r="CP30" i="10"/>
  <c r="CQ30" i="10"/>
  <c r="CR30" i="10"/>
  <c r="CP31" i="10"/>
  <c r="CQ31" i="10"/>
  <c r="CR31" i="10"/>
  <c r="CP32" i="10"/>
  <c r="CS32" i="10" s="1"/>
  <c r="CQ32" i="10"/>
  <c r="CR32" i="10"/>
  <c r="CP33" i="10"/>
  <c r="CS33" i="10" s="1"/>
  <c r="CQ33" i="10"/>
  <c r="CR33" i="10"/>
  <c r="CP34" i="10"/>
  <c r="CS34" i="10" s="1"/>
  <c r="CQ34" i="10"/>
  <c r="CR34" i="10"/>
  <c r="CP35" i="10"/>
  <c r="CS35" i="10" s="1"/>
  <c r="CQ35" i="10"/>
  <c r="CR35" i="10"/>
  <c r="CP36" i="10"/>
  <c r="CS36" i="10" s="1"/>
  <c r="CQ36" i="10"/>
  <c r="CR36" i="10"/>
  <c r="CP37" i="10"/>
  <c r="CS37" i="10" s="1"/>
  <c r="CQ37" i="10"/>
  <c r="CR37" i="10"/>
  <c r="CP38" i="10"/>
  <c r="CS38" i="10" s="1"/>
  <c r="CQ38" i="10"/>
  <c r="CR38" i="10"/>
  <c r="CP39" i="10"/>
  <c r="CS39" i="10" s="1"/>
  <c r="CQ39" i="10"/>
  <c r="CR39" i="10"/>
  <c r="CP40" i="10"/>
  <c r="CS40" i="10" s="1"/>
  <c r="CQ40" i="10"/>
  <c r="CR40" i="10"/>
  <c r="CP41" i="10"/>
  <c r="CS41" i="10" s="1"/>
  <c r="CQ41" i="10"/>
  <c r="CR41" i="10"/>
  <c r="CP42" i="10"/>
  <c r="CQ42" i="10"/>
  <c r="CR42" i="10"/>
  <c r="CP43" i="10"/>
  <c r="CS43" i="10" s="1"/>
  <c r="CQ43" i="10"/>
  <c r="CR43" i="10"/>
  <c r="CP44" i="10"/>
  <c r="CS44" i="10" s="1"/>
  <c r="CQ44" i="10"/>
  <c r="CR44" i="10"/>
  <c r="CP45" i="10"/>
  <c r="CS45" i="10" s="1"/>
  <c r="CQ45" i="10"/>
  <c r="CR45" i="10"/>
  <c r="CP46" i="10"/>
  <c r="CS46" i="10" s="1"/>
  <c r="CQ46" i="10"/>
  <c r="CR46" i="10"/>
  <c r="CP47" i="10"/>
  <c r="CS47" i="10" s="1"/>
  <c r="CQ47" i="10"/>
  <c r="CR47" i="10"/>
  <c r="CP48" i="10"/>
  <c r="CS48" i="10" s="1"/>
  <c r="CQ48" i="10"/>
  <c r="CR48" i="10"/>
  <c r="CP49" i="10"/>
  <c r="CS49" i="10" s="1"/>
  <c r="CQ49" i="10"/>
  <c r="CR49" i="10"/>
  <c r="CP50" i="10"/>
  <c r="CS50" i="10" s="1"/>
  <c r="CQ50" i="10"/>
  <c r="CR50" i="10"/>
  <c r="CP51" i="10"/>
  <c r="CS51" i="10" s="1"/>
  <c r="CQ51" i="10"/>
  <c r="CR51" i="10"/>
  <c r="CP52" i="10"/>
  <c r="CS52" i="10" s="1"/>
  <c r="CQ52" i="10"/>
  <c r="CR52" i="10"/>
  <c r="CP53" i="10"/>
  <c r="CS53" i="10" s="1"/>
  <c r="CQ53" i="10"/>
  <c r="CR53" i="10"/>
  <c r="CP54" i="10"/>
  <c r="CQ54" i="10"/>
  <c r="CR54" i="10"/>
  <c r="CP55" i="10"/>
  <c r="CQ55" i="10"/>
  <c r="CR55" i="10"/>
  <c r="CP56" i="10"/>
  <c r="CQ56" i="10"/>
  <c r="CR56" i="10"/>
  <c r="CP57" i="10"/>
  <c r="CS57" i="10" s="1"/>
  <c r="CQ57" i="10"/>
  <c r="CR57" i="10"/>
  <c r="CP58" i="10"/>
  <c r="CS58" i="10" s="1"/>
  <c r="CQ58" i="10"/>
  <c r="CR58" i="10"/>
  <c r="CP59" i="10"/>
  <c r="CS59" i="10" s="1"/>
  <c r="CQ59" i="10"/>
  <c r="CR59" i="10"/>
  <c r="CP60" i="10"/>
  <c r="CS60" i="10" s="1"/>
  <c r="CQ60" i="10"/>
  <c r="CR60" i="10"/>
  <c r="CP61" i="10"/>
  <c r="CS61" i="10" s="1"/>
  <c r="CQ61" i="10"/>
  <c r="CR61" i="10"/>
  <c r="CP62" i="10"/>
  <c r="CS62" i="10" s="1"/>
  <c r="CQ62" i="10"/>
  <c r="CR62" i="10"/>
  <c r="CP63" i="10"/>
  <c r="CS63" i="10" s="1"/>
  <c r="CQ63" i="10"/>
  <c r="CR63" i="10"/>
  <c r="CP64" i="10"/>
  <c r="CS64" i="10" s="1"/>
  <c r="CQ64" i="10"/>
  <c r="CR64" i="10"/>
  <c r="CP65" i="10"/>
  <c r="CS65" i="10" s="1"/>
  <c r="CQ65" i="10"/>
  <c r="CR65" i="10"/>
  <c r="CP66" i="10"/>
  <c r="CS66" i="10" s="1"/>
  <c r="CQ66" i="10"/>
  <c r="CR66" i="10"/>
  <c r="CP67" i="10"/>
  <c r="CQ67" i="10"/>
  <c r="CR67" i="10"/>
  <c r="CP68" i="10"/>
  <c r="CQ68" i="10"/>
  <c r="CR68" i="10"/>
  <c r="CP69" i="10"/>
  <c r="CS69" i="10" s="1"/>
  <c r="CQ69" i="10"/>
  <c r="CR69" i="10"/>
  <c r="CP70" i="10"/>
  <c r="CS70" i="10" s="1"/>
  <c r="CQ70" i="10"/>
  <c r="CR70" i="10"/>
  <c r="CP71" i="10"/>
  <c r="CS71" i="10" s="1"/>
  <c r="CQ71" i="10"/>
  <c r="CR71" i="10"/>
  <c r="CP72" i="10"/>
  <c r="CS72" i="10" s="1"/>
  <c r="CQ72" i="10"/>
  <c r="CR72" i="10"/>
  <c r="CP73" i="10"/>
  <c r="CS73" i="10" s="1"/>
  <c r="CQ73" i="10"/>
  <c r="CR73" i="10"/>
  <c r="CP74" i="10"/>
  <c r="CS74" i="10" s="1"/>
  <c r="CQ74" i="10"/>
  <c r="CR74" i="10"/>
  <c r="CP75" i="10"/>
  <c r="CS75" i="10" s="1"/>
  <c r="CQ75" i="10"/>
  <c r="CR75" i="10"/>
  <c r="CP76" i="10"/>
  <c r="CS76" i="10" s="1"/>
  <c r="CQ76" i="10"/>
  <c r="CR76" i="10"/>
  <c r="CP77" i="10"/>
  <c r="CS77" i="10" s="1"/>
  <c r="CQ77" i="10"/>
  <c r="CR77" i="10"/>
  <c r="CP78" i="10"/>
  <c r="CQ78" i="10"/>
  <c r="CR78" i="10"/>
  <c r="CP79" i="10"/>
  <c r="CQ79" i="10"/>
  <c r="CR79" i="10"/>
  <c r="CP80" i="10"/>
  <c r="CS80" i="10" s="1"/>
  <c r="CQ80" i="10"/>
  <c r="CR80" i="10"/>
  <c r="CP81" i="10"/>
  <c r="CS81" i="10" s="1"/>
  <c r="CQ81" i="10"/>
  <c r="CR81" i="10"/>
  <c r="CP82" i="10"/>
  <c r="CS82" i="10" s="1"/>
  <c r="CQ82" i="10"/>
  <c r="CR82" i="10"/>
  <c r="CP83" i="10"/>
  <c r="CS83" i="10" s="1"/>
  <c r="CQ83" i="10"/>
  <c r="CR83" i="10"/>
  <c r="CP84" i="10"/>
  <c r="CS84" i="10" s="1"/>
  <c r="CQ84" i="10"/>
  <c r="CR84" i="10"/>
  <c r="CP85" i="10"/>
  <c r="CS85" i="10" s="1"/>
  <c r="CQ85" i="10"/>
  <c r="CR85" i="10"/>
  <c r="CP86" i="10"/>
  <c r="CS86" i="10" s="1"/>
  <c r="CQ86" i="10"/>
  <c r="CR86" i="10"/>
  <c r="CP87" i="10"/>
  <c r="CS87" i="10" s="1"/>
  <c r="CQ87" i="10"/>
  <c r="CR87" i="10"/>
  <c r="CP88" i="10"/>
  <c r="CS88" i="10" s="1"/>
  <c r="CQ88" i="10"/>
  <c r="CR88" i="10"/>
  <c r="CP89" i="10"/>
  <c r="CS89" i="10" s="1"/>
  <c r="CQ89" i="10"/>
  <c r="CR89" i="10"/>
  <c r="CP90" i="10"/>
  <c r="CQ90" i="10"/>
  <c r="CR90" i="10"/>
  <c r="CP91" i="10"/>
  <c r="CQ91" i="10"/>
  <c r="CR91" i="10"/>
  <c r="CP92" i="10"/>
  <c r="CS92" i="10" s="1"/>
  <c r="CQ92" i="10"/>
  <c r="CR92" i="10"/>
  <c r="CP93" i="10"/>
  <c r="CS93" i="10" s="1"/>
  <c r="CQ93" i="10"/>
  <c r="CR93" i="10"/>
  <c r="CP94" i="10"/>
  <c r="CS94" i="10" s="1"/>
  <c r="CQ94" i="10"/>
  <c r="CR94" i="10"/>
  <c r="CP95" i="10"/>
  <c r="CS95" i="10" s="1"/>
  <c r="CQ95" i="10"/>
  <c r="CR95" i="10"/>
  <c r="CP96" i="10"/>
  <c r="CS96" i="10" s="1"/>
  <c r="CQ96" i="10"/>
  <c r="CR96" i="10"/>
  <c r="CP97" i="10"/>
  <c r="CS97" i="10" s="1"/>
  <c r="CQ97" i="10"/>
  <c r="CR97" i="10"/>
  <c r="CP98" i="10"/>
  <c r="CS98" i="10" s="1"/>
  <c r="CQ98" i="10"/>
  <c r="CR98" i="10"/>
  <c r="CP99" i="10"/>
  <c r="CS99" i="10" s="1"/>
  <c r="CQ99" i="10"/>
  <c r="CR99" i="10"/>
  <c r="CP100" i="10"/>
  <c r="CS100" i="10" s="1"/>
  <c r="CQ100" i="10"/>
  <c r="CR100" i="10"/>
  <c r="CP101" i="10"/>
  <c r="CS101" i="10" s="1"/>
  <c r="CQ101" i="10"/>
  <c r="CR101" i="10"/>
  <c r="CP102" i="10"/>
  <c r="CQ102" i="10"/>
  <c r="CR102" i="10"/>
  <c r="CP103" i="10"/>
  <c r="CQ103" i="10"/>
  <c r="CR103" i="10"/>
  <c r="CP104" i="10"/>
  <c r="CQ104" i="10"/>
  <c r="CR104" i="10"/>
  <c r="CP105" i="10"/>
  <c r="CS105" i="10" s="1"/>
  <c r="CQ105" i="10"/>
  <c r="CR105" i="10"/>
  <c r="CP106" i="10"/>
  <c r="CS106" i="10" s="1"/>
  <c r="CQ106" i="10"/>
  <c r="CR106" i="10"/>
  <c r="CP107" i="10"/>
  <c r="CS107" i="10" s="1"/>
  <c r="CQ107" i="10"/>
  <c r="CR107" i="10"/>
  <c r="CP108" i="10"/>
  <c r="CS108" i="10" s="1"/>
  <c r="CQ108" i="10"/>
  <c r="CR108" i="10"/>
  <c r="CP109" i="10"/>
  <c r="CS109" i="10" s="1"/>
  <c r="CQ109" i="10"/>
  <c r="CR109" i="10"/>
  <c r="CP110" i="10"/>
  <c r="CS110" i="10" s="1"/>
  <c r="CQ110" i="10"/>
  <c r="CR110" i="10"/>
  <c r="CP111" i="10"/>
  <c r="CS111" i="10" s="1"/>
  <c r="CQ111" i="10"/>
  <c r="CR111" i="10"/>
  <c r="CP112" i="10"/>
  <c r="CS112" i="10" s="1"/>
  <c r="CQ112" i="10"/>
  <c r="CR112" i="10"/>
  <c r="CP113" i="10"/>
  <c r="CS113" i="10" s="1"/>
  <c r="CQ113" i="10"/>
  <c r="CR113" i="10"/>
  <c r="CP114" i="10"/>
  <c r="CS114" i="10" s="1"/>
  <c r="CQ114" i="10"/>
  <c r="CR114" i="10"/>
  <c r="CP115" i="10"/>
  <c r="CS115" i="10" s="1"/>
  <c r="CQ115" i="10"/>
  <c r="CR115" i="10"/>
  <c r="CP116" i="10"/>
  <c r="CS116" i="10" s="1"/>
  <c r="CQ116" i="10"/>
  <c r="CR116" i="10"/>
  <c r="CP117" i="10"/>
  <c r="CS117" i="10" s="1"/>
  <c r="CQ117" i="10"/>
  <c r="CR117" i="10"/>
  <c r="CP118" i="10"/>
  <c r="CS118" i="10" s="1"/>
  <c r="CQ118" i="10"/>
  <c r="CR118" i="10"/>
  <c r="CP119" i="10"/>
  <c r="CS119" i="10" s="1"/>
  <c r="CQ119" i="10"/>
  <c r="CR119" i="10"/>
  <c r="CP120" i="10"/>
  <c r="CS120" i="10" s="1"/>
  <c r="CQ120" i="10"/>
  <c r="CR120" i="10"/>
  <c r="CP121" i="10"/>
  <c r="CS121" i="10" s="1"/>
  <c r="CQ121" i="10"/>
  <c r="CR121" i="10"/>
  <c r="CP122" i="10"/>
  <c r="CS122" i="10" s="1"/>
  <c r="CQ122" i="10"/>
  <c r="CR122" i="10"/>
  <c r="CP123" i="10"/>
  <c r="CS123" i="10" s="1"/>
  <c r="CQ123" i="10"/>
  <c r="CR123" i="10"/>
  <c r="CP124" i="10"/>
  <c r="CS124" i="10" s="1"/>
  <c r="CQ124" i="10"/>
  <c r="CR124" i="10"/>
  <c r="CP125" i="10"/>
  <c r="CS125" i="10" s="1"/>
  <c r="CQ125" i="10"/>
  <c r="CR125" i="10"/>
  <c r="CP126" i="10"/>
  <c r="CS126" i="10" s="1"/>
  <c r="CQ126" i="10"/>
  <c r="CR126" i="10"/>
  <c r="CP127" i="10"/>
  <c r="CS127" i="10" s="1"/>
  <c r="CQ127" i="10"/>
  <c r="CR127" i="10"/>
  <c r="CP128" i="10"/>
  <c r="CS128" i="10" s="1"/>
  <c r="CQ128" i="10"/>
  <c r="CR128" i="10"/>
  <c r="CP129" i="10"/>
  <c r="CS129" i="10" s="1"/>
  <c r="CQ129" i="10"/>
  <c r="CR129" i="10"/>
  <c r="CP130" i="10"/>
  <c r="CS130" i="10" s="1"/>
  <c r="CQ130" i="10"/>
  <c r="CR130" i="10"/>
  <c r="CP131" i="10"/>
  <c r="CS131" i="10" s="1"/>
  <c r="CQ131" i="10"/>
  <c r="CR131" i="10"/>
  <c r="CP132" i="10"/>
  <c r="CS132" i="10" s="1"/>
  <c r="CQ132" i="10"/>
  <c r="CR132" i="10"/>
  <c r="CP133" i="10"/>
  <c r="CS133" i="10" s="1"/>
  <c r="CQ133" i="10"/>
  <c r="CR133" i="10"/>
  <c r="CP134" i="10"/>
  <c r="CS134" i="10" s="1"/>
  <c r="CQ134" i="10"/>
  <c r="CR134" i="10"/>
  <c r="CP135" i="10"/>
  <c r="CS135" i="10" s="1"/>
  <c r="CQ135" i="10"/>
  <c r="CR135" i="10"/>
  <c r="CP136" i="10"/>
  <c r="CS136" i="10" s="1"/>
  <c r="CQ136" i="10"/>
  <c r="CR136" i="10"/>
  <c r="CP137" i="10"/>
  <c r="CS137" i="10" s="1"/>
  <c r="CQ137" i="10"/>
  <c r="CR137" i="10"/>
  <c r="CP138" i="10"/>
  <c r="CS138" i="10" s="1"/>
  <c r="CQ138" i="10"/>
  <c r="CR138" i="10"/>
  <c r="CP139" i="10"/>
  <c r="CS139" i="10" s="1"/>
  <c r="CQ139" i="10"/>
  <c r="CR139" i="10"/>
  <c r="CP140" i="10"/>
  <c r="CS140" i="10" s="1"/>
  <c r="CQ140" i="10"/>
  <c r="CR140" i="10"/>
  <c r="CP141" i="10"/>
  <c r="CS141" i="10" s="1"/>
  <c r="CQ141" i="10"/>
  <c r="CR141" i="10"/>
  <c r="CP142" i="10"/>
  <c r="CS142" i="10" s="1"/>
  <c r="CQ142" i="10"/>
  <c r="CR142" i="10"/>
  <c r="CP143" i="10"/>
  <c r="CS143" i="10" s="1"/>
  <c r="CQ143" i="10"/>
  <c r="CR143" i="10"/>
  <c r="CP144" i="10"/>
  <c r="CS144" i="10" s="1"/>
  <c r="CQ144" i="10"/>
  <c r="CR144" i="10"/>
  <c r="CP145" i="10"/>
  <c r="CS145" i="10" s="1"/>
  <c r="CQ145" i="10"/>
  <c r="CR145" i="10"/>
  <c r="CP146" i="10"/>
  <c r="CS146" i="10" s="1"/>
  <c r="CQ146" i="10"/>
  <c r="CR146" i="10"/>
  <c r="CP147" i="10"/>
  <c r="CS147" i="10" s="1"/>
  <c r="CQ147" i="10"/>
  <c r="CR147" i="10"/>
  <c r="CP148" i="10"/>
  <c r="CS148" i="10" s="1"/>
  <c r="CQ148" i="10"/>
  <c r="CR148" i="10"/>
  <c r="CP149" i="10"/>
  <c r="CS149" i="10" s="1"/>
  <c r="CQ149" i="10"/>
  <c r="CR149" i="10"/>
  <c r="CP150" i="10"/>
  <c r="CS150" i="10" s="1"/>
  <c r="CQ150" i="10"/>
  <c r="CR150" i="10"/>
  <c r="CP151" i="10"/>
  <c r="CS151" i="10" s="1"/>
  <c r="CQ151" i="10"/>
  <c r="CR151" i="10"/>
  <c r="CP152" i="10"/>
  <c r="CS152" i="10" s="1"/>
  <c r="CQ152" i="10"/>
  <c r="CR152" i="10"/>
  <c r="CP153" i="10"/>
  <c r="CS153" i="10" s="1"/>
  <c r="CQ153" i="10"/>
  <c r="CR153" i="10"/>
  <c r="CP154" i="10"/>
  <c r="CS154" i="10" s="1"/>
  <c r="CQ154" i="10"/>
  <c r="CR154" i="10"/>
  <c r="CP155" i="10"/>
  <c r="CS155" i="10" s="1"/>
  <c r="CQ155" i="10"/>
  <c r="CR155" i="10"/>
  <c r="CP156" i="10"/>
  <c r="CS156" i="10" s="1"/>
  <c r="CQ156" i="10"/>
  <c r="CR156" i="10"/>
  <c r="CP157" i="10"/>
  <c r="CS157" i="10" s="1"/>
  <c r="CQ157" i="10"/>
  <c r="CR157" i="10"/>
  <c r="CP158" i="10"/>
  <c r="CS158" i="10" s="1"/>
  <c r="CQ158" i="10"/>
  <c r="CR158" i="10"/>
  <c r="CP159" i="10"/>
  <c r="CS159" i="10" s="1"/>
  <c r="CQ159" i="10"/>
  <c r="CR159" i="10"/>
  <c r="CP160" i="10"/>
  <c r="CS160" i="10" s="1"/>
  <c r="CQ160" i="10"/>
  <c r="CR160" i="10"/>
  <c r="CP161" i="10"/>
  <c r="CS161" i="10" s="1"/>
  <c r="CQ161" i="10"/>
  <c r="CR161" i="10"/>
  <c r="CP162" i="10"/>
  <c r="CS162" i="10" s="1"/>
  <c r="CQ162" i="10"/>
  <c r="CR162" i="10"/>
  <c r="CP163" i="10"/>
  <c r="CQ163" i="10"/>
  <c r="CR163" i="10"/>
  <c r="CP164" i="10"/>
  <c r="CS164" i="10" s="1"/>
  <c r="CQ164" i="10"/>
  <c r="CR164" i="10"/>
  <c r="CP165" i="10"/>
  <c r="CS165" i="10" s="1"/>
  <c r="CQ165" i="10"/>
  <c r="CR165" i="10"/>
  <c r="CP166" i="10"/>
  <c r="CS166" i="10" s="1"/>
  <c r="CQ166" i="10"/>
  <c r="CR166" i="10"/>
  <c r="CP167" i="10"/>
  <c r="CQ167" i="10"/>
  <c r="CR167" i="10"/>
  <c r="CS167" i="10"/>
  <c r="CP168" i="10"/>
  <c r="CS168" i="10" s="1"/>
  <c r="CQ168" i="10"/>
  <c r="CR168" i="10"/>
  <c r="CP169" i="10"/>
  <c r="CS169" i="10" s="1"/>
  <c r="CQ169" i="10"/>
  <c r="CR169" i="10"/>
  <c r="CP170" i="10"/>
  <c r="CS170" i="10" s="1"/>
  <c r="CQ170" i="10"/>
  <c r="CR170" i="10"/>
  <c r="CP171" i="10"/>
  <c r="CS171" i="10" s="1"/>
  <c r="CQ171" i="10"/>
  <c r="CR171" i="10"/>
  <c r="CP172" i="10"/>
  <c r="CS172" i="10" s="1"/>
  <c r="CQ172" i="10"/>
  <c r="CR172" i="10"/>
  <c r="CP173" i="10"/>
  <c r="CS173" i="10" s="1"/>
  <c r="CQ173" i="10"/>
  <c r="CR173" i="10"/>
  <c r="CP174" i="10"/>
  <c r="CS174" i="10" s="1"/>
  <c r="CQ174" i="10"/>
  <c r="CR174" i="10"/>
  <c r="CP175" i="10"/>
  <c r="CQ175" i="10"/>
  <c r="CR175" i="10"/>
  <c r="CP176" i="10"/>
  <c r="CS176" i="10" s="1"/>
  <c r="CQ176" i="10"/>
  <c r="CR176" i="10"/>
  <c r="CP177" i="10"/>
  <c r="CS177" i="10" s="1"/>
  <c r="CQ177" i="10"/>
  <c r="CR177" i="10"/>
  <c r="CP178" i="10"/>
  <c r="CS178" i="10" s="1"/>
  <c r="CQ178" i="10"/>
  <c r="CR178" i="10"/>
  <c r="CP179" i="10"/>
  <c r="CS179" i="10" s="1"/>
  <c r="CQ179" i="10"/>
  <c r="CR179" i="10"/>
  <c r="CP180" i="10"/>
  <c r="CS180" i="10" s="1"/>
  <c r="CQ180" i="10"/>
  <c r="CR180" i="10"/>
  <c r="CP181" i="10"/>
  <c r="CS181" i="10" s="1"/>
  <c r="CQ181" i="10"/>
  <c r="CR181" i="10"/>
  <c r="CP182" i="10"/>
  <c r="CS182" i="10" s="1"/>
  <c r="CQ182" i="10"/>
  <c r="CR182" i="10"/>
  <c r="CP183" i="10"/>
  <c r="CS183" i="10" s="1"/>
  <c r="CQ183" i="10"/>
  <c r="CR183" i="10"/>
  <c r="CP184" i="10"/>
  <c r="CS184" i="10" s="1"/>
  <c r="CQ184" i="10"/>
  <c r="CR184" i="10"/>
  <c r="CP185" i="10"/>
  <c r="CS185" i="10" s="1"/>
  <c r="CQ185" i="10"/>
  <c r="CR185" i="10"/>
  <c r="CP186" i="10"/>
  <c r="CS186" i="10" s="1"/>
  <c r="CQ186" i="10"/>
  <c r="CR186" i="10"/>
  <c r="CP187" i="10"/>
  <c r="CQ187" i="10"/>
  <c r="CR187" i="10"/>
  <c r="CP188" i="10"/>
  <c r="CS188" i="10" s="1"/>
  <c r="CQ188" i="10"/>
  <c r="CR188" i="10"/>
  <c r="CP189" i="10"/>
  <c r="CS189" i="10" s="1"/>
  <c r="CQ189" i="10"/>
  <c r="CR189" i="10"/>
  <c r="CP190" i="10"/>
  <c r="CQ190" i="10"/>
  <c r="CR190" i="10"/>
  <c r="CS190" i="10"/>
  <c r="CP191" i="10"/>
  <c r="CS191" i="10" s="1"/>
  <c r="CQ191" i="10"/>
  <c r="CR191" i="10"/>
  <c r="CP192" i="10"/>
  <c r="CS192" i="10" s="1"/>
  <c r="CQ192" i="10"/>
  <c r="CR192" i="10"/>
  <c r="CP193" i="10"/>
  <c r="CS193" i="10" s="1"/>
  <c r="CQ193" i="10"/>
  <c r="CR193" i="10"/>
  <c r="CP194" i="10"/>
  <c r="CS194" i="10" s="1"/>
  <c r="CQ194" i="10"/>
  <c r="CR194" i="10"/>
  <c r="CP195" i="10"/>
  <c r="CS195" i="10" s="1"/>
  <c r="CQ195" i="10"/>
  <c r="CR195" i="10"/>
  <c r="CP196" i="10"/>
  <c r="CS196" i="10" s="1"/>
  <c r="CQ196" i="10"/>
  <c r="CR196" i="10"/>
  <c r="CP197" i="10"/>
  <c r="CS197" i="10" s="1"/>
  <c r="CQ197" i="10"/>
  <c r="CR197" i="10"/>
  <c r="CP198" i="10"/>
  <c r="CS198" i="10" s="1"/>
  <c r="CQ198" i="10"/>
  <c r="CR198" i="10"/>
  <c r="CP199" i="10"/>
  <c r="CS199" i="10" s="1"/>
  <c r="CQ199" i="10"/>
  <c r="CR199" i="10"/>
  <c r="CP200" i="10"/>
  <c r="CS200" i="10" s="1"/>
  <c r="CQ200" i="10"/>
  <c r="CR200" i="10"/>
  <c r="CP201" i="10"/>
  <c r="CS201" i="10" s="1"/>
  <c r="CQ201" i="10"/>
  <c r="CR201" i="10"/>
  <c r="CP202" i="10"/>
  <c r="CS202" i="10" s="1"/>
  <c r="CQ202" i="10"/>
  <c r="CR202" i="10"/>
  <c r="CP203" i="10"/>
  <c r="CS203" i="10" s="1"/>
  <c r="CQ203" i="10"/>
  <c r="CR203" i="10"/>
  <c r="CP204" i="10"/>
  <c r="CS204" i="10" s="1"/>
  <c r="CQ204" i="10"/>
  <c r="CR204" i="10"/>
  <c r="CP205" i="10"/>
  <c r="CQ205" i="10"/>
  <c r="CR205" i="10"/>
  <c r="CS205" i="10"/>
  <c r="CP206" i="10"/>
  <c r="CS206" i="10" s="1"/>
  <c r="CQ206" i="10"/>
  <c r="CR206" i="10"/>
  <c r="CP207" i="10"/>
  <c r="CS207" i="10" s="1"/>
  <c r="CQ207" i="10"/>
  <c r="CR207" i="10"/>
  <c r="CP208" i="10"/>
  <c r="CQ208" i="10"/>
  <c r="CR208" i="10"/>
  <c r="CS208" i="10"/>
  <c r="CP209" i="10"/>
  <c r="CS209" i="10" s="1"/>
  <c r="CQ209" i="10"/>
  <c r="CR209" i="10"/>
  <c r="CP210" i="10"/>
  <c r="CS210" i="10" s="1"/>
  <c r="CQ210" i="10"/>
  <c r="CR210" i="10"/>
  <c r="CP211" i="10"/>
  <c r="CS211" i="10" s="1"/>
  <c r="CQ211" i="10"/>
  <c r="CR211" i="10"/>
  <c r="CP212" i="10"/>
  <c r="CS212" i="10" s="1"/>
  <c r="CQ212" i="10"/>
  <c r="CR212" i="10"/>
  <c r="CP213" i="10"/>
  <c r="CS213" i="10" s="1"/>
  <c r="CQ213" i="10"/>
  <c r="CR213" i="10"/>
  <c r="CP214" i="10"/>
  <c r="CS214" i="10" s="1"/>
  <c r="CQ214" i="10"/>
  <c r="CR214" i="10"/>
  <c r="CP215" i="10"/>
  <c r="CS215" i="10" s="1"/>
  <c r="CQ215" i="10"/>
  <c r="CR215" i="10"/>
  <c r="CP216" i="10"/>
  <c r="CS216" i="10" s="1"/>
  <c r="CQ216" i="10"/>
  <c r="CR216" i="10"/>
  <c r="CP217" i="10"/>
  <c r="CS217" i="10" s="1"/>
  <c r="CQ217" i="10"/>
  <c r="CR217" i="10"/>
  <c r="CP218" i="10"/>
  <c r="CS218" i="10" s="1"/>
  <c r="CQ218" i="10"/>
  <c r="CR218" i="10"/>
  <c r="CP219" i="10"/>
  <c r="CS219" i="10" s="1"/>
  <c r="CQ219" i="10"/>
  <c r="CR219" i="10"/>
  <c r="CP220" i="10"/>
  <c r="CS220" i="10" s="1"/>
  <c r="CQ220" i="10"/>
  <c r="CR220" i="10"/>
  <c r="CP221" i="10"/>
  <c r="CS221" i="10" s="1"/>
  <c r="CQ221" i="10"/>
  <c r="CR221" i="10"/>
  <c r="CP222" i="10"/>
  <c r="CS222" i="10" s="1"/>
  <c r="CQ222" i="10"/>
  <c r="CR222" i="10"/>
  <c r="CP223" i="10"/>
  <c r="CS223" i="10" s="1"/>
  <c r="CQ223" i="10"/>
  <c r="CR223" i="10"/>
  <c r="CP224" i="10"/>
  <c r="CS224" i="10" s="1"/>
  <c r="CQ224" i="10"/>
  <c r="CR224" i="10"/>
  <c r="CP225" i="10"/>
  <c r="CS225" i="10" s="1"/>
  <c r="CQ225" i="10"/>
  <c r="CR225" i="10"/>
  <c r="CP226" i="10"/>
  <c r="CS226" i="10" s="1"/>
  <c r="CQ226" i="10"/>
  <c r="CR226" i="10"/>
  <c r="CP227" i="10"/>
  <c r="CS227" i="10" s="1"/>
  <c r="CQ227" i="10"/>
  <c r="CR227" i="10"/>
  <c r="CP228" i="10"/>
  <c r="CS228" i="10" s="1"/>
  <c r="CQ228" i="10"/>
  <c r="CR228" i="10"/>
  <c r="CP229" i="10"/>
  <c r="CS229" i="10" s="1"/>
  <c r="CQ229" i="10"/>
  <c r="CR229" i="10"/>
  <c r="CP230" i="10"/>
  <c r="CS230" i="10" s="1"/>
  <c r="CQ230" i="10"/>
  <c r="CR230" i="10"/>
  <c r="CP231" i="10"/>
  <c r="CS231" i="10" s="1"/>
  <c r="CQ231" i="10"/>
  <c r="CR231" i="10"/>
  <c r="CP232" i="10"/>
  <c r="CS232" i="10" s="1"/>
  <c r="CQ232" i="10"/>
  <c r="CR232" i="10"/>
  <c r="CP233" i="10"/>
  <c r="CS233" i="10" s="1"/>
  <c r="CQ233" i="10"/>
  <c r="CR233" i="10"/>
  <c r="CP234" i="10"/>
  <c r="CS234" i="10" s="1"/>
  <c r="CQ234" i="10"/>
  <c r="CR234" i="10"/>
  <c r="CP235" i="10"/>
  <c r="CS235" i="10" s="1"/>
  <c r="CQ235" i="10"/>
  <c r="CR235" i="10"/>
  <c r="CP236" i="10"/>
  <c r="CS236" i="10" s="1"/>
  <c r="CQ236" i="10"/>
  <c r="CR236" i="10"/>
  <c r="CP237" i="10"/>
  <c r="CS237" i="10" s="1"/>
  <c r="CQ237" i="10"/>
  <c r="CR237" i="10"/>
  <c r="CP238" i="10"/>
  <c r="CS238" i="10" s="1"/>
  <c r="CQ238" i="10"/>
  <c r="CR238" i="10"/>
  <c r="CP239" i="10"/>
  <c r="CS239" i="10" s="1"/>
  <c r="CQ239" i="10"/>
  <c r="CR239" i="10"/>
  <c r="CP240" i="10"/>
  <c r="CS240" i="10" s="1"/>
  <c r="CQ240" i="10"/>
  <c r="CR240" i="10"/>
  <c r="CP241" i="10"/>
  <c r="CS241" i="10" s="1"/>
  <c r="CQ241" i="10"/>
  <c r="CR241" i="10"/>
  <c r="CP242" i="10"/>
  <c r="CS242" i="10" s="1"/>
  <c r="CQ242" i="10"/>
  <c r="CR242" i="10"/>
  <c r="CP243" i="10"/>
  <c r="CS243" i="10" s="1"/>
  <c r="CQ243" i="10"/>
  <c r="CR243" i="10"/>
  <c r="CP244" i="10"/>
  <c r="CS244" i="10" s="1"/>
  <c r="CQ244" i="10"/>
  <c r="CR244" i="10"/>
  <c r="CP245" i="10"/>
  <c r="CS245" i="10" s="1"/>
  <c r="CQ245" i="10"/>
  <c r="CR245" i="10"/>
  <c r="CP246" i="10"/>
  <c r="CS246" i="10" s="1"/>
  <c r="CQ246" i="10"/>
  <c r="CR246" i="10"/>
  <c r="CP247" i="10"/>
  <c r="CQ247" i="10"/>
  <c r="CR247" i="10"/>
  <c r="CP248" i="10"/>
  <c r="CS248" i="10" s="1"/>
  <c r="CQ248" i="10"/>
  <c r="CR248" i="10"/>
  <c r="CP249" i="10"/>
  <c r="CS249" i="10" s="1"/>
  <c r="CQ249" i="10"/>
  <c r="CR249" i="10"/>
  <c r="CP250" i="10"/>
  <c r="CS250" i="10" s="1"/>
  <c r="CQ250" i="10"/>
  <c r="CR250" i="10"/>
  <c r="CP251" i="10"/>
  <c r="CS251" i="10" s="1"/>
  <c r="CQ251" i="10"/>
  <c r="CR251" i="10"/>
  <c r="CP252" i="10"/>
  <c r="CS252" i="10" s="1"/>
  <c r="CQ252" i="10"/>
  <c r="CR252" i="10"/>
  <c r="CP253" i="10"/>
  <c r="CS253" i="10" s="1"/>
  <c r="CQ253" i="10"/>
  <c r="CR253" i="10"/>
  <c r="CP254" i="10"/>
  <c r="CS254" i="10" s="1"/>
  <c r="CQ254" i="10"/>
  <c r="CR254" i="10"/>
  <c r="CP255" i="10"/>
  <c r="CS255" i="10" s="1"/>
  <c r="CQ255" i="10"/>
  <c r="CR255" i="10"/>
  <c r="CP256" i="10"/>
  <c r="CS256" i="10" s="1"/>
  <c r="CQ256" i="10"/>
  <c r="CR256" i="10"/>
  <c r="CP257" i="10"/>
  <c r="CS257" i="10" s="1"/>
  <c r="CQ257" i="10"/>
  <c r="CR257" i="10"/>
  <c r="CP258" i="10"/>
  <c r="CS258" i="10" s="1"/>
  <c r="CQ258" i="10"/>
  <c r="CR258" i="10"/>
  <c r="CP259" i="10"/>
  <c r="CS259" i="10" s="1"/>
  <c r="CQ259" i="10"/>
  <c r="CR259" i="10"/>
  <c r="CP260" i="10"/>
  <c r="CS260" i="10" s="1"/>
  <c r="CQ260" i="10"/>
  <c r="CR260" i="10"/>
  <c r="CP261" i="10"/>
  <c r="CS261" i="10" s="1"/>
  <c r="CQ261" i="10"/>
  <c r="CR261" i="10"/>
  <c r="CP262" i="10"/>
  <c r="CS262" i="10" s="1"/>
  <c r="CQ262" i="10"/>
  <c r="CR262" i="10"/>
  <c r="CP263" i="10"/>
  <c r="CS263" i="10" s="1"/>
  <c r="CQ263" i="10"/>
  <c r="CR263" i="10"/>
  <c r="CP264" i="10"/>
  <c r="CS264" i="10" s="1"/>
  <c r="CQ264" i="10"/>
  <c r="CR264" i="10"/>
  <c r="CP265" i="10"/>
  <c r="CS265" i="10" s="1"/>
  <c r="CQ265" i="10"/>
  <c r="CR265" i="10"/>
  <c r="CP266" i="10"/>
  <c r="CS266" i="10" s="1"/>
  <c r="CQ266" i="10"/>
  <c r="CR266" i="10"/>
  <c r="CP267" i="10"/>
  <c r="CS267" i="10" s="1"/>
  <c r="CQ267" i="10"/>
  <c r="CR267" i="10"/>
  <c r="CP268" i="10"/>
  <c r="CS268" i="10" s="1"/>
  <c r="CQ268" i="10"/>
  <c r="CR268" i="10"/>
  <c r="CP269" i="10"/>
  <c r="CS269" i="10" s="1"/>
  <c r="CQ269" i="10"/>
  <c r="CR269" i="10"/>
  <c r="CP270" i="10"/>
  <c r="CS270" i="10" s="1"/>
  <c r="CQ270" i="10"/>
  <c r="CR270" i="10"/>
  <c r="CP271" i="10"/>
  <c r="CS271" i="10" s="1"/>
  <c r="CQ271" i="10"/>
  <c r="CR271" i="10"/>
  <c r="CP272" i="10"/>
  <c r="CS272" i="10" s="1"/>
  <c r="CQ272" i="10"/>
  <c r="CR272" i="10"/>
  <c r="CP273" i="10"/>
  <c r="CS273" i="10" s="1"/>
  <c r="CQ273" i="10"/>
  <c r="CR273" i="10"/>
  <c r="CP274" i="10"/>
  <c r="CS274" i="10" s="1"/>
  <c r="CQ274" i="10"/>
  <c r="CR274" i="10"/>
  <c r="CP275" i="10"/>
  <c r="CS275" i="10" s="1"/>
  <c r="CQ275" i="10"/>
  <c r="CR275" i="10"/>
  <c r="CP276" i="10"/>
  <c r="CS276" i="10" s="1"/>
  <c r="CQ276" i="10"/>
  <c r="CR276" i="10"/>
  <c r="CP277" i="10"/>
  <c r="CS277" i="10" s="1"/>
  <c r="CQ277" i="10"/>
  <c r="CR277" i="10"/>
  <c r="CP278" i="10"/>
  <c r="CS278" i="10" s="1"/>
  <c r="CQ278" i="10"/>
  <c r="CR278" i="10"/>
  <c r="CP279" i="10"/>
  <c r="CS279" i="10" s="1"/>
  <c r="CQ279" i="10"/>
  <c r="CR279" i="10"/>
  <c r="CP280" i="10"/>
  <c r="CS280" i="10" s="1"/>
  <c r="CQ280" i="10"/>
  <c r="CR280" i="10"/>
  <c r="CP281" i="10"/>
  <c r="CS281" i="10" s="1"/>
  <c r="CQ281" i="10"/>
  <c r="CR281" i="10"/>
  <c r="CP282" i="10"/>
  <c r="CS282" i="10" s="1"/>
  <c r="CQ282" i="10"/>
  <c r="CR282" i="10"/>
  <c r="CP283" i="10"/>
  <c r="CS283" i="10" s="1"/>
  <c r="CQ283" i="10"/>
  <c r="CR283" i="10"/>
  <c r="CP284" i="10"/>
  <c r="CS284" i="10" s="1"/>
  <c r="CQ284" i="10"/>
  <c r="CR284" i="10"/>
  <c r="CP285" i="10"/>
  <c r="CS285" i="10" s="1"/>
  <c r="CQ285" i="10"/>
  <c r="CR285" i="10"/>
  <c r="CP286" i="10"/>
  <c r="CS286" i="10" s="1"/>
  <c r="CQ286" i="10"/>
  <c r="CR286" i="10"/>
  <c r="CP287" i="10"/>
  <c r="CS287" i="10" s="1"/>
  <c r="CQ287" i="10"/>
  <c r="CR287" i="10"/>
  <c r="CP288" i="10"/>
  <c r="CS288" i="10" s="1"/>
  <c r="CQ288" i="10"/>
  <c r="CR288" i="10"/>
  <c r="CP289" i="10"/>
  <c r="CS289" i="10" s="1"/>
  <c r="CQ289" i="10"/>
  <c r="CR289" i="10"/>
  <c r="CP290" i="10"/>
  <c r="CS290" i="10" s="1"/>
  <c r="CQ290" i="10"/>
  <c r="CR290" i="10"/>
  <c r="CP291" i="10"/>
  <c r="CS291" i="10" s="1"/>
  <c r="CQ291" i="10"/>
  <c r="CR291" i="10"/>
  <c r="CP292" i="10"/>
  <c r="CS292" i="10" s="1"/>
  <c r="CQ292" i="10"/>
  <c r="CR292" i="10"/>
  <c r="CP293" i="10"/>
  <c r="CS293" i="10" s="1"/>
  <c r="CQ293" i="10"/>
  <c r="CR293" i="10"/>
  <c r="CP294" i="10"/>
  <c r="CS294" i="10" s="1"/>
  <c r="CQ294" i="10"/>
  <c r="CR294" i="10"/>
  <c r="CP295" i="10"/>
  <c r="CS295" i="10" s="1"/>
  <c r="CQ295" i="10"/>
  <c r="CR295" i="10"/>
  <c r="CP296" i="10"/>
  <c r="CS296" i="10" s="1"/>
  <c r="CQ296" i="10"/>
  <c r="CR296" i="10"/>
  <c r="CP297" i="10"/>
  <c r="CS297" i="10" s="1"/>
  <c r="CQ297" i="10"/>
  <c r="CR297" i="10"/>
  <c r="CP298" i="10"/>
  <c r="CS298" i="10" s="1"/>
  <c r="CQ298" i="10"/>
  <c r="CR298" i="10"/>
  <c r="CP299" i="10"/>
  <c r="CS299" i="10" s="1"/>
  <c r="CQ299" i="10"/>
  <c r="CR299" i="10"/>
  <c r="CP300" i="10"/>
  <c r="CS300" i="10" s="1"/>
  <c r="CQ300" i="10"/>
  <c r="CR300" i="10"/>
  <c r="CP301" i="10"/>
  <c r="CS301" i="10" s="1"/>
  <c r="CQ301" i="10"/>
  <c r="CR301" i="10"/>
  <c r="CP302" i="10"/>
  <c r="CS302" i="10" s="1"/>
  <c r="CQ302" i="10"/>
  <c r="CR302" i="10"/>
  <c r="CP303" i="10"/>
  <c r="CS303" i="10" s="1"/>
  <c r="CQ303" i="10"/>
  <c r="CR303" i="10"/>
  <c r="CP304" i="10"/>
  <c r="CS304" i="10" s="1"/>
  <c r="CQ304" i="10"/>
  <c r="CR304" i="10"/>
  <c r="CP305" i="10"/>
  <c r="CS305" i="10" s="1"/>
  <c r="CQ305" i="10"/>
  <c r="CR305" i="10"/>
  <c r="CP306" i="10"/>
  <c r="CS306" i="10" s="1"/>
  <c r="CQ306" i="10"/>
  <c r="CR306" i="10"/>
  <c r="CP307" i="10"/>
  <c r="CS307" i="10" s="1"/>
  <c r="CQ307" i="10"/>
  <c r="CR307" i="10"/>
  <c r="CP308" i="10"/>
  <c r="CS308" i="10" s="1"/>
  <c r="CQ308" i="10"/>
  <c r="CR308" i="10"/>
  <c r="CP309" i="10"/>
  <c r="CS309" i="10" s="1"/>
  <c r="CQ309" i="10"/>
  <c r="CR309" i="10"/>
  <c r="CP310" i="10"/>
  <c r="CS310" i="10" s="1"/>
  <c r="CQ310" i="10"/>
  <c r="CR310" i="10"/>
  <c r="CP311" i="10"/>
  <c r="CS311" i="10" s="1"/>
  <c r="CQ311" i="10"/>
  <c r="CR311" i="10"/>
  <c r="CP312" i="10"/>
  <c r="CS312" i="10" s="1"/>
  <c r="CQ312" i="10"/>
  <c r="CR312" i="10"/>
  <c r="CP313" i="10"/>
  <c r="CS313" i="10" s="1"/>
  <c r="CQ313" i="10"/>
  <c r="CR313" i="10"/>
  <c r="CP314" i="10"/>
  <c r="CS314" i="10" s="1"/>
  <c r="CQ314" i="10"/>
  <c r="CR314" i="10"/>
  <c r="CP315" i="10"/>
  <c r="CS315" i="10" s="1"/>
  <c r="CQ315" i="10"/>
  <c r="CR315" i="10"/>
  <c r="CP316" i="10"/>
  <c r="CS316" i="10" s="1"/>
  <c r="CQ316" i="10"/>
  <c r="CR316" i="10"/>
  <c r="CP317" i="10"/>
  <c r="CS317" i="10" s="1"/>
  <c r="CQ317" i="10"/>
  <c r="CR317" i="10"/>
  <c r="CP318" i="10"/>
  <c r="CS318" i="10" s="1"/>
  <c r="CQ318" i="10"/>
  <c r="CR318" i="10"/>
  <c r="CP319" i="10"/>
  <c r="CS319" i="10" s="1"/>
  <c r="CQ319" i="10"/>
  <c r="CR319" i="10"/>
  <c r="CP320" i="10"/>
  <c r="CS320" i="10" s="1"/>
  <c r="CQ320" i="10"/>
  <c r="CR320" i="10"/>
  <c r="CP321" i="10"/>
  <c r="CS321" i="10" s="1"/>
  <c r="CQ321" i="10"/>
  <c r="CR321" i="10"/>
  <c r="CP322" i="10"/>
  <c r="CS322" i="10" s="1"/>
  <c r="CQ322" i="10"/>
  <c r="CR322" i="10"/>
  <c r="CP323" i="10"/>
  <c r="CS323" i="10" s="1"/>
  <c r="CQ323" i="10"/>
  <c r="CR323" i="10"/>
  <c r="CP324" i="10"/>
  <c r="CS324" i="10" s="1"/>
  <c r="CQ324" i="10"/>
  <c r="CR324" i="10"/>
  <c r="CP325" i="10"/>
  <c r="CS325" i="10" s="1"/>
  <c r="CQ325" i="10"/>
  <c r="CR325" i="10"/>
  <c r="CP326" i="10"/>
  <c r="CS326" i="10" s="1"/>
  <c r="CQ326" i="10"/>
  <c r="CR326" i="10"/>
  <c r="CP327" i="10"/>
  <c r="CS327" i="10" s="1"/>
  <c r="CQ327" i="10"/>
  <c r="CR327" i="10"/>
  <c r="CP328" i="10"/>
  <c r="CS328" i="10" s="1"/>
  <c r="CQ328" i="10"/>
  <c r="CR328" i="10"/>
  <c r="CP329" i="10"/>
  <c r="CS329" i="10" s="1"/>
  <c r="CQ329" i="10"/>
  <c r="CR329" i="10"/>
  <c r="CP330" i="10"/>
  <c r="CS330" i="10" s="1"/>
  <c r="CQ330" i="10"/>
  <c r="CR330" i="10"/>
  <c r="CP331" i="10"/>
  <c r="CS331" i="10" s="1"/>
  <c r="CQ331" i="10"/>
  <c r="CR331" i="10"/>
  <c r="CP332" i="10"/>
  <c r="CS332" i="10" s="1"/>
  <c r="CQ332" i="10"/>
  <c r="CR332" i="10"/>
  <c r="CP333" i="10"/>
  <c r="CS333" i="10" s="1"/>
  <c r="CQ333" i="10"/>
  <c r="CR333" i="10"/>
  <c r="CP334" i="10"/>
  <c r="CS334" i="10" s="1"/>
  <c r="CQ334" i="10"/>
  <c r="CR334" i="10"/>
  <c r="CP335" i="10"/>
  <c r="CS335" i="10" s="1"/>
  <c r="CQ335" i="10"/>
  <c r="CR335" i="10"/>
  <c r="CP336" i="10"/>
  <c r="CS336" i="10" s="1"/>
  <c r="CQ336" i="10"/>
  <c r="CR336" i="10"/>
  <c r="CP337" i="10"/>
  <c r="CS337" i="10" s="1"/>
  <c r="CQ337" i="10"/>
  <c r="CR337" i="10"/>
  <c r="CP338" i="10"/>
  <c r="CS338" i="10" s="1"/>
  <c r="CQ338" i="10"/>
  <c r="CR338" i="10"/>
  <c r="CP339" i="10"/>
  <c r="CQ339" i="10"/>
  <c r="CR339" i="10"/>
  <c r="CS339" i="10"/>
  <c r="CP340" i="10"/>
  <c r="CS340" i="10" s="1"/>
  <c r="CQ340" i="10"/>
  <c r="CR340" i="10"/>
  <c r="CP341" i="10"/>
  <c r="CS341" i="10" s="1"/>
  <c r="CQ341" i="10"/>
  <c r="CR341" i="10"/>
  <c r="CP342" i="10"/>
  <c r="CS342" i="10" s="1"/>
  <c r="CQ342" i="10"/>
  <c r="CR342" i="10"/>
  <c r="CP343" i="10"/>
  <c r="CS343" i="10" s="1"/>
  <c r="CQ343" i="10"/>
  <c r="CR343" i="10"/>
  <c r="CP344" i="10"/>
  <c r="CS344" i="10" s="1"/>
  <c r="CQ344" i="10"/>
  <c r="CR344" i="10"/>
  <c r="CP345" i="10"/>
  <c r="CS345" i="10" s="1"/>
  <c r="CQ345" i="10"/>
  <c r="CR345" i="10"/>
  <c r="CP346" i="10"/>
  <c r="CS346" i="10" s="1"/>
  <c r="CQ346" i="10"/>
  <c r="CR346" i="10"/>
  <c r="CP347" i="10"/>
  <c r="CS347" i="10" s="1"/>
  <c r="CQ347" i="10"/>
  <c r="CR347" i="10"/>
  <c r="CP348" i="10"/>
  <c r="CQ348" i="10"/>
  <c r="CR348" i="10"/>
  <c r="CS348" i="10"/>
  <c r="CP349" i="10"/>
  <c r="CS349" i="10" s="1"/>
  <c r="CQ349" i="10"/>
  <c r="CR349" i="10"/>
  <c r="CP350" i="10"/>
  <c r="CS350" i="10" s="1"/>
  <c r="CQ350" i="10"/>
  <c r="CR350" i="10"/>
  <c r="CP351" i="10"/>
  <c r="CQ351" i="10"/>
  <c r="CR351" i="10"/>
  <c r="CS351" i="10"/>
  <c r="CP352" i="10"/>
  <c r="CS352" i="10" s="1"/>
  <c r="CQ352" i="10"/>
  <c r="CR352" i="10"/>
  <c r="CP353" i="10"/>
  <c r="CS353" i="10" s="1"/>
  <c r="CQ353" i="10"/>
  <c r="CR353" i="10"/>
  <c r="CP354" i="10"/>
  <c r="CS354" i="10" s="1"/>
  <c r="CQ354" i="10"/>
  <c r="CR354" i="10"/>
  <c r="CP355" i="10"/>
  <c r="CS355" i="10" s="1"/>
  <c r="CQ355" i="10"/>
  <c r="CR355" i="10"/>
  <c r="CP356" i="10"/>
  <c r="CS356" i="10" s="1"/>
  <c r="CQ356" i="10"/>
  <c r="CR356" i="10"/>
  <c r="CP357" i="10"/>
  <c r="CS357" i="10" s="1"/>
  <c r="CQ357" i="10"/>
  <c r="CR357" i="10"/>
  <c r="CP358" i="10"/>
  <c r="CS358" i="10" s="1"/>
  <c r="CQ358" i="10"/>
  <c r="CR358" i="10"/>
  <c r="CP359" i="10"/>
  <c r="CS359" i="10" s="1"/>
  <c r="CQ359" i="10"/>
  <c r="CR359" i="10"/>
  <c r="CP360" i="10"/>
  <c r="CS360" i="10" s="1"/>
  <c r="CQ360" i="10"/>
  <c r="CR360" i="10"/>
  <c r="CP361" i="10"/>
  <c r="CS361" i="10" s="1"/>
  <c r="CQ361" i="10"/>
  <c r="CR361" i="10"/>
  <c r="CP362" i="10"/>
  <c r="CS362" i="10" s="1"/>
  <c r="CQ362" i="10"/>
  <c r="CR362" i="10"/>
  <c r="CP363" i="10"/>
  <c r="CS363" i="10" s="1"/>
  <c r="CQ363" i="10"/>
  <c r="CR363" i="10"/>
  <c r="CP364" i="10"/>
  <c r="CS364" i="10" s="1"/>
  <c r="CQ364" i="10"/>
  <c r="CR364" i="10"/>
  <c r="CP365" i="10"/>
  <c r="CS365" i="10" s="1"/>
  <c r="CQ365" i="10"/>
  <c r="CR365" i="10"/>
  <c r="CP366" i="10"/>
  <c r="CS366" i="10" s="1"/>
  <c r="CQ366" i="10"/>
  <c r="CR366" i="10"/>
  <c r="CP367" i="10"/>
  <c r="CS367" i="10" s="1"/>
  <c r="CQ367" i="10"/>
  <c r="CR367" i="10"/>
  <c r="CP368" i="10"/>
  <c r="CS368" i="10" s="1"/>
  <c r="CQ368" i="10"/>
  <c r="CR368" i="10"/>
  <c r="CP369" i="10"/>
  <c r="CS369" i="10" s="1"/>
  <c r="CQ369" i="10"/>
  <c r="CR369" i="10"/>
  <c r="CP370" i="10"/>
  <c r="CS370" i="10" s="1"/>
  <c r="CQ370" i="10"/>
  <c r="CR370" i="10"/>
  <c r="CP371" i="10"/>
  <c r="CS371" i="10" s="1"/>
  <c r="CQ371" i="10"/>
  <c r="CR371" i="10"/>
  <c r="CP372" i="10"/>
  <c r="CS372" i="10" s="1"/>
  <c r="CQ372" i="10"/>
  <c r="CR372" i="10"/>
  <c r="CP373" i="10"/>
  <c r="CS373" i="10" s="1"/>
  <c r="CQ373" i="10"/>
  <c r="CR373" i="10"/>
  <c r="CP374" i="10"/>
  <c r="CS374" i="10" s="1"/>
  <c r="CQ374" i="10"/>
  <c r="CR374" i="10"/>
  <c r="CP375" i="10"/>
  <c r="CS375" i="10" s="1"/>
  <c r="CQ375" i="10"/>
  <c r="CR375" i="10"/>
  <c r="CP376" i="10"/>
  <c r="CS376" i="10" s="1"/>
  <c r="CQ376" i="10"/>
  <c r="CR376" i="10"/>
  <c r="CP377" i="10"/>
  <c r="CS377" i="10" s="1"/>
  <c r="CQ377" i="10"/>
  <c r="CR377" i="10"/>
  <c r="CP378" i="10"/>
  <c r="CS378" i="10" s="1"/>
  <c r="CQ378" i="10"/>
  <c r="CR378" i="10"/>
  <c r="CP379" i="10"/>
  <c r="CS379" i="10" s="1"/>
  <c r="CQ379" i="10"/>
  <c r="CR379" i="10"/>
  <c r="CP380" i="10"/>
  <c r="CS380" i="10" s="1"/>
  <c r="CQ380" i="10"/>
  <c r="CR380" i="10"/>
  <c r="CP381" i="10"/>
  <c r="CS381" i="10" s="1"/>
  <c r="CQ381" i="10"/>
  <c r="CR381" i="10"/>
  <c r="CP382" i="10"/>
  <c r="CS382" i="10" s="1"/>
  <c r="CQ382" i="10"/>
  <c r="CR382" i="10"/>
  <c r="CP383" i="10"/>
  <c r="CS383" i="10" s="1"/>
  <c r="CQ383" i="10"/>
  <c r="CR383" i="10"/>
  <c r="CP384" i="10"/>
  <c r="CS384" i="10" s="1"/>
  <c r="CQ384" i="10"/>
  <c r="CR384" i="10"/>
  <c r="CP385" i="10"/>
  <c r="CS385" i="10" s="1"/>
  <c r="CQ385" i="10"/>
  <c r="CR385" i="10"/>
  <c r="CP386" i="10"/>
  <c r="CS386" i="10" s="1"/>
  <c r="CQ386" i="10"/>
  <c r="CR386" i="10"/>
  <c r="CP387" i="10"/>
  <c r="CS387" i="10" s="1"/>
  <c r="CQ387" i="10"/>
  <c r="CR387" i="10"/>
  <c r="CP388" i="10"/>
  <c r="CS388" i="10" s="1"/>
  <c r="CQ388" i="10"/>
  <c r="CR388" i="10"/>
  <c r="CP389" i="10"/>
  <c r="CS389" i="10" s="1"/>
  <c r="CQ389" i="10"/>
  <c r="CR389" i="10"/>
  <c r="CP390" i="10"/>
  <c r="CS390" i="10" s="1"/>
  <c r="CQ390" i="10"/>
  <c r="CR390" i="10"/>
  <c r="CP391" i="10"/>
  <c r="CS391" i="10" s="1"/>
  <c r="CQ391" i="10"/>
  <c r="CR391" i="10"/>
  <c r="CP392" i="10"/>
  <c r="CS392" i="10" s="1"/>
  <c r="CQ392" i="10"/>
  <c r="CR392" i="10"/>
  <c r="CP393" i="10"/>
  <c r="CS393" i="10" s="1"/>
  <c r="CQ393" i="10"/>
  <c r="CR393" i="10"/>
  <c r="CP394" i="10"/>
  <c r="CS394" i="10" s="1"/>
  <c r="CQ394" i="10"/>
  <c r="CR394" i="10"/>
  <c r="CP395" i="10"/>
  <c r="CS395" i="10" s="1"/>
  <c r="CQ395" i="10"/>
  <c r="CR395" i="10"/>
  <c r="CP396" i="10"/>
  <c r="CS396" i="10" s="1"/>
  <c r="CQ396" i="10"/>
  <c r="CR396" i="10"/>
  <c r="CP397" i="10"/>
  <c r="CS397" i="10" s="1"/>
  <c r="CQ397" i="10"/>
  <c r="CR397" i="10"/>
  <c r="CP398" i="10"/>
  <c r="CS398" i="10" s="1"/>
  <c r="CQ398" i="10"/>
  <c r="CR398" i="10"/>
  <c r="CP399" i="10"/>
  <c r="CS399" i="10" s="1"/>
  <c r="CQ399" i="10"/>
  <c r="CR399" i="10"/>
  <c r="CP400" i="10"/>
  <c r="CS400" i="10" s="1"/>
  <c r="CQ400" i="10"/>
  <c r="CR400" i="10"/>
  <c r="CP401" i="10"/>
  <c r="CS401" i="10" s="1"/>
  <c r="CQ401" i="10"/>
  <c r="CR401" i="10"/>
  <c r="CP402" i="10"/>
  <c r="CS402" i="10" s="1"/>
  <c r="CQ402" i="10"/>
  <c r="CR402" i="10"/>
  <c r="CP403" i="10"/>
  <c r="CS403" i="10" s="1"/>
  <c r="CQ403" i="10"/>
  <c r="CR403" i="10"/>
  <c r="CP404" i="10"/>
  <c r="CS404" i="10" s="1"/>
  <c r="CQ404" i="10"/>
  <c r="CR404" i="10"/>
  <c r="CP405" i="10"/>
  <c r="CS405" i="10" s="1"/>
  <c r="CQ405" i="10"/>
  <c r="CR405" i="10"/>
  <c r="CP406" i="10"/>
  <c r="CS406" i="10" s="1"/>
  <c r="CQ406" i="10"/>
  <c r="CR406" i="10"/>
  <c r="CP407" i="10"/>
  <c r="CS407" i="10" s="1"/>
  <c r="CQ407" i="10"/>
  <c r="CR407" i="10"/>
  <c r="CP408" i="10"/>
  <c r="CS408" i="10" s="1"/>
  <c r="CQ408" i="10"/>
  <c r="CR408" i="10"/>
  <c r="CP409" i="10"/>
  <c r="CS409" i="10" s="1"/>
  <c r="CQ409" i="10"/>
  <c r="CR409" i="10"/>
  <c r="CP410" i="10"/>
  <c r="CS410" i="10" s="1"/>
  <c r="CQ410" i="10"/>
  <c r="CR410" i="10"/>
  <c r="CP411" i="10"/>
  <c r="CS411" i="10" s="1"/>
  <c r="CQ411" i="10"/>
  <c r="CR411" i="10"/>
  <c r="CP412" i="10"/>
  <c r="CS412" i="10" s="1"/>
  <c r="CQ412" i="10"/>
  <c r="CR412" i="10"/>
  <c r="CP413" i="10"/>
  <c r="CS413" i="10" s="1"/>
  <c r="CQ413" i="10"/>
  <c r="CR413" i="10"/>
  <c r="CP414" i="10"/>
  <c r="CS414" i="10" s="1"/>
  <c r="CQ414" i="10"/>
  <c r="CR414" i="10"/>
  <c r="CP415" i="10"/>
  <c r="CS415" i="10" s="1"/>
  <c r="CQ415" i="10"/>
  <c r="CR415" i="10"/>
  <c r="CP416" i="10"/>
  <c r="CS416" i="10" s="1"/>
  <c r="CQ416" i="10"/>
  <c r="CR416" i="10"/>
  <c r="CP417" i="10"/>
  <c r="CS417" i="10" s="1"/>
  <c r="CQ417" i="10"/>
  <c r="CR417" i="10"/>
  <c r="CP418" i="10"/>
  <c r="CS418" i="10" s="1"/>
  <c r="CQ418" i="10"/>
  <c r="CR418" i="10"/>
  <c r="CP419" i="10"/>
  <c r="CS419" i="10" s="1"/>
  <c r="CQ419" i="10"/>
  <c r="CR419" i="10"/>
  <c r="CP420" i="10"/>
  <c r="CS420" i="10" s="1"/>
  <c r="CQ420" i="10"/>
  <c r="CR420" i="10"/>
  <c r="CP421" i="10"/>
  <c r="CS421" i="10" s="1"/>
  <c r="CQ421" i="10"/>
  <c r="CR421" i="10"/>
  <c r="CP422" i="10"/>
  <c r="CS422" i="10" s="1"/>
  <c r="CQ422" i="10"/>
  <c r="CR422" i="10"/>
  <c r="CP423" i="10"/>
  <c r="CS423" i="10" s="1"/>
  <c r="CQ423" i="10"/>
  <c r="CR423" i="10"/>
  <c r="CP424" i="10"/>
  <c r="CQ424" i="10"/>
  <c r="CR424" i="10"/>
  <c r="CS424" i="10"/>
  <c r="CP425" i="10"/>
  <c r="CS425" i="10" s="1"/>
  <c r="CQ425" i="10"/>
  <c r="CR425" i="10"/>
  <c r="CP426" i="10"/>
  <c r="CS426" i="10" s="1"/>
  <c r="CQ426" i="10"/>
  <c r="CR426" i="10"/>
  <c r="CP427" i="10"/>
  <c r="CS427" i="10" s="1"/>
  <c r="CQ427" i="10"/>
  <c r="CR427" i="10"/>
  <c r="CP428" i="10"/>
  <c r="CS428" i="10" s="1"/>
  <c r="CQ428" i="10"/>
  <c r="CR428" i="10"/>
  <c r="CP429" i="10"/>
  <c r="CS429" i="10" s="1"/>
  <c r="CQ429" i="10"/>
  <c r="CR429" i="10"/>
  <c r="CP430" i="10"/>
  <c r="CS430" i="10" s="1"/>
  <c r="CQ430" i="10"/>
  <c r="CR430" i="10"/>
  <c r="CP431" i="10"/>
  <c r="CS431" i="10" s="1"/>
  <c r="CQ431" i="10"/>
  <c r="CR431" i="10"/>
  <c r="CP432" i="10"/>
  <c r="CS432" i="10" s="1"/>
  <c r="CQ432" i="10"/>
  <c r="CR432" i="10"/>
  <c r="CP433" i="10"/>
  <c r="CS433" i="10" s="1"/>
  <c r="CQ433" i="10"/>
  <c r="CR433" i="10"/>
  <c r="CP434" i="10"/>
  <c r="CS434" i="10" s="1"/>
  <c r="CQ434" i="10"/>
  <c r="CR434" i="10"/>
  <c r="CP435" i="10"/>
  <c r="CS435" i="10" s="1"/>
  <c r="CQ435" i="10"/>
  <c r="CR435" i="10"/>
  <c r="CP436" i="10"/>
  <c r="CS436" i="10" s="1"/>
  <c r="CQ436" i="10"/>
  <c r="CR436" i="10"/>
  <c r="CP437" i="10"/>
  <c r="CS437" i="10" s="1"/>
  <c r="CQ437" i="10"/>
  <c r="CR437" i="10"/>
  <c r="CP438" i="10"/>
  <c r="CS438" i="10" s="1"/>
  <c r="CQ438" i="10"/>
  <c r="CR438" i="10"/>
  <c r="CP439" i="10"/>
  <c r="CS439" i="10" s="1"/>
  <c r="CQ439" i="10"/>
  <c r="CR439" i="10"/>
  <c r="CP440" i="10"/>
  <c r="CS440" i="10" s="1"/>
  <c r="CQ440" i="10"/>
  <c r="CR440" i="10"/>
  <c r="CP441" i="10"/>
  <c r="CS441" i="10" s="1"/>
  <c r="CQ441" i="10"/>
  <c r="CR441" i="10"/>
  <c r="CP442" i="10"/>
  <c r="CS442" i="10" s="1"/>
  <c r="CQ442" i="10"/>
  <c r="CR442" i="10"/>
  <c r="CP443" i="10"/>
  <c r="CS443" i="10" s="1"/>
  <c r="CQ443" i="10"/>
  <c r="CR443" i="10"/>
  <c r="CP444" i="10"/>
  <c r="CS444" i="10" s="1"/>
  <c r="CQ444" i="10"/>
  <c r="CR444" i="10"/>
  <c r="CP445" i="10"/>
  <c r="CS445" i="10" s="1"/>
  <c r="CQ445" i="10"/>
  <c r="CR445" i="10"/>
  <c r="CP446" i="10"/>
  <c r="CS446" i="10" s="1"/>
  <c r="CQ446" i="10"/>
  <c r="CR446" i="10"/>
  <c r="CP447" i="10"/>
  <c r="CS447" i="10" s="1"/>
  <c r="CQ447" i="10"/>
  <c r="CR447" i="10"/>
  <c r="CP448" i="10"/>
  <c r="CS448" i="10" s="1"/>
  <c r="CQ448" i="10"/>
  <c r="CR448" i="10"/>
  <c r="CP449" i="10"/>
  <c r="CS449" i="10" s="1"/>
  <c r="CQ449" i="10"/>
  <c r="CR449" i="10"/>
  <c r="CP450" i="10"/>
  <c r="CS450" i="10" s="1"/>
  <c r="CQ450" i="10"/>
  <c r="CR450" i="10"/>
  <c r="CP451" i="10"/>
  <c r="CS451" i="10" s="1"/>
  <c r="CQ451" i="10"/>
  <c r="CR451" i="10"/>
  <c r="CP452" i="10"/>
  <c r="CS452" i="10" s="1"/>
  <c r="CQ452" i="10"/>
  <c r="CR452" i="10"/>
  <c r="CP453" i="10"/>
  <c r="CQ453" i="10"/>
  <c r="CR453" i="10"/>
  <c r="CS453" i="10"/>
  <c r="CP454" i="10"/>
  <c r="CS454" i="10" s="1"/>
  <c r="CQ454" i="10"/>
  <c r="CR454" i="10"/>
  <c r="CP455" i="10"/>
  <c r="CS455" i="10" s="1"/>
  <c r="CQ455" i="10"/>
  <c r="CR455" i="10"/>
  <c r="CP456" i="10"/>
  <c r="CQ456" i="10"/>
  <c r="CR456" i="10"/>
  <c r="CS456" i="10"/>
  <c r="CP457" i="10"/>
  <c r="CS457" i="10" s="1"/>
  <c r="CQ457" i="10"/>
  <c r="CR457" i="10"/>
  <c r="CP458" i="10"/>
  <c r="CS458" i="10" s="1"/>
  <c r="CQ458" i="10"/>
  <c r="CR458" i="10"/>
  <c r="CP459" i="10"/>
  <c r="CS459" i="10" s="1"/>
  <c r="CQ459" i="10"/>
  <c r="CR459" i="10"/>
  <c r="CP460" i="10"/>
  <c r="CS460" i="10" s="1"/>
  <c r="CQ460" i="10"/>
  <c r="CR460" i="10"/>
  <c r="CP461" i="10"/>
  <c r="CS461" i="10" s="1"/>
  <c r="CQ461" i="10"/>
  <c r="CR461" i="10"/>
  <c r="CP462" i="10"/>
  <c r="CS462" i="10" s="1"/>
  <c r="CQ462" i="10"/>
  <c r="CR462" i="10"/>
  <c r="CP463" i="10"/>
  <c r="CQ463" i="10"/>
  <c r="CR463" i="10"/>
  <c r="CS463" i="10"/>
  <c r="CP464" i="10"/>
  <c r="CS464" i="10" s="1"/>
  <c r="CQ464" i="10"/>
  <c r="CR464" i="10"/>
  <c r="CP465" i="10"/>
  <c r="CS465" i="10" s="1"/>
  <c r="CQ465" i="10"/>
  <c r="CR465" i="10"/>
  <c r="CP466" i="10"/>
  <c r="CQ466" i="10"/>
  <c r="CR466" i="10"/>
  <c r="CS466" i="10"/>
  <c r="CP467" i="10"/>
  <c r="CS467" i="10" s="1"/>
  <c r="CQ467" i="10"/>
  <c r="CR467" i="10"/>
  <c r="CP468" i="10"/>
  <c r="CS468" i="10" s="1"/>
  <c r="CQ468" i="10"/>
  <c r="CR468" i="10"/>
  <c r="CP469" i="10"/>
  <c r="CS469" i="10" s="1"/>
  <c r="CQ469" i="10"/>
  <c r="CR469" i="10"/>
  <c r="CP470" i="10"/>
  <c r="CS470" i="10" s="1"/>
  <c r="CQ470" i="10"/>
  <c r="CR470" i="10"/>
  <c r="CP471" i="10"/>
  <c r="CS471" i="10" s="1"/>
  <c r="CQ471" i="10"/>
  <c r="CR471" i="10"/>
  <c r="CP472" i="10"/>
  <c r="CS472" i="10" s="1"/>
  <c r="CQ472" i="10"/>
  <c r="CR472" i="10"/>
  <c r="CP473" i="10"/>
  <c r="CQ473" i="10"/>
  <c r="CR473" i="10"/>
  <c r="CS473" i="10"/>
  <c r="CP474" i="10"/>
  <c r="CS474" i="10" s="1"/>
  <c r="CQ474" i="10"/>
  <c r="CR474" i="10"/>
  <c r="CP475" i="10"/>
  <c r="CS475" i="10" s="1"/>
  <c r="CQ475" i="10"/>
  <c r="CR475" i="10"/>
  <c r="CP476" i="10"/>
  <c r="CS476" i="10" s="1"/>
  <c r="CQ476" i="10"/>
  <c r="CR476" i="10"/>
  <c r="CP477" i="10"/>
  <c r="CS477" i="10" s="1"/>
  <c r="CQ477" i="10"/>
  <c r="CR477" i="10"/>
  <c r="CP478" i="10"/>
  <c r="CQ478" i="10"/>
  <c r="CR478" i="10"/>
  <c r="CS478" i="10"/>
  <c r="CP479" i="10"/>
  <c r="CS479" i="10" s="1"/>
  <c r="CQ479" i="10"/>
  <c r="CR479" i="10"/>
  <c r="CP480" i="10"/>
  <c r="CS480" i="10" s="1"/>
  <c r="CQ480" i="10"/>
  <c r="CR480" i="10"/>
  <c r="CP481" i="10"/>
  <c r="CQ481" i="10"/>
  <c r="CR481" i="10"/>
  <c r="CS481" i="10"/>
  <c r="CP482" i="10"/>
  <c r="CS482" i="10" s="1"/>
  <c r="CQ482" i="10"/>
  <c r="CR482" i="10"/>
  <c r="CP483" i="10"/>
  <c r="CS483" i="10" s="1"/>
  <c r="CQ483" i="10"/>
  <c r="CR483" i="10"/>
  <c r="CP484" i="10"/>
  <c r="CQ484" i="10"/>
  <c r="CR484" i="10"/>
  <c r="CS484" i="10"/>
  <c r="CP485" i="10"/>
  <c r="CS485" i="10" s="1"/>
  <c r="CQ485" i="10"/>
  <c r="CR485" i="10"/>
  <c r="CP486" i="10"/>
  <c r="CS486" i="10" s="1"/>
  <c r="CQ486" i="10"/>
  <c r="CR486" i="10"/>
  <c r="CP487" i="10"/>
  <c r="CS487" i="10" s="1"/>
  <c r="CQ487" i="10"/>
  <c r="CR487" i="10"/>
  <c r="CP488" i="10"/>
  <c r="CQ488" i="10"/>
  <c r="CR488" i="10"/>
  <c r="CS488" i="10"/>
  <c r="CP489" i="10"/>
  <c r="CS489" i="10" s="1"/>
  <c r="CQ489" i="10"/>
  <c r="CR489" i="10"/>
  <c r="CP490" i="10"/>
  <c r="CS490" i="10" s="1"/>
  <c r="CQ490" i="10"/>
  <c r="CR490" i="10"/>
  <c r="CP491" i="10"/>
  <c r="CS491" i="10" s="1"/>
  <c r="CQ491" i="10"/>
  <c r="CR491" i="10"/>
  <c r="CP492" i="10"/>
  <c r="CS492" i="10" s="1"/>
  <c r="CQ492" i="10"/>
  <c r="CR492" i="10"/>
  <c r="CP493" i="10"/>
  <c r="CQ493" i="10"/>
  <c r="CR493" i="10"/>
  <c r="CS493" i="10"/>
  <c r="CP494" i="10"/>
  <c r="CS494" i="10" s="1"/>
  <c r="CQ494" i="10"/>
  <c r="CR494" i="10"/>
  <c r="CP495" i="10"/>
  <c r="CS495" i="10" s="1"/>
  <c r="CQ495" i="10"/>
  <c r="CR495" i="10"/>
  <c r="CP496" i="10"/>
  <c r="CS496" i="10" s="1"/>
  <c r="CQ496" i="10"/>
  <c r="CR496" i="10"/>
  <c r="CP497" i="10"/>
  <c r="CS497" i="10" s="1"/>
  <c r="CQ497" i="10"/>
  <c r="CR497" i="10"/>
  <c r="CP498" i="10"/>
  <c r="CS498" i="10" s="1"/>
  <c r="CQ498" i="10"/>
  <c r="CR498" i="10"/>
  <c r="CP499" i="10"/>
  <c r="CS499" i="10" s="1"/>
  <c r="CQ499" i="10"/>
  <c r="CR499" i="10"/>
  <c r="CP500" i="10"/>
  <c r="CS500" i="10" s="1"/>
  <c r="CQ500" i="10"/>
  <c r="CR500" i="10"/>
  <c r="CP501" i="10"/>
  <c r="CS501" i="10" s="1"/>
  <c r="CQ501" i="10"/>
  <c r="CR501" i="10"/>
  <c r="CP502" i="10"/>
  <c r="CS502" i="10" s="1"/>
  <c r="CQ502" i="10"/>
  <c r="CR502" i="10"/>
  <c r="CP503" i="10"/>
  <c r="CS503" i="10" s="1"/>
  <c r="CQ503" i="10"/>
  <c r="CR503" i="10"/>
  <c r="CP504" i="10"/>
  <c r="CS504" i="10" s="1"/>
  <c r="CQ504" i="10"/>
  <c r="CR504" i="10"/>
  <c r="CP505" i="10"/>
  <c r="CS505" i="10" s="1"/>
  <c r="CQ505" i="10"/>
  <c r="CR505" i="10"/>
  <c r="CP506" i="10"/>
  <c r="CS506" i="10" s="1"/>
  <c r="CQ506" i="10"/>
  <c r="CR506" i="10"/>
  <c r="CP507" i="10"/>
  <c r="CS507" i="10" s="1"/>
  <c r="CQ507" i="10"/>
  <c r="CR507" i="10"/>
  <c r="CP508" i="10"/>
  <c r="CS508" i="10" s="1"/>
  <c r="CQ508" i="10"/>
  <c r="CR508" i="10"/>
  <c r="CP509" i="10"/>
  <c r="CS509" i="10" s="1"/>
  <c r="CQ509" i="10"/>
  <c r="CR509" i="10"/>
  <c r="CP510" i="10"/>
  <c r="CS510" i="10" s="1"/>
  <c r="CQ510" i="10"/>
  <c r="CR510" i="10"/>
  <c r="CP511" i="10"/>
  <c r="CS511" i="10" s="1"/>
  <c r="CQ511" i="10"/>
  <c r="CR511" i="10"/>
  <c r="CP512" i="10"/>
  <c r="CS512" i="10" s="1"/>
  <c r="CQ512" i="10"/>
  <c r="CR512" i="10"/>
  <c r="CP513" i="10"/>
  <c r="CS513" i="10" s="1"/>
  <c r="CQ513" i="10"/>
  <c r="CR513" i="10"/>
  <c r="CP514" i="10"/>
  <c r="CS514" i="10" s="1"/>
  <c r="CQ514" i="10"/>
  <c r="CR514" i="10"/>
  <c r="CP515" i="10"/>
  <c r="CS515" i="10" s="1"/>
  <c r="CQ515" i="10"/>
  <c r="CR515" i="10"/>
  <c r="CP516" i="10"/>
  <c r="CS516" i="10" s="1"/>
  <c r="CQ516" i="10"/>
  <c r="CR516" i="10"/>
  <c r="CP517" i="10"/>
  <c r="CS517" i="10" s="1"/>
  <c r="CQ517" i="10"/>
  <c r="CR517" i="10"/>
  <c r="CP518" i="10"/>
  <c r="CS518" i="10" s="1"/>
  <c r="CQ518" i="10"/>
  <c r="CR518" i="10"/>
  <c r="CP519" i="10"/>
  <c r="CS519" i="10" s="1"/>
  <c r="CQ519" i="10"/>
  <c r="CR519" i="10"/>
  <c r="CP520" i="10"/>
  <c r="CS520" i="10" s="1"/>
  <c r="CQ520" i="10"/>
  <c r="CR520" i="10"/>
  <c r="CP521" i="10"/>
  <c r="CS521" i="10" s="1"/>
  <c r="CQ521" i="10"/>
  <c r="CR521" i="10"/>
  <c r="CP522" i="10"/>
  <c r="CS522" i="10" s="1"/>
  <c r="CQ522" i="10"/>
  <c r="CR522" i="10"/>
  <c r="CP523" i="10"/>
  <c r="CS523" i="10" s="1"/>
  <c r="CQ523" i="10"/>
  <c r="CR523" i="10"/>
  <c r="CP524" i="10"/>
  <c r="CS524" i="10" s="1"/>
  <c r="CQ524" i="10"/>
  <c r="CR524" i="10"/>
  <c r="CP525" i="10"/>
  <c r="CS525" i="10" s="1"/>
  <c r="CQ525" i="10"/>
  <c r="CR525" i="10"/>
  <c r="CP526" i="10"/>
  <c r="CS526" i="10" s="1"/>
  <c r="CQ526" i="10"/>
  <c r="CR526" i="10"/>
  <c r="CP527" i="10"/>
  <c r="CS527" i="10" s="1"/>
  <c r="CQ527" i="10"/>
  <c r="CR527" i="10"/>
  <c r="CP528" i="10"/>
  <c r="CS528" i="10" s="1"/>
  <c r="CQ528" i="10"/>
  <c r="CR528" i="10"/>
  <c r="CP529" i="10"/>
  <c r="CS529" i="10" s="1"/>
  <c r="CQ529" i="10"/>
  <c r="CR529" i="10"/>
  <c r="CP530" i="10"/>
  <c r="CS530" i="10" s="1"/>
  <c r="CQ530" i="10"/>
  <c r="CR530" i="10"/>
  <c r="CP531" i="10"/>
  <c r="CS531" i="10" s="1"/>
  <c r="CQ531" i="10"/>
  <c r="CR531" i="10"/>
  <c r="CP532" i="10"/>
  <c r="CQ532" i="10"/>
  <c r="CR532" i="10"/>
  <c r="CS532" i="10"/>
  <c r="CP533" i="10"/>
  <c r="CS533" i="10" s="1"/>
  <c r="CQ533" i="10"/>
  <c r="CR533" i="10"/>
  <c r="CP534" i="10"/>
  <c r="CS534" i="10" s="1"/>
  <c r="CQ534" i="10"/>
  <c r="CR534" i="10"/>
  <c r="CP535" i="10"/>
  <c r="CQ535" i="10"/>
  <c r="CR535" i="10"/>
  <c r="CS535" i="10"/>
  <c r="CP536" i="10"/>
  <c r="CS536" i="10" s="1"/>
  <c r="CQ536" i="10"/>
  <c r="CR536" i="10"/>
  <c r="CP537" i="10"/>
  <c r="CS537" i="10" s="1"/>
  <c r="CQ537" i="10"/>
  <c r="CR537" i="10"/>
  <c r="CP538" i="10"/>
  <c r="CS538" i="10" s="1"/>
  <c r="CQ538" i="10"/>
  <c r="CR538" i="10"/>
  <c r="CP539" i="10"/>
  <c r="CS539" i="10" s="1"/>
  <c r="CQ539" i="10"/>
  <c r="CR539" i="10"/>
  <c r="CP540" i="10"/>
  <c r="CS540" i="10" s="1"/>
  <c r="CQ540" i="10"/>
  <c r="CR540" i="10"/>
  <c r="CP541" i="10"/>
  <c r="CS541" i="10" s="1"/>
  <c r="CQ541" i="10"/>
  <c r="CR541" i="10"/>
  <c r="CP542" i="10"/>
  <c r="CS542" i="10" s="1"/>
  <c r="CQ542" i="10"/>
  <c r="CR542" i="10"/>
  <c r="CP543" i="10"/>
  <c r="CS543" i="10" s="1"/>
  <c r="CQ543" i="10"/>
  <c r="CR543" i="10"/>
  <c r="CP544" i="10"/>
  <c r="CS544" i="10" s="1"/>
  <c r="CQ544" i="10"/>
  <c r="CR544" i="10"/>
  <c r="CP545" i="10"/>
  <c r="CS545" i="10" s="1"/>
  <c r="CQ545" i="10"/>
  <c r="CR545" i="10"/>
  <c r="CP546" i="10"/>
  <c r="CS546" i="10" s="1"/>
  <c r="CQ546" i="10"/>
  <c r="CR546" i="10"/>
  <c r="CP547" i="10"/>
  <c r="CS547" i="10" s="1"/>
  <c r="CQ547" i="10"/>
  <c r="CR547" i="10"/>
  <c r="CP548" i="10"/>
  <c r="CS548" i="10" s="1"/>
  <c r="CQ548" i="10"/>
  <c r="CR548" i="10"/>
  <c r="CP549" i="10"/>
  <c r="CS549" i="10" s="1"/>
  <c r="CQ549" i="10"/>
  <c r="CR549" i="10"/>
  <c r="CP550" i="10"/>
  <c r="CS550" i="10" s="1"/>
  <c r="CQ550" i="10"/>
  <c r="CR550" i="10"/>
  <c r="CP551" i="10"/>
  <c r="CS551" i="10" s="1"/>
  <c r="CQ551" i="10"/>
  <c r="CR551" i="10"/>
  <c r="CP552" i="10"/>
  <c r="CS552" i="10" s="1"/>
  <c r="CQ552" i="10"/>
  <c r="CR552" i="10"/>
  <c r="CP553" i="10"/>
  <c r="CQ553" i="10"/>
  <c r="CR553" i="10"/>
  <c r="CS553" i="10"/>
  <c r="CP554" i="10"/>
  <c r="CS554" i="10" s="1"/>
  <c r="CQ554" i="10"/>
  <c r="CR554" i="10"/>
  <c r="CP555" i="10"/>
  <c r="CS555" i="10" s="1"/>
  <c r="CQ555" i="10"/>
  <c r="CR555" i="10"/>
  <c r="CP556" i="10"/>
  <c r="CS556" i="10" s="1"/>
  <c r="CQ556" i="10"/>
  <c r="CR556" i="10"/>
  <c r="CP557" i="10"/>
  <c r="CS557" i="10" s="1"/>
  <c r="CQ557" i="10"/>
  <c r="CR557" i="10"/>
  <c r="CP558" i="10"/>
  <c r="CS558" i="10" s="1"/>
  <c r="CQ558" i="10"/>
  <c r="CR558" i="10"/>
  <c r="CP559" i="10"/>
  <c r="CS559" i="10" s="1"/>
  <c r="CQ559" i="10"/>
  <c r="CR559" i="10"/>
  <c r="CP560" i="10"/>
  <c r="CS560" i="10" s="1"/>
  <c r="CQ560" i="10"/>
  <c r="CR560" i="10"/>
  <c r="CP561" i="10"/>
  <c r="CS561" i="10" s="1"/>
  <c r="CQ561" i="10"/>
  <c r="CR561" i="10"/>
  <c r="CP562" i="10"/>
  <c r="CS562" i="10" s="1"/>
  <c r="CQ562" i="10"/>
  <c r="CR562" i="10"/>
  <c r="CP563" i="10"/>
  <c r="CS563" i="10" s="1"/>
  <c r="CQ563" i="10"/>
  <c r="CR563" i="10"/>
  <c r="CP564" i="10"/>
  <c r="CS564" i="10" s="1"/>
  <c r="CQ564" i="10"/>
  <c r="CR564" i="10"/>
  <c r="CP565" i="10"/>
  <c r="CS565" i="10" s="1"/>
  <c r="CQ565" i="10"/>
  <c r="CR565" i="10"/>
  <c r="CP566" i="10"/>
  <c r="CQ566" i="10"/>
  <c r="CR566" i="10"/>
  <c r="CS566" i="10"/>
  <c r="CP567" i="10"/>
  <c r="CS567" i="10" s="1"/>
  <c r="CQ567" i="10"/>
  <c r="CR567" i="10"/>
  <c r="CP568" i="10"/>
  <c r="CS568" i="10" s="1"/>
  <c r="CQ568" i="10"/>
  <c r="CR568" i="10"/>
  <c r="CP569" i="10"/>
  <c r="CS569" i="10" s="1"/>
  <c r="CQ569" i="10"/>
  <c r="CR569" i="10"/>
  <c r="CP570" i="10"/>
  <c r="CS570" i="10" s="1"/>
  <c r="CQ570" i="10"/>
  <c r="CR570" i="10"/>
  <c r="CP571" i="10"/>
  <c r="CS571" i="10" s="1"/>
  <c r="CQ571" i="10"/>
  <c r="CR571" i="10"/>
  <c r="CP572" i="10"/>
  <c r="CS572" i="10" s="1"/>
  <c r="CQ572" i="10"/>
  <c r="CR572" i="10"/>
  <c r="CP573" i="10"/>
  <c r="CS573" i="10" s="1"/>
  <c r="CQ573" i="10"/>
  <c r="CR573" i="10"/>
  <c r="CP574" i="10"/>
  <c r="CS574" i="10" s="1"/>
  <c r="CQ574" i="10"/>
  <c r="CR574" i="10"/>
  <c r="CP575" i="10"/>
  <c r="CS575" i="10" s="1"/>
  <c r="CQ575" i="10"/>
  <c r="CR575" i="10"/>
  <c r="CP576" i="10"/>
  <c r="CS576" i="10" s="1"/>
  <c r="CQ576" i="10"/>
  <c r="CR576" i="10"/>
  <c r="CP577" i="10"/>
  <c r="CS577" i="10" s="1"/>
  <c r="CQ577" i="10"/>
  <c r="CR577" i="10"/>
  <c r="CP578" i="10"/>
  <c r="CS578" i="10" s="1"/>
  <c r="CQ578" i="10"/>
  <c r="CR578" i="10"/>
  <c r="CP579" i="10"/>
  <c r="CS579" i="10" s="1"/>
  <c r="CQ579" i="10"/>
  <c r="CR579" i="10"/>
  <c r="CP580" i="10"/>
  <c r="CS580" i="10" s="1"/>
  <c r="CQ580" i="10"/>
  <c r="CR580" i="10"/>
  <c r="CP581" i="10"/>
  <c r="CS581" i="10" s="1"/>
  <c r="CQ581" i="10"/>
  <c r="CR581" i="10"/>
  <c r="CP582" i="10"/>
  <c r="CS582" i="10" s="1"/>
  <c r="CQ582" i="10"/>
  <c r="CR582" i="10"/>
  <c r="CP583" i="10"/>
  <c r="CS583" i="10" s="1"/>
  <c r="CQ583" i="10"/>
  <c r="CR583" i="10"/>
  <c r="CP584" i="10"/>
  <c r="CS584" i="10" s="1"/>
  <c r="CQ584" i="10"/>
  <c r="CR584" i="10"/>
  <c r="CP585" i="10"/>
  <c r="CS585" i="10" s="1"/>
  <c r="CQ585" i="10"/>
  <c r="CR585" i="10"/>
  <c r="CP586" i="10"/>
  <c r="CS586" i="10" s="1"/>
  <c r="CQ586" i="10"/>
  <c r="CR586" i="10"/>
  <c r="CP587" i="10"/>
  <c r="CS587" i="10" s="1"/>
  <c r="CQ587" i="10"/>
  <c r="CR587" i="10"/>
  <c r="CP588" i="10"/>
  <c r="CS588" i="10" s="1"/>
  <c r="CQ588" i="10"/>
  <c r="CR588" i="10"/>
  <c r="CP589" i="10"/>
  <c r="CS589" i="10" s="1"/>
  <c r="CQ589" i="10"/>
  <c r="CR589" i="10"/>
  <c r="CP590" i="10"/>
  <c r="CS590" i="10" s="1"/>
  <c r="CQ590" i="10"/>
  <c r="CR590" i="10"/>
  <c r="CP591" i="10"/>
  <c r="CS591" i="10" s="1"/>
  <c r="CQ591" i="10"/>
  <c r="CR591" i="10"/>
  <c r="CP592" i="10"/>
  <c r="CS592" i="10" s="1"/>
  <c r="CQ592" i="10"/>
  <c r="CR592" i="10"/>
  <c r="CP593" i="10"/>
  <c r="CS593" i="10" s="1"/>
  <c r="CQ593" i="10"/>
  <c r="CR593" i="10"/>
  <c r="CP594" i="10"/>
  <c r="CS594" i="10" s="1"/>
  <c r="CQ594" i="10"/>
  <c r="CR594" i="10"/>
  <c r="CP595" i="10"/>
  <c r="CS595" i="10" s="1"/>
  <c r="CQ595" i="10"/>
  <c r="CR595" i="10"/>
  <c r="CP596" i="10"/>
  <c r="CS596" i="10" s="1"/>
  <c r="CQ596" i="10"/>
  <c r="CR596" i="10"/>
  <c r="CP597" i="10"/>
  <c r="CS597" i="10" s="1"/>
  <c r="CQ597" i="10"/>
  <c r="CR597" i="10"/>
  <c r="CP598" i="10"/>
  <c r="CS598" i="10" s="1"/>
  <c r="CQ598" i="10"/>
  <c r="CR598" i="10"/>
  <c r="CP599" i="10"/>
  <c r="CS599" i="10" s="1"/>
  <c r="CQ599" i="10"/>
  <c r="CR599" i="10"/>
  <c r="CP600" i="10"/>
  <c r="CS600" i="10" s="1"/>
  <c r="CQ600" i="10"/>
  <c r="CR600" i="10"/>
  <c r="CP601" i="10"/>
  <c r="CS601" i="10" s="1"/>
  <c r="CQ601" i="10"/>
  <c r="CR601" i="10"/>
  <c r="CP602" i="10"/>
  <c r="CQ602" i="10"/>
  <c r="CR602" i="10"/>
  <c r="CS602" i="10"/>
  <c r="CP603" i="10"/>
  <c r="CQ603" i="10"/>
  <c r="CR603" i="10"/>
  <c r="CS603" i="10"/>
  <c r="CP604" i="10"/>
  <c r="CS604" i="10" s="1"/>
  <c r="CQ604" i="10"/>
  <c r="CR604" i="10"/>
  <c r="CP605" i="10"/>
  <c r="CS605" i="10" s="1"/>
  <c r="CQ605" i="10"/>
  <c r="CR605" i="10"/>
  <c r="CP606" i="10"/>
  <c r="CS606" i="10" s="1"/>
  <c r="CQ606" i="10"/>
  <c r="CR606" i="10"/>
  <c r="CP607" i="10"/>
  <c r="CS607" i="10" s="1"/>
  <c r="CQ607" i="10"/>
  <c r="CR607" i="10"/>
  <c r="CP608" i="10"/>
  <c r="CS608" i="10" s="1"/>
  <c r="CQ608" i="10"/>
  <c r="CR608" i="10"/>
  <c r="CP609" i="10"/>
  <c r="CS609" i="10" s="1"/>
  <c r="CQ609" i="10"/>
  <c r="CR609" i="10"/>
  <c r="CP610" i="10"/>
  <c r="CS610" i="10" s="1"/>
  <c r="CQ610" i="10"/>
  <c r="CR610" i="10"/>
  <c r="CP611" i="10"/>
  <c r="CS611" i="10" s="1"/>
  <c r="CQ611" i="10"/>
  <c r="CR611" i="10"/>
  <c r="CP612" i="10"/>
  <c r="CS612" i="10" s="1"/>
  <c r="CQ612" i="10"/>
  <c r="CR612" i="10"/>
  <c r="CP613" i="10"/>
  <c r="CS613" i="10" s="1"/>
  <c r="CQ613" i="10"/>
  <c r="CR613" i="10"/>
  <c r="CP614" i="10"/>
  <c r="CS614" i="10" s="1"/>
  <c r="CQ614" i="10"/>
  <c r="CR614" i="10"/>
  <c r="CP615" i="10"/>
  <c r="CS615" i="10" s="1"/>
  <c r="CQ615" i="10"/>
  <c r="CR615" i="10"/>
  <c r="CP616" i="10"/>
  <c r="CS616" i="10" s="1"/>
  <c r="CQ616" i="10"/>
  <c r="CR616" i="10"/>
  <c r="CP617" i="10"/>
  <c r="CS617" i="10" s="1"/>
  <c r="CQ617" i="10"/>
  <c r="CR617" i="10"/>
  <c r="CP618" i="10"/>
  <c r="CS618" i="10" s="1"/>
  <c r="CQ618" i="10"/>
  <c r="CR618" i="10"/>
  <c r="CP619" i="10"/>
  <c r="CS619" i="10" s="1"/>
  <c r="CQ619" i="10"/>
  <c r="CR619" i="10"/>
  <c r="CP620" i="10"/>
  <c r="CS620" i="10" s="1"/>
  <c r="CQ620" i="10"/>
  <c r="CR620" i="10"/>
  <c r="CP621" i="10"/>
  <c r="CS621" i="10" s="1"/>
  <c r="CQ621" i="10"/>
  <c r="CR621" i="10"/>
  <c r="CP622" i="10"/>
  <c r="CS622" i="10" s="1"/>
  <c r="CQ622" i="10"/>
  <c r="CR622" i="10"/>
  <c r="CP623" i="10"/>
  <c r="CQ623" i="10"/>
  <c r="CR623" i="10"/>
  <c r="CS623" i="10"/>
  <c r="CP624" i="10"/>
  <c r="CS624" i="10" s="1"/>
  <c r="CQ624" i="10"/>
  <c r="CR624" i="10"/>
  <c r="CP625" i="10"/>
  <c r="CS625" i="10" s="1"/>
  <c r="CQ625" i="10"/>
  <c r="CR625" i="10"/>
  <c r="CP626" i="10"/>
  <c r="CS626" i="10" s="1"/>
  <c r="CQ626" i="10"/>
  <c r="CR626" i="10"/>
  <c r="CP627" i="10"/>
  <c r="CS627" i="10" s="1"/>
  <c r="CQ627" i="10"/>
  <c r="CR627" i="10"/>
  <c r="CP628" i="10"/>
  <c r="CS628" i="10" s="1"/>
  <c r="CQ628" i="10"/>
  <c r="CR628" i="10"/>
  <c r="CP629" i="10"/>
  <c r="CS629" i="10" s="1"/>
  <c r="CQ629" i="10"/>
  <c r="CR629" i="10"/>
  <c r="CP630" i="10"/>
  <c r="CS630" i="10" s="1"/>
  <c r="CQ630" i="10"/>
  <c r="CR630" i="10"/>
  <c r="CP631" i="10"/>
  <c r="CS631" i="10" s="1"/>
  <c r="CQ631" i="10"/>
  <c r="CR631" i="10"/>
  <c r="CP632" i="10"/>
  <c r="CS632" i="10" s="1"/>
  <c r="CQ632" i="10"/>
  <c r="CR632" i="10"/>
  <c r="CP633" i="10"/>
  <c r="CS633" i="10" s="1"/>
  <c r="CQ633" i="10"/>
  <c r="CR633" i="10"/>
  <c r="CP634" i="10"/>
  <c r="CS634" i="10" s="1"/>
  <c r="CQ634" i="10"/>
  <c r="CR634" i="10"/>
  <c r="CP635" i="10"/>
  <c r="CS635" i="10" s="1"/>
  <c r="CQ635" i="10"/>
  <c r="CR635" i="10"/>
  <c r="CP636" i="10"/>
  <c r="CS636" i="10" s="1"/>
  <c r="CQ636" i="10"/>
  <c r="CR636" i="10"/>
  <c r="CP637" i="10"/>
  <c r="CS637" i="10" s="1"/>
  <c r="CQ637" i="10"/>
  <c r="CR637" i="10"/>
  <c r="CP638" i="10"/>
  <c r="CQ638" i="10"/>
  <c r="CR638" i="10"/>
  <c r="CS638" i="10"/>
  <c r="CP639" i="10"/>
  <c r="CS639" i="10" s="1"/>
  <c r="CQ639" i="10"/>
  <c r="CR639" i="10"/>
  <c r="CP640" i="10"/>
  <c r="CS640" i="10" s="1"/>
  <c r="CQ640" i="10"/>
  <c r="CR640" i="10"/>
  <c r="CP641" i="10"/>
  <c r="CS641" i="10" s="1"/>
  <c r="CQ641" i="10"/>
  <c r="CR641" i="10"/>
  <c r="CP642" i="10"/>
  <c r="CS642" i="10" s="1"/>
  <c r="CQ642" i="10"/>
  <c r="CR642" i="10"/>
  <c r="CP643" i="10"/>
  <c r="CS643" i="10" s="1"/>
  <c r="CQ643" i="10"/>
  <c r="CR643" i="10"/>
  <c r="CP644" i="10"/>
  <c r="CS644" i="10" s="1"/>
  <c r="CQ644" i="10"/>
  <c r="CR644" i="10"/>
  <c r="CP645" i="10"/>
  <c r="CS645" i="10" s="1"/>
  <c r="CQ645" i="10"/>
  <c r="CR645" i="10"/>
  <c r="CP646" i="10"/>
  <c r="CS646" i="10" s="1"/>
  <c r="CQ646" i="10"/>
  <c r="CR646" i="10"/>
  <c r="CP647" i="10"/>
  <c r="CS647" i="10" s="1"/>
  <c r="CQ647" i="10"/>
  <c r="CR647" i="10"/>
  <c r="CP648" i="10"/>
  <c r="CS648" i="10" s="1"/>
  <c r="CQ648" i="10"/>
  <c r="CR648" i="10"/>
  <c r="CP649" i="10"/>
  <c r="CS649" i="10" s="1"/>
  <c r="CQ649" i="10"/>
  <c r="CR649" i="10"/>
  <c r="CP650" i="10"/>
  <c r="CS650" i="10" s="1"/>
  <c r="CQ650" i="10"/>
  <c r="CR650" i="10"/>
  <c r="CP651" i="10"/>
  <c r="CS651" i="10" s="1"/>
  <c r="CQ651" i="10"/>
  <c r="CR651" i="10"/>
  <c r="CP652" i="10"/>
  <c r="CS652" i="10" s="1"/>
  <c r="CQ652" i="10"/>
  <c r="CR652" i="10"/>
  <c r="CP653" i="10"/>
  <c r="CS653" i="10" s="1"/>
  <c r="CQ653" i="10"/>
  <c r="CR653" i="10"/>
  <c r="CP654" i="10"/>
  <c r="CS654" i="10" s="1"/>
  <c r="CQ654" i="10"/>
  <c r="CR654" i="10"/>
  <c r="CP655" i="10"/>
  <c r="CS655" i="10" s="1"/>
  <c r="CQ655" i="10"/>
  <c r="CR655" i="10"/>
  <c r="CP656" i="10"/>
  <c r="CS656" i="10" s="1"/>
  <c r="CQ656" i="10"/>
  <c r="CR656" i="10"/>
  <c r="CP657" i="10"/>
  <c r="CS657" i="10" s="1"/>
  <c r="CQ657" i="10"/>
  <c r="CR657" i="10"/>
  <c r="CP658" i="10"/>
  <c r="CS658" i="10" s="1"/>
  <c r="CQ658" i="10"/>
  <c r="CR658" i="10"/>
  <c r="CP659" i="10"/>
  <c r="CS659" i="10" s="1"/>
  <c r="CQ659" i="10"/>
  <c r="CR659" i="10"/>
  <c r="CP660" i="10"/>
  <c r="CS660" i="10" s="1"/>
  <c r="CQ660" i="10"/>
  <c r="CR660" i="10"/>
  <c r="CP661" i="10"/>
  <c r="CS661" i="10" s="1"/>
  <c r="CQ661" i="10"/>
  <c r="CR661" i="10"/>
  <c r="CP662" i="10"/>
  <c r="CS662" i="10" s="1"/>
  <c r="CQ662" i="10"/>
  <c r="CR662" i="10"/>
  <c r="CP663" i="10"/>
  <c r="CS663" i="10" s="1"/>
  <c r="CQ663" i="10"/>
  <c r="CR663" i="10"/>
  <c r="CP664" i="10"/>
  <c r="CS664" i="10" s="1"/>
  <c r="CQ664" i="10"/>
  <c r="CR664" i="10"/>
  <c r="CP665" i="10"/>
  <c r="CS665" i="10" s="1"/>
  <c r="CQ665" i="10"/>
  <c r="CR665" i="10"/>
  <c r="CP666" i="10"/>
  <c r="CS666" i="10" s="1"/>
  <c r="CQ666" i="10"/>
  <c r="CR666" i="10"/>
  <c r="CP667" i="10"/>
  <c r="CS667" i="10" s="1"/>
  <c r="CQ667" i="10"/>
  <c r="CR667" i="10"/>
  <c r="CP668" i="10"/>
  <c r="CS668" i="10" s="1"/>
  <c r="CQ668" i="10"/>
  <c r="CR668" i="10"/>
  <c r="CP669" i="10"/>
  <c r="CS669" i="10" s="1"/>
  <c r="CQ669" i="10"/>
  <c r="CR669" i="10"/>
  <c r="CP670" i="10"/>
  <c r="CS670" i="10" s="1"/>
  <c r="CQ670" i="10"/>
  <c r="CR670" i="10"/>
  <c r="CP671" i="10"/>
  <c r="CS671" i="10" s="1"/>
  <c r="CQ671" i="10"/>
  <c r="CR671" i="10"/>
  <c r="CP672" i="10"/>
  <c r="CS672" i="10" s="1"/>
  <c r="CQ672" i="10"/>
  <c r="CR672" i="10"/>
  <c r="CP673" i="10"/>
  <c r="CS673" i="10" s="1"/>
  <c r="CQ673" i="10"/>
  <c r="CR673" i="10"/>
  <c r="CP674" i="10"/>
  <c r="CQ674" i="10"/>
  <c r="CR674" i="10"/>
  <c r="CS674" i="10"/>
  <c r="CP675" i="10"/>
  <c r="CQ675" i="10"/>
  <c r="CR675" i="10"/>
  <c r="CS675" i="10"/>
  <c r="CP676" i="10"/>
  <c r="CS676" i="10" s="1"/>
  <c r="CQ676" i="10"/>
  <c r="CR676" i="10"/>
  <c r="CP677" i="10"/>
  <c r="CS677" i="10" s="1"/>
  <c r="CQ677" i="10"/>
  <c r="CR677" i="10"/>
  <c r="CP678" i="10"/>
  <c r="CS678" i="10" s="1"/>
  <c r="CQ678" i="10"/>
  <c r="CR678" i="10"/>
  <c r="CP679" i="10"/>
  <c r="CS679" i="10" s="1"/>
  <c r="CQ679" i="10"/>
  <c r="CR679" i="10"/>
  <c r="CP680" i="10"/>
  <c r="CS680" i="10" s="1"/>
  <c r="CQ680" i="10"/>
  <c r="CR680" i="10"/>
  <c r="CP681" i="10"/>
  <c r="CS681" i="10" s="1"/>
  <c r="CQ681" i="10"/>
  <c r="CR681" i="10"/>
  <c r="CP682" i="10"/>
  <c r="CS682" i="10" s="1"/>
  <c r="CQ682" i="10"/>
  <c r="CR682" i="10"/>
  <c r="CP683" i="10"/>
  <c r="CS683" i="10" s="1"/>
  <c r="CQ683" i="10"/>
  <c r="CR683" i="10"/>
  <c r="CP684" i="10"/>
  <c r="CS684" i="10" s="1"/>
  <c r="CQ684" i="10"/>
  <c r="CR684" i="10"/>
  <c r="CP685" i="10"/>
  <c r="CS685" i="10" s="1"/>
  <c r="CQ685" i="10"/>
  <c r="CR685" i="10"/>
  <c r="CP686" i="10"/>
  <c r="CS686" i="10" s="1"/>
  <c r="CQ686" i="10"/>
  <c r="CR686" i="10"/>
  <c r="CP687" i="10"/>
  <c r="CS687" i="10" s="1"/>
  <c r="CQ687" i="10"/>
  <c r="CR687" i="10"/>
  <c r="CP688" i="10"/>
  <c r="CS688" i="10" s="1"/>
  <c r="CQ688" i="10"/>
  <c r="CR688" i="10"/>
  <c r="CT688" i="10" s="1"/>
  <c r="CP689" i="10"/>
  <c r="CS689" i="10" s="1"/>
  <c r="CQ689" i="10"/>
  <c r="CR689" i="10"/>
  <c r="CP690" i="10"/>
  <c r="CS690" i="10" s="1"/>
  <c r="CQ690" i="10"/>
  <c r="CR690" i="10"/>
  <c r="CP691" i="10"/>
  <c r="CS691" i="10" s="1"/>
  <c r="CQ691" i="10"/>
  <c r="CR691" i="10"/>
  <c r="CP692" i="10"/>
  <c r="CS692" i="10" s="1"/>
  <c r="CQ692" i="10"/>
  <c r="CR692" i="10"/>
  <c r="CP693" i="10"/>
  <c r="CS693" i="10" s="1"/>
  <c r="CQ693" i="10"/>
  <c r="CR693" i="10"/>
  <c r="CP694" i="10"/>
  <c r="CS694" i="10" s="1"/>
  <c r="CQ694" i="10"/>
  <c r="CR694" i="10"/>
  <c r="CP695" i="10"/>
  <c r="CQ695" i="10"/>
  <c r="CR695" i="10"/>
  <c r="CS695" i="10"/>
  <c r="CP696" i="10"/>
  <c r="CS696" i="10" s="1"/>
  <c r="CQ696" i="10"/>
  <c r="CR696" i="10"/>
  <c r="CP697" i="10"/>
  <c r="CS697" i="10" s="1"/>
  <c r="CQ697" i="10"/>
  <c r="CR697" i="10"/>
  <c r="CP698" i="10"/>
  <c r="CS698" i="10" s="1"/>
  <c r="CQ698" i="10"/>
  <c r="CR698" i="10"/>
  <c r="CP699" i="10"/>
  <c r="CS699" i="10" s="1"/>
  <c r="CQ699" i="10"/>
  <c r="CR699" i="10"/>
  <c r="CP700" i="10"/>
  <c r="CS700" i="10" s="1"/>
  <c r="CQ700" i="10"/>
  <c r="CR700" i="10"/>
  <c r="CP701" i="10"/>
  <c r="CS701" i="10" s="1"/>
  <c r="CQ701" i="10"/>
  <c r="CR701" i="10"/>
  <c r="CP702" i="10"/>
  <c r="CS702" i="10" s="1"/>
  <c r="CQ702" i="10"/>
  <c r="CR702" i="10"/>
  <c r="CP703" i="10"/>
  <c r="CS703" i="10" s="1"/>
  <c r="CQ703" i="10"/>
  <c r="CR703" i="10"/>
  <c r="CP704" i="10"/>
  <c r="CS704" i="10" s="1"/>
  <c r="CQ704" i="10"/>
  <c r="CR704" i="10"/>
  <c r="CP705" i="10"/>
  <c r="CS705" i="10" s="1"/>
  <c r="CQ705" i="10"/>
  <c r="CR705" i="10"/>
  <c r="CP706" i="10"/>
  <c r="CS706" i="10" s="1"/>
  <c r="CQ706" i="10"/>
  <c r="CR706" i="10"/>
  <c r="CP707" i="10"/>
  <c r="CS707" i="10" s="1"/>
  <c r="CQ707" i="10"/>
  <c r="CR707" i="10"/>
  <c r="CP708" i="10"/>
  <c r="CS708" i="10" s="1"/>
  <c r="CQ708" i="10"/>
  <c r="CR708" i="10"/>
  <c r="CP709" i="10"/>
  <c r="CS709" i="10" s="1"/>
  <c r="CQ709" i="10"/>
  <c r="CR709" i="10"/>
  <c r="CP710" i="10"/>
  <c r="CS710" i="10" s="1"/>
  <c r="CQ710" i="10"/>
  <c r="CR710" i="10"/>
  <c r="CP711" i="10"/>
  <c r="CS711" i="10" s="1"/>
  <c r="CQ711" i="10"/>
  <c r="CR711" i="10"/>
  <c r="CP712" i="10"/>
  <c r="CS712" i="10" s="1"/>
  <c r="CQ712" i="10"/>
  <c r="CR712" i="10"/>
  <c r="CP713" i="10"/>
  <c r="CS713" i="10" s="1"/>
  <c r="CQ713" i="10"/>
  <c r="CR713" i="10"/>
  <c r="CP714" i="10"/>
  <c r="CS714" i="10" s="1"/>
  <c r="CQ714" i="10"/>
  <c r="CR714" i="10"/>
  <c r="CP715" i="10"/>
  <c r="CS715" i="10" s="1"/>
  <c r="CQ715" i="10"/>
  <c r="CR715" i="10"/>
  <c r="CP716" i="10"/>
  <c r="CS716" i="10" s="1"/>
  <c r="CQ716" i="10"/>
  <c r="CR716" i="10"/>
  <c r="CP717" i="10"/>
  <c r="CS717" i="10" s="1"/>
  <c r="CQ717" i="10"/>
  <c r="CR717" i="10"/>
  <c r="CP718" i="10"/>
  <c r="CS718" i="10" s="1"/>
  <c r="CQ718" i="10"/>
  <c r="CR718" i="10"/>
  <c r="CP719" i="10"/>
  <c r="CS719" i="10" s="1"/>
  <c r="CQ719" i="10"/>
  <c r="CR719" i="10"/>
  <c r="CP720" i="10"/>
  <c r="CS720" i="10" s="1"/>
  <c r="CQ720" i="10"/>
  <c r="CR720" i="10"/>
  <c r="CP721" i="10"/>
  <c r="CS721" i="10" s="1"/>
  <c r="CQ721" i="10"/>
  <c r="CR721" i="10"/>
  <c r="CP722" i="10"/>
  <c r="CS722" i="10" s="1"/>
  <c r="CQ722" i="10"/>
  <c r="CR722" i="10"/>
  <c r="CT722" i="10" s="1"/>
  <c r="CP723" i="10"/>
  <c r="CS723" i="10" s="1"/>
  <c r="CQ723" i="10"/>
  <c r="CR723" i="10"/>
  <c r="CP724" i="10"/>
  <c r="CS724" i="10" s="1"/>
  <c r="CQ724" i="10"/>
  <c r="CR724" i="10"/>
  <c r="CP725" i="10"/>
  <c r="CS725" i="10" s="1"/>
  <c r="CQ725" i="10"/>
  <c r="CR725" i="10"/>
  <c r="CP726" i="10"/>
  <c r="CS726" i="10" s="1"/>
  <c r="CQ726" i="10"/>
  <c r="CR726" i="10"/>
  <c r="CP727" i="10"/>
  <c r="CS727" i="10" s="1"/>
  <c r="CQ727" i="10"/>
  <c r="CR727" i="10"/>
  <c r="CP728" i="10"/>
  <c r="CS728" i="10" s="1"/>
  <c r="CQ728" i="10"/>
  <c r="CR728" i="10"/>
  <c r="CP729" i="10"/>
  <c r="CS729" i="10" s="1"/>
  <c r="CQ729" i="10"/>
  <c r="CR729" i="10"/>
  <c r="CP730" i="10"/>
  <c r="CS730" i="10" s="1"/>
  <c r="CQ730" i="10"/>
  <c r="CR730" i="10"/>
  <c r="CP731" i="10"/>
  <c r="CS731" i="10" s="1"/>
  <c r="CQ731" i="10"/>
  <c r="CR731" i="10"/>
  <c r="CP732" i="10"/>
  <c r="CS732" i="10" s="1"/>
  <c r="CQ732" i="10"/>
  <c r="CR732" i="10"/>
  <c r="CP733" i="10"/>
  <c r="CS733" i="10" s="1"/>
  <c r="CQ733" i="10"/>
  <c r="CR733" i="10"/>
  <c r="CP734" i="10"/>
  <c r="CS734" i="10" s="1"/>
  <c r="CQ734" i="10"/>
  <c r="CR734" i="10"/>
  <c r="CP735" i="10"/>
  <c r="CS735" i="10" s="1"/>
  <c r="CQ735" i="10"/>
  <c r="CR735" i="10"/>
  <c r="CP736" i="10"/>
  <c r="CS736" i="10" s="1"/>
  <c r="CQ736" i="10"/>
  <c r="CR736" i="10"/>
  <c r="CP737" i="10"/>
  <c r="CS737" i="10" s="1"/>
  <c r="CQ737" i="10"/>
  <c r="CR737" i="10"/>
  <c r="CP738" i="10"/>
  <c r="CS738" i="10" s="1"/>
  <c r="CQ738" i="10"/>
  <c r="CR738" i="10"/>
  <c r="CP739" i="10"/>
  <c r="CS739" i="10" s="1"/>
  <c r="CQ739" i="10"/>
  <c r="CR739" i="10"/>
  <c r="CP740" i="10"/>
  <c r="CS740" i="10" s="1"/>
  <c r="CQ740" i="10"/>
  <c r="CR740" i="10"/>
  <c r="CP741" i="10"/>
  <c r="CS741" i="10" s="1"/>
  <c r="CQ741" i="10"/>
  <c r="CR741" i="10"/>
  <c r="CP742" i="10"/>
  <c r="CS742" i="10" s="1"/>
  <c r="CQ742" i="10"/>
  <c r="CR742" i="10"/>
  <c r="CP743" i="10"/>
  <c r="CS743" i="10" s="1"/>
  <c r="CQ743" i="10"/>
  <c r="CR743" i="10"/>
  <c r="CT743" i="10" s="1"/>
  <c r="CP744" i="10"/>
  <c r="CS744" i="10" s="1"/>
  <c r="CQ744" i="10"/>
  <c r="CR744" i="10"/>
  <c r="CP745" i="10"/>
  <c r="CS745" i="10" s="1"/>
  <c r="CQ745" i="10"/>
  <c r="CR745" i="10"/>
  <c r="CP746" i="10"/>
  <c r="CS746" i="10" s="1"/>
  <c r="CQ746" i="10"/>
  <c r="CR746" i="10"/>
  <c r="CP747" i="10"/>
  <c r="CS747" i="10" s="1"/>
  <c r="CQ747" i="10"/>
  <c r="CR747" i="10"/>
  <c r="CP748" i="10"/>
  <c r="CS748" i="10" s="1"/>
  <c r="CQ748" i="10"/>
  <c r="CR748" i="10"/>
  <c r="CP749" i="10"/>
  <c r="CS749" i="10" s="1"/>
  <c r="CQ749" i="10"/>
  <c r="CR749" i="10"/>
  <c r="CP750" i="10"/>
  <c r="CS750" i="10" s="1"/>
  <c r="CQ750" i="10"/>
  <c r="CR750" i="10"/>
  <c r="CP751" i="10"/>
  <c r="CS751" i="10" s="1"/>
  <c r="CQ751" i="10"/>
  <c r="CR751" i="10"/>
  <c r="CP752" i="10"/>
  <c r="CS752" i="10" s="1"/>
  <c r="CQ752" i="10"/>
  <c r="CR752" i="10"/>
  <c r="CP753" i="10"/>
  <c r="CS753" i="10" s="1"/>
  <c r="CQ753" i="10"/>
  <c r="CR753" i="10"/>
  <c r="CP754" i="10"/>
  <c r="CS754" i="10" s="1"/>
  <c r="CQ754" i="10"/>
  <c r="CR754" i="10"/>
  <c r="CP755" i="10"/>
  <c r="CS755" i="10" s="1"/>
  <c r="CQ755" i="10"/>
  <c r="CR755" i="10"/>
  <c r="CP756" i="10"/>
  <c r="CS756" i="10" s="1"/>
  <c r="CQ756" i="10"/>
  <c r="CR756" i="10"/>
  <c r="CP757" i="10"/>
  <c r="CS757" i="10" s="1"/>
  <c r="CQ757" i="10"/>
  <c r="CR757" i="10"/>
  <c r="CP758" i="10"/>
  <c r="CS758" i="10" s="1"/>
  <c r="CQ758" i="10"/>
  <c r="CR758" i="10"/>
  <c r="CP759" i="10"/>
  <c r="CS759" i="10" s="1"/>
  <c r="CQ759" i="10"/>
  <c r="CR759" i="10"/>
  <c r="CP760" i="10"/>
  <c r="CS760" i="10" s="1"/>
  <c r="CQ760" i="10"/>
  <c r="CR760" i="10"/>
  <c r="CP761" i="10"/>
  <c r="CQ761" i="10"/>
  <c r="CR761" i="10"/>
  <c r="CS761" i="10"/>
  <c r="CP762" i="10"/>
  <c r="CQ762" i="10"/>
  <c r="CR762" i="10"/>
  <c r="CS762" i="10"/>
  <c r="CP763" i="10"/>
  <c r="CS763" i="10" s="1"/>
  <c r="CQ763" i="10"/>
  <c r="CR763" i="10"/>
  <c r="CP764" i="10"/>
  <c r="CS764" i="10" s="1"/>
  <c r="CQ764" i="10"/>
  <c r="CR764" i="10"/>
  <c r="CP765" i="10"/>
  <c r="CS765" i="10" s="1"/>
  <c r="CQ765" i="10"/>
  <c r="CR765" i="10"/>
  <c r="CP766" i="10"/>
  <c r="CS766" i="10" s="1"/>
  <c r="CQ766" i="10"/>
  <c r="CR766" i="10"/>
  <c r="CP767" i="10"/>
  <c r="CQ767" i="10"/>
  <c r="CR767" i="10"/>
  <c r="CS767" i="10"/>
  <c r="CP768" i="10"/>
  <c r="CQ768" i="10"/>
  <c r="CR768" i="10"/>
  <c r="CS768" i="10"/>
  <c r="CP769" i="10"/>
  <c r="CS769" i="10" s="1"/>
  <c r="CQ769" i="10"/>
  <c r="CR769" i="10"/>
  <c r="CP770" i="10"/>
  <c r="CS770" i="10" s="1"/>
  <c r="CQ770" i="10"/>
  <c r="CR770" i="10"/>
  <c r="CP771" i="10"/>
  <c r="CS771" i="10" s="1"/>
  <c r="CQ771" i="10"/>
  <c r="CR771" i="10"/>
  <c r="CP772" i="10"/>
  <c r="CS772" i="10" s="1"/>
  <c r="CQ772" i="10"/>
  <c r="CR772" i="10"/>
  <c r="CP773" i="10"/>
  <c r="CS773" i="10" s="1"/>
  <c r="CQ773" i="10"/>
  <c r="CR773" i="10"/>
  <c r="CP774" i="10"/>
  <c r="CS774" i="10" s="1"/>
  <c r="CQ774" i="10"/>
  <c r="CR774" i="10"/>
  <c r="CP775" i="10"/>
  <c r="CS775" i="10" s="1"/>
  <c r="CQ775" i="10"/>
  <c r="CR775" i="10"/>
  <c r="CP776" i="10"/>
  <c r="CS776" i="10" s="1"/>
  <c r="CQ776" i="10"/>
  <c r="CR776" i="10"/>
  <c r="CP777" i="10"/>
  <c r="CS777" i="10" s="1"/>
  <c r="CQ777" i="10"/>
  <c r="CR777" i="10"/>
  <c r="CP778" i="10"/>
  <c r="CS778" i="10" s="1"/>
  <c r="CQ778" i="10"/>
  <c r="CR778" i="10"/>
  <c r="CP779" i="10"/>
  <c r="CS779" i="10" s="1"/>
  <c r="CQ779" i="10"/>
  <c r="CR779" i="10"/>
  <c r="CP780" i="10"/>
  <c r="CS780" i="10" s="1"/>
  <c r="CQ780" i="10"/>
  <c r="CR780" i="10"/>
  <c r="CP781" i="10"/>
  <c r="CS781" i="10" s="1"/>
  <c r="CQ781" i="10"/>
  <c r="CR781" i="10"/>
  <c r="CP782" i="10"/>
  <c r="CS782" i="10" s="1"/>
  <c r="CQ782" i="10"/>
  <c r="CR782" i="10"/>
  <c r="CP783" i="10"/>
  <c r="CS783" i="10" s="1"/>
  <c r="CQ783" i="10"/>
  <c r="CR783" i="10"/>
  <c r="CP784" i="10"/>
  <c r="CS784" i="10" s="1"/>
  <c r="CQ784" i="10"/>
  <c r="CR784" i="10"/>
  <c r="CP785" i="10"/>
  <c r="CQ785" i="10"/>
  <c r="CR785" i="10"/>
  <c r="CS785" i="10"/>
  <c r="CP786" i="10"/>
  <c r="CS786" i="10" s="1"/>
  <c r="CQ786" i="10"/>
  <c r="CR786" i="10"/>
  <c r="CP787" i="10"/>
  <c r="CS787" i="10" s="1"/>
  <c r="CQ787" i="10"/>
  <c r="CR787" i="10"/>
  <c r="CP788" i="10"/>
  <c r="CQ788" i="10"/>
  <c r="CR788" i="10"/>
  <c r="CS788" i="10"/>
  <c r="CP789" i="10"/>
  <c r="CS789" i="10" s="1"/>
  <c r="CQ789" i="10"/>
  <c r="CR789" i="10"/>
  <c r="CP790" i="10"/>
  <c r="CS790" i="10" s="1"/>
  <c r="CQ790" i="10"/>
  <c r="CR790" i="10"/>
  <c r="CP791" i="10"/>
  <c r="CQ791" i="10"/>
  <c r="CR791" i="10"/>
  <c r="CS791" i="10"/>
  <c r="CP792" i="10"/>
  <c r="CS792" i="10" s="1"/>
  <c r="CQ792" i="10"/>
  <c r="CR792" i="10"/>
  <c r="CP793" i="10"/>
  <c r="CS793" i="10" s="1"/>
  <c r="CQ793" i="10"/>
  <c r="CR793" i="10"/>
  <c r="CP794" i="10"/>
  <c r="CQ794" i="10"/>
  <c r="CR794" i="10"/>
  <c r="CS794" i="10"/>
  <c r="CP795" i="10"/>
  <c r="CQ795" i="10"/>
  <c r="CR795" i="10"/>
  <c r="CS795" i="10"/>
  <c r="CP796" i="10"/>
  <c r="CS796" i="10" s="1"/>
  <c r="CQ796" i="10"/>
  <c r="CR796" i="10"/>
  <c r="CP797" i="10"/>
  <c r="CQ797" i="10"/>
  <c r="CR797" i="10"/>
  <c r="CS797" i="10"/>
  <c r="CP798" i="10"/>
  <c r="CQ798" i="10"/>
  <c r="CR798" i="10"/>
  <c r="CS798" i="10"/>
  <c r="CP799" i="10"/>
  <c r="CS799" i="10" s="1"/>
  <c r="CQ799" i="10"/>
  <c r="CR799" i="10"/>
  <c r="CP800" i="10"/>
  <c r="CQ800" i="10"/>
  <c r="CR800" i="10"/>
  <c r="CS800" i="10"/>
  <c r="CP801" i="10"/>
  <c r="CQ801" i="10"/>
  <c r="CR801" i="10"/>
  <c r="CS801" i="10"/>
  <c r="CP802" i="10"/>
  <c r="CS802" i="10" s="1"/>
  <c r="CQ802" i="10"/>
  <c r="CR802" i="10"/>
  <c r="CP803" i="10"/>
  <c r="CQ803" i="10"/>
  <c r="CR803" i="10"/>
  <c r="CS803" i="10"/>
  <c r="CP804" i="10"/>
  <c r="CQ804" i="10"/>
  <c r="CR804" i="10"/>
  <c r="CS804" i="10"/>
  <c r="CP805" i="10"/>
  <c r="CS805" i="10" s="1"/>
  <c r="CQ805" i="10"/>
  <c r="CR805" i="10"/>
  <c r="CP806" i="10"/>
  <c r="CQ806" i="10"/>
  <c r="CR806" i="10"/>
  <c r="CS806" i="10"/>
  <c r="CP807" i="10"/>
  <c r="CQ807" i="10"/>
  <c r="CR807" i="10"/>
  <c r="CS807" i="10"/>
  <c r="CP808" i="10"/>
  <c r="CS808" i="10" s="1"/>
  <c r="CQ808" i="10"/>
  <c r="CR808" i="10"/>
  <c r="CP809" i="10"/>
  <c r="CQ809" i="10"/>
  <c r="CR809" i="10"/>
  <c r="CS809" i="10"/>
  <c r="CP810" i="10"/>
  <c r="CQ810" i="10"/>
  <c r="CR810" i="10"/>
  <c r="CS810" i="10"/>
  <c r="CP811" i="10"/>
  <c r="CS811" i="10" s="1"/>
  <c r="CQ811" i="10"/>
  <c r="CR811" i="10"/>
  <c r="CP812" i="10"/>
  <c r="CQ812" i="10"/>
  <c r="CR812" i="10"/>
  <c r="CS812" i="10"/>
  <c r="CP813" i="10"/>
  <c r="CQ813" i="10"/>
  <c r="CR813" i="10"/>
  <c r="CS813" i="10"/>
  <c r="CP814" i="10"/>
  <c r="CS814" i="10" s="1"/>
  <c r="CQ814" i="10"/>
  <c r="CR814" i="10"/>
  <c r="CP815" i="10"/>
  <c r="CQ815" i="10"/>
  <c r="CR815" i="10"/>
  <c r="CS815" i="10"/>
  <c r="CP816" i="10"/>
  <c r="CQ816" i="10"/>
  <c r="CR816" i="10"/>
  <c r="CS816" i="10"/>
  <c r="CP817" i="10"/>
  <c r="CS817" i="10" s="1"/>
  <c r="CQ817" i="10"/>
  <c r="CR817" i="10"/>
  <c r="CP818" i="10"/>
  <c r="CQ818" i="10"/>
  <c r="CR818" i="10"/>
  <c r="CS818" i="10"/>
  <c r="CP819" i="10"/>
  <c r="CQ819" i="10"/>
  <c r="CR819" i="10"/>
  <c r="CS819" i="10"/>
  <c r="CP820" i="10"/>
  <c r="CS820" i="10" s="1"/>
  <c r="CQ820" i="10"/>
  <c r="CR820" i="10"/>
  <c r="CP821" i="10"/>
  <c r="CQ821" i="10"/>
  <c r="CR821" i="10"/>
  <c r="CS821" i="10"/>
  <c r="CP822" i="10"/>
  <c r="CQ822" i="10"/>
  <c r="CR822" i="10"/>
  <c r="CS822" i="10"/>
  <c r="CP823" i="10"/>
  <c r="CS823" i="10" s="1"/>
  <c r="CQ823" i="10"/>
  <c r="CR823" i="10"/>
  <c r="CP824" i="10"/>
  <c r="CQ824" i="10"/>
  <c r="CR824" i="10"/>
  <c r="CS824" i="10"/>
  <c r="CP825" i="10"/>
  <c r="CQ825" i="10"/>
  <c r="CR825" i="10"/>
  <c r="CS825" i="10"/>
  <c r="CP826" i="10"/>
  <c r="CS826" i="10" s="1"/>
  <c r="CQ826" i="10"/>
  <c r="CR826" i="10"/>
  <c r="CP827" i="10"/>
  <c r="CQ827" i="10"/>
  <c r="CR827" i="10"/>
  <c r="CS827" i="10"/>
  <c r="CP828" i="10"/>
  <c r="CQ828" i="10"/>
  <c r="CR828" i="10"/>
  <c r="CS828" i="10"/>
  <c r="CP829" i="10"/>
  <c r="CS829" i="10" s="1"/>
  <c r="CQ829" i="10"/>
  <c r="CR829" i="10"/>
  <c r="CP830" i="10"/>
  <c r="CQ830" i="10"/>
  <c r="CR830" i="10"/>
  <c r="CS830" i="10"/>
  <c r="CP831" i="10"/>
  <c r="CQ831" i="10"/>
  <c r="CR831" i="10"/>
  <c r="CS831" i="10"/>
  <c r="CP832" i="10"/>
  <c r="CS832" i="10" s="1"/>
  <c r="CQ832" i="10"/>
  <c r="CR832" i="10"/>
  <c r="CP833" i="10"/>
  <c r="CQ833" i="10"/>
  <c r="CR833" i="10"/>
  <c r="CS833" i="10"/>
  <c r="CP834" i="10"/>
  <c r="CQ834" i="10"/>
  <c r="CR834" i="10"/>
  <c r="CS834" i="10"/>
  <c r="CP835" i="10"/>
  <c r="CS835" i="10" s="1"/>
  <c r="CQ835" i="10"/>
  <c r="CR835" i="10"/>
  <c r="CP836" i="10"/>
  <c r="CQ836" i="10"/>
  <c r="CR836" i="10"/>
  <c r="CS836" i="10"/>
  <c r="CP837" i="10"/>
  <c r="CQ837" i="10"/>
  <c r="CR837" i="10"/>
  <c r="CS837" i="10"/>
  <c r="CP838" i="10"/>
  <c r="CS838" i="10" s="1"/>
  <c r="CQ838" i="10"/>
  <c r="CR838" i="10"/>
  <c r="CP839" i="10"/>
  <c r="CQ839" i="10"/>
  <c r="CR839" i="10"/>
  <c r="CS839" i="10"/>
  <c r="CP840" i="10"/>
  <c r="CQ840" i="10"/>
  <c r="CR840" i="10"/>
  <c r="CS840" i="10"/>
  <c r="CP841" i="10"/>
  <c r="CS841" i="10" s="1"/>
  <c r="CQ841" i="10"/>
  <c r="CR841" i="10"/>
  <c r="CP842" i="10"/>
  <c r="CQ842" i="10"/>
  <c r="CR842" i="10"/>
  <c r="CS842" i="10"/>
  <c r="CP843" i="10"/>
  <c r="CQ843" i="10"/>
  <c r="CR843" i="10"/>
  <c r="CS843" i="10"/>
  <c r="CP844" i="10"/>
  <c r="CS844" i="10" s="1"/>
  <c r="CQ844" i="10"/>
  <c r="CR844" i="10"/>
  <c r="CP845" i="10"/>
  <c r="CQ845" i="10"/>
  <c r="CR845" i="10"/>
  <c r="CS845" i="10"/>
  <c r="CP846" i="10"/>
  <c r="CQ846" i="10"/>
  <c r="CR846" i="10"/>
  <c r="CS846" i="10"/>
  <c r="CP847" i="10"/>
  <c r="CS847" i="10" s="1"/>
  <c r="CQ847" i="10"/>
  <c r="CR847" i="10"/>
  <c r="CP848" i="10"/>
  <c r="CQ848" i="10"/>
  <c r="CR848" i="10"/>
  <c r="CS848" i="10"/>
  <c r="CP849" i="10"/>
  <c r="CQ849" i="10"/>
  <c r="CR849" i="10"/>
  <c r="CS849" i="10"/>
  <c r="CP850" i="10"/>
  <c r="CS850" i="10" s="1"/>
  <c r="CQ850" i="10"/>
  <c r="CR850" i="10"/>
  <c r="CP851" i="10"/>
  <c r="CQ851" i="10"/>
  <c r="CR851" i="10"/>
  <c r="CS851" i="10"/>
  <c r="CP852" i="10"/>
  <c r="CQ852" i="10"/>
  <c r="CR852" i="10"/>
  <c r="CS852" i="10"/>
  <c r="CP853" i="10"/>
  <c r="CS853" i="10" s="1"/>
  <c r="CQ853" i="10"/>
  <c r="CR853" i="10"/>
  <c r="CP854" i="10"/>
  <c r="CQ854" i="10"/>
  <c r="CR854" i="10"/>
  <c r="CS854" i="10"/>
  <c r="CP855" i="10"/>
  <c r="CQ855" i="10"/>
  <c r="CR855" i="10"/>
  <c r="CS855" i="10"/>
  <c r="CP856" i="10"/>
  <c r="CS856" i="10" s="1"/>
  <c r="CQ856" i="10"/>
  <c r="CR856" i="10"/>
  <c r="CP857" i="10"/>
  <c r="CQ857" i="10"/>
  <c r="CR857" i="10"/>
  <c r="CS857" i="10"/>
  <c r="CP858" i="10"/>
  <c r="CQ858" i="10"/>
  <c r="CR858" i="10"/>
  <c r="CS858" i="10"/>
  <c r="CP859" i="10"/>
  <c r="CS859" i="10" s="1"/>
  <c r="CQ859" i="10"/>
  <c r="CR859" i="10"/>
  <c r="CP860" i="10"/>
  <c r="CQ860" i="10"/>
  <c r="CR860" i="10"/>
  <c r="CS860" i="10"/>
  <c r="CP861" i="10"/>
  <c r="CQ861" i="10"/>
  <c r="CR861" i="10"/>
  <c r="CS861" i="10"/>
  <c r="CP862" i="10"/>
  <c r="CS862" i="10" s="1"/>
  <c r="CQ862" i="10"/>
  <c r="CR862" i="10"/>
  <c r="CP863" i="10"/>
  <c r="CQ863" i="10"/>
  <c r="CR863" i="10"/>
  <c r="CS863" i="10"/>
  <c r="CP864" i="10"/>
  <c r="CQ864" i="10"/>
  <c r="CR864" i="10"/>
  <c r="CS864" i="10"/>
  <c r="CP865" i="10"/>
  <c r="CS865" i="10" s="1"/>
  <c r="CQ865" i="10"/>
  <c r="CR865" i="10"/>
  <c r="CP866" i="10"/>
  <c r="CQ866" i="10"/>
  <c r="CR866" i="10"/>
  <c r="CS866" i="10"/>
  <c r="CP867" i="10"/>
  <c r="CQ867" i="10"/>
  <c r="CR867" i="10"/>
  <c r="CS867" i="10"/>
  <c r="CP868" i="10"/>
  <c r="CS868" i="10" s="1"/>
  <c r="CQ868" i="10"/>
  <c r="CR868" i="10"/>
  <c r="CP869" i="10"/>
  <c r="CQ869" i="10"/>
  <c r="CR869" i="10"/>
  <c r="CS869" i="10"/>
  <c r="CP870" i="10"/>
  <c r="CQ870" i="10"/>
  <c r="CR870" i="10"/>
  <c r="CS870" i="10"/>
  <c r="CP871" i="10"/>
  <c r="CS871" i="10" s="1"/>
  <c r="CQ871" i="10"/>
  <c r="CR871" i="10"/>
  <c r="CP872" i="10"/>
  <c r="CQ872" i="10"/>
  <c r="CR872" i="10"/>
  <c r="CS872" i="10"/>
  <c r="CP873" i="10"/>
  <c r="CQ873" i="10"/>
  <c r="CR873" i="10"/>
  <c r="CS873" i="10"/>
  <c r="CP874" i="10"/>
  <c r="CS874" i="10" s="1"/>
  <c r="CQ874" i="10"/>
  <c r="CR874" i="10"/>
  <c r="CP875" i="10"/>
  <c r="CQ875" i="10"/>
  <c r="CR875" i="10"/>
  <c r="CS875" i="10"/>
  <c r="CP876" i="10"/>
  <c r="CQ876" i="10"/>
  <c r="CR876" i="10"/>
  <c r="CS876" i="10"/>
  <c r="CP877" i="10"/>
  <c r="CS877" i="10" s="1"/>
  <c r="CQ877" i="10"/>
  <c r="CR877" i="10"/>
  <c r="CP878" i="10"/>
  <c r="CQ878" i="10"/>
  <c r="CR878" i="10"/>
  <c r="CS878" i="10"/>
  <c r="CP879" i="10"/>
  <c r="CQ879" i="10"/>
  <c r="CR879" i="10"/>
  <c r="CS879" i="10"/>
  <c r="CP880" i="10"/>
  <c r="CS880" i="10" s="1"/>
  <c r="CQ880" i="10"/>
  <c r="CR880" i="10"/>
  <c r="CP881" i="10"/>
  <c r="CQ881" i="10"/>
  <c r="CR881" i="10"/>
  <c r="CS881" i="10"/>
  <c r="CP882" i="10"/>
  <c r="CQ882" i="10"/>
  <c r="CR882" i="10"/>
  <c r="CS882" i="10"/>
  <c r="CP883" i="10"/>
  <c r="CS883" i="10" s="1"/>
  <c r="CQ883" i="10"/>
  <c r="CR883" i="10"/>
  <c r="CP884" i="10"/>
  <c r="CQ884" i="10"/>
  <c r="CR884" i="10"/>
  <c r="CS884" i="10"/>
  <c r="CP885" i="10"/>
  <c r="CQ885" i="10"/>
  <c r="CR885" i="10"/>
  <c r="CS885" i="10"/>
  <c r="CP886" i="10"/>
  <c r="CS886" i="10" s="1"/>
  <c r="CQ886" i="10"/>
  <c r="CR886" i="10"/>
  <c r="CP887" i="10"/>
  <c r="CQ887" i="10"/>
  <c r="CR887" i="10"/>
  <c r="CS887" i="10"/>
  <c r="CP888" i="10"/>
  <c r="CQ888" i="10"/>
  <c r="CR888" i="10"/>
  <c r="CS888" i="10"/>
  <c r="CP889" i="10"/>
  <c r="CS889" i="10" s="1"/>
  <c r="CQ889" i="10"/>
  <c r="CR889" i="10"/>
  <c r="CP890" i="10"/>
  <c r="CQ890" i="10"/>
  <c r="CR890" i="10"/>
  <c r="CS890" i="10"/>
  <c r="CP891" i="10"/>
  <c r="CQ891" i="10"/>
  <c r="CR891" i="10"/>
  <c r="CS891" i="10"/>
  <c r="CP892" i="10"/>
  <c r="CS892" i="10" s="1"/>
  <c r="CQ892" i="10"/>
  <c r="CR892" i="10"/>
  <c r="CP893" i="10"/>
  <c r="CQ893" i="10"/>
  <c r="CR893" i="10"/>
  <c r="CS893" i="10"/>
  <c r="CP894" i="10"/>
  <c r="CQ894" i="10"/>
  <c r="CR894" i="10"/>
  <c r="CS894" i="10"/>
  <c r="CP895" i="10"/>
  <c r="CS895" i="10" s="1"/>
  <c r="CQ895" i="10"/>
  <c r="CR895" i="10"/>
  <c r="CP896" i="10"/>
  <c r="CQ896" i="10"/>
  <c r="CR896" i="10"/>
  <c r="CS896" i="10"/>
  <c r="CP897" i="10"/>
  <c r="CQ897" i="10"/>
  <c r="CR897" i="10"/>
  <c r="CS897" i="10"/>
  <c r="CP898" i="10"/>
  <c r="CS898" i="10" s="1"/>
  <c r="CQ898" i="10"/>
  <c r="CR898" i="10"/>
  <c r="CP899" i="10"/>
  <c r="CQ899" i="10"/>
  <c r="CR899" i="10"/>
  <c r="CS899" i="10"/>
  <c r="CP900" i="10"/>
  <c r="CQ900" i="10"/>
  <c r="CR900" i="10"/>
  <c r="CS900" i="10"/>
  <c r="CP901" i="10"/>
  <c r="CS901" i="10" s="1"/>
  <c r="CQ901" i="10"/>
  <c r="CR901" i="10"/>
  <c r="CP902" i="10"/>
  <c r="CQ902" i="10"/>
  <c r="CR902" i="10"/>
  <c r="CS902" i="10"/>
  <c r="CP903" i="10"/>
  <c r="CQ903" i="10"/>
  <c r="CR903" i="10"/>
  <c r="CS903" i="10"/>
  <c r="CP904" i="10"/>
  <c r="CS904" i="10" s="1"/>
  <c r="CQ904" i="10"/>
  <c r="CR904" i="10"/>
  <c r="CP905" i="10"/>
  <c r="CQ905" i="10"/>
  <c r="CR905" i="10"/>
  <c r="CS905" i="10"/>
  <c r="CP906" i="10"/>
  <c r="CQ906" i="10"/>
  <c r="CR906" i="10"/>
  <c r="CS906" i="10"/>
  <c r="CP907" i="10"/>
  <c r="CS907" i="10" s="1"/>
  <c r="CQ907" i="10"/>
  <c r="CR907" i="10"/>
  <c r="CP908" i="10"/>
  <c r="CQ908" i="10"/>
  <c r="CR908" i="10"/>
  <c r="CS908" i="10"/>
  <c r="CP909" i="10"/>
  <c r="CQ909" i="10"/>
  <c r="CR909" i="10"/>
  <c r="CS909" i="10"/>
  <c r="CP910" i="10"/>
  <c r="CS910" i="10" s="1"/>
  <c r="CQ910" i="10"/>
  <c r="CR910" i="10"/>
  <c r="CP911" i="10"/>
  <c r="CQ911" i="10"/>
  <c r="CR911" i="10"/>
  <c r="CS911" i="10"/>
  <c r="CP912" i="10"/>
  <c r="CQ912" i="10"/>
  <c r="CR912" i="10"/>
  <c r="CS912" i="10"/>
  <c r="CP913" i="10"/>
  <c r="CS913" i="10" s="1"/>
  <c r="CQ913" i="10"/>
  <c r="CR913" i="10"/>
  <c r="CP914" i="10"/>
  <c r="CQ914" i="10"/>
  <c r="CR914" i="10"/>
  <c r="CS914" i="10"/>
  <c r="CP915" i="10"/>
  <c r="CQ915" i="10"/>
  <c r="CR915" i="10"/>
  <c r="CS915" i="10"/>
  <c r="CP916" i="10"/>
  <c r="CS916" i="10" s="1"/>
  <c r="CQ916" i="10"/>
  <c r="CR916" i="10"/>
  <c r="CP917" i="10"/>
  <c r="CQ917" i="10"/>
  <c r="CR917" i="10"/>
  <c r="CS917" i="10"/>
  <c r="CP918" i="10"/>
  <c r="CQ918" i="10"/>
  <c r="CR918" i="10"/>
  <c r="CS918" i="10"/>
  <c r="CP919" i="10"/>
  <c r="CS919" i="10" s="1"/>
  <c r="CQ919" i="10"/>
  <c r="CR919" i="10"/>
  <c r="CP920" i="10"/>
  <c r="CQ920" i="10"/>
  <c r="CR920" i="10"/>
  <c r="CS920" i="10"/>
  <c r="CP921" i="10"/>
  <c r="CQ921" i="10"/>
  <c r="CR921" i="10"/>
  <c r="CS921" i="10"/>
  <c r="CP922" i="10"/>
  <c r="CS922" i="10" s="1"/>
  <c r="CQ922" i="10"/>
  <c r="CR922" i="10"/>
  <c r="CP923" i="10"/>
  <c r="CQ923" i="10"/>
  <c r="CR923" i="10"/>
  <c r="CS923" i="10"/>
  <c r="CP924" i="10"/>
  <c r="CQ924" i="10"/>
  <c r="CR924" i="10"/>
  <c r="CS924" i="10"/>
  <c r="CP925" i="10"/>
  <c r="CS925" i="10" s="1"/>
  <c r="CQ925" i="10"/>
  <c r="CR925" i="10"/>
  <c r="CP926" i="10"/>
  <c r="CQ926" i="10"/>
  <c r="CR926" i="10"/>
  <c r="CS926" i="10"/>
  <c r="CP927" i="10"/>
  <c r="CQ927" i="10"/>
  <c r="CR927" i="10"/>
  <c r="CS927" i="10"/>
  <c r="CP928" i="10"/>
  <c r="CS928" i="10" s="1"/>
  <c r="CQ928" i="10"/>
  <c r="CR928" i="10"/>
  <c r="CP929" i="10"/>
  <c r="CQ929" i="10"/>
  <c r="CR929" i="10"/>
  <c r="CS929" i="10"/>
  <c r="CP930" i="10"/>
  <c r="CQ930" i="10"/>
  <c r="CR930" i="10"/>
  <c r="CS930" i="10"/>
  <c r="CP931" i="10"/>
  <c r="CS931" i="10" s="1"/>
  <c r="CQ931" i="10"/>
  <c r="CR931" i="10"/>
  <c r="CP932" i="10"/>
  <c r="CQ932" i="10"/>
  <c r="CR932" i="10"/>
  <c r="CS932" i="10"/>
  <c r="CP933" i="10"/>
  <c r="CQ933" i="10"/>
  <c r="CR933" i="10"/>
  <c r="CS933" i="10"/>
  <c r="CP934" i="10"/>
  <c r="CS934" i="10" s="1"/>
  <c r="CQ934" i="10"/>
  <c r="CR934" i="10"/>
  <c r="CP935" i="10"/>
  <c r="CQ935" i="10"/>
  <c r="CR935" i="10"/>
  <c r="CS935" i="10"/>
  <c r="CP936" i="10"/>
  <c r="CQ936" i="10"/>
  <c r="CR936" i="10"/>
  <c r="CS936" i="10"/>
  <c r="CP937" i="10"/>
  <c r="CS937" i="10" s="1"/>
  <c r="CQ937" i="10"/>
  <c r="CR937" i="10"/>
  <c r="CP938" i="10"/>
  <c r="CQ938" i="10"/>
  <c r="CR938" i="10"/>
  <c r="CS938" i="10"/>
  <c r="CP939" i="10"/>
  <c r="CQ939" i="10"/>
  <c r="CR939" i="10"/>
  <c r="CS939" i="10"/>
  <c r="CP940" i="10"/>
  <c r="CS940" i="10" s="1"/>
  <c r="CQ940" i="10"/>
  <c r="CR940" i="10"/>
  <c r="CP941" i="10"/>
  <c r="CQ941" i="10"/>
  <c r="CR941" i="10"/>
  <c r="CS941" i="10"/>
  <c r="CP942" i="10"/>
  <c r="CQ942" i="10"/>
  <c r="CR942" i="10"/>
  <c r="CS942" i="10"/>
  <c r="CP943" i="10"/>
  <c r="CS943" i="10" s="1"/>
  <c r="CQ943" i="10"/>
  <c r="CR943" i="10"/>
  <c r="CP944" i="10"/>
  <c r="CQ944" i="10"/>
  <c r="CR944" i="10"/>
  <c r="CS944" i="10"/>
  <c r="CP945" i="10"/>
  <c r="CQ945" i="10"/>
  <c r="CR945" i="10"/>
  <c r="CS945" i="10"/>
  <c r="CP946" i="10"/>
  <c r="CS946" i="10" s="1"/>
  <c r="CQ946" i="10"/>
  <c r="CR946" i="10"/>
  <c r="CP947" i="10"/>
  <c r="CQ947" i="10"/>
  <c r="CR947" i="10"/>
  <c r="CS947" i="10"/>
  <c r="CP948" i="10"/>
  <c r="CQ948" i="10"/>
  <c r="CR948" i="10"/>
  <c r="CS948" i="10"/>
  <c r="CP949" i="10"/>
  <c r="CS949" i="10" s="1"/>
  <c r="CQ949" i="10"/>
  <c r="CR949" i="10"/>
  <c r="CP950" i="10"/>
  <c r="CQ950" i="10"/>
  <c r="CR950" i="10"/>
  <c r="CS950" i="10"/>
  <c r="CP951" i="10"/>
  <c r="CQ951" i="10"/>
  <c r="CR951" i="10"/>
  <c r="CS951" i="10"/>
  <c r="CP952" i="10"/>
  <c r="CS952" i="10" s="1"/>
  <c r="CQ952" i="10"/>
  <c r="CR952" i="10"/>
  <c r="CP953" i="10"/>
  <c r="CQ953" i="10"/>
  <c r="CR953" i="10"/>
  <c r="CS953" i="10"/>
  <c r="CP954" i="10"/>
  <c r="CQ954" i="10"/>
  <c r="CR954" i="10"/>
  <c r="CS954" i="10"/>
  <c r="CP955" i="10"/>
  <c r="CS955" i="10" s="1"/>
  <c r="CQ955" i="10"/>
  <c r="CR955" i="10"/>
  <c r="CP956" i="10"/>
  <c r="CQ956" i="10"/>
  <c r="CR956" i="10"/>
  <c r="CS956" i="10"/>
  <c r="CP957" i="10"/>
  <c r="CQ957" i="10"/>
  <c r="CR957" i="10"/>
  <c r="CS957" i="10"/>
  <c r="CP958" i="10"/>
  <c r="CS958" i="10" s="1"/>
  <c r="CQ958" i="10"/>
  <c r="CR958" i="10"/>
  <c r="CP959" i="10"/>
  <c r="CQ959" i="10"/>
  <c r="CR959" i="10"/>
  <c r="CS959" i="10"/>
  <c r="CP960" i="10"/>
  <c r="CQ960" i="10"/>
  <c r="CR960" i="10"/>
  <c r="CS960" i="10"/>
  <c r="CP961" i="10"/>
  <c r="CS961" i="10" s="1"/>
  <c r="CQ961" i="10"/>
  <c r="CR961" i="10"/>
  <c r="CP962" i="10"/>
  <c r="CQ962" i="10"/>
  <c r="CR962" i="10"/>
  <c r="CS962" i="10"/>
  <c r="CP963" i="10"/>
  <c r="CQ963" i="10"/>
  <c r="CR963" i="10"/>
  <c r="CS963" i="10"/>
  <c r="CP964" i="10"/>
  <c r="CS964" i="10" s="1"/>
  <c r="CQ964" i="10"/>
  <c r="CR964" i="10"/>
  <c r="CP965" i="10"/>
  <c r="CQ965" i="10"/>
  <c r="CR965" i="10"/>
  <c r="CS965" i="10"/>
  <c r="CP966" i="10"/>
  <c r="CQ966" i="10"/>
  <c r="CR966" i="10"/>
  <c r="CS966" i="10"/>
  <c r="CP967" i="10"/>
  <c r="CS967" i="10" s="1"/>
  <c r="CQ967" i="10"/>
  <c r="CR967" i="10"/>
  <c r="CP968" i="10"/>
  <c r="CQ968" i="10"/>
  <c r="CR968" i="10"/>
  <c r="CS968" i="10"/>
  <c r="CP969" i="10"/>
  <c r="CQ969" i="10"/>
  <c r="CR969" i="10"/>
  <c r="CS969" i="10"/>
  <c r="CP970" i="10"/>
  <c r="CS970" i="10" s="1"/>
  <c r="CQ970" i="10"/>
  <c r="CR970" i="10"/>
  <c r="CP971" i="10"/>
  <c r="CQ971" i="10"/>
  <c r="CR971" i="10"/>
  <c r="CS971" i="10"/>
  <c r="CP972" i="10"/>
  <c r="CQ972" i="10"/>
  <c r="CR972" i="10"/>
  <c r="CS972" i="10"/>
  <c r="CP973" i="10"/>
  <c r="CS973" i="10" s="1"/>
  <c r="CQ973" i="10"/>
  <c r="CR973" i="10"/>
  <c r="CP974" i="10"/>
  <c r="CQ974" i="10"/>
  <c r="CR974" i="10"/>
  <c r="CS974" i="10"/>
  <c r="CP975" i="10"/>
  <c r="CQ975" i="10"/>
  <c r="CR975" i="10"/>
  <c r="CS975" i="10"/>
  <c r="CP976" i="10"/>
  <c r="CS976" i="10" s="1"/>
  <c r="CQ976" i="10"/>
  <c r="CR976" i="10"/>
  <c r="CP977" i="10"/>
  <c r="CQ977" i="10"/>
  <c r="CR977" i="10"/>
  <c r="CS977" i="10"/>
  <c r="CP978" i="10"/>
  <c r="CQ978" i="10"/>
  <c r="CR978" i="10"/>
  <c r="CS978" i="10"/>
  <c r="CP979" i="10"/>
  <c r="CS979" i="10" s="1"/>
  <c r="CQ979" i="10"/>
  <c r="CR979" i="10"/>
  <c r="CP980" i="10"/>
  <c r="CQ980" i="10"/>
  <c r="CR980" i="10"/>
  <c r="CS980" i="10"/>
  <c r="CP981" i="10"/>
  <c r="CQ981" i="10"/>
  <c r="CR981" i="10"/>
  <c r="CS981" i="10"/>
  <c r="CP982" i="10"/>
  <c r="CS982" i="10" s="1"/>
  <c r="CQ982" i="10"/>
  <c r="CR982" i="10"/>
  <c r="CP983" i="10"/>
  <c r="CQ983" i="10"/>
  <c r="CR983" i="10"/>
  <c r="CS983" i="10"/>
  <c r="CP984" i="10"/>
  <c r="CQ984" i="10"/>
  <c r="CR984" i="10"/>
  <c r="CS984" i="10"/>
  <c r="CP985" i="10"/>
  <c r="CS985" i="10" s="1"/>
  <c r="CQ985" i="10"/>
  <c r="CR985" i="10"/>
  <c r="CP986" i="10"/>
  <c r="CQ986" i="10"/>
  <c r="CR986" i="10"/>
  <c r="CS986" i="10"/>
  <c r="CP987" i="10"/>
  <c r="CQ987" i="10"/>
  <c r="CR987" i="10"/>
  <c r="CS987" i="10"/>
  <c r="CP988" i="10"/>
  <c r="CS988" i="10" s="1"/>
  <c r="CQ988" i="10"/>
  <c r="CR988" i="10"/>
  <c r="CP989" i="10"/>
  <c r="CQ989" i="10"/>
  <c r="CR989" i="10"/>
  <c r="CS989" i="10"/>
  <c r="CP990" i="10"/>
  <c r="CQ990" i="10"/>
  <c r="CR990" i="10"/>
  <c r="CS990" i="10"/>
  <c r="CP991" i="10"/>
  <c r="CS991" i="10" s="1"/>
  <c r="CQ991" i="10"/>
  <c r="CR991" i="10"/>
  <c r="CP992" i="10"/>
  <c r="CQ992" i="10"/>
  <c r="CR992" i="10"/>
  <c r="CS992" i="10"/>
  <c r="CP993" i="10"/>
  <c r="CQ993" i="10"/>
  <c r="CR993" i="10"/>
  <c r="CS993" i="10"/>
  <c r="CP994" i="10"/>
  <c r="CS994" i="10" s="1"/>
  <c r="CQ994" i="10"/>
  <c r="CR994" i="10"/>
  <c r="CP995" i="10"/>
  <c r="CQ995" i="10"/>
  <c r="CR995" i="10"/>
  <c r="CS995" i="10"/>
  <c r="CP996" i="10"/>
  <c r="CQ996" i="10"/>
  <c r="CR996" i="10"/>
  <c r="CS996" i="10"/>
  <c r="CP997" i="10"/>
  <c r="CS997" i="10" s="1"/>
  <c r="CQ997" i="10"/>
  <c r="CR997" i="10"/>
  <c r="CP998" i="10"/>
  <c r="CQ998" i="10"/>
  <c r="CR998" i="10"/>
  <c r="CS998" i="10"/>
  <c r="CP999" i="10"/>
  <c r="CQ999" i="10"/>
  <c r="CR999" i="10"/>
  <c r="CS999" i="10"/>
  <c r="CP1000" i="10"/>
  <c r="CS1000" i="10" s="1"/>
  <c r="CQ1000" i="10"/>
  <c r="CR1000" i="10"/>
  <c r="CP1001" i="10"/>
  <c r="CQ1001" i="10"/>
  <c r="CR1001" i="10"/>
  <c r="CS1001" i="10"/>
  <c r="CP1002" i="10"/>
  <c r="CQ1002" i="10"/>
  <c r="CR1002" i="10"/>
  <c r="CS1002" i="10"/>
  <c r="CP1003" i="10"/>
  <c r="CS1003" i="10" s="1"/>
  <c r="CQ1003" i="10"/>
  <c r="CR1003" i="10"/>
  <c r="CP1004" i="10"/>
  <c r="CQ1004" i="10"/>
  <c r="CR1004" i="10"/>
  <c r="CS1004" i="10"/>
  <c r="CP1005" i="10"/>
  <c r="CQ1005" i="10"/>
  <c r="CR1005" i="10"/>
  <c r="CS1005" i="10"/>
  <c r="CP1006" i="10"/>
  <c r="CS1006" i="10" s="1"/>
  <c r="CQ1006" i="10"/>
  <c r="CR1006" i="10"/>
  <c r="CP1007" i="10"/>
  <c r="CQ1007" i="10"/>
  <c r="CR1007" i="10"/>
  <c r="CS1007" i="10"/>
  <c r="CP1008" i="10"/>
  <c r="CQ1008" i="10"/>
  <c r="CR1008" i="10"/>
  <c r="CS1008" i="10"/>
  <c r="CP1009" i="10"/>
  <c r="CS1009" i="10" s="1"/>
  <c r="CQ1009" i="10"/>
  <c r="CR1009" i="10"/>
  <c r="CP1010" i="10"/>
  <c r="CQ1010" i="10"/>
  <c r="CR1010" i="10"/>
  <c r="CS1010" i="10"/>
  <c r="CP1011" i="10"/>
  <c r="CQ1011" i="10"/>
  <c r="CR1011" i="10"/>
  <c r="CS1011" i="10"/>
  <c r="CP1012" i="10"/>
  <c r="CS1012" i="10" s="1"/>
  <c r="CQ1012" i="10"/>
  <c r="CR1012" i="10"/>
  <c r="CP1013" i="10"/>
  <c r="CQ1013" i="10"/>
  <c r="CR1013" i="10"/>
  <c r="CS1013" i="10"/>
  <c r="CP1014" i="10"/>
  <c r="CQ1014" i="10"/>
  <c r="CR1014" i="10"/>
  <c r="CS1014" i="10"/>
  <c r="E50" i="4"/>
  <c r="G50" i="4"/>
  <c r="Z12" i="3"/>
  <c r="AA12" i="3" s="1"/>
  <c r="AB12" i="3" s="1"/>
  <c r="AC12" i="3" s="1"/>
  <c r="AD12" i="3" s="1"/>
  <c r="U12" i="3"/>
  <c r="V12" i="3" s="1"/>
  <c r="W12" i="3" s="1"/>
  <c r="X12" i="3" s="1"/>
  <c r="Y12" i="3" s="1"/>
  <c r="R12" i="3"/>
  <c r="P12" i="3"/>
  <c r="N12" i="3"/>
  <c r="O12" i="3" s="1"/>
  <c r="L12" i="3"/>
  <c r="M12" i="3"/>
  <c r="K12" i="3"/>
  <c r="J12" i="3"/>
  <c r="I12" i="3"/>
  <c r="H12" i="3"/>
  <c r="E12" i="3" s="1"/>
  <c r="F12" i="3" s="1"/>
  <c r="G12" i="3" s="1"/>
  <c r="D12" i="3"/>
  <c r="N6" i="3"/>
  <c r="Z13" i="3" s="1"/>
  <c r="AA13" i="3" s="1"/>
  <c r="AB13" i="3" s="1"/>
  <c r="AC13" i="3" s="1"/>
  <c r="AD13" i="3" s="1"/>
  <c r="M6" i="3"/>
  <c r="U13" i="3" s="1"/>
  <c r="L6" i="3"/>
  <c r="R13" i="3" s="1"/>
  <c r="R14" i="3" s="1"/>
  <c r="K6" i="3"/>
  <c r="P13" i="3" s="1"/>
  <c r="J6" i="3"/>
  <c r="N13" i="3" s="1"/>
  <c r="N14" i="3" s="1"/>
  <c r="I6" i="3"/>
  <c r="L13" i="3" s="1"/>
  <c r="H6" i="3"/>
  <c r="K13" i="3" s="1"/>
  <c r="K14" i="3" s="1"/>
  <c r="G6" i="3"/>
  <c r="J13" i="3" s="1"/>
  <c r="F6" i="3"/>
  <c r="I13" i="3" s="1"/>
  <c r="I14" i="3" s="1"/>
  <c r="E6" i="3"/>
  <c r="H13" i="3" s="1"/>
  <c r="D6" i="3"/>
  <c r="D13" i="3" s="1"/>
  <c r="R15" i="7"/>
  <c r="S15" i="7"/>
  <c r="T15" i="7"/>
  <c r="R16" i="7"/>
  <c r="S16" i="7"/>
  <c r="T16" i="7"/>
  <c r="R17" i="7"/>
  <c r="S17" i="7"/>
  <c r="T17" i="7"/>
  <c r="R18" i="7"/>
  <c r="S18" i="7"/>
  <c r="F23" i="9" s="1"/>
  <c r="T18" i="7"/>
  <c r="R19" i="7"/>
  <c r="S19" i="7"/>
  <c r="T19" i="7"/>
  <c r="R24" i="7"/>
  <c r="T24" i="7" s="1"/>
  <c r="S24" i="7"/>
  <c r="U24" i="7" s="1"/>
  <c r="V24" i="7"/>
  <c r="W24" i="7"/>
  <c r="R25" i="7"/>
  <c r="T25" i="7" s="1"/>
  <c r="S25" i="7"/>
  <c r="U25" i="7" s="1"/>
  <c r="V25" i="7"/>
  <c r="W25" i="7"/>
  <c r="R26" i="7"/>
  <c r="T26" i="7" s="1"/>
  <c r="S26" i="7"/>
  <c r="U26" i="7" s="1"/>
  <c r="V26" i="7"/>
  <c r="W26" i="7"/>
  <c r="R27" i="7"/>
  <c r="T27" i="7" s="1"/>
  <c r="S27" i="7"/>
  <c r="U27" i="7" s="1"/>
  <c r="V27" i="7"/>
  <c r="W27" i="7"/>
  <c r="R28" i="7"/>
  <c r="T28" i="7" s="1"/>
  <c r="S28" i="7"/>
  <c r="U28" i="7" s="1"/>
  <c r="V28" i="7"/>
  <c r="W28" i="7"/>
  <c r="R60" i="7"/>
  <c r="T60" i="7" s="1"/>
  <c r="S60" i="7"/>
  <c r="U60" i="7" s="1"/>
  <c r="V60" i="7"/>
  <c r="W60" i="7"/>
  <c r="R61" i="7"/>
  <c r="T61" i="7" s="1"/>
  <c r="S61" i="7"/>
  <c r="U61" i="7" s="1"/>
  <c r="V61" i="7"/>
  <c r="W61" i="7"/>
  <c r="R62" i="7"/>
  <c r="T62" i="7" s="1"/>
  <c r="S62" i="7"/>
  <c r="U62" i="7" s="1"/>
  <c r="V62" i="7"/>
  <c r="W62" i="7"/>
  <c r="R63" i="7"/>
  <c r="T63" i="7" s="1"/>
  <c r="S63" i="7"/>
  <c r="U63" i="7" s="1"/>
  <c r="V63" i="7"/>
  <c r="W63" i="7"/>
  <c r="R64" i="7"/>
  <c r="T64" i="7" s="1"/>
  <c r="S64" i="7"/>
  <c r="U64" i="7" s="1"/>
  <c r="V64" i="7"/>
  <c r="W64" i="7"/>
  <c r="U104" i="7"/>
  <c r="U105" i="7"/>
  <c r="U106" i="7"/>
  <c r="U107" i="7"/>
  <c r="U108" i="7"/>
  <c r="AE14" i="3"/>
  <c r="AF14" i="3"/>
  <c r="AG14" i="3" s="1"/>
  <c r="AH14" i="3" s="1"/>
  <c r="AI14" i="3" s="1"/>
  <c r="C139" i="15"/>
  <c r="I41" i="14"/>
  <c r="H41" i="14"/>
  <c r="H40" i="14"/>
  <c r="I40" i="14"/>
  <c r="H39" i="14"/>
  <c r="I39" i="14"/>
  <c r="H38" i="14"/>
  <c r="I38" i="14"/>
  <c r="H37" i="14"/>
  <c r="I37" i="14"/>
  <c r="H36" i="14"/>
  <c r="I36" i="14"/>
  <c r="I35" i="14"/>
  <c r="H35" i="14"/>
  <c r="H34" i="14"/>
  <c r="I34" i="14"/>
  <c r="H33" i="14"/>
  <c r="I33" i="14"/>
  <c r="H32" i="14"/>
  <c r="I32" i="14"/>
  <c r="H31" i="14"/>
  <c r="I31" i="14"/>
  <c r="H30" i="14"/>
  <c r="I30" i="14"/>
  <c r="I29" i="14"/>
  <c r="H29" i="14"/>
  <c r="H28" i="14"/>
  <c r="I28" i="14"/>
  <c r="H27" i="14"/>
  <c r="I27" i="14"/>
  <c r="H26" i="14"/>
  <c r="I26" i="14"/>
  <c r="H25" i="14"/>
  <c r="I25" i="14"/>
  <c r="H24" i="14"/>
  <c r="I24" i="14"/>
  <c r="I23" i="14"/>
  <c r="H23" i="14"/>
  <c r="H22" i="14"/>
  <c r="I22" i="14"/>
  <c r="H21" i="14"/>
  <c r="I21" i="14"/>
  <c r="H20" i="14"/>
  <c r="I20" i="14"/>
  <c r="H19" i="14"/>
  <c r="I19" i="14"/>
  <c r="H18" i="14"/>
  <c r="I18" i="14"/>
  <c r="I17" i="14"/>
  <c r="H17" i="14"/>
  <c r="H16" i="14"/>
  <c r="I16" i="14"/>
  <c r="H15" i="14"/>
  <c r="I15" i="14"/>
  <c r="H14" i="14"/>
  <c r="I14" i="14"/>
  <c r="H13" i="14"/>
  <c r="I13" i="14"/>
  <c r="H12" i="14"/>
  <c r="I12" i="14"/>
  <c r="I11" i="14"/>
  <c r="H11" i="14"/>
  <c r="H10" i="14"/>
  <c r="I10" i="14"/>
  <c r="H9" i="14"/>
  <c r="I9" i="14"/>
  <c r="H8" i="14"/>
  <c r="I8" i="14"/>
  <c r="H7" i="14"/>
  <c r="I7" i="14"/>
  <c r="H6" i="14"/>
  <c r="I6" i="14"/>
  <c r="I5" i="14"/>
  <c r="H5" i="14"/>
  <c r="H4" i="14"/>
  <c r="I4" i="14"/>
  <c r="H3" i="14"/>
  <c r="I3" i="14"/>
  <c r="H2" i="14"/>
  <c r="I2" i="14"/>
  <c r="H215" i="10"/>
  <c r="AO215" i="10"/>
  <c r="AP215" i="10"/>
  <c r="AS215" i="10"/>
  <c r="AV215" i="10"/>
  <c r="EM215" i="10" s="1"/>
  <c r="DZ215" i="10"/>
  <c r="EB215" i="10"/>
  <c r="EG215" i="10"/>
  <c r="EL215" i="10"/>
  <c r="H216" i="10"/>
  <c r="AO216" i="10"/>
  <c r="AP216" i="10"/>
  <c r="BN216" i="10" s="1"/>
  <c r="BW216" i="10" s="1"/>
  <c r="AS216" i="10"/>
  <c r="AV216" i="10"/>
  <c r="EM216" i="10" s="1"/>
  <c r="DZ216" i="10"/>
  <c r="EB216" i="10"/>
  <c r="EG216" i="10"/>
  <c r="EL216" i="10"/>
  <c r="H217" i="10"/>
  <c r="EC217" i="10"/>
  <c r="AO217" i="10"/>
  <c r="AP217" i="10"/>
  <c r="AS217" i="10"/>
  <c r="AV217" i="10"/>
  <c r="EM217" i="10" s="1"/>
  <c r="DZ217" i="10"/>
  <c r="EB217" i="10"/>
  <c r="EG217" i="10"/>
  <c r="EL217" i="10"/>
  <c r="H218" i="10"/>
  <c r="AO218" i="10"/>
  <c r="BI218" i="10" s="1"/>
  <c r="BK218" i="10" s="1"/>
  <c r="AP218" i="10"/>
  <c r="AS218" i="10"/>
  <c r="AV218" i="10"/>
  <c r="EM218" i="10" s="1"/>
  <c r="DZ218" i="10"/>
  <c r="EB218" i="10"/>
  <c r="EG218" i="10"/>
  <c r="EL218" i="10"/>
  <c r="H219" i="10"/>
  <c r="AO219" i="10"/>
  <c r="AP219" i="10"/>
  <c r="BJ219" i="10" s="1"/>
  <c r="BL219" i="10" s="1"/>
  <c r="AS219" i="10"/>
  <c r="AU219" i="10"/>
  <c r="AY219" i="10" s="1"/>
  <c r="CD219" i="10" s="1"/>
  <c r="CH219" i="10" s="1"/>
  <c r="AV219" i="10"/>
  <c r="EM219" i="10" s="1"/>
  <c r="DZ219" i="10"/>
  <c r="EB219" i="10"/>
  <c r="EG219" i="10"/>
  <c r="EL219" i="10"/>
  <c r="H220" i="10"/>
  <c r="AO220" i="10"/>
  <c r="AP220" i="10"/>
  <c r="AS220" i="10"/>
  <c r="AV220" i="10"/>
  <c r="EM220" i="10" s="1"/>
  <c r="DZ220" i="10"/>
  <c r="EB220" i="10"/>
  <c r="EG220" i="10"/>
  <c r="EL220" i="10"/>
  <c r="H221" i="10"/>
  <c r="EC221" i="10"/>
  <c r="AO221" i="10"/>
  <c r="AP221" i="10"/>
  <c r="AS221" i="10"/>
  <c r="AV221" i="10"/>
  <c r="EM221" i="10" s="1"/>
  <c r="DZ221" i="10"/>
  <c r="EB221" i="10"/>
  <c r="EG221" i="10"/>
  <c r="EL221" i="10"/>
  <c r="H222" i="10"/>
  <c r="AO222" i="10"/>
  <c r="AP222" i="10"/>
  <c r="AS222" i="10"/>
  <c r="AV222" i="10"/>
  <c r="EM222" i="10" s="1"/>
  <c r="DZ222" i="10"/>
  <c r="EB222" i="10"/>
  <c r="EG222" i="10"/>
  <c r="EL222" i="10"/>
  <c r="H223" i="10"/>
  <c r="AO223" i="10"/>
  <c r="BI223" i="10" s="1"/>
  <c r="BK223" i="10" s="1"/>
  <c r="AP223" i="10"/>
  <c r="AS223" i="10"/>
  <c r="AV223" i="10"/>
  <c r="EM223" i="10" s="1"/>
  <c r="DZ223" i="10"/>
  <c r="EB223" i="10"/>
  <c r="EG223" i="10"/>
  <c r="EL223" i="10"/>
  <c r="H224" i="10"/>
  <c r="AO224" i="10"/>
  <c r="AP224" i="10"/>
  <c r="BJ224" i="10" s="1"/>
  <c r="BL224" i="10" s="1"/>
  <c r="AS224" i="10"/>
  <c r="AV224" i="10"/>
  <c r="EM224" i="10" s="1"/>
  <c r="DZ224" i="10"/>
  <c r="EB224" i="10"/>
  <c r="EG224" i="10"/>
  <c r="EL224" i="10"/>
  <c r="H225" i="10"/>
  <c r="BA225" i="10"/>
  <c r="BC225" i="10" s="1"/>
  <c r="AO225" i="10"/>
  <c r="BM225" i="10" s="1"/>
  <c r="BV225" i="10" s="1"/>
  <c r="AP225" i="10"/>
  <c r="BJ225" i="10" s="1"/>
  <c r="BL225" i="10" s="1"/>
  <c r="AS225" i="10"/>
  <c r="AV225" i="10"/>
  <c r="EM225" i="10" s="1"/>
  <c r="DZ225" i="10"/>
  <c r="EB225" i="10"/>
  <c r="EG225" i="10"/>
  <c r="EL225" i="10"/>
  <c r="H226" i="10"/>
  <c r="AO226" i="10"/>
  <c r="BI226" i="10" s="1"/>
  <c r="BK226" i="10" s="1"/>
  <c r="AP226" i="10"/>
  <c r="BN226" i="10" s="1"/>
  <c r="BW226" i="10" s="1"/>
  <c r="AS226" i="10"/>
  <c r="AV226" i="10"/>
  <c r="EM226" i="10" s="1"/>
  <c r="DZ226" i="10"/>
  <c r="EB226" i="10"/>
  <c r="EG226" i="10"/>
  <c r="EL226" i="10"/>
  <c r="H227" i="10"/>
  <c r="AO227" i="10"/>
  <c r="BI227" i="10" s="1"/>
  <c r="BK227" i="10" s="1"/>
  <c r="AP227" i="10"/>
  <c r="AS227" i="10"/>
  <c r="AV227" i="10"/>
  <c r="EM227" i="10" s="1"/>
  <c r="DZ227" i="10"/>
  <c r="EB227" i="10"/>
  <c r="EG227" i="10"/>
  <c r="EL227" i="10"/>
  <c r="H228" i="10"/>
  <c r="AO228" i="10"/>
  <c r="BM228" i="10" s="1"/>
  <c r="BV228" i="10" s="1"/>
  <c r="AP228" i="10"/>
  <c r="BN228" i="10" s="1"/>
  <c r="BW228" i="10" s="1"/>
  <c r="AS228" i="10"/>
  <c r="AV228" i="10"/>
  <c r="EM228" i="10" s="1"/>
  <c r="DZ228" i="10"/>
  <c r="EB228" i="10"/>
  <c r="EG228" i="10"/>
  <c r="EL228" i="10"/>
  <c r="H229" i="10"/>
  <c r="AO229" i="10"/>
  <c r="AP229" i="10"/>
  <c r="BJ229" i="10" s="1"/>
  <c r="BL229" i="10" s="1"/>
  <c r="AS229" i="10"/>
  <c r="AV229" i="10"/>
  <c r="EM229" i="10" s="1"/>
  <c r="DZ229" i="10"/>
  <c r="EB229" i="10"/>
  <c r="EG229" i="10"/>
  <c r="EL229" i="10"/>
  <c r="H230" i="10"/>
  <c r="AO230" i="10"/>
  <c r="AP230" i="10"/>
  <c r="BN230" i="10" s="1"/>
  <c r="BW230" i="10" s="1"/>
  <c r="AS230" i="10"/>
  <c r="AV230" i="10"/>
  <c r="EM230" i="10" s="1"/>
  <c r="DZ230" i="10"/>
  <c r="EB230" i="10"/>
  <c r="EG230" i="10"/>
  <c r="EL230" i="10"/>
  <c r="H231" i="10"/>
  <c r="AO231" i="10"/>
  <c r="BM231" i="10" s="1"/>
  <c r="BV231" i="10" s="1"/>
  <c r="AP231" i="10"/>
  <c r="AS231" i="10"/>
  <c r="AV231" i="10"/>
  <c r="EM231" i="10" s="1"/>
  <c r="DZ231" i="10"/>
  <c r="EB231" i="10"/>
  <c r="EG231" i="10"/>
  <c r="EL231" i="10"/>
  <c r="H232" i="10"/>
  <c r="AO232" i="10"/>
  <c r="AP232" i="10"/>
  <c r="AS232" i="10"/>
  <c r="AV232" i="10"/>
  <c r="EM232" i="10" s="1"/>
  <c r="DZ232" i="10"/>
  <c r="EB232" i="10"/>
  <c r="EG232" i="10"/>
  <c r="EL232" i="10"/>
  <c r="H233" i="10"/>
  <c r="EC233" i="10"/>
  <c r="AO233" i="10"/>
  <c r="BI233" i="10" s="1"/>
  <c r="BK233" i="10" s="1"/>
  <c r="AP233" i="10"/>
  <c r="AS233" i="10"/>
  <c r="AV233" i="10"/>
  <c r="EM233" i="10" s="1"/>
  <c r="DZ233" i="10"/>
  <c r="EB233" i="10"/>
  <c r="EG233" i="10"/>
  <c r="EL233" i="10"/>
  <c r="H234" i="10"/>
  <c r="AO234" i="10"/>
  <c r="BM234" i="10" s="1"/>
  <c r="BV234" i="10" s="1"/>
  <c r="AP234" i="10"/>
  <c r="AS234" i="10"/>
  <c r="AV234" i="10"/>
  <c r="EM234" i="10" s="1"/>
  <c r="DZ234" i="10"/>
  <c r="EB234" i="10"/>
  <c r="EG234" i="10"/>
  <c r="EL234" i="10"/>
  <c r="H235" i="10"/>
  <c r="AO235" i="10"/>
  <c r="BI235" i="10" s="1"/>
  <c r="BK235" i="10" s="1"/>
  <c r="AP235" i="10"/>
  <c r="BJ235" i="10" s="1"/>
  <c r="BL235" i="10" s="1"/>
  <c r="AQ235" i="10" s="1"/>
  <c r="AS235" i="10"/>
  <c r="AV235" i="10"/>
  <c r="EM235" i="10" s="1"/>
  <c r="DZ235" i="10"/>
  <c r="EB235" i="10"/>
  <c r="EG235" i="10"/>
  <c r="EL235" i="10"/>
  <c r="H236" i="10"/>
  <c r="AO236" i="10"/>
  <c r="BM236" i="10" s="1"/>
  <c r="BV236" i="10" s="1"/>
  <c r="AP236" i="10"/>
  <c r="AS236" i="10"/>
  <c r="AV236" i="10"/>
  <c r="EM236" i="10" s="1"/>
  <c r="DZ236" i="10"/>
  <c r="EB236" i="10"/>
  <c r="EG236" i="10"/>
  <c r="EL236" i="10"/>
  <c r="H237" i="10"/>
  <c r="AO237" i="10"/>
  <c r="BM237" i="10" s="1"/>
  <c r="BV237" i="10" s="1"/>
  <c r="AP237" i="10"/>
  <c r="AS237" i="10"/>
  <c r="AU237" i="10"/>
  <c r="AY237" i="10" s="1"/>
  <c r="CD237" i="10" s="1"/>
  <c r="CH237" i="10" s="1"/>
  <c r="AV237" i="10"/>
  <c r="EM237" i="10" s="1"/>
  <c r="DZ237" i="10"/>
  <c r="EB237" i="10"/>
  <c r="EG237" i="10"/>
  <c r="EL237" i="10"/>
  <c r="H238" i="10"/>
  <c r="AO238" i="10"/>
  <c r="AP238" i="10"/>
  <c r="BJ238" i="10" s="1"/>
  <c r="BL238" i="10" s="1"/>
  <c r="AS238" i="10"/>
  <c r="AV238" i="10"/>
  <c r="EM238" i="10" s="1"/>
  <c r="DZ238" i="10"/>
  <c r="EB238" i="10"/>
  <c r="EG238" i="10"/>
  <c r="EL238" i="10"/>
  <c r="H239" i="10"/>
  <c r="AO239" i="10"/>
  <c r="AP239" i="10"/>
  <c r="AS239" i="10"/>
  <c r="AV239" i="10"/>
  <c r="EM239" i="10" s="1"/>
  <c r="DZ239" i="10"/>
  <c r="EB239" i="10"/>
  <c r="EG239" i="10"/>
  <c r="EL239" i="10"/>
  <c r="H240" i="10"/>
  <c r="AO240" i="10"/>
  <c r="AP240" i="10"/>
  <c r="AS240" i="10"/>
  <c r="AV240" i="10"/>
  <c r="EM240" i="10" s="1"/>
  <c r="DZ240" i="10"/>
  <c r="EB240" i="10"/>
  <c r="EG240" i="10"/>
  <c r="EL240" i="10"/>
  <c r="H241" i="10"/>
  <c r="AO241" i="10"/>
  <c r="BI241" i="10" s="1"/>
  <c r="BK241" i="10" s="1"/>
  <c r="AP241" i="10"/>
  <c r="AS241" i="10"/>
  <c r="AV241" i="10"/>
  <c r="EM241" i="10" s="1"/>
  <c r="DZ241" i="10"/>
  <c r="EB241" i="10"/>
  <c r="EG241" i="10"/>
  <c r="EL241" i="10"/>
  <c r="H242" i="10"/>
  <c r="AO242" i="10"/>
  <c r="BM242" i="10" s="1"/>
  <c r="BV242" i="10" s="1"/>
  <c r="AP242" i="10"/>
  <c r="BJ242" i="10" s="1"/>
  <c r="BL242" i="10" s="1"/>
  <c r="AS242" i="10"/>
  <c r="AV242" i="10"/>
  <c r="EM242" i="10" s="1"/>
  <c r="DZ242" i="10"/>
  <c r="EB242" i="10"/>
  <c r="EG242" i="10"/>
  <c r="EL242" i="10"/>
  <c r="H243" i="10"/>
  <c r="AO243" i="10"/>
  <c r="BM243" i="10" s="1"/>
  <c r="BV243" i="10" s="1"/>
  <c r="AP243" i="10"/>
  <c r="BJ243" i="10" s="1"/>
  <c r="BL243" i="10" s="1"/>
  <c r="AS243" i="10"/>
  <c r="AV243" i="10"/>
  <c r="EM243" i="10" s="1"/>
  <c r="DZ243" i="10"/>
  <c r="EB243" i="10"/>
  <c r="EG243" i="10"/>
  <c r="EL243" i="10"/>
  <c r="H244" i="10"/>
  <c r="AO244" i="10"/>
  <c r="BI244" i="10" s="1"/>
  <c r="BK244" i="10" s="1"/>
  <c r="AP244" i="10"/>
  <c r="AS244" i="10"/>
  <c r="AV244" i="10"/>
  <c r="EM244" i="10" s="1"/>
  <c r="DZ244" i="10"/>
  <c r="EB244" i="10"/>
  <c r="EG244" i="10"/>
  <c r="EL244" i="10"/>
  <c r="H245" i="10"/>
  <c r="AO245" i="10"/>
  <c r="BM245" i="10" s="1"/>
  <c r="BV245" i="10" s="1"/>
  <c r="AP245" i="10"/>
  <c r="BJ245" i="10" s="1"/>
  <c r="BL245" i="10" s="1"/>
  <c r="AS245" i="10"/>
  <c r="AV245" i="10"/>
  <c r="EM245" i="10" s="1"/>
  <c r="DZ245" i="10"/>
  <c r="EB245" i="10"/>
  <c r="EG245" i="10"/>
  <c r="EL245" i="10"/>
  <c r="H246" i="10"/>
  <c r="AO246" i="10"/>
  <c r="AP246" i="10"/>
  <c r="AS246" i="10"/>
  <c r="AV246" i="10"/>
  <c r="EM246" i="10" s="1"/>
  <c r="DZ246" i="10"/>
  <c r="EB246" i="10"/>
  <c r="EG246" i="10"/>
  <c r="EL246" i="10"/>
  <c r="H247" i="10"/>
  <c r="EC247" i="10"/>
  <c r="AO247" i="10"/>
  <c r="AP247" i="10"/>
  <c r="BJ247" i="10" s="1"/>
  <c r="BL247" i="10" s="1"/>
  <c r="AS247" i="10"/>
  <c r="AV247" i="10"/>
  <c r="EM247" i="10" s="1"/>
  <c r="DZ247" i="10"/>
  <c r="EB247" i="10"/>
  <c r="EG247" i="10"/>
  <c r="EL247" i="10"/>
  <c r="H248" i="10"/>
  <c r="EC248" i="10"/>
  <c r="AO248" i="10"/>
  <c r="AP248" i="10"/>
  <c r="BJ248" i="10" s="1"/>
  <c r="BL248" i="10" s="1"/>
  <c r="AS248" i="10"/>
  <c r="AV248" i="10"/>
  <c r="EM248" i="10" s="1"/>
  <c r="DZ248" i="10"/>
  <c r="EB248" i="10"/>
  <c r="EG248" i="10"/>
  <c r="EL248" i="10"/>
  <c r="H249" i="10"/>
  <c r="AO249" i="10"/>
  <c r="BM249" i="10" s="1"/>
  <c r="BV249" i="10" s="1"/>
  <c r="AP249" i="10"/>
  <c r="AS249" i="10"/>
  <c r="AV249" i="10"/>
  <c r="EM249" i="10" s="1"/>
  <c r="DZ249" i="10"/>
  <c r="EB249" i="10"/>
  <c r="EG249" i="10"/>
  <c r="EL249" i="10"/>
  <c r="H250" i="10"/>
  <c r="BA250" i="10"/>
  <c r="BC250" i="10" s="1"/>
  <c r="AO250" i="10"/>
  <c r="AP250" i="10"/>
  <c r="AS250" i="10"/>
  <c r="AV250" i="10"/>
  <c r="EM250" i="10" s="1"/>
  <c r="DZ250" i="10"/>
  <c r="EB250" i="10"/>
  <c r="EG250" i="10"/>
  <c r="EL250" i="10"/>
  <c r="H251" i="10"/>
  <c r="AO251" i="10"/>
  <c r="BI251" i="10" s="1"/>
  <c r="BK251" i="10" s="1"/>
  <c r="AP251" i="10"/>
  <c r="AS251" i="10"/>
  <c r="AV251" i="10"/>
  <c r="EM251" i="10" s="1"/>
  <c r="DZ251" i="10"/>
  <c r="EB251" i="10"/>
  <c r="EG251" i="10"/>
  <c r="EL251" i="10"/>
  <c r="H252" i="10"/>
  <c r="AO252" i="10"/>
  <c r="AP252" i="10"/>
  <c r="AS252" i="10"/>
  <c r="AV252" i="10"/>
  <c r="EM252" i="10" s="1"/>
  <c r="DZ252" i="10"/>
  <c r="EB252" i="10"/>
  <c r="EG252" i="10"/>
  <c r="EL252" i="10"/>
  <c r="H253" i="10"/>
  <c r="AO253" i="10"/>
  <c r="AP253" i="10"/>
  <c r="BN253" i="10" s="1"/>
  <c r="BW253" i="10" s="1"/>
  <c r="AS253" i="10"/>
  <c r="AV253" i="10"/>
  <c r="EM253" i="10" s="1"/>
  <c r="DZ253" i="10"/>
  <c r="EB253" i="10"/>
  <c r="EG253" i="10"/>
  <c r="EL253" i="10"/>
  <c r="H254" i="10"/>
  <c r="BA254" i="10"/>
  <c r="BC254" i="10" s="1"/>
  <c r="AO254" i="10"/>
  <c r="AP254" i="10"/>
  <c r="AS254" i="10"/>
  <c r="AV254" i="10"/>
  <c r="EM254" i="10" s="1"/>
  <c r="DZ254" i="10"/>
  <c r="EB254" i="10"/>
  <c r="EG254" i="10"/>
  <c r="EL254" i="10"/>
  <c r="H255" i="10"/>
  <c r="AO255" i="10"/>
  <c r="AP255" i="10"/>
  <c r="AS255" i="10"/>
  <c r="AV255" i="10"/>
  <c r="EM255" i="10" s="1"/>
  <c r="DZ255" i="10"/>
  <c r="EB255" i="10"/>
  <c r="EG255" i="10"/>
  <c r="EL255" i="10"/>
  <c r="H256" i="10"/>
  <c r="AO256" i="10"/>
  <c r="BM256" i="10" s="1"/>
  <c r="BV256" i="10" s="1"/>
  <c r="AP256" i="10"/>
  <c r="AS256" i="10"/>
  <c r="AV256" i="10"/>
  <c r="EM256" i="10" s="1"/>
  <c r="DZ256" i="10"/>
  <c r="EB256" i="10"/>
  <c r="EG256" i="10"/>
  <c r="EL256" i="10"/>
  <c r="H257" i="10"/>
  <c r="AO257" i="10"/>
  <c r="AP257" i="10"/>
  <c r="BJ257" i="10" s="1"/>
  <c r="BL257" i="10" s="1"/>
  <c r="AS257" i="10"/>
  <c r="AV257" i="10"/>
  <c r="EM257" i="10" s="1"/>
  <c r="DZ257" i="10"/>
  <c r="EB257" i="10"/>
  <c r="EG257" i="10"/>
  <c r="EL257" i="10"/>
  <c r="H258" i="10"/>
  <c r="AO258" i="10"/>
  <c r="BM258" i="10" s="1"/>
  <c r="BV258" i="10" s="1"/>
  <c r="AP258" i="10"/>
  <c r="AS258" i="10"/>
  <c r="AV258" i="10"/>
  <c r="EM258" i="10" s="1"/>
  <c r="DZ258" i="10"/>
  <c r="EB258" i="10"/>
  <c r="EG258" i="10"/>
  <c r="EL258" i="10"/>
  <c r="H259" i="10"/>
  <c r="AO259" i="10"/>
  <c r="AP259" i="10"/>
  <c r="AS259" i="10"/>
  <c r="AV259" i="10"/>
  <c r="EM259" i="10" s="1"/>
  <c r="DZ259" i="10"/>
  <c r="EB259" i="10"/>
  <c r="EG259" i="10"/>
  <c r="EL259" i="10"/>
  <c r="H260" i="10"/>
  <c r="AO260" i="10"/>
  <c r="AP260" i="10"/>
  <c r="AS260" i="10"/>
  <c r="AV260" i="10"/>
  <c r="EM260" i="10" s="1"/>
  <c r="DZ260" i="10"/>
  <c r="EB260" i="10"/>
  <c r="EG260" i="10"/>
  <c r="EL260" i="10"/>
  <c r="H261" i="10"/>
  <c r="AO261" i="10"/>
  <c r="BM261" i="10" s="1"/>
  <c r="BV261" i="10" s="1"/>
  <c r="AP261" i="10"/>
  <c r="BJ261" i="10" s="1"/>
  <c r="BL261" i="10" s="1"/>
  <c r="AS261" i="10"/>
  <c r="AV261" i="10"/>
  <c r="EM261" i="10" s="1"/>
  <c r="DZ261" i="10"/>
  <c r="EB261" i="10"/>
  <c r="EG261" i="10"/>
  <c r="EL261" i="10"/>
  <c r="H262" i="10"/>
  <c r="BA262" i="10"/>
  <c r="BC262" i="10" s="1"/>
  <c r="AO262" i="10"/>
  <c r="BM262" i="10" s="1"/>
  <c r="BV262" i="10" s="1"/>
  <c r="AP262" i="10"/>
  <c r="BN262" i="10" s="1"/>
  <c r="BW262" i="10" s="1"/>
  <c r="AS262" i="10"/>
  <c r="AV262" i="10"/>
  <c r="EM262" i="10" s="1"/>
  <c r="DZ262" i="10"/>
  <c r="EB262" i="10"/>
  <c r="EG262" i="10"/>
  <c r="EL262" i="10"/>
  <c r="H263" i="10"/>
  <c r="AO263" i="10"/>
  <c r="AP263" i="10"/>
  <c r="AS263" i="10"/>
  <c r="AV263" i="10"/>
  <c r="EM263" i="10" s="1"/>
  <c r="DZ263" i="10"/>
  <c r="EB263" i="10"/>
  <c r="EG263" i="10"/>
  <c r="EL263" i="10"/>
  <c r="H264" i="10"/>
  <c r="BA264" i="10"/>
  <c r="BC264" i="10" s="1"/>
  <c r="AO264" i="10"/>
  <c r="BI264" i="10" s="1"/>
  <c r="BK264" i="10" s="1"/>
  <c r="AP264" i="10"/>
  <c r="AS264" i="10"/>
  <c r="AV264" i="10"/>
  <c r="EM264" i="10" s="1"/>
  <c r="DZ264" i="10"/>
  <c r="EB264" i="10"/>
  <c r="EG264" i="10"/>
  <c r="EL264" i="10"/>
  <c r="H265" i="10"/>
  <c r="AO265" i="10"/>
  <c r="AP265" i="10"/>
  <c r="BJ265" i="10" s="1"/>
  <c r="BL265" i="10" s="1"/>
  <c r="AS265" i="10"/>
  <c r="AV265" i="10"/>
  <c r="EM265" i="10" s="1"/>
  <c r="DZ265" i="10"/>
  <c r="EB265" i="10"/>
  <c r="EG265" i="10"/>
  <c r="EL265" i="10"/>
  <c r="H266" i="10"/>
  <c r="AO266" i="10"/>
  <c r="AP266" i="10"/>
  <c r="BJ266" i="10" s="1"/>
  <c r="BL266" i="10" s="1"/>
  <c r="AS266" i="10"/>
  <c r="AV266" i="10"/>
  <c r="EM266" i="10" s="1"/>
  <c r="DZ266" i="10"/>
  <c r="EB266" i="10"/>
  <c r="EG266" i="10"/>
  <c r="EL266" i="10"/>
  <c r="H267" i="10"/>
  <c r="AO267" i="10"/>
  <c r="AP267" i="10"/>
  <c r="AS267" i="10"/>
  <c r="AV267" i="10"/>
  <c r="EM267" i="10" s="1"/>
  <c r="DZ267" i="10"/>
  <c r="EB267" i="10"/>
  <c r="EG267" i="10"/>
  <c r="EL267" i="10"/>
  <c r="H268" i="10"/>
  <c r="BA268" i="10"/>
  <c r="BC268" i="10" s="1"/>
  <c r="AO268" i="10"/>
  <c r="AP268" i="10"/>
  <c r="AS268" i="10"/>
  <c r="AV268" i="10"/>
  <c r="EM268" i="10" s="1"/>
  <c r="DZ268" i="10"/>
  <c r="EB268" i="10"/>
  <c r="EG268" i="10"/>
  <c r="EL268" i="10"/>
  <c r="H269" i="10"/>
  <c r="AO269" i="10"/>
  <c r="AP269" i="10"/>
  <c r="BJ269" i="10" s="1"/>
  <c r="BL269" i="10" s="1"/>
  <c r="AS269" i="10"/>
  <c r="AV269" i="10"/>
  <c r="EM269" i="10" s="1"/>
  <c r="DZ269" i="10"/>
  <c r="EB269" i="10"/>
  <c r="EG269" i="10"/>
  <c r="EL269" i="10"/>
  <c r="H270" i="10"/>
  <c r="EC270" i="10"/>
  <c r="AO270" i="10"/>
  <c r="AP270" i="10"/>
  <c r="BN270" i="10" s="1"/>
  <c r="BW270" i="10" s="1"/>
  <c r="AS270" i="10"/>
  <c r="AV270" i="10"/>
  <c r="EM270" i="10" s="1"/>
  <c r="DZ270" i="10"/>
  <c r="EB270" i="10"/>
  <c r="EG270" i="10"/>
  <c r="EL270" i="10"/>
  <c r="H271" i="10"/>
  <c r="AO271" i="10"/>
  <c r="AP271" i="10"/>
  <c r="AS271" i="10"/>
  <c r="AV271" i="10"/>
  <c r="EM271" i="10" s="1"/>
  <c r="DZ271" i="10"/>
  <c r="EB271" i="10"/>
  <c r="EG271" i="10"/>
  <c r="EL271" i="10"/>
  <c r="H272" i="10"/>
  <c r="EC272" i="10"/>
  <c r="AO272" i="10"/>
  <c r="AP272" i="10"/>
  <c r="AS272" i="10"/>
  <c r="AV272" i="10"/>
  <c r="EM272" i="10" s="1"/>
  <c r="DZ272" i="10"/>
  <c r="EB272" i="10"/>
  <c r="EG272" i="10"/>
  <c r="EL272" i="10"/>
  <c r="H273" i="10"/>
  <c r="AO273" i="10"/>
  <c r="BI273" i="10" s="1"/>
  <c r="BK273" i="10" s="1"/>
  <c r="AP273" i="10"/>
  <c r="BJ273" i="10" s="1"/>
  <c r="BL273" i="10" s="1"/>
  <c r="AS273" i="10"/>
  <c r="AV273" i="10"/>
  <c r="EM273" i="10" s="1"/>
  <c r="DZ273" i="10"/>
  <c r="EB273" i="10"/>
  <c r="EG273" i="10"/>
  <c r="EL273" i="10"/>
  <c r="H274" i="10"/>
  <c r="AO274" i="10"/>
  <c r="AP274" i="10"/>
  <c r="BJ274" i="10" s="1"/>
  <c r="BL274" i="10" s="1"/>
  <c r="AS274" i="10"/>
  <c r="AV274" i="10"/>
  <c r="EM274" i="10" s="1"/>
  <c r="DZ274" i="10"/>
  <c r="EB274" i="10"/>
  <c r="EG274" i="10"/>
  <c r="EL274" i="10"/>
  <c r="H275" i="10"/>
  <c r="AO275" i="10"/>
  <c r="BI275" i="10" s="1"/>
  <c r="BK275" i="10" s="1"/>
  <c r="AP275" i="10"/>
  <c r="BN275" i="10" s="1"/>
  <c r="BW275" i="10" s="1"/>
  <c r="AS275" i="10"/>
  <c r="AV275" i="10"/>
  <c r="EM275" i="10" s="1"/>
  <c r="DZ275" i="10"/>
  <c r="EB275" i="10"/>
  <c r="EG275" i="10"/>
  <c r="EL275" i="10"/>
  <c r="H276" i="10"/>
  <c r="AO276" i="10"/>
  <c r="AP276" i="10"/>
  <c r="BJ276" i="10" s="1"/>
  <c r="BL276" i="10" s="1"/>
  <c r="AS276" i="10"/>
  <c r="AV276" i="10"/>
  <c r="EM276" i="10" s="1"/>
  <c r="DZ276" i="10"/>
  <c r="EB276" i="10"/>
  <c r="EG276" i="10"/>
  <c r="EL276" i="10"/>
  <c r="H277" i="10"/>
  <c r="AO277" i="10"/>
  <c r="AP277" i="10"/>
  <c r="AS277" i="10"/>
  <c r="AV277" i="10"/>
  <c r="EM277" i="10" s="1"/>
  <c r="DZ277" i="10"/>
  <c r="EB277" i="10"/>
  <c r="EG277" i="10"/>
  <c r="EL277" i="10"/>
  <c r="H278" i="10"/>
  <c r="EC278" i="10"/>
  <c r="AO278" i="10"/>
  <c r="BI278" i="10" s="1"/>
  <c r="BK278" i="10" s="1"/>
  <c r="AP278" i="10"/>
  <c r="AS278" i="10"/>
  <c r="AV278" i="10"/>
  <c r="EM278" i="10" s="1"/>
  <c r="DZ278" i="10"/>
  <c r="EB278" i="10"/>
  <c r="EG278" i="10"/>
  <c r="EL278" i="10"/>
  <c r="H279" i="10"/>
  <c r="AO279" i="10"/>
  <c r="AP279" i="10"/>
  <c r="BN279" i="10" s="1"/>
  <c r="BW279" i="10" s="1"/>
  <c r="AS279" i="10"/>
  <c r="AV279" i="10"/>
  <c r="EM279" i="10" s="1"/>
  <c r="DZ279" i="10"/>
  <c r="EB279" i="10"/>
  <c r="EG279" i="10"/>
  <c r="EL279" i="10"/>
  <c r="H280" i="10"/>
  <c r="AO280" i="10"/>
  <c r="AP280" i="10"/>
  <c r="AS280" i="10"/>
  <c r="AV280" i="10"/>
  <c r="EM280" i="10" s="1"/>
  <c r="DZ280" i="10"/>
  <c r="EB280" i="10"/>
  <c r="EG280" i="10"/>
  <c r="EL280" i="10"/>
  <c r="H281" i="10"/>
  <c r="AO281" i="10"/>
  <c r="BI281" i="10" s="1"/>
  <c r="BK281" i="10" s="1"/>
  <c r="AP281" i="10"/>
  <c r="AS281" i="10"/>
  <c r="AV281" i="10"/>
  <c r="EM281" i="10" s="1"/>
  <c r="DZ281" i="10"/>
  <c r="EB281" i="10"/>
  <c r="EG281" i="10"/>
  <c r="EL281" i="10"/>
  <c r="H282" i="10"/>
  <c r="AO282" i="10"/>
  <c r="AP282" i="10"/>
  <c r="AS282" i="10"/>
  <c r="AV282" i="10"/>
  <c r="EM282" i="10" s="1"/>
  <c r="DZ282" i="10"/>
  <c r="EB282" i="10"/>
  <c r="EG282" i="10"/>
  <c r="EL282" i="10"/>
  <c r="H283" i="10"/>
  <c r="BB283" i="10"/>
  <c r="BD283" i="10" s="1"/>
  <c r="AO283" i="10"/>
  <c r="AP283" i="10"/>
  <c r="BN283" i="10" s="1"/>
  <c r="BW283" i="10" s="1"/>
  <c r="AS283" i="10"/>
  <c r="AV283" i="10"/>
  <c r="EM283" i="10" s="1"/>
  <c r="DZ283" i="10"/>
  <c r="EB283" i="10"/>
  <c r="EG283" i="10"/>
  <c r="EL283" i="10"/>
  <c r="H284" i="10"/>
  <c r="BB284" i="10"/>
  <c r="BD284" i="10" s="1"/>
  <c r="AO284" i="10"/>
  <c r="AP284" i="10"/>
  <c r="AS284" i="10"/>
  <c r="AV284" i="10"/>
  <c r="EM284" i="10" s="1"/>
  <c r="DZ284" i="10"/>
  <c r="EB284" i="10"/>
  <c r="EG284" i="10"/>
  <c r="EL284" i="10"/>
  <c r="H285" i="10"/>
  <c r="AO285" i="10"/>
  <c r="AP285" i="10"/>
  <c r="AS285" i="10"/>
  <c r="AV285" i="10"/>
  <c r="EM285" i="10" s="1"/>
  <c r="DZ285" i="10"/>
  <c r="EB285" i="10"/>
  <c r="EG285" i="10"/>
  <c r="EL285" i="10"/>
  <c r="H286" i="10"/>
  <c r="AO286" i="10"/>
  <c r="BM286" i="10" s="1"/>
  <c r="BV286" i="10" s="1"/>
  <c r="AP286" i="10"/>
  <c r="BJ286" i="10" s="1"/>
  <c r="BL286" i="10" s="1"/>
  <c r="AS286" i="10"/>
  <c r="AV286" i="10"/>
  <c r="EM286" i="10" s="1"/>
  <c r="DZ286" i="10"/>
  <c r="EB286" i="10"/>
  <c r="EG286" i="10"/>
  <c r="EL286" i="10"/>
  <c r="H287" i="10"/>
  <c r="AO287" i="10"/>
  <c r="BI287" i="10" s="1"/>
  <c r="BK287" i="10" s="1"/>
  <c r="AP287" i="10"/>
  <c r="AS287" i="10"/>
  <c r="AV287" i="10"/>
  <c r="EM287" i="10" s="1"/>
  <c r="DZ287" i="10"/>
  <c r="EB287" i="10"/>
  <c r="EG287" i="10"/>
  <c r="EL287" i="10"/>
  <c r="H288" i="10"/>
  <c r="BA288" i="10"/>
  <c r="BC288" i="10" s="1"/>
  <c r="AO288" i="10"/>
  <c r="AP288" i="10"/>
  <c r="BN288" i="10" s="1"/>
  <c r="BW288" i="10" s="1"/>
  <c r="AS288" i="10"/>
  <c r="AV288" i="10"/>
  <c r="EM288" i="10" s="1"/>
  <c r="DZ288" i="10"/>
  <c r="EB288" i="10"/>
  <c r="EG288" i="10"/>
  <c r="EL288" i="10"/>
  <c r="H289" i="10"/>
  <c r="AO289" i="10"/>
  <c r="AP289" i="10"/>
  <c r="AS289" i="10"/>
  <c r="AV289" i="10"/>
  <c r="EM289" i="10" s="1"/>
  <c r="DZ289" i="10"/>
  <c r="EB289" i="10"/>
  <c r="EG289" i="10"/>
  <c r="EL289" i="10"/>
  <c r="H290" i="10"/>
  <c r="AO290" i="10"/>
  <c r="BM290" i="10" s="1"/>
  <c r="BV290" i="10" s="1"/>
  <c r="AP290" i="10"/>
  <c r="AS290" i="10"/>
  <c r="AV290" i="10"/>
  <c r="EM290" i="10" s="1"/>
  <c r="DZ290" i="10"/>
  <c r="EB290" i="10"/>
  <c r="EG290" i="10"/>
  <c r="EL290" i="10"/>
  <c r="H291" i="10"/>
  <c r="BA291" i="10"/>
  <c r="BC291" i="10" s="1"/>
  <c r="AO291" i="10"/>
  <c r="BM291" i="10" s="1"/>
  <c r="BV291" i="10" s="1"/>
  <c r="AP291" i="10"/>
  <c r="AS291" i="10"/>
  <c r="AV291" i="10"/>
  <c r="EM291" i="10" s="1"/>
  <c r="DZ291" i="10"/>
  <c r="EB291" i="10"/>
  <c r="EG291" i="10"/>
  <c r="EL291" i="10"/>
  <c r="H292" i="10"/>
  <c r="EC292" i="10"/>
  <c r="AO292" i="10"/>
  <c r="AP292" i="10"/>
  <c r="AS292" i="10"/>
  <c r="AV292" i="10"/>
  <c r="EM292" i="10" s="1"/>
  <c r="DZ292" i="10"/>
  <c r="EB292" i="10"/>
  <c r="EG292" i="10"/>
  <c r="EL292" i="10"/>
  <c r="H293" i="10"/>
  <c r="EC293" i="10"/>
  <c r="AO293" i="10"/>
  <c r="BM293" i="10" s="1"/>
  <c r="BV293" i="10" s="1"/>
  <c r="AP293" i="10"/>
  <c r="BJ293" i="10" s="1"/>
  <c r="BL293" i="10" s="1"/>
  <c r="AS293" i="10"/>
  <c r="AV293" i="10"/>
  <c r="EM293" i="10" s="1"/>
  <c r="DZ293" i="10"/>
  <c r="EB293" i="10"/>
  <c r="EG293" i="10"/>
  <c r="EL293" i="10"/>
  <c r="H294" i="10"/>
  <c r="AO294" i="10"/>
  <c r="BM294" i="10" s="1"/>
  <c r="BV294" i="10" s="1"/>
  <c r="AP294" i="10"/>
  <c r="BN294" i="10" s="1"/>
  <c r="BW294" i="10" s="1"/>
  <c r="AS294" i="10"/>
  <c r="AV294" i="10"/>
  <c r="EM294" i="10" s="1"/>
  <c r="DZ294" i="10"/>
  <c r="EB294" i="10"/>
  <c r="EG294" i="10"/>
  <c r="EL294" i="10"/>
  <c r="H295" i="10"/>
  <c r="BB295" i="10"/>
  <c r="BD295" i="10" s="1"/>
  <c r="AO295" i="10"/>
  <c r="AP295" i="10"/>
  <c r="BJ295" i="10" s="1"/>
  <c r="BL295" i="10" s="1"/>
  <c r="AS295" i="10"/>
  <c r="AV295" i="10"/>
  <c r="EM295" i="10" s="1"/>
  <c r="DZ295" i="10"/>
  <c r="EB295" i="10"/>
  <c r="EG295" i="10"/>
  <c r="EL295" i="10"/>
  <c r="H296" i="10"/>
  <c r="AO296" i="10"/>
  <c r="AP296" i="10"/>
  <c r="BJ296" i="10" s="1"/>
  <c r="BL296" i="10" s="1"/>
  <c r="AS296" i="10"/>
  <c r="AV296" i="10"/>
  <c r="EM296" i="10" s="1"/>
  <c r="DZ296" i="10"/>
  <c r="EB296" i="10"/>
  <c r="EG296" i="10"/>
  <c r="EL296" i="10"/>
  <c r="H297" i="10"/>
  <c r="AO297" i="10"/>
  <c r="BI297" i="10" s="1"/>
  <c r="BK297" i="10" s="1"/>
  <c r="AP297" i="10"/>
  <c r="BJ297" i="10" s="1"/>
  <c r="BL297" i="10" s="1"/>
  <c r="AS297" i="10"/>
  <c r="AV297" i="10"/>
  <c r="EM297" i="10" s="1"/>
  <c r="DZ297" i="10"/>
  <c r="EB297" i="10"/>
  <c r="EG297" i="10"/>
  <c r="EL297" i="10"/>
  <c r="H298" i="10"/>
  <c r="AO298" i="10"/>
  <c r="AP298" i="10"/>
  <c r="BN298" i="10" s="1"/>
  <c r="BW298" i="10" s="1"/>
  <c r="AS298" i="10"/>
  <c r="AV298" i="10"/>
  <c r="EM298" i="10" s="1"/>
  <c r="DZ298" i="10"/>
  <c r="EB298" i="10"/>
  <c r="EG298" i="10"/>
  <c r="EL298" i="10"/>
  <c r="H299" i="10"/>
  <c r="AO299" i="10"/>
  <c r="BI299" i="10" s="1"/>
  <c r="BK299" i="10" s="1"/>
  <c r="AP299" i="10"/>
  <c r="AS299" i="10"/>
  <c r="AV299" i="10"/>
  <c r="EM299" i="10" s="1"/>
  <c r="DZ299" i="10"/>
  <c r="EB299" i="10"/>
  <c r="EG299" i="10"/>
  <c r="EL299" i="10"/>
  <c r="H300" i="10"/>
  <c r="AO300" i="10"/>
  <c r="BM300" i="10" s="1"/>
  <c r="BV300" i="10" s="1"/>
  <c r="AP300" i="10"/>
  <c r="BJ300" i="10" s="1"/>
  <c r="BL300" i="10" s="1"/>
  <c r="AS300" i="10"/>
  <c r="AV300" i="10"/>
  <c r="EM300" i="10" s="1"/>
  <c r="DZ300" i="10"/>
  <c r="EB300" i="10"/>
  <c r="EG300" i="10"/>
  <c r="EL300" i="10"/>
  <c r="H301" i="10"/>
  <c r="AO301" i="10"/>
  <c r="AP301" i="10"/>
  <c r="AS301" i="10"/>
  <c r="AV301" i="10"/>
  <c r="EM301" i="10" s="1"/>
  <c r="DZ301" i="10"/>
  <c r="EB301" i="10"/>
  <c r="EG301" i="10"/>
  <c r="EL301" i="10"/>
  <c r="H302" i="10"/>
  <c r="AO302" i="10"/>
  <c r="AP302" i="10"/>
  <c r="AS302" i="10"/>
  <c r="AV302" i="10"/>
  <c r="EM302" i="10" s="1"/>
  <c r="DZ302" i="10"/>
  <c r="EB302" i="10"/>
  <c r="EG302" i="10"/>
  <c r="EL302" i="10"/>
  <c r="H303" i="10"/>
  <c r="EC303" i="10"/>
  <c r="AO303" i="10"/>
  <c r="BI303" i="10" s="1"/>
  <c r="BK303" i="10" s="1"/>
  <c r="AP303" i="10"/>
  <c r="BN303" i="10" s="1"/>
  <c r="BW303" i="10" s="1"/>
  <c r="AS303" i="10"/>
  <c r="AV303" i="10"/>
  <c r="EM303" i="10" s="1"/>
  <c r="DZ303" i="10"/>
  <c r="EB303" i="10"/>
  <c r="EG303" i="10"/>
  <c r="EL303" i="10"/>
  <c r="H304" i="10"/>
  <c r="AO304" i="10"/>
  <c r="AP304" i="10"/>
  <c r="BJ304" i="10" s="1"/>
  <c r="BL304" i="10" s="1"/>
  <c r="AS304" i="10"/>
  <c r="AV304" i="10"/>
  <c r="EM304" i="10" s="1"/>
  <c r="DZ304" i="10"/>
  <c r="EB304" i="10"/>
  <c r="EG304" i="10"/>
  <c r="EL304" i="10"/>
  <c r="H305" i="10"/>
  <c r="AO305" i="10"/>
  <c r="BM305" i="10" s="1"/>
  <c r="BV305" i="10" s="1"/>
  <c r="AP305" i="10"/>
  <c r="BN305" i="10" s="1"/>
  <c r="BW305" i="10" s="1"/>
  <c r="AS305" i="10"/>
  <c r="AU305" i="10"/>
  <c r="AV305" i="10"/>
  <c r="EM305" i="10" s="1"/>
  <c r="DZ305" i="10"/>
  <c r="EB305" i="10"/>
  <c r="EG305" i="10"/>
  <c r="EL305" i="10"/>
  <c r="H306" i="10"/>
  <c r="EC306" i="10"/>
  <c r="AO306" i="10"/>
  <c r="AP306" i="10"/>
  <c r="AS306" i="10"/>
  <c r="AV306" i="10"/>
  <c r="EM306" i="10" s="1"/>
  <c r="DZ306" i="10"/>
  <c r="EB306" i="10"/>
  <c r="EG306" i="10"/>
  <c r="EL306" i="10"/>
  <c r="H307" i="10"/>
  <c r="AO307" i="10"/>
  <c r="AP307" i="10"/>
  <c r="AS307" i="10"/>
  <c r="AV307" i="10"/>
  <c r="EM307" i="10" s="1"/>
  <c r="DZ307" i="10"/>
  <c r="EB307" i="10"/>
  <c r="EG307" i="10"/>
  <c r="EL307" i="10"/>
  <c r="H308" i="10"/>
  <c r="AO308" i="10"/>
  <c r="BI308" i="10" s="1"/>
  <c r="BK308" i="10" s="1"/>
  <c r="AP308" i="10"/>
  <c r="AS308" i="10"/>
  <c r="AU308" i="10"/>
  <c r="AY308" i="10" s="1"/>
  <c r="AV308" i="10"/>
  <c r="EM308" i="10" s="1"/>
  <c r="DZ308" i="10"/>
  <c r="EB308" i="10"/>
  <c r="EG308" i="10"/>
  <c r="EL308" i="10"/>
  <c r="H309" i="10"/>
  <c r="EC309" i="10"/>
  <c r="AO309" i="10"/>
  <c r="BM309" i="10" s="1"/>
  <c r="BV309" i="10" s="1"/>
  <c r="AP309" i="10"/>
  <c r="BN309" i="10" s="1"/>
  <c r="BW309" i="10" s="1"/>
  <c r="AS309" i="10"/>
  <c r="AV309" i="10"/>
  <c r="EM309" i="10" s="1"/>
  <c r="DZ309" i="10"/>
  <c r="EB309" i="10"/>
  <c r="EG309" i="10"/>
  <c r="EL309" i="10"/>
  <c r="H310" i="10"/>
  <c r="EC310" i="10"/>
  <c r="AO310" i="10"/>
  <c r="BM310" i="10" s="1"/>
  <c r="BV310" i="10" s="1"/>
  <c r="AP310" i="10"/>
  <c r="BJ310" i="10" s="1"/>
  <c r="BL310" i="10" s="1"/>
  <c r="AS310" i="10"/>
  <c r="AV310" i="10"/>
  <c r="EM310" i="10" s="1"/>
  <c r="DZ310" i="10"/>
  <c r="EB310" i="10"/>
  <c r="EG310" i="10"/>
  <c r="EL310" i="10"/>
  <c r="H311" i="10"/>
  <c r="AO311" i="10"/>
  <c r="BI311" i="10" s="1"/>
  <c r="BK311" i="10" s="1"/>
  <c r="AP311" i="10"/>
  <c r="BJ311" i="10" s="1"/>
  <c r="BL311" i="10" s="1"/>
  <c r="AS311" i="10"/>
  <c r="AV311" i="10"/>
  <c r="EM311" i="10" s="1"/>
  <c r="DZ311" i="10"/>
  <c r="EB311" i="10"/>
  <c r="EG311" i="10"/>
  <c r="EL311" i="10"/>
  <c r="H312" i="10"/>
  <c r="AO312" i="10"/>
  <c r="BM312" i="10" s="1"/>
  <c r="BV312" i="10" s="1"/>
  <c r="AP312" i="10"/>
  <c r="AS312" i="10"/>
  <c r="AV312" i="10"/>
  <c r="EM312" i="10" s="1"/>
  <c r="DZ312" i="10"/>
  <c r="EB312" i="10"/>
  <c r="EG312" i="10"/>
  <c r="EL312" i="10"/>
  <c r="H313" i="10"/>
  <c r="AO313" i="10"/>
  <c r="AP313" i="10"/>
  <c r="BJ313" i="10" s="1"/>
  <c r="BL313" i="10" s="1"/>
  <c r="AS313" i="10"/>
  <c r="AV313" i="10"/>
  <c r="EM313" i="10" s="1"/>
  <c r="DZ313" i="10"/>
  <c r="EB313" i="10"/>
  <c r="EG313" i="10"/>
  <c r="EL313" i="10"/>
  <c r="H314" i="10"/>
  <c r="AO314" i="10"/>
  <c r="AP314" i="10"/>
  <c r="AS314" i="10"/>
  <c r="AV314" i="10"/>
  <c r="EM314" i="10" s="1"/>
  <c r="DZ314" i="10"/>
  <c r="EB314" i="10"/>
  <c r="EG314" i="10"/>
  <c r="EL314" i="10"/>
  <c r="H315" i="10"/>
  <c r="EC315" i="10"/>
  <c r="AO315" i="10"/>
  <c r="AP315" i="10"/>
  <c r="BJ315" i="10" s="1"/>
  <c r="BL315" i="10" s="1"/>
  <c r="AS315" i="10"/>
  <c r="AV315" i="10"/>
  <c r="EM315" i="10" s="1"/>
  <c r="DZ315" i="10"/>
  <c r="EB315" i="10"/>
  <c r="EG315" i="10"/>
  <c r="EL315" i="10"/>
  <c r="H316" i="10"/>
  <c r="EC316" i="10"/>
  <c r="AO316" i="10"/>
  <c r="BI316" i="10" s="1"/>
  <c r="BK316" i="10" s="1"/>
  <c r="AP316" i="10"/>
  <c r="BJ316" i="10" s="1"/>
  <c r="BL316" i="10" s="1"/>
  <c r="AS316" i="10"/>
  <c r="AV316" i="10"/>
  <c r="EM316" i="10" s="1"/>
  <c r="DZ316" i="10"/>
  <c r="EB316" i="10"/>
  <c r="EG316" i="10"/>
  <c r="EL316" i="10"/>
  <c r="H317" i="10"/>
  <c r="AO317" i="10"/>
  <c r="AP317" i="10"/>
  <c r="AS317" i="10"/>
  <c r="AV317" i="10"/>
  <c r="EM317" i="10" s="1"/>
  <c r="DZ317" i="10"/>
  <c r="EB317" i="10"/>
  <c r="EG317" i="10"/>
  <c r="EL317" i="10"/>
  <c r="H318" i="10"/>
  <c r="AO318" i="10"/>
  <c r="AP318" i="10"/>
  <c r="AS318" i="10"/>
  <c r="AV318" i="10"/>
  <c r="EM318" i="10" s="1"/>
  <c r="DZ318" i="10"/>
  <c r="EB318" i="10"/>
  <c r="EG318" i="10"/>
  <c r="EL318" i="10"/>
  <c r="H319" i="10"/>
  <c r="AO319" i="10"/>
  <c r="BM319" i="10" s="1"/>
  <c r="BV319" i="10" s="1"/>
  <c r="AP319" i="10"/>
  <c r="AS319" i="10"/>
  <c r="AV319" i="10"/>
  <c r="EM319" i="10" s="1"/>
  <c r="DZ319" i="10"/>
  <c r="EB319" i="10"/>
  <c r="EG319" i="10"/>
  <c r="EL319" i="10"/>
  <c r="H320" i="10"/>
  <c r="AO320" i="10"/>
  <c r="BM320" i="10" s="1"/>
  <c r="BV320" i="10" s="1"/>
  <c r="AP320" i="10"/>
  <c r="BJ320" i="10" s="1"/>
  <c r="BL320" i="10" s="1"/>
  <c r="AS320" i="10"/>
  <c r="AV320" i="10"/>
  <c r="EM320" i="10" s="1"/>
  <c r="DZ320" i="10"/>
  <c r="EB320" i="10"/>
  <c r="EG320" i="10"/>
  <c r="EL320" i="10"/>
  <c r="H321" i="10"/>
  <c r="EC321" i="10"/>
  <c r="AO321" i="10"/>
  <c r="AP321" i="10"/>
  <c r="BJ321" i="10" s="1"/>
  <c r="BL321" i="10" s="1"/>
  <c r="AS321" i="10"/>
  <c r="AV321" i="10"/>
  <c r="EM321" i="10" s="1"/>
  <c r="DZ321" i="10"/>
  <c r="EB321" i="10"/>
  <c r="EG321" i="10"/>
  <c r="EL321" i="10"/>
  <c r="H322" i="10"/>
  <c r="AO322" i="10"/>
  <c r="AP322" i="10"/>
  <c r="AS322" i="10"/>
  <c r="AV322" i="10"/>
  <c r="EM322" i="10" s="1"/>
  <c r="DZ322" i="10"/>
  <c r="EB322" i="10"/>
  <c r="EG322" i="10"/>
  <c r="EL322" i="10"/>
  <c r="H323" i="10"/>
  <c r="EC323" i="10"/>
  <c r="AO323" i="10"/>
  <c r="AP323" i="10"/>
  <c r="BJ323" i="10" s="1"/>
  <c r="BL323" i="10" s="1"/>
  <c r="AS323" i="10"/>
  <c r="AV323" i="10"/>
  <c r="EM323" i="10" s="1"/>
  <c r="DZ323" i="10"/>
  <c r="EB323" i="10"/>
  <c r="EG323" i="10"/>
  <c r="EL323" i="10"/>
  <c r="H324" i="10"/>
  <c r="AO324" i="10"/>
  <c r="BI324" i="10" s="1"/>
  <c r="BK324" i="10" s="1"/>
  <c r="AP324" i="10"/>
  <c r="BN324" i="10" s="1"/>
  <c r="BW324" i="10" s="1"/>
  <c r="AS324" i="10"/>
  <c r="AV324" i="10"/>
  <c r="EM324" i="10" s="1"/>
  <c r="DZ324" i="10"/>
  <c r="EB324" i="10"/>
  <c r="EG324" i="10"/>
  <c r="EL324" i="10"/>
  <c r="H325" i="10"/>
  <c r="AO325" i="10"/>
  <c r="AP325" i="10"/>
  <c r="BJ325" i="10" s="1"/>
  <c r="BL325" i="10" s="1"/>
  <c r="AS325" i="10"/>
  <c r="AV325" i="10"/>
  <c r="EM325" i="10" s="1"/>
  <c r="DZ325" i="10"/>
  <c r="EB325" i="10"/>
  <c r="EG325" i="10"/>
  <c r="EL325" i="10"/>
  <c r="H326" i="10"/>
  <c r="EC326" i="10"/>
  <c r="BB326" i="10"/>
  <c r="BD326" i="10" s="1"/>
  <c r="AO326" i="10"/>
  <c r="AP326" i="10"/>
  <c r="AS326" i="10"/>
  <c r="AU326" i="10"/>
  <c r="AY326" i="10" s="1"/>
  <c r="CL326" i="10" s="1"/>
  <c r="AV326" i="10"/>
  <c r="EM326" i="10" s="1"/>
  <c r="DZ326" i="10"/>
  <c r="EB326" i="10"/>
  <c r="EG326" i="10"/>
  <c r="EL326" i="10"/>
  <c r="H327" i="10"/>
  <c r="AO327" i="10"/>
  <c r="AP327" i="10"/>
  <c r="AS327" i="10"/>
  <c r="AU327" i="10"/>
  <c r="AY327" i="10" s="1"/>
  <c r="AV327" i="10"/>
  <c r="EM327" i="10" s="1"/>
  <c r="DZ327" i="10"/>
  <c r="EB327" i="10"/>
  <c r="EG327" i="10"/>
  <c r="EL327" i="10"/>
  <c r="H328" i="10"/>
  <c r="EC328" i="10"/>
  <c r="AO328" i="10"/>
  <c r="AP328" i="10"/>
  <c r="BN328" i="10" s="1"/>
  <c r="BW328" i="10" s="1"/>
  <c r="AS328" i="10"/>
  <c r="AV328" i="10"/>
  <c r="EM328" i="10" s="1"/>
  <c r="DZ328" i="10"/>
  <c r="EB328" i="10"/>
  <c r="EG328" i="10"/>
  <c r="EL328" i="10"/>
  <c r="H329" i="10"/>
  <c r="EC329" i="10"/>
  <c r="AO329" i="10"/>
  <c r="AP329" i="10"/>
  <c r="AS329" i="10"/>
  <c r="AV329" i="10"/>
  <c r="EM329" i="10" s="1"/>
  <c r="DZ329" i="10"/>
  <c r="EB329" i="10"/>
  <c r="EG329" i="10"/>
  <c r="EL329" i="10"/>
  <c r="H330" i="10"/>
  <c r="AO330" i="10"/>
  <c r="AP330" i="10"/>
  <c r="AS330" i="10"/>
  <c r="AV330" i="10"/>
  <c r="EM330" i="10" s="1"/>
  <c r="DZ330" i="10"/>
  <c r="EB330" i="10"/>
  <c r="EG330" i="10"/>
  <c r="EL330" i="10"/>
  <c r="H331" i="10"/>
  <c r="AO331" i="10"/>
  <c r="AP331" i="10"/>
  <c r="AS331" i="10"/>
  <c r="AV331" i="10"/>
  <c r="EM331" i="10" s="1"/>
  <c r="DZ331" i="10"/>
  <c r="EB331" i="10"/>
  <c r="EG331" i="10"/>
  <c r="EL331" i="10"/>
  <c r="H332" i="10"/>
  <c r="EC332" i="10"/>
  <c r="AO332" i="10"/>
  <c r="BI332" i="10" s="1"/>
  <c r="BK332" i="10" s="1"/>
  <c r="AP332" i="10"/>
  <c r="BN332" i="10" s="1"/>
  <c r="BW332" i="10" s="1"/>
  <c r="AS332" i="10"/>
  <c r="AV332" i="10"/>
  <c r="EM332" i="10" s="1"/>
  <c r="DZ332" i="10"/>
  <c r="EB332" i="10"/>
  <c r="EG332" i="10"/>
  <c r="EL332" i="10"/>
  <c r="H333" i="10"/>
  <c r="BA333" i="10"/>
  <c r="BC333" i="10" s="1"/>
  <c r="AO333" i="10"/>
  <c r="BI333" i="10" s="1"/>
  <c r="BK333" i="10" s="1"/>
  <c r="AP333" i="10"/>
  <c r="AS333" i="10"/>
  <c r="AV333" i="10"/>
  <c r="EM333" i="10" s="1"/>
  <c r="DZ333" i="10"/>
  <c r="EB333" i="10"/>
  <c r="EG333" i="10"/>
  <c r="EL333" i="10"/>
  <c r="H334" i="10"/>
  <c r="AO334" i="10"/>
  <c r="BI334" i="10" s="1"/>
  <c r="BK334" i="10" s="1"/>
  <c r="AP334" i="10"/>
  <c r="BJ334" i="10" s="1"/>
  <c r="BL334" i="10" s="1"/>
  <c r="AS334" i="10"/>
  <c r="AV334" i="10"/>
  <c r="EM334" i="10" s="1"/>
  <c r="DZ334" i="10"/>
  <c r="EB334" i="10"/>
  <c r="EG334" i="10"/>
  <c r="EL334" i="10"/>
  <c r="H335" i="10"/>
  <c r="AO335" i="10"/>
  <c r="AP335" i="10"/>
  <c r="BN335" i="10" s="1"/>
  <c r="BW335" i="10" s="1"/>
  <c r="AS335" i="10"/>
  <c r="AV335" i="10"/>
  <c r="EM335" i="10" s="1"/>
  <c r="DZ335" i="10"/>
  <c r="EB335" i="10"/>
  <c r="EG335" i="10"/>
  <c r="EL335" i="10"/>
  <c r="H336" i="10"/>
  <c r="AO336" i="10"/>
  <c r="AP336" i="10"/>
  <c r="AS336" i="10"/>
  <c r="AV336" i="10"/>
  <c r="EM336" i="10" s="1"/>
  <c r="DZ336" i="10"/>
  <c r="EB336" i="10"/>
  <c r="EG336" i="10"/>
  <c r="EL336" i="10"/>
  <c r="H337" i="10"/>
  <c r="AO337" i="10"/>
  <c r="AP337" i="10"/>
  <c r="BJ337" i="10" s="1"/>
  <c r="BL337" i="10" s="1"/>
  <c r="AS337" i="10"/>
  <c r="AV337" i="10"/>
  <c r="EM337" i="10" s="1"/>
  <c r="DZ337" i="10"/>
  <c r="EB337" i="10"/>
  <c r="EG337" i="10"/>
  <c r="EL337" i="10"/>
  <c r="H338" i="10"/>
  <c r="AO338" i="10"/>
  <c r="AP338" i="10"/>
  <c r="AS338" i="10"/>
  <c r="AV338" i="10"/>
  <c r="EM338" i="10" s="1"/>
  <c r="DZ338" i="10"/>
  <c r="EB338" i="10"/>
  <c r="EG338" i="10"/>
  <c r="EL338" i="10"/>
  <c r="H339" i="10"/>
  <c r="AO339" i="10"/>
  <c r="AP339" i="10"/>
  <c r="AS339" i="10"/>
  <c r="AV339" i="10"/>
  <c r="EM339" i="10" s="1"/>
  <c r="DZ339" i="10"/>
  <c r="EB339" i="10"/>
  <c r="EG339" i="10"/>
  <c r="EL339" i="10"/>
  <c r="H340" i="10"/>
  <c r="AO340" i="10"/>
  <c r="AP340" i="10"/>
  <c r="BN340" i="10" s="1"/>
  <c r="BW340" i="10" s="1"/>
  <c r="AS340" i="10"/>
  <c r="AV340" i="10"/>
  <c r="EM340" i="10" s="1"/>
  <c r="DZ340" i="10"/>
  <c r="EB340" i="10"/>
  <c r="EG340" i="10"/>
  <c r="EL340" i="10"/>
  <c r="H341" i="10"/>
  <c r="AO341" i="10"/>
  <c r="AP341" i="10"/>
  <c r="BJ341" i="10" s="1"/>
  <c r="BL341" i="10" s="1"/>
  <c r="AS341" i="10"/>
  <c r="AV341" i="10"/>
  <c r="EM341" i="10" s="1"/>
  <c r="DZ341" i="10"/>
  <c r="EB341" i="10"/>
  <c r="EG341" i="10"/>
  <c r="EL341" i="10"/>
  <c r="H342" i="10"/>
  <c r="BA342" i="10"/>
  <c r="BC342" i="10" s="1"/>
  <c r="AO342" i="10"/>
  <c r="BM342" i="10" s="1"/>
  <c r="BV342" i="10" s="1"/>
  <c r="AP342" i="10"/>
  <c r="BN342" i="10" s="1"/>
  <c r="BW342" i="10" s="1"/>
  <c r="AS342" i="10"/>
  <c r="AV342" i="10"/>
  <c r="EM342" i="10" s="1"/>
  <c r="DZ342" i="10"/>
  <c r="EB342" i="10"/>
  <c r="EG342" i="10"/>
  <c r="EL342" i="10"/>
  <c r="H343" i="10"/>
  <c r="EC343" i="10"/>
  <c r="BB343" i="10"/>
  <c r="BD343" i="10" s="1"/>
  <c r="AO343" i="10"/>
  <c r="AP343" i="10"/>
  <c r="BJ343" i="10" s="1"/>
  <c r="BL343" i="10" s="1"/>
  <c r="AS343" i="10"/>
  <c r="AV343" i="10"/>
  <c r="EM343" i="10" s="1"/>
  <c r="DZ343" i="10"/>
  <c r="EB343" i="10"/>
  <c r="EG343" i="10"/>
  <c r="EL343" i="10"/>
  <c r="H344" i="10"/>
  <c r="AO344" i="10"/>
  <c r="AP344" i="10"/>
  <c r="AS344" i="10"/>
  <c r="AV344" i="10"/>
  <c r="EM344" i="10" s="1"/>
  <c r="DZ344" i="10"/>
  <c r="EB344" i="10"/>
  <c r="EG344" i="10"/>
  <c r="EL344" i="10"/>
  <c r="H345" i="10"/>
  <c r="AO345" i="10"/>
  <c r="BM345" i="10" s="1"/>
  <c r="BV345" i="10" s="1"/>
  <c r="AP345" i="10"/>
  <c r="AS345" i="10"/>
  <c r="AV345" i="10"/>
  <c r="EM345" i="10" s="1"/>
  <c r="DZ345" i="10"/>
  <c r="EB345" i="10"/>
  <c r="EG345" i="10"/>
  <c r="EL345" i="10"/>
  <c r="H346" i="10"/>
  <c r="BB346" i="10"/>
  <c r="BD346" i="10" s="1"/>
  <c r="AO346" i="10"/>
  <c r="AP346" i="10"/>
  <c r="AS346" i="10"/>
  <c r="AV346" i="10"/>
  <c r="EM346" i="10" s="1"/>
  <c r="DZ346" i="10"/>
  <c r="EB346" i="10"/>
  <c r="EG346" i="10"/>
  <c r="EL346" i="10"/>
  <c r="H347" i="10"/>
  <c r="AO347" i="10"/>
  <c r="AP347" i="10"/>
  <c r="AS347" i="10"/>
  <c r="AV347" i="10"/>
  <c r="EM347" i="10" s="1"/>
  <c r="DZ347" i="10"/>
  <c r="EB347" i="10"/>
  <c r="EG347" i="10"/>
  <c r="EL347" i="10"/>
  <c r="H348" i="10"/>
  <c r="AO348" i="10"/>
  <c r="AP348" i="10"/>
  <c r="AS348" i="10"/>
  <c r="AV348" i="10"/>
  <c r="EM348" i="10" s="1"/>
  <c r="DZ348" i="10"/>
  <c r="EB348" i="10"/>
  <c r="EG348" i="10"/>
  <c r="EL348" i="10"/>
  <c r="H349" i="10"/>
  <c r="EC349" i="10"/>
  <c r="AO349" i="10"/>
  <c r="AP349" i="10"/>
  <c r="BJ349" i="10" s="1"/>
  <c r="BL349" i="10" s="1"/>
  <c r="AS349" i="10"/>
  <c r="AV349" i="10"/>
  <c r="EM349" i="10" s="1"/>
  <c r="DZ349" i="10"/>
  <c r="EB349" i="10"/>
  <c r="EG349" i="10"/>
  <c r="EL349" i="10"/>
  <c r="H350" i="10"/>
  <c r="AO350" i="10"/>
  <c r="AP350" i="10"/>
  <c r="AS350" i="10"/>
  <c r="AV350" i="10"/>
  <c r="EM350" i="10" s="1"/>
  <c r="DZ350" i="10"/>
  <c r="EB350" i="10"/>
  <c r="EG350" i="10"/>
  <c r="EL350" i="10"/>
  <c r="H351" i="10"/>
  <c r="AO351" i="10"/>
  <c r="AP351" i="10"/>
  <c r="BJ351" i="10" s="1"/>
  <c r="BL351" i="10" s="1"/>
  <c r="AS351" i="10"/>
  <c r="AV351" i="10"/>
  <c r="EM351" i="10" s="1"/>
  <c r="DZ351" i="10"/>
  <c r="EB351" i="10"/>
  <c r="EG351" i="10"/>
  <c r="EL351" i="10"/>
  <c r="H352" i="10"/>
  <c r="EC352" i="10"/>
  <c r="AO352" i="10"/>
  <c r="AP352" i="10"/>
  <c r="AS352" i="10"/>
  <c r="AV352" i="10"/>
  <c r="EM352" i="10" s="1"/>
  <c r="DZ352" i="10"/>
  <c r="EB352" i="10"/>
  <c r="EG352" i="10"/>
  <c r="EL352" i="10"/>
  <c r="H353" i="10"/>
  <c r="EC353" i="10"/>
  <c r="AO353" i="10"/>
  <c r="BI353" i="10" s="1"/>
  <c r="BK353" i="10" s="1"/>
  <c r="AP353" i="10"/>
  <c r="AS353" i="10"/>
  <c r="AU353" i="10"/>
  <c r="AY353" i="10" s="1"/>
  <c r="CL353" i="10" s="1"/>
  <c r="AV353" i="10"/>
  <c r="EM353" i="10" s="1"/>
  <c r="DZ353" i="10"/>
  <c r="EB353" i="10"/>
  <c r="EG353" i="10"/>
  <c r="EL353" i="10"/>
  <c r="H354" i="10"/>
  <c r="AO354" i="10"/>
  <c r="BM354" i="10" s="1"/>
  <c r="BV354" i="10" s="1"/>
  <c r="AP354" i="10"/>
  <c r="BJ354" i="10" s="1"/>
  <c r="BL354" i="10" s="1"/>
  <c r="AS354" i="10"/>
  <c r="AV354" i="10"/>
  <c r="EM354" i="10" s="1"/>
  <c r="DZ354" i="10"/>
  <c r="EB354" i="10"/>
  <c r="EG354" i="10"/>
  <c r="EL354" i="10"/>
  <c r="H355" i="10"/>
  <c r="BB355" i="10"/>
  <c r="BD355" i="10" s="1"/>
  <c r="AO355" i="10"/>
  <c r="AP355" i="10"/>
  <c r="BN355" i="10" s="1"/>
  <c r="BW355" i="10" s="1"/>
  <c r="AS355" i="10"/>
  <c r="AV355" i="10"/>
  <c r="EM355" i="10" s="1"/>
  <c r="DZ355" i="10"/>
  <c r="EB355" i="10"/>
  <c r="EG355" i="10"/>
  <c r="EL355" i="10"/>
  <c r="H356" i="10"/>
  <c r="EC356" i="10"/>
  <c r="AO356" i="10"/>
  <c r="BM356" i="10" s="1"/>
  <c r="BV356" i="10" s="1"/>
  <c r="AP356" i="10"/>
  <c r="BN356" i="10" s="1"/>
  <c r="BW356" i="10" s="1"/>
  <c r="AS356" i="10"/>
  <c r="AV356" i="10"/>
  <c r="EM356" i="10" s="1"/>
  <c r="DZ356" i="10"/>
  <c r="EB356" i="10"/>
  <c r="EG356" i="10"/>
  <c r="EL356" i="10"/>
  <c r="H357" i="10"/>
  <c r="AO357" i="10"/>
  <c r="BI357" i="10" s="1"/>
  <c r="BK357" i="10" s="1"/>
  <c r="AP357" i="10"/>
  <c r="BN357" i="10" s="1"/>
  <c r="BW357" i="10" s="1"/>
  <c r="AS357" i="10"/>
  <c r="AV357" i="10"/>
  <c r="EM357" i="10" s="1"/>
  <c r="DZ357" i="10"/>
  <c r="EB357" i="10"/>
  <c r="EG357" i="10"/>
  <c r="EL357" i="10"/>
  <c r="H358" i="10"/>
  <c r="AO358" i="10"/>
  <c r="AP358" i="10"/>
  <c r="BN358" i="10" s="1"/>
  <c r="BW358" i="10" s="1"/>
  <c r="AS358" i="10"/>
  <c r="AV358" i="10"/>
  <c r="EM358" i="10" s="1"/>
  <c r="DZ358" i="10"/>
  <c r="EB358" i="10"/>
  <c r="EG358" i="10"/>
  <c r="EL358" i="10"/>
  <c r="H359" i="10"/>
  <c r="AO359" i="10"/>
  <c r="AP359" i="10"/>
  <c r="BN359" i="10" s="1"/>
  <c r="BW359" i="10" s="1"/>
  <c r="AS359" i="10"/>
  <c r="AV359" i="10"/>
  <c r="EM359" i="10" s="1"/>
  <c r="DZ359" i="10"/>
  <c r="EB359" i="10"/>
  <c r="EG359" i="10"/>
  <c r="EL359" i="10"/>
  <c r="H360" i="10"/>
  <c r="AO360" i="10"/>
  <c r="AP360" i="10"/>
  <c r="BJ360" i="10" s="1"/>
  <c r="BL360" i="10" s="1"/>
  <c r="AS360" i="10"/>
  <c r="AV360" i="10"/>
  <c r="EM360" i="10" s="1"/>
  <c r="DZ360" i="10"/>
  <c r="EB360" i="10"/>
  <c r="EG360" i="10"/>
  <c r="EL360" i="10"/>
  <c r="H361" i="10"/>
  <c r="AO361" i="10"/>
  <c r="AP361" i="10"/>
  <c r="BJ361" i="10" s="1"/>
  <c r="BL361" i="10" s="1"/>
  <c r="AS361" i="10"/>
  <c r="AV361" i="10"/>
  <c r="EM361" i="10" s="1"/>
  <c r="DZ361" i="10"/>
  <c r="EB361" i="10"/>
  <c r="EG361" i="10"/>
  <c r="EL361" i="10"/>
  <c r="H362" i="10"/>
  <c r="AO362" i="10"/>
  <c r="BI362" i="10" s="1"/>
  <c r="BK362" i="10" s="1"/>
  <c r="AP362" i="10"/>
  <c r="AS362" i="10"/>
  <c r="AV362" i="10"/>
  <c r="EM362" i="10" s="1"/>
  <c r="DZ362" i="10"/>
  <c r="EB362" i="10"/>
  <c r="EG362" i="10"/>
  <c r="EL362" i="10"/>
  <c r="H363" i="10"/>
  <c r="AO363" i="10"/>
  <c r="AP363" i="10"/>
  <c r="AS363" i="10"/>
  <c r="AV363" i="10"/>
  <c r="EM363" i="10" s="1"/>
  <c r="DZ363" i="10"/>
  <c r="EB363" i="10"/>
  <c r="EG363" i="10"/>
  <c r="EL363" i="10"/>
  <c r="H364" i="10"/>
  <c r="AO364" i="10"/>
  <c r="AP364" i="10"/>
  <c r="BJ364" i="10" s="1"/>
  <c r="BL364" i="10" s="1"/>
  <c r="AS364" i="10"/>
  <c r="AV364" i="10"/>
  <c r="EM364" i="10" s="1"/>
  <c r="DZ364" i="10"/>
  <c r="EB364" i="10"/>
  <c r="EG364" i="10"/>
  <c r="EL364" i="10"/>
  <c r="H365" i="10"/>
  <c r="AO365" i="10"/>
  <c r="BI365" i="10" s="1"/>
  <c r="BK365" i="10" s="1"/>
  <c r="AP365" i="10"/>
  <c r="BJ365" i="10" s="1"/>
  <c r="BL365" i="10" s="1"/>
  <c r="AS365" i="10"/>
  <c r="AV365" i="10"/>
  <c r="EM365" i="10" s="1"/>
  <c r="DZ365" i="10"/>
  <c r="EB365" i="10"/>
  <c r="EG365" i="10"/>
  <c r="EL365" i="10"/>
  <c r="H366" i="10"/>
  <c r="AO366" i="10"/>
  <c r="BI366" i="10" s="1"/>
  <c r="BK366" i="10" s="1"/>
  <c r="AP366" i="10"/>
  <c r="BJ366" i="10" s="1"/>
  <c r="BL366" i="10" s="1"/>
  <c r="AS366" i="10"/>
  <c r="AV366" i="10"/>
  <c r="EM366" i="10" s="1"/>
  <c r="DZ366" i="10"/>
  <c r="EB366" i="10"/>
  <c r="EG366" i="10"/>
  <c r="EL366" i="10"/>
  <c r="H367" i="10"/>
  <c r="BB367" i="10"/>
  <c r="BD367" i="10" s="1"/>
  <c r="AO367" i="10"/>
  <c r="AP367" i="10"/>
  <c r="BJ367" i="10" s="1"/>
  <c r="BL367" i="10" s="1"/>
  <c r="AS367" i="10"/>
  <c r="AV367" i="10"/>
  <c r="EM367" i="10" s="1"/>
  <c r="DZ367" i="10"/>
  <c r="EB367" i="10"/>
  <c r="EG367" i="10"/>
  <c r="EL367" i="10"/>
  <c r="H368" i="10"/>
  <c r="AO368" i="10"/>
  <c r="BM368" i="10" s="1"/>
  <c r="BV368" i="10" s="1"/>
  <c r="AP368" i="10"/>
  <c r="BN368" i="10" s="1"/>
  <c r="BW368" i="10" s="1"/>
  <c r="AS368" i="10"/>
  <c r="AV368" i="10"/>
  <c r="EM368" i="10" s="1"/>
  <c r="DZ368" i="10"/>
  <c r="EB368" i="10"/>
  <c r="EG368" i="10"/>
  <c r="EL368" i="10"/>
  <c r="H369" i="10"/>
  <c r="AO369" i="10"/>
  <c r="AP369" i="10"/>
  <c r="AS369" i="10"/>
  <c r="AV369" i="10"/>
  <c r="EM369" i="10" s="1"/>
  <c r="DZ369" i="10"/>
  <c r="EB369" i="10"/>
  <c r="EG369" i="10"/>
  <c r="EL369" i="10"/>
  <c r="H370" i="10"/>
  <c r="EC370" i="10"/>
  <c r="AO370" i="10"/>
  <c r="BI370" i="10" s="1"/>
  <c r="BK370" i="10" s="1"/>
  <c r="AP370" i="10"/>
  <c r="BJ370" i="10" s="1"/>
  <c r="BL370" i="10" s="1"/>
  <c r="AS370" i="10"/>
  <c r="AV370" i="10"/>
  <c r="EM370" i="10" s="1"/>
  <c r="DZ370" i="10"/>
  <c r="EB370" i="10"/>
  <c r="EG370" i="10"/>
  <c r="EL370" i="10"/>
  <c r="H371" i="10"/>
  <c r="AO371" i="10"/>
  <c r="BI371" i="10" s="1"/>
  <c r="BK371" i="10" s="1"/>
  <c r="AP371" i="10"/>
  <c r="AS371" i="10"/>
  <c r="AV371" i="10"/>
  <c r="EM371" i="10" s="1"/>
  <c r="DZ371" i="10"/>
  <c r="EB371" i="10"/>
  <c r="EG371" i="10"/>
  <c r="EL371" i="10"/>
  <c r="H372" i="10"/>
  <c r="AO372" i="10"/>
  <c r="AP372" i="10"/>
  <c r="AS372" i="10"/>
  <c r="AV372" i="10"/>
  <c r="EM372" i="10" s="1"/>
  <c r="DZ372" i="10"/>
  <c r="EB372" i="10"/>
  <c r="EG372" i="10"/>
  <c r="EL372" i="10"/>
  <c r="H373" i="10"/>
  <c r="BB373" i="10"/>
  <c r="BD373" i="10" s="1"/>
  <c r="AO373" i="10"/>
  <c r="BI373" i="10" s="1"/>
  <c r="BK373" i="10" s="1"/>
  <c r="AP373" i="10"/>
  <c r="AS373" i="10"/>
  <c r="AV373" i="10"/>
  <c r="EM373" i="10" s="1"/>
  <c r="DZ373" i="10"/>
  <c r="EB373" i="10"/>
  <c r="EG373" i="10"/>
  <c r="EL373" i="10"/>
  <c r="H374" i="10"/>
  <c r="AO374" i="10"/>
  <c r="AP374" i="10"/>
  <c r="AS374" i="10"/>
  <c r="AV374" i="10"/>
  <c r="EM374" i="10" s="1"/>
  <c r="DZ374" i="10"/>
  <c r="EB374" i="10"/>
  <c r="EG374" i="10"/>
  <c r="EL374" i="10"/>
  <c r="H375" i="10"/>
  <c r="AO375" i="10"/>
  <c r="BM375" i="10" s="1"/>
  <c r="BV375" i="10" s="1"/>
  <c r="AP375" i="10"/>
  <c r="BN375" i="10" s="1"/>
  <c r="BW375" i="10" s="1"/>
  <c r="AS375" i="10"/>
  <c r="AV375" i="10"/>
  <c r="EM375" i="10" s="1"/>
  <c r="DZ375" i="10"/>
  <c r="EB375" i="10"/>
  <c r="EG375" i="10"/>
  <c r="EL375" i="10"/>
  <c r="H376" i="10"/>
  <c r="AO376" i="10"/>
  <c r="BI376" i="10" s="1"/>
  <c r="BK376" i="10" s="1"/>
  <c r="AP376" i="10"/>
  <c r="BN376" i="10" s="1"/>
  <c r="BW376" i="10" s="1"/>
  <c r="AS376" i="10"/>
  <c r="AV376" i="10"/>
  <c r="EM376" i="10" s="1"/>
  <c r="DZ376" i="10"/>
  <c r="EB376" i="10"/>
  <c r="EG376" i="10"/>
  <c r="EL376" i="10"/>
  <c r="H377" i="10"/>
  <c r="EC377" i="10"/>
  <c r="AO377" i="10"/>
  <c r="AP377" i="10"/>
  <c r="AS377" i="10"/>
  <c r="AV377" i="10"/>
  <c r="EM377" i="10" s="1"/>
  <c r="DZ377" i="10"/>
  <c r="EB377" i="10"/>
  <c r="EG377" i="10"/>
  <c r="EL377" i="10"/>
  <c r="H378" i="10"/>
  <c r="AO378" i="10"/>
  <c r="AP378" i="10"/>
  <c r="AS378" i="10"/>
  <c r="AV378" i="10"/>
  <c r="EM378" i="10" s="1"/>
  <c r="DZ378" i="10"/>
  <c r="EB378" i="10"/>
  <c r="EG378" i="10"/>
  <c r="EL378" i="10"/>
  <c r="H379" i="10"/>
  <c r="AO379" i="10"/>
  <c r="BI379" i="10" s="1"/>
  <c r="BK379" i="10" s="1"/>
  <c r="AP379" i="10"/>
  <c r="BJ379" i="10" s="1"/>
  <c r="BL379" i="10" s="1"/>
  <c r="AS379" i="10"/>
  <c r="AV379" i="10"/>
  <c r="EM379" i="10" s="1"/>
  <c r="DZ379" i="10"/>
  <c r="EB379" i="10"/>
  <c r="EG379" i="10"/>
  <c r="EL379" i="10"/>
  <c r="H380" i="10"/>
  <c r="EC380" i="10"/>
  <c r="AO380" i="10"/>
  <c r="AP380" i="10"/>
  <c r="BN380" i="10" s="1"/>
  <c r="BW380" i="10" s="1"/>
  <c r="AS380" i="10"/>
  <c r="AV380" i="10"/>
  <c r="EM380" i="10" s="1"/>
  <c r="DZ380" i="10"/>
  <c r="EB380" i="10"/>
  <c r="EG380" i="10"/>
  <c r="EL380" i="10"/>
  <c r="H381" i="10"/>
  <c r="AO381" i="10"/>
  <c r="BI381" i="10" s="1"/>
  <c r="BK381" i="10" s="1"/>
  <c r="AP381" i="10"/>
  <c r="AS381" i="10"/>
  <c r="AU381" i="10"/>
  <c r="AV381" i="10"/>
  <c r="EM381" i="10" s="1"/>
  <c r="DZ381" i="10"/>
  <c r="EB381" i="10"/>
  <c r="EG381" i="10"/>
  <c r="EL381" i="10"/>
  <c r="H382" i="10"/>
  <c r="AO382" i="10"/>
  <c r="BM382" i="10" s="1"/>
  <c r="BV382" i="10" s="1"/>
  <c r="AP382" i="10"/>
  <c r="BJ382" i="10" s="1"/>
  <c r="BL382" i="10" s="1"/>
  <c r="AS382" i="10"/>
  <c r="AV382" i="10"/>
  <c r="EM382" i="10" s="1"/>
  <c r="DZ382" i="10"/>
  <c r="EB382" i="10"/>
  <c r="EG382" i="10"/>
  <c r="EL382" i="10"/>
  <c r="H383" i="10"/>
  <c r="AO383" i="10"/>
  <c r="AP383" i="10"/>
  <c r="BJ383" i="10" s="1"/>
  <c r="BL383" i="10" s="1"/>
  <c r="AS383" i="10"/>
  <c r="AV383" i="10"/>
  <c r="EM383" i="10" s="1"/>
  <c r="DZ383" i="10"/>
  <c r="EB383" i="10"/>
  <c r="EG383" i="10"/>
  <c r="EL383" i="10"/>
  <c r="H384" i="10"/>
  <c r="AO384" i="10"/>
  <c r="BM384" i="10" s="1"/>
  <c r="BV384" i="10" s="1"/>
  <c r="AP384" i="10"/>
  <c r="AS384" i="10"/>
  <c r="AV384" i="10"/>
  <c r="EM384" i="10" s="1"/>
  <c r="DZ384" i="10"/>
  <c r="EB384" i="10"/>
  <c r="EG384" i="10"/>
  <c r="EL384" i="10"/>
  <c r="H385" i="10"/>
  <c r="EC385" i="10"/>
  <c r="AO385" i="10"/>
  <c r="BI385" i="10" s="1"/>
  <c r="BK385" i="10" s="1"/>
  <c r="AP385" i="10"/>
  <c r="AS385" i="10"/>
  <c r="AV385" i="10"/>
  <c r="EM385" i="10" s="1"/>
  <c r="DZ385" i="10"/>
  <c r="EB385" i="10"/>
  <c r="EG385" i="10"/>
  <c r="EL385" i="10"/>
  <c r="H386" i="10"/>
  <c r="BA386" i="10"/>
  <c r="BC386" i="10" s="1"/>
  <c r="AO386" i="10"/>
  <c r="AP386" i="10"/>
  <c r="AS386" i="10"/>
  <c r="AV386" i="10"/>
  <c r="EM386" i="10" s="1"/>
  <c r="DZ386" i="10"/>
  <c r="EB386" i="10"/>
  <c r="EG386" i="10"/>
  <c r="EL386" i="10"/>
  <c r="H387" i="10"/>
  <c r="AO387" i="10"/>
  <c r="AP387" i="10"/>
  <c r="AS387" i="10"/>
  <c r="AV387" i="10"/>
  <c r="EM387" i="10" s="1"/>
  <c r="DZ387" i="10"/>
  <c r="EB387" i="10"/>
  <c r="EG387" i="10"/>
  <c r="EL387" i="10"/>
  <c r="H388" i="10"/>
  <c r="AO388" i="10"/>
  <c r="AP388" i="10"/>
  <c r="BJ388" i="10" s="1"/>
  <c r="BL388" i="10" s="1"/>
  <c r="AS388" i="10"/>
  <c r="AV388" i="10"/>
  <c r="EM388" i="10" s="1"/>
  <c r="DZ388" i="10"/>
  <c r="EB388" i="10"/>
  <c r="EG388" i="10"/>
  <c r="EL388" i="10"/>
  <c r="H389" i="10"/>
  <c r="AO389" i="10"/>
  <c r="BM389" i="10" s="1"/>
  <c r="BV389" i="10" s="1"/>
  <c r="AP389" i="10"/>
  <c r="AS389" i="10"/>
  <c r="AU389" i="10"/>
  <c r="AV389" i="10"/>
  <c r="EM389" i="10" s="1"/>
  <c r="DZ389" i="10"/>
  <c r="EB389" i="10"/>
  <c r="EG389" i="10"/>
  <c r="EL389" i="10"/>
  <c r="H390" i="10"/>
  <c r="AO390" i="10"/>
  <c r="BM390" i="10" s="1"/>
  <c r="BV390" i="10" s="1"/>
  <c r="AP390" i="10"/>
  <c r="AS390" i="10"/>
  <c r="AV390" i="10"/>
  <c r="EM390" i="10" s="1"/>
  <c r="DZ390" i="10"/>
  <c r="EB390" i="10"/>
  <c r="EG390" i="10"/>
  <c r="EL390" i="10"/>
  <c r="H391" i="10"/>
  <c r="AO391" i="10"/>
  <c r="BI391" i="10" s="1"/>
  <c r="BK391" i="10" s="1"/>
  <c r="AP391" i="10"/>
  <c r="AS391" i="10"/>
  <c r="AV391" i="10"/>
  <c r="EM391" i="10" s="1"/>
  <c r="DZ391" i="10"/>
  <c r="EB391" i="10"/>
  <c r="EG391" i="10"/>
  <c r="EL391" i="10"/>
  <c r="H392" i="10"/>
  <c r="AO392" i="10"/>
  <c r="BI392" i="10" s="1"/>
  <c r="BK392" i="10" s="1"/>
  <c r="AP392" i="10"/>
  <c r="BN392" i="10" s="1"/>
  <c r="BW392" i="10" s="1"/>
  <c r="AS392" i="10"/>
  <c r="AV392" i="10"/>
  <c r="EM392" i="10" s="1"/>
  <c r="DZ392" i="10"/>
  <c r="EB392" i="10"/>
  <c r="EG392" i="10"/>
  <c r="EL392" i="10"/>
  <c r="H393" i="10"/>
  <c r="AO393" i="10"/>
  <c r="AP393" i="10"/>
  <c r="BJ393" i="10" s="1"/>
  <c r="BL393" i="10" s="1"/>
  <c r="AS393" i="10"/>
  <c r="AV393" i="10"/>
  <c r="EM393" i="10" s="1"/>
  <c r="DZ393" i="10"/>
  <c r="EB393" i="10"/>
  <c r="EG393" i="10"/>
  <c r="EL393" i="10"/>
  <c r="H394" i="10"/>
  <c r="AO394" i="10"/>
  <c r="AP394" i="10"/>
  <c r="BN394" i="10" s="1"/>
  <c r="BW394" i="10" s="1"/>
  <c r="AS394" i="10"/>
  <c r="AV394" i="10"/>
  <c r="EM394" i="10" s="1"/>
  <c r="DZ394" i="10"/>
  <c r="EB394" i="10"/>
  <c r="EG394" i="10"/>
  <c r="EL394" i="10"/>
  <c r="H395" i="10"/>
  <c r="AO395" i="10"/>
  <c r="AP395" i="10"/>
  <c r="BJ395" i="10" s="1"/>
  <c r="BL395" i="10" s="1"/>
  <c r="AS395" i="10"/>
  <c r="AV395" i="10"/>
  <c r="EM395" i="10" s="1"/>
  <c r="DZ395" i="10"/>
  <c r="EB395" i="10"/>
  <c r="EG395" i="10"/>
  <c r="EL395" i="10"/>
  <c r="H396" i="10"/>
  <c r="EC396" i="10"/>
  <c r="AO396" i="10"/>
  <c r="BM396" i="10" s="1"/>
  <c r="BV396" i="10" s="1"/>
  <c r="AP396" i="10"/>
  <c r="AS396" i="10"/>
  <c r="AV396" i="10"/>
  <c r="EM396" i="10" s="1"/>
  <c r="DZ396" i="10"/>
  <c r="EB396" i="10"/>
  <c r="EG396" i="10"/>
  <c r="EL396" i="10"/>
  <c r="H397" i="10"/>
  <c r="EC397" i="10"/>
  <c r="AO397" i="10"/>
  <c r="AP397" i="10"/>
  <c r="AS397" i="10"/>
  <c r="AV397" i="10"/>
  <c r="EM397" i="10" s="1"/>
  <c r="DZ397" i="10"/>
  <c r="EB397" i="10"/>
  <c r="EG397" i="10"/>
  <c r="EL397" i="10"/>
  <c r="H398" i="10"/>
  <c r="AO398" i="10"/>
  <c r="AP398" i="10"/>
  <c r="AS398" i="10"/>
  <c r="AV398" i="10"/>
  <c r="EM398" i="10" s="1"/>
  <c r="DZ398" i="10"/>
  <c r="EB398" i="10"/>
  <c r="EG398" i="10"/>
  <c r="EL398" i="10"/>
  <c r="H399" i="10"/>
  <c r="AO399" i="10"/>
  <c r="AP399" i="10"/>
  <c r="AS399" i="10"/>
  <c r="AV399" i="10"/>
  <c r="EM399" i="10" s="1"/>
  <c r="DZ399" i="10"/>
  <c r="EB399" i="10"/>
  <c r="EG399" i="10"/>
  <c r="EL399" i="10"/>
  <c r="H400" i="10"/>
  <c r="AO400" i="10"/>
  <c r="AP400" i="10"/>
  <c r="AS400" i="10"/>
  <c r="AV400" i="10"/>
  <c r="EM400" i="10" s="1"/>
  <c r="DZ400" i="10"/>
  <c r="EB400" i="10"/>
  <c r="EG400" i="10"/>
  <c r="EL400" i="10"/>
  <c r="H401" i="10"/>
  <c r="EC401" i="10"/>
  <c r="AO401" i="10"/>
  <c r="AP401" i="10"/>
  <c r="AS401" i="10"/>
  <c r="AV401" i="10"/>
  <c r="EM401" i="10" s="1"/>
  <c r="DZ401" i="10"/>
  <c r="EB401" i="10"/>
  <c r="EG401" i="10"/>
  <c r="EL401" i="10"/>
  <c r="H402" i="10"/>
  <c r="BA402" i="10"/>
  <c r="BC402" i="10" s="1"/>
  <c r="AO402" i="10"/>
  <c r="BI402" i="10" s="1"/>
  <c r="BK402" i="10" s="1"/>
  <c r="AP402" i="10"/>
  <c r="BN402" i="10" s="1"/>
  <c r="BW402" i="10" s="1"/>
  <c r="AS402" i="10"/>
  <c r="AV402" i="10"/>
  <c r="EM402" i="10" s="1"/>
  <c r="DZ402" i="10"/>
  <c r="EB402" i="10"/>
  <c r="EG402" i="10"/>
  <c r="EL402" i="10"/>
  <c r="H403" i="10"/>
  <c r="AO403" i="10"/>
  <c r="BM403" i="10" s="1"/>
  <c r="BV403" i="10" s="1"/>
  <c r="AP403" i="10"/>
  <c r="AS403" i="10"/>
  <c r="AV403" i="10"/>
  <c r="EM403" i="10" s="1"/>
  <c r="DZ403" i="10"/>
  <c r="EB403" i="10"/>
  <c r="EG403" i="10"/>
  <c r="EL403" i="10"/>
  <c r="H404" i="10"/>
  <c r="AO404" i="10"/>
  <c r="BI404" i="10" s="1"/>
  <c r="BK404" i="10" s="1"/>
  <c r="AP404" i="10"/>
  <c r="AS404" i="10"/>
  <c r="AV404" i="10"/>
  <c r="EM404" i="10" s="1"/>
  <c r="DZ404" i="10"/>
  <c r="EB404" i="10"/>
  <c r="EG404" i="10"/>
  <c r="EL404" i="10"/>
  <c r="H405" i="10"/>
  <c r="AO405" i="10"/>
  <c r="BM405" i="10" s="1"/>
  <c r="BV405" i="10" s="1"/>
  <c r="AP405" i="10"/>
  <c r="BJ405" i="10" s="1"/>
  <c r="BL405" i="10" s="1"/>
  <c r="AS405" i="10"/>
  <c r="AV405" i="10"/>
  <c r="EM405" i="10" s="1"/>
  <c r="DZ405" i="10"/>
  <c r="EB405" i="10"/>
  <c r="EG405" i="10"/>
  <c r="EL405" i="10"/>
  <c r="H406" i="10"/>
  <c r="BA406" i="10"/>
  <c r="BC406" i="10" s="1"/>
  <c r="AO406" i="10"/>
  <c r="AP406" i="10"/>
  <c r="AS406" i="10"/>
  <c r="AV406" i="10"/>
  <c r="EM406" i="10" s="1"/>
  <c r="DZ406" i="10"/>
  <c r="EB406" i="10"/>
  <c r="EG406" i="10"/>
  <c r="EL406" i="10"/>
  <c r="H407" i="10"/>
  <c r="AO407" i="10"/>
  <c r="BM407" i="10" s="1"/>
  <c r="BV407" i="10" s="1"/>
  <c r="AP407" i="10"/>
  <c r="AS407" i="10"/>
  <c r="AV407" i="10"/>
  <c r="EM407" i="10" s="1"/>
  <c r="DZ407" i="10"/>
  <c r="EB407" i="10"/>
  <c r="EG407" i="10"/>
  <c r="EL407" i="10"/>
  <c r="H408" i="10"/>
  <c r="EC408" i="10"/>
  <c r="AO408" i="10"/>
  <c r="BM408" i="10" s="1"/>
  <c r="BV408" i="10" s="1"/>
  <c r="AP408" i="10"/>
  <c r="AS408" i="10"/>
  <c r="AV408" i="10"/>
  <c r="EM408" i="10" s="1"/>
  <c r="DZ408" i="10"/>
  <c r="EB408" i="10"/>
  <c r="EG408" i="10"/>
  <c r="EL408" i="10"/>
  <c r="H409" i="10"/>
  <c r="AO409" i="10"/>
  <c r="BM409" i="10" s="1"/>
  <c r="BV409" i="10" s="1"/>
  <c r="AP409" i="10"/>
  <c r="BJ409" i="10" s="1"/>
  <c r="BL409" i="10" s="1"/>
  <c r="AS409" i="10"/>
  <c r="AV409" i="10"/>
  <c r="EM409" i="10" s="1"/>
  <c r="DZ409" i="10"/>
  <c r="EB409" i="10"/>
  <c r="EG409" i="10"/>
  <c r="EL409" i="10"/>
  <c r="H410" i="10"/>
  <c r="AO410" i="10"/>
  <c r="AP410" i="10"/>
  <c r="AS410" i="10"/>
  <c r="AV410" i="10"/>
  <c r="EM410" i="10" s="1"/>
  <c r="DZ410" i="10"/>
  <c r="EB410" i="10"/>
  <c r="EG410" i="10"/>
  <c r="EL410" i="10"/>
  <c r="H411" i="10"/>
  <c r="AO411" i="10"/>
  <c r="AP411" i="10"/>
  <c r="AS411" i="10"/>
  <c r="AV411" i="10"/>
  <c r="EM411" i="10" s="1"/>
  <c r="DZ411" i="10"/>
  <c r="EB411" i="10"/>
  <c r="EG411" i="10"/>
  <c r="EL411" i="10"/>
  <c r="H412" i="10"/>
  <c r="AO412" i="10"/>
  <c r="AP412" i="10"/>
  <c r="AS412" i="10"/>
  <c r="AU412" i="10"/>
  <c r="AY412" i="10" s="1"/>
  <c r="AV412" i="10"/>
  <c r="EM412" i="10" s="1"/>
  <c r="DZ412" i="10"/>
  <c r="EB412" i="10"/>
  <c r="EG412" i="10"/>
  <c r="EL412" i="10"/>
  <c r="H413" i="10"/>
  <c r="AO413" i="10"/>
  <c r="BI413" i="10" s="1"/>
  <c r="BK413" i="10" s="1"/>
  <c r="AP413" i="10"/>
  <c r="AS413" i="10"/>
  <c r="AV413" i="10"/>
  <c r="EM413" i="10" s="1"/>
  <c r="DZ413" i="10"/>
  <c r="EB413" i="10"/>
  <c r="EG413" i="10"/>
  <c r="EL413" i="10"/>
  <c r="H414" i="10"/>
  <c r="AO414" i="10"/>
  <c r="AP414" i="10"/>
  <c r="BJ414" i="10" s="1"/>
  <c r="BL414" i="10" s="1"/>
  <c r="AS414" i="10"/>
  <c r="AV414" i="10"/>
  <c r="EM414" i="10" s="1"/>
  <c r="DZ414" i="10"/>
  <c r="EB414" i="10"/>
  <c r="EG414" i="10"/>
  <c r="EL414" i="10"/>
  <c r="H415" i="10"/>
  <c r="AO415" i="10"/>
  <c r="BM415" i="10" s="1"/>
  <c r="BV415" i="10" s="1"/>
  <c r="AP415" i="10"/>
  <c r="AS415" i="10"/>
  <c r="AV415" i="10"/>
  <c r="EM415" i="10" s="1"/>
  <c r="DZ415" i="10"/>
  <c r="EB415" i="10"/>
  <c r="EG415" i="10"/>
  <c r="EL415" i="10"/>
  <c r="H416" i="10"/>
  <c r="AO416" i="10"/>
  <c r="AP416" i="10"/>
  <c r="AS416" i="10"/>
  <c r="AV416" i="10"/>
  <c r="EM416" i="10" s="1"/>
  <c r="DZ416" i="10"/>
  <c r="EB416" i="10"/>
  <c r="EG416" i="10"/>
  <c r="EL416" i="10"/>
  <c r="H417" i="10"/>
  <c r="AO417" i="10"/>
  <c r="AP417" i="10"/>
  <c r="AS417" i="10"/>
  <c r="AV417" i="10"/>
  <c r="EM417" i="10" s="1"/>
  <c r="DZ417" i="10"/>
  <c r="EB417" i="10"/>
  <c r="EG417" i="10"/>
  <c r="EL417" i="10"/>
  <c r="H418" i="10"/>
  <c r="AO418" i="10"/>
  <c r="AP418" i="10"/>
  <c r="BN418" i="10" s="1"/>
  <c r="BW418" i="10" s="1"/>
  <c r="AS418" i="10"/>
  <c r="AV418" i="10"/>
  <c r="EM418" i="10" s="1"/>
  <c r="DZ418" i="10"/>
  <c r="EB418" i="10"/>
  <c r="EG418" i="10"/>
  <c r="EL418" i="10"/>
  <c r="H419" i="10"/>
  <c r="AO419" i="10"/>
  <c r="AP419" i="10"/>
  <c r="BN419" i="10" s="1"/>
  <c r="BW419" i="10" s="1"/>
  <c r="AS419" i="10"/>
  <c r="AV419" i="10"/>
  <c r="EM419" i="10" s="1"/>
  <c r="DZ419" i="10"/>
  <c r="EB419" i="10"/>
  <c r="EG419" i="10"/>
  <c r="EL419" i="10"/>
  <c r="H420" i="10"/>
  <c r="AO420" i="10"/>
  <c r="BM420" i="10" s="1"/>
  <c r="BV420" i="10" s="1"/>
  <c r="AP420" i="10"/>
  <c r="BJ420" i="10" s="1"/>
  <c r="BL420" i="10" s="1"/>
  <c r="AS420" i="10"/>
  <c r="AV420" i="10"/>
  <c r="EM420" i="10" s="1"/>
  <c r="DZ420" i="10"/>
  <c r="EB420" i="10"/>
  <c r="EG420" i="10"/>
  <c r="EL420" i="10"/>
  <c r="H421" i="10"/>
  <c r="AO421" i="10"/>
  <c r="AP421" i="10"/>
  <c r="AS421" i="10"/>
  <c r="AV421" i="10"/>
  <c r="EM421" i="10" s="1"/>
  <c r="DZ421" i="10"/>
  <c r="EB421" i="10"/>
  <c r="EG421" i="10"/>
  <c r="EL421" i="10"/>
  <c r="H422" i="10"/>
  <c r="AO422" i="10"/>
  <c r="AP422" i="10"/>
  <c r="AS422" i="10"/>
  <c r="AV422" i="10"/>
  <c r="EM422" i="10" s="1"/>
  <c r="DZ422" i="10"/>
  <c r="EB422" i="10"/>
  <c r="EG422" i="10"/>
  <c r="EL422" i="10"/>
  <c r="H423" i="10"/>
  <c r="BA423" i="10"/>
  <c r="BC423" i="10" s="1"/>
  <c r="AO423" i="10"/>
  <c r="AP423" i="10"/>
  <c r="AS423" i="10"/>
  <c r="AV423" i="10"/>
  <c r="EM423" i="10" s="1"/>
  <c r="DZ423" i="10"/>
  <c r="EB423" i="10"/>
  <c r="EG423" i="10"/>
  <c r="EL423" i="10"/>
  <c r="H424" i="10"/>
  <c r="AO424" i="10"/>
  <c r="BM424" i="10" s="1"/>
  <c r="BV424" i="10" s="1"/>
  <c r="AP424" i="10"/>
  <c r="BJ424" i="10" s="1"/>
  <c r="BL424" i="10" s="1"/>
  <c r="AS424" i="10"/>
  <c r="AV424" i="10"/>
  <c r="EM424" i="10" s="1"/>
  <c r="DZ424" i="10"/>
  <c r="EB424" i="10"/>
  <c r="EG424" i="10"/>
  <c r="EL424" i="10"/>
  <c r="H425" i="10"/>
  <c r="AO425" i="10"/>
  <c r="AP425" i="10"/>
  <c r="AS425" i="10"/>
  <c r="AV425" i="10"/>
  <c r="EM425" i="10" s="1"/>
  <c r="DZ425" i="10"/>
  <c r="EB425" i="10"/>
  <c r="EG425" i="10"/>
  <c r="EL425" i="10"/>
  <c r="H426" i="10"/>
  <c r="AO426" i="10"/>
  <c r="AP426" i="10"/>
  <c r="AS426" i="10"/>
  <c r="AV426" i="10"/>
  <c r="EM426" i="10" s="1"/>
  <c r="DZ426" i="10"/>
  <c r="EB426" i="10"/>
  <c r="EG426" i="10"/>
  <c r="EL426" i="10"/>
  <c r="H427" i="10"/>
  <c r="AO427" i="10"/>
  <c r="AP427" i="10"/>
  <c r="BJ427" i="10" s="1"/>
  <c r="BL427" i="10" s="1"/>
  <c r="AS427" i="10"/>
  <c r="AV427" i="10"/>
  <c r="EM427" i="10" s="1"/>
  <c r="DZ427" i="10"/>
  <c r="EB427" i="10"/>
  <c r="EG427" i="10"/>
  <c r="EL427" i="10"/>
  <c r="H428" i="10"/>
  <c r="EC428" i="10"/>
  <c r="AO428" i="10"/>
  <c r="BM428" i="10" s="1"/>
  <c r="BV428" i="10" s="1"/>
  <c r="AP428" i="10"/>
  <c r="AS428" i="10"/>
  <c r="AV428" i="10"/>
  <c r="EM428" i="10" s="1"/>
  <c r="DZ428" i="10"/>
  <c r="EB428" i="10"/>
  <c r="EG428" i="10"/>
  <c r="EL428" i="10"/>
  <c r="H429" i="10"/>
  <c r="EC429" i="10"/>
  <c r="AO429" i="10"/>
  <c r="BM429" i="10" s="1"/>
  <c r="BV429" i="10" s="1"/>
  <c r="AP429" i="10"/>
  <c r="BJ429" i="10" s="1"/>
  <c r="BL429" i="10" s="1"/>
  <c r="AS429" i="10"/>
  <c r="AV429" i="10"/>
  <c r="EM429" i="10" s="1"/>
  <c r="DZ429" i="10"/>
  <c r="EB429" i="10"/>
  <c r="EG429" i="10"/>
  <c r="EL429" i="10"/>
  <c r="H430" i="10"/>
  <c r="AO430" i="10"/>
  <c r="AP430" i="10"/>
  <c r="AS430" i="10"/>
  <c r="AV430" i="10"/>
  <c r="EM430" i="10" s="1"/>
  <c r="DZ430" i="10"/>
  <c r="EB430" i="10"/>
  <c r="EG430" i="10"/>
  <c r="EL430" i="10"/>
  <c r="H431" i="10"/>
  <c r="AO431" i="10"/>
  <c r="AP431" i="10"/>
  <c r="AS431" i="10"/>
  <c r="AV431" i="10"/>
  <c r="EM431" i="10" s="1"/>
  <c r="DZ431" i="10"/>
  <c r="EB431" i="10"/>
  <c r="EG431" i="10"/>
  <c r="EL431" i="10"/>
  <c r="H432" i="10"/>
  <c r="AO432" i="10"/>
  <c r="BI432" i="10" s="1"/>
  <c r="BK432" i="10" s="1"/>
  <c r="AP432" i="10"/>
  <c r="AS432" i="10"/>
  <c r="AV432" i="10"/>
  <c r="EM432" i="10" s="1"/>
  <c r="DZ432" i="10"/>
  <c r="EB432" i="10"/>
  <c r="EG432" i="10"/>
  <c r="EL432" i="10"/>
  <c r="H433" i="10"/>
  <c r="AO433" i="10"/>
  <c r="AP433" i="10"/>
  <c r="BJ433" i="10" s="1"/>
  <c r="BL433" i="10" s="1"/>
  <c r="AS433" i="10"/>
  <c r="AV433" i="10"/>
  <c r="EM433" i="10" s="1"/>
  <c r="DZ433" i="10"/>
  <c r="EB433" i="10"/>
  <c r="EG433" i="10"/>
  <c r="EL433" i="10"/>
  <c r="H434" i="10"/>
  <c r="AO434" i="10"/>
  <c r="AP434" i="10"/>
  <c r="AS434" i="10"/>
  <c r="AV434" i="10"/>
  <c r="EM434" i="10" s="1"/>
  <c r="DZ434" i="10"/>
  <c r="EB434" i="10"/>
  <c r="EG434" i="10"/>
  <c r="EL434" i="10"/>
  <c r="H435" i="10"/>
  <c r="AO435" i="10"/>
  <c r="AP435" i="10"/>
  <c r="AS435" i="10"/>
  <c r="AV435" i="10"/>
  <c r="EM435" i="10" s="1"/>
  <c r="DZ435" i="10"/>
  <c r="EB435" i="10"/>
  <c r="EG435" i="10"/>
  <c r="EL435" i="10"/>
  <c r="H436" i="10"/>
  <c r="EC436" i="10"/>
  <c r="AO436" i="10"/>
  <c r="BM436" i="10" s="1"/>
  <c r="BV436" i="10" s="1"/>
  <c r="AP436" i="10"/>
  <c r="AS436" i="10"/>
  <c r="AU436" i="10"/>
  <c r="AY436" i="10" s="1"/>
  <c r="AV436" i="10"/>
  <c r="EM436" i="10" s="1"/>
  <c r="DZ436" i="10"/>
  <c r="EB436" i="10"/>
  <c r="EG436" i="10"/>
  <c r="EL436" i="10"/>
  <c r="H437" i="10"/>
  <c r="EC437" i="10"/>
  <c r="AO437" i="10"/>
  <c r="BM437" i="10" s="1"/>
  <c r="BV437" i="10" s="1"/>
  <c r="AP437" i="10"/>
  <c r="AS437" i="10"/>
  <c r="AV437" i="10"/>
  <c r="EM437" i="10" s="1"/>
  <c r="DZ437" i="10"/>
  <c r="EB437" i="10"/>
  <c r="EG437" i="10"/>
  <c r="EL437" i="10"/>
  <c r="H438" i="10"/>
  <c r="AO438" i="10"/>
  <c r="BI438" i="10" s="1"/>
  <c r="BK438" i="10" s="1"/>
  <c r="AP438" i="10"/>
  <c r="AS438" i="10"/>
  <c r="AV438" i="10"/>
  <c r="EM438" i="10" s="1"/>
  <c r="DZ438" i="10"/>
  <c r="EB438" i="10"/>
  <c r="EG438" i="10"/>
  <c r="EL438" i="10"/>
  <c r="H439" i="10"/>
  <c r="AO439" i="10"/>
  <c r="BI439" i="10" s="1"/>
  <c r="BK439" i="10" s="1"/>
  <c r="AP439" i="10"/>
  <c r="BJ439" i="10" s="1"/>
  <c r="BL439" i="10" s="1"/>
  <c r="AS439" i="10"/>
  <c r="AV439" i="10"/>
  <c r="EM439" i="10" s="1"/>
  <c r="DZ439" i="10"/>
  <c r="EB439" i="10"/>
  <c r="EG439" i="10"/>
  <c r="EL439" i="10"/>
  <c r="H440" i="10"/>
  <c r="EC440" i="10"/>
  <c r="AO440" i="10"/>
  <c r="BM440" i="10" s="1"/>
  <c r="BV440" i="10" s="1"/>
  <c r="AP440" i="10"/>
  <c r="BJ440" i="10" s="1"/>
  <c r="BL440" i="10" s="1"/>
  <c r="AS440" i="10"/>
  <c r="AV440" i="10"/>
  <c r="EM440" i="10" s="1"/>
  <c r="DZ440" i="10"/>
  <c r="EB440" i="10"/>
  <c r="EG440" i="10"/>
  <c r="EL440" i="10"/>
  <c r="H441" i="10"/>
  <c r="EC441" i="10"/>
  <c r="AO441" i="10"/>
  <c r="AP441" i="10"/>
  <c r="BJ441" i="10" s="1"/>
  <c r="BL441" i="10" s="1"/>
  <c r="AS441" i="10"/>
  <c r="AV441" i="10"/>
  <c r="EM441" i="10" s="1"/>
  <c r="DZ441" i="10"/>
  <c r="EB441" i="10"/>
  <c r="EG441" i="10"/>
  <c r="EL441" i="10"/>
  <c r="H442" i="10"/>
  <c r="AO442" i="10"/>
  <c r="BM442" i="10" s="1"/>
  <c r="BV442" i="10" s="1"/>
  <c r="AP442" i="10"/>
  <c r="AS442" i="10"/>
  <c r="AV442" i="10"/>
  <c r="EM442" i="10" s="1"/>
  <c r="DZ442" i="10"/>
  <c r="EB442" i="10"/>
  <c r="EG442" i="10"/>
  <c r="EL442" i="10"/>
  <c r="H443" i="10"/>
  <c r="EC443" i="10"/>
  <c r="AO443" i="10"/>
  <c r="AP443" i="10"/>
  <c r="AS443" i="10"/>
  <c r="AV443" i="10"/>
  <c r="EM443" i="10" s="1"/>
  <c r="DZ443" i="10"/>
  <c r="EB443" i="10"/>
  <c r="EG443" i="10"/>
  <c r="EL443" i="10"/>
  <c r="H444" i="10"/>
  <c r="AO444" i="10"/>
  <c r="AP444" i="10"/>
  <c r="AS444" i="10"/>
  <c r="AV444" i="10"/>
  <c r="EM444" i="10" s="1"/>
  <c r="DZ444" i="10"/>
  <c r="EB444" i="10"/>
  <c r="EG444" i="10"/>
  <c r="EL444" i="10"/>
  <c r="H445" i="10"/>
  <c r="AO445" i="10"/>
  <c r="BI445" i="10" s="1"/>
  <c r="BK445" i="10" s="1"/>
  <c r="AP445" i="10"/>
  <c r="BJ445" i="10" s="1"/>
  <c r="BL445" i="10" s="1"/>
  <c r="AS445" i="10"/>
  <c r="AV445" i="10"/>
  <c r="EM445" i="10" s="1"/>
  <c r="DZ445" i="10"/>
  <c r="EB445" i="10"/>
  <c r="EG445" i="10"/>
  <c r="EL445" i="10"/>
  <c r="H446" i="10"/>
  <c r="EC446" i="10"/>
  <c r="AO446" i="10"/>
  <c r="BM446" i="10" s="1"/>
  <c r="BV446" i="10" s="1"/>
  <c r="AP446" i="10"/>
  <c r="BJ446" i="10" s="1"/>
  <c r="BL446" i="10" s="1"/>
  <c r="AS446" i="10"/>
  <c r="AV446" i="10"/>
  <c r="EM446" i="10" s="1"/>
  <c r="DZ446" i="10"/>
  <c r="EB446" i="10"/>
  <c r="EG446" i="10"/>
  <c r="EL446" i="10"/>
  <c r="H447" i="10"/>
  <c r="AO447" i="10"/>
  <c r="BI447" i="10" s="1"/>
  <c r="BK447" i="10" s="1"/>
  <c r="AP447" i="10"/>
  <c r="AS447" i="10"/>
  <c r="AV447" i="10"/>
  <c r="EM447" i="10" s="1"/>
  <c r="DZ447" i="10"/>
  <c r="EB447" i="10"/>
  <c r="EG447" i="10"/>
  <c r="EL447" i="10"/>
  <c r="H448" i="10"/>
  <c r="EC448" i="10"/>
  <c r="AO448" i="10"/>
  <c r="BI448" i="10" s="1"/>
  <c r="BK448" i="10" s="1"/>
  <c r="AQ448" i="10" s="1"/>
  <c r="AP448" i="10"/>
  <c r="BJ448" i="10" s="1"/>
  <c r="BL448" i="10" s="1"/>
  <c r="AS448" i="10"/>
  <c r="AV448" i="10"/>
  <c r="EM448" i="10" s="1"/>
  <c r="DZ448" i="10"/>
  <c r="EB448" i="10"/>
  <c r="EG448" i="10"/>
  <c r="EL448" i="10"/>
  <c r="H449" i="10"/>
  <c r="AO449" i="10"/>
  <c r="AP449" i="10"/>
  <c r="AS449" i="10"/>
  <c r="AV449" i="10"/>
  <c r="EM449" i="10" s="1"/>
  <c r="DZ449" i="10"/>
  <c r="EB449" i="10"/>
  <c r="EG449" i="10"/>
  <c r="EL449" i="10"/>
  <c r="H450" i="10"/>
  <c r="EC450" i="10"/>
  <c r="AO450" i="10"/>
  <c r="AP450" i="10"/>
  <c r="AS450" i="10"/>
  <c r="AV450" i="10"/>
  <c r="EM450" i="10" s="1"/>
  <c r="DZ450" i="10"/>
  <c r="EB450" i="10"/>
  <c r="EG450" i="10"/>
  <c r="EL450" i="10"/>
  <c r="H451" i="10"/>
  <c r="BA451" i="10"/>
  <c r="BC451" i="10" s="1"/>
  <c r="AO451" i="10"/>
  <c r="BM451" i="10" s="1"/>
  <c r="BV451" i="10" s="1"/>
  <c r="AP451" i="10"/>
  <c r="AS451" i="10"/>
  <c r="AV451" i="10"/>
  <c r="EM451" i="10" s="1"/>
  <c r="DZ451" i="10"/>
  <c r="EB451" i="10"/>
  <c r="EG451" i="10"/>
  <c r="EL451" i="10"/>
  <c r="H452" i="10"/>
  <c r="AO452" i="10"/>
  <c r="BM452" i="10" s="1"/>
  <c r="BV452" i="10" s="1"/>
  <c r="AP452" i="10"/>
  <c r="AS452" i="10"/>
  <c r="AV452" i="10"/>
  <c r="EM452" i="10" s="1"/>
  <c r="DZ452" i="10"/>
  <c r="EB452" i="10"/>
  <c r="EG452" i="10"/>
  <c r="EL452" i="10"/>
  <c r="H453" i="10"/>
  <c r="AO453" i="10"/>
  <c r="BI453" i="10" s="1"/>
  <c r="BK453" i="10" s="1"/>
  <c r="AP453" i="10"/>
  <c r="BJ453" i="10" s="1"/>
  <c r="BL453" i="10" s="1"/>
  <c r="AS453" i="10"/>
  <c r="AV453" i="10"/>
  <c r="EM453" i="10" s="1"/>
  <c r="DZ453" i="10"/>
  <c r="EB453" i="10"/>
  <c r="EG453" i="10"/>
  <c r="EL453" i="10"/>
  <c r="H454" i="10"/>
  <c r="EC454" i="10"/>
  <c r="AO454" i="10"/>
  <c r="AP454" i="10"/>
  <c r="AS454" i="10"/>
  <c r="AV454" i="10"/>
  <c r="EM454" i="10" s="1"/>
  <c r="DZ454" i="10"/>
  <c r="EB454" i="10"/>
  <c r="EG454" i="10"/>
  <c r="EL454" i="10"/>
  <c r="H455" i="10"/>
  <c r="AO455" i="10"/>
  <c r="AP455" i="10"/>
  <c r="BN455" i="10" s="1"/>
  <c r="BW455" i="10" s="1"/>
  <c r="AS455" i="10"/>
  <c r="AV455" i="10"/>
  <c r="EM455" i="10" s="1"/>
  <c r="DZ455" i="10"/>
  <c r="EB455" i="10"/>
  <c r="EG455" i="10"/>
  <c r="EL455" i="10"/>
  <c r="H456" i="10"/>
  <c r="EC456" i="10"/>
  <c r="AO456" i="10"/>
  <c r="AP456" i="10"/>
  <c r="AS456" i="10"/>
  <c r="AV456" i="10"/>
  <c r="EM456" i="10" s="1"/>
  <c r="DZ456" i="10"/>
  <c r="EB456" i="10"/>
  <c r="EG456" i="10"/>
  <c r="EL456" i="10"/>
  <c r="H457" i="10"/>
  <c r="BA457" i="10"/>
  <c r="BC457" i="10" s="1"/>
  <c r="BB457" i="10"/>
  <c r="BD457" i="10" s="1"/>
  <c r="AN457" i="10" s="1"/>
  <c r="AO457" i="10"/>
  <c r="AP457" i="10"/>
  <c r="AS457" i="10"/>
  <c r="AV457" i="10"/>
  <c r="EM457" i="10" s="1"/>
  <c r="DZ457" i="10"/>
  <c r="EB457" i="10"/>
  <c r="EG457" i="10"/>
  <c r="EL457" i="10"/>
  <c r="H458" i="10"/>
  <c r="AO458" i="10"/>
  <c r="AP458" i="10"/>
  <c r="AS458" i="10"/>
  <c r="AV458" i="10"/>
  <c r="EM458" i="10" s="1"/>
  <c r="DZ458" i="10"/>
  <c r="EB458" i="10"/>
  <c r="EG458" i="10"/>
  <c r="EL458" i="10"/>
  <c r="H459" i="10"/>
  <c r="AO459" i="10"/>
  <c r="BI459" i="10" s="1"/>
  <c r="BK459" i="10" s="1"/>
  <c r="AP459" i="10"/>
  <c r="BN459" i="10" s="1"/>
  <c r="BW459" i="10" s="1"/>
  <c r="AS459" i="10"/>
  <c r="AU459" i="10"/>
  <c r="AY459" i="10" s="1"/>
  <c r="CD459" i="10" s="1"/>
  <c r="CH459" i="10" s="1"/>
  <c r="AV459" i="10"/>
  <c r="EM459" i="10" s="1"/>
  <c r="DZ459" i="10"/>
  <c r="EB459" i="10"/>
  <c r="EG459" i="10"/>
  <c r="EL459" i="10"/>
  <c r="H460" i="10"/>
  <c r="EC460" i="10"/>
  <c r="BB460" i="10"/>
  <c r="BD460" i="10" s="1"/>
  <c r="AO460" i="10"/>
  <c r="BM460" i="10" s="1"/>
  <c r="BV460" i="10" s="1"/>
  <c r="AP460" i="10"/>
  <c r="BJ460" i="10" s="1"/>
  <c r="BL460" i="10" s="1"/>
  <c r="AS460" i="10"/>
  <c r="AV460" i="10"/>
  <c r="EM460" i="10" s="1"/>
  <c r="DZ460" i="10"/>
  <c r="EB460" i="10"/>
  <c r="EG460" i="10"/>
  <c r="EL460" i="10"/>
  <c r="H461" i="10"/>
  <c r="AO461" i="10"/>
  <c r="BI461" i="10" s="1"/>
  <c r="BK461" i="10" s="1"/>
  <c r="AP461" i="10"/>
  <c r="AS461" i="10"/>
  <c r="AV461" i="10"/>
  <c r="EM461" i="10" s="1"/>
  <c r="DZ461" i="10"/>
  <c r="EB461" i="10"/>
  <c r="EG461" i="10"/>
  <c r="EL461" i="10"/>
  <c r="H462" i="10"/>
  <c r="BA462" i="10"/>
  <c r="BC462" i="10" s="1"/>
  <c r="AO462" i="10"/>
  <c r="AP462" i="10"/>
  <c r="AS462" i="10"/>
  <c r="AV462" i="10"/>
  <c r="EM462" i="10" s="1"/>
  <c r="DZ462" i="10"/>
  <c r="EB462" i="10"/>
  <c r="EG462" i="10"/>
  <c r="EL462" i="10"/>
  <c r="H463" i="10"/>
  <c r="BA463" i="10"/>
  <c r="BC463" i="10" s="1"/>
  <c r="AO463" i="10"/>
  <c r="AP463" i="10"/>
  <c r="AS463" i="10"/>
  <c r="AV463" i="10"/>
  <c r="EM463" i="10" s="1"/>
  <c r="DZ463" i="10"/>
  <c r="EB463" i="10"/>
  <c r="EG463" i="10"/>
  <c r="EL463" i="10"/>
  <c r="H464" i="10"/>
  <c r="EC464" i="10"/>
  <c r="BB464" i="10"/>
  <c r="BD464" i="10" s="1"/>
  <c r="AO464" i="10"/>
  <c r="BI464" i="10" s="1"/>
  <c r="BK464" i="10" s="1"/>
  <c r="AP464" i="10"/>
  <c r="AS464" i="10"/>
  <c r="AU464" i="10"/>
  <c r="AY464" i="10" s="1"/>
  <c r="AV464" i="10"/>
  <c r="EM464" i="10" s="1"/>
  <c r="DZ464" i="10"/>
  <c r="EB464" i="10"/>
  <c r="EG464" i="10"/>
  <c r="EL464" i="10"/>
  <c r="H465" i="10"/>
  <c r="BA465" i="10"/>
  <c r="BC465" i="10" s="1"/>
  <c r="AO465" i="10"/>
  <c r="AP465" i="10"/>
  <c r="BJ465" i="10" s="1"/>
  <c r="BL465" i="10" s="1"/>
  <c r="AS465" i="10"/>
  <c r="AV465" i="10"/>
  <c r="EM465" i="10" s="1"/>
  <c r="DZ465" i="10"/>
  <c r="EB465" i="10"/>
  <c r="EG465" i="10"/>
  <c r="EL465" i="10"/>
  <c r="H466" i="10"/>
  <c r="BA466" i="10"/>
  <c r="BC466" i="10" s="1"/>
  <c r="AO466" i="10"/>
  <c r="AP466" i="10"/>
  <c r="AS466" i="10"/>
  <c r="AV466" i="10"/>
  <c r="EM466" i="10" s="1"/>
  <c r="DZ466" i="10"/>
  <c r="EB466" i="10"/>
  <c r="EG466" i="10"/>
  <c r="EL466" i="10"/>
  <c r="H467" i="10"/>
  <c r="AO467" i="10"/>
  <c r="AP467" i="10"/>
  <c r="BJ467" i="10" s="1"/>
  <c r="BL467" i="10" s="1"/>
  <c r="AS467" i="10"/>
  <c r="AV467" i="10"/>
  <c r="EM467" i="10" s="1"/>
  <c r="DZ467" i="10"/>
  <c r="EB467" i="10"/>
  <c r="EG467" i="10"/>
  <c r="EL467" i="10"/>
  <c r="H468" i="10"/>
  <c r="EC468" i="10"/>
  <c r="AO468" i="10"/>
  <c r="BM468" i="10" s="1"/>
  <c r="BV468" i="10" s="1"/>
  <c r="AP468" i="10"/>
  <c r="AS468" i="10"/>
  <c r="AV468" i="10"/>
  <c r="EM468" i="10" s="1"/>
  <c r="DZ468" i="10"/>
  <c r="EB468" i="10"/>
  <c r="EG468" i="10"/>
  <c r="EL468" i="10"/>
  <c r="H469" i="10"/>
  <c r="AO469" i="10"/>
  <c r="BI469" i="10" s="1"/>
  <c r="BK469" i="10" s="1"/>
  <c r="AP469" i="10"/>
  <c r="AS469" i="10"/>
  <c r="AV469" i="10"/>
  <c r="EM469" i="10" s="1"/>
  <c r="DZ469" i="10"/>
  <c r="EB469" i="10"/>
  <c r="EG469" i="10"/>
  <c r="EL469" i="10"/>
  <c r="H470" i="10"/>
  <c r="BA470" i="10"/>
  <c r="BC470" i="10" s="1"/>
  <c r="AO470" i="10"/>
  <c r="AP470" i="10"/>
  <c r="AS470" i="10"/>
  <c r="AV470" i="10"/>
  <c r="EM470" i="10" s="1"/>
  <c r="DZ470" i="10"/>
  <c r="EB470" i="10"/>
  <c r="EG470" i="10"/>
  <c r="EL470" i="10"/>
  <c r="H471" i="10"/>
  <c r="AO471" i="10"/>
  <c r="AP471" i="10"/>
  <c r="BN471" i="10" s="1"/>
  <c r="BW471" i="10" s="1"/>
  <c r="AS471" i="10"/>
  <c r="AV471" i="10"/>
  <c r="EM471" i="10" s="1"/>
  <c r="DZ471" i="10"/>
  <c r="EB471" i="10"/>
  <c r="EG471" i="10"/>
  <c r="EL471" i="10"/>
  <c r="H472" i="10"/>
  <c r="AO472" i="10"/>
  <c r="AP472" i="10"/>
  <c r="AS472" i="10"/>
  <c r="AV472" i="10"/>
  <c r="EM472" i="10" s="1"/>
  <c r="DZ472" i="10"/>
  <c r="EB472" i="10"/>
  <c r="EG472" i="10"/>
  <c r="EL472" i="10"/>
  <c r="H473" i="10"/>
  <c r="AO473" i="10"/>
  <c r="AP473" i="10"/>
  <c r="BN473" i="10" s="1"/>
  <c r="BW473" i="10" s="1"/>
  <c r="AS473" i="10"/>
  <c r="AV473" i="10"/>
  <c r="EM473" i="10" s="1"/>
  <c r="DZ473" i="10"/>
  <c r="EB473" i="10"/>
  <c r="EG473" i="10"/>
  <c r="EL473" i="10"/>
  <c r="H474" i="10"/>
  <c r="AO474" i="10"/>
  <c r="AP474" i="10"/>
  <c r="BJ474" i="10" s="1"/>
  <c r="BL474" i="10" s="1"/>
  <c r="AS474" i="10"/>
  <c r="AV474" i="10"/>
  <c r="EM474" i="10" s="1"/>
  <c r="DZ474" i="10"/>
  <c r="EB474" i="10"/>
  <c r="EG474" i="10"/>
  <c r="EL474" i="10"/>
  <c r="H475" i="10"/>
  <c r="AO475" i="10"/>
  <c r="AP475" i="10"/>
  <c r="AS475" i="10"/>
  <c r="AV475" i="10"/>
  <c r="EM475" i="10" s="1"/>
  <c r="DZ475" i="10"/>
  <c r="EB475" i="10"/>
  <c r="EG475" i="10"/>
  <c r="EL475" i="10"/>
  <c r="H476" i="10"/>
  <c r="AO476" i="10"/>
  <c r="BM476" i="10" s="1"/>
  <c r="BV476" i="10" s="1"/>
  <c r="AP476" i="10"/>
  <c r="BJ476" i="10" s="1"/>
  <c r="BL476" i="10" s="1"/>
  <c r="AS476" i="10"/>
  <c r="AV476" i="10"/>
  <c r="EM476" i="10" s="1"/>
  <c r="DZ476" i="10"/>
  <c r="EB476" i="10"/>
  <c r="EG476" i="10"/>
  <c r="EL476" i="10"/>
  <c r="H477" i="10"/>
  <c r="AO477" i="10"/>
  <c r="BI477" i="10" s="1"/>
  <c r="BK477" i="10" s="1"/>
  <c r="AP477" i="10"/>
  <c r="BN477" i="10" s="1"/>
  <c r="BW477" i="10" s="1"/>
  <c r="AS477" i="10"/>
  <c r="AV477" i="10"/>
  <c r="EM477" i="10" s="1"/>
  <c r="DZ477" i="10"/>
  <c r="EB477" i="10"/>
  <c r="EG477" i="10"/>
  <c r="EL477" i="10"/>
  <c r="H478" i="10"/>
  <c r="AO478" i="10"/>
  <c r="AP478" i="10"/>
  <c r="AS478" i="10"/>
  <c r="AV478" i="10"/>
  <c r="EM478" i="10" s="1"/>
  <c r="DZ478" i="10"/>
  <c r="EB478" i="10"/>
  <c r="EG478" i="10"/>
  <c r="EL478" i="10"/>
  <c r="H479" i="10"/>
  <c r="AO479" i="10"/>
  <c r="BI479" i="10" s="1"/>
  <c r="BK479" i="10" s="1"/>
  <c r="AP479" i="10"/>
  <c r="BJ479" i="10" s="1"/>
  <c r="BL479" i="10" s="1"/>
  <c r="AS479" i="10"/>
  <c r="AV479" i="10"/>
  <c r="EM479" i="10" s="1"/>
  <c r="DZ479" i="10"/>
  <c r="EB479" i="10"/>
  <c r="EG479" i="10"/>
  <c r="EL479" i="10"/>
  <c r="H480" i="10"/>
  <c r="AO480" i="10"/>
  <c r="BI480" i="10" s="1"/>
  <c r="BK480" i="10" s="1"/>
  <c r="AP480" i="10"/>
  <c r="BJ480" i="10" s="1"/>
  <c r="BL480" i="10" s="1"/>
  <c r="AS480" i="10"/>
  <c r="AV480" i="10"/>
  <c r="EM480" i="10" s="1"/>
  <c r="DZ480" i="10"/>
  <c r="EB480" i="10"/>
  <c r="EG480" i="10"/>
  <c r="EL480" i="10"/>
  <c r="H481" i="10"/>
  <c r="AO481" i="10"/>
  <c r="BM481" i="10" s="1"/>
  <c r="BV481" i="10" s="1"/>
  <c r="AP481" i="10"/>
  <c r="AS481" i="10"/>
  <c r="AV481" i="10"/>
  <c r="EM481" i="10" s="1"/>
  <c r="DZ481" i="10"/>
  <c r="EB481" i="10"/>
  <c r="EG481" i="10"/>
  <c r="EL481" i="10"/>
  <c r="H482" i="10"/>
  <c r="BA482" i="10"/>
  <c r="BC482" i="10" s="1"/>
  <c r="AO482" i="10"/>
  <c r="BI482" i="10" s="1"/>
  <c r="BK482" i="10" s="1"/>
  <c r="AP482" i="10"/>
  <c r="BJ482" i="10" s="1"/>
  <c r="BL482" i="10" s="1"/>
  <c r="AS482" i="10"/>
  <c r="AV482" i="10"/>
  <c r="EM482" i="10" s="1"/>
  <c r="DZ482" i="10"/>
  <c r="EB482" i="10"/>
  <c r="EG482" i="10"/>
  <c r="EL482" i="10"/>
  <c r="H483" i="10"/>
  <c r="AO483" i="10"/>
  <c r="AP483" i="10"/>
  <c r="AS483" i="10"/>
  <c r="AV483" i="10"/>
  <c r="EM483" i="10" s="1"/>
  <c r="DZ483" i="10"/>
  <c r="EB483" i="10"/>
  <c r="EG483" i="10"/>
  <c r="EL483" i="10"/>
  <c r="H484" i="10"/>
  <c r="AO484" i="10"/>
  <c r="BI484" i="10" s="1"/>
  <c r="BK484" i="10" s="1"/>
  <c r="AP484" i="10"/>
  <c r="BN484" i="10" s="1"/>
  <c r="BW484" i="10" s="1"/>
  <c r="AS484" i="10"/>
  <c r="AV484" i="10"/>
  <c r="EM484" i="10" s="1"/>
  <c r="DZ484" i="10"/>
  <c r="EB484" i="10"/>
  <c r="EG484" i="10"/>
  <c r="EL484" i="10"/>
  <c r="H485" i="10"/>
  <c r="AO485" i="10"/>
  <c r="BI485" i="10" s="1"/>
  <c r="BK485" i="10" s="1"/>
  <c r="AP485" i="10"/>
  <c r="AS485" i="10"/>
  <c r="AU485" i="10"/>
  <c r="AY485" i="10" s="1"/>
  <c r="AV485" i="10"/>
  <c r="EM485" i="10" s="1"/>
  <c r="DZ485" i="10"/>
  <c r="EB485" i="10"/>
  <c r="EG485" i="10"/>
  <c r="EL485" i="10"/>
  <c r="H486" i="10"/>
  <c r="AO486" i="10"/>
  <c r="BM486" i="10" s="1"/>
  <c r="BV486" i="10" s="1"/>
  <c r="AP486" i="10"/>
  <c r="BN486" i="10" s="1"/>
  <c r="BW486" i="10" s="1"/>
  <c r="AS486" i="10"/>
  <c r="AV486" i="10"/>
  <c r="EM486" i="10" s="1"/>
  <c r="DZ486" i="10"/>
  <c r="EB486" i="10"/>
  <c r="EG486" i="10"/>
  <c r="EL486" i="10"/>
  <c r="H487" i="10"/>
  <c r="AO487" i="10"/>
  <c r="AP487" i="10"/>
  <c r="BJ487" i="10" s="1"/>
  <c r="BL487" i="10" s="1"/>
  <c r="AS487" i="10"/>
  <c r="AV487" i="10"/>
  <c r="EM487" i="10" s="1"/>
  <c r="DZ487" i="10"/>
  <c r="EB487" i="10"/>
  <c r="EG487" i="10"/>
  <c r="EL487" i="10"/>
  <c r="H488" i="10"/>
  <c r="AO488" i="10"/>
  <c r="BI488" i="10" s="1"/>
  <c r="BK488" i="10" s="1"/>
  <c r="AP488" i="10"/>
  <c r="AS488" i="10"/>
  <c r="AV488" i="10"/>
  <c r="EM488" i="10" s="1"/>
  <c r="DZ488" i="10"/>
  <c r="EB488" i="10"/>
  <c r="EG488" i="10"/>
  <c r="EL488" i="10"/>
  <c r="H489" i="10"/>
  <c r="EC489" i="10"/>
  <c r="AO489" i="10"/>
  <c r="AP489" i="10"/>
  <c r="AS489" i="10"/>
  <c r="AV489" i="10"/>
  <c r="EM489" i="10" s="1"/>
  <c r="DZ489" i="10"/>
  <c r="EB489" i="10"/>
  <c r="EG489" i="10"/>
  <c r="EL489" i="10"/>
  <c r="H490" i="10"/>
  <c r="AO490" i="10"/>
  <c r="AP490" i="10"/>
  <c r="BJ490" i="10" s="1"/>
  <c r="BL490" i="10" s="1"/>
  <c r="AS490" i="10"/>
  <c r="AV490" i="10"/>
  <c r="EM490" i="10" s="1"/>
  <c r="DZ490" i="10"/>
  <c r="EB490" i="10"/>
  <c r="EG490" i="10"/>
  <c r="EL490" i="10"/>
  <c r="H491" i="10"/>
  <c r="AO491" i="10"/>
  <c r="BI491" i="10" s="1"/>
  <c r="BK491" i="10" s="1"/>
  <c r="AP491" i="10"/>
  <c r="BJ491" i="10" s="1"/>
  <c r="BL491" i="10" s="1"/>
  <c r="AS491" i="10"/>
  <c r="AV491" i="10"/>
  <c r="EM491" i="10" s="1"/>
  <c r="DZ491" i="10"/>
  <c r="EB491" i="10"/>
  <c r="EG491" i="10"/>
  <c r="EL491" i="10"/>
  <c r="H492" i="10"/>
  <c r="AO492" i="10"/>
  <c r="AP492" i="10"/>
  <c r="BN492" i="10" s="1"/>
  <c r="BW492" i="10" s="1"/>
  <c r="AS492" i="10"/>
  <c r="AV492" i="10"/>
  <c r="EM492" i="10" s="1"/>
  <c r="DZ492" i="10"/>
  <c r="EB492" i="10"/>
  <c r="EG492" i="10"/>
  <c r="EL492" i="10"/>
  <c r="H493" i="10"/>
  <c r="AO493" i="10"/>
  <c r="BM493" i="10" s="1"/>
  <c r="BV493" i="10" s="1"/>
  <c r="AP493" i="10"/>
  <c r="BJ493" i="10" s="1"/>
  <c r="BL493" i="10" s="1"/>
  <c r="AS493" i="10"/>
  <c r="AV493" i="10"/>
  <c r="EM493" i="10" s="1"/>
  <c r="DZ493" i="10"/>
  <c r="EB493" i="10"/>
  <c r="EG493" i="10"/>
  <c r="EL493" i="10"/>
  <c r="H494" i="10"/>
  <c r="AO494" i="10"/>
  <c r="AP494" i="10"/>
  <c r="AS494" i="10"/>
  <c r="AV494" i="10"/>
  <c r="EM494" i="10" s="1"/>
  <c r="DZ494" i="10"/>
  <c r="EB494" i="10"/>
  <c r="EG494" i="10"/>
  <c r="EL494" i="10"/>
  <c r="H495" i="10"/>
  <c r="AO495" i="10"/>
  <c r="BM495" i="10" s="1"/>
  <c r="BV495" i="10" s="1"/>
  <c r="AP495" i="10"/>
  <c r="BJ495" i="10" s="1"/>
  <c r="BL495" i="10" s="1"/>
  <c r="AS495" i="10"/>
  <c r="AV495" i="10"/>
  <c r="EM495" i="10" s="1"/>
  <c r="DZ495" i="10"/>
  <c r="EB495" i="10"/>
  <c r="EG495" i="10"/>
  <c r="EL495" i="10"/>
  <c r="H496" i="10"/>
  <c r="AO496" i="10"/>
  <c r="AP496" i="10"/>
  <c r="BJ496" i="10" s="1"/>
  <c r="BL496" i="10" s="1"/>
  <c r="AS496" i="10"/>
  <c r="AV496" i="10"/>
  <c r="EM496" i="10" s="1"/>
  <c r="DZ496" i="10"/>
  <c r="EB496" i="10"/>
  <c r="EG496" i="10"/>
  <c r="EL496" i="10"/>
  <c r="H497" i="10"/>
  <c r="AO497" i="10"/>
  <c r="AP497" i="10"/>
  <c r="AS497" i="10"/>
  <c r="AV497" i="10"/>
  <c r="EM497" i="10" s="1"/>
  <c r="DZ497" i="10"/>
  <c r="EB497" i="10"/>
  <c r="EG497" i="10"/>
  <c r="EL497" i="10"/>
  <c r="H498" i="10"/>
  <c r="AO498" i="10"/>
  <c r="BI498" i="10" s="1"/>
  <c r="BK498" i="10" s="1"/>
  <c r="AP498" i="10"/>
  <c r="AS498" i="10"/>
  <c r="AV498" i="10"/>
  <c r="EM498" i="10" s="1"/>
  <c r="DZ498" i="10"/>
  <c r="EB498" i="10"/>
  <c r="EG498" i="10"/>
  <c r="EL498" i="10"/>
  <c r="H499" i="10"/>
  <c r="AO499" i="10"/>
  <c r="AP499" i="10"/>
  <c r="BJ499" i="10" s="1"/>
  <c r="BL499" i="10" s="1"/>
  <c r="AS499" i="10"/>
  <c r="AV499" i="10"/>
  <c r="EM499" i="10" s="1"/>
  <c r="DZ499" i="10"/>
  <c r="EB499" i="10"/>
  <c r="EG499" i="10"/>
  <c r="EL499" i="10"/>
  <c r="H500" i="10"/>
  <c r="AO500" i="10"/>
  <c r="BM500" i="10" s="1"/>
  <c r="BV500" i="10" s="1"/>
  <c r="AP500" i="10"/>
  <c r="AS500" i="10"/>
  <c r="AU500" i="10"/>
  <c r="AY500" i="10" s="1"/>
  <c r="AV500" i="10"/>
  <c r="EM500" i="10" s="1"/>
  <c r="DZ500" i="10"/>
  <c r="EB500" i="10"/>
  <c r="EG500" i="10"/>
  <c r="EL500" i="10"/>
  <c r="H501" i="10"/>
  <c r="EC501" i="10"/>
  <c r="AO501" i="10"/>
  <c r="AP501" i="10"/>
  <c r="AS501" i="10"/>
  <c r="AV501" i="10"/>
  <c r="EM501" i="10" s="1"/>
  <c r="DZ501" i="10"/>
  <c r="EB501" i="10"/>
  <c r="EG501" i="10"/>
  <c r="EL501" i="10"/>
  <c r="H502" i="10"/>
  <c r="AO502" i="10"/>
  <c r="AP502" i="10"/>
  <c r="BN502" i="10" s="1"/>
  <c r="BW502" i="10" s="1"/>
  <c r="AS502" i="10"/>
  <c r="AV502" i="10"/>
  <c r="EM502" i="10" s="1"/>
  <c r="DZ502" i="10"/>
  <c r="EB502" i="10"/>
  <c r="EG502" i="10"/>
  <c r="EL502" i="10"/>
  <c r="H503" i="10"/>
  <c r="AO503" i="10"/>
  <c r="AP503" i="10"/>
  <c r="BJ503" i="10" s="1"/>
  <c r="BL503" i="10" s="1"/>
  <c r="AS503" i="10"/>
  <c r="AV503" i="10"/>
  <c r="EM503" i="10" s="1"/>
  <c r="DZ503" i="10"/>
  <c r="EB503" i="10"/>
  <c r="EG503" i="10"/>
  <c r="EL503" i="10"/>
  <c r="H504" i="10"/>
  <c r="AO504" i="10"/>
  <c r="AP504" i="10"/>
  <c r="BJ504" i="10" s="1"/>
  <c r="BL504" i="10" s="1"/>
  <c r="AS504" i="10"/>
  <c r="AV504" i="10"/>
  <c r="EM504" i="10" s="1"/>
  <c r="DZ504" i="10"/>
  <c r="EB504" i="10"/>
  <c r="EG504" i="10"/>
  <c r="EL504" i="10"/>
  <c r="H505" i="10"/>
  <c r="EC505" i="10"/>
  <c r="AO505" i="10"/>
  <c r="BM505" i="10" s="1"/>
  <c r="BV505" i="10" s="1"/>
  <c r="AP505" i="10"/>
  <c r="BJ505" i="10" s="1"/>
  <c r="BL505" i="10" s="1"/>
  <c r="AS505" i="10"/>
  <c r="AV505" i="10"/>
  <c r="EM505" i="10" s="1"/>
  <c r="DZ505" i="10"/>
  <c r="EB505" i="10"/>
  <c r="EG505" i="10"/>
  <c r="EL505" i="10"/>
  <c r="H506" i="10"/>
  <c r="AO506" i="10"/>
  <c r="AP506" i="10"/>
  <c r="BJ506" i="10" s="1"/>
  <c r="BL506" i="10" s="1"/>
  <c r="AS506" i="10"/>
  <c r="AV506" i="10"/>
  <c r="EM506" i="10" s="1"/>
  <c r="DZ506" i="10"/>
  <c r="EB506" i="10"/>
  <c r="EG506" i="10"/>
  <c r="EL506" i="10"/>
  <c r="H507" i="10"/>
  <c r="AO507" i="10"/>
  <c r="AP507" i="10"/>
  <c r="BJ507" i="10" s="1"/>
  <c r="BL507" i="10" s="1"/>
  <c r="AS507" i="10"/>
  <c r="AV507" i="10"/>
  <c r="EM507" i="10" s="1"/>
  <c r="DZ507" i="10"/>
  <c r="EB507" i="10"/>
  <c r="EG507" i="10"/>
  <c r="EL507" i="10"/>
  <c r="H508" i="10"/>
  <c r="AO508" i="10"/>
  <c r="AP508" i="10"/>
  <c r="BJ508" i="10" s="1"/>
  <c r="BL508" i="10" s="1"/>
  <c r="AS508" i="10"/>
  <c r="AV508" i="10"/>
  <c r="EM508" i="10" s="1"/>
  <c r="DZ508" i="10"/>
  <c r="EB508" i="10"/>
  <c r="EG508" i="10"/>
  <c r="EL508" i="10"/>
  <c r="H509" i="10"/>
  <c r="AO509" i="10"/>
  <c r="BI509" i="10" s="1"/>
  <c r="BK509" i="10" s="1"/>
  <c r="AP509" i="10"/>
  <c r="AS509" i="10"/>
  <c r="AV509" i="10"/>
  <c r="EM509" i="10" s="1"/>
  <c r="DZ509" i="10"/>
  <c r="EB509" i="10"/>
  <c r="EG509" i="10"/>
  <c r="EL509" i="10"/>
  <c r="H510" i="10"/>
  <c r="AO510" i="10"/>
  <c r="BI510" i="10" s="1"/>
  <c r="BK510" i="10" s="1"/>
  <c r="AP510" i="10"/>
  <c r="BJ510" i="10" s="1"/>
  <c r="BL510" i="10" s="1"/>
  <c r="AS510" i="10"/>
  <c r="AV510" i="10"/>
  <c r="EM510" i="10" s="1"/>
  <c r="DZ510" i="10"/>
  <c r="EB510" i="10"/>
  <c r="EG510" i="10"/>
  <c r="EL510" i="10"/>
  <c r="H511" i="10"/>
  <c r="AO511" i="10"/>
  <c r="BM511" i="10" s="1"/>
  <c r="BV511" i="10" s="1"/>
  <c r="AP511" i="10"/>
  <c r="AS511" i="10"/>
  <c r="AV511" i="10"/>
  <c r="EM511" i="10" s="1"/>
  <c r="DZ511" i="10"/>
  <c r="EB511" i="10"/>
  <c r="EG511" i="10"/>
  <c r="EL511" i="10"/>
  <c r="H512" i="10"/>
  <c r="EC512" i="10"/>
  <c r="AO512" i="10"/>
  <c r="BI512" i="10" s="1"/>
  <c r="BK512" i="10" s="1"/>
  <c r="AP512" i="10"/>
  <c r="AS512" i="10"/>
  <c r="AV512" i="10"/>
  <c r="EM512" i="10" s="1"/>
  <c r="DZ512" i="10"/>
  <c r="EB512" i="10"/>
  <c r="EG512" i="10"/>
  <c r="EL512" i="10"/>
  <c r="H513" i="10"/>
  <c r="EC513" i="10"/>
  <c r="AO513" i="10"/>
  <c r="BM513" i="10" s="1"/>
  <c r="BV513" i="10" s="1"/>
  <c r="AP513" i="10"/>
  <c r="AS513" i="10"/>
  <c r="AV513" i="10"/>
  <c r="EM513" i="10" s="1"/>
  <c r="DZ513" i="10"/>
  <c r="EB513" i="10"/>
  <c r="EG513" i="10"/>
  <c r="EL513" i="10"/>
  <c r="H514" i="10"/>
  <c r="BA514" i="10"/>
  <c r="BC514" i="10" s="1"/>
  <c r="AO514" i="10"/>
  <c r="AP514" i="10"/>
  <c r="AS514" i="10"/>
  <c r="AV514" i="10"/>
  <c r="EM514" i="10" s="1"/>
  <c r="DZ514" i="10"/>
  <c r="EB514" i="10"/>
  <c r="EG514" i="10"/>
  <c r="EL514" i="10"/>
  <c r="H515" i="10"/>
  <c r="AO515" i="10"/>
  <c r="BM515" i="10" s="1"/>
  <c r="BV515" i="10" s="1"/>
  <c r="AP515" i="10"/>
  <c r="BJ515" i="10" s="1"/>
  <c r="BL515" i="10" s="1"/>
  <c r="AS515" i="10"/>
  <c r="AV515" i="10"/>
  <c r="EM515" i="10" s="1"/>
  <c r="DZ515" i="10"/>
  <c r="EB515" i="10"/>
  <c r="EG515" i="10"/>
  <c r="EL515" i="10"/>
  <c r="H516" i="10"/>
  <c r="AO516" i="10"/>
  <c r="AP516" i="10"/>
  <c r="BJ516" i="10" s="1"/>
  <c r="BL516" i="10" s="1"/>
  <c r="AS516" i="10"/>
  <c r="AV516" i="10"/>
  <c r="EM516" i="10" s="1"/>
  <c r="DZ516" i="10"/>
  <c r="EB516" i="10"/>
  <c r="EG516" i="10"/>
  <c r="EL516" i="10"/>
  <c r="H517" i="10"/>
  <c r="AO517" i="10"/>
  <c r="BM517" i="10" s="1"/>
  <c r="BV517" i="10" s="1"/>
  <c r="AP517" i="10"/>
  <c r="AS517" i="10"/>
  <c r="AV517" i="10"/>
  <c r="EM517" i="10" s="1"/>
  <c r="DZ517" i="10"/>
  <c r="EB517" i="10"/>
  <c r="EG517" i="10"/>
  <c r="EL517" i="10"/>
  <c r="H518" i="10"/>
  <c r="AO518" i="10"/>
  <c r="BM518" i="10" s="1"/>
  <c r="BV518" i="10" s="1"/>
  <c r="AP518" i="10"/>
  <c r="BN518" i="10" s="1"/>
  <c r="BW518" i="10" s="1"/>
  <c r="AS518" i="10"/>
  <c r="AV518" i="10"/>
  <c r="EM518" i="10" s="1"/>
  <c r="DZ518" i="10"/>
  <c r="EB518" i="10"/>
  <c r="EG518" i="10"/>
  <c r="EL518" i="10"/>
  <c r="H519" i="10"/>
  <c r="AO519" i="10"/>
  <c r="AP519" i="10"/>
  <c r="AS519" i="10"/>
  <c r="AV519" i="10"/>
  <c r="EM519" i="10" s="1"/>
  <c r="DZ519" i="10"/>
  <c r="EB519" i="10"/>
  <c r="EG519" i="10"/>
  <c r="EL519" i="10"/>
  <c r="H520" i="10"/>
  <c r="AO520" i="10"/>
  <c r="AP520" i="10"/>
  <c r="AS520" i="10"/>
  <c r="AV520" i="10"/>
  <c r="EM520" i="10" s="1"/>
  <c r="DZ520" i="10"/>
  <c r="EB520" i="10"/>
  <c r="EG520" i="10"/>
  <c r="EL520" i="10"/>
  <c r="H521" i="10"/>
  <c r="AO521" i="10"/>
  <c r="BM521" i="10" s="1"/>
  <c r="BV521" i="10" s="1"/>
  <c r="AP521" i="10"/>
  <c r="BJ521" i="10" s="1"/>
  <c r="BL521" i="10" s="1"/>
  <c r="AS521" i="10"/>
  <c r="AV521" i="10"/>
  <c r="EM521" i="10" s="1"/>
  <c r="DZ521" i="10"/>
  <c r="EB521" i="10"/>
  <c r="EG521" i="10"/>
  <c r="EL521" i="10"/>
  <c r="H522" i="10"/>
  <c r="EC522" i="10"/>
  <c r="AO522" i="10"/>
  <c r="BM522" i="10" s="1"/>
  <c r="BV522" i="10" s="1"/>
  <c r="AP522" i="10"/>
  <c r="BJ522" i="10" s="1"/>
  <c r="BL522" i="10" s="1"/>
  <c r="AS522" i="10"/>
  <c r="AV522" i="10"/>
  <c r="EM522" i="10" s="1"/>
  <c r="DZ522" i="10"/>
  <c r="EB522" i="10"/>
  <c r="EG522" i="10"/>
  <c r="EL522" i="10"/>
  <c r="H523" i="10"/>
  <c r="EC523" i="10"/>
  <c r="AO523" i="10"/>
  <c r="AP523" i="10"/>
  <c r="BJ523" i="10" s="1"/>
  <c r="BL523" i="10" s="1"/>
  <c r="AS523" i="10"/>
  <c r="AV523" i="10"/>
  <c r="EM523" i="10" s="1"/>
  <c r="DZ523" i="10"/>
  <c r="EB523" i="10"/>
  <c r="EG523" i="10"/>
  <c r="EL523" i="10"/>
  <c r="H524" i="10"/>
  <c r="AO524" i="10"/>
  <c r="AP524" i="10"/>
  <c r="BJ524" i="10" s="1"/>
  <c r="BL524" i="10" s="1"/>
  <c r="AS524" i="10"/>
  <c r="AV524" i="10"/>
  <c r="EM524" i="10" s="1"/>
  <c r="DZ524" i="10"/>
  <c r="EB524" i="10"/>
  <c r="EG524" i="10"/>
  <c r="EL524" i="10"/>
  <c r="H525" i="10"/>
  <c r="AO525" i="10"/>
  <c r="BM525" i="10" s="1"/>
  <c r="BV525" i="10" s="1"/>
  <c r="AP525" i="10"/>
  <c r="AS525" i="10"/>
  <c r="AV525" i="10"/>
  <c r="EM525" i="10" s="1"/>
  <c r="DZ525" i="10"/>
  <c r="EB525" i="10"/>
  <c r="EG525" i="10"/>
  <c r="EL525" i="10"/>
  <c r="H526" i="10"/>
  <c r="AO526" i="10"/>
  <c r="BI526" i="10" s="1"/>
  <c r="BK526" i="10" s="1"/>
  <c r="AP526" i="10"/>
  <c r="BJ526" i="10" s="1"/>
  <c r="BL526" i="10" s="1"/>
  <c r="AS526" i="10"/>
  <c r="AV526" i="10"/>
  <c r="EM526" i="10" s="1"/>
  <c r="DZ526" i="10"/>
  <c r="EB526" i="10"/>
  <c r="EG526" i="10"/>
  <c r="EL526" i="10"/>
  <c r="H527" i="10"/>
  <c r="AO527" i="10"/>
  <c r="AP527" i="10"/>
  <c r="BJ527" i="10" s="1"/>
  <c r="BL527" i="10" s="1"/>
  <c r="AS527" i="10"/>
  <c r="AV527" i="10"/>
  <c r="EM527" i="10" s="1"/>
  <c r="DZ527" i="10"/>
  <c r="EB527" i="10"/>
  <c r="EG527" i="10"/>
  <c r="EL527" i="10"/>
  <c r="H528" i="10"/>
  <c r="AO528" i="10"/>
  <c r="BM528" i="10" s="1"/>
  <c r="BV528" i="10" s="1"/>
  <c r="AP528" i="10"/>
  <c r="BJ528" i="10" s="1"/>
  <c r="BL528" i="10" s="1"/>
  <c r="AS528" i="10"/>
  <c r="AV528" i="10"/>
  <c r="EM528" i="10" s="1"/>
  <c r="DZ528" i="10"/>
  <c r="EB528" i="10"/>
  <c r="EG528" i="10"/>
  <c r="EL528" i="10"/>
  <c r="H529" i="10"/>
  <c r="EC529" i="10"/>
  <c r="AO529" i="10"/>
  <c r="AP529" i="10"/>
  <c r="AS529" i="10"/>
  <c r="AV529" i="10"/>
  <c r="EM529" i="10" s="1"/>
  <c r="DZ529" i="10"/>
  <c r="EB529" i="10"/>
  <c r="EG529" i="10"/>
  <c r="EL529" i="10"/>
  <c r="H530" i="10"/>
  <c r="BA530" i="10"/>
  <c r="BC530" i="10" s="1"/>
  <c r="AO530" i="10"/>
  <c r="AP530" i="10"/>
  <c r="AS530" i="10"/>
  <c r="AV530" i="10"/>
  <c r="EM530" i="10" s="1"/>
  <c r="DZ530" i="10"/>
  <c r="EB530" i="10"/>
  <c r="EG530" i="10"/>
  <c r="EL530" i="10"/>
  <c r="H531" i="10"/>
  <c r="AO531" i="10"/>
  <c r="AP531" i="10"/>
  <c r="BJ531" i="10" s="1"/>
  <c r="BL531" i="10" s="1"/>
  <c r="AS531" i="10"/>
  <c r="AV531" i="10"/>
  <c r="EM531" i="10" s="1"/>
  <c r="DZ531" i="10"/>
  <c r="EB531" i="10"/>
  <c r="EG531" i="10"/>
  <c r="EL531" i="10"/>
  <c r="H532" i="10"/>
  <c r="AO532" i="10"/>
  <c r="AP532" i="10"/>
  <c r="BJ532" i="10" s="1"/>
  <c r="BL532" i="10" s="1"/>
  <c r="AS532" i="10"/>
  <c r="AV532" i="10"/>
  <c r="EM532" i="10" s="1"/>
  <c r="DZ532" i="10"/>
  <c r="EB532" i="10"/>
  <c r="EG532" i="10"/>
  <c r="EL532" i="10"/>
  <c r="H533" i="10"/>
  <c r="AO533" i="10"/>
  <c r="AP533" i="10"/>
  <c r="AS533" i="10"/>
  <c r="AU533" i="10"/>
  <c r="AY533" i="10" s="1"/>
  <c r="CD533" i="10" s="1"/>
  <c r="CH533" i="10" s="1"/>
  <c r="AV533" i="10"/>
  <c r="EM533" i="10" s="1"/>
  <c r="DZ533" i="10"/>
  <c r="EB533" i="10"/>
  <c r="EG533" i="10"/>
  <c r="EL533" i="10"/>
  <c r="H534" i="10"/>
  <c r="AO534" i="10"/>
  <c r="BM534" i="10" s="1"/>
  <c r="BV534" i="10" s="1"/>
  <c r="AP534" i="10"/>
  <c r="AS534" i="10"/>
  <c r="AV534" i="10"/>
  <c r="EM534" i="10" s="1"/>
  <c r="DZ534" i="10"/>
  <c r="EB534" i="10"/>
  <c r="EG534" i="10"/>
  <c r="EL534" i="10"/>
  <c r="H535" i="10"/>
  <c r="AO535" i="10"/>
  <c r="AP535" i="10"/>
  <c r="AS535" i="10"/>
  <c r="AV535" i="10"/>
  <c r="EM535" i="10" s="1"/>
  <c r="DZ535" i="10"/>
  <c r="EB535" i="10"/>
  <c r="EG535" i="10"/>
  <c r="EL535" i="10"/>
  <c r="H536" i="10"/>
  <c r="EC536" i="10"/>
  <c r="AO536" i="10"/>
  <c r="BM536" i="10" s="1"/>
  <c r="BV536" i="10" s="1"/>
  <c r="AP536" i="10"/>
  <c r="BJ536" i="10" s="1"/>
  <c r="BL536" i="10" s="1"/>
  <c r="AS536" i="10"/>
  <c r="AV536" i="10"/>
  <c r="EM536" i="10" s="1"/>
  <c r="DZ536" i="10"/>
  <c r="EB536" i="10"/>
  <c r="EG536" i="10"/>
  <c r="EL536" i="10"/>
  <c r="H537" i="10"/>
  <c r="AO537" i="10"/>
  <c r="AP537" i="10"/>
  <c r="AS537" i="10"/>
  <c r="AV537" i="10"/>
  <c r="EM537" i="10" s="1"/>
  <c r="DZ537" i="10"/>
  <c r="EB537" i="10"/>
  <c r="EG537" i="10"/>
  <c r="EL537" i="10"/>
  <c r="H538" i="10"/>
  <c r="BA538" i="10"/>
  <c r="BC538" i="10" s="1"/>
  <c r="AO538" i="10"/>
  <c r="AP538" i="10"/>
  <c r="BJ538" i="10" s="1"/>
  <c r="BL538" i="10" s="1"/>
  <c r="AS538" i="10"/>
  <c r="AV538" i="10"/>
  <c r="EM538" i="10" s="1"/>
  <c r="DZ538" i="10"/>
  <c r="EB538" i="10"/>
  <c r="EG538" i="10"/>
  <c r="EL538" i="10"/>
  <c r="H539" i="10"/>
  <c r="AO539" i="10"/>
  <c r="AP539" i="10"/>
  <c r="BN539" i="10" s="1"/>
  <c r="BW539" i="10" s="1"/>
  <c r="AS539" i="10"/>
  <c r="AU539" i="10"/>
  <c r="AY539" i="10" s="1"/>
  <c r="CL539" i="10" s="1"/>
  <c r="AV539" i="10"/>
  <c r="EM539" i="10" s="1"/>
  <c r="DZ539" i="10"/>
  <c r="EB539" i="10"/>
  <c r="EG539" i="10"/>
  <c r="EL539" i="10"/>
  <c r="H540" i="10"/>
  <c r="AO540" i="10"/>
  <c r="BI540" i="10" s="1"/>
  <c r="BK540" i="10" s="1"/>
  <c r="AP540" i="10"/>
  <c r="AS540" i="10"/>
  <c r="AV540" i="10"/>
  <c r="EM540" i="10" s="1"/>
  <c r="DZ540" i="10"/>
  <c r="EB540" i="10"/>
  <c r="EG540" i="10"/>
  <c r="EL540" i="10"/>
  <c r="H541" i="10"/>
  <c r="AO541" i="10"/>
  <c r="AP541" i="10"/>
  <c r="BJ541" i="10" s="1"/>
  <c r="BL541" i="10" s="1"/>
  <c r="AS541" i="10"/>
  <c r="AV541" i="10"/>
  <c r="EM541" i="10" s="1"/>
  <c r="DZ541" i="10"/>
  <c r="EB541" i="10"/>
  <c r="EG541" i="10"/>
  <c r="EL541" i="10"/>
  <c r="H542" i="10"/>
  <c r="BA542" i="10"/>
  <c r="BC542" i="10" s="1"/>
  <c r="AO542" i="10"/>
  <c r="AP542" i="10"/>
  <c r="AS542" i="10"/>
  <c r="AV542" i="10"/>
  <c r="EM542" i="10" s="1"/>
  <c r="DZ542" i="10"/>
  <c r="EB542" i="10"/>
  <c r="EG542" i="10"/>
  <c r="EL542" i="10"/>
  <c r="H543" i="10"/>
  <c r="AO543" i="10"/>
  <c r="AP543" i="10"/>
  <c r="AS543" i="10"/>
  <c r="AV543" i="10"/>
  <c r="EM543" i="10" s="1"/>
  <c r="DZ543" i="10"/>
  <c r="EB543" i="10"/>
  <c r="EG543" i="10"/>
  <c r="EL543" i="10"/>
  <c r="H544" i="10"/>
  <c r="AO544" i="10"/>
  <c r="AP544" i="10"/>
  <c r="AS544" i="10"/>
  <c r="AU544" i="10"/>
  <c r="AY544" i="10" s="1"/>
  <c r="CL544" i="10" s="1"/>
  <c r="AV544" i="10"/>
  <c r="EM544" i="10" s="1"/>
  <c r="DZ544" i="10"/>
  <c r="EB544" i="10"/>
  <c r="EG544" i="10"/>
  <c r="EL544" i="10"/>
  <c r="H545" i="10"/>
  <c r="AO545" i="10"/>
  <c r="BM545" i="10" s="1"/>
  <c r="BV545" i="10" s="1"/>
  <c r="AP545" i="10"/>
  <c r="AS545" i="10"/>
  <c r="AV545" i="10"/>
  <c r="EM545" i="10" s="1"/>
  <c r="DZ545" i="10"/>
  <c r="EB545" i="10"/>
  <c r="EG545" i="10"/>
  <c r="EL545" i="10"/>
  <c r="H546" i="10"/>
  <c r="AO546" i="10"/>
  <c r="AP546" i="10"/>
  <c r="AS546" i="10"/>
  <c r="AV546" i="10"/>
  <c r="EM546" i="10" s="1"/>
  <c r="DZ546" i="10"/>
  <c r="EB546" i="10"/>
  <c r="EG546" i="10"/>
  <c r="EL546" i="10"/>
  <c r="H547" i="10"/>
  <c r="AO547" i="10"/>
  <c r="BI547" i="10" s="1"/>
  <c r="BK547" i="10" s="1"/>
  <c r="AP547" i="10"/>
  <c r="BN547" i="10" s="1"/>
  <c r="BW547" i="10" s="1"/>
  <c r="AS547" i="10"/>
  <c r="AV547" i="10"/>
  <c r="EM547" i="10" s="1"/>
  <c r="DZ547" i="10"/>
  <c r="EB547" i="10"/>
  <c r="EG547" i="10"/>
  <c r="EL547" i="10"/>
  <c r="H548" i="10"/>
  <c r="AO548" i="10"/>
  <c r="AP548" i="10"/>
  <c r="AS548" i="10"/>
  <c r="AV548" i="10"/>
  <c r="EM548" i="10" s="1"/>
  <c r="DZ548" i="10"/>
  <c r="EB548" i="10"/>
  <c r="EG548" i="10"/>
  <c r="EL548" i="10"/>
  <c r="H549" i="10"/>
  <c r="AO549" i="10"/>
  <c r="BM549" i="10" s="1"/>
  <c r="BV549" i="10" s="1"/>
  <c r="BZ549" i="10" s="1"/>
  <c r="AP549" i="10"/>
  <c r="AS549" i="10"/>
  <c r="AV549" i="10"/>
  <c r="EM549" i="10" s="1"/>
  <c r="DZ549" i="10"/>
  <c r="EB549" i="10"/>
  <c r="EG549" i="10"/>
  <c r="EL549" i="10"/>
  <c r="H550" i="10"/>
  <c r="AO550" i="10"/>
  <c r="AP550" i="10"/>
  <c r="AS550" i="10"/>
  <c r="AV550" i="10"/>
  <c r="EM550" i="10" s="1"/>
  <c r="DZ550" i="10"/>
  <c r="EB550" i="10"/>
  <c r="EG550" i="10"/>
  <c r="EL550" i="10"/>
  <c r="H551" i="10"/>
  <c r="AO551" i="10"/>
  <c r="AP551" i="10"/>
  <c r="BJ551" i="10" s="1"/>
  <c r="BL551" i="10" s="1"/>
  <c r="AS551" i="10"/>
  <c r="AU551" i="10"/>
  <c r="AY551" i="10" s="1"/>
  <c r="CL551" i="10" s="1"/>
  <c r="AV551" i="10"/>
  <c r="EM551" i="10" s="1"/>
  <c r="DZ551" i="10"/>
  <c r="EB551" i="10"/>
  <c r="EG551" i="10"/>
  <c r="EL551" i="10"/>
  <c r="H552" i="10"/>
  <c r="BA552" i="10"/>
  <c r="BC552" i="10" s="1"/>
  <c r="AO552" i="10"/>
  <c r="AP552" i="10"/>
  <c r="AS552" i="10"/>
  <c r="AU552" i="10"/>
  <c r="AY552" i="10" s="1"/>
  <c r="AV552" i="10"/>
  <c r="EM552" i="10" s="1"/>
  <c r="DZ552" i="10"/>
  <c r="EB552" i="10"/>
  <c r="EG552" i="10"/>
  <c r="EL552" i="10"/>
  <c r="H553" i="10"/>
  <c r="AO553" i="10"/>
  <c r="BI553" i="10" s="1"/>
  <c r="BK553" i="10" s="1"/>
  <c r="AP553" i="10"/>
  <c r="AS553" i="10"/>
  <c r="AV553" i="10"/>
  <c r="EM553" i="10" s="1"/>
  <c r="DZ553" i="10"/>
  <c r="EB553" i="10"/>
  <c r="EG553" i="10"/>
  <c r="EL553" i="10"/>
  <c r="H554" i="10"/>
  <c r="AO554" i="10"/>
  <c r="AP554" i="10"/>
  <c r="BN554" i="10" s="1"/>
  <c r="BW554" i="10" s="1"/>
  <c r="AS554" i="10"/>
  <c r="AV554" i="10"/>
  <c r="EM554" i="10" s="1"/>
  <c r="DZ554" i="10"/>
  <c r="EB554" i="10"/>
  <c r="EG554" i="10"/>
  <c r="EL554" i="10"/>
  <c r="H555" i="10"/>
  <c r="AO555" i="10"/>
  <c r="AP555" i="10"/>
  <c r="BJ555" i="10" s="1"/>
  <c r="BL555" i="10" s="1"/>
  <c r="AS555" i="10"/>
  <c r="AV555" i="10"/>
  <c r="EM555" i="10" s="1"/>
  <c r="DZ555" i="10"/>
  <c r="EB555" i="10"/>
  <c r="EG555" i="10"/>
  <c r="EL555" i="10"/>
  <c r="H556" i="10"/>
  <c r="AO556" i="10"/>
  <c r="AP556" i="10"/>
  <c r="BN556" i="10" s="1"/>
  <c r="BW556" i="10" s="1"/>
  <c r="AS556" i="10"/>
  <c r="AV556" i="10"/>
  <c r="EM556" i="10" s="1"/>
  <c r="DZ556" i="10"/>
  <c r="EB556" i="10"/>
  <c r="EG556" i="10"/>
  <c r="EL556" i="10"/>
  <c r="H557" i="10"/>
  <c r="AO557" i="10"/>
  <c r="BM557" i="10" s="1"/>
  <c r="BV557" i="10" s="1"/>
  <c r="AP557" i="10"/>
  <c r="AS557" i="10"/>
  <c r="AU557" i="10"/>
  <c r="AY557" i="10" s="1"/>
  <c r="AV557" i="10"/>
  <c r="EM557" i="10" s="1"/>
  <c r="DZ557" i="10"/>
  <c r="EB557" i="10"/>
  <c r="EG557" i="10"/>
  <c r="EL557" i="10"/>
  <c r="H558" i="10"/>
  <c r="AO558" i="10"/>
  <c r="AP558" i="10"/>
  <c r="BN558" i="10" s="1"/>
  <c r="BW558" i="10" s="1"/>
  <c r="AS558" i="10"/>
  <c r="AV558" i="10"/>
  <c r="EM558" i="10" s="1"/>
  <c r="DZ558" i="10"/>
  <c r="EB558" i="10"/>
  <c r="EG558" i="10"/>
  <c r="EL558" i="10"/>
  <c r="H559" i="10"/>
  <c r="EC559" i="10"/>
  <c r="AO559" i="10"/>
  <c r="BI559" i="10" s="1"/>
  <c r="BK559" i="10" s="1"/>
  <c r="AP559" i="10"/>
  <c r="BJ559" i="10" s="1"/>
  <c r="BL559" i="10" s="1"/>
  <c r="AS559" i="10"/>
  <c r="AV559" i="10"/>
  <c r="EM559" i="10" s="1"/>
  <c r="DZ559" i="10"/>
  <c r="EB559" i="10"/>
  <c r="EG559" i="10"/>
  <c r="EL559" i="10"/>
  <c r="H560" i="10"/>
  <c r="AO560" i="10"/>
  <c r="AP560" i="10"/>
  <c r="AS560" i="10"/>
  <c r="AV560" i="10"/>
  <c r="EM560" i="10" s="1"/>
  <c r="DZ560" i="10"/>
  <c r="EB560" i="10"/>
  <c r="EG560" i="10"/>
  <c r="EL560" i="10"/>
  <c r="H561" i="10"/>
  <c r="AO561" i="10"/>
  <c r="BI561" i="10" s="1"/>
  <c r="BK561" i="10" s="1"/>
  <c r="AP561" i="10"/>
  <c r="BN561" i="10" s="1"/>
  <c r="BW561" i="10" s="1"/>
  <c r="AS561" i="10"/>
  <c r="AV561" i="10"/>
  <c r="EM561" i="10" s="1"/>
  <c r="DZ561" i="10"/>
  <c r="EB561" i="10"/>
  <c r="EG561" i="10"/>
  <c r="EL561" i="10"/>
  <c r="H562" i="10"/>
  <c r="AO562" i="10"/>
  <c r="BM562" i="10" s="1"/>
  <c r="BV562" i="10" s="1"/>
  <c r="AP562" i="10"/>
  <c r="AS562" i="10"/>
  <c r="AU562" i="10"/>
  <c r="AY562" i="10" s="1"/>
  <c r="CL562" i="10" s="1"/>
  <c r="AV562" i="10"/>
  <c r="EM562" i="10" s="1"/>
  <c r="DZ562" i="10"/>
  <c r="EB562" i="10"/>
  <c r="EG562" i="10"/>
  <c r="EL562" i="10"/>
  <c r="H563" i="10"/>
  <c r="AO563" i="10"/>
  <c r="BI563" i="10" s="1"/>
  <c r="BK563" i="10" s="1"/>
  <c r="AP563" i="10"/>
  <c r="BJ563" i="10" s="1"/>
  <c r="BL563" i="10" s="1"/>
  <c r="AQ563" i="10" s="1"/>
  <c r="AS563" i="10"/>
  <c r="AV563" i="10"/>
  <c r="EM563" i="10" s="1"/>
  <c r="DZ563" i="10"/>
  <c r="EB563" i="10"/>
  <c r="EG563" i="10"/>
  <c r="EL563" i="10"/>
  <c r="H564" i="10"/>
  <c r="AO564" i="10"/>
  <c r="BM564" i="10" s="1"/>
  <c r="BV564" i="10" s="1"/>
  <c r="AP564" i="10"/>
  <c r="AS564" i="10"/>
  <c r="AV564" i="10"/>
  <c r="EM564" i="10" s="1"/>
  <c r="DZ564" i="10"/>
  <c r="EB564" i="10"/>
  <c r="EG564" i="10"/>
  <c r="EL564" i="10"/>
  <c r="H565" i="10"/>
  <c r="AO565" i="10"/>
  <c r="AP565" i="10"/>
  <c r="BN565" i="10" s="1"/>
  <c r="BW565" i="10" s="1"/>
  <c r="AS565" i="10"/>
  <c r="AV565" i="10"/>
  <c r="EM565" i="10" s="1"/>
  <c r="DZ565" i="10"/>
  <c r="EB565" i="10"/>
  <c r="EG565" i="10"/>
  <c r="EL565" i="10"/>
  <c r="H566" i="10"/>
  <c r="AO566" i="10"/>
  <c r="BM566" i="10" s="1"/>
  <c r="BV566" i="10" s="1"/>
  <c r="AP566" i="10"/>
  <c r="AS566" i="10"/>
  <c r="AV566" i="10"/>
  <c r="EM566" i="10" s="1"/>
  <c r="DZ566" i="10"/>
  <c r="EB566" i="10"/>
  <c r="EG566" i="10"/>
  <c r="EL566" i="10"/>
  <c r="H567" i="10"/>
  <c r="BA567" i="10"/>
  <c r="BC567" i="10" s="1"/>
  <c r="AO567" i="10"/>
  <c r="AP567" i="10"/>
  <c r="BN567" i="10" s="1"/>
  <c r="BW567" i="10" s="1"/>
  <c r="AS567" i="10"/>
  <c r="AV567" i="10"/>
  <c r="EM567" i="10" s="1"/>
  <c r="DZ567" i="10"/>
  <c r="EB567" i="10"/>
  <c r="EG567" i="10"/>
  <c r="EL567" i="10"/>
  <c r="H568" i="10"/>
  <c r="AO568" i="10"/>
  <c r="BM568" i="10" s="1"/>
  <c r="BV568" i="10" s="1"/>
  <c r="AP568" i="10"/>
  <c r="BN568" i="10" s="1"/>
  <c r="BW568" i="10" s="1"/>
  <c r="AS568" i="10"/>
  <c r="AU568" i="10"/>
  <c r="AY568" i="10" s="1"/>
  <c r="AV568" i="10"/>
  <c r="EM568" i="10" s="1"/>
  <c r="DZ568" i="10"/>
  <c r="EB568" i="10"/>
  <c r="EG568" i="10"/>
  <c r="EL568" i="10"/>
  <c r="H569" i="10"/>
  <c r="AO569" i="10"/>
  <c r="BI569" i="10" s="1"/>
  <c r="BK569" i="10" s="1"/>
  <c r="AP569" i="10"/>
  <c r="BN569" i="10" s="1"/>
  <c r="BW569" i="10" s="1"/>
  <c r="AS569" i="10"/>
  <c r="AV569" i="10"/>
  <c r="EM569" i="10" s="1"/>
  <c r="DZ569" i="10"/>
  <c r="EB569" i="10"/>
  <c r="EG569" i="10"/>
  <c r="EL569" i="10"/>
  <c r="H570" i="10"/>
  <c r="AO570" i="10"/>
  <c r="AP570" i="10"/>
  <c r="AS570" i="10"/>
  <c r="AU570" i="10"/>
  <c r="AY570" i="10" s="1"/>
  <c r="AV570" i="10"/>
  <c r="EM570" i="10" s="1"/>
  <c r="DZ570" i="10"/>
  <c r="EB570" i="10"/>
  <c r="EG570" i="10"/>
  <c r="EL570" i="10"/>
  <c r="H571" i="10"/>
  <c r="AO571" i="10"/>
  <c r="AP571" i="10"/>
  <c r="AS571" i="10"/>
  <c r="AV571" i="10"/>
  <c r="EM571" i="10" s="1"/>
  <c r="DZ571" i="10"/>
  <c r="EB571" i="10"/>
  <c r="EG571" i="10"/>
  <c r="EL571" i="10"/>
  <c r="H572" i="10"/>
  <c r="EC572" i="10"/>
  <c r="AO572" i="10"/>
  <c r="AP572" i="10"/>
  <c r="AS572" i="10"/>
  <c r="AV572" i="10"/>
  <c r="EM572" i="10" s="1"/>
  <c r="DZ572" i="10"/>
  <c r="EB572" i="10"/>
  <c r="EG572" i="10"/>
  <c r="EL572" i="10"/>
  <c r="H573" i="10"/>
  <c r="AO573" i="10"/>
  <c r="BI573" i="10" s="1"/>
  <c r="BK573" i="10" s="1"/>
  <c r="AP573" i="10"/>
  <c r="AS573" i="10"/>
  <c r="AU573" i="10"/>
  <c r="AY573" i="10" s="1"/>
  <c r="CD573" i="10" s="1"/>
  <c r="CH573" i="10" s="1"/>
  <c r="AV573" i="10"/>
  <c r="EM573" i="10" s="1"/>
  <c r="DZ573" i="10"/>
  <c r="EB573" i="10"/>
  <c r="EG573" i="10"/>
  <c r="EL573" i="10"/>
  <c r="H574" i="10"/>
  <c r="AO574" i="10"/>
  <c r="BM574" i="10" s="1"/>
  <c r="BV574" i="10" s="1"/>
  <c r="AP574" i="10"/>
  <c r="BJ574" i="10" s="1"/>
  <c r="BL574" i="10" s="1"/>
  <c r="AS574" i="10"/>
  <c r="AV574" i="10"/>
  <c r="EM574" i="10" s="1"/>
  <c r="DZ574" i="10"/>
  <c r="EB574" i="10"/>
  <c r="EG574" i="10"/>
  <c r="EL574" i="10"/>
  <c r="H575" i="10"/>
  <c r="AO575" i="10"/>
  <c r="AP575" i="10"/>
  <c r="AS575" i="10"/>
  <c r="AV575" i="10"/>
  <c r="EM575" i="10" s="1"/>
  <c r="DZ575" i="10"/>
  <c r="EB575" i="10"/>
  <c r="EG575" i="10"/>
  <c r="EL575" i="10"/>
  <c r="H576" i="10"/>
  <c r="AO576" i="10"/>
  <c r="AP576" i="10"/>
  <c r="AS576" i="10"/>
  <c r="AU576" i="10"/>
  <c r="AY576" i="10" s="1"/>
  <c r="AV576" i="10"/>
  <c r="EM576" i="10" s="1"/>
  <c r="DZ576" i="10"/>
  <c r="EB576" i="10"/>
  <c r="EG576" i="10"/>
  <c r="EL576" i="10"/>
  <c r="H577" i="10"/>
  <c r="EC577" i="10"/>
  <c r="AO577" i="10"/>
  <c r="BI577" i="10" s="1"/>
  <c r="BK577" i="10" s="1"/>
  <c r="AP577" i="10"/>
  <c r="BN577" i="10" s="1"/>
  <c r="BW577" i="10" s="1"/>
  <c r="AS577" i="10"/>
  <c r="AV577" i="10"/>
  <c r="EM577" i="10" s="1"/>
  <c r="DZ577" i="10"/>
  <c r="EB577" i="10"/>
  <c r="EG577" i="10"/>
  <c r="EL577" i="10"/>
  <c r="H578" i="10"/>
  <c r="AO578" i="10"/>
  <c r="BM578" i="10" s="1"/>
  <c r="BV578" i="10" s="1"/>
  <c r="AP578" i="10"/>
  <c r="BJ578" i="10" s="1"/>
  <c r="BL578" i="10" s="1"/>
  <c r="AS578" i="10"/>
  <c r="AU578" i="10"/>
  <c r="AY578" i="10" s="1"/>
  <c r="AV578" i="10"/>
  <c r="EM578" i="10" s="1"/>
  <c r="DZ578" i="10"/>
  <c r="EB578" i="10"/>
  <c r="EG578" i="10"/>
  <c r="EL578" i="10"/>
  <c r="H579" i="10"/>
  <c r="BA579" i="10"/>
  <c r="BC579" i="10" s="1"/>
  <c r="AO579" i="10"/>
  <c r="AP579" i="10"/>
  <c r="AS579" i="10"/>
  <c r="AV579" i="10"/>
  <c r="EM579" i="10" s="1"/>
  <c r="DZ579" i="10"/>
  <c r="EB579" i="10"/>
  <c r="EG579" i="10"/>
  <c r="EL579" i="10"/>
  <c r="H580" i="10"/>
  <c r="AO580" i="10"/>
  <c r="AP580" i="10"/>
  <c r="AS580" i="10"/>
  <c r="AU580" i="10"/>
  <c r="AY580" i="10" s="1"/>
  <c r="CL580" i="10" s="1"/>
  <c r="AV580" i="10"/>
  <c r="EM580" i="10" s="1"/>
  <c r="DZ580" i="10"/>
  <c r="EB580" i="10"/>
  <c r="EG580" i="10"/>
  <c r="EL580" i="10"/>
  <c r="H581" i="10"/>
  <c r="EC581" i="10"/>
  <c r="AO581" i="10"/>
  <c r="AP581" i="10"/>
  <c r="AS581" i="10"/>
  <c r="AU581" i="10"/>
  <c r="AY581" i="10" s="1"/>
  <c r="AV581" i="10"/>
  <c r="EM581" i="10" s="1"/>
  <c r="DZ581" i="10"/>
  <c r="EB581" i="10"/>
  <c r="EG581" i="10"/>
  <c r="EL581" i="10"/>
  <c r="H582" i="10"/>
  <c r="AO582" i="10"/>
  <c r="AP582" i="10"/>
  <c r="AS582" i="10"/>
  <c r="AV582" i="10"/>
  <c r="EM582" i="10" s="1"/>
  <c r="DZ582" i="10"/>
  <c r="EB582" i="10"/>
  <c r="EG582" i="10"/>
  <c r="EL582" i="10"/>
  <c r="H583" i="10"/>
  <c r="BA583" i="10"/>
  <c r="BC583" i="10" s="1"/>
  <c r="AO583" i="10"/>
  <c r="BI583" i="10" s="1"/>
  <c r="BK583" i="10" s="1"/>
  <c r="AP583" i="10"/>
  <c r="AS583" i="10"/>
  <c r="AV583" i="10"/>
  <c r="EM583" i="10" s="1"/>
  <c r="DZ583" i="10"/>
  <c r="EB583" i="10"/>
  <c r="EG583" i="10"/>
  <c r="EL583" i="10"/>
  <c r="H584" i="10"/>
  <c r="EC584" i="10"/>
  <c r="AO584" i="10"/>
  <c r="AP584" i="10"/>
  <c r="BN584" i="10" s="1"/>
  <c r="BW584" i="10" s="1"/>
  <c r="AS584" i="10"/>
  <c r="AU584" i="10"/>
  <c r="AV584" i="10"/>
  <c r="EM584" i="10" s="1"/>
  <c r="DZ584" i="10"/>
  <c r="EB584" i="10"/>
  <c r="EG584" i="10"/>
  <c r="EL584" i="10"/>
  <c r="H585" i="10"/>
  <c r="AO585" i="10"/>
  <c r="AP585" i="10"/>
  <c r="AS585" i="10"/>
  <c r="AU585" i="10"/>
  <c r="AY585" i="10" s="1"/>
  <c r="CL585" i="10" s="1"/>
  <c r="AV585" i="10"/>
  <c r="EM585" i="10" s="1"/>
  <c r="DZ585" i="10"/>
  <c r="EB585" i="10"/>
  <c r="EG585" i="10"/>
  <c r="EL585" i="10"/>
  <c r="H586" i="10"/>
  <c r="AO586" i="10"/>
  <c r="AP586" i="10"/>
  <c r="AS586" i="10"/>
  <c r="AV586" i="10"/>
  <c r="EM586" i="10" s="1"/>
  <c r="DZ586" i="10"/>
  <c r="EB586" i="10"/>
  <c r="EG586" i="10"/>
  <c r="EL586" i="10"/>
  <c r="H587" i="10"/>
  <c r="AO587" i="10"/>
  <c r="BI587" i="10" s="1"/>
  <c r="BK587" i="10" s="1"/>
  <c r="AP587" i="10"/>
  <c r="BN587" i="10" s="1"/>
  <c r="BW587" i="10" s="1"/>
  <c r="AS587" i="10"/>
  <c r="AV587" i="10"/>
  <c r="EM587" i="10" s="1"/>
  <c r="DZ587" i="10"/>
  <c r="EB587" i="10"/>
  <c r="EG587" i="10"/>
  <c r="EL587" i="10"/>
  <c r="H588" i="10"/>
  <c r="AO588" i="10"/>
  <c r="BM588" i="10" s="1"/>
  <c r="BV588" i="10" s="1"/>
  <c r="AP588" i="10"/>
  <c r="AS588" i="10"/>
  <c r="AU588" i="10"/>
  <c r="AY588" i="10" s="1"/>
  <c r="AV588" i="10"/>
  <c r="EM588" i="10" s="1"/>
  <c r="DZ588" i="10"/>
  <c r="EB588" i="10"/>
  <c r="EG588" i="10"/>
  <c r="EL588" i="10"/>
  <c r="H589" i="10"/>
  <c r="EC589" i="10"/>
  <c r="AO589" i="10"/>
  <c r="AP589" i="10"/>
  <c r="AS589" i="10"/>
  <c r="AV589" i="10"/>
  <c r="EM589" i="10" s="1"/>
  <c r="DZ589" i="10"/>
  <c r="EB589" i="10"/>
  <c r="EG589" i="10"/>
  <c r="EL589" i="10"/>
  <c r="H590" i="10"/>
  <c r="AO590" i="10"/>
  <c r="BM590" i="10" s="1"/>
  <c r="BV590" i="10" s="1"/>
  <c r="AP590" i="10"/>
  <c r="AS590" i="10"/>
  <c r="AU590" i="10"/>
  <c r="AY590" i="10" s="1"/>
  <c r="AV590" i="10"/>
  <c r="EM590" i="10" s="1"/>
  <c r="DZ590" i="10"/>
  <c r="EB590" i="10"/>
  <c r="EG590" i="10"/>
  <c r="EL590" i="10"/>
  <c r="H591" i="10"/>
  <c r="BA591" i="10"/>
  <c r="BC591" i="10" s="1"/>
  <c r="AO591" i="10"/>
  <c r="AP591" i="10"/>
  <c r="AS591" i="10"/>
  <c r="AV591" i="10"/>
  <c r="EM591" i="10" s="1"/>
  <c r="DZ591" i="10"/>
  <c r="EB591" i="10"/>
  <c r="EG591" i="10"/>
  <c r="EL591" i="10"/>
  <c r="H592" i="10"/>
  <c r="AO592" i="10"/>
  <c r="AP592" i="10"/>
  <c r="AS592" i="10"/>
  <c r="AV592" i="10"/>
  <c r="EM592" i="10" s="1"/>
  <c r="DZ592" i="10"/>
  <c r="EB592" i="10"/>
  <c r="EG592" i="10"/>
  <c r="EL592" i="10"/>
  <c r="H593" i="10"/>
  <c r="AO593" i="10"/>
  <c r="AP593" i="10"/>
  <c r="BN593" i="10" s="1"/>
  <c r="BW593" i="10" s="1"/>
  <c r="AS593" i="10"/>
  <c r="AV593" i="10"/>
  <c r="EM593" i="10" s="1"/>
  <c r="DZ593" i="10"/>
  <c r="EB593" i="10"/>
  <c r="EG593" i="10"/>
  <c r="EL593" i="10"/>
  <c r="H594" i="10"/>
  <c r="AO594" i="10"/>
  <c r="AP594" i="10"/>
  <c r="BJ594" i="10" s="1"/>
  <c r="BL594" i="10" s="1"/>
  <c r="AS594" i="10"/>
  <c r="AV594" i="10"/>
  <c r="EM594" i="10" s="1"/>
  <c r="DZ594" i="10"/>
  <c r="EB594" i="10"/>
  <c r="EG594" i="10"/>
  <c r="EL594" i="10"/>
  <c r="H595" i="10"/>
  <c r="AO595" i="10"/>
  <c r="AP595" i="10"/>
  <c r="BN595" i="10" s="1"/>
  <c r="BW595" i="10" s="1"/>
  <c r="AS595" i="10"/>
  <c r="AV595" i="10"/>
  <c r="EM595" i="10" s="1"/>
  <c r="DZ595" i="10"/>
  <c r="EB595" i="10"/>
  <c r="EG595" i="10"/>
  <c r="EL595" i="10"/>
  <c r="H596" i="10"/>
  <c r="AO596" i="10"/>
  <c r="BM596" i="10" s="1"/>
  <c r="BV596" i="10" s="1"/>
  <c r="AP596" i="10"/>
  <c r="BN596" i="10" s="1"/>
  <c r="BW596" i="10" s="1"/>
  <c r="AS596" i="10"/>
  <c r="AU596" i="10"/>
  <c r="AY596" i="10" s="1"/>
  <c r="AV596" i="10"/>
  <c r="EM596" i="10" s="1"/>
  <c r="DZ596" i="10"/>
  <c r="EB596" i="10"/>
  <c r="EG596" i="10"/>
  <c r="EL596" i="10"/>
  <c r="H597" i="10"/>
  <c r="AO597" i="10"/>
  <c r="AP597" i="10"/>
  <c r="AS597" i="10"/>
  <c r="AV597" i="10"/>
  <c r="EM597" i="10" s="1"/>
  <c r="DZ597" i="10"/>
  <c r="EB597" i="10"/>
  <c r="EG597" i="10"/>
  <c r="EL597" i="10"/>
  <c r="H598" i="10"/>
  <c r="BB598" i="10"/>
  <c r="BD598" i="10" s="1"/>
  <c r="AO598" i="10"/>
  <c r="AP598" i="10"/>
  <c r="AS598" i="10"/>
  <c r="AV598" i="10"/>
  <c r="EM598" i="10" s="1"/>
  <c r="DZ598" i="10"/>
  <c r="EB598" i="10"/>
  <c r="EG598" i="10"/>
  <c r="EL598" i="10"/>
  <c r="H599" i="10"/>
  <c r="AO599" i="10"/>
  <c r="BI599" i="10" s="1"/>
  <c r="BK599" i="10" s="1"/>
  <c r="AP599" i="10"/>
  <c r="BJ599" i="10" s="1"/>
  <c r="BL599" i="10" s="1"/>
  <c r="AS599" i="10"/>
  <c r="AV599" i="10"/>
  <c r="EM599" i="10" s="1"/>
  <c r="DZ599" i="10"/>
  <c r="EB599" i="10"/>
  <c r="EG599" i="10"/>
  <c r="EL599" i="10"/>
  <c r="H600" i="10"/>
  <c r="BA600" i="10"/>
  <c r="BC600" i="10" s="1"/>
  <c r="AO600" i="10"/>
  <c r="AP600" i="10"/>
  <c r="AS600" i="10"/>
  <c r="AU600" i="10"/>
  <c r="AY600" i="10" s="1"/>
  <c r="CD600" i="10" s="1"/>
  <c r="CH600" i="10" s="1"/>
  <c r="AV600" i="10"/>
  <c r="EM600" i="10" s="1"/>
  <c r="DZ600" i="10"/>
  <c r="EB600" i="10"/>
  <c r="EG600" i="10"/>
  <c r="EL600" i="10"/>
  <c r="H601" i="10"/>
  <c r="AO601" i="10"/>
  <c r="AP601" i="10"/>
  <c r="BN601" i="10" s="1"/>
  <c r="BW601" i="10" s="1"/>
  <c r="AS601" i="10"/>
  <c r="AV601" i="10"/>
  <c r="EM601" i="10" s="1"/>
  <c r="DZ601" i="10"/>
  <c r="EB601" i="10"/>
  <c r="EG601" i="10"/>
  <c r="EL601" i="10"/>
  <c r="H602" i="10"/>
  <c r="AO602" i="10"/>
  <c r="AP602" i="10"/>
  <c r="AS602" i="10"/>
  <c r="AU602" i="10"/>
  <c r="AY602" i="10" s="1"/>
  <c r="AV602" i="10"/>
  <c r="EM602" i="10" s="1"/>
  <c r="DZ602" i="10"/>
  <c r="EB602" i="10"/>
  <c r="EG602" i="10"/>
  <c r="EL602" i="10"/>
  <c r="H603" i="10"/>
  <c r="AO603" i="10"/>
  <c r="BM603" i="10" s="1"/>
  <c r="BV603" i="10" s="1"/>
  <c r="AP603" i="10"/>
  <c r="AS603" i="10"/>
  <c r="AV603" i="10"/>
  <c r="EM603" i="10" s="1"/>
  <c r="DZ603" i="10"/>
  <c r="EB603" i="10"/>
  <c r="EG603" i="10"/>
  <c r="EL603" i="10"/>
  <c r="H604" i="10"/>
  <c r="BA604" i="10"/>
  <c r="BC604" i="10" s="1"/>
  <c r="AO604" i="10"/>
  <c r="AP604" i="10"/>
  <c r="AS604" i="10"/>
  <c r="AV604" i="10"/>
  <c r="EM604" i="10" s="1"/>
  <c r="DZ604" i="10"/>
  <c r="EB604" i="10"/>
  <c r="EG604" i="10"/>
  <c r="EL604" i="10"/>
  <c r="H605" i="10"/>
  <c r="AO605" i="10"/>
  <c r="BM605" i="10" s="1"/>
  <c r="BV605" i="10" s="1"/>
  <c r="AP605" i="10"/>
  <c r="BN605" i="10" s="1"/>
  <c r="BW605" i="10" s="1"/>
  <c r="AS605" i="10"/>
  <c r="AU605" i="10"/>
  <c r="AV605" i="10"/>
  <c r="EM605" i="10" s="1"/>
  <c r="DZ605" i="10"/>
  <c r="EB605" i="10"/>
  <c r="EG605" i="10"/>
  <c r="EL605" i="10"/>
  <c r="H606" i="10"/>
  <c r="AO606" i="10"/>
  <c r="BI606" i="10" s="1"/>
  <c r="BK606" i="10" s="1"/>
  <c r="AP606" i="10"/>
  <c r="BJ606" i="10" s="1"/>
  <c r="BL606" i="10" s="1"/>
  <c r="AS606" i="10"/>
  <c r="AV606" i="10"/>
  <c r="EM606" i="10" s="1"/>
  <c r="DZ606" i="10"/>
  <c r="EB606" i="10"/>
  <c r="EG606" i="10"/>
  <c r="EL606" i="10"/>
  <c r="H607" i="10"/>
  <c r="EC607" i="10"/>
  <c r="AO607" i="10"/>
  <c r="AP607" i="10"/>
  <c r="AS607" i="10"/>
  <c r="AV607" i="10"/>
  <c r="EM607" i="10" s="1"/>
  <c r="DZ607" i="10"/>
  <c r="EB607" i="10"/>
  <c r="EG607" i="10"/>
  <c r="EL607" i="10"/>
  <c r="H608" i="10"/>
  <c r="AO608" i="10"/>
  <c r="AP608" i="10"/>
  <c r="AS608" i="10"/>
  <c r="AV608" i="10"/>
  <c r="EM608" i="10" s="1"/>
  <c r="DZ608" i="10"/>
  <c r="EB608" i="10"/>
  <c r="EG608" i="10"/>
  <c r="EL608" i="10"/>
  <c r="H609" i="10"/>
  <c r="EC609" i="10"/>
  <c r="AO609" i="10"/>
  <c r="BI609" i="10" s="1"/>
  <c r="BK609" i="10" s="1"/>
  <c r="AP609" i="10"/>
  <c r="BJ609" i="10" s="1"/>
  <c r="BL609" i="10" s="1"/>
  <c r="AS609" i="10"/>
  <c r="AU609" i="10"/>
  <c r="AY609" i="10" s="1"/>
  <c r="AV609" i="10"/>
  <c r="EM609" i="10" s="1"/>
  <c r="DZ609" i="10"/>
  <c r="EB609" i="10"/>
  <c r="EG609" i="10"/>
  <c r="EL609" i="10"/>
  <c r="H610" i="10"/>
  <c r="AO610" i="10"/>
  <c r="BI610" i="10" s="1"/>
  <c r="BK610" i="10" s="1"/>
  <c r="AP610" i="10"/>
  <c r="BN610" i="10" s="1"/>
  <c r="BW610" i="10" s="1"/>
  <c r="AS610" i="10"/>
  <c r="AV610" i="10"/>
  <c r="EM610" i="10" s="1"/>
  <c r="DZ610" i="10"/>
  <c r="EB610" i="10"/>
  <c r="EG610" i="10"/>
  <c r="EL610" i="10"/>
  <c r="H611" i="10"/>
  <c r="EC611" i="10"/>
  <c r="AO611" i="10"/>
  <c r="BI611" i="10" s="1"/>
  <c r="BK611" i="10" s="1"/>
  <c r="AP611" i="10"/>
  <c r="BN611" i="10" s="1"/>
  <c r="BW611" i="10" s="1"/>
  <c r="AS611" i="10"/>
  <c r="AV611" i="10"/>
  <c r="EM611" i="10" s="1"/>
  <c r="DZ611" i="10"/>
  <c r="EB611" i="10"/>
  <c r="EG611" i="10"/>
  <c r="EL611" i="10"/>
  <c r="H612" i="10"/>
  <c r="BA612" i="10"/>
  <c r="BC612" i="10" s="1"/>
  <c r="AO612" i="10"/>
  <c r="BI612" i="10" s="1"/>
  <c r="BK612" i="10" s="1"/>
  <c r="AP612" i="10"/>
  <c r="BJ612" i="10" s="1"/>
  <c r="BL612" i="10" s="1"/>
  <c r="AS612" i="10"/>
  <c r="AV612" i="10"/>
  <c r="EM612" i="10" s="1"/>
  <c r="DZ612" i="10"/>
  <c r="EB612" i="10"/>
  <c r="EG612" i="10"/>
  <c r="EL612" i="10"/>
  <c r="H613" i="10"/>
  <c r="EC613" i="10"/>
  <c r="AO613" i="10"/>
  <c r="BM613" i="10" s="1"/>
  <c r="BV613" i="10" s="1"/>
  <c r="AP613" i="10"/>
  <c r="AS613" i="10"/>
  <c r="AV613" i="10"/>
  <c r="EM613" i="10" s="1"/>
  <c r="DZ613" i="10"/>
  <c r="EB613" i="10"/>
  <c r="EG613" i="10"/>
  <c r="EL613" i="10"/>
  <c r="H614" i="10"/>
  <c r="AO614" i="10"/>
  <c r="AP614" i="10"/>
  <c r="AS614" i="10"/>
  <c r="AV614" i="10"/>
  <c r="EM614" i="10" s="1"/>
  <c r="DZ614" i="10"/>
  <c r="EB614" i="10"/>
  <c r="EG614" i="10"/>
  <c r="EL614" i="10"/>
  <c r="H615" i="10"/>
  <c r="AO615" i="10"/>
  <c r="AP615" i="10"/>
  <c r="AS615" i="10"/>
  <c r="AV615" i="10"/>
  <c r="EM615" i="10" s="1"/>
  <c r="DZ615" i="10"/>
  <c r="EB615" i="10"/>
  <c r="EG615" i="10"/>
  <c r="EL615" i="10"/>
  <c r="H616" i="10"/>
  <c r="AO616" i="10"/>
  <c r="AP616" i="10"/>
  <c r="AS616" i="10"/>
  <c r="AV616" i="10"/>
  <c r="EM616" i="10" s="1"/>
  <c r="DZ616" i="10"/>
  <c r="EB616" i="10"/>
  <c r="EG616" i="10"/>
  <c r="EL616" i="10"/>
  <c r="H617" i="10"/>
  <c r="AO617" i="10"/>
  <c r="BI617" i="10" s="1"/>
  <c r="BK617" i="10" s="1"/>
  <c r="AP617" i="10"/>
  <c r="BN617" i="10" s="1"/>
  <c r="BW617" i="10" s="1"/>
  <c r="AS617" i="10"/>
  <c r="AU617" i="10"/>
  <c r="AY617" i="10" s="1"/>
  <c r="AV617" i="10"/>
  <c r="EM617" i="10" s="1"/>
  <c r="DZ617" i="10"/>
  <c r="EB617" i="10"/>
  <c r="EG617" i="10"/>
  <c r="EL617" i="10"/>
  <c r="H618" i="10"/>
  <c r="AO618" i="10"/>
  <c r="AP618" i="10"/>
  <c r="BN618" i="10" s="1"/>
  <c r="BW618" i="10" s="1"/>
  <c r="AS618" i="10"/>
  <c r="AV618" i="10"/>
  <c r="EM618" i="10" s="1"/>
  <c r="DZ618" i="10"/>
  <c r="EB618" i="10"/>
  <c r="EG618" i="10"/>
  <c r="EL618" i="10"/>
  <c r="H619" i="10"/>
  <c r="EC619" i="10"/>
  <c r="AO619" i="10"/>
  <c r="BI619" i="10" s="1"/>
  <c r="BK619" i="10" s="1"/>
  <c r="AP619" i="10"/>
  <c r="BJ619" i="10" s="1"/>
  <c r="BL619" i="10" s="1"/>
  <c r="AS619" i="10"/>
  <c r="AV619" i="10"/>
  <c r="EM619" i="10" s="1"/>
  <c r="DZ619" i="10"/>
  <c r="EB619" i="10"/>
  <c r="EG619" i="10"/>
  <c r="EL619" i="10"/>
  <c r="H620" i="10"/>
  <c r="AO620" i="10"/>
  <c r="BI620" i="10" s="1"/>
  <c r="BK620" i="10" s="1"/>
  <c r="AP620" i="10"/>
  <c r="AS620" i="10"/>
  <c r="AV620" i="10"/>
  <c r="EM620" i="10" s="1"/>
  <c r="DZ620" i="10"/>
  <c r="EB620" i="10"/>
  <c r="EG620" i="10"/>
  <c r="EL620" i="10"/>
  <c r="H621" i="10"/>
  <c r="AO621" i="10"/>
  <c r="BM621" i="10" s="1"/>
  <c r="BV621" i="10" s="1"/>
  <c r="AP621" i="10"/>
  <c r="AS621" i="10"/>
  <c r="AU621" i="10"/>
  <c r="AV621" i="10"/>
  <c r="EM621" i="10" s="1"/>
  <c r="DZ621" i="10"/>
  <c r="EB621" i="10"/>
  <c r="EG621" i="10"/>
  <c r="EL621" i="10"/>
  <c r="H622" i="10"/>
  <c r="AO622" i="10"/>
  <c r="BI622" i="10" s="1"/>
  <c r="BK622" i="10" s="1"/>
  <c r="AP622" i="10"/>
  <c r="BJ622" i="10" s="1"/>
  <c r="BL622" i="10" s="1"/>
  <c r="AS622" i="10"/>
  <c r="AV622" i="10"/>
  <c r="EM622" i="10" s="1"/>
  <c r="DZ622" i="10"/>
  <c r="EB622" i="10"/>
  <c r="EG622" i="10"/>
  <c r="EL622" i="10"/>
  <c r="H623" i="10"/>
  <c r="AO623" i="10"/>
  <c r="AP623" i="10"/>
  <c r="AS623" i="10"/>
  <c r="AV623" i="10"/>
  <c r="EM623" i="10" s="1"/>
  <c r="DZ623" i="10"/>
  <c r="EB623" i="10"/>
  <c r="EG623" i="10"/>
  <c r="EL623" i="10"/>
  <c r="H624" i="10"/>
  <c r="BA624" i="10"/>
  <c r="BC624" i="10" s="1"/>
  <c r="AO624" i="10"/>
  <c r="BI624" i="10" s="1"/>
  <c r="BK624" i="10" s="1"/>
  <c r="AP624" i="10"/>
  <c r="AS624" i="10"/>
  <c r="AV624" i="10"/>
  <c r="EM624" i="10" s="1"/>
  <c r="DZ624" i="10"/>
  <c r="EB624" i="10"/>
  <c r="EG624" i="10"/>
  <c r="EL624" i="10"/>
  <c r="H625" i="10"/>
  <c r="AO625" i="10"/>
  <c r="BI625" i="10" s="1"/>
  <c r="BK625" i="10" s="1"/>
  <c r="AP625" i="10"/>
  <c r="AS625" i="10"/>
  <c r="AV625" i="10"/>
  <c r="EM625" i="10" s="1"/>
  <c r="DZ625" i="10"/>
  <c r="EB625" i="10"/>
  <c r="EG625" i="10"/>
  <c r="EL625" i="10"/>
  <c r="H626" i="10"/>
  <c r="AO626" i="10"/>
  <c r="BM626" i="10" s="1"/>
  <c r="BV626" i="10" s="1"/>
  <c r="AP626" i="10"/>
  <c r="AS626" i="10"/>
  <c r="AV626" i="10"/>
  <c r="EM626" i="10" s="1"/>
  <c r="DZ626" i="10"/>
  <c r="EB626" i="10"/>
  <c r="EG626" i="10"/>
  <c r="EL626" i="10"/>
  <c r="H627" i="10"/>
  <c r="EC627" i="10"/>
  <c r="AO627" i="10"/>
  <c r="BI627" i="10" s="1"/>
  <c r="BK627" i="10" s="1"/>
  <c r="AP627" i="10"/>
  <c r="AS627" i="10"/>
  <c r="AV627" i="10"/>
  <c r="EM627" i="10" s="1"/>
  <c r="DZ627" i="10"/>
  <c r="EB627" i="10"/>
  <c r="EG627" i="10"/>
  <c r="EL627" i="10"/>
  <c r="H628" i="10"/>
  <c r="AO628" i="10"/>
  <c r="AP628" i="10"/>
  <c r="BJ628" i="10" s="1"/>
  <c r="BL628" i="10" s="1"/>
  <c r="AS628" i="10"/>
  <c r="AV628" i="10"/>
  <c r="EM628" i="10" s="1"/>
  <c r="DZ628" i="10"/>
  <c r="EB628" i="10"/>
  <c r="EG628" i="10"/>
  <c r="EL628" i="10"/>
  <c r="H629" i="10"/>
  <c r="AO629" i="10"/>
  <c r="AP629" i="10"/>
  <c r="BN629" i="10" s="1"/>
  <c r="BW629" i="10" s="1"/>
  <c r="AS629" i="10"/>
  <c r="AV629" i="10"/>
  <c r="EM629" i="10" s="1"/>
  <c r="DZ629" i="10"/>
  <c r="EB629" i="10"/>
  <c r="EG629" i="10"/>
  <c r="EL629" i="10"/>
  <c r="H630" i="10"/>
  <c r="AO630" i="10"/>
  <c r="BI630" i="10" s="1"/>
  <c r="BK630" i="10" s="1"/>
  <c r="AP630" i="10"/>
  <c r="AS630" i="10"/>
  <c r="AV630" i="10"/>
  <c r="EM630" i="10" s="1"/>
  <c r="DZ630" i="10"/>
  <c r="EB630" i="10"/>
  <c r="EG630" i="10"/>
  <c r="EL630" i="10"/>
  <c r="H631" i="10"/>
  <c r="EC631" i="10"/>
  <c r="AO631" i="10"/>
  <c r="BI631" i="10" s="1"/>
  <c r="BK631" i="10" s="1"/>
  <c r="AP631" i="10"/>
  <c r="AS631" i="10"/>
  <c r="AV631" i="10"/>
  <c r="EM631" i="10" s="1"/>
  <c r="DZ631" i="10"/>
  <c r="EB631" i="10"/>
  <c r="EG631" i="10"/>
  <c r="EL631" i="10"/>
  <c r="H632" i="10"/>
  <c r="BA632" i="10"/>
  <c r="BC632" i="10" s="1"/>
  <c r="AO632" i="10"/>
  <c r="AP632" i="10"/>
  <c r="BJ632" i="10" s="1"/>
  <c r="BL632" i="10" s="1"/>
  <c r="AS632" i="10"/>
  <c r="AV632" i="10"/>
  <c r="EM632" i="10" s="1"/>
  <c r="DZ632" i="10"/>
  <c r="EB632" i="10"/>
  <c r="EG632" i="10"/>
  <c r="EL632" i="10"/>
  <c r="H633" i="10"/>
  <c r="EC633" i="10"/>
  <c r="AO633" i="10"/>
  <c r="BM633" i="10" s="1"/>
  <c r="BV633" i="10" s="1"/>
  <c r="AP633" i="10"/>
  <c r="AS633" i="10"/>
  <c r="AV633" i="10"/>
  <c r="EM633" i="10" s="1"/>
  <c r="DZ633" i="10"/>
  <c r="EB633" i="10"/>
  <c r="EG633" i="10"/>
  <c r="EL633" i="10"/>
  <c r="H634" i="10"/>
  <c r="AO634" i="10"/>
  <c r="BI634" i="10" s="1"/>
  <c r="BK634" i="10" s="1"/>
  <c r="AP634" i="10"/>
  <c r="AS634" i="10"/>
  <c r="AV634" i="10"/>
  <c r="EM634" i="10" s="1"/>
  <c r="DZ634" i="10"/>
  <c r="EB634" i="10"/>
  <c r="EG634" i="10"/>
  <c r="EL634" i="10"/>
  <c r="H635" i="10"/>
  <c r="EC635" i="10"/>
  <c r="AO635" i="10"/>
  <c r="BI635" i="10" s="1"/>
  <c r="BK635" i="10" s="1"/>
  <c r="AP635" i="10"/>
  <c r="BN635" i="10" s="1"/>
  <c r="BW635" i="10" s="1"/>
  <c r="AS635" i="10"/>
  <c r="AU635" i="10"/>
  <c r="AY635" i="10" s="1"/>
  <c r="CD635" i="10" s="1"/>
  <c r="CH635" i="10" s="1"/>
  <c r="AV635" i="10"/>
  <c r="EM635" i="10" s="1"/>
  <c r="DZ635" i="10"/>
  <c r="EB635" i="10"/>
  <c r="EG635" i="10"/>
  <c r="EL635" i="10"/>
  <c r="H636" i="10"/>
  <c r="BA636" i="10"/>
  <c r="BC636" i="10" s="1"/>
  <c r="AO636" i="10"/>
  <c r="AP636" i="10"/>
  <c r="BJ636" i="10" s="1"/>
  <c r="BL636" i="10" s="1"/>
  <c r="AS636" i="10"/>
  <c r="AV636" i="10"/>
  <c r="EM636" i="10" s="1"/>
  <c r="DZ636" i="10"/>
  <c r="EB636" i="10"/>
  <c r="EG636" i="10"/>
  <c r="EL636" i="10"/>
  <c r="H637" i="10"/>
  <c r="EC637" i="10"/>
  <c r="BB637" i="10"/>
  <c r="BD637" i="10" s="1"/>
  <c r="AO637" i="10"/>
  <c r="BI637" i="10" s="1"/>
  <c r="BK637" i="10" s="1"/>
  <c r="AP637" i="10"/>
  <c r="AS637" i="10"/>
  <c r="AV637" i="10"/>
  <c r="EM637" i="10" s="1"/>
  <c r="DZ637" i="10"/>
  <c r="EB637" i="10"/>
  <c r="EG637" i="10"/>
  <c r="EL637" i="10"/>
  <c r="H638" i="10"/>
  <c r="BA638" i="10"/>
  <c r="BC638" i="10" s="1"/>
  <c r="AO638" i="10"/>
  <c r="BI638" i="10" s="1"/>
  <c r="BK638" i="10" s="1"/>
  <c r="AP638" i="10"/>
  <c r="AS638" i="10"/>
  <c r="AV638" i="10"/>
  <c r="EM638" i="10" s="1"/>
  <c r="DZ638" i="10"/>
  <c r="EB638" i="10"/>
  <c r="EG638" i="10"/>
  <c r="EL638" i="10"/>
  <c r="H639" i="10"/>
  <c r="AO639" i="10"/>
  <c r="AP639" i="10"/>
  <c r="AS639" i="10"/>
  <c r="AV639" i="10"/>
  <c r="EM639" i="10" s="1"/>
  <c r="DZ639" i="10"/>
  <c r="EB639" i="10"/>
  <c r="EG639" i="10"/>
  <c r="EL639" i="10"/>
  <c r="H640" i="10"/>
  <c r="BA640" i="10"/>
  <c r="BC640" i="10" s="1"/>
  <c r="AO640" i="10"/>
  <c r="AP640" i="10"/>
  <c r="AS640" i="10"/>
  <c r="AV640" i="10"/>
  <c r="EM640" i="10" s="1"/>
  <c r="DZ640" i="10"/>
  <c r="EB640" i="10"/>
  <c r="EG640" i="10"/>
  <c r="EL640" i="10"/>
  <c r="H641" i="10"/>
  <c r="AO641" i="10"/>
  <c r="BM641" i="10" s="1"/>
  <c r="BV641" i="10" s="1"/>
  <c r="AP641" i="10"/>
  <c r="AS641" i="10"/>
  <c r="AV641" i="10"/>
  <c r="EM641" i="10" s="1"/>
  <c r="DZ641" i="10"/>
  <c r="EB641" i="10"/>
  <c r="EG641" i="10"/>
  <c r="EL641" i="10"/>
  <c r="H642" i="10"/>
  <c r="AO642" i="10"/>
  <c r="AP642" i="10"/>
  <c r="AS642" i="10"/>
  <c r="AV642" i="10"/>
  <c r="EM642" i="10" s="1"/>
  <c r="DZ642" i="10"/>
  <c r="EB642" i="10"/>
  <c r="EG642" i="10"/>
  <c r="EL642" i="10"/>
  <c r="H643" i="10"/>
  <c r="EC643" i="10"/>
  <c r="AO643" i="10"/>
  <c r="AP643" i="10"/>
  <c r="BN643" i="10" s="1"/>
  <c r="BW643" i="10" s="1"/>
  <c r="AS643" i="10"/>
  <c r="AV643" i="10"/>
  <c r="EM643" i="10" s="1"/>
  <c r="DZ643" i="10"/>
  <c r="EB643" i="10"/>
  <c r="EG643" i="10"/>
  <c r="EL643" i="10"/>
  <c r="H644" i="10"/>
  <c r="AO644" i="10"/>
  <c r="AP644" i="10"/>
  <c r="BN644" i="10" s="1"/>
  <c r="BW644" i="10" s="1"/>
  <c r="AS644" i="10"/>
  <c r="AV644" i="10"/>
  <c r="EM644" i="10" s="1"/>
  <c r="DZ644" i="10"/>
  <c r="EB644" i="10"/>
  <c r="EG644" i="10"/>
  <c r="EL644" i="10"/>
  <c r="H645" i="10"/>
  <c r="AO645" i="10"/>
  <c r="AP645" i="10"/>
  <c r="AS645" i="10"/>
  <c r="AV645" i="10"/>
  <c r="EM645" i="10" s="1"/>
  <c r="DZ645" i="10"/>
  <c r="EB645" i="10"/>
  <c r="EG645" i="10"/>
  <c r="EL645" i="10"/>
  <c r="H646" i="10"/>
  <c r="AO646" i="10"/>
  <c r="BI646" i="10" s="1"/>
  <c r="BK646" i="10" s="1"/>
  <c r="AP646" i="10"/>
  <c r="AS646" i="10"/>
  <c r="AV646" i="10"/>
  <c r="EM646" i="10" s="1"/>
  <c r="DZ646" i="10"/>
  <c r="EB646" i="10"/>
  <c r="EG646" i="10"/>
  <c r="EL646" i="10"/>
  <c r="H647" i="10"/>
  <c r="EC647" i="10"/>
  <c r="AO647" i="10"/>
  <c r="AP647" i="10"/>
  <c r="AS647" i="10"/>
  <c r="AV647" i="10"/>
  <c r="EM647" i="10" s="1"/>
  <c r="DZ647" i="10"/>
  <c r="EB647" i="10"/>
  <c r="EG647" i="10"/>
  <c r="EL647" i="10"/>
  <c r="H648" i="10"/>
  <c r="BA648" i="10"/>
  <c r="BC648" i="10" s="1"/>
  <c r="AO648" i="10"/>
  <c r="AP648" i="10"/>
  <c r="BJ648" i="10" s="1"/>
  <c r="BL648" i="10" s="1"/>
  <c r="AS648" i="10"/>
  <c r="AV648" i="10"/>
  <c r="EM648" i="10" s="1"/>
  <c r="DZ648" i="10"/>
  <c r="EB648" i="10"/>
  <c r="EG648" i="10"/>
  <c r="EL648" i="10"/>
  <c r="H649" i="10"/>
  <c r="EC649" i="10"/>
  <c r="AO649" i="10"/>
  <c r="BM649" i="10" s="1"/>
  <c r="BV649" i="10" s="1"/>
  <c r="AP649" i="10"/>
  <c r="BN649" i="10" s="1"/>
  <c r="BW649" i="10" s="1"/>
  <c r="AS649" i="10"/>
  <c r="AV649" i="10"/>
  <c r="EM649" i="10" s="1"/>
  <c r="DZ649" i="10"/>
  <c r="EB649" i="10"/>
  <c r="EG649" i="10"/>
  <c r="EL649" i="10"/>
  <c r="H650" i="10"/>
  <c r="AO650" i="10"/>
  <c r="AP650" i="10"/>
  <c r="AS650" i="10"/>
  <c r="AU650" i="10"/>
  <c r="AV650" i="10"/>
  <c r="EM650" i="10" s="1"/>
  <c r="DZ650" i="10"/>
  <c r="EB650" i="10"/>
  <c r="EG650" i="10"/>
  <c r="EL650" i="10"/>
  <c r="H651" i="10"/>
  <c r="AO651" i="10"/>
  <c r="BM651" i="10" s="1"/>
  <c r="BV651" i="10" s="1"/>
  <c r="AP651" i="10"/>
  <c r="BN651" i="10" s="1"/>
  <c r="BW651" i="10" s="1"/>
  <c r="AS651" i="10"/>
  <c r="AU651" i="10"/>
  <c r="AY651" i="10" s="1"/>
  <c r="AV651" i="10"/>
  <c r="EM651" i="10" s="1"/>
  <c r="DZ651" i="10"/>
  <c r="EB651" i="10"/>
  <c r="EG651" i="10"/>
  <c r="EL651" i="10"/>
  <c r="H652" i="10"/>
  <c r="BA652" i="10"/>
  <c r="BC652" i="10" s="1"/>
  <c r="AO652" i="10"/>
  <c r="AP652" i="10"/>
  <c r="BJ652" i="10" s="1"/>
  <c r="BL652" i="10" s="1"/>
  <c r="AS652" i="10"/>
  <c r="AV652" i="10"/>
  <c r="EM652" i="10" s="1"/>
  <c r="DZ652" i="10"/>
  <c r="EB652" i="10"/>
  <c r="EG652" i="10"/>
  <c r="EL652" i="10"/>
  <c r="H653" i="10"/>
  <c r="AO653" i="10"/>
  <c r="AP653" i="10"/>
  <c r="AS653" i="10"/>
  <c r="AU653" i="10"/>
  <c r="AV653" i="10"/>
  <c r="EM653" i="10" s="1"/>
  <c r="DZ653" i="10"/>
  <c r="EB653" i="10"/>
  <c r="EG653" i="10"/>
  <c r="EL653" i="10"/>
  <c r="H654" i="10"/>
  <c r="BA654" i="10"/>
  <c r="BC654" i="10" s="1"/>
  <c r="AO654" i="10"/>
  <c r="BM654" i="10" s="1"/>
  <c r="BV654" i="10" s="1"/>
  <c r="AP654" i="10"/>
  <c r="AS654" i="10"/>
  <c r="AV654" i="10"/>
  <c r="EM654" i="10" s="1"/>
  <c r="DZ654" i="10"/>
  <c r="EB654" i="10"/>
  <c r="EG654" i="10"/>
  <c r="EL654" i="10"/>
  <c r="H655" i="10"/>
  <c r="EC655" i="10"/>
  <c r="AO655" i="10"/>
  <c r="BI655" i="10" s="1"/>
  <c r="BK655" i="10" s="1"/>
  <c r="AP655" i="10"/>
  <c r="BN655" i="10" s="1"/>
  <c r="BW655" i="10" s="1"/>
  <c r="AS655" i="10"/>
  <c r="AV655" i="10"/>
  <c r="EM655" i="10" s="1"/>
  <c r="DZ655" i="10"/>
  <c r="EB655" i="10"/>
  <c r="EG655" i="10"/>
  <c r="EL655" i="10"/>
  <c r="H656" i="10"/>
  <c r="AO656" i="10"/>
  <c r="AP656" i="10"/>
  <c r="AS656" i="10"/>
  <c r="AV656" i="10"/>
  <c r="EM656" i="10" s="1"/>
  <c r="DZ656" i="10"/>
  <c r="EB656" i="10"/>
  <c r="EG656" i="10"/>
  <c r="EL656" i="10"/>
  <c r="H657" i="10"/>
  <c r="AO657" i="10"/>
  <c r="AP657" i="10"/>
  <c r="BN657" i="10" s="1"/>
  <c r="BW657" i="10" s="1"/>
  <c r="AS657" i="10"/>
  <c r="AU657" i="10"/>
  <c r="AY657" i="10" s="1"/>
  <c r="AV657" i="10"/>
  <c r="EM657" i="10" s="1"/>
  <c r="DZ657" i="10"/>
  <c r="EB657" i="10"/>
  <c r="EG657" i="10"/>
  <c r="EL657" i="10"/>
  <c r="H658" i="10"/>
  <c r="AO658" i="10"/>
  <c r="AP658" i="10"/>
  <c r="BN658" i="10" s="1"/>
  <c r="BW658" i="10" s="1"/>
  <c r="AS658" i="10"/>
  <c r="AV658" i="10"/>
  <c r="EM658" i="10" s="1"/>
  <c r="DZ658" i="10"/>
  <c r="EB658" i="10"/>
  <c r="EG658" i="10"/>
  <c r="EL658" i="10"/>
  <c r="H659" i="10"/>
  <c r="AO659" i="10"/>
  <c r="AP659" i="10"/>
  <c r="AS659" i="10"/>
  <c r="AV659" i="10"/>
  <c r="EM659" i="10" s="1"/>
  <c r="DZ659" i="10"/>
  <c r="EB659" i="10"/>
  <c r="EG659" i="10"/>
  <c r="EL659" i="10"/>
  <c r="H660" i="10"/>
  <c r="BA660" i="10"/>
  <c r="BC660" i="10" s="1"/>
  <c r="AO660" i="10"/>
  <c r="BI660" i="10" s="1"/>
  <c r="BK660" i="10" s="1"/>
  <c r="AP660" i="10"/>
  <c r="BJ660" i="10" s="1"/>
  <c r="BL660" i="10" s="1"/>
  <c r="AS660" i="10"/>
  <c r="AV660" i="10"/>
  <c r="EM660" i="10" s="1"/>
  <c r="DZ660" i="10"/>
  <c r="EB660" i="10"/>
  <c r="EG660" i="10"/>
  <c r="EL660" i="10"/>
  <c r="H661" i="10"/>
  <c r="AO661" i="10"/>
  <c r="BI661" i="10" s="1"/>
  <c r="BK661" i="10" s="1"/>
  <c r="AP661" i="10"/>
  <c r="BN661" i="10" s="1"/>
  <c r="BW661" i="10" s="1"/>
  <c r="AS661" i="10"/>
  <c r="AV661" i="10"/>
  <c r="EM661" i="10" s="1"/>
  <c r="DZ661" i="10"/>
  <c r="EB661" i="10"/>
  <c r="EG661" i="10"/>
  <c r="EL661" i="10"/>
  <c r="H662" i="10"/>
  <c r="AO662" i="10"/>
  <c r="AP662" i="10"/>
  <c r="BN662" i="10" s="1"/>
  <c r="BW662" i="10" s="1"/>
  <c r="AS662" i="10"/>
  <c r="AV662" i="10"/>
  <c r="EM662" i="10" s="1"/>
  <c r="DZ662" i="10"/>
  <c r="EB662" i="10"/>
  <c r="EG662" i="10"/>
  <c r="EL662" i="10"/>
  <c r="H663" i="10"/>
  <c r="EC663" i="10"/>
  <c r="AO663" i="10"/>
  <c r="AP663" i="10"/>
  <c r="BJ663" i="10" s="1"/>
  <c r="BL663" i="10" s="1"/>
  <c r="AS663" i="10"/>
  <c r="AU663" i="10"/>
  <c r="AV663" i="10"/>
  <c r="EM663" i="10" s="1"/>
  <c r="DZ663" i="10"/>
  <c r="EB663" i="10"/>
  <c r="EG663" i="10"/>
  <c r="EL663" i="10"/>
  <c r="H664" i="10"/>
  <c r="BB664" i="10"/>
  <c r="BD664" i="10" s="1"/>
  <c r="AO664" i="10"/>
  <c r="AP664" i="10"/>
  <c r="BN664" i="10" s="1"/>
  <c r="BW664" i="10" s="1"/>
  <c r="AS664" i="10"/>
  <c r="AV664" i="10"/>
  <c r="EM664" i="10" s="1"/>
  <c r="DZ664" i="10"/>
  <c r="EB664" i="10"/>
  <c r="EG664" i="10"/>
  <c r="EL664" i="10"/>
  <c r="H665" i="10"/>
  <c r="AO665" i="10"/>
  <c r="AP665" i="10"/>
  <c r="AS665" i="10"/>
  <c r="AV665" i="10"/>
  <c r="EM665" i="10" s="1"/>
  <c r="DZ665" i="10"/>
  <c r="EB665" i="10"/>
  <c r="EG665" i="10"/>
  <c r="EL665" i="10"/>
  <c r="H666" i="10"/>
  <c r="EC666" i="10"/>
  <c r="AO666" i="10"/>
  <c r="AP666" i="10"/>
  <c r="AS666" i="10"/>
  <c r="AV666" i="10"/>
  <c r="EM666" i="10" s="1"/>
  <c r="DZ666" i="10"/>
  <c r="EB666" i="10"/>
  <c r="EG666" i="10"/>
  <c r="EL666" i="10"/>
  <c r="H667" i="10"/>
  <c r="AO667" i="10"/>
  <c r="BM667" i="10" s="1"/>
  <c r="BV667" i="10" s="1"/>
  <c r="AP667" i="10"/>
  <c r="AS667" i="10"/>
  <c r="AV667" i="10"/>
  <c r="EM667" i="10" s="1"/>
  <c r="DZ667" i="10"/>
  <c r="EB667" i="10"/>
  <c r="EG667" i="10"/>
  <c r="EL667" i="10"/>
  <c r="H668" i="10"/>
  <c r="AO668" i="10"/>
  <c r="BM668" i="10" s="1"/>
  <c r="BV668" i="10" s="1"/>
  <c r="AP668" i="10"/>
  <c r="BN668" i="10" s="1"/>
  <c r="BW668" i="10" s="1"/>
  <c r="AS668" i="10"/>
  <c r="AV668" i="10"/>
  <c r="EM668" i="10" s="1"/>
  <c r="DZ668" i="10"/>
  <c r="EB668" i="10"/>
  <c r="EG668" i="10"/>
  <c r="EL668" i="10"/>
  <c r="H669" i="10"/>
  <c r="AO669" i="10"/>
  <c r="AP669" i="10"/>
  <c r="BJ669" i="10" s="1"/>
  <c r="BL669" i="10" s="1"/>
  <c r="AS669" i="10"/>
  <c r="AV669" i="10"/>
  <c r="EM669" i="10" s="1"/>
  <c r="DZ669" i="10"/>
  <c r="EB669" i="10"/>
  <c r="EG669" i="10"/>
  <c r="EL669" i="10"/>
  <c r="H670" i="10"/>
  <c r="EC670" i="10"/>
  <c r="AO670" i="10"/>
  <c r="BI670" i="10" s="1"/>
  <c r="BK670" i="10" s="1"/>
  <c r="AP670" i="10"/>
  <c r="AS670" i="10"/>
  <c r="AU670" i="10"/>
  <c r="AV670" i="10"/>
  <c r="EM670" i="10" s="1"/>
  <c r="DZ670" i="10"/>
  <c r="EB670" i="10"/>
  <c r="EG670" i="10"/>
  <c r="EL670" i="10"/>
  <c r="H671" i="10"/>
  <c r="EC671" i="10"/>
  <c r="AO671" i="10"/>
  <c r="AP671" i="10"/>
  <c r="AS671" i="10"/>
  <c r="AV671" i="10"/>
  <c r="EM671" i="10" s="1"/>
  <c r="DZ671" i="10"/>
  <c r="EB671" i="10"/>
  <c r="EG671" i="10"/>
  <c r="EL671" i="10"/>
  <c r="H672" i="10"/>
  <c r="AO672" i="10"/>
  <c r="AP672" i="10"/>
  <c r="AS672" i="10"/>
  <c r="AU672" i="10"/>
  <c r="AV672" i="10"/>
  <c r="EM672" i="10" s="1"/>
  <c r="DZ672" i="10"/>
  <c r="EB672" i="10"/>
  <c r="EG672" i="10"/>
  <c r="EL672" i="10"/>
  <c r="H673" i="10"/>
  <c r="AO673" i="10"/>
  <c r="BM673" i="10" s="1"/>
  <c r="BV673" i="10" s="1"/>
  <c r="AP673" i="10"/>
  <c r="AS673" i="10"/>
  <c r="AV673" i="10"/>
  <c r="EM673" i="10" s="1"/>
  <c r="DZ673" i="10"/>
  <c r="EB673" i="10"/>
  <c r="EG673" i="10"/>
  <c r="EL673" i="10"/>
  <c r="H674" i="10"/>
  <c r="AO674" i="10"/>
  <c r="AP674" i="10"/>
  <c r="AS674" i="10"/>
  <c r="AU674" i="10"/>
  <c r="AY674" i="10" s="1"/>
  <c r="AV674" i="10"/>
  <c r="EM674" i="10" s="1"/>
  <c r="DZ674" i="10"/>
  <c r="EB674" i="10"/>
  <c r="EG674" i="10"/>
  <c r="EL674" i="10"/>
  <c r="H675" i="10"/>
  <c r="BA675" i="10"/>
  <c r="BC675" i="10" s="1"/>
  <c r="AO675" i="10"/>
  <c r="AP675" i="10"/>
  <c r="BJ675" i="10" s="1"/>
  <c r="BL675" i="10" s="1"/>
  <c r="AS675" i="10"/>
  <c r="AV675" i="10"/>
  <c r="EM675" i="10" s="1"/>
  <c r="DZ675" i="10"/>
  <c r="EB675" i="10"/>
  <c r="EG675" i="10"/>
  <c r="EL675" i="10"/>
  <c r="H676" i="10"/>
  <c r="AO676" i="10"/>
  <c r="BI676" i="10" s="1"/>
  <c r="BK676" i="10" s="1"/>
  <c r="AP676" i="10"/>
  <c r="BN676" i="10" s="1"/>
  <c r="BW676" i="10" s="1"/>
  <c r="AS676" i="10"/>
  <c r="AU676" i="10"/>
  <c r="AV676" i="10"/>
  <c r="EM676" i="10" s="1"/>
  <c r="DZ676" i="10"/>
  <c r="EB676" i="10"/>
  <c r="EG676" i="10"/>
  <c r="EL676" i="10"/>
  <c r="H677" i="10"/>
  <c r="AO677" i="10"/>
  <c r="BI677" i="10" s="1"/>
  <c r="BK677" i="10" s="1"/>
  <c r="AQ677" i="10" s="1"/>
  <c r="AP677" i="10"/>
  <c r="BJ677" i="10" s="1"/>
  <c r="BL677" i="10" s="1"/>
  <c r="AS677" i="10"/>
  <c r="AV677" i="10"/>
  <c r="EM677" i="10" s="1"/>
  <c r="DZ677" i="10"/>
  <c r="EB677" i="10"/>
  <c r="EG677" i="10"/>
  <c r="EL677" i="10"/>
  <c r="H678" i="10"/>
  <c r="EC678" i="10"/>
  <c r="AO678" i="10"/>
  <c r="BI678" i="10" s="1"/>
  <c r="BK678" i="10" s="1"/>
  <c r="AP678" i="10"/>
  <c r="BJ678" i="10" s="1"/>
  <c r="BL678" i="10" s="1"/>
  <c r="AS678" i="10"/>
  <c r="AV678" i="10"/>
  <c r="EM678" i="10" s="1"/>
  <c r="DZ678" i="10"/>
  <c r="EB678" i="10"/>
  <c r="EG678" i="10"/>
  <c r="EL678" i="10"/>
  <c r="H679" i="10"/>
  <c r="BA679" i="10"/>
  <c r="BC679" i="10" s="1"/>
  <c r="AO679" i="10"/>
  <c r="AP679" i="10"/>
  <c r="AS679" i="10"/>
  <c r="AV679" i="10"/>
  <c r="EM679" i="10" s="1"/>
  <c r="DZ679" i="10"/>
  <c r="EB679" i="10"/>
  <c r="EG679" i="10"/>
  <c r="EL679" i="10"/>
  <c r="H680" i="10"/>
  <c r="EC680" i="10"/>
  <c r="AO680" i="10"/>
  <c r="AP680" i="10"/>
  <c r="BN680" i="10" s="1"/>
  <c r="BW680" i="10" s="1"/>
  <c r="AS680" i="10"/>
  <c r="AV680" i="10"/>
  <c r="EM680" i="10" s="1"/>
  <c r="DZ680" i="10"/>
  <c r="EB680" i="10"/>
  <c r="EG680" i="10"/>
  <c r="EL680" i="10"/>
  <c r="H681" i="10"/>
  <c r="AO681" i="10"/>
  <c r="BI681" i="10" s="1"/>
  <c r="BK681" i="10" s="1"/>
  <c r="AP681" i="10"/>
  <c r="BJ681" i="10" s="1"/>
  <c r="BL681" i="10" s="1"/>
  <c r="AS681" i="10"/>
  <c r="AV681" i="10"/>
  <c r="EM681" i="10" s="1"/>
  <c r="DZ681" i="10"/>
  <c r="EB681" i="10"/>
  <c r="EG681" i="10"/>
  <c r="EL681" i="10"/>
  <c r="H682" i="10"/>
  <c r="EC682" i="10"/>
  <c r="AO682" i="10"/>
  <c r="BI682" i="10" s="1"/>
  <c r="BK682" i="10" s="1"/>
  <c r="AP682" i="10"/>
  <c r="AS682" i="10"/>
  <c r="AV682" i="10"/>
  <c r="EM682" i="10" s="1"/>
  <c r="DZ682" i="10"/>
  <c r="EB682" i="10"/>
  <c r="EG682" i="10"/>
  <c r="EL682" i="10"/>
  <c r="H683" i="10"/>
  <c r="AO683" i="10"/>
  <c r="BI683" i="10" s="1"/>
  <c r="BK683" i="10" s="1"/>
  <c r="AP683" i="10"/>
  <c r="BJ683" i="10" s="1"/>
  <c r="BL683" i="10" s="1"/>
  <c r="AS683" i="10"/>
  <c r="AV683" i="10"/>
  <c r="EM683" i="10" s="1"/>
  <c r="DZ683" i="10"/>
  <c r="EB683" i="10"/>
  <c r="EG683" i="10"/>
  <c r="EL683" i="10"/>
  <c r="H684" i="10"/>
  <c r="AO684" i="10"/>
  <c r="AP684" i="10"/>
  <c r="BJ684" i="10" s="1"/>
  <c r="BL684" i="10" s="1"/>
  <c r="AS684" i="10"/>
  <c r="AU684" i="10"/>
  <c r="AY684" i="10" s="1"/>
  <c r="AV684" i="10"/>
  <c r="EM684" i="10" s="1"/>
  <c r="DZ684" i="10"/>
  <c r="EB684" i="10"/>
  <c r="EG684" i="10"/>
  <c r="EL684" i="10"/>
  <c r="H685" i="10"/>
  <c r="BA685" i="10"/>
  <c r="BC685" i="10" s="1"/>
  <c r="AO685" i="10"/>
  <c r="AP685" i="10"/>
  <c r="AS685" i="10"/>
  <c r="AV685" i="10"/>
  <c r="EM685" i="10" s="1"/>
  <c r="DZ685" i="10"/>
  <c r="EB685" i="10"/>
  <c r="EG685" i="10"/>
  <c r="EL685" i="10"/>
  <c r="H686" i="10"/>
  <c r="AO686" i="10"/>
  <c r="BM686" i="10" s="1"/>
  <c r="BV686" i="10" s="1"/>
  <c r="AP686" i="10"/>
  <c r="AS686" i="10"/>
  <c r="AV686" i="10"/>
  <c r="EM686" i="10" s="1"/>
  <c r="DZ686" i="10"/>
  <c r="EB686" i="10"/>
  <c r="EG686" i="10"/>
  <c r="EL686" i="10"/>
  <c r="H687" i="10"/>
  <c r="BA687" i="10"/>
  <c r="BC687" i="10" s="1"/>
  <c r="AO687" i="10"/>
  <c r="AP687" i="10"/>
  <c r="BJ687" i="10" s="1"/>
  <c r="BL687" i="10" s="1"/>
  <c r="AS687" i="10"/>
  <c r="AV687" i="10"/>
  <c r="EM687" i="10" s="1"/>
  <c r="DZ687" i="10"/>
  <c r="EB687" i="10"/>
  <c r="EG687" i="10"/>
  <c r="EL687" i="10"/>
  <c r="H688" i="10"/>
  <c r="BB688" i="10"/>
  <c r="BD688" i="10" s="1"/>
  <c r="AO688" i="10"/>
  <c r="AP688" i="10"/>
  <c r="AS688" i="10"/>
  <c r="AU688" i="10"/>
  <c r="AY688" i="10" s="1"/>
  <c r="CD688" i="10" s="1"/>
  <c r="CH688" i="10" s="1"/>
  <c r="AV688" i="10"/>
  <c r="EM688" i="10" s="1"/>
  <c r="DZ688" i="10"/>
  <c r="EB688" i="10"/>
  <c r="EG688" i="10"/>
  <c r="EL688" i="10"/>
  <c r="H689" i="10"/>
  <c r="AO689" i="10"/>
  <c r="AP689" i="10"/>
  <c r="BJ689" i="10" s="1"/>
  <c r="BL689" i="10" s="1"/>
  <c r="AS689" i="10"/>
  <c r="AV689" i="10"/>
  <c r="EM689" i="10" s="1"/>
  <c r="DZ689" i="10"/>
  <c r="EB689" i="10"/>
  <c r="EG689" i="10"/>
  <c r="EL689" i="10"/>
  <c r="H690" i="10"/>
  <c r="EC690" i="10"/>
  <c r="AO690" i="10"/>
  <c r="BI690" i="10" s="1"/>
  <c r="BK690" i="10" s="1"/>
  <c r="AP690" i="10"/>
  <c r="AS690" i="10"/>
  <c r="AU690" i="10"/>
  <c r="AY690" i="10" s="1"/>
  <c r="AV690" i="10"/>
  <c r="EM690" i="10" s="1"/>
  <c r="DZ690" i="10"/>
  <c r="EB690" i="10"/>
  <c r="EG690" i="10"/>
  <c r="EL690" i="10"/>
  <c r="H691" i="10"/>
  <c r="AO691" i="10"/>
  <c r="BI691" i="10" s="1"/>
  <c r="BK691" i="10" s="1"/>
  <c r="AQ691" i="10" s="1"/>
  <c r="AP691" i="10"/>
  <c r="BJ691" i="10" s="1"/>
  <c r="BL691" i="10" s="1"/>
  <c r="AS691" i="10"/>
  <c r="AV691" i="10"/>
  <c r="EM691" i="10" s="1"/>
  <c r="DZ691" i="10"/>
  <c r="EB691" i="10"/>
  <c r="EG691" i="10"/>
  <c r="EL691" i="10"/>
  <c r="H692" i="10"/>
  <c r="EC692" i="10"/>
  <c r="AO692" i="10"/>
  <c r="AP692" i="10"/>
  <c r="BJ692" i="10" s="1"/>
  <c r="BL692" i="10" s="1"/>
  <c r="AS692" i="10"/>
  <c r="AU692" i="10"/>
  <c r="AV692" i="10"/>
  <c r="EM692" i="10" s="1"/>
  <c r="DZ692" i="10"/>
  <c r="EB692" i="10"/>
  <c r="EG692" i="10"/>
  <c r="EL692" i="10"/>
  <c r="H693" i="10"/>
  <c r="EC693" i="10"/>
  <c r="AO693" i="10"/>
  <c r="AP693" i="10"/>
  <c r="BJ693" i="10" s="1"/>
  <c r="BL693" i="10" s="1"/>
  <c r="AS693" i="10"/>
  <c r="AV693" i="10"/>
  <c r="EM693" i="10" s="1"/>
  <c r="DZ693" i="10"/>
  <c r="EB693" i="10"/>
  <c r="EG693" i="10"/>
  <c r="EL693" i="10"/>
  <c r="H694" i="10"/>
  <c r="AO694" i="10"/>
  <c r="BI694" i="10" s="1"/>
  <c r="BK694" i="10" s="1"/>
  <c r="AP694" i="10"/>
  <c r="BN694" i="10" s="1"/>
  <c r="BW694" i="10" s="1"/>
  <c r="AS694" i="10"/>
  <c r="AV694" i="10"/>
  <c r="EM694" i="10" s="1"/>
  <c r="DZ694" i="10"/>
  <c r="EB694" i="10"/>
  <c r="EG694" i="10"/>
  <c r="EL694" i="10"/>
  <c r="H695" i="10"/>
  <c r="AO695" i="10"/>
  <c r="AP695" i="10"/>
  <c r="AS695" i="10"/>
  <c r="AV695" i="10"/>
  <c r="EM695" i="10" s="1"/>
  <c r="DZ695" i="10"/>
  <c r="EB695" i="10"/>
  <c r="EG695" i="10"/>
  <c r="EL695" i="10"/>
  <c r="H696" i="10"/>
  <c r="EC696" i="10"/>
  <c r="AO696" i="10"/>
  <c r="BI696" i="10" s="1"/>
  <c r="BK696" i="10" s="1"/>
  <c r="AP696" i="10"/>
  <c r="AS696" i="10"/>
  <c r="AU696" i="10"/>
  <c r="AV696" i="10"/>
  <c r="EM696" i="10" s="1"/>
  <c r="DZ696" i="10"/>
  <c r="EB696" i="10"/>
  <c r="EG696" i="10"/>
  <c r="EL696" i="10"/>
  <c r="H697" i="10"/>
  <c r="AO697" i="10"/>
  <c r="AP697" i="10"/>
  <c r="BN697" i="10" s="1"/>
  <c r="BW697" i="10" s="1"/>
  <c r="AS697" i="10"/>
  <c r="AV697" i="10"/>
  <c r="EM697" i="10" s="1"/>
  <c r="DZ697" i="10"/>
  <c r="EB697" i="10"/>
  <c r="EG697" i="10"/>
  <c r="EL697" i="10"/>
  <c r="H698" i="10"/>
  <c r="EC698" i="10"/>
  <c r="AO698" i="10"/>
  <c r="BM698" i="10" s="1"/>
  <c r="BV698" i="10" s="1"/>
  <c r="AP698" i="10"/>
  <c r="BJ698" i="10" s="1"/>
  <c r="BL698" i="10" s="1"/>
  <c r="AS698" i="10"/>
  <c r="AV698" i="10"/>
  <c r="EM698" i="10" s="1"/>
  <c r="DZ698" i="10"/>
  <c r="EB698" i="10"/>
  <c r="EG698" i="10"/>
  <c r="EL698" i="10"/>
  <c r="H699" i="10"/>
  <c r="AO699" i="10"/>
  <c r="AP699" i="10"/>
  <c r="BN699" i="10" s="1"/>
  <c r="BW699" i="10" s="1"/>
  <c r="AS699" i="10"/>
  <c r="AV699" i="10"/>
  <c r="EM699" i="10" s="1"/>
  <c r="DZ699" i="10"/>
  <c r="EB699" i="10"/>
  <c r="EG699" i="10"/>
  <c r="EL699" i="10"/>
  <c r="H700" i="10"/>
  <c r="AO700" i="10"/>
  <c r="AP700" i="10"/>
  <c r="AS700" i="10"/>
  <c r="AV700" i="10"/>
  <c r="EM700" i="10" s="1"/>
  <c r="DZ700" i="10"/>
  <c r="EB700" i="10"/>
  <c r="EG700" i="10"/>
  <c r="EL700" i="10"/>
  <c r="H701" i="10"/>
  <c r="AO701" i="10"/>
  <c r="AP701" i="10"/>
  <c r="BJ701" i="10" s="1"/>
  <c r="BL701" i="10" s="1"/>
  <c r="AS701" i="10"/>
  <c r="AV701" i="10"/>
  <c r="EM701" i="10" s="1"/>
  <c r="DZ701" i="10"/>
  <c r="EB701" i="10"/>
  <c r="EG701" i="10"/>
  <c r="EL701" i="10"/>
  <c r="H702" i="10"/>
  <c r="EC702" i="10"/>
  <c r="AO702" i="10"/>
  <c r="AP702" i="10"/>
  <c r="BJ702" i="10" s="1"/>
  <c r="BL702" i="10" s="1"/>
  <c r="AS702" i="10"/>
  <c r="AU702" i="10"/>
  <c r="AV702" i="10"/>
  <c r="EM702" i="10" s="1"/>
  <c r="DZ702" i="10"/>
  <c r="EB702" i="10"/>
  <c r="EG702" i="10"/>
  <c r="EL702" i="10"/>
  <c r="H703" i="10"/>
  <c r="AO703" i="10"/>
  <c r="AP703" i="10"/>
  <c r="AS703" i="10"/>
  <c r="AV703" i="10"/>
  <c r="EM703" i="10" s="1"/>
  <c r="DZ703" i="10"/>
  <c r="EB703" i="10"/>
  <c r="EG703" i="10"/>
  <c r="EL703" i="10"/>
  <c r="H704" i="10"/>
  <c r="EC704" i="10"/>
  <c r="AO704" i="10"/>
  <c r="AP704" i="10"/>
  <c r="AS704" i="10"/>
  <c r="AU704" i="10"/>
  <c r="AY704" i="10" s="1"/>
  <c r="AV704" i="10"/>
  <c r="EM704" i="10" s="1"/>
  <c r="DZ704" i="10"/>
  <c r="EB704" i="10"/>
  <c r="EG704" i="10"/>
  <c r="EL704" i="10"/>
  <c r="H705" i="10"/>
  <c r="AO705" i="10"/>
  <c r="BI705" i="10" s="1"/>
  <c r="BK705" i="10" s="1"/>
  <c r="AP705" i="10"/>
  <c r="BJ705" i="10" s="1"/>
  <c r="BL705" i="10" s="1"/>
  <c r="AS705" i="10"/>
  <c r="AV705" i="10"/>
  <c r="EM705" i="10" s="1"/>
  <c r="DZ705" i="10"/>
  <c r="EB705" i="10"/>
  <c r="EG705" i="10"/>
  <c r="EL705" i="10"/>
  <c r="H706" i="10"/>
  <c r="AO706" i="10"/>
  <c r="AP706" i="10"/>
  <c r="AS706" i="10"/>
  <c r="AV706" i="10"/>
  <c r="EM706" i="10" s="1"/>
  <c r="DZ706" i="10"/>
  <c r="EB706" i="10"/>
  <c r="EG706" i="10"/>
  <c r="EL706" i="10"/>
  <c r="H707" i="10"/>
  <c r="AO707" i="10"/>
  <c r="AP707" i="10"/>
  <c r="AS707" i="10"/>
  <c r="AV707" i="10"/>
  <c r="EM707" i="10" s="1"/>
  <c r="DZ707" i="10"/>
  <c r="EB707" i="10"/>
  <c r="EG707" i="10"/>
  <c r="EL707" i="10"/>
  <c r="H708" i="10"/>
  <c r="AO708" i="10"/>
  <c r="BI708" i="10" s="1"/>
  <c r="BK708" i="10" s="1"/>
  <c r="AP708" i="10"/>
  <c r="AS708" i="10"/>
  <c r="AU708" i="10"/>
  <c r="AY708" i="10" s="1"/>
  <c r="AV708" i="10"/>
  <c r="EM708" i="10" s="1"/>
  <c r="DZ708" i="10"/>
  <c r="EB708" i="10"/>
  <c r="EG708" i="10"/>
  <c r="EL708" i="10"/>
  <c r="H709" i="10"/>
  <c r="AO709" i="10"/>
  <c r="BI709" i="10" s="1"/>
  <c r="BK709" i="10" s="1"/>
  <c r="AP709" i="10"/>
  <c r="AS709" i="10"/>
  <c r="AV709" i="10"/>
  <c r="EM709" i="10" s="1"/>
  <c r="DZ709" i="10"/>
  <c r="EB709" i="10"/>
  <c r="EG709" i="10"/>
  <c r="EL709" i="10"/>
  <c r="H710" i="10"/>
  <c r="AO710" i="10"/>
  <c r="AP710" i="10"/>
  <c r="BJ710" i="10" s="1"/>
  <c r="BL710" i="10" s="1"/>
  <c r="AS710" i="10"/>
  <c r="AV710" i="10"/>
  <c r="EM710" i="10" s="1"/>
  <c r="DZ710" i="10"/>
  <c r="EB710" i="10"/>
  <c r="EG710" i="10"/>
  <c r="EL710" i="10"/>
  <c r="H711" i="10"/>
  <c r="AO711" i="10"/>
  <c r="AP711" i="10"/>
  <c r="BN711" i="10" s="1"/>
  <c r="BW711" i="10" s="1"/>
  <c r="AS711" i="10"/>
  <c r="AV711" i="10"/>
  <c r="EM711" i="10" s="1"/>
  <c r="DZ711" i="10"/>
  <c r="EB711" i="10"/>
  <c r="EG711" i="10"/>
  <c r="EL711" i="10"/>
  <c r="H712" i="10"/>
  <c r="AO712" i="10"/>
  <c r="AP712" i="10"/>
  <c r="BN712" i="10" s="1"/>
  <c r="BW712" i="10" s="1"/>
  <c r="AS712" i="10"/>
  <c r="AU712" i="10"/>
  <c r="AY712" i="10" s="1"/>
  <c r="AV712" i="10"/>
  <c r="EM712" i="10" s="1"/>
  <c r="DZ712" i="10"/>
  <c r="EB712" i="10"/>
  <c r="EG712" i="10"/>
  <c r="EL712" i="10"/>
  <c r="H713" i="10"/>
  <c r="AO713" i="10"/>
  <c r="AP713" i="10"/>
  <c r="AS713" i="10"/>
  <c r="AU713" i="10"/>
  <c r="AV713" i="10"/>
  <c r="EM713" i="10" s="1"/>
  <c r="DZ713" i="10"/>
  <c r="EB713" i="10"/>
  <c r="EG713" i="10"/>
  <c r="EL713" i="10"/>
  <c r="H714" i="10"/>
  <c r="EC714" i="10"/>
  <c r="AO714" i="10"/>
  <c r="AP714" i="10"/>
  <c r="BJ714" i="10" s="1"/>
  <c r="BL714" i="10" s="1"/>
  <c r="AS714" i="10"/>
  <c r="AV714" i="10"/>
  <c r="EM714" i="10" s="1"/>
  <c r="DZ714" i="10"/>
  <c r="EB714" i="10"/>
  <c r="EG714" i="10"/>
  <c r="EL714" i="10"/>
  <c r="H715" i="10"/>
  <c r="AO715" i="10"/>
  <c r="BI715" i="10" s="1"/>
  <c r="BK715" i="10" s="1"/>
  <c r="AP715" i="10"/>
  <c r="AS715" i="10"/>
  <c r="AV715" i="10"/>
  <c r="EM715" i="10" s="1"/>
  <c r="DZ715" i="10"/>
  <c r="EB715" i="10"/>
  <c r="EG715" i="10"/>
  <c r="EL715" i="10"/>
  <c r="H716" i="10"/>
  <c r="AO716" i="10"/>
  <c r="BI716" i="10" s="1"/>
  <c r="BK716" i="10" s="1"/>
  <c r="AP716" i="10"/>
  <c r="BJ716" i="10" s="1"/>
  <c r="BL716" i="10" s="1"/>
  <c r="AS716" i="10"/>
  <c r="AU716" i="10"/>
  <c r="AY716" i="10" s="1"/>
  <c r="CD716" i="10" s="1"/>
  <c r="CH716" i="10" s="1"/>
  <c r="AV716" i="10"/>
  <c r="EM716" i="10" s="1"/>
  <c r="DZ716" i="10"/>
  <c r="EB716" i="10"/>
  <c r="EG716" i="10"/>
  <c r="EL716" i="10"/>
  <c r="H717" i="10"/>
  <c r="AO717" i="10"/>
  <c r="AP717" i="10"/>
  <c r="AS717" i="10"/>
  <c r="AU717" i="10"/>
  <c r="AY717" i="10" s="1"/>
  <c r="AV717" i="10"/>
  <c r="EM717" i="10" s="1"/>
  <c r="DZ717" i="10"/>
  <c r="EB717" i="10"/>
  <c r="EG717" i="10"/>
  <c r="EL717" i="10"/>
  <c r="H718" i="10"/>
  <c r="AO718" i="10"/>
  <c r="AP718" i="10"/>
  <c r="AS718" i="10"/>
  <c r="AU718" i="10"/>
  <c r="AY718" i="10" s="1"/>
  <c r="AV718" i="10"/>
  <c r="EM718" i="10" s="1"/>
  <c r="DZ718" i="10"/>
  <c r="EB718" i="10"/>
  <c r="EG718" i="10"/>
  <c r="EL718" i="10"/>
  <c r="H719" i="10"/>
  <c r="AO719" i="10"/>
  <c r="AP719" i="10"/>
  <c r="AS719" i="10"/>
  <c r="AV719" i="10"/>
  <c r="EM719" i="10" s="1"/>
  <c r="DZ719" i="10"/>
  <c r="EB719" i="10"/>
  <c r="EG719" i="10"/>
  <c r="EL719" i="10"/>
  <c r="H720" i="10"/>
  <c r="AO720" i="10"/>
  <c r="BM720" i="10" s="1"/>
  <c r="BV720" i="10" s="1"/>
  <c r="AP720" i="10"/>
  <c r="AS720" i="10"/>
  <c r="AV720" i="10"/>
  <c r="EM720" i="10" s="1"/>
  <c r="DZ720" i="10"/>
  <c r="EB720" i="10"/>
  <c r="EG720" i="10"/>
  <c r="EL720" i="10"/>
  <c r="H721" i="10"/>
  <c r="AO721" i="10"/>
  <c r="AP721" i="10"/>
  <c r="BN721" i="10" s="1"/>
  <c r="BW721" i="10" s="1"/>
  <c r="AS721" i="10"/>
  <c r="AU721" i="10"/>
  <c r="AV721" i="10"/>
  <c r="EM721" i="10" s="1"/>
  <c r="DZ721" i="10"/>
  <c r="EB721" i="10"/>
  <c r="EG721" i="10"/>
  <c r="EL721" i="10"/>
  <c r="H722" i="10"/>
  <c r="EC722" i="10"/>
  <c r="AO722" i="10"/>
  <c r="AP722" i="10"/>
  <c r="BJ722" i="10" s="1"/>
  <c r="BL722" i="10" s="1"/>
  <c r="AS722" i="10"/>
  <c r="AV722" i="10"/>
  <c r="EM722" i="10" s="1"/>
  <c r="DZ722" i="10"/>
  <c r="EB722" i="10"/>
  <c r="EG722" i="10"/>
  <c r="EL722" i="10"/>
  <c r="H723" i="10"/>
  <c r="AO723" i="10"/>
  <c r="BI723" i="10" s="1"/>
  <c r="BK723" i="10" s="1"/>
  <c r="AP723" i="10"/>
  <c r="AS723" i="10"/>
  <c r="AV723" i="10"/>
  <c r="EM723" i="10" s="1"/>
  <c r="DZ723" i="10"/>
  <c r="EB723" i="10"/>
  <c r="EG723" i="10"/>
  <c r="EL723" i="10"/>
  <c r="H724" i="10"/>
  <c r="EC724" i="10"/>
  <c r="AO724" i="10"/>
  <c r="BI724" i="10" s="1"/>
  <c r="BK724" i="10" s="1"/>
  <c r="AP724" i="10"/>
  <c r="AS724" i="10"/>
  <c r="AU724" i="10"/>
  <c r="AY724" i="10" s="1"/>
  <c r="AV724" i="10"/>
  <c r="EM724" i="10" s="1"/>
  <c r="DZ724" i="10"/>
  <c r="EB724" i="10"/>
  <c r="EG724" i="10"/>
  <c r="EL724" i="10"/>
  <c r="H725" i="10"/>
  <c r="AO725" i="10"/>
  <c r="AP725" i="10"/>
  <c r="AS725" i="10"/>
  <c r="AU725" i="10"/>
  <c r="AY725" i="10" s="1"/>
  <c r="AV725" i="10"/>
  <c r="EM725" i="10" s="1"/>
  <c r="DZ725" i="10"/>
  <c r="EB725" i="10"/>
  <c r="EG725" i="10"/>
  <c r="EL725" i="10"/>
  <c r="H726" i="10"/>
  <c r="EC726" i="10"/>
  <c r="AO726" i="10"/>
  <c r="AP726" i="10"/>
  <c r="AS726" i="10"/>
  <c r="AU726" i="10"/>
  <c r="AY726" i="10" s="1"/>
  <c r="CL726" i="10" s="1"/>
  <c r="AV726" i="10"/>
  <c r="EM726" i="10" s="1"/>
  <c r="DZ726" i="10"/>
  <c r="EB726" i="10"/>
  <c r="EG726" i="10"/>
  <c r="EL726" i="10"/>
  <c r="H727" i="10"/>
  <c r="AO727" i="10"/>
  <c r="BI727" i="10" s="1"/>
  <c r="BK727" i="10" s="1"/>
  <c r="AP727" i="10"/>
  <c r="BN727" i="10" s="1"/>
  <c r="BW727" i="10" s="1"/>
  <c r="AS727" i="10"/>
  <c r="AV727" i="10"/>
  <c r="EM727" i="10" s="1"/>
  <c r="DZ727" i="10"/>
  <c r="EB727" i="10"/>
  <c r="EG727" i="10"/>
  <c r="EL727" i="10"/>
  <c r="H728" i="10"/>
  <c r="EC728" i="10"/>
  <c r="AO728" i="10"/>
  <c r="BM728" i="10" s="1"/>
  <c r="BV728" i="10" s="1"/>
  <c r="AP728" i="10"/>
  <c r="BN728" i="10" s="1"/>
  <c r="BW728" i="10" s="1"/>
  <c r="AS728" i="10"/>
  <c r="AV728" i="10"/>
  <c r="EM728" i="10" s="1"/>
  <c r="DZ728" i="10"/>
  <c r="EB728" i="10"/>
  <c r="EG728" i="10"/>
  <c r="EL728" i="10"/>
  <c r="H729" i="10"/>
  <c r="AO729" i="10"/>
  <c r="AP729" i="10"/>
  <c r="AS729" i="10"/>
  <c r="AU729" i="10"/>
  <c r="AY729" i="10" s="1"/>
  <c r="AV729" i="10"/>
  <c r="EM729" i="10" s="1"/>
  <c r="DZ729" i="10"/>
  <c r="EB729" i="10"/>
  <c r="EG729" i="10"/>
  <c r="EL729" i="10"/>
  <c r="H730" i="10"/>
  <c r="AO730" i="10"/>
  <c r="AP730" i="10"/>
  <c r="BJ730" i="10" s="1"/>
  <c r="BL730" i="10" s="1"/>
  <c r="AS730" i="10"/>
  <c r="AU730" i="10"/>
  <c r="AY730" i="10" s="1"/>
  <c r="AV730" i="10"/>
  <c r="EM730" i="10" s="1"/>
  <c r="DZ730" i="10"/>
  <c r="EB730" i="10"/>
  <c r="EG730" i="10"/>
  <c r="EL730" i="10"/>
  <c r="H731" i="10"/>
  <c r="EC731" i="10"/>
  <c r="AO731" i="10"/>
  <c r="AP731" i="10"/>
  <c r="AS731" i="10"/>
  <c r="AU731" i="10"/>
  <c r="AY731" i="10" s="1"/>
  <c r="AV731" i="10"/>
  <c r="EM731" i="10" s="1"/>
  <c r="DZ731" i="10"/>
  <c r="EB731" i="10"/>
  <c r="EG731" i="10"/>
  <c r="EL731" i="10"/>
  <c r="H732" i="10"/>
  <c r="AO732" i="10"/>
  <c r="BM732" i="10" s="1"/>
  <c r="BV732" i="10" s="1"/>
  <c r="AP732" i="10"/>
  <c r="BJ732" i="10" s="1"/>
  <c r="BL732" i="10" s="1"/>
  <c r="AS732" i="10"/>
  <c r="AV732" i="10"/>
  <c r="EM732" i="10" s="1"/>
  <c r="DZ732" i="10"/>
  <c r="EB732" i="10"/>
  <c r="EG732" i="10"/>
  <c r="EL732" i="10"/>
  <c r="H733" i="10"/>
  <c r="AO733" i="10"/>
  <c r="AP733" i="10"/>
  <c r="AS733" i="10"/>
  <c r="AV733" i="10"/>
  <c r="EM733" i="10" s="1"/>
  <c r="DZ733" i="10"/>
  <c r="EB733" i="10"/>
  <c r="EG733" i="10"/>
  <c r="EL733" i="10"/>
  <c r="H734" i="10"/>
  <c r="BA734" i="10"/>
  <c r="BC734" i="10" s="1"/>
  <c r="AO734" i="10"/>
  <c r="BI734" i="10" s="1"/>
  <c r="BK734" i="10" s="1"/>
  <c r="AP734" i="10"/>
  <c r="BJ734" i="10" s="1"/>
  <c r="BL734" i="10" s="1"/>
  <c r="AS734" i="10"/>
  <c r="AV734" i="10"/>
  <c r="EM734" i="10" s="1"/>
  <c r="DZ734" i="10"/>
  <c r="EB734" i="10"/>
  <c r="EG734" i="10"/>
  <c r="EL734" i="10"/>
  <c r="H735" i="10"/>
  <c r="EC735" i="10"/>
  <c r="AO735" i="10"/>
  <c r="BM735" i="10" s="1"/>
  <c r="BV735" i="10" s="1"/>
  <c r="AP735" i="10"/>
  <c r="BN735" i="10" s="1"/>
  <c r="BW735" i="10" s="1"/>
  <c r="AS735" i="10"/>
  <c r="AU735" i="10"/>
  <c r="AY735" i="10" s="1"/>
  <c r="CD735" i="10" s="1"/>
  <c r="CH735" i="10" s="1"/>
  <c r="AV735" i="10"/>
  <c r="EM735" i="10" s="1"/>
  <c r="DZ735" i="10"/>
  <c r="EB735" i="10"/>
  <c r="EG735" i="10"/>
  <c r="EL735" i="10"/>
  <c r="H736" i="10"/>
  <c r="AO736" i="10"/>
  <c r="AP736" i="10"/>
  <c r="BN736" i="10" s="1"/>
  <c r="BW736" i="10" s="1"/>
  <c r="AS736" i="10"/>
  <c r="AU736" i="10"/>
  <c r="AY736" i="10" s="1"/>
  <c r="AV736" i="10"/>
  <c r="EM736" i="10" s="1"/>
  <c r="DZ736" i="10"/>
  <c r="EB736" i="10"/>
  <c r="EG736" i="10"/>
  <c r="EL736" i="10"/>
  <c r="H737" i="10"/>
  <c r="AO737" i="10"/>
  <c r="AP737" i="10"/>
  <c r="BN737" i="10" s="1"/>
  <c r="BW737" i="10" s="1"/>
  <c r="AS737" i="10"/>
  <c r="AV737" i="10"/>
  <c r="EM737" i="10" s="1"/>
  <c r="DZ737" i="10"/>
  <c r="EB737" i="10"/>
  <c r="EG737" i="10"/>
  <c r="EL737" i="10"/>
  <c r="H738" i="10"/>
  <c r="BA738" i="10"/>
  <c r="BC738" i="10" s="1"/>
  <c r="AO738" i="10"/>
  <c r="AP738" i="10"/>
  <c r="BJ738" i="10" s="1"/>
  <c r="BL738" i="10" s="1"/>
  <c r="AS738" i="10"/>
  <c r="AV738" i="10"/>
  <c r="EM738" i="10" s="1"/>
  <c r="DZ738" i="10"/>
  <c r="EB738" i="10"/>
  <c r="EG738" i="10"/>
  <c r="EL738" i="10"/>
  <c r="H739" i="10"/>
  <c r="AO739" i="10"/>
  <c r="BM739" i="10" s="1"/>
  <c r="BV739" i="10" s="1"/>
  <c r="AP739" i="10"/>
  <c r="AS739" i="10"/>
  <c r="AV739" i="10"/>
  <c r="EM739" i="10" s="1"/>
  <c r="DZ739" i="10"/>
  <c r="EB739" i="10"/>
  <c r="EG739" i="10"/>
  <c r="EL739" i="10"/>
  <c r="H740" i="10"/>
  <c r="AO740" i="10"/>
  <c r="AP740" i="10"/>
  <c r="BJ740" i="10" s="1"/>
  <c r="BL740" i="10" s="1"/>
  <c r="AS740" i="10"/>
  <c r="AU740" i="10"/>
  <c r="AV740" i="10"/>
  <c r="EM740" i="10" s="1"/>
  <c r="DZ740" i="10"/>
  <c r="EB740" i="10"/>
  <c r="EG740" i="10"/>
  <c r="EL740" i="10"/>
  <c r="H741" i="10"/>
  <c r="BA741" i="10"/>
  <c r="BC741" i="10" s="1"/>
  <c r="AO741" i="10"/>
  <c r="AP741" i="10"/>
  <c r="AS741" i="10"/>
  <c r="AV741" i="10"/>
  <c r="EM741" i="10" s="1"/>
  <c r="DZ741" i="10"/>
  <c r="EB741" i="10"/>
  <c r="EG741" i="10"/>
  <c r="EL741" i="10"/>
  <c r="H742" i="10"/>
  <c r="AO742" i="10"/>
  <c r="AP742" i="10"/>
  <c r="AS742" i="10"/>
  <c r="AV742" i="10"/>
  <c r="EM742" i="10"/>
  <c r="DZ742" i="10"/>
  <c r="EB742" i="10"/>
  <c r="EG742" i="10"/>
  <c r="EL742" i="10"/>
  <c r="H743" i="10"/>
  <c r="AO743" i="10"/>
  <c r="AP743" i="10"/>
  <c r="BN743" i="10" s="1"/>
  <c r="BW743" i="10" s="1"/>
  <c r="AS743" i="10"/>
  <c r="AV743" i="10"/>
  <c r="EM743" i="10" s="1"/>
  <c r="DZ743" i="10"/>
  <c r="EB743" i="10"/>
  <c r="EG743" i="10"/>
  <c r="EL743" i="10"/>
  <c r="H744" i="10"/>
  <c r="AO744" i="10"/>
  <c r="AP744" i="10"/>
  <c r="BN744" i="10" s="1"/>
  <c r="BW744" i="10" s="1"/>
  <c r="AS744" i="10"/>
  <c r="AU744" i="10"/>
  <c r="AY744" i="10" s="1"/>
  <c r="AV744" i="10"/>
  <c r="EM744" i="10" s="1"/>
  <c r="DZ744" i="10"/>
  <c r="EB744" i="10"/>
  <c r="EG744" i="10"/>
  <c r="EL744" i="10"/>
  <c r="H745" i="10"/>
  <c r="BA745" i="10"/>
  <c r="BC745" i="10" s="1"/>
  <c r="BB745" i="10"/>
  <c r="BD745" i="10" s="1"/>
  <c r="AO745" i="10"/>
  <c r="AP745" i="10"/>
  <c r="AS745" i="10"/>
  <c r="AV745" i="10"/>
  <c r="EM745" i="10" s="1"/>
  <c r="DZ745" i="10"/>
  <c r="EB745" i="10"/>
  <c r="EG745" i="10"/>
  <c r="EL745" i="10"/>
  <c r="H746" i="10"/>
  <c r="BA746" i="10"/>
  <c r="BC746" i="10" s="1"/>
  <c r="AO746" i="10"/>
  <c r="AP746" i="10"/>
  <c r="AS746" i="10"/>
  <c r="AV746" i="10"/>
  <c r="EM746" i="10" s="1"/>
  <c r="DZ746" i="10"/>
  <c r="EB746" i="10"/>
  <c r="EG746" i="10"/>
  <c r="EL746" i="10"/>
  <c r="H747" i="10"/>
  <c r="AO747" i="10"/>
  <c r="BI747" i="10" s="1"/>
  <c r="BK747" i="10" s="1"/>
  <c r="AP747" i="10"/>
  <c r="AS747" i="10"/>
  <c r="AV747" i="10"/>
  <c r="EM747" i="10" s="1"/>
  <c r="DZ747" i="10"/>
  <c r="EB747" i="10"/>
  <c r="EG747" i="10"/>
  <c r="EL747" i="10"/>
  <c r="H748" i="10"/>
  <c r="AO748" i="10"/>
  <c r="AP748" i="10"/>
  <c r="AS748" i="10"/>
  <c r="AV748" i="10"/>
  <c r="EM748" i="10" s="1"/>
  <c r="DZ748" i="10"/>
  <c r="EB748" i="10"/>
  <c r="EG748" i="10"/>
  <c r="EL748" i="10"/>
  <c r="H749" i="10"/>
  <c r="AO749" i="10"/>
  <c r="BM749" i="10" s="1"/>
  <c r="BV749" i="10" s="1"/>
  <c r="AP749" i="10"/>
  <c r="AS749" i="10"/>
  <c r="AV749" i="10"/>
  <c r="EM749" i="10" s="1"/>
  <c r="DZ749" i="10"/>
  <c r="EB749" i="10"/>
  <c r="EG749" i="10"/>
  <c r="EL749" i="10"/>
  <c r="H750" i="10"/>
  <c r="BA750" i="10"/>
  <c r="BC750" i="10" s="1"/>
  <c r="AO750" i="10"/>
  <c r="BI750" i="10" s="1"/>
  <c r="BK750" i="10" s="1"/>
  <c r="AP750" i="10"/>
  <c r="AS750" i="10"/>
  <c r="AV750" i="10"/>
  <c r="EM750" i="10" s="1"/>
  <c r="DZ750" i="10"/>
  <c r="EB750" i="10"/>
  <c r="EG750" i="10"/>
  <c r="EL750" i="10"/>
  <c r="H751" i="10"/>
  <c r="EC751" i="10"/>
  <c r="AO751" i="10"/>
  <c r="BM751" i="10" s="1"/>
  <c r="BV751" i="10" s="1"/>
  <c r="AP751" i="10"/>
  <c r="BN751" i="10" s="1"/>
  <c r="BW751" i="10" s="1"/>
  <c r="AS751" i="10"/>
  <c r="AV751" i="10"/>
  <c r="EM751" i="10" s="1"/>
  <c r="DZ751" i="10"/>
  <c r="EB751" i="10"/>
  <c r="EG751" i="10"/>
  <c r="EL751" i="10"/>
  <c r="H752" i="10"/>
  <c r="AO752" i="10"/>
  <c r="BM752" i="10" s="1"/>
  <c r="BV752" i="10" s="1"/>
  <c r="AP752" i="10"/>
  <c r="BN752" i="10" s="1"/>
  <c r="BW752" i="10" s="1"/>
  <c r="AS752" i="10"/>
  <c r="AV752" i="10"/>
  <c r="EM752" i="10" s="1"/>
  <c r="DZ752" i="10"/>
  <c r="EB752" i="10"/>
  <c r="EG752" i="10"/>
  <c r="EL752" i="10"/>
  <c r="H753" i="10"/>
  <c r="BA753" i="10"/>
  <c r="BC753" i="10" s="1"/>
  <c r="AO753" i="10"/>
  <c r="AP753" i="10"/>
  <c r="AS753" i="10"/>
  <c r="AV753" i="10"/>
  <c r="EM753" i="10" s="1"/>
  <c r="DZ753" i="10"/>
  <c r="EB753" i="10"/>
  <c r="EG753" i="10"/>
  <c r="EL753" i="10"/>
  <c r="H754" i="10"/>
  <c r="BA754" i="10"/>
  <c r="BC754" i="10" s="1"/>
  <c r="AO754" i="10"/>
  <c r="AP754" i="10"/>
  <c r="AS754" i="10"/>
  <c r="AV754" i="10"/>
  <c r="EM754" i="10" s="1"/>
  <c r="DZ754" i="10"/>
  <c r="EB754" i="10"/>
  <c r="EG754" i="10"/>
  <c r="EL754" i="10"/>
  <c r="H755" i="10"/>
  <c r="AO755" i="10"/>
  <c r="AP755" i="10"/>
  <c r="AS755" i="10"/>
  <c r="AU755" i="10"/>
  <c r="AY755" i="10" s="1"/>
  <c r="AV755" i="10"/>
  <c r="EM755" i="10" s="1"/>
  <c r="DZ755" i="10"/>
  <c r="EB755" i="10"/>
  <c r="EG755" i="10"/>
  <c r="EL755" i="10"/>
  <c r="H756" i="10"/>
  <c r="AO756" i="10"/>
  <c r="BI756" i="10" s="1"/>
  <c r="BK756" i="10" s="1"/>
  <c r="AP756" i="10"/>
  <c r="BJ756" i="10" s="1"/>
  <c r="BL756" i="10" s="1"/>
  <c r="AS756" i="10"/>
  <c r="AV756" i="10"/>
  <c r="EM756" i="10" s="1"/>
  <c r="DZ756" i="10"/>
  <c r="EB756" i="10"/>
  <c r="EG756" i="10"/>
  <c r="EL756" i="10"/>
  <c r="H757" i="10"/>
  <c r="AO757" i="10"/>
  <c r="AP757" i="10"/>
  <c r="BN757" i="10" s="1"/>
  <c r="BW757" i="10" s="1"/>
  <c r="AS757" i="10"/>
  <c r="AV757" i="10"/>
  <c r="EM757" i="10" s="1"/>
  <c r="DZ757" i="10"/>
  <c r="EB757" i="10"/>
  <c r="EG757" i="10"/>
  <c r="EL757" i="10"/>
  <c r="H758" i="10"/>
  <c r="AO758" i="10"/>
  <c r="AP758" i="10"/>
  <c r="BN758" i="10" s="1"/>
  <c r="BW758" i="10" s="1"/>
  <c r="AS758" i="10"/>
  <c r="AV758" i="10"/>
  <c r="EM758" i="10" s="1"/>
  <c r="DZ758" i="10"/>
  <c r="EB758" i="10"/>
  <c r="EG758" i="10"/>
  <c r="EL758" i="10"/>
  <c r="H759" i="10"/>
  <c r="EC759" i="10"/>
  <c r="AO759" i="10"/>
  <c r="AP759" i="10"/>
  <c r="AS759" i="10"/>
  <c r="AV759" i="10"/>
  <c r="EM759" i="10" s="1"/>
  <c r="DZ759" i="10"/>
  <c r="EB759" i="10"/>
  <c r="EG759" i="10"/>
  <c r="EL759" i="10"/>
  <c r="H760" i="10"/>
  <c r="BB760" i="10"/>
  <c r="BD760" i="10" s="1"/>
  <c r="AO760" i="10"/>
  <c r="AP760" i="10"/>
  <c r="AS760" i="10"/>
  <c r="AV760" i="10"/>
  <c r="EM760" i="10" s="1"/>
  <c r="DZ760" i="10"/>
  <c r="EB760" i="10"/>
  <c r="EG760" i="10"/>
  <c r="EL760" i="10"/>
  <c r="H761" i="10"/>
  <c r="AO761" i="10"/>
  <c r="BI761" i="10" s="1"/>
  <c r="BK761" i="10" s="1"/>
  <c r="AP761" i="10"/>
  <c r="BJ761" i="10" s="1"/>
  <c r="BL761" i="10" s="1"/>
  <c r="AS761" i="10"/>
  <c r="AV761" i="10"/>
  <c r="EM761" i="10" s="1"/>
  <c r="DZ761" i="10"/>
  <c r="EB761" i="10"/>
  <c r="EG761" i="10"/>
  <c r="EL761" i="10"/>
  <c r="H762" i="10"/>
  <c r="AO762" i="10"/>
  <c r="BI762" i="10" s="1"/>
  <c r="BK762" i="10" s="1"/>
  <c r="AP762" i="10"/>
  <c r="BJ762" i="10" s="1"/>
  <c r="BL762" i="10" s="1"/>
  <c r="AS762" i="10"/>
  <c r="AV762" i="10"/>
  <c r="EM762" i="10" s="1"/>
  <c r="DZ762" i="10"/>
  <c r="EB762" i="10"/>
  <c r="EG762" i="10"/>
  <c r="EL762" i="10"/>
  <c r="H763" i="10"/>
  <c r="AO763" i="10"/>
  <c r="AP763" i="10"/>
  <c r="BN763" i="10" s="1"/>
  <c r="BW763" i="10" s="1"/>
  <c r="AS763" i="10"/>
  <c r="AU763" i="10"/>
  <c r="AY763" i="10" s="1"/>
  <c r="AV763" i="10"/>
  <c r="EM763" i="10" s="1"/>
  <c r="DZ763" i="10"/>
  <c r="EB763" i="10"/>
  <c r="EG763" i="10"/>
  <c r="EL763" i="10"/>
  <c r="H764" i="10"/>
  <c r="AO764" i="10"/>
  <c r="AP764" i="10"/>
  <c r="AS764" i="10"/>
  <c r="AV764" i="10"/>
  <c r="EM764" i="10" s="1"/>
  <c r="DZ764" i="10"/>
  <c r="EB764" i="10"/>
  <c r="EG764" i="10"/>
  <c r="EL764" i="10"/>
  <c r="H765" i="10"/>
  <c r="AO765" i="10"/>
  <c r="AP765" i="10"/>
  <c r="AS765" i="10"/>
  <c r="AV765" i="10"/>
  <c r="EM765" i="10" s="1"/>
  <c r="DZ765" i="10"/>
  <c r="EB765" i="10"/>
  <c r="EG765" i="10"/>
  <c r="EL765" i="10"/>
  <c r="H766" i="10"/>
  <c r="BA766" i="10"/>
  <c r="BC766" i="10" s="1"/>
  <c r="AO766" i="10"/>
  <c r="BI766" i="10" s="1"/>
  <c r="BK766" i="10" s="1"/>
  <c r="AP766" i="10"/>
  <c r="BN766" i="10" s="1"/>
  <c r="BW766" i="10" s="1"/>
  <c r="AS766" i="10"/>
  <c r="AV766" i="10"/>
  <c r="EM766" i="10" s="1"/>
  <c r="DZ766" i="10"/>
  <c r="EB766" i="10"/>
  <c r="EG766" i="10"/>
  <c r="EL766" i="10"/>
  <c r="H767" i="10"/>
  <c r="AO767" i="10"/>
  <c r="BM767" i="10" s="1"/>
  <c r="BV767" i="10" s="1"/>
  <c r="AP767" i="10"/>
  <c r="AS767" i="10"/>
  <c r="AV767" i="10"/>
  <c r="EM767" i="10" s="1"/>
  <c r="DZ767" i="10"/>
  <c r="EB767" i="10"/>
  <c r="EG767" i="10"/>
  <c r="EL767" i="10"/>
  <c r="H768" i="10"/>
  <c r="AO768" i="10"/>
  <c r="AP768" i="10"/>
  <c r="AS768" i="10"/>
  <c r="AV768" i="10"/>
  <c r="EM768" i="10" s="1"/>
  <c r="DZ768" i="10"/>
  <c r="EB768" i="10"/>
  <c r="EG768" i="10"/>
  <c r="EL768" i="10"/>
  <c r="H769" i="10"/>
  <c r="BB769" i="10"/>
  <c r="BD769" i="10" s="1"/>
  <c r="AO769" i="10"/>
  <c r="AP769" i="10"/>
  <c r="AS769" i="10"/>
  <c r="AV769" i="10"/>
  <c r="EM769" i="10" s="1"/>
  <c r="DZ769" i="10"/>
  <c r="EB769" i="10"/>
  <c r="EG769" i="10"/>
  <c r="EL769" i="10"/>
  <c r="H770" i="10"/>
  <c r="AO770" i="10"/>
  <c r="BI770" i="10" s="1"/>
  <c r="BK770" i="10" s="1"/>
  <c r="AP770" i="10"/>
  <c r="AS770" i="10"/>
  <c r="AU770" i="10"/>
  <c r="AV770" i="10"/>
  <c r="EM770" i="10" s="1"/>
  <c r="DZ770" i="10"/>
  <c r="EB770" i="10"/>
  <c r="EG770" i="10"/>
  <c r="EL770" i="10"/>
  <c r="H771" i="10"/>
  <c r="EC771" i="10"/>
  <c r="AO771" i="10"/>
  <c r="AP771" i="10"/>
  <c r="BJ771" i="10" s="1"/>
  <c r="BL771" i="10" s="1"/>
  <c r="AS771" i="10"/>
  <c r="AV771" i="10"/>
  <c r="EM771" i="10" s="1"/>
  <c r="DZ771" i="10"/>
  <c r="EB771" i="10"/>
  <c r="EG771" i="10"/>
  <c r="EL771" i="10"/>
  <c r="H772" i="10"/>
  <c r="EC772" i="10"/>
  <c r="AO772" i="10"/>
  <c r="AP772" i="10"/>
  <c r="AS772" i="10"/>
  <c r="AV772" i="10"/>
  <c r="EM772" i="10" s="1"/>
  <c r="DZ772" i="10"/>
  <c r="EB772" i="10"/>
  <c r="EG772" i="10"/>
  <c r="EL772" i="10"/>
  <c r="H773" i="10"/>
  <c r="AO773" i="10"/>
  <c r="BM773" i="10" s="1"/>
  <c r="BV773" i="10" s="1"/>
  <c r="AP773" i="10"/>
  <c r="BJ773" i="10" s="1"/>
  <c r="BL773" i="10" s="1"/>
  <c r="AS773" i="10"/>
  <c r="AV773" i="10"/>
  <c r="EM773" i="10" s="1"/>
  <c r="DZ773" i="10"/>
  <c r="EB773" i="10"/>
  <c r="EG773" i="10"/>
  <c r="EL773" i="10"/>
  <c r="H774" i="10"/>
  <c r="BA774" i="10"/>
  <c r="BC774" i="10" s="1"/>
  <c r="AO774" i="10"/>
  <c r="AP774" i="10"/>
  <c r="AS774" i="10"/>
  <c r="AV774" i="10"/>
  <c r="EM774" i="10" s="1"/>
  <c r="DZ774" i="10"/>
  <c r="EB774" i="10"/>
  <c r="EG774" i="10"/>
  <c r="EL774" i="10"/>
  <c r="H775" i="10"/>
  <c r="AO775" i="10"/>
  <c r="AP775" i="10"/>
  <c r="AS775" i="10"/>
  <c r="AV775" i="10"/>
  <c r="EM775" i="10" s="1"/>
  <c r="DZ775" i="10"/>
  <c r="EB775" i="10"/>
  <c r="EG775" i="10"/>
  <c r="EL775" i="10"/>
  <c r="H776" i="10"/>
  <c r="AO776" i="10"/>
  <c r="AP776" i="10"/>
  <c r="BJ776" i="10" s="1"/>
  <c r="BL776" i="10" s="1"/>
  <c r="AS776" i="10"/>
  <c r="AU776" i="10"/>
  <c r="AY776" i="10" s="1"/>
  <c r="AV776" i="10"/>
  <c r="EM776" i="10" s="1"/>
  <c r="DZ776" i="10"/>
  <c r="EB776" i="10"/>
  <c r="EG776" i="10"/>
  <c r="EL776" i="10"/>
  <c r="H777" i="10"/>
  <c r="AO777" i="10"/>
  <c r="BM777" i="10" s="1"/>
  <c r="BV777" i="10" s="1"/>
  <c r="AP777" i="10"/>
  <c r="AS777" i="10"/>
  <c r="AV777" i="10"/>
  <c r="EM777" i="10" s="1"/>
  <c r="DZ777" i="10"/>
  <c r="EB777" i="10"/>
  <c r="EG777" i="10"/>
  <c r="EL777" i="10"/>
  <c r="H778" i="10"/>
  <c r="BA778" i="10"/>
  <c r="BC778" i="10" s="1"/>
  <c r="AO778" i="10"/>
  <c r="BI778" i="10" s="1"/>
  <c r="BK778" i="10" s="1"/>
  <c r="AP778" i="10"/>
  <c r="BN778" i="10" s="1"/>
  <c r="BW778" i="10" s="1"/>
  <c r="AS778" i="10"/>
  <c r="AV778" i="10"/>
  <c r="EM778" i="10" s="1"/>
  <c r="DZ778" i="10"/>
  <c r="EB778" i="10"/>
  <c r="EG778" i="10"/>
  <c r="EL778" i="10"/>
  <c r="H779" i="10"/>
  <c r="AO779" i="10"/>
  <c r="AP779" i="10"/>
  <c r="AS779" i="10"/>
  <c r="AV779" i="10"/>
  <c r="EM779" i="10" s="1"/>
  <c r="DZ779" i="10"/>
  <c r="EB779" i="10"/>
  <c r="EG779" i="10"/>
  <c r="EL779" i="10"/>
  <c r="H780" i="10"/>
  <c r="EC780" i="10"/>
  <c r="AO780" i="10"/>
  <c r="AP780" i="10"/>
  <c r="BN780" i="10" s="1"/>
  <c r="BW780" i="10" s="1"/>
  <c r="AS780" i="10"/>
  <c r="AV780" i="10"/>
  <c r="EM780" i="10" s="1"/>
  <c r="DZ780" i="10"/>
  <c r="EB780" i="10"/>
  <c r="EG780" i="10"/>
  <c r="EL780" i="10"/>
  <c r="H781" i="10"/>
  <c r="BA781" i="10"/>
  <c r="BC781" i="10" s="1"/>
  <c r="AO781" i="10"/>
  <c r="BM781" i="10" s="1"/>
  <c r="BV781" i="10" s="1"/>
  <c r="AP781" i="10"/>
  <c r="AS781" i="10"/>
  <c r="AV781" i="10"/>
  <c r="EM781" i="10" s="1"/>
  <c r="DZ781" i="10"/>
  <c r="EB781" i="10"/>
  <c r="EG781" i="10"/>
  <c r="EL781" i="10"/>
  <c r="H782" i="10"/>
  <c r="AO782" i="10"/>
  <c r="AP782" i="10"/>
  <c r="BN782" i="10" s="1"/>
  <c r="BW782" i="10" s="1"/>
  <c r="AS782" i="10"/>
  <c r="AU782" i="10"/>
  <c r="AY782" i="10" s="1"/>
  <c r="AV782" i="10"/>
  <c r="EM782" i="10" s="1"/>
  <c r="DZ782" i="10"/>
  <c r="EB782" i="10"/>
  <c r="EG782" i="10"/>
  <c r="EL782" i="10"/>
  <c r="H783" i="10"/>
  <c r="EC783" i="10"/>
  <c r="AO783" i="10"/>
  <c r="BI783" i="10" s="1"/>
  <c r="BK783" i="10" s="1"/>
  <c r="AP783" i="10"/>
  <c r="BN783" i="10" s="1"/>
  <c r="BW783" i="10" s="1"/>
  <c r="AS783" i="10"/>
  <c r="AU783" i="10"/>
  <c r="AY783" i="10" s="1"/>
  <c r="CD783" i="10" s="1"/>
  <c r="CH783" i="10" s="1"/>
  <c r="AV783" i="10"/>
  <c r="EM783" i="10" s="1"/>
  <c r="DZ783" i="10"/>
  <c r="EB783" i="10"/>
  <c r="EG783" i="10"/>
  <c r="EL783" i="10"/>
  <c r="H784" i="10"/>
  <c r="EC784" i="10"/>
  <c r="AO784" i="10"/>
  <c r="BI784" i="10" s="1"/>
  <c r="BK784" i="10" s="1"/>
  <c r="AP784" i="10"/>
  <c r="AS784" i="10"/>
  <c r="AV784" i="10"/>
  <c r="EM784" i="10" s="1"/>
  <c r="DZ784" i="10"/>
  <c r="EB784" i="10"/>
  <c r="EG784" i="10"/>
  <c r="EL784" i="10"/>
  <c r="H785" i="10"/>
  <c r="BA785" i="10"/>
  <c r="BC785" i="10" s="1"/>
  <c r="AO785" i="10"/>
  <c r="AP785" i="10"/>
  <c r="BN785" i="10" s="1"/>
  <c r="BW785" i="10" s="1"/>
  <c r="AS785" i="10"/>
  <c r="AV785" i="10"/>
  <c r="EM785" i="10" s="1"/>
  <c r="DZ785" i="10"/>
  <c r="EB785" i="10"/>
  <c r="EG785" i="10"/>
  <c r="EL785" i="10"/>
  <c r="H786" i="10"/>
  <c r="AO786" i="10"/>
  <c r="AP786" i="10"/>
  <c r="BN786" i="10" s="1"/>
  <c r="BW786" i="10" s="1"/>
  <c r="AS786" i="10"/>
  <c r="AV786" i="10"/>
  <c r="EM786" i="10" s="1"/>
  <c r="DZ786" i="10"/>
  <c r="EB786" i="10"/>
  <c r="EG786" i="10"/>
  <c r="EL786" i="10"/>
  <c r="H787" i="10"/>
  <c r="AO787" i="10"/>
  <c r="AP787" i="10"/>
  <c r="AS787" i="10"/>
  <c r="AU787" i="10"/>
  <c r="AY787" i="10" s="1"/>
  <c r="AV787" i="10"/>
  <c r="EM787" i="10" s="1"/>
  <c r="DZ787" i="10"/>
  <c r="EB787" i="10"/>
  <c r="EG787" i="10"/>
  <c r="EL787" i="10"/>
  <c r="H788" i="10"/>
  <c r="EC788" i="10"/>
  <c r="AO788" i="10"/>
  <c r="AP788" i="10"/>
  <c r="AS788" i="10"/>
  <c r="AU788" i="10"/>
  <c r="AV788" i="10"/>
  <c r="EM788" i="10" s="1"/>
  <c r="DZ788" i="10"/>
  <c r="EB788" i="10"/>
  <c r="EG788" i="10"/>
  <c r="EL788" i="10"/>
  <c r="H789" i="10"/>
  <c r="AO789" i="10"/>
  <c r="AP789" i="10"/>
  <c r="AS789" i="10"/>
  <c r="AV789" i="10"/>
  <c r="EM789" i="10" s="1"/>
  <c r="DZ789" i="10"/>
  <c r="EB789" i="10"/>
  <c r="EG789" i="10"/>
  <c r="EL789" i="10"/>
  <c r="H790" i="10"/>
  <c r="AO790" i="10"/>
  <c r="BM790" i="10" s="1"/>
  <c r="BV790" i="10" s="1"/>
  <c r="AP790" i="10"/>
  <c r="BJ790" i="10" s="1"/>
  <c r="BL790" i="10" s="1"/>
  <c r="AS790" i="10"/>
  <c r="AV790" i="10"/>
  <c r="EM790" i="10" s="1"/>
  <c r="DZ790" i="10"/>
  <c r="EB790" i="10"/>
  <c r="EG790" i="10"/>
  <c r="EL790" i="10"/>
  <c r="H791" i="10"/>
  <c r="EC791" i="10"/>
  <c r="AO791" i="10"/>
  <c r="BI791" i="10" s="1"/>
  <c r="BK791" i="10" s="1"/>
  <c r="AP791" i="10"/>
  <c r="AS791" i="10"/>
  <c r="AV791" i="10"/>
  <c r="EM791" i="10" s="1"/>
  <c r="DZ791" i="10"/>
  <c r="EB791" i="10"/>
  <c r="EG791" i="10"/>
  <c r="EL791" i="10"/>
  <c r="H792" i="10"/>
  <c r="EC792" i="10"/>
  <c r="AO792" i="10"/>
  <c r="AP792" i="10"/>
  <c r="AS792" i="10"/>
  <c r="AV792" i="10"/>
  <c r="EM792" i="10" s="1"/>
  <c r="DZ792" i="10"/>
  <c r="EB792" i="10"/>
  <c r="EG792" i="10"/>
  <c r="EL792" i="10"/>
  <c r="H793" i="10"/>
  <c r="BA793" i="10"/>
  <c r="BC793" i="10" s="1"/>
  <c r="AO793" i="10"/>
  <c r="AP793" i="10"/>
  <c r="BJ793" i="10" s="1"/>
  <c r="BL793" i="10" s="1"/>
  <c r="AS793" i="10"/>
  <c r="AV793" i="10"/>
  <c r="EM793" i="10" s="1"/>
  <c r="DZ793" i="10"/>
  <c r="EB793" i="10"/>
  <c r="EG793" i="10"/>
  <c r="EL793" i="10"/>
  <c r="H794" i="10"/>
  <c r="AO794" i="10"/>
  <c r="BI794" i="10" s="1"/>
  <c r="BK794" i="10" s="1"/>
  <c r="AP794" i="10"/>
  <c r="AS794" i="10"/>
  <c r="AU794" i="10"/>
  <c r="AY794" i="10" s="1"/>
  <c r="CD794" i="10" s="1"/>
  <c r="CH794" i="10" s="1"/>
  <c r="AV794" i="10"/>
  <c r="EM794" i="10" s="1"/>
  <c r="DZ794" i="10"/>
  <c r="EB794" i="10"/>
  <c r="EG794" i="10"/>
  <c r="EL794" i="10"/>
  <c r="H795" i="10"/>
  <c r="AO795" i="10"/>
  <c r="AP795" i="10"/>
  <c r="AS795" i="10"/>
  <c r="AU795" i="10"/>
  <c r="AV795" i="10"/>
  <c r="EM795" i="10" s="1"/>
  <c r="DZ795" i="10"/>
  <c r="EB795" i="10"/>
  <c r="EG795" i="10"/>
  <c r="EL795" i="10"/>
  <c r="H796" i="10"/>
  <c r="EC796" i="10"/>
  <c r="BB796" i="10"/>
  <c r="BD796" i="10" s="1"/>
  <c r="AO796" i="10"/>
  <c r="BM796" i="10" s="1"/>
  <c r="BV796" i="10" s="1"/>
  <c r="AP796" i="10"/>
  <c r="AS796" i="10"/>
  <c r="AV796" i="10"/>
  <c r="EM796" i="10" s="1"/>
  <c r="DZ796" i="10"/>
  <c r="EB796" i="10"/>
  <c r="EG796" i="10"/>
  <c r="EL796" i="10"/>
  <c r="H797" i="10"/>
  <c r="AO797" i="10"/>
  <c r="AP797" i="10"/>
  <c r="BJ797" i="10" s="1"/>
  <c r="BL797" i="10" s="1"/>
  <c r="AS797" i="10"/>
  <c r="AV797" i="10"/>
  <c r="EM797" i="10" s="1"/>
  <c r="DZ797" i="10"/>
  <c r="EB797" i="10"/>
  <c r="EG797" i="10"/>
  <c r="EL797" i="10"/>
  <c r="H798" i="10"/>
  <c r="AO798" i="10"/>
  <c r="AP798" i="10"/>
  <c r="AS798" i="10"/>
  <c r="AV798" i="10"/>
  <c r="EM798" i="10" s="1"/>
  <c r="DZ798" i="10"/>
  <c r="EB798" i="10"/>
  <c r="EG798" i="10"/>
  <c r="EL798" i="10"/>
  <c r="H799" i="10"/>
  <c r="EC799" i="10"/>
  <c r="AO799" i="10"/>
  <c r="AP799" i="10"/>
  <c r="BN799" i="10" s="1"/>
  <c r="BW799" i="10" s="1"/>
  <c r="AS799" i="10"/>
  <c r="AV799" i="10"/>
  <c r="EM799" i="10" s="1"/>
  <c r="DZ799" i="10"/>
  <c r="EB799" i="10"/>
  <c r="EG799" i="10"/>
  <c r="EL799" i="10"/>
  <c r="H800" i="10"/>
  <c r="AO800" i="10"/>
  <c r="AP800" i="10"/>
  <c r="BN800" i="10" s="1"/>
  <c r="BW800" i="10" s="1"/>
  <c r="AS800" i="10"/>
  <c r="AV800" i="10"/>
  <c r="EM800" i="10" s="1"/>
  <c r="DZ800" i="10"/>
  <c r="EB800" i="10"/>
  <c r="EG800" i="10"/>
  <c r="EL800" i="10"/>
  <c r="H801" i="10"/>
  <c r="BA801" i="10"/>
  <c r="BC801" i="10" s="1"/>
  <c r="AO801" i="10"/>
  <c r="AP801" i="10"/>
  <c r="AS801" i="10"/>
  <c r="AV801" i="10"/>
  <c r="EM801" i="10" s="1"/>
  <c r="DZ801" i="10"/>
  <c r="EB801" i="10"/>
  <c r="EG801" i="10"/>
  <c r="EL801" i="10"/>
  <c r="H802" i="10"/>
  <c r="AO802" i="10"/>
  <c r="BI802" i="10" s="1"/>
  <c r="BK802" i="10" s="1"/>
  <c r="AP802" i="10"/>
  <c r="AS802" i="10"/>
  <c r="AV802" i="10"/>
  <c r="EM802" i="10" s="1"/>
  <c r="DZ802" i="10"/>
  <c r="EB802" i="10"/>
  <c r="EG802" i="10"/>
  <c r="EL802" i="10"/>
  <c r="H803" i="10"/>
  <c r="AO803" i="10"/>
  <c r="AP803" i="10"/>
  <c r="BJ803" i="10" s="1"/>
  <c r="BL803" i="10" s="1"/>
  <c r="AS803" i="10"/>
  <c r="AV803" i="10"/>
  <c r="EM803" i="10" s="1"/>
  <c r="DZ803" i="10"/>
  <c r="EB803" i="10"/>
  <c r="EG803" i="10"/>
  <c r="EL803" i="10"/>
  <c r="H804" i="10"/>
  <c r="EC804" i="10"/>
  <c r="AO804" i="10"/>
  <c r="BI804" i="10" s="1"/>
  <c r="BK804" i="10" s="1"/>
  <c r="AP804" i="10"/>
  <c r="AS804" i="10"/>
  <c r="AV804" i="10"/>
  <c r="EM804" i="10" s="1"/>
  <c r="DZ804" i="10"/>
  <c r="EB804" i="10"/>
  <c r="EG804" i="10"/>
  <c r="EL804" i="10"/>
  <c r="H805" i="10"/>
  <c r="BA805" i="10"/>
  <c r="BC805" i="10" s="1"/>
  <c r="AO805" i="10"/>
  <c r="BM805" i="10" s="1"/>
  <c r="BV805" i="10" s="1"/>
  <c r="AP805" i="10"/>
  <c r="AS805" i="10"/>
  <c r="AV805" i="10"/>
  <c r="EM805" i="10" s="1"/>
  <c r="DZ805" i="10"/>
  <c r="EB805" i="10"/>
  <c r="EG805" i="10"/>
  <c r="EL805" i="10"/>
  <c r="H806" i="10"/>
  <c r="AO806" i="10"/>
  <c r="AP806" i="10"/>
  <c r="BN806" i="10" s="1"/>
  <c r="BW806" i="10" s="1"/>
  <c r="AS806" i="10"/>
  <c r="AU806" i="10"/>
  <c r="AY806" i="10" s="1"/>
  <c r="AV806" i="10"/>
  <c r="EM806" i="10" s="1"/>
  <c r="DZ806" i="10"/>
  <c r="EB806" i="10"/>
  <c r="EG806" i="10"/>
  <c r="EL806" i="10"/>
  <c r="H807" i="10"/>
  <c r="AO807" i="10"/>
  <c r="AP807" i="10"/>
  <c r="AS807" i="10"/>
  <c r="AV807" i="10"/>
  <c r="EM807" i="10" s="1"/>
  <c r="DZ807" i="10"/>
  <c r="EB807" i="10"/>
  <c r="EG807" i="10"/>
  <c r="EL807" i="10"/>
  <c r="H808" i="10"/>
  <c r="EC808" i="10"/>
  <c r="AO808" i="10"/>
  <c r="BI808" i="10" s="1"/>
  <c r="BK808" i="10" s="1"/>
  <c r="AP808" i="10"/>
  <c r="AS808" i="10"/>
  <c r="AU808" i="10"/>
  <c r="AY808" i="10" s="1"/>
  <c r="CL808" i="10" s="1"/>
  <c r="AV808" i="10"/>
  <c r="EM808" i="10" s="1"/>
  <c r="DZ808" i="10"/>
  <c r="EB808" i="10"/>
  <c r="EG808" i="10"/>
  <c r="EL808" i="10"/>
  <c r="H809" i="10"/>
  <c r="AO809" i="10"/>
  <c r="AP809" i="10"/>
  <c r="AS809" i="10"/>
  <c r="AV809" i="10"/>
  <c r="EM809" i="10" s="1"/>
  <c r="DZ809" i="10"/>
  <c r="EB809" i="10"/>
  <c r="EG809" i="10"/>
  <c r="EL809" i="10"/>
  <c r="H810" i="10"/>
  <c r="AO810" i="10"/>
  <c r="BM810" i="10" s="1"/>
  <c r="BV810" i="10" s="1"/>
  <c r="AP810" i="10"/>
  <c r="AS810" i="10"/>
  <c r="AV810" i="10"/>
  <c r="EM810" i="10" s="1"/>
  <c r="DZ810" i="10"/>
  <c r="EB810" i="10"/>
  <c r="EG810" i="10"/>
  <c r="EL810" i="10"/>
  <c r="H811" i="10"/>
  <c r="AO811" i="10"/>
  <c r="BM811" i="10" s="1"/>
  <c r="BV811" i="10" s="1"/>
  <c r="AP811" i="10"/>
  <c r="AS811" i="10"/>
  <c r="AV811" i="10"/>
  <c r="EM811" i="10" s="1"/>
  <c r="DZ811" i="10"/>
  <c r="EB811" i="10"/>
  <c r="EG811" i="10"/>
  <c r="EL811" i="10"/>
  <c r="H812" i="10"/>
  <c r="AO812" i="10"/>
  <c r="AP812" i="10"/>
  <c r="AS812" i="10"/>
  <c r="AV812" i="10"/>
  <c r="EM812" i="10" s="1"/>
  <c r="DZ812" i="10"/>
  <c r="EB812" i="10"/>
  <c r="EG812" i="10"/>
  <c r="EL812" i="10"/>
  <c r="H813" i="10"/>
  <c r="BA813" i="10"/>
  <c r="BC813" i="10" s="1"/>
  <c r="AO813" i="10"/>
  <c r="AP813" i="10"/>
  <c r="AS813" i="10"/>
  <c r="AV813" i="10"/>
  <c r="EM813" i="10" s="1"/>
  <c r="DZ813" i="10"/>
  <c r="EB813" i="10"/>
  <c r="EG813" i="10"/>
  <c r="EL813" i="10"/>
  <c r="H814" i="10"/>
  <c r="BA814" i="10"/>
  <c r="BC814" i="10" s="1"/>
  <c r="AO814" i="10"/>
  <c r="AP814" i="10"/>
  <c r="AS814" i="10"/>
  <c r="AV814" i="10"/>
  <c r="EM814" i="10" s="1"/>
  <c r="DZ814" i="10"/>
  <c r="EB814" i="10"/>
  <c r="EG814" i="10"/>
  <c r="EL814" i="10"/>
  <c r="H815" i="10"/>
  <c r="AO815" i="10"/>
  <c r="AP815" i="10"/>
  <c r="AS815" i="10"/>
  <c r="AV815" i="10"/>
  <c r="EM815" i="10" s="1"/>
  <c r="DZ815" i="10"/>
  <c r="EB815" i="10"/>
  <c r="EG815" i="10"/>
  <c r="EL815" i="10"/>
  <c r="H816" i="10"/>
  <c r="EC816" i="10"/>
  <c r="AO816" i="10"/>
  <c r="AP816" i="10"/>
  <c r="AS816" i="10"/>
  <c r="AV816" i="10"/>
  <c r="EM816" i="10" s="1"/>
  <c r="DZ816" i="10"/>
  <c r="EB816" i="10"/>
  <c r="EG816" i="10"/>
  <c r="EL816" i="10"/>
  <c r="H817" i="10"/>
  <c r="BA817" i="10"/>
  <c r="BC817" i="10" s="1"/>
  <c r="AO817" i="10"/>
  <c r="BM817" i="10" s="1"/>
  <c r="BV817" i="10" s="1"/>
  <c r="AP817" i="10"/>
  <c r="AS817" i="10"/>
  <c r="AV817" i="10"/>
  <c r="EM817" i="10" s="1"/>
  <c r="DZ817" i="10"/>
  <c r="EB817" i="10"/>
  <c r="EG817" i="10"/>
  <c r="EL817" i="10"/>
  <c r="H818" i="10"/>
  <c r="AO818" i="10"/>
  <c r="AP818" i="10"/>
  <c r="AS818" i="10"/>
  <c r="AV818" i="10"/>
  <c r="EM818" i="10" s="1"/>
  <c r="DZ818" i="10"/>
  <c r="EB818" i="10"/>
  <c r="EG818" i="10"/>
  <c r="EL818" i="10"/>
  <c r="H819" i="10"/>
  <c r="EC819" i="10"/>
  <c r="AO819" i="10"/>
  <c r="AP819" i="10"/>
  <c r="AS819" i="10"/>
  <c r="AU819" i="10"/>
  <c r="AY819" i="10" s="1"/>
  <c r="CL819" i="10" s="1"/>
  <c r="AV819" i="10"/>
  <c r="EM819" i="10" s="1"/>
  <c r="DZ819" i="10"/>
  <c r="EB819" i="10"/>
  <c r="EG819" i="10"/>
  <c r="EL819" i="10"/>
  <c r="H820" i="10"/>
  <c r="EC820" i="10"/>
  <c r="AO820" i="10"/>
  <c r="AP820" i="10"/>
  <c r="AS820" i="10"/>
  <c r="AV820" i="10"/>
  <c r="EM820" i="10" s="1"/>
  <c r="DZ820" i="10"/>
  <c r="EB820" i="10"/>
  <c r="EG820" i="10"/>
  <c r="EL820" i="10"/>
  <c r="H821" i="10"/>
  <c r="AO821" i="10"/>
  <c r="BM821" i="10" s="1"/>
  <c r="BV821" i="10" s="1"/>
  <c r="AP821" i="10"/>
  <c r="AS821" i="10"/>
  <c r="AV821" i="10"/>
  <c r="EM821" i="10" s="1"/>
  <c r="DZ821" i="10"/>
  <c r="EB821" i="10"/>
  <c r="EG821" i="10"/>
  <c r="EL821" i="10"/>
  <c r="H822" i="10"/>
  <c r="BA822" i="10"/>
  <c r="BC822" i="10" s="1"/>
  <c r="AO822" i="10"/>
  <c r="BI822" i="10" s="1"/>
  <c r="BK822" i="10" s="1"/>
  <c r="AP822" i="10"/>
  <c r="AS822" i="10"/>
  <c r="AV822" i="10"/>
  <c r="EM822" i="10" s="1"/>
  <c r="DZ822" i="10"/>
  <c r="EB822" i="10"/>
  <c r="EG822" i="10"/>
  <c r="EL822" i="10"/>
  <c r="H823" i="10"/>
  <c r="EC823" i="10"/>
  <c r="AO823" i="10"/>
  <c r="AP823" i="10"/>
  <c r="AS823" i="10"/>
  <c r="AV823" i="10"/>
  <c r="EM823" i="10" s="1"/>
  <c r="DZ823" i="10"/>
  <c r="EB823" i="10"/>
  <c r="EG823" i="10"/>
  <c r="EL823" i="10"/>
  <c r="H824" i="10"/>
  <c r="AO824" i="10"/>
  <c r="AP824" i="10"/>
  <c r="AS824" i="10"/>
  <c r="AV824" i="10"/>
  <c r="EM824" i="10" s="1"/>
  <c r="DZ824" i="10"/>
  <c r="EB824" i="10"/>
  <c r="EG824" i="10"/>
  <c r="EL824" i="10"/>
  <c r="H825" i="10"/>
  <c r="BA825" i="10"/>
  <c r="BC825" i="10" s="1"/>
  <c r="AO825" i="10"/>
  <c r="AP825" i="10"/>
  <c r="AS825" i="10"/>
  <c r="AV825" i="10"/>
  <c r="EM825" i="10" s="1"/>
  <c r="DZ825" i="10"/>
  <c r="EB825" i="10"/>
  <c r="EG825" i="10"/>
  <c r="EL825" i="10"/>
  <c r="H826" i="10"/>
  <c r="EC826" i="10"/>
  <c r="AO826" i="10"/>
  <c r="BI826" i="10" s="1"/>
  <c r="BK826" i="10" s="1"/>
  <c r="AP826" i="10"/>
  <c r="AS826" i="10"/>
  <c r="AV826" i="10"/>
  <c r="EM826" i="10" s="1"/>
  <c r="DZ826" i="10"/>
  <c r="EB826" i="10"/>
  <c r="EG826" i="10"/>
  <c r="EL826" i="10"/>
  <c r="H827" i="10"/>
  <c r="AO827" i="10"/>
  <c r="AP827" i="10"/>
  <c r="AS827" i="10"/>
  <c r="AV827" i="10"/>
  <c r="EM827" i="10" s="1"/>
  <c r="DZ827" i="10"/>
  <c r="EB827" i="10"/>
  <c r="EG827" i="10"/>
  <c r="EL827" i="10"/>
  <c r="H828" i="10"/>
  <c r="EC828" i="10"/>
  <c r="AO828" i="10"/>
  <c r="AP828" i="10"/>
  <c r="BJ828" i="10" s="1"/>
  <c r="BL828" i="10" s="1"/>
  <c r="AS828" i="10"/>
  <c r="AV828" i="10"/>
  <c r="EM828" i="10" s="1"/>
  <c r="DZ828" i="10"/>
  <c r="EB828" i="10"/>
  <c r="EG828" i="10"/>
  <c r="EL828" i="10"/>
  <c r="H829" i="10"/>
  <c r="BA829" i="10"/>
  <c r="BC829" i="10" s="1"/>
  <c r="BB829" i="10"/>
  <c r="BD829" i="10" s="1"/>
  <c r="AO829" i="10"/>
  <c r="AP829" i="10"/>
  <c r="AS829" i="10"/>
  <c r="AV829" i="10"/>
  <c r="EM829" i="10" s="1"/>
  <c r="DZ829" i="10"/>
  <c r="EB829" i="10"/>
  <c r="EG829" i="10"/>
  <c r="EL829" i="10"/>
  <c r="H830" i="10"/>
  <c r="AO830" i="10"/>
  <c r="AP830" i="10"/>
  <c r="BN830" i="10" s="1"/>
  <c r="BW830" i="10" s="1"/>
  <c r="AS830" i="10"/>
  <c r="AV830" i="10"/>
  <c r="EM830" i="10" s="1"/>
  <c r="DZ830" i="10"/>
  <c r="EB830" i="10"/>
  <c r="EG830" i="10"/>
  <c r="EL830" i="10"/>
  <c r="H831" i="10"/>
  <c r="EC831" i="10"/>
  <c r="AO831" i="10"/>
  <c r="AP831" i="10"/>
  <c r="AS831" i="10"/>
  <c r="AU831" i="10"/>
  <c r="AV831" i="10"/>
  <c r="EM831" i="10" s="1"/>
  <c r="DZ831" i="10"/>
  <c r="EB831" i="10"/>
  <c r="EG831" i="10"/>
  <c r="EL831" i="10"/>
  <c r="H832" i="10"/>
  <c r="EC832" i="10"/>
  <c r="AO832" i="10"/>
  <c r="BI832" i="10" s="1"/>
  <c r="BK832" i="10" s="1"/>
  <c r="AP832" i="10"/>
  <c r="AS832" i="10"/>
  <c r="AU832" i="10"/>
  <c r="AY832" i="10" s="1"/>
  <c r="CL832" i="10" s="1"/>
  <c r="AV832" i="10"/>
  <c r="EM832" i="10" s="1"/>
  <c r="DZ832" i="10"/>
  <c r="EB832" i="10"/>
  <c r="EG832" i="10"/>
  <c r="EL832" i="10"/>
  <c r="H833" i="10"/>
  <c r="BA833" i="10"/>
  <c r="BC833" i="10" s="1"/>
  <c r="AO833" i="10"/>
  <c r="AP833" i="10"/>
  <c r="AS833" i="10"/>
  <c r="AV833" i="10"/>
  <c r="EM833" i="10" s="1"/>
  <c r="DZ833" i="10"/>
  <c r="EB833" i="10"/>
  <c r="EG833" i="10"/>
  <c r="EL833" i="10"/>
  <c r="H834" i="10"/>
  <c r="EC834" i="10"/>
  <c r="AO834" i="10"/>
  <c r="AP834" i="10"/>
  <c r="AS834" i="10"/>
  <c r="AV834" i="10"/>
  <c r="EM834" i="10" s="1"/>
  <c r="DZ834" i="10"/>
  <c r="EB834" i="10"/>
  <c r="EG834" i="10"/>
  <c r="EL834" i="10"/>
  <c r="H835" i="10"/>
  <c r="EC835" i="10"/>
  <c r="AO835" i="10"/>
  <c r="AP835" i="10"/>
  <c r="BN835" i="10" s="1"/>
  <c r="BW835" i="10" s="1"/>
  <c r="AS835" i="10"/>
  <c r="AV835" i="10"/>
  <c r="EM835" i="10" s="1"/>
  <c r="DZ835" i="10"/>
  <c r="EB835" i="10"/>
  <c r="EG835" i="10"/>
  <c r="EL835" i="10"/>
  <c r="H836" i="10"/>
  <c r="EC836" i="10"/>
  <c r="AO836" i="10"/>
  <c r="AP836" i="10"/>
  <c r="AS836" i="10"/>
  <c r="AV836" i="10"/>
  <c r="EM836" i="10" s="1"/>
  <c r="DZ836" i="10"/>
  <c r="EB836" i="10"/>
  <c r="EG836" i="10"/>
  <c r="EL836" i="10"/>
  <c r="H837" i="10"/>
  <c r="BA837" i="10"/>
  <c r="BC837" i="10" s="1"/>
  <c r="AO837" i="10"/>
  <c r="AP837" i="10"/>
  <c r="AS837" i="10"/>
  <c r="AV837" i="10"/>
  <c r="EM837" i="10" s="1"/>
  <c r="DZ837" i="10"/>
  <c r="EB837" i="10"/>
  <c r="EG837" i="10"/>
  <c r="EL837" i="10"/>
  <c r="H838" i="10"/>
  <c r="AO838" i="10"/>
  <c r="AP838" i="10"/>
  <c r="BN838" i="10" s="1"/>
  <c r="BW838" i="10" s="1"/>
  <c r="AS838" i="10"/>
  <c r="AV838" i="10"/>
  <c r="EM838" i="10" s="1"/>
  <c r="DZ838" i="10"/>
  <c r="EB838" i="10"/>
  <c r="EG838" i="10"/>
  <c r="EL838" i="10"/>
  <c r="H839" i="10"/>
  <c r="EC839" i="10"/>
  <c r="AO839" i="10"/>
  <c r="BI839" i="10" s="1"/>
  <c r="BK839" i="10" s="1"/>
  <c r="AP839" i="10"/>
  <c r="AS839" i="10"/>
  <c r="AV839" i="10"/>
  <c r="EM839" i="10" s="1"/>
  <c r="DZ839" i="10"/>
  <c r="EB839" i="10"/>
  <c r="EG839" i="10"/>
  <c r="EL839" i="10"/>
  <c r="H840" i="10"/>
  <c r="EC840" i="10"/>
  <c r="AO840" i="10"/>
  <c r="BI840" i="10" s="1"/>
  <c r="BK840" i="10" s="1"/>
  <c r="AP840" i="10"/>
  <c r="BJ840" i="10" s="1"/>
  <c r="BL840" i="10" s="1"/>
  <c r="AS840" i="10"/>
  <c r="AV840" i="10"/>
  <c r="EM840" i="10" s="1"/>
  <c r="DZ840" i="10"/>
  <c r="EB840" i="10"/>
  <c r="EG840" i="10"/>
  <c r="EL840" i="10"/>
  <c r="H841" i="10"/>
  <c r="BA841" i="10"/>
  <c r="BC841" i="10" s="1"/>
  <c r="AO841" i="10"/>
  <c r="AP841" i="10"/>
  <c r="BJ841" i="10" s="1"/>
  <c r="BL841" i="10" s="1"/>
  <c r="AS841" i="10"/>
  <c r="AV841" i="10"/>
  <c r="EM841" i="10" s="1"/>
  <c r="DZ841" i="10"/>
  <c r="EB841" i="10"/>
  <c r="EG841" i="10"/>
  <c r="EL841" i="10"/>
  <c r="H842" i="10"/>
  <c r="AO842" i="10"/>
  <c r="AP842" i="10"/>
  <c r="AS842" i="10"/>
  <c r="AU842" i="10"/>
  <c r="AY842" i="10" s="1"/>
  <c r="AV842" i="10"/>
  <c r="EM842" i="10" s="1"/>
  <c r="DZ842" i="10"/>
  <c r="EB842" i="10"/>
  <c r="EG842" i="10"/>
  <c r="EL842" i="10"/>
  <c r="H843" i="10"/>
  <c r="EC843" i="10"/>
  <c r="AO843" i="10"/>
  <c r="AP843" i="10"/>
  <c r="BN843" i="10" s="1"/>
  <c r="BW843" i="10" s="1"/>
  <c r="AS843" i="10"/>
  <c r="AU843" i="10"/>
  <c r="AY843" i="10" s="1"/>
  <c r="AV843" i="10"/>
  <c r="EM843" i="10" s="1"/>
  <c r="DZ843" i="10"/>
  <c r="EB843" i="10"/>
  <c r="EG843" i="10"/>
  <c r="EL843" i="10"/>
  <c r="H844" i="10"/>
  <c r="EC844" i="10"/>
  <c r="AO844" i="10"/>
  <c r="AP844" i="10"/>
  <c r="AS844" i="10"/>
  <c r="AV844" i="10"/>
  <c r="EM844" i="10" s="1"/>
  <c r="DZ844" i="10"/>
  <c r="EB844" i="10"/>
  <c r="EG844" i="10"/>
  <c r="EL844" i="10"/>
  <c r="H845" i="10"/>
  <c r="BA845" i="10"/>
  <c r="BC845" i="10" s="1"/>
  <c r="AO845" i="10"/>
  <c r="BM845" i="10" s="1"/>
  <c r="BV845" i="10" s="1"/>
  <c r="AP845" i="10"/>
  <c r="BN845" i="10" s="1"/>
  <c r="BW845" i="10" s="1"/>
  <c r="AS845" i="10"/>
  <c r="AV845" i="10"/>
  <c r="EM845" i="10" s="1"/>
  <c r="DZ845" i="10"/>
  <c r="EB845" i="10"/>
  <c r="EG845" i="10"/>
  <c r="EL845" i="10"/>
  <c r="H846" i="10"/>
  <c r="EC846" i="10"/>
  <c r="AO846" i="10"/>
  <c r="AP846" i="10"/>
  <c r="AS846" i="10"/>
  <c r="AV846" i="10"/>
  <c r="EM846" i="10" s="1"/>
  <c r="DZ846" i="10"/>
  <c r="EB846" i="10"/>
  <c r="EG846" i="10"/>
  <c r="EL846" i="10"/>
  <c r="H847" i="10"/>
  <c r="AO847" i="10"/>
  <c r="BI847" i="10" s="1"/>
  <c r="BK847" i="10" s="1"/>
  <c r="AP847" i="10"/>
  <c r="BJ847" i="10" s="1"/>
  <c r="BL847" i="10" s="1"/>
  <c r="AS847" i="10"/>
  <c r="AU847" i="10"/>
  <c r="AY847" i="10" s="1"/>
  <c r="AV847" i="10"/>
  <c r="EM847" i="10" s="1"/>
  <c r="DZ847" i="10"/>
  <c r="EB847" i="10"/>
  <c r="EG847" i="10"/>
  <c r="EL847" i="10"/>
  <c r="H848" i="10"/>
  <c r="EC848" i="10"/>
  <c r="AO848" i="10"/>
  <c r="AP848" i="10"/>
  <c r="BJ848" i="10" s="1"/>
  <c r="BL848" i="10" s="1"/>
  <c r="AS848" i="10"/>
  <c r="AU848" i="10"/>
  <c r="AY848" i="10" s="1"/>
  <c r="AV848" i="10"/>
  <c r="EM848" i="10" s="1"/>
  <c r="DZ848" i="10"/>
  <c r="EB848" i="10"/>
  <c r="EG848" i="10"/>
  <c r="EL848" i="10"/>
  <c r="H849" i="10"/>
  <c r="BA849" i="10"/>
  <c r="BC849" i="10" s="1"/>
  <c r="AO849" i="10"/>
  <c r="BM849" i="10" s="1"/>
  <c r="BV849" i="10" s="1"/>
  <c r="AP849" i="10"/>
  <c r="AS849" i="10"/>
  <c r="AV849" i="10"/>
  <c r="EM849" i="10" s="1"/>
  <c r="DZ849" i="10"/>
  <c r="EB849" i="10"/>
  <c r="EG849" i="10"/>
  <c r="EL849" i="10"/>
  <c r="H850" i="10"/>
  <c r="AO850" i="10"/>
  <c r="AP850" i="10"/>
  <c r="AS850" i="10"/>
  <c r="AU850" i="10"/>
  <c r="AY850" i="10" s="1"/>
  <c r="AV850" i="10"/>
  <c r="EM850" i="10" s="1"/>
  <c r="DZ850" i="10"/>
  <c r="EB850" i="10"/>
  <c r="EG850" i="10"/>
  <c r="EL850" i="10"/>
  <c r="H851" i="10"/>
  <c r="EC851" i="10"/>
  <c r="AO851" i="10"/>
  <c r="BI851" i="10" s="1"/>
  <c r="BK851" i="10" s="1"/>
  <c r="AP851" i="10"/>
  <c r="AS851" i="10"/>
  <c r="AV851" i="10"/>
  <c r="EM851" i="10" s="1"/>
  <c r="DZ851" i="10"/>
  <c r="EB851" i="10"/>
  <c r="EG851" i="10"/>
  <c r="EL851" i="10"/>
  <c r="H852" i="10"/>
  <c r="EC852" i="10"/>
  <c r="AO852" i="10"/>
  <c r="BI852" i="10" s="1"/>
  <c r="BK852" i="10" s="1"/>
  <c r="AP852" i="10"/>
  <c r="BJ852" i="10" s="1"/>
  <c r="BL852" i="10" s="1"/>
  <c r="AS852" i="10"/>
  <c r="AV852" i="10"/>
  <c r="EM852" i="10" s="1"/>
  <c r="DZ852" i="10"/>
  <c r="EB852" i="10"/>
  <c r="EG852" i="10"/>
  <c r="EL852" i="10"/>
  <c r="H853" i="10"/>
  <c r="BA853" i="10"/>
  <c r="BC853" i="10" s="1"/>
  <c r="AO853" i="10"/>
  <c r="BM853" i="10" s="1"/>
  <c r="BV853" i="10" s="1"/>
  <c r="AP853" i="10"/>
  <c r="BN853" i="10" s="1"/>
  <c r="BW853" i="10" s="1"/>
  <c r="AS853" i="10"/>
  <c r="AV853" i="10"/>
  <c r="EM853" i="10" s="1"/>
  <c r="DZ853" i="10"/>
  <c r="EB853" i="10"/>
  <c r="EG853" i="10"/>
  <c r="EL853" i="10"/>
  <c r="H854" i="10"/>
  <c r="AO854" i="10"/>
  <c r="AP854" i="10"/>
  <c r="AS854" i="10"/>
  <c r="AU854" i="10"/>
  <c r="AV854" i="10"/>
  <c r="EM854" i="10" s="1"/>
  <c r="DZ854" i="10"/>
  <c r="EB854" i="10"/>
  <c r="EG854" i="10"/>
  <c r="EL854" i="10"/>
  <c r="H855" i="10"/>
  <c r="EC855" i="10"/>
  <c r="AO855" i="10"/>
  <c r="BM855" i="10" s="1"/>
  <c r="BV855" i="10" s="1"/>
  <c r="AP855" i="10"/>
  <c r="AS855" i="10"/>
  <c r="AV855" i="10"/>
  <c r="EM855" i="10" s="1"/>
  <c r="DZ855" i="10"/>
  <c r="EB855" i="10"/>
  <c r="EG855" i="10"/>
  <c r="EL855" i="10"/>
  <c r="H856" i="10"/>
  <c r="EC856" i="10"/>
  <c r="AO856" i="10"/>
  <c r="BI856" i="10" s="1"/>
  <c r="BK856" i="10" s="1"/>
  <c r="AP856" i="10"/>
  <c r="AS856" i="10"/>
  <c r="AV856" i="10"/>
  <c r="EM856" i="10" s="1"/>
  <c r="DZ856" i="10"/>
  <c r="EB856" i="10"/>
  <c r="EG856" i="10"/>
  <c r="EL856" i="10"/>
  <c r="H857" i="10"/>
  <c r="AO857" i="10"/>
  <c r="AP857" i="10"/>
  <c r="BN857" i="10" s="1"/>
  <c r="BW857" i="10" s="1"/>
  <c r="AS857" i="10"/>
  <c r="AV857" i="10"/>
  <c r="EM857" i="10" s="1"/>
  <c r="DZ857" i="10"/>
  <c r="EB857" i="10"/>
  <c r="EG857" i="10"/>
  <c r="EL857" i="10"/>
  <c r="H858" i="10"/>
  <c r="AO858" i="10"/>
  <c r="BI858" i="10" s="1"/>
  <c r="BK858" i="10" s="1"/>
  <c r="AP858" i="10"/>
  <c r="BJ858" i="10" s="1"/>
  <c r="BL858" i="10" s="1"/>
  <c r="AS858" i="10"/>
  <c r="AV858" i="10"/>
  <c r="EM858" i="10" s="1"/>
  <c r="DZ858" i="10"/>
  <c r="EB858" i="10"/>
  <c r="EG858" i="10"/>
  <c r="EL858" i="10"/>
  <c r="H859" i="10"/>
  <c r="EC859" i="10"/>
  <c r="AO859" i="10"/>
  <c r="BI859" i="10" s="1"/>
  <c r="BK859" i="10" s="1"/>
  <c r="AP859" i="10"/>
  <c r="BN859" i="10" s="1"/>
  <c r="BW859" i="10" s="1"/>
  <c r="AS859" i="10"/>
  <c r="AV859" i="10"/>
  <c r="EM859" i="10" s="1"/>
  <c r="DZ859" i="10"/>
  <c r="EB859" i="10"/>
  <c r="EG859" i="10"/>
  <c r="EL859" i="10"/>
  <c r="H860" i="10"/>
  <c r="EC860" i="10"/>
  <c r="AO860" i="10"/>
  <c r="BI860" i="10" s="1"/>
  <c r="BK860" i="10" s="1"/>
  <c r="AP860" i="10"/>
  <c r="BN860" i="10" s="1"/>
  <c r="BW860" i="10" s="1"/>
  <c r="AS860" i="10"/>
  <c r="AV860" i="10"/>
  <c r="EM860" i="10" s="1"/>
  <c r="DZ860" i="10"/>
  <c r="EB860" i="10"/>
  <c r="EG860" i="10"/>
  <c r="EL860" i="10"/>
  <c r="H861" i="10"/>
  <c r="BA861" i="10"/>
  <c r="BC861" i="10" s="1"/>
  <c r="AO861" i="10"/>
  <c r="AP861" i="10"/>
  <c r="BJ861" i="10" s="1"/>
  <c r="BL861" i="10" s="1"/>
  <c r="AS861" i="10"/>
  <c r="AV861" i="10"/>
  <c r="EM861" i="10" s="1"/>
  <c r="DZ861" i="10"/>
  <c r="EB861" i="10"/>
  <c r="EG861" i="10"/>
  <c r="EL861" i="10"/>
  <c r="H862" i="10"/>
  <c r="AO862" i="10"/>
  <c r="AP862" i="10"/>
  <c r="BN862" i="10" s="1"/>
  <c r="BW862" i="10" s="1"/>
  <c r="AS862" i="10"/>
  <c r="AV862" i="10"/>
  <c r="EM862" i="10" s="1"/>
  <c r="DZ862" i="10"/>
  <c r="EB862" i="10"/>
  <c r="EG862" i="10"/>
  <c r="EL862" i="10"/>
  <c r="H863" i="10"/>
  <c r="AO863" i="10"/>
  <c r="AP863" i="10"/>
  <c r="AS863" i="10"/>
  <c r="AV863" i="10"/>
  <c r="EM863" i="10" s="1"/>
  <c r="DZ863" i="10"/>
  <c r="EB863" i="10"/>
  <c r="EG863" i="10"/>
  <c r="EL863" i="10"/>
  <c r="H864" i="10"/>
  <c r="EC864" i="10"/>
  <c r="AO864" i="10"/>
  <c r="AP864" i="10"/>
  <c r="AS864" i="10"/>
  <c r="AU864" i="10"/>
  <c r="AY864" i="10" s="1"/>
  <c r="AV864" i="10"/>
  <c r="EM864" i="10" s="1"/>
  <c r="DZ864" i="10"/>
  <c r="EB864" i="10"/>
  <c r="EG864" i="10"/>
  <c r="EL864" i="10"/>
  <c r="H865" i="10"/>
  <c r="BA865" i="10"/>
  <c r="BC865" i="10" s="1"/>
  <c r="AO865" i="10"/>
  <c r="BM865" i="10" s="1"/>
  <c r="BV865" i="10" s="1"/>
  <c r="AP865" i="10"/>
  <c r="AS865" i="10"/>
  <c r="AV865" i="10"/>
  <c r="EM865" i="10" s="1"/>
  <c r="DZ865" i="10"/>
  <c r="EB865" i="10"/>
  <c r="EG865" i="10"/>
  <c r="EL865" i="10"/>
  <c r="H866" i="10"/>
  <c r="AO866" i="10"/>
  <c r="AP866" i="10"/>
  <c r="AS866" i="10"/>
  <c r="AU866" i="10"/>
  <c r="AV866" i="10"/>
  <c r="EM866" i="10" s="1"/>
  <c r="DZ866" i="10"/>
  <c r="EB866" i="10"/>
  <c r="EG866" i="10"/>
  <c r="EL866" i="10"/>
  <c r="H867" i="10"/>
  <c r="AO867" i="10"/>
  <c r="BM867" i="10" s="1"/>
  <c r="BV867" i="10" s="1"/>
  <c r="AP867" i="10"/>
  <c r="BN867" i="10" s="1"/>
  <c r="BW867" i="10" s="1"/>
  <c r="AS867" i="10"/>
  <c r="AV867" i="10"/>
  <c r="EM867" i="10" s="1"/>
  <c r="DZ867" i="10"/>
  <c r="EB867" i="10"/>
  <c r="EG867" i="10"/>
  <c r="EL867" i="10"/>
  <c r="H868" i="10"/>
  <c r="EC868" i="10"/>
  <c r="AO868" i="10"/>
  <c r="BI868" i="10" s="1"/>
  <c r="BK868" i="10" s="1"/>
  <c r="AP868" i="10"/>
  <c r="AS868" i="10"/>
  <c r="AU868" i="10"/>
  <c r="AY868" i="10" s="1"/>
  <c r="AV868" i="10"/>
  <c r="EM868" i="10" s="1"/>
  <c r="DZ868" i="10"/>
  <c r="EB868" i="10"/>
  <c r="EG868" i="10"/>
  <c r="EL868" i="10"/>
  <c r="H869" i="10"/>
  <c r="AO869" i="10"/>
  <c r="BM869" i="10" s="1"/>
  <c r="BV869" i="10" s="1"/>
  <c r="AP869" i="10"/>
  <c r="BJ869" i="10" s="1"/>
  <c r="BL869" i="10" s="1"/>
  <c r="AS869" i="10"/>
  <c r="AV869" i="10"/>
  <c r="EM869" i="10" s="1"/>
  <c r="DZ869" i="10"/>
  <c r="EB869" i="10"/>
  <c r="EG869" i="10"/>
  <c r="EL869" i="10"/>
  <c r="H870" i="10"/>
  <c r="EC870" i="10"/>
  <c r="AO870" i="10"/>
  <c r="AP870" i="10"/>
  <c r="AS870" i="10"/>
  <c r="AV870" i="10"/>
  <c r="EM870" i="10" s="1"/>
  <c r="DZ870" i="10"/>
  <c r="EB870" i="10"/>
  <c r="EG870" i="10"/>
  <c r="EL870" i="10"/>
  <c r="H871" i="10"/>
  <c r="EC871" i="10"/>
  <c r="AO871" i="10"/>
  <c r="AP871" i="10"/>
  <c r="AS871" i="10"/>
  <c r="AV871" i="10"/>
  <c r="EM871" i="10" s="1"/>
  <c r="DZ871" i="10"/>
  <c r="EB871" i="10"/>
  <c r="EG871" i="10"/>
  <c r="EL871" i="10"/>
  <c r="H872" i="10"/>
  <c r="EC872" i="10"/>
  <c r="AO872" i="10"/>
  <c r="BI872" i="10" s="1"/>
  <c r="BK872" i="10" s="1"/>
  <c r="AP872" i="10"/>
  <c r="AS872" i="10"/>
  <c r="AU872" i="10"/>
  <c r="AY872" i="10" s="1"/>
  <c r="AV872" i="10"/>
  <c r="EM872" i="10" s="1"/>
  <c r="DZ872" i="10"/>
  <c r="EB872" i="10"/>
  <c r="EG872" i="10"/>
  <c r="EL872" i="10"/>
  <c r="H873" i="10"/>
  <c r="BA873" i="10"/>
  <c r="BC873" i="10" s="1"/>
  <c r="AO873" i="10"/>
  <c r="AP873" i="10"/>
  <c r="AS873" i="10"/>
  <c r="AV873" i="10"/>
  <c r="EM873" i="10" s="1"/>
  <c r="DZ873" i="10"/>
  <c r="EB873" i="10"/>
  <c r="EG873" i="10"/>
  <c r="EL873" i="10"/>
  <c r="H874" i="10"/>
  <c r="EC874" i="10"/>
  <c r="AO874" i="10"/>
  <c r="AP874" i="10"/>
  <c r="AS874" i="10"/>
  <c r="AU874" i="10"/>
  <c r="AV874" i="10"/>
  <c r="EM874" i="10" s="1"/>
  <c r="DZ874" i="10"/>
  <c r="EB874" i="10"/>
  <c r="EG874" i="10"/>
  <c r="EL874" i="10"/>
  <c r="H875" i="10"/>
  <c r="AO875" i="10"/>
  <c r="AP875" i="10"/>
  <c r="AS875" i="10"/>
  <c r="AV875" i="10"/>
  <c r="EM875" i="10" s="1"/>
  <c r="DZ875" i="10"/>
  <c r="EB875" i="10"/>
  <c r="EG875" i="10"/>
  <c r="EL875" i="10"/>
  <c r="H876" i="10"/>
  <c r="EC876" i="10"/>
  <c r="AO876" i="10"/>
  <c r="AP876" i="10"/>
  <c r="BN876" i="10" s="1"/>
  <c r="BW876" i="10" s="1"/>
  <c r="AS876" i="10"/>
  <c r="AV876" i="10"/>
  <c r="EM876" i="10" s="1"/>
  <c r="DZ876" i="10"/>
  <c r="EB876" i="10"/>
  <c r="EG876" i="10"/>
  <c r="EL876" i="10"/>
  <c r="H877" i="10"/>
  <c r="BA877" i="10"/>
  <c r="BC877" i="10" s="1"/>
  <c r="AO877" i="10"/>
  <c r="AP877" i="10"/>
  <c r="BN877" i="10" s="1"/>
  <c r="BW877" i="10" s="1"/>
  <c r="AS877" i="10"/>
  <c r="AV877" i="10"/>
  <c r="EM877" i="10" s="1"/>
  <c r="DZ877" i="10"/>
  <c r="EB877" i="10"/>
  <c r="EG877" i="10"/>
  <c r="EL877" i="10"/>
  <c r="H878" i="10"/>
  <c r="AO878" i="10"/>
  <c r="AP878" i="10"/>
  <c r="AS878" i="10"/>
  <c r="AU878" i="10"/>
  <c r="AV878" i="10"/>
  <c r="EM878" i="10" s="1"/>
  <c r="DZ878" i="10"/>
  <c r="EB878" i="10"/>
  <c r="EG878" i="10"/>
  <c r="EL878" i="10"/>
  <c r="H879" i="10"/>
  <c r="AO879" i="10"/>
  <c r="BM879" i="10" s="1"/>
  <c r="BV879" i="10" s="1"/>
  <c r="AP879" i="10"/>
  <c r="BJ879" i="10" s="1"/>
  <c r="BL879" i="10" s="1"/>
  <c r="AS879" i="10"/>
  <c r="AV879" i="10"/>
  <c r="EM879" i="10" s="1"/>
  <c r="DZ879" i="10"/>
  <c r="EB879" i="10"/>
  <c r="EG879" i="10"/>
  <c r="EL879" i="10"/>
  <c r="H880" i="10"/>
  <c r="EC880" i="10"/>
  <c r="AO880" i="10"/>
  <c r="BI880" i="10" s="1"/>
  <c r="BK880" i="10" s="1"/>
  <c r="AP880" i="10"/>
  <c r="BJ880" i="10" s="1"/>
  <c r="BL880" i="10" s="1"/>
  <c r="AS880" i="10"/>
  <c r="AU880" i="10"/>
  <c r="AY880" i="10" s="1"/>
  <c r="AV880" i="10"/>
  <c r="EM880" i="10" s="1"/>
  <c r="DZ880" i="10"/>
  <c r="EB880" i="10"/>
  <c r="EG880" i="10"/>
  <c r="EL880" i="10"/>
  <c r="H881" i="10"/>
  <c r="AO881" i="10"/>
  <c r="BM881" i="10" s="1"/>
  <c r="BV881" i="10" s="1"/>
  <c r="AP881" i="10"/>
  <c r="AS881" i="10"/>
  <c r="AV881" i="10"/>
  <c r="EM881" i="10" s="1"/>
  <c r="DZ881" i="10"/>
  <c r="EB881" i="10"/>
  <c r="EG881" i="10"/>
  <c r="EL881" i="10"/>
  <c r="H882" i="10"/>
  <c r="AO882" i="10"/>
  <c r="BI882" i="10" s="1"/>
  <c r="BK882" i="10" s="1"/>
  <c r="AP882" i="10"/>
  <c r="BJ882" i="10" s="1"/>
  <c r="BL882" i="10" s="1"/>
  <c r="AS882" i="10"/>
  <c r="AU882" i="10"/>
  <c r="AV882" i="10"/>
  <c r="EM882" i="10" s="1"/>
  <c r="DZ882" i="10"/>
  <c r="EB882" i="10"/>
  <c r="EG882" i="10"/>
  <c r="EL882" i="10"/>
  <c r="H883" i="10"/>
  <c r="AO883" i="10"/>
  <c r="BI883" i="10" s="1"/>
  <c r="BK883" i="10" s="1"/>
  <c r="AP883" i="10"/>
  <c r="BN883" i="10" s="1"/>
  <c r="BW883" i="10" s="1"/>
  <c r="AS883" i="10"/>
  <c r="AU883" i="10"/>
  <c r="AY883" i="10" s="1"/>
  <c r="AV883" i="10"/>
  <c r="EM883" i="10" s="1"/>
  <c r="DZ883" i="10"/>
  <c r="EB883" i="10"/>
  <c r="EG883" i="10"/>
  <c r="EL883" i="10"/>
  <c r="H884" i="10"/>
  <c r="EC884" i="10"/>
  <c r="AO884" i="10"/>
  <c r="BI884" i="10" s="1"/>
  <c r="BK884" i="10" s="1"/>
  <c r="AP884" i="10"/>
  <c r="BJ884" i="10" s="1"/>
  <c r="BL884" i="10" s="1"/>
  <c r="AS884" i="10"/>
  <c r="AU884" i="10"/>
  <c r="AV884" i="10"/>
  <c r="EM884" i="10" s="1"/>
  <c r="DZ884" i="10"/>
  <c r="EB884" i="10"/>
  <c r="EG884" i="10"/>
  <c r="EL884" i="10"/>
  <c r="H885" i="10"/>
  <c r="BA885" i="10"/>
  <c r="BC885" i="10" s="1"/>
  <c r="AO885" i="10"/>
  <c r="AP885" i="10"/>
  <c r="BN885" i="10" s="1"/>
  <c r="BW885" i="10" s="1"/>
  <c r="AS885" i="10"/>
  <c r="AV885" i="10"/>
  <c r="EM885" i="10" s="1"/>
  <c r="DZ885" i="10"/>
  <c r="EB885" i="10"/>
  <c r="EG885" i="10"/>
  <c r="EL885" i="10"/>
  <c r="H886" i="10"/>
  <c r="AO886" i="10"/>
  <c r="AP886" i="10"/>
  <c r="BN886" i="10" s="1"/>
  <c r="BW886" i="10" s="1"/>
  <c r="AS886" i="10"/>
  <c r="AU886" i="10"/>
  <c r="AV886" i="10"/>
  <c r="EM886" i="10" s="1"/>
  <c r="DZ886" i="10"/>
  <c r="EB886" i="10"/>
  <c r="EG886" i="10"/>
  <c r="EL886" i="10"/>
  <c r="H887" i="10"/>
  <c r="EC887" i="10"/>
  <c r="AO887" i="10"/>
  <c r="AP887" i="10"/>
  <c r="BJ887" i="10" s="1"/>
  <c r="BL887" i="10" s="1"/>
  <c r="AS887" i="10"/>
  <c r="AU887" i="10"/>
  <c r="AV887" i="10"/>
  <c r="EM887" i="10" s="1"/>
  <c r="DZ887" i="10"/>
  <c r="EB887" i="10"/>
  <c r="EG887" i="10"/>
  <c r="EL887" i="10"/>
  <c r="H888" i="10"/>
  <c r="EC888" i="10"/>
  <c r="BB888" i="10"/>
  <c r="BD888" i="10" s="1"/>
  <c r="AO888" i="10"/>
  <c r="AP888" i="10"/>
  <c r="BJ888" i="10" s="1"/>
  <c r="BL888" i="10" s="1"/>
  <c r="AS888" i="10"/>
  <c r="AU888" i="10"/>
  <c r="AY888" i="10" s="1"/>
  <c r="AV888" i="10"/>
  <c r="EM888" i="10" s="1"/>
  <c r="DZ888" i="10"/>
  <c r="EB888" i="10"/>
  <c r="EG888" i="10"/>
  <c r="EL888" i="10"/>
  <c r="H889" i="10"/>
  <c r="BA889" i="10"/>
  <c r="BC889" i="10" s="1"/>
  <c r="AO889" i="10"/>
  <c r="BI889" i="10" s="1"/>
  <c r="BK889" i="10" s="1"/>
  <c r="AP889" i="10"/>
  <c r="AS889" i="10"/>
  <c r="AV889" i="10"/>
  <c r="EM889" i="10" s="1"/>
  <c r="DZ889" i="10"/>
  <c r="EB889" i="10"/>
  <c r="EG889" i="10"/>
  <c r="EL889" i="10"/>
  <c r="H890" i="10"/>
  <c r="EC890" i="10"/>
  <c r="AO890" i="10"/>
  <c r="AP890" i="10"/>
  <c r="BN890" i="10" s="1"/>
  <c r="BW890" i="10" s="1"/>
  <c r="AS890" i="10"/>
  <c r="AV890" i="10"/>
  <c r="EM890" i="10" s="1"/>
  <c r="DZ890" i="10"/>
  <c r="EB890" i="10"/>
  <c r="EG890" i="10"/>
  <c r="EL890" i="10"/>
  <c r="H891" i="10"/>
  <c r="EC891" i="10"/>
  <c r="AO891" i="10"/>
  <c r="BM891" i="10" s="1"/>
  <c r="BV891" i="10" s="1"/>
  <c r="BZ891" i="10" s="1"/>
  <c r="AP891" i="10"/>
  <c r="BN891" i="10" s="1"/>
  <c r="BW891" i="10" s="1"/>
  <c r="AS891" i="10"/>
  <c r="AU891" i="10"/>
  <c r="AV891" i="10"/>
  <c r="EM891" i="10" s="1"/>
  <c r="DZ891" i="10"/>
  <c r="EB891" i="10"/>
  <c r="EG891" i="10"/>
  <c r="EL891" i="10"/>
  <c r="H892" i="10"/>
  <c r="EC892" i="10"/>
  <c r="AO892" i="10"/>
  <c r="AP892" i="10"/>
  <c r="BN892" i="10" s="1"/>
  <c r="BW892" i="10" s="1"/>
  <c r="AS892" i="10"/>
  <c r="AV892" i="10"/>
  <c r="EM892" i="10" s="1"/>
  <c r="DZ892" i="10"/>
  <c r="EB892" i="10"/>
  <c r="EG892" i="10"/>
  <c r="EL892" i="10"/>
  <c r="H893" i="10"/>
  <c r="BA893" i="10"/>
  <c r="BC893" i="10" s="1"/>
  <c r="AO893" i="10"/>
  <c r="BI893" i="10" s="1"/>
  <c r="BK893" i="10" s="1"/>
  <c r="AP893" i="10"/>
  <c r="BN893" i="10" s="1"/>
  <c r="BW893" i="10" s="1"/>
  <c r="AS893" i="10"/>
  <c r="AV893" i="10"/>
  <c r="EM893" i="10" s="1"/>
  <c r="DZ893" i="10"/>
  <c r="EB893" i="10"/>
  <c r="EG893" i="10"/>
  <c r="EL893" i="10"/>
  <c r="H894" i="10"/>
  <c r="BA894" i="10"/>
  <c r="BC894" i="10" s="1"/>
  <c r="AO894" i="10"/>
  <c r="BI894" i="10" s="1"/>
  <c r="BK894" i="10" s="1"/>
  <c r="AP894" i="10"/>
  <c r="BJ894" i="10" s="1"/>
  <c r="BL894" i="10" s="1"/>
  <c r="AS894" i="10"/>
  <c r="AV894" i="10"/>
  <c r="EM894" i="10" s="1"/>
  <c r="DZ894" i="10"/>
  <c r="EB894" i="10"/>
  <c r="EG894" i="10"/>
  <c r="EL894" i="10"/>
  <c r="H895" i="10"/>
  <c r="AO895" i="10"/>
  <c r="AP895" i="10"/>
  <c r="AS895" i="10"/>
  <c r="AV895" i="10"/>
  <c r="EM895" i="10" s="1"/>
  <c r="DZ895" i="10"/>
  <c r="EB895" i="10"/>
  <c r="EG895" i="10"/>
  <c r="EL895" i="10"/>
  <c r="H896" i="10"/>
  <c r="EC896" i="10"/>
  <c r="AO896" i="10"/>
  <c r="BI896" i="10" s="1"/>
  <c r="BK896" i="10" s="1"/>
  <c r="AP896" i="10"/>
  <c r="BJ896" i="10" s="1"/>
  <c r="BL896" i="10" s="1"/>
  <c r="AS896" i="10"/>
  <c r="AU896" i="10"/>
  <c r="AY896" i="10" s="1"/>
  <c r="AV896" i="10"/>
  <c r="EM896" i="10" s="1"/>
  <c r="DZ896" i="10"/>
  <c r="EB896" i="10"/>
  <c r="EG896" i="10"/>
  <c r="EL896" i="10"/>
  <c r="H897" i="10"/>
  <c r="AO897" i="10"/>
  <c r="AP897" i="10"/>
  <c r="BJ897" i="10" s="1"/>
  <c r="BL897" i="10" s="1"/>
  <c r="AS897" i="10"/>
  <c r="AV897" i="10"/>
  <c r="EM897" i="10" s="1"/>
  <c r="DZ897" i="10"/>
  <c r="EB897" i="10"/>
  <c r="EG897" i="10"/>
  <c r="EL897" i="10"/>
  <c r="H898" i="10"/>
  <c r="AO898" i="10"/>
  <c r="AP898" i="10"/>
  <c r="AS898" i="10"/>
  <c r="AV898" i="10"/>
  <c r="EM898" i="10" s="1"/>
  <c r="DZ898" i="10"/>
  <c r="EB898" i="10"/>
  <c r="EG898" i="10"/>
  <c r="EL898" i="10"/>
  <c r="H899" i="10"/>
  <c r="EC899" i="10"/>
  <c r="AO899" i="10"/>
  <c r="BM899" i="10" s="1"/>
  <c r="BV899" i="10" s="1"/>
  <c r="AP899" i="10"/>
  <c r="BJ899" i="10" s="1"/>
  <c r="BL899" i="10" s="1"/>
  <c r="AS899" i="10"/>
  <c r="AV899" i="10"/>
  <c r="EM899" i="10" s="1"/>
  <c r="DZ899" i="10"/>
  <c r="EB899" i="10"/>
  <c r="EG899" i="10"/>
  <c r="EL899" i="10"/>
  <c r="H900" i="10"/>
  <c r="EC900" i="10"/>
  <c r="AO900" i="10"/>
  <c r="BI900" i="10" s="1"/>
  <c r="BK900" i="10" s="1"/>
  <c r="AP900" i="10"/>
  <c r="BJ900" i="10" s="1"/>
  <c r="BL900" i="10" s="1"/>
  <c r="AS900" i="10"/>
  <c r="AV900" i="10"/>
  <c r="EM900" i="10" s="1"/>
  <c r="DZ900" i="10"/>
  <c r="EB900" i="10"/>
  <c r="EG900" i="10"/>
  <c r="EL900" i="10"/>
  <c r="H901" i="10"/>
  <c r="BB901" i="10"/>
  <c r="BD901" i="10" s="1"/>
  <c r="AO901" i="10"/>
  <c r="BM901" i="10" s="1"/>
  <c r="BV901" i="10" s="1"/>
  <c r="AP901" i="10"/>
  <c r="BN901" i="10" s="1"/>
  <c r="BW901" i="10" s="1"/>
  <c r="CA901" i="10" s="1"/>
  <c r="AS901" i="10"/>
  <c r="AV901" i="10"/>
  <c r="EM901" i="10" s="1"/>
  <c r="DZ901" i="10"/>
  <c r="EB901" i="10"/>
  <c r="EG901" i="10"/>
  <c r="EL901" i="10"/>
  <c r="H902" i="10"/>
  <c r="EC902" i="10"/>
  <c r="AO902" i="10"/>
  <c r="BM902" i="10" s="1"/>
  <c r="BV902" i="10" s="1"/>
  <c r="AP902" i="10"/>
  <c r="BJ902" i="10" s="1"/>
  <c r="BL902" i="10" s="1"/>
  <c r="AS902" i="10"/>
  <c r="AV902" i="10"/>
  <c r="EM902" i="10" s="1"/>
  <c r="DZ902" i="10"/>
  <c r="EB902" i="10"/>
  <c r="EG902" i="10"/>
  <c r="EL902" i="10"/>
  <c r="H903" i="10"/>
  <c r="EC903" i="10"/>
  <c r="AO903" i="10"/>
  <c r="BM903" i="10" s="1"/>
  <c r="BV903" i="10" s="1"/>
  <c r="AP903" i="10"/>
  <c r="AS903" i="10"/>
  <c r="AU903" i="10"/>
  <c r="AV903" i="10"/>
  <c r="EM903" i="10" s="1"/>
  <c r="DZ903" i="10"/>
  <c r="EB903" i="10"/>
  <c r="EG903" i="10"/>
  <c r="EL903" i="10"/>
  <c r="H904" i="10"/>
  <c r="EC904" i="10"/>
  <c r="AO904" i="10"/>
  <c r="BI904" i="10" s="1"/>
  <c r="BK904" i="10" s="1"/>
  <c r="AP904" i="10"/>
  <c r="BJ904" i="10" s="1"/>
  <c r="BL904" i="10" s="1"/>
  <c r="AS904" i="10"/>
  <c r="AU904" i="10"/>
  <c r="AY904" i="10" s="1"/>
  <c r="CD904" i="10" s="1"/>
  <c r="CH904" i="10" s="1"/>
  <c r="AV904" i="10"/>
  <c r="EM904" i="10" s="1"/>
  <c r="DZ904" i="10"/>
  <c r="EB904" i="10"/>
  <c r="EG904" i="10"/>
  <c r="EL904" i="10"/>
  <c r="H905" i="10"/>
  <c r="BA905" i="10"/>
  <c r="BC905" i="10" s="1"/>
  <c r="AO905" i="10"/>
  <c r="AP905" i="10"/>
  <c r="BJ905" i="10" s="1"/>
  <c r="BL905" i="10" s="1"/>
  <c r="AS905" i="10"/>
  <c r="AV905" i="10"/>
  <c r="EM905" i="10" s="1"/>
  <c r="DZ905" i="10"/>
  <c r="EB905" i="10"/>
  <c r="EG905" i="10"/>
  <c r="EL905" i="10"/>
  <c r="H906" i="10"/>
  <c r="AO906" i="10"/>
  <c r="BI906" i="10" s="1"/>
  <c r="BK906" i="10" s="1"/>
  <c r="AP906" i="10"/>
  <c r="BJ906" i="10" s="1"/>
  <c r="BL906" i="10" s="1"/>
  <c r="AS906" i="10"/>
  <c r="AU906" i="10"/>
  <c r="AY906" i="10" s="1"/>
  <c r="CD906" i="10" s="1"/>
  <c r="CH906" i="10" s="1"/>
  <c r="AV906" i="10"/>
  <c r="EM906" i="10" s="1"/>
  <c r="DZ906" i="10"/>
  <c r="EB906" i="10"/>
  <c r="EG906" i="10"/>
  <c r="EL906" i="10"/>
  <c r="H907" i="10"/>
  <c r="EC907" i="10"/>
  <c r="AO907" i="10"/>
  <c r="AP907" i="10"/>
  <c r="BJ907" i="10" s="1"/>
  <c r="BL907" i="10" s="1"/>
  <c r="AS907" i="10"/>
  <c r="AV907" i="10"/>
  <c r="EM907" i="10" s="1"/>
  <c r="DZ907" i="10"/>
  <c r="EB907" i="10"/>
  <c r="EG907" i="10"/>
  <c r="EL907" i="10"/>
  <c r="H908" i="10"/>
  <c r="EC908" i="10"/>
  <c r="BB908" i="10"/>
  <c r="BD908" i="10" s="1"/>
  <c r="AO908" i="10"/>
  <c r="AP908" i="10"/>
  <c r="AS908" i="10"/>
  <c r="AV908" i="10"/>
  <c r="EM908" i="10" s="1"/>
  <c r="DZ908" i="10"/>
  <c r="EB908" i="10"/>
  <c r="EG908" i="10"/>
  <c r="EL908" i="10"/>
  <c r="H909" i="10"/>
  <c r="BA909" i="10"/>
  <c r="BC909" i="10" s="1"/>
  <c r="AO909" i="10"/>
  <c r="AP909" i="10"/>
  <c r="AS909" i="10"/>
  <c r="AV909" i="10"/>
  <c r="EM909" i="10" s="1"/>
  <c r="DZ909" i="10"/>
  <c r="EB909" i="10"/>
  <c r="EG909" i="10"/>
  <c r="EL909" i="10"/>
  <c r="H910" i="10"/>
  <c r="BB910" i="10"/>
  <c r="BD910" i="10" s="1"/>
  <c r="AO910" i="10"/>
  <c r="BI910" i="10" s="1"/>
  <c r="BK910" i="10" s="1"/>
  <c r="AP910" i="10"/>
  <c r="BJ910" i="10" s="1"/>
  <c r="BL910" i="10" s="1"/>
  <c r="AS910" i="10"/>
  <c r="AU910" i="10"/>
  <c r="AY910" i="10" s="1"/>
  <c r="CD910" i="10" s="1"/>
  <c r="CH910" i="10" s="1"/>
  <c r="AV910" i="10"/>
  <c r="EM910" i="10" s="1"/>
  <c r="DZ910" i="10"/>
  <c r="EB910" i="10"/>
  <c r="EG910" i="10"/>
  <c r="EL910" i="10"/>
  <c r="H911" i="10"/>
  <c r="AO911" i="10"/>
  <c r="AP911" i="10"/>
  <c r="BN911" i="10" s="1"/>
  <c r="BW911" i="10" s="1"/>
  <c r="AS911" i="10"/>
  <c r="AV911" i="10"/>
  <c r="EM911" i="10" s="1"/>
  <c r="DZ911" i="10"/>
  <c r="EB911" i="10"/>
  <c r="EG911" i="10"/>
  <c r="EL911" i="10"/>
  <c r="H912" i="10"/>
  <c r="EC912" i="10"/>
  <c r="AO912" i="10"/>
  <c r="BI912" i="10" s="1"/>
  <c r="BK912" i="10" s="1"/>
  <c r="AP912" i="10"/>
  <c r="AS912" i="10"/>
  <c r="AU912" i="10"/>
  <c r="AV912" i="10"/>
  <c r="EM912" i="10" s="1"/>
  <c r="DZ912" i="10"/>
  <c r="EB912" i="10"/>
  <c r="EG912" i="10"/>
  <c r="EL912" i="10"/>
  <c r="H913" i="10"/>
  <c r="BA913" i="10"/>
  <c r="BC913" i="10" s="1"/>
  <c r="AO913" i="10"/>
  <c r="AP913" i="10"/>
  <c r="AS913" i="10"/>
  <c r="AV913" i="10"/>
  <c r="EM913" i="10" s="1"/>
  <c r="DZ913" i="10"/>
  <c r="EB913" i="10"/>
  <c r="EG913" i="10"/>
  <c r="EL913" i="10"/>
  <c r="H914" i="10"/>
  <c r="AO914" i="10"/>
  <c r="BI914" i="10" s="1"/>
  <c r="BK914" i="10" s="1"/>
  <c r="AP914" i="10"/>
  <c r="BN914" i="10" s="1"/>
  <c r="BW914" i="10" s="1"/>
  <c r="CA914" i="10" s="1"/>
  <c r="AS914" i="10"/>
  <c r="AU914" i="10"/>
  <c r="AY914" i="10" s="1"/>
  <c r="AV914" i="10"/>
  <c r="EM914" i="10" s="1"/>
  <c r="DZ914" i="10"/>
  <c r="EB914" i="10"/>
  <c r="EG914" i="10"/>
  <c r="EL914" i="10"/>
  <c r="H915" i="10"/>
  <c r="EC915" i="10"/>
  <c r="AO915" i="10"/>
  <c r="AP915" i="10"/>
  <c r="BJ915" i="10" s="1"/>
  <c r="BL915" i="10" s="1"/>
  <c r="AS915" i="10"/>
  <c r="AV915" i="10"/>
  <c r="EM915" i="10" s="1"/>
  <c r="DZ915" i="10"/>
  <c r="EB915" i="10"/>
  <c r="EG915" i="10"/>
  <c r="EL915" i="10"/>
  <c r="H916" i="10"/>
  <c r="AO916" i="10"/>
  <c r="BI916" i="10" s="1"/>
  <c r="BK916" i="10" s="1"/>
  <c r="AP916" i="10"/>
  <c r="BJ916" i="10" s="1"/>
  <c r="BL916" i="10" s="1"/>
  <c r="AS916" i="10"/>
  <c r="AU916" i="10"/>
  <c r="AY916" i="10" s="1"/>
  <c r="CL916" i="10" s="1"/>
  <c r="AV916" i="10"/>
  <c r="EM916" i="10" s="1"/>
  <c r="DZ916" i="10"/>
  <c r="EB916" i="10"/>
  <c r="EG916" i="10"/>
  <c r="EL916" i="10"/>
  <c r="H917" i="10"/>
  <c r="EC917" i="10"/>
  <c r="AO917" i="10"/>
  <c r="BM917" i="10" s="1"/>
  <c r="BV917" i="10" s="1"/>
  <c r="AP917" i="10"/>
  <c r="BN917" i="10" s="1"/>
  <c r="BW917" i="10" s="1"/>
  <c r="AS917" i="10"/>
  <c r="AV917" i="10"/>
  <c r="EM917" i="10" s="1"/>
  <c r="DZ917" i="10"/>
  <c r="EB917" i="10"/>
  <c r="EG917" i="10"/>
  <c r="EL917" i="10"/>
  <c r="H918" i="10"/>
  <c r="AO918" i="10"/>
  <c r="AP918" i="10"/>
  <c r="BN918" i="10" s="1"/>
  <c r="BW918" i="10" s="1"/>
  <c r="AS918" i="10"/>
  <c r="AV918" i="10"/>
  <c r="EM918" i="10" s="1"/>
  <c r="DZ918" i="10"/>
  <c r="EB918" i="10"/>
  <c r="EG918" i="10"/>
  <c r="EL918" i="10"/>
  <c r="H919" i="10"/>
  <c r="EC919" i="10"/>
  <c r="AO919" i="10"/>
  <c r="AP919" i="10"/>
  <c r="BJ919" i="10" s="1"/>
  <c r="BL919" i="10" s="1"/>
  <c r="AS919" i="10"/>
  <c r="AV919" i="10"/>
  <c r="EM919" i="10" s="1"/>
  <c r="DZ919" i="10"/>
  <c r="EB919" i="10"/>
  <c r="EG919" i="10"/>
  <c r="EL919" i="10"/>
  <c r="H920" i="10"/>
  <c r="EC920" i="10"/>
  <c r="AO920" i="10"/>
  <c r="AP920" i="10"/>
  <c r="BJ920" i="10" s="1"/>
  <c r="BL920" i="10" s="1"/>
  <c r="AS920" i="10"/>
  <c r="AV920" i="10"/>
  <c r="EM920" i="10" s="1"/>
  <c r="DZ920" i="10"/>
  <c r="EB920" i="10"/>
  <c r="EG920" i="10"/>
  <c r="EL920" i="10"/>
  <c r="H921" i="10"/>
  <c r="EC921" i="10"/>
  <c r="AO921" i="10"/>
  <c r="BM921" i="10" s="1"/>
  <c r="BV921" i="10" s="1"/>
  <c r="AP921" i="10"/>
  <c r="AS921" i="10"/>
  <c r="AU921" i="10"/>
  <c r="AY921" i="10" s="1"/>
  <c r="AV921" i="10"/>
  <c r="EM921" i="10" s="1"/>
  <c r="DZ921" i="10"/>
  <c r="EB921" i="10"/>
  <c r="EG921" i="10"/>
  <c r="EL921" i="10"/>
  <c r="H922" i="10"/>
  <c r="AO922" i="10"/>
  <c r="AP922" i="10"/>
  <c r="AS922" i="10"/>
  <c r="AV922" i="10"/>
  <c r="EM922" i="10" s="1"/>
  <c r="DZ922" i="10"/>
  <c r="EB922" i="10"/>
  <c r="EG922" i="10"/>
  <c r="EL922" i="10"/>
  <c r="H923" i="10"/>
  <c r="AO923" i="10"/>
  <c r="BM923" i="10" s="1"/>
  <c r="BV923" i="10" s="1"/>
  <c r="AP923" i="10"/>
  <c r="BJ923" i="10" s="1"/>
  <c r="BL923" i="10" s="1"/>
  <c r="AS923" i="10"/>
  <c r="AV923" i="10"/>
  <c r="EM923" i="10" s="1"/>
  <c r="DZ923" i="10"/>
  <c r="EB923" i="10"/>
  <c r="EG923" i="10"/>
  <c r="EL923" i="10"/>
  <c r="H924" i="10"/>
  <c r="BA924" i="10"/>
  <c r="BC924" i="10" s="1"/>
  <c r="AO924" i="10"/>
  <c r="AP924" i="10"/>
  <c r="BN924" i="10" s="1"/>
  <c r="BW924" i="10" s="1"/>
  <c r="AS924" i="10"/>
  <c r="AV924" i="10"/>
  <c r="EM924" i="10" s="1"/>
  <c r="DZ924" i="10"/>
  <c r="EB924" i="10"/>
  <c r="EG924" i="10"/>
  <c r="EL924" i="10"/>
  <c r="H925" i="10"/>
  <c r="AO925" i="10"/>
  <c r="AP925" i="10"/>
  <c r="BN925" i="10" s="1"/>
  <c r="BW925" i="10" s="1"/>
  <c r="AS925" i="10"/>
  <c r="AU925" i="10"/>
  <c r="AY925" i="10" s="1"/>
  <c r="AV925" i="10"/>
  <c r="EM925" i="10" s="1"/>
  <c r="DZ925" i="10"/>
  <c r="EB925" i="10"/>
  <c r="EG925" i="10"/>
  <c r="EL925" i="10"/>
  <c r="H926" i="10"/>
  <c r="AO926" i="10"/>
  <c r="AP926" i="10"/>
  <c r="AS926" i="10"/>
  <c r="AV926" i="10"/>
  <c r="EM926" i="10" s="1"/>
  <c r="DZ926" i="10"/>
  <c r="EB926" i="10"/>
  <c r="EG926" i="10"/>
  <c r="EL926" i="10"/>
  <c r="H927" i="10"/>
  <c r="AO927" i="10"/>
  <c r="BM927" i="10" s="1"/>
  <c r="BV927" i="10" s="1"/>
  <c r="AP927" i="10"/>
  <c r="BN927" i="10" s="1"/>
  <c r="BW927" i="10" s="1"/>
  <c r="AS927" i="10"/>
  <c r="AV927" i="10"/>
  <c r="EM927" i="10" s="1"/>
  <c r="DZ927" i="10"/>
  <c r="EB927" i="10"/>
  <c r="EG927" i="10"/>
  <c r="EL927" i="10"/>
  <c r="H928" i="10"/>
  <c r="AO928" i="10"/>
  <c r="AP928" i="10"/>
  <c r="BJ928" i="10" s="1"/>
  <c r="BL928" i="10" s="1"/>
  <c r="AS928" i="10"/>
  <c r="AV928" i="10"/>
  <c r="EM928" i="10" s="1"/>
  <c r="DZ928" i="10"/>
  <c r="EB928" i="10"/>
  <c r="EG928" i="10"/>
  <c r="EL928" i="10"/>
  <c r="H929" i="10"/>
  <c r="EC929" i="10"/>
  <c r="AO929" i="10"/>
  <c r="AP929" i="10"/>
  <c r="AS929" i="10"/>
  <c r="AV929" i="10"/>
  <c r="EM929" i="10" s="1"/>
  <c r="DZ929" i="10"/>
  <c r="EB929" i="10"/>
  <c r="EG929" i="10"/>
  <c r="EL929" i="10"/>
  <c r="H930" i="10"/>
  <c r="AO930" i="10"/>
  <c r="BM930" i="10" s="1"/>
  <c r="BV930" i="10" s="1"/>
  <c r="AP930" i="10"/>
  <c r="BN930" i="10" s="1"/>
  <c r="BW930" i="10" s="1"/>
  <c r="AS930" i="10"/>
  <c r="AV930" i="10"/>
  <c r="EM930" i="10" s="1"/>
  <c r="DZ930" i="10"/>
  <c r="EB930" i="10"/>
  <c r="EG930" i="10"/>
  <c r="EL930" i="10"/>
  <c r="H931" i="10"/>
  <c r="EC931" i="10"/>
  <c r="AO931" i="10"/>
  <c r="AP931" i="10"/>
  <c r="AS931" i="10"/>
  <c r="AU931" i="10"/>
  <c r="AY931" i="10" s="1"/>
  <c r="AV931" i="10"/>
  <c r="EM931" i="10" s="1"/>
  <c r="DZ931" i="10"/>
  <c r="EB931" i="10"/>
  <c r="EG931" i="10"/>
  <c r="EL931" i="10"/>
  <c r="H932" i="10"/>
  <c r="BA932" i="10"/>
  <c r="BC932" i="10" s="1"/>
  <c r="AO932" i="10"/>
  <c r="BI932" i="10" s="1"/>
  <c r="BK932" i="10" s="1"/>
  <c r="AP932" i="10"/>
  <c r="AS932" i="10"/>
  <c r="AV932" i="10"/>
  <c r="EM932" i="10" s="1"/>
  <c r="DZ932" i="10"/>
  <c r="EB932" i="10"/>
  <c r="EG932" i="10"/>
  <c r="EL932" i="10"/>
  <c r="H933" i="10"/>
  <c r="AO933" i="10"/>
  <c r="BM933" i="10" s="1"/>
  <c r="BV933" i="10" s="1"/>
  <c r="AP933" i="10"/>
  <c r="BJ933" i="10" s="1"/>
  <c r="BL933" i="10" s="1"/>
  <c r="AS933" i="10"/>
  <c r="AU933" i="10"/>
  <c r="AV933" i="10"/>
  <c r="EM933" i="10" s="1"/>
  <c r="DZ933" i="10"/>
  <c r="EB933" i="10"/>
  <c r="EG933" i="10"/>
  <c r="EL933" i="10"/>
  <c r="H934" i="10"/>
  <c r="AO934" i="10"/>
  <c r="AP934" i="10"/>
  <c r="AS934" i="10"/>
  <c r="AV934" i="10"/>
  <c r="EM934" i="10" s="1"/>
  <c r="DZ934" i="10"/>
  <c r="EB934" i="10"/>
  <c r="EG934" i="10"/>
  <c r="EL934" i="10"/>
  <c r="H935" i="10"/>
  <c r="AO935" i="10"/>
  <c r="AP935" i="10"/>
  <c r="BN935" i="10" s="1"/>
  <c r="BW935" i="10" s="1"/>
  <c r="AS935" i="10"/>
  <c r="AV935" i="10"/>
  <c r="EM935" i="10" s="1"/>
  <c r="DZ935" i="10"/>
  <c r="EB935" i="10"/>
  <c r="EG935" i="10"/>
  <c r="EL935" i="10"/>
  <c r="H936" i="10"/>
  <c r="BA936" i="10"/>
  <c r="BC936" i="10" s="1"/>
  <c r="AO936" i="10"/>
  <c r="AP936" i="10"/>
  <c r="AS936" i="10"/>
  <c r="AV936" i="10"/>
  <c r="EM936" i="10" s="1"/>
  <c r="DZ936" i="10"/>
  <c r="EB936" i="10"/>
  <c r="EG936" i="10"/>
  <c r="EL936" i="10"/>
  <c r="H937" i="10"/>
  <c r="EC937" i="10"/>
  <c r="AO937" i="10"/>
  <c r="AP937" i="10"/>
  <c r="AS937" i="10"/>
  <c r="AV937" i="10"/>
  <c r="EM937" i="10" s="1"/>
  <c r="DZ937" i="10"/>
  <c r="EB937" i="10"/>
  <c r="EG937" i="10"/>
  <c r="EL937" i="10"/>
  <c r="H938" i="10"/>
  <c r="AO938" i="10"/>
  <c r="AP938" i="10"/>
  <c r="BN938" i="10" s="1"/>
  <c r="BW938" i="10" s="1"/>
  <c r="AS938" i="10"/>
  <c r="AV938" i="10"/>
  <c r="EM938" i="10" s="1"/>
  <c r="DZ938" i="10"/>
  <c r="EB938" i="10"/>
  <c r="EG938" i="10"/>
  <c r="EL938" i="10"/>
  <c r="H939" i="10"/>
  <c r="EC939" i="10"/>
  <c r="AO939" i="10"/>
  <c r="AP939" i="10"/>
  <c r="AS939" i="10"/>
  <c r="AV939" i="10"/>
  <c r="EM939" i="10" s="1"/>
  <c r="DZ939" i="10"/>
  <c r="EB939" i="10"/>
  <c r="EG939" i="10"/>
  <c r="EL939" i="10"/>
  <c r="H940" i="10"/>
  <c r="BA940" i="10"/>
  <c r="BC940" i="10" s="1"/>
  <c r="AO940" i="10"/>
  <c r="AP940" i="10"/>
  <c r="AS940" i="10"/>
  <c r="AV940" i="10"/>
  <c r="EM940" i="10" s="1"/>
  <c r="DZ940" i="10"/>
  <c r="EB940" i="10"/>
  <c r="EG940" i="10"/>
  <c r="EL940" i="10"/>
  <c r="H941" i="10"/>
  <c r="AO941" i="10"/>
  <c r="AP941" i="10"/>
  <c r="AS941" i="10"/>
  <c r="AV941" i="10"/>
  <c r="EM941" i="10" s="1"/>
  <c r="DZ941" i="10"/>
  <c r="EB941" i="10"/>
  <c r="EG941" i="10"/>
  <c r="EL941" i="10"/>
  <c r="H942" i="10"/>
  <c r="AO942" i="10"/>
  <c r="BM942" i="10" s="1"/>
  <c r="BV942" i="10" s="1"/>
  <c r="AP942" i="10"/>
  <c r="BN942" i="10" s="1"/>
  <c r="BW942" i="10" s="1"/>
  <c r="AS942" i="10"/>
  <c r="AV942" i="10"/>
  <c r="EM942" i="10" s="1"/>
  <c r="DZ942" i="10"/>
  <c r="EB942" i="10"/>
  <c r="EG942" i="10"/>
  <c r="EL942" i="10"/>
  <c r="H943" i="10"/>
  <c r="EC943" i="10"/>
  <c r="AO943" i="10"/>
  <c r="AP943" i="10"/>
  <c r="BJ943" i="10" s="1"/>
  <c r="BL943" i="10" s="1"/>
  <c r="AS943" i="10"/>
  <c r="AU943" i="10"/>
  <c r="AY943" i="10" s="1"/>
  <c r="AV943" i="10"/>
  <c r="EM943" i="10" s="1"/>
  <c r="DZ943" i="10"/>
  <c r="EB943" i="10"/>
  <c r="EG943" i="10"/>
  <c r="EL943" i="10"/>
  <c r="H944" i="10"/>
  <c r="AO944" i="10"/>
  <c r="AP944" i="10"/>
  <c r="AS944" i="10"/>
  <c r="AV944" i="10"/>
  <c r="EM944" i="10" s="1"/>
  <c r="DZ944" i="10"/>
  <c r="EB944" i="10"/>
  <c r="EG944" i="10"/>
  <c r="EL944" i="10"/>
  <c r="H945" i="10"/>
  <c r="EC945" i="10"/>
  <c r="AO945" i="10"/>
  <c r="BI945" i="10" s="1"/>
  <c r="BK945" i="10" s="1"/>
  <c r="AP945" i="10"/>
  <c r="BJ945" i="10" s="1"/>
  <c r="BL945" i="10" s="1"/>
  <c r="AS945" i="10"/>
  <c r="AU945" i="10"/>
  <c r="AV945" i="10"/>
  <c r="EM945" i="10" s="1"/>
  <c r="DZ945" i="10"/>
  <c r="EB945" i="10"/>
  <c r="EG945" i="10"/>
  <c r="EL945" i="10"/>
  <c r="H946" i="10"/>
  <c r="BA946" i="10"/>
  <c r="BC946" i="10" s="1"/>
  <c r="AO946" i="10"/>
  <c r="BI946" i="10" s="1"/>
  <c r="BK946" i="10" s="1"/>
  <c r="AP946" i="10"/>
  <c r="AS946" i="10"/>
  <c r="AV946" i="10"/>
  <c r="EM946" i="10" s="1"/>
  <c r="DZ946" i="10"/>
  <c r="EB946" i="10"/>
  <c r="EG946" i="10"/>
  <c r="EL946" i="10"/>
  <c r="H947" i="10"/>
  <c r="AO947" i="10"/>
  <c r="AP947" i="10"/>
  <c r="BN947" i="10" s="1"/>
  <c r="BW947" i="10" s="1"/>
  <c r="AS947" i="10"/>
  <c r="AV947" i="10"/>
  <c r="EM947" i="10" s="1"/>
  <c r="DZ947" i="10"/>
  <c r="EB947" i="10"/>
  <c r="EG947" i="10"/>
  <c r="EL947" i="10"/>
  <c r="H948" i="10"/>
  <c r="EC948" i="10"/>
  <c r="AO948" i="10"/>
  <c r="BM948" i="10" s="1"/>
  <c r="BV948" i="10" s="1"/>
  <c r="AP948" i="10"/>
  <c r="AS948" i="10"/>
  <c r="AV948" i="10"/>
  <c r="EM948" i="10" s="1"/>
  <c r="DZ948" i="10"/>
  <c r="EB948" i="10"/>
  <c r="EG948" i="10"/>
  <c r="EL948" i="10"/>
  <c r="H949" i="10"/>
  <c r="AO949" i="10"/>
  <c r="BI949" i="10" s="1"/>
  <c r="BK949" i="10" s="1"/>
  <c r="AP949" i="10"/>
  <c r="BJ949" i="10" s="1"/>
  <c r="BL949" i="10" s="1"/>
  <c r="AS949" i="10"/>
  <c r="AV949" i="10"/>
  <c r="EM949" i="10" s="1"/>
  <c r="DZ949" i="10"/>
  <c r="EB949" i="10"/>
  <c r="EG949" i="10"/>
  <c r="EL949" i="10"/>
  <c r="H950" i="10"/>
  <c r="AO950" i="10"/>
  <c r="BI950" i="10" s="1"/>
  <c r="BK950" i="10" s="1"/>
  <c r="AP950" i="10"/>
  <c r="AS950" i="10"/>
  <c r="AU950" i="10"/>
  <c r="AY950" i="10" s="1"/>
  <c r="AV950" i="10"/>
  <c r="EM950" i="10" s="1"/>
  <c r="DZ950" i="10"/>
  <c r="EB950" i="10"/>
  <c r="EG950" i="10"/>
  <c r="EL950" i="10"/>
  <c r="H951" i="10"/>
  <c r="EC951" i="10"/>
  <c r="AO951" i="10"/>
  <c r="BM951" i="10" s="1"/>
  <c r="BV951" i="10" s="1"/>
  <c r="AP951" i="10"/>
  <c r="BN951" i="10" s="1"/>
  <c r="BW951" i="10" s="1"/>
  <c r="AS951" i="10"/>
  <c r="AU951" i="10"/>
  <c r="AV951" i="10"/>
  <c r="EM951" i="10" s="1"/>
  <c r="DZ951" i="10"/>
  <c r="EB951" i="10"/>
  <c r="EG951" i="10"/>
  <c r="EL951" i="10"/>
  <c r="H952" i="10"/>
  <c r="EC952" i="10"/>
  <c r="AO952" i="10"/>
  <c r="BI952" i="10" s="1"/>
  <c r="BK952" i="10" s="1"/>
  <c r="AP952" i="10"/>
  <c r="BN952" i="10" s="1"/>
  <c r="BW952" i="10" s="1"/>
  <c r="AS952" i="10"/>
  <c r="AU952" i="10"/>
  <c r="AY952" i="10" s="1"/>
  <c r="CL952" i="10" s="1"/>
  <c r="AV952" i="10"/>
  <c r="EM952" i="10" s="1"/>
  <c r="DZ952" i="10"/>
  <c r="EB952" i="10"/>
  <c r="EG952" i="10"/>
  <c r="EL952" i="10"/>
  <c r="H953" i="10"/>
  <c r="BA953" i="10"/>
  <c r="BC953" i="10" s="1"/>
  <c r="AO953" i="10"/>
  <c r="BI953" i="10" s="1"/>
  <c r="BK953" i="10" s="1"/>
  <c r="AP953" i="10"/>
  <c r="BN953" i="10" s="1"/>
  <c r="BW953" i="10" s="1"/>
  <c r="AS953" i="10"/>
  <c r="AV953" i="10"/>
  <c r="EM953" i="10" s="1"/>
  <c r="DZ953" i="10"/>
  <c r="EB953" i="10"/>
  <c r="EG953" i="10"/>
  <c r="EL953" i="10"/>
  <c r="H954" i="10"/>
  <c r="AO954" i="10"/>
  <c r="BM954" i="10" s="1"/>
  <c r="BV954" i="10" s="1"/>
  <c r="AP954" i="10"/>
  <c r="BN954" i="10" s="1"/>
  <c r="BW954" i="10" s="1"/>
  <c r="AS954" i="10"/>
  <c r="AV954" i="10"/>
  <c r="EM954" i="10" s="1"/>
  <c r="DZ954" i="10"/>
  <c r="EB954" i="10"/>
  <c r="EG954" i="10"/>
  <c r="EL954" i="10"/>
  <c r="H955" i="10"/>
  <c r="AO955" i="10"/>
  <c r="BI955" i="10" s="1"/>
  <c r="BK955" i="10" s="1"/>
  <c r="AP955" i="10"/>
  <c r="AS955" i="10"/>
  <c r="AV955" i="10"/>
  <c r="EM955" i="10" s="1"/>
  <c r="DZ955" i="10"/>
  <c r="EB955" i="10"/>
  <c r="EG955" i="10"/>
  <c r="EL955" i="10"/>
  <c r="H956" i="10"/>
  <c r="AO956" i="10"/>
  <c r="BI956" i="10" s="1"/>
  <c r="BK956" i="10" s="1"/>
  <c r="AP956" i="10"/>
  <c r="AS956" i="10"/>
  <c r="AU956" i="10"/>
  <c r="AY956" i="10" s="1"/>
  <c r="AV956" i="10"/>
  <c r="EM956" i="10" s="1"/>
  <c r="DZ956" i="10"/>
  <c r="EB956" i="10"/>
  <c r="EG956" i="10"/>
  <c r="EL956" i="10"/>
  <c r="H957" i="10"/>
  <c r="EC957" i="10"/>
  <c r="AO957" i="10"/>
  <c r="BI957" i="10" s="1"/>
  <c r="BK957" i="10" s="1"/>
  <c r="AP957" i="10"/>
  <c r="BN957" i="10" s="1"/>
  <c r="BW957" i="10" s="1"/>
  <c r="AS957" i="10"/>
  <c r="AU957" i="10"/>
  <c r="AY957" i="10" s="1"/>
  <c r="AV957" i="10"/>
  <c r="EM957" i="10" s="1"/>
  <c r="DZ957" i="10"/>
  <c r="EB957" i="10"/>
  <c r="EG957" i="10"/>
  <c r="EL957" i="10"/>
  <c r="H958" i="10"/>
  <c r="AO958" i="10"/>
  <c r="BI958" i="10" s="1"/>
  <c r="BK958" i="10" s="1"/>
  <c r="AP958" i="10"/>
  <c r="BJ958" i="10" s="1"/>
  <c r="BL958" i="10" s="1"/>
  <c r="AS958" i="10"/>
  <c r="AV958" i="10"/>
  <c r="EM958" i="10" s="1"/>
  <c r="DZ958" i="10"/>
  <c r="EB958" i="10"/>
  <c r="EG958" i="10"/>
  <c r="EL958" i="10"/>
  <c r="H959" i="10"/>
  <c r="AO959" i="10"/>
  <c r="BM959" i="10" s="1"/>
  <c r="BV959" i="10" s="1"/>
  <c r="AP959" i="10"/>
  <c r="BN959" i="10" s="1"/>
  <c r="BW959" i="10" s="1"/>
  <c r="AS959" i="10"/>
  <c r="AV959" i="10"/>
  <c r="EM959" i="10" s="1"/>
  <c r="DZ959" i="10"/>
  <c r="EB959" i="10"/>
  <c r="EG959" i="10"/>
  <c r="EL959" i="10"/>
  <c r="H960" i="10"/>
  <c r="AO960" i="10"/>
  <c r="BI960" i="10" s="1"/>
  <c r="BK960" i="10" s="1"/>
  <c r="AP960" i="10"/>
  <c r="AS960" i="10"/>
  <c r="AV960" i="10"/>
  <c r="EM960" i="10" s="1"/>
  <c r="DZ960" i="10"/>
  <c r="EB960" i="10"/>
  <c r="EG960" i="10"/>
  <c r="EL960" i="10"/>
  <c r="H961" i="10"/>
  <c r="AO961" i="10"/>
  <c r="AP961" i="10"/>
  <c r="BJ961" i="10" s="1"/>
  <c r="BL961" i="10" s="1"/>
  <c r="AS961" i="10"/>
  <c r="AV961" i="10"/>
  <c r="EM961" i="10" s="1"/>
  <c r="DZ961" i="10"/>
  <c r="EB961" i="10"/>
  <c r="EG961" i="10"/>
  <c r="EL961" i="10"/>
  <c r="H962" i="10"/>
  <c r="AO962" i="10"/>
  <c r="AP962" i="10"/>
  <c r="AS962" i="10"/>
  <c r="AV962" i="10"/>
  <c r="EM962" i="10" s="1"/>
  <c r="DZ962" i="10"/>
  <c r="EB962" i="10"/>
  <c r="EG962" i="10"/>
  <c r="EL962" i="10"/>
  <c r="H963" i="10"/>
  <c r="EC963" i="10"/>
  <c r="AO963" i="10"/>
  <c r="AP963" i="10"/>
  <c r="AS963" i="10"/>
  <c r="AU963" i="10"/>
  <c r="AY963" i="10" s="1"/>
  <c r="AV963" i="10"/>
  <c r="EM963" i="10" s="1"/>
  <c r="DZ963" i="10"/>
  <c r="EB963" i="10"/>
  <c r="EG963" i="10"/>
  <c r="EL963" i="10"/>
  <c r="H964" i="10"/>
  <c r="BA964" i="10"/>
  <c r="BC964" i="10" s="1"/>
  <c r="AO964" i="10"/>
  <c r="AP964" i="10"/>
  <c r="AS964" i="10"/>
  <c r="AU964" i="10"/>
  <c r="AY964" i="10" s="1"/>
  <c r="AV964" i="10"/>
  <c r="EM964" i="10" s="1"/>
  <c r="DZ964" i="10"/>
  <c r="EB964" i="10"/>
  <c r="EG964" i="10"/>
  <c r="EL964" i="10"/>
  <c r="H965" i="10"/>
  <c r="EC965" i="10"/>
  <c r="AO965" i="10"/>
  <c r="AP965" i="10"/>
  <c r="AS965" i="10"/>
  <c r="AV965" i="10"/>
  <c r="EM965" i="10" s="1"/>
  <c r="DZ965" i="10"/>
  <c r="EB965" i="10"/>
  <c r="EG965" i="10"/>
  <c r="EL965" i="10"/>
  <c r="H966" i="10"/>
  <c r="AO966" i="10"/>
  <c r="BM966" i="10" s="1"/>
  <c r="BV966" i="10" s="1"/>
  <c r="AP966" i="10"/>
  <c r="AS966" i="10"/>
  <c r="AU966" i="10"/>
  <c r="AY966" i="10" s="1"/>
  <c r="AV966" i="10"/>
  <c r="EM966" i="10" s="1"/>
  <c r="DZ966" i="10"/>
  <c r="EB966" i="10"/>
  <c r="EG966" i="10"/>
  <c r="EL966" i="10"/>
  <c r="H967" i="10"/>
  <c r="AO967" i="10"/>
  <c r="BM967" i="10" s="1"/>
  <c r="BV967" i="10" s="1"/>
  <c r="AP967" i="10"/>
  <c r="AS967" i="10"/>
  <c r="AU967" i="10"/>
  <c r="AY967" i="10" s="1"/>
  <c r="AV967" i="10"/>
  <c r="EM967" i="10" s="1"/>
  <c r="DZ967" i="10"/>
  <c r="EB967" i="10"/>
  <c r="EG967" i="10"/>
  <c r="EL967" i="10"/>
  <c r="H968" i="10"/>
  <c r="EC968" i="10"/>
  <c r="AO968" i="10"/>
  <c r="BM968" i="10" s="1"/>
  <c r="BV968" i="10" s="1"/>
  <c r="AP968" i="10"/>
  <c r="BN968" i="10" s="1"/>
  <c r="BW968" i="10" s="1"/>
  <c r="AS968" i="10"/>
  <c r="AV968" i="10"/>
  <c r="EM968" i="10" s="1"/>
  <c r="DZ968" i="10"/>
  <c r="EB968" i="10"/>
  <c r="EG968" i="10"/>
  <c r="EL968" i="10"/>
  <c r="H969" i="10"/>
  <c r="AO969" i="10"/>
  <c r="BI969" i="10" s="1"/>
  <c r="BK969" i="10" s="1"/>
  <c r="AP969" i="10"/>
  <c r="BN969" i="10" s="1"/>
  <c r="BW969" i="10" s="1"/>
  <c r="AS969" i="10"/>
  <c r="AV969" i="10"/>
  <c r="EM969" i="10" s="1"/>
  <c r="DZ969" i="10"/>
  <c r="EB969" i="10"/>
  <c r="EG969" i="10"/>
  <c r="EL969" i="10"/>
  <c r="H970" i="10"/>
  <c r="BA970" i="10"/>
  <c r="BC970" i="10" s="1"/>
  <c r="AO970" i="10"/>
  <c r="AP970" i="10"/>
  <c r="BN970" i="10" s="1"/>
  <c r="BW970" i="10" s="1"/>
  <c r="AS970" i="10"/>
  <c r="AV970" i="10"/>
  <c r="EM970" i="10" s="1"/>
  <c r="DZ970" i="10"/>
  <c r="EB970" i="10"/>
  <c r="EG970" i="10"/>
  <c r="EL970" i="10"/>
  <c r="H971" i="10"/>
  <c r="EC971" i="10"/>
  <c r="AO971" i="10"/>
  <c r="AP971" i="10"/>
  <c r="BJ971" i="10" s="1"/>
  <c r="BL971" i="10" s="1"/>
  <c r="AS971" i="10"/>
  <c r="AV971" i="10"/>
  <c r="EM971" i="10" s="1"/>
  <c r="DZ971" i="10"/>
  <c r="EB971" i="10"/>
  <c r="EG971" i="10"/>
  <c r="EL971" i="10"/>
  <c r="H972" i="10"/>
  <c r="EC972" i="10"/>
  <c r="AO972" i="10"/>
  <c r="BM972" i="10" s="1"/>
  <c r="BV972" i="10" s="1"/>
  <c r="AP972" i="10"/>
  <c r="BN972" i="10" s="1"/>
  <c r="BW972" i="10" s="1"/>
  <c r="AS972" i="10"/>
  <c r="AV972" i="10"/>
  <c r="EM972" i="10" s="1"/>
  <c r="DZ972" i="10"/>
  <c r="EB972" i="10"/>
  <c r="EG972" i="10"/>
  <c r="EL972" i="10"/>
  <c r="H973" i="10"/>
  <c r="AO973" i="10"/>
  <c r="AP973" i="10"/>
  <c r="AS973" i="10"/>
  <c r="AV973" i="10"/>
  <c r="EM973" i="10" s="1"/>
  <c r="DZ973" i="10"/>
  <c r="EB973" i="10"/>
  <c r="EG973" i="10"/>
  <c r="EL973" i="10"/>
  <c r="H974" i="10"/>
  <c r="AO974" i="10"/>
  <c r="BM974" i="10" s="1"/>
  <c r="BV974" i="10" s="1"/>
  <c r="AP974" i="10"/>
  <c r="BJ974" i="10" s="1"/>
  <c r="BL974" i="10" s="1"/>
  <c r="AS974" i="10"/>
  <c r="AV974" i="10"/>
  <c r="EM974" i="10" s="1"/>
  <c r="DZ974" i="10"/>
  <c r="EB974" i="10"/>
  <c r="EG974" i="10"/>
  <c r="EL974" i="10"/>
  <c r="H975" i="10"/>
  <c r="EC975" i="10"/>
  <c r="AO975" i="10"/>
  <c r="AP975" i="10"/>
  <c r="BJ975" i="10" s="1"/>
  <c r="BL975" i="10" s="1"/>
  <c r="AS975" i="10"/>
  <c r="AV975" i="10"/>
  <c r="EM975" i="10" s="1"/>
  <c r="DZ975" i="10"/>
  <c r="EB975" i="10"/>
  <c r="EG975" i="10"/>
  <c r="EL975" i="10"/>
  <c r="H976" i="10"/>
  <c r="EC976" i="10"/>
  <c r="AO976" i="10"/>
  <c r="BM976" i="10" s="1"/>
  <c r="BV976" i="10" s="1"/>
  <c r="AP976" i="10"/>
  <c r="AS976" i="10"/>
  <c r="AU976" i="10"/>
  <c r="AY976" i="10" s="1"/>
  <c r="CD976" i="10" s="1"/>
  <c r="CH976" i="10" s="1"/>
  <c r="AV976" i="10"/>
  <c r="EM976" i="10" s="1"/>
  <c r="DZ976" i="10"/>
  <c r="EB976" i="10"/>
  <c r="EG976" i="10"/>
  <c r="EL976" i="10"/>
  <c r="H977" i="10"/>
  <c r="AO977" i="10"/>
  <c r="BM977" i="10" s="1"/>
  <c r="BV977" i="10" s="1"/>
  <c r="AP977" i="10"/>
  <c r="AS977" i="10"/>
  <c r="AV977" i="10"/>
  <c r="EM977" i="10" s="1"/>
  <c r="DZ977" i="10"/>
  <c r="EB977" i="10"/>
  <c r="EG977" i="10"/>
  <c r="EL977" i="10"/>
  <c r="H978" i="10"/>
  <c r="AO978" i="10"/>
  <c r="AP978" i="10"/>
  <c r="BJ978" i="10" s="1"/>
  <c r="BL978" i="10" s="1"/>
  <c r="AS978" i="10"/>
  <c r="AV978" i="10"/>
  <c r="EM978" i="10" s="1"/>
  <c r="DZ978" i="10"/>
  <c r="EB978" i="10"/>
  <c r="EG978" i="10"/>
  <c r="EL978" i="10"/>
  <c r="H979" i="10"/>
  <c r="AO979" i="10"/>
  <c r="AP979" i="10"/>
  <c r="AS979" i="10"/>
  <c r="AV979" i="10"/>
  <c r="EM979" i="10" s="1"/>
  <c r="DZ979" i="10"/>
  <c r="EB979" i="10"/>
  <c r="EG979" i="10"/>
  <c r="EL979" i="10"/>
  <c r="H980" i="10"/>
  <c r="AO980" i="10"/>
  <c r="AP980" i="10"/>
  <c r="BN980" i="10" s="1"/>
  <c r="BW980" i="10" s="1"/>
  <c r="AS980" i="10"/>
  <c r="AV980" i="10"/>
  <c r="EM980" i="10" s="1"/>
  <c r="DZ980" i="10"/>
  <c r="EB980" i="10"/>
  <c r="EG980" i="10"/>
  <c r="EL980" i="10"/>
  <c r="H981" i="10"/>
  <c r="AO981" i="10"/>
  <c r="BI981" i="10" s="1"/>
  <c r="BK981" i="10" s="1"/>
  <c r="AP981" i="10"/>
  <c r="AS981" i="10"/>
  <c r="AV981" i="10"/>
  <c r="EM981" i="10" s="1"/>
  <c r="DZ981" i="10"/>
  <c r="EB981" i="10"/>
  <c r="EG981" i="10"/>
  <c r="EL981" i="10"/>
  <c r="H982" i="10"/>
  <c r="BA982" i="10"/>
  <c r="BC982" i="10" s="1"/>
  <c r="AO982" i="10"/>
  <c r="AP982" i="10"/>
  <c r="AS982" i="10"/>
  <c r="AU982" i="10"/>
  <c r="AY982" i="10" s="1"/>
  <c r="CD982" i="10" s="1"/>
  <c r="CH982" i="10" s="1"/>
  <c r="AV982" i="10"/>
  <c r="EM982" i="10" s="1"/>
  <c r="DZ982" i="10"/>
  <c r="EB982" i="10"/>
  <c r="EG982" i="10"/>
  <c r="EL982" i="10"/>
  <c r="H983" i="10"/>
  <c r="EC983" i="10"/>
  <c r="AO983" i="10"/>
  <c r="BM983" i="10" s="1"/>
  <c r="BV983" i="10" s="1"/>
  <c r="AP983" i="10"/>
  <c r="BJ983" i="10" s="1"/>
  <c r="BL983" i="10" s="1"/>
  <c r="AS983" i="10"/>
  <c r="AV983" i="10"/>
  <c r="EM983" i="10" s="1"/>
  <c r="DZ983" i="10"/>
  <c r="EB983" i="10"/>
  <c r="EG983" i="10"/>
  <c r="EL983" i="10"/>
  <c r="H984" i="10"/>
  <c r="EC984" i="10"/>
  <c r="AO984" i="10"/>
  <c r="BM984" i="10" s="1"/>
  <c r="BV984" i="10" s="1"/>
  <c r="AP984" i="10"/>
  <c r="BN984" i="10" s="1"/>
  <c r="BW984" i="10" s="1"/>
  <c r="AS984" i="10"/>
  <c r="AV984" i="10"/>
  <c r="EM984" i="10" s="1"/>
  <c r="DZ984" i="10"/>
  <c r="EB984" i="10"/>
  <c r="EG984" i="10"/>
  <c r="EL984" i="10"/>
  <c r="H985" i="10"/>
  <c r="AO985" i="10"/>
  <c r="BM985" i="10" s="1"/>
  <c r="BV985" i="10" s="1"/>
  <c r="AP985" i="10"/>
  <c r="AS985" i="10"/>
  <c r="AV985" i="10"/>
  <c r="EM985" i="10" s="1"/>
  <c r="DZ985" i="10"/>
  <c r="EB985" i="10"/>
  <c r="EG985" i="10"/>
  <c r="EL985" i="10"/>
  <c r="H986" i="10"/>
  <c r="AO986" i="10"/>
  <c r="AP986" i="10"/>
  <c r="BJ986" i="10" s="1"/>
  <c r="BL986" i="10" s="1"/>
  <c r="AS986" i="10"/>
  <c r="AU986" i="10"/>
  <c r="AY986" i="10" s="1"/>
  <c r="AV986" i="10"/>
  <c r="EM986" i="10" s="1"/>
  <c r="DZ986" i="10"/>
  <c r="EB986" i="10"/>
  <c r="EG986" i="10"/>
  <c r="EL986" i="10"/>
  <c r="H987" i="10"/>
  <c r="AO987" i="10"/>
  <c r="BM987" i="10" s="1"/>
  <c r="BV987" i="10" s="1"/>
  <c r="AP987" i="10"/>
  <c r="BJ987" i="10" s="1"/>
  <c r="BL987" i="10" s="1"/>
  <c r="AS987" i="10"/>
  <c r="AU987" i="10"/>
  <c r="AY987" i="10" s="1"/>
  <c r="CL987" i="10" s="1"/>
  <c r="AV987" i="10"/>
  <c r="EM987" i="10" s="1"/>
  <c r="DZ987" i="10"/>
  <c r="EB987" i="10"/>
  <c r="EG987" i="10"/>
  <c r="EL987" i="10"/>
  <c r="H988" i="10"/>
  <c r="EC988" i="10"/>
  <c r="AO988" i="10"/>
  <c r="BI988" i="10" s="1"/>
  <c r="BK988" i="10" s="1"/>
  <c r="AP988" i="10"/>
  <c r="BN988" i="10" s="1"/>
  <c r="BW988" i="10" s="1"/>
  <c r="AS988" i="10"/>
  <c r="AV988" i="10"/>
  <c r="EM988" i="10" s="1"/>
  <c r="DZ988" i="10"/>
  <c r="EB988" i="10"/>
  <c r="EG988" i="10"/>
  <c r="EL988" i="10"/>
  <c r="H989" i="10"/>
  <c r="BA989" i="10"/>
  <c r="BC989" i="10" s="1"/>
  <c r="AO989" i="10"/>
  <c r="BI989" i="10" s="1"/>
  <c r="BK989" i="10" s="1"/>
  <c r="AP989" i="10"/>
  <c r="BN989" i="10" s="1"/>
  <c r="BW989" i="10" s="1"/>
  <c r="AS989" i="10"/>
  <c r="AV989" i="10"/>
  <c r="EM989" i="10" s="1"/>
  <c r="DZ989" i="10"/>
  <c r="EB989" i="10"/>
  <c r="EG989" i="10"/>
  <c r="EL989" i="10"/>
  <c r="H990" i="10"/>
  <c r="AO990" i="10"/>
  <c r="AP990" i="10"/>
  <c r="AS990" i="10"/>
  <c r="AV990" i="10"/>
  <c r="EM990" i="10" s="1"/>
  <c r="DZ990" i="10"/>
  <c r="EB990" i="10"/>
  <c r="EG990" i="10"/>
  <c r="EL990" i="10"/>
  <c r="H991" i="10"/>
  <c r="AO991" i="10"/>
  <c r="BM991" i="10" s="1"/>
  <c r="BV991" i="10" s="1"/>
  <c r="AP991" i="10"/>
  <c r="AS991" i="10"/>
  <c r="AU991" i="10"/>
  <c r="AY991" i="10" s="1"/>
  <c r="AV991" i="10"/>
  <c r="EM991" i="10" s="1"/>
  <c r="DZ991" i="10"/>
  <c r="EB991" i="10"/>
  <c r="EG991" i="10"/>
  <c r="EL991" i="10"/>
  <c r="H992" i="10"/>
  <c r="EC992" i="10"/>
  <c r="AO992" i="10"/>
  <c r="BM992" i="10" s="1"/>
  <c r="BV992" i="10" s="1"/>
  <c r="AP992" i="10"/>
  <c r="AS992" i="10"/>
  <c r="AV992" i="10"/>
  <c r="EM992" i="10" s="1"/>
  <c r="DZ992" i="10"/>
  <c r="EB992" i="10"/>
  <c r="EG992" i="10"/>
  <c r="EL992" i="10"/>
  <c r="H993" i="10"/>
  <c r="BA993" i="10"/>
  <c r="BC993" i="10" s="1"/>
  <c r="AO993" i="10"/>
  <c r="BM993" i="10" s="1"/>
  <c r="BV993" i="10" s="1"/>
  <c r="AP993" i="10"/>
  <c r="BN993" i="10" s="1"/>
  <c r="BW993" i="10" s="1"/>
  <c r="AS993" i="10"/>
  <c r="AV993" i="10"/>
  <c r="EM993" i="10" s="1"/>
  <c r="DZ993" i="10"/>
  <c r="EB993" i="10"/>
  <c r="EG993" i="10"/>
  <c r="EL993" i="10"/>
  <c r="H994" i="10"/>
  <c r="BA994" i="10"/>
  <c r="BC994" i="10" s="1"/>
  <c r="AO994" i="10"/>
  <c r="BM994" i="10" s="1"/>
  <c r="BV994" i="10" s="1"/>
  <c r="AP994" i="10"/>
  <c r="BN994" i="10" s="1"/>
  <c r="BW994" i="10" s="1"/>
  <c r="AS994" i="10"/>
  <c r="AV994" i="10"/>
  <c r="EM994" i="10" s="1"/>
  <c r="DZ994" i="10"/>
  <c r="EB994" i="10"/>
  <c r="EG994" i="10"/>
  <c r="EL994" i="10"/>
  <c r="H995" i="10"/>
  <c r="EC995" i="10"/>
  <c r="AO995" i="10"/>
  <c r="BI995" i="10" s="1"/>
  <c r="BK995" i="10" s="1"/>
  <c r="AP995" i="10"/>
  <c r="AS995" i="10"/>
  <c r="AU995" i="10"/>
  <c r="AY995" i="10" s="1"/>
  <c r="CD995" i="10" s="1"/>
  <c r="CH995" i="10" s="1"/>
  <c r="AV995" i="10"/>
  <c r="EM995" i="10" s="1"/>
  <c r="DZ995" i="10"/>
  <c r="EB995" i="10"/>
  <c r="EG995" i="10"/>
  <c r="EL995" i="10"/>
  <c r="H996" i="10"/>
  <c r="EC996" i="10"/>
  <c r="AO996" i="10"/>
  <c r="BM996" i="10" s="1"/>
  <c r="BV996" i="10" s="1"/>
  <c r="AP996" i="10"/>
  <c r="AS996" i="10"/>
  <c r="AV996" i="10"/>
  <c r="EM996" i="10" s="1"/>
  <c r="DZ996" i="10"/>
  <c r="EB996" i="10"/>
  <c r="EG996" i="10"/>
  <c r="EL996" i="10"/>
  <c r="H997" i="10"/>
  <c r="AO997" i="10"/>
  <c r="AP997" i="10"/>
  <c r="BN997" i="10" s="1"/>
  <c r="BW997" i="10" s="1"/>
  <c r="AS997" i="10"/>
  <c r="AV997" i="10"/>
  <c r="EM997" i="10" s="1"/>
  <c r="DZ997" i="10"/>
  <c r="EB997" i="10"/>
  <c r="EG997" i="10"/>
  <c r="EL997" i="10"/>
  <c r="H998" i="10"/>
  <c r="BA998" i="10"/>
  <c r="BC998" i="10" s="1"/>
  <c r="AO998" i="10"/>
  <c r="AP998" i="10"/>
  <c r="AS998" i="10"/>
  <c r="AU998" i="10"/>
  <c r="AY998" i="10" s="1"/>
  <c r="AV998" i="10"/>
  <c r="EM998" i="10" s="1"/>
  <c r="DZ998" i="10"/>
  <c r="EB998" i="10"/>
  <c r="EG998" i="10"/>
  <c r="EL998" i="10"/>
  <c r="H999" i="10"/>
  <c r="AO999" i="10"/>
  <c r="BM999" i="10" s="1"/>
  <c r="BV999" i="10" s="1"/>
  <c r="AP999" i="10"/>
  <c r="AS999" i="10"/>
  <c r="AV999" i="10"/>
  <c r="EM999" i="10" s="1"/>
  <c r="DZ999" i="10"/>
  <c r="EB999" i="10"/>
  <c r="EG999" i="10"/>
  <c r="EL999" i="10"/>
  <c r="H1000" i="10"/>
  <c r="AO1000" i="10"/>
  <c r="AP1000" i="10"/>
  <c r="BJ1000" i="10" s="1"/>
  <c r="BL1000" i="10" s="1"/>
  <c r="AS1000" i="10"/>
  <c r="AV1000" i="10"/>
  <c r="EM1000" i="10" s="1"/>
  <c r="DZ1000" i="10"/>
  <c r="EB1000" i="10"/>
  <c r="EG1000" i="10"/>
  <c r="EL1000" i="10"/>
  <c r="H1001" i="10"/>
  <c r="AO1001" i="10"/>
  <c r="BI1001" i="10" s="1"/>
  <c r="BK1001" i="10" s="1"/>
  <c r="AP1001" i="10"/>
  <c r="BN1001" i="10" s="1"/>
  <c r="BW1001" i="10" s="1"/>
  <c r="AS1001" i="10"/>
  <c r="AV1001" i="10"/>
  <c r="EM1001" i="10" s="1"/>
  <c r="DZ1001" i="10"/>
  <c r="EB1001" i="10"/>
  <c r="EG1001" i="10"/>
  <c r="EL1001" i="10"/>
  <c r="H1002" i="10"/>
  <c r="BA1002" i="10"/>
  <c r="BC1002" i="10" s="1"/>
  <c r="AO1002" i="10"/>
  <c r="BI1002" i="10" s="1"/>
  <c r="BK1002" i="10" s="1"/>
  <c r="AP1002" i="10"/>
  <c r="AS1002" i="10"/>
  <c r="AV1002" i="10"/>
  <c r="EM1002" i="10" s="1"/>
  <c r="DZ1002" i="10"/>
  <c r="EB1002" i="10"/>
  <c r="EG1002" i="10"/>
  <c r="EL1002" i="10"/>
  <c r="H1003" i="10"/>
  <c r="BB1003" i="10"/>
  <c r="BD1003" i="10" s="1"/>
  <c r="AO1003" i="10"/>
  <c r="BM1003" i="10" s="1"/>
  <c r="BV1003" i="10" s="1"/>
  <c r="AP1003" i="10"/>
  <c r="AS1003" i="10"/>
  <c r="AU1003" i="10"/>
  <c r="AY1003" i="10" s="1"/>
  <c r="CL1003" i="10" s="1"/>
  <c r="AV1003" i="10"/>
  <c r="EM1003" i="10" s="1"/>
  <c r="DZ1003" i="10"/>
  <c r="EB1003" i="10"/>
  <c r="EG1003" i="10"/>
  <c r="EL1003" i="10"/>
  <c r="H1004" i="10"/>
  <c r="EC1004" i="10"/>
  <c r="AO1004" i="10"/>
  <c r="BI1004" i="10" s="1"/>
  <c r="BK1004" i="10" s="1"/>
  <c r="AP1004" i="10"/>
  <c r="AS1004" i="10"/>
  <c r="AV1004" i="10"/>
  <c r="EM1004" i="10" s="1"/>
  <c r="DZ1004" i="10"/>
  <c r="EB1004" i="10"/>
  <c r="EG1004" i="10"/>
  <c r="EL1004" i="10"/>
  <c r="H1005" i="10"/>
  <c r="BA1005" i="10"/>
  <c r="BC1005" i="10" s="1"/>
  <c r="AO1005" i="10"/>
  <c r="BM1005" i="10" s="1"/>
  <c r="BV1005" i="10" s="1"/>
  <c r="AP1005" i="10"/>
  <c r="BN1005" i="10" s="1"/>
  <c r="BW1005" i="10" s="1"/>
  <c r="AS1005" i="10"/>
  <c r="AV1005" i="10"/>
  <c r="EM1005" i="10" s="1"/>
  <c r="DZ1005" i="10"/>
  <c r="EB1005" i="10"/>
  <c r="EG1005" i="10"/>
  <c r="EL1005" i="10"/>
  <c r="H1006" i="10"/>
  <c r="AO1006" i="10"/>
  <c r="AP1006" i="10"/>
  <c r="AS1006" i="10"/>
  <c r="AV1006" i="10"/>
  <c r="EM1006" i="10" s="1"/>
  <c r="DZ1006" i="10"/>
  <c r="EB1006" i="10"/>
  <c r="EG1006" i="10"/>
  <c r="EL1006" i="10"/>
  <c r="H1007" i="10"/>
  <c r="EC1007" i="10"/>
  <c r="AO1007" i="10"/>
  <c r="AP1007" i="10"/>
  <c r="BJ1007" i="10" s="1"/>
  <c r="BL1007" i="10" s="1"/>
  <c r="AS1007" i="10"/>
  <c r="AV1007" i="10"/>
  <c r="EM1007" i="10" s="1"/>
  <c r="DZ1007" i="10"/>
  <c r="EB1007" i="10"/>
  <c r="EG1007" i="10"/>
  <c r="EL1007" i="10"/>
  <c r="H1008" i="10"/>
  <c r="EC1008" i="10"/>
  <c r="AO1008" i="10"/>
  <c r="BI1008" i="10" s="1"/>
  <c r="BK1008" i="10" s="1"/>
  <c r="AP1008" i="10"/>
  <c r="AS1008" i="10"/>
  <c r="AV1008" i="10"/>
  <c r="EM1008" i="10" s="1"/>
  <c r="DZ1008" i="10"/>
  <c r="EB1008" i="10"/>
  <c r="EG1008" i="10"/>
  <c r="EL1008" i="10"/>
  <c r="H1009" i="10"/>
  <c r="AO1009" i="10"/>
  <c r="BM1009" i="10" s="1"/>
  <c r="BV1009" i="10" s="1"/>
  <c r="AP1009" i="10"/>
  <c r="BN1009" i="10" s="1"/>
  <c r="BW1009" i="10" s="1"/>
  <c r="AS1009" i="10"/>
  <c r="AV1009" i="10"/>
  <c r="EM1009" i="10" s="1"/>
  <c r="DZ1009" i="10"/>
  <c r="EB1009" i="10"/>
  <c r="EG1009" i="10"/>
  <c r="EL1009" i="10"/>
  <c r="H1010" i="10"/>
  <c r="AO1010" i="10"/>
  <c r="AP1010" i="10"/>
  <c r="AS1010" i="10"/>
  <c r="AU1010" i="10"/>
  <c r="AY1010" i="10" s="1"/>
  <c r="AV1010" i="10"/>
  <c r="EM1010" i="10" s="1"/>
  <c r="DZ1010" i="10"/>
  <c r="EB1010" i="10"/>
  <c r="EG1010" i="10"/>
  <c r="EL1010" i="10"/>
  <c r="H1011" i="10"/>
  <c r="EC1011" i="10"/>
  <c r="AO1011" i="10"/>
  <c r="AP1011" i="10"/>
  <c r="BJ1011" i="10" s="1"/>
  <c r="BL1011" i="10" s="1"/>
  <c r="AS1011" i="10"/>
  <c r="AV1011" i="10"/>
  <c r="EM1011" i="10" s="1"/>
  <c r="DZ1011" i="10"/>
  <c r="EB1011" i="10"/>
  <c r="EG1011" i="10"/>
  <c r="EL1011" i="10"/>
  <c r="H1012" i="10"/>
  <c r="EC1012" i="10"/>
  <c r="AO1012" i="10"/>
  <c r="BM1012" i="10" s="1"/>
  <c r="BV1012" i="10" s="1"/>
  <c r="AP1012" i="10"/>
  <c r="AS1012" i="10"/>
  <c r="AV1012" i="10"/>
  <c r="EM1012" i="10" s="1"/>
  <c r="DZ1012" i="10"/>
  <c r="EB1012" i="10"/>
  <c r="EG1012" i="10"/>
  <c r="EL1012" i="10"/>
  <c r="H1013" i="10"/>
  <c r="AO1013" i="10"/>
  <c r="AP1013" i="10"/>
  <c r="BN1013" i="10" s="1"/>
  <c r="BW1013" i="10" s="1"/>
  <c r="AS1013" i="10"/>
  <c r="AV1013" i="10"/>
  <c r="EM1013" i="10" s="1"/>
  <c r="DZ1013" i="10"/>
  <c r="EB1013" i="10"/>
  <c r="EG1013" i="10"/>
  <c r="EL1013" i="10"/>
  <c r="H1014" i="10"/>
  <c r="BA1014" i="10"/>
  <c r="BC1014" i="10" s="1"/>
  <c r="AO1014" i="10"/>
  <c r="AP1014" i="10"/>
  <c r="BN1014" i="10" s="1"/>
  <c r="BW1014" i="10" s="1"/>
  <c r="AS1014" i="10"/>
  <c r="AU1014" i="10"/>
  <c r="AV1014" i="10"/>
  <c r="EM1014" i="10" s="1"/>
  <c r="DZ1014" i="10"/>
  <c r="EB1014" i="10"/>
  <c r="EG1014" i="10"/>
  <c r="EL1014" i="10"/>
  <c r="BN405" i="10"/>
  <c r="BW405" i="10" s="1"/>
  <c r="EC898" i="10"/>
  <c r="AU647" i="10"/>
  <c r="AY647" i="10" s="1"/>
  <c r="EC790" i="10"/>
  <c r="EC754" i="10"/>
  <c r="EC822" i="10"/>
  <c r="EC679" i="10"/>
  <c r="EC950" i="10"/>
  <c r="BA411" i="10"/>
  <c r="BC411" i="10" s="1"/>
  <c r="BI902" i="10"/>
  <c r="BK902" i="10" s="1"/>
  <c r="BI923" i="10"/>
  <c r="BK923" i="10" s="1"/>
  <c r="AU940" i="10"/>
  <c r="EC699" i="10"/>
  <c r="EC583" i="10"/>
  <c r="BA834" i="10"/>
  <c r="BC834" i="10" s="1"/>
  <c r="BN722" i="10"/>
  <c r="BW722" i="10" s="1"/>
  <c r="BA850" i="10"/>
  <c r="BC850" i="10" s="1"/>
  <c r="BA730" i="10"/>
  <c r="BC730" i="10" s="1"/>
  <c r="BJ288" i="10"/>
  <c r="BL288" i="10" s="1"/>
  <c r="BA292" i="10"/>
  <c r="BC292" i="10" s="1"/>
  <c r="EC567" i="10"/>
  <c r="EC683" i="10"/>
  <c r="EC936" i="10"/>
  <c r="EC725" i="10"/>
  <c r="BM381" i="10"/>
  <c r="BV381" i="10" s="1"/>
  <c r="EC279" i="10"/>
  <c r="EC411" i="10"/>
  <c r="BA699" i="10"/>
  <c r="BC699" i="10" s="1"/>
  <c r="EC993" i="10"/>
  <c r="AU1008" i="10"/>
  <c r="BB560" i="10"/>
  <c r="BD560" i="10" s="1"/>
  <c r="EC354" i="10"/>
  <c r="AU879" i="10"/>
  <c r="AY879" i="10" s="1"/>
  <c r="CD879" i="10" s="1"/>
  <c r="CH879" i="10" s="1"/>
  <c r="EC604" i="10"/>
  <c r="BA399" i="10"/>
  <c r="BC399" i="10" s="1"/>
  <c r="BJ328" i="10"/>
  <c r="BL328" i="10" s="1"/>
  <c r="BB301" i="10"/>
  <c r="BD301" i="10" s="1"/>
  <c r="EC849" i="10"/>
  <c r="EC809" i="10"/>
  <c r="BB595" i="10"/>
  <c r="BD595" i="10" s="1"/>
  <c r="BA572" i="10"/>
  <c r="BC572" i="10" s="1"/>
  <c r="BM509" i="10"/>
  <c r="BV509" i="10" s="1"/>
  <c r="BA403" i="10"/>
  <c r="BC403" i="10" s="1"/>
  <c r="BA613" i="10"/>
  <c r="BC613" i="10" s="1"/>
  <c r="BN663" i="10"/>
  <c r="BW663" i="10" s="1"/>
  <c r="AU582" i="10"/>
  <c r="AY582" i="10" s="1"/>
  <c r="BA950" i="10"/>
  <c r="BC950" i="10" s="1"/>
  <c r="EC889" i="10"/>
  <c r="AU448" i="10"/>
  <c r="AY448" i="10" s="1"/>
  <c r="CL448" i="10" s="1"/>
  <c r="BA978" i="10"/>
  <c r="BC978" i="10" s="1"/>
  <c r="AU927" i="10"/>
  <c r="EC882" i="10"/>
  <c r="BA859" i="10"/>
  <c r="BC859" i="10" s="1"/>
  <c r="EC762" i="10"/>
  <c r="EC632" i="10"/>
  <c r="BA608" i="10"/>
  <c r="BC608" i="10" s="1"/>
  <c r="EC579" i="10"/>
  <c r="BN490" i="10"/>
  <c r="BW490" i="10" s="1"/>
  <c r="EC457" i="10"/>
  <c r="EC781" i="10"/>
  <c r="AU859" i="10"/>
  <c r="AY859" i="10" s="1"/>
  <c r="BA786" i="10"/>
  <c r="BC786" i="10" s="1"/>
  <c r="EC753" i="10"/>
  <c r="BA649" i="10"/>
  <c r="BC649" i="10" s="1"/>
  <c r="AU988" i="10"/>
  <c r="AY988" i="10" s="1"/>
  <c r="CD988" i="10" s="1"/>
  <c r="CH988" i="10" s="1"/>
  <c r="EC885" i="10"/>
  <c r="EC648" i="10"/>
  <c r="BA520" i="10"/>
  <c r="BC520" i="10" s="1"/>
  <c r="BA435" i="10"/>
  <c r="BC435" i="10" s="1"/>
  <c r="BN536" i="10"/>
  <c r="BW536" i="10" s="1"/>
  <c r="BN293" i="10"/>
  <c r="BW293" i="10" s="1"/>
  <c r="AU979" i="10"/>
  <c r="AY979" i="10" s="1"/>
  <c r="EC978" i="10"/>
  <c r="BN793" i="10"/>
  <c r="BW793" i="10" s="1"/>
  <c r="BM661" i="10"/>
  <c r="BV661" i="10" s="1"/>
  <c r="BN286" i="10"/>
  <c r="BW286" i="10" s="1"/>
  <c r="BA983" i="10"/>
  <c r="BC983" i="10" s="1"/>
  <c r="BJ891" i="10"/>
  <c r="BL891" i="10" s="1"/>
  <c r="EC829" i="10"/>
  <c r="EC612" i="10"/>
  <c r="AU627" i="10"/>
  <c r="AY627" i="10" s="1"/>
  <c r="CD627" i="10" s="1"/>
  <c r="CH627" i="10" s="1"/>
  <c r="EC608" i="10"/>
  <c r="BN273" i="10"/>
  <c r="BW273" i="10" s="1"/>
  <c r="AU999" i="10"/>
  <c r="AY999" i="10" s="1"/>
  <c r="BM756" i="10"/>
  <c r="BV756" i="10" s="1"/>
  <c r="AU710" i="10"/>
  <c r="AY710" i="10" s="1"/>
  <c r="BI605" i="10"/>
  <c r="BK605" i="10" s="1"/>
  <c r="BA546" i="10"/>
  <c r="BC546" i="10" s="1"/>
  <c r="BI429" i="10"/>
  <c r="BK429" i="10" s="1"/>
  <c r="BI256" i="10"/>
  <c r="BK256" i="10" s="1"/>
  <c r="AU924" i="10"/>
  <c r="AY924" i="10" s="1"/>
  <c r="BA887" i="10"/>
  <c r="BC887" i="10" s="1"/>
  <c r="BA871" i="10"/>
  <c r="BC871" i="10" s="1"/>
  <c r="AU764" i="10"/>
  <c r="AY764" i="10" s="1"/>
  <c r="BJ752" i="10"/>
  <c r="BL752" i="10" s="1"/>
  <c r="BJ477" i="10"/>
  <c r="BL477" i="10" s="1"/>
  <c r="AU1012" i="10"/>
  <c r="AY1012" i="10" s="1"/>
  <c r="EC528" i="10"/>
  <c r="AU947" i="10"/>
  <c r="BA920" i="10"/>
  <c r="BC920" i="10" s="1"/>
  <c r="AU720" i="10"/>
  <c r="BA664" i="10"/>
  <c r="BC664" i="10" s="1"/>
  <c r="EC973" i="10"/>
  <c r="AU937" i="10"/>
  <c r="AY937" i="10" s="1"/>
  <c r="CD937" i="10" s="1"/>
  <c r="CH937" i="10" s="1"/>
  <c r="AU932" i="10"/>
  <c r="AY932" i="10" s="1"/>
  <c r="AU923" i="10"/>
  <c r="EC664" i="10"/>
  <c r="BN255" i="10"/>
  <c r="BW255" i="10" s="1"/>
  <c r="BJ255" i="10"/>
  <c r="BL255" i="10" s="1"/>
  <c r="EC229" i="10"/>
  <c r="BA229" i="10"/>
  <c r="BC229" i="10" s="1"/>
  <c r="BI903" i="10"/>
  <c r="BK903" i="10" s="1"/>
  <c r="EC861" i="10"/>
  <c r="BA966" i="10"/>
  <c r="BC966" i="10" s="1"/>
  <c r="EC954" i="10"/>
  <c r="BB619" i="10"/>
  <c r="BD619" i="10" s="1"/>
  <c r="BJ968" i="10"/>
  <c r="BL968" i="10" s="1"/>
  <c r="BI899" i="10"/>
  <c r="BK899" i="10" s="1"/>
  <c r="EC355" i="10"/>
  <c r="BN336" i="10"/>
  <c r="BW336" i="10" s="1"/>
  <c r="BJ336" i="10"/>
  <c r="BL336" i="10" s="1"/>
  <c r="BA986" i="10"/>
  <c r="BC986" i="10" s="1"/>
  <c r="BA890" i="10"/>
  <c r="BC890" i="10" s="1"/>
  <c r="AU855" i="10"/>
  <c r="AU752" i="10"/>
  <c r="BJ567" i="10"/>
  <c r="BL567" i="10" s="1"/>
  <c r="BA560" i="10"/>
  <c r="BC560" i="10" s="1"/>
  <c r="BI346" i="10"/>
  <c r="BK346" i="10" s="1"/>
  <c r="BM346" i="10"/>
  <c r="BV346" i="10" s="1"/>
  <c r="BA918" i="10"/>
  <c r="BC918" i="10" s="1"/>
  <c r="BA902" i="10"/>
  <c r="BC902" i="10" s="1"/>
  <c r="EC793" i="10"/>
  <c r="BJ394" i="10"/>
  <c r="BL394" i="10" s="1"/>
  <c r="BJ385" i="10"/>
  <c r="BL385" i="10" s="1"/>
  <c r="BN385" i="10"/>
  <c r="BW385" i="10" s="1"/>
  <c r="BA995" i="10"/>
  <c r="BC995" i="10" s="1"/>
  <c r="AU992" i="10"/>
  <c r="AU732" i="10"/>
  <c r="AU429" i="10"/>
  <c r="AY429" i="10" s="1"/>
  <c r="EC934" i="10"/>
  <c r="AU569" i="10"/>
  <c r="AU686" i="10"/>
  <c r="AY686" i="10" s="1"/>
  <c r="BA564" i="10"/>
  <c r="BC564" i="10" s="1"/>
  <c r="BI356" i="10"/>
  <c r="BK356" i="10" s="1"/>
  <c r="BN341" i="10"/>
  <c r="BW341" i="10" s="1"/>
  <c r="BJ294" i="10"/>
  <c r="BL294" i="10" s="1"/>
  <c r="EC850" i="10"/>
  <c r="BA846" i="10"/>
  <c r="BC846" i="10" s="1"/>
  <c r="BA838" i="10"/>
  <c r="BC838" i="10" s="1"/>
  <c r="AU800" i="10"/>
  <c r="AY800" i="10" s="1"/>
  <c r="BN771" i="10"/>
  <c r="BW771" i="10" s="1"/>
  <c r="BI389" i="10"/>
  <c r="BK389" i="10" s="1"/>
  <c r="AY692" i="10"/>
  <c r="AU639" i="10"/>
  <c r="AY639" i="10" s="1"/>
  <c r="CL639" i="10" s="1"/>
  <c r="BI309" i="10"/>
  <c r="BK309" i="10" s="1"/>
  <c r="BI242" i="10"/>
  <c r="BK242" i="10" s="1"/>
  <c r="BA223" i="10"/>
  <c r="BC223" i="10" s="1"/>
  <c r="BA790" i="10"/>
  <c r="BC790" i="10" s="1"/>
  <c r="BI249" i="10"/>
  <c r="BK249" i="10" s="1"/>
  <c r="EC786" i="10"/>
  <c r="AU748" i="10"/>
  <c r="AY748" i="10" s="1"/>
  <c r="BM619" i="10"/>
  <c r="BV619" i="10" s="1"/>
  <c r="BN563" i="10"/>
  <c r="BW563" i="10" s="1"/>
  <c r="AU503" i="10"/>
  <c r="AY503" i="10" s="1"/>
  <c r="BN460" i="10"/>
  <c r="BW460" i="10" s="1"/>
  <c r="BI424" i="10"/>
  <c r="BK424" i="10" s="1"/>
  <c r="BM370" i="10"/>
  <c r="BV370" i="10" s="1"/>
  <c r="EC304" i="10"/>
  <c r="BB265" i="10"/>
  <c r="BD265" i="10" s="1"/>
  <c r="BJ262" i="10"/>
  <c r="BL262" i="10" s="1"/>
  <c r="AU784" i="10"/>
  <c r="AY784" i="10" s="1"/>
  <c r="EC423" i="10"/>
  <c r="AU401" i="10"/>
  <c r="AY401" i="10" s="1"/>
  <c r="AU694" i="10"/>
  <c r="AU641" i="10"/>
  <c r="BN296" i="10"/>
  <c r="BW296" i="10" s="1"/>
  <c r="BA232" i="10"/>
  <c r="BC232" i="10" s="1"/>
  <c r="EC833" i="10"/>
  <c r="BA534" i="10"/>
  <c r="BC534" i="10" s="1"/>
  <c r="AU520" i="10"/>
  <c r="AY520" i="10" s="1"/>
  <c r="AU444" i="10"/>
  <c r="AY444" i="10" s="1"/>
  <c r="BJ743" i="10"/>
  <c r="BL743" i="10" s="1"/>
  <c r="BA637" i="10"/>
  <c r="BC637" i="10" s="1"/>
  <c r="EC636" i="10"/>
  <c r="BA502" i="10"/>
  <c r="BC502" i="10" s="1"/>
  <c r="BM459" i="10"/>
  <c r="BV459" i="10" s="1"/>
  <c r="BI237" i="10"/>
  <c r="BK237" i="10" s="1"/>
  <c r="BA680" i="10"/>
  <c r="BC680" i="10" s="1"/>
  <c r="BI545" i="10"/>
  <c r="BK545" i="10" s="1"/>
  <c r="BN479" i="10"/>
  <c r="BW479" i="10" s="1"/>
  <c r="BN360" i="10"/>
  <c r="BW360" i="10" s="1"/>
  <c r="BN599" i="10"/>
  <c r="BW599" i="10" s="1"/>
  <c r="BN446" i="10"/>
  <c r="BW446" i="10" s="1"/>
  <c r="EC421" i="10"/>
  <c r="EC291" i="10"/>
  <c r="BM273" i="10"/>
  <c r="BV273" i="10" s="1"/>
  <c r="AU835" i="10"/>
  <c r="AY835" i="10" s="1"/>
  <c r="EC798" i="10"/>
  <c r="BA798" i="10"/>
  <c r="BC798" i="10" s="1"/>
  <c r="BM559" i="10"/>
  <c r="BV559" i="10" s="1"/>
  <c r="EC927" i="10"/>
  <c r="BA927" i="10"/>
  <c r="BC927" i="10" s="1"/>
  <c r="BA897" i="10"/>
  <c r="BC897" i="10" s="1"/>
  <c r="EC897" i="10"/>
  <c r="EC743" i="10"/>
  <c r="EC883" i="10"/>
  <c r="BA883" i="10"/>
  <c r="BC883" i="10" s="1"/>
  <c r="EC810" i="10"/>
  <c r="BA810" i="10"/>
  <c r="BC810" i="10" s="1"/>
  <c r="AU771" i="10"/>
  <c r="AY771" i="10" s="1"/>
  <c r="AU978" i="10"/>
  <c r="EC938" i="10"/>
  <c r="BA938" i="10"/>
  <c r="BC938" i="10" s="1"/>
  <c r="BI879" i="10"/>
  <c r="BK879" i="10" s="1"/>
  <c r="AU824" i="10"/>
  <c r="AY824" i="10" s="1"/>
  <c r="CL824" i="10" s="1"/>
  <c r="BJ785" i="10"/>
  <c r="BL785" i="10" s="1"/>
  <c r="EC994" i="10"/>
  <c r="BM950" i="10"/>
  <c r="BV950" i="10" s="1"/>
  <c r="EC867" i="10"/>
  <c r="BA867" i="10"/>
  <c r="BC867" i="10" s="1"/>
  <c r="EC958" i="10"/>
  <c r="AU495" i="10"/>
  <c r="AY495" i="10" s="1"/>
  <c r="EC471" i="10"/>
  <c r="BA1011" i="10"/>
  <c r="BC1011" i="10" s="1"/>
  <c r="EC999" i="10"/>
  <c r="BA999" i="10"/>
  <c r="BC999" i="10" s="1"/>
  <c r="BA914" i="10"/>
  <c r="BC914" i="10"/>
  <c r="AU811" i="10"/>
  <c r="AU758" i="10"/>
  <c r="AY758" i="10" s="1"/>
  <c r="CD758" i="10" s="1"/>
  <c r="CH758" i="10" s="1"/>
  <c r="AU972" i="10"/>
  <c r="AY972" i="10" s="1"/>
  <c r="AU968" i="10"/>
  <c r="AY968" i="10" s="1"/>
  <c r="BA947" i="10"/>
  <c r="BC947" i="10" s="1"/>
  <c r="AU898" i="10"/>
  <c r="AY898" i="10" s="1"/>
  <c r="AU1007" i="10"/>
  <c r="AY1007" i="10" s="1"/>
  <c r="CL1007" i="10" s="1"/>
  <c r="BA971" i="10"/>
  <c r="BC971" i="10" s="1"/>
  <c r="EC923" i="10"/>
  <c r="AU623" i="10"/>
  <c r="AY623" i="10" s="1"/>
  <c r="BM916" i="10"/>
  <c r="BV916" i="10" s="1"/>
  <c r="BA901" i="10"/>
  <c r="BC901" i="10" s="1"/>
  <c r="EC901" i="10"/>
  <c r="EC858" i="10"/>
  <c r="BA858" i="10"/>
  <c r="BC858" i="10" s="1"/>
  <c r="AU960" i="10"/>
  <c r="AY960" i="10" s="1"/>
  <c r="AU1002" i="10"/>
  <c r="AU907" i="10"/>
  <c r="AY907" i="10" s="1"/>
  <c r="AU941" i="10"/>
  <c r="AY941" i="10" s="1"/>
  <c r="AU894" i="10"/>
  <c r="AY894" i="10" s="1"/>
  <c r="AU807" i="10"/>
  <c r="AY807" i="10" s="1"/>
  <c r="BA802" i="10"/>
  <c r="BC802" i="10" s="1"/>
  <c r="AU929" i="10"/>
  <c r="AY929" i="10" s="1"/>
  <c r="AU902" i="10"/>
  <c r="AY902" i="10" s="1"/>
  <c r="BA1010" i="10"/>
  <c r="BC1010" i="10" s="1"/>
  <c r="AU974" i="10"/>
  <c r="AU954" i="10"/>
  <c r="AU911" i="10"/>
  <c r="BA906" i="10"/>
  <c r="BC906" i="10" s="1"/>
  <c r="BA926" i="10"/>
  <c r="BC926" i="10" s="1"/>
  <c r="BA919" i="10"/>
  <c r="BC919" i="10" s="1"/>
  <c r="EC886" i="10"/>
  <c r="BA882" i="10"/>
  <c r="BC882" i="10" s="1"/>
  <c r="BA874" i="10"/>
  <c r="BC874" i="10" s="1"/>
  <c r="BA862" i="10"/>
  <c r="BC862" i="10" s="1"/>
  <c r="BN858" i="10"/>
  <c r="BW858" i="10" s="1"/>
  <c r="AU760" i="10"/>
  <c r="AY760" i="10" s="1"/>
  <c r="CL760" i="10" s="1"/>
  <c r="EC746" i="10"/>
  <c r="BA960" i="10"/>
  <c r="BC960" i="10" s="1"/>
  <c r="BA954" i="10"/>
  <c r="BC954" i="10" s="1"/>
  <c r="BJ951" i="10"/>
  <c r="BL951" i="10" s="1"/>
  <c r="BA870" i="10"/>
  <c r="BC870" i="10" s="1"/>
  <c r="EC782" i="10"/>
  <c r="AU747" i="10"/>
  <c r="AY747" i="10" s="1"/>
  <c r="AU508" i="10"/>
  <c r="AY508" i="10" s="1"/>
  <c r="EC506" i="10"/>
  <c r="BA506" i="10"/>
  <c r="BC506" i="10" s="1"/>
  <c r="BI951" i="10"/>
  <c r="BK951" i="10" s="1"/>
  <c r="AU919" i="10"/>
  <c r="AY919" i="10" s="1"/>
  <c r="BN897" i="10"/>
  <c r="BW897" i="10" s="1"/>
  <c r="BN677" i="10"/>
  <c r="BW677" i="10" s="1"/>
  <c r="BA580" i="10"/>
  <c r="BC580" i="10" s="1"/>
  <c r="AU272" i="10"/>
  <c r="AY272" i="10" s="1"/>
  <c r="EC928" i="10"/>
  <c r="EC926" i="10"/>
  <c r="AU775" i="10"/>
  <c r="AY775" i="10" s="1"/>
  <c r="AU759" i="10"/>
  <c r="AY759" i="10" s="1"/>
  <c r="BI557" i="10"/>
  <c r="BK557" i="10" s="1"/>
  <c r="BJ324" i="10"/>
  <c r="BL324" i="10" s="1"/>
  <c r="AU297" i="10"/>
  <c r="BM282" i="10"/>
  <c r="BV282" i="10" s="1"/>
  <c r="BI282" i="10"/>
  <c r="BK282" i="10" s="1"/>
  <c r="BN702" i="10"/>
  <c r="BW702" i="10" s="1"/>
  <c r="AU955" i="10"/>
  <c r="AY955" i="10" s="1"/>
  <c r="BA757" i="10"/>
  <c r="BC757" i="10" s="1"/>
  <c r="EC757" i="10"/>
  <c r="EC750" i="10"/>
  <c r="AU743" i="10"/>
  <c r="BN882" i="10"/>
  <c r="BW882" i="10" s="1"/>
  <c r="CA882" i="10" s="1"/>
  <c r="BJ617" i="10"/>
  <c r="BL617" i="10" s="1"/>
  <c r="BA518" i="10"/>
  <c r="BC518" i="10" s="1"/>
  <c r="BN370" i="10"/>
  <c r="BW370" i="10" s="1"/>
  <c r="BA934" i="10"/>
  <c r="BC934" i="10" s="1"/>
  <c r="BN880" i="10"/>
  <c r="BW880" i="10" s="1"/>
  <c r="BA826" i="10"/>
  <c r="BC826" i="10" s="1"/>
  <c r="EC825" i="10"/>
  <c r="BN797" i="10"/>
  <c r="BW797" i="10" s="1"/>
  <c r="BJ786" i="10"/>
  <c r="BL786" i="10" s="1"/>
  <c r="BM778" i="10"/>
  <c r="BV778" i="10" s="1"/>
  <c r="AU751" i="10"/>
  <c r="BN698" i="10"/>
  <c r="BW698" i="10" s="1"/>
  <c r="AU593" i="10"/>
  <c r="AY593" i="10" s="1"/>
  <c r="BA544" i="10"/>
  <c r="BC544" i="10" s="1"/>
  <c r="BB410" i="10"/>
  <c r="BD410" i="10" s="1"/>
  <c r="BA928" i="10"/>
  <c r="BC928" i="10" s="1"/>
  <c r="BA749" i="10"/>
  <c r="BC749" i="10" s="1"/>
  <c r="EC749" i="10"/>
  <c r="BB667" i="10"/>
  <c r="BD667" i="10" s="1"/>
  <c r="AU668" i="10"/>
  <c r="BA584" i="10"/>
  <c r="BC584" i="10" s="1"/>
  <c r="BM563" i="10"/>
  <c r="BV563" i="10" s="1"/>
  <c r="BJ561" i="10"/>
  <c r="BL561" i="10" s="1"/>
  <c r="BI521" i="10"/>
  <c r="BK521" i="10" s="1"/>
  <c r="AU452" i="10"/>
  <c r="AY452" i="10" s="1"/>
  <c r="EC367" i="10"/>
  <c r="BM266" i="10"/>
  <c r="BV266" i="10" s="1"/>
  <c r="BI266" i="10"/>
  <c r="BK266" i="10" s="1"/>
  <c r="AU666" i="10"/>
  <c r="AY666" i="10" s="1"/>
  <c r="BJ661" i="10"/>
  <c r="BL661" i="10" s="1"/>
  <c r="AQ661" i="10" s="1"/>
  <c r="AU594" i="10"/>
  <c r="AY594" i="10" s="1"/>
  <c r="BM553" i="10"/>
  <c r="BV553" i="10" s="1"/>
  <c r="BM540" i="10"/>
  <c r="BV540" i="10" s="1"/>
  <c r="EC520" i="10"/>
  <c r="AU519" i="10"/>
  <c r="AY519" i="10" s="1"/>
  <c r="CD519" i="10" s="1"/>
  <c r="CH519" i="10" s="1"/>
  <c r="AU516" i="10"/>
  <c r="AY516" i="10" s="1"/>
  <c r="CD516" i="10" s="1"/>
  <c r="CH516" i="10" s="1"/>
  <c r="BI495" i="10"/>
  <c r="BK495" i="10" s="1"/>
  <c r="AQ495" i="10" s="1"/>
  <c r="BN250" i="10"/>
  <c r="BW250" i="10" s="1"/>
  <c r="BJ250" i="10"/>
  <c r="BL250" i="10" s="1"/>
  <c r="EC654" i="10"/>
  <c r="EC591" i="10"/>
  <c r="EC560" i="10"/>
  <c r="EC552" i="10"/>
  <c r="BJ375" i="10"/>
  <c r="BL375" i="10" s="1"/>
  <c r="BJ408" i="10"/>
  <c r="BL408" i="10" s="1"/>
  <c r="BN408" i="10"/>
  <c r="BW408" i="10" s="1"/>
  <c r="BA504" i="10"/>
  <c r="BC504" i="10" s="1"/>
  <c r="EC504" i="10"/>
  <c r="BA498" i="10"/>
  <c r="BC498" i="10" s="1"/>
  <c r="AU368" i="10"/>
  <c r="BM625" i="10"/>
  <c r="BV625" i="10" s="1"/>
  <c r="AU615" i="10"/>
  <c r="AY615" i="10" s="1"/>
  <c r="AU356" i="10"/>
  <c r="AY356" i="10" s="1"/>
  <c r="CL356" i="10" s="1"/>
  <c r="BJ252" i="10"/>
  <c r="BL252" i="10" s="1"/>
  <c r="BN252" i="10"/>
  <c r="BW252" i="10" s="1"/>
  <c r="EC701" i="10"/>
  <c r="AU659" i="10"/>
  <c r="AY659" i="10" s="1"/>
  <c r="CD659" i="10" s="1"/>
  <c r="CH659" i="10" s="1"/>
  <c r="EC599" i="10"/>
  <c r="BJ377" i="10"/>
  <c r="BL377" i="10" s="1"/>
  <c r="BN377" i="10"/>
  <c r="BW377" i="10" s="1"/>
  <c r="AU334" i="10"/>
  <c r="AY334" i="10" s="1"/>
  <c r="CL334" i="10" s="1"/>
  <c r="BJ259" i="10"/>
  <c r="BL259" i="10" s="1"/>
  <c r="BN259" i="10"/>
  <c r="BW259" i="10" s="1"/>
  <c r="BM670" i="10"/>
  <c r="BV670" i="10" s="1"/>
  <c r="EC603" i="10"/>
  <c r="EC494" i="10"/>
  <c r="BA494" i="10"/>
  <c r="BC494" i="10" s="1"/>
  <c r="BN434" i="10"/>
  <c r="BW434" i="10" s="1"/>
  <c r="BJ434" i="10"/>
  <c r="BL434" i="10" s="1"/>
  <c r="BJ668" i="10"/>
  <c r="BL668" i="10" s="1"/>
  <c r="BA526" i="10"/>
  <c r="BC526" i="10" s="1"/>
  <c r="EC526" i="10"/>
  <c r="BI261" i="10"/>
  <c r="BK261" i="10" s="1"/>
  <c r="AU234" i="10"/>
  <c r="AY234" i="10" s="1"/>
  <c r="BJ697" i="10"/>
  <c r="BL697" i="10" s="1"/>
  <c r="EC687" i="10"/>
  <c r="EC685" i="10"/>
  <c r="BM634" i="10"/>
  <c r="BV634" i="10" s="1"/>
  <c r="BJ584" i="10"/>
  <c r="BL584" i="10" s="1"/>
  <c r="BM464" i="10"/>
  <c r="BV464" i="10" s="1"/>
  <c r="EC402" i="10"/>
  <c r="BM373" i="10"/>
  <c r="BV373" i="10" s="1"/>
  <c r="BA289" i="10"/>
  <c r="BC289" i="10" s="1"/>
  <c r="EC289" i="10"/>
  <c r="BM235" i="10"/>
  <c r="BV235" i="10" s="1"/>
  <c r="AU472" i="10"/>
  <c r="AY472" i="10" s="1"/>
  <c r="BJ305" i="10"/>
  <c r="BL305" i="10" s="1"/>
  <c r="EC403" i="10"/>
  <c r="BJ342" i="10"/>
  <c r="BL342" i="10" s="1"/>
  <c r="EC288" i="10"/>
  <c r="EC399" i="10"/>
  <c r="EC240" i="10"/>
  <c r="EC223" i="10"/>
  <c r="BI368" i="10"/>
  <c r="BK368" i="10" s="1"/>
  <c r="BM226" i="10"/>
  <c r="BV226" i="10" s="1"/>
  <c r="BI486" i="10"/>
  <c r="BK486" i="10" s="1"/>
  <c r="EC451" i="10"/>
  <c r="EC374" i="10"/>
  <c r="BJ309" i="10"/>
  <c r="BL309" i="10" s="1"/>
  <c r="AQ309" i="10" s="1"/>
  <c r="BI407" i="10"/>
  <c r="BK407" i="10" s="1"/>
  <c r="BM485" i="10"/>
  <c r="BV485" i="10" s="1"/>
  <c r="BN382" i="10"/>
  <c r="BW382" i="10" s="1"/>
  <c r="BN361" i="10"/>
  <c r="BW361" i="10" s="1"/>
  <c r="BN323" i="10"/>
  <c r="BW323" i="10" s="1"/>
  <c r="BA313" i="10"/>
  <c r="BC313" i="10" s="1"/>
  <c r="BJ298" i="10"/>
  <c r="BL298" i="10" s="1"/>
  <c r="EC232" i="10"/>
  <c r="AU515" i="10"/>
  <c r="BM439" i="10"/>
  <c r="BV439" i="10" s="1"/>
  <c r="BN310" i="10"/>
  <c r="BW310" i="10" s="1"/>
  <c r="BA1006" i="10"/>
  <c r="BC1006" i="10" s="1"/>
  <c r="AU994" i="10"/>
  <c r="AY994" i="10" s="1"/>
  <c r="BM989" i="10"/>
  <c r="BV989" i="10" s="1"/>
  <c r="AU975" i="10"/>
  <c r="EC1010" i="10"/>
  <c r="AU996" i="10"/>
  <c r="AY996" i="10" s="1"/>
  <c r="CL996" i="10" s="1"/>
  <c r="BJ997" i="10"/>
  <c r="BL997" i="10" s="1"/>
  <c r="AU970" i="10"/>
  <c r="EC959" i="10"/>
  <c r="AU980" i="10"/>
  <c r="AY980" i="10" s="1"/>
  <c r="CL980" i="10" s="1"/>
  <c r="EC1005" i="10"/>
  <c r="AU1004" i="10"/>
  <c r="AU984" i="10"/>
  <c r="AY984" i="10" s="1"/>
  <c r="BA1007" i="10"/>
  <c r="BC1007" i="10" s="1"/>
  <c r="AU1000" i="10"/>
  <c r="AY1000" i="10" s="1"/>
  <c r="CL1000" i="10" s="1"/>
  <c r="AU867" i="10"/>
  <c r="BJ784" i="10"/>
  <c r="BL784" i="10" s="1"/>
  <c r="BN784" i="10"/>
  <c r="BW784" i="10" s="1"/>
  <c r="EC962" i="10"/>
  <c r="EC906" i="10"/>
  <c r="BM900" i="10"/>
  <c r="BV900" i="10" s="1"/>
  <c r="AU862" i="10"/>
  <c r="EC989" i="10"/>
  <c r="BM988" i="10"/>
  <c r="BV988" i="10" s="1"/>
  <c r="AU961" i="10"/>
  <c r="BA958" i="10"/>
  <c r="BC958" i="10" s="1"/>
  <c r="EC953" i="10"/>
  <c r="BA942" i="10"/>
  <c r="BC942" i="10" s="1"/>
  <c r="EC866" i="10"/>
  <c r="AU834" i="10"/>
  <c r="AY834" i="10" s="1"/>
  <c r="BA789" i="10"/>
  <c r="BC789" i="10" s="1"/>
  <c r="EC789" i="10"/>
  <c r="EC878" i="10"/>
  <c r="BI867" i="10"/>
  <c r="BK867" i="10" s="1"/>
  <c r="BM766" i="10"/>
  <c r="BV766" i="10" s="1"/>
  <c r="AU645" i="10"/>
  <c r="AY645" i="10" s="1"/>
  <c r="EC946" i="10"/>
  <c r="AU778" i="10"/>
  <c r="AU739" i="10"/>
  <c r="AY739" i="10" s="1"/>
  <c r="EC964" i="10"/>
  <c r="EC922" i="10"/>
  <c r="AU871" i="10"/>
  <c r="AY871" i="10" s="1"/>
  <c r="BM840" i="10"/>
  <c r="BV840" i="10" s="1"/>
  <c r="BM802" i="10"/>
  <c r="BV802" i="10" s="1"/>
  <c r="EC905" i="10"/>
  <c r="BN887" i="10"/>
  <c r="BW887" i="10" s="1"/>
  <c r="BJ876" i="10"/>
  <c r="BL876" i="10" s="1"/>
  <c r="EC875" i="10"/>
  <c r="BA875" i="10"/>
  <c r="BC875" i="10" s="1"/>
  <c r="EC865" i="10"/>
  <c r="BM852" i="10"/>
  <c r="BV852" i="10" s="1"/>
  <c r="BM808" i="10"/>
  <c r="BV808" i="10" s="1"/>
  <c r="BA915" i="10"/>
  <c r="BC915" i="10" s="1"/>
  <c r="BA891" i="10"/>
  <c r="BC891" i="10" s="1"/>
  <c r="EC873" i="10"/>
  <c r="AU826" i="10"/>
  <c r="AY826" i="10" s="1"/>
  <c r="AU823" i="10"/>
  <c r="AY823" i="10" s="1"/>
  <c r="AU750" i="10"/>
  <c r="AU734" i="10"/>
  <c r="AY734" i="10" s="1"/>
  <c r="CL734" i="10" s="1"/>
  <c r="AY696" i="10"/>
  <c r="BN693" i="10"/>
  <c r="BW693" i="10" s="1"/>
  <c r="BN671" i="10"/>
  <c r="BW671" i="10" s="1"/>
  <c r="BJ671" i="10"/>
  <c r="BL671" i="10" s="1"/>
  <c r="BN619" i="10"/>
  <c r="BW619" i="10" s="1"/>
  <c r="BJ843" i="10"/>
  <c r="BL843" i="10" s="1"/>
  <c r="EC841" i="10"/>
  <c r="BJ780" i="10"/>
  <c r="BL780" i="10" s="1"/>
  <c r="BB754" i="10"/>
  <c r="BD754" i="10" s="1"/>
  <c r="AU678" i="10"/>
  <c r="AY678" i="10" s="1"/>
  <c r="EC667" i="10"/>
  <c r="EC811" i="10"/>
  <c r="BA811" i="10"/>
  <c r="BC811" i="10" s="1"/>
  <c r="EC807" i="10"/>
  <c r="BA807" i="10"/>
  <c r="BC807" i="10" s="1"/>
  <c r="BJ783" i="10"/>
  <c r="BL783" i="10" s="1"/>
  <c r="BA777" i="10"/>
  <c r="BC777" i="10" s="1"/>
  <c r="EC777" i="10"/>
  <c r="BI749" i="10"/>
  <c r="BK749" i="10" s="1"/>
  <c r="EC787" i="10"/>
  <c r="BA787" i="10"/>
  <c r="BC787" i="10" s="1"/>
  <c r="BA771" i="10"/>
  <c r="BC771" i="10" s="1"/>
  <c r="AU754" i="10"/>
  <c r="AY754" i="10" s="1"/>
  <c r="AU728" i="10"/>
  <c r="AY728" i="10" s="1"/>
  <c r="BJ711" i="10"/>
  <c r="BL711" i="10" s="1"/>
  <c r="EC660" i="10"/>
  <c r="AU838" i="10"/>
  <c r="AU830" i="10"/>
  <c r="AY830" i="10" s="1"/>
  <c r="AU822" i="10"/>
  <c r="AU814" i="10"/>
  <c r="AY814" i="10" s="1"/>
  <c r="AU746" i="10"/>
  <c r="AY746" i="10" s="1"/>
  <c r="AU700" i="10"/>
  <c r="AY700" i="10" s="1"/>
  <c r="EC614" i="10"/>
  <c r="BA857" i="10"/>
  <c r="BC857" i="10" s="1"/>
  <c r="EC857" i="10"/>
  <c r="BN809" i="10"/>
  <c r="BW809" i="10" s="1"/>
  <c r="BJ809" i="10"/>
  <c r="BL809" i="10" s="1"/>
  <c r="AU790" i="10"/>
  <c r="BJ763" i="10"/>
  <c r="BL763" i="10" s="1"/>
  <c r="BA762" i="10"/>
  <c r="BC762" i="10" s="1"/>
  <c r="AU742" i="10"/>
  <c r="AY742" i="10" s="1"/>
  <c r="EC730" i="10"/>
  <c r="BN622" i="10"/>
  <c r="BW622" i="10" s="1"/>
  <c r="AU856" i="10"/>
  <c r="AY856" i="10" s="1"/>
  <c r="CL856" i="10" s="1"/>
  <c r="AU836" i="10"/>
  <c r="AY836" i="10" s="1"/>
  <c r="AU820" i="10"/>
  <c r="AY820" i="10" s="1"/>
  <c r="AU818" i="10"/>
  <c r="AU802" i="10"/>
  <c r="AY802" i="10" s="1"/>
  <c r="AU799" i="10"/>
  <c r="AY799" i="10" s="1"/>
  <c r="CL799" i="10" s="1"/>
  <c r="EC773" i="10"/>
  <c r="AU772" i="10"/>
  <c r="AY772" i="10" s="1"/>
  <c r="AU766" i="10"/>
  <c r="AY766" i="10" s="1"/>
  <c r="BJ755" i="10"/>
  <c r="BL755" i="10" s="1"/>
  <c r="BN755" i="10"/>
  <c r="BW755" i="10" s="1"/>
  <c r="EC739" i="10"/>
  <c r="BA739" i="10"/>
  <c r="BC739" i="10" s="1"/>
  <c r="BI733" i="10"/>
  <c r="BK733" i="10" s="1"/>
  <c r="BM733" i="10"/>
  <c r="BV733" i="10" s="1"/>
  <c r="AU698" i="10"/>
  <c r="AY698" i="10" s="1"/>
  <c r="BN696" i="10"/>
  <c r="BW696" i="10" s="1"/>
  <c r="BJ696" i="10"/>
  <c r="BL696" i="10" s="1"/>
  <c r="EC761" i="10"/>
  <c r="BJ644" i="10"/>
  <c r="BL644" i="10" s="1"/>
  <c r="AY569" i="10"/>
  <c r="AY672" i="10"/>
  <c r="AU706" i="10"/>
  <c r="AY706" i="10" s="1"/>
  <c r="BA556" i="10"/>
  <c r="BC556" i="10" s="1"/>
  <c r="EC556" i="10"/>
  <c r="AU564" i="10"/>
  <c r="AY564" i="10" s="1"/>
  <c r="CL564" i="10" s="1"/>
  <c r="BA434" i="10"/>
  <c r="BC434" i="10" s="1"/>
  <c r="EC434" i="10"/>
  <c r="BN633" i="10"/>
  <c r="BW633" i="10" s="1"/>
  <c r="BJ633" i="10"/>
  <c r="BL633" i="10" s="1"/>
  <c r="EC629" i="10"/>
  <c r="BJ618" i="10"/>
  <c r="BL618" i="10" s="1"/>
  <c r="AU611" i="10"/>
  <c r="AY611" i="10" s="1"/>
  <c r="EC592" i="10"/>
  <c r="EC588" i="10"/>
  <c r="BI568" i="10"/>
  <c r="BK568" i="10" s="1"/>
  <c r="BA633" i="10"/>
  <c r="BC633" i="10" s="1"/>
  <c r="AU606" i="10"/>
  <c r="AY606" i="10" s="1"/>
  <c r="BA595" i="10"/>
  <c r="BC595" i="10" s="1"/>
  <c r="EC595" i="10"/>
  <c r="BA592" i="10"/>
  <c r="BC592" i="10" s="1"/>
  <c r="BA588" i="10"/>
  <c r="BC588" i="10" s="1"/>
  <c r="AU540" i="10"/>
  <c r="AY540" i="10" s="1"/>
  <c r="CL540" i="10" s="1"/>
  <c r="EC474" i="10"/>
  <c r="BM709" i="10"/>
  <c r="BV709" i="10" s="1"/>
  <c r="BN701" i="10"/>
  <c r="BW701" i="10" s="1"/>
  <c r="BN660" i="10"/>
  <c r="BW660" i="10" s="1"/>
  <c r="EC620" i="10"/>
  <c r="EC600" i="10"/>
  <c r="BJ558" i="10"/>
  <c r="BL558" i="10" s="1"/>
  <c r="BI649" i="10"/>
  <c r="BK649" i="10" s="1"/>
  <c r="AU629" i="10"/>
  <c r="BJ610" i="10"/>
  <c r="BL610" i="10" s="1"/>
  <c r="BN572" i="10"/>
  <c r="BW572" i="10" s="1"/>
  <c r="BJ572" i="10"/>
  <c r="BL572" i="10" s="1"/>
  <c r="BN691" i="10"/>
  <c r="BW691" i="10" s="1"/>
  <c r="BM655" i="10"/>
  <c r="BV655" i="10" s="1"/>
  <c r="AU597" i="10"/>
  <c r="AY597" i="10" s="1"/>
  <c r="BJ577" i="10"/>
  <c r="BL577" i="10" s="1"/>
  <c r="BM606" i="10"/>
  <c r="BV606" i="10" s="1"/>
  <c r="EC571" i="10"/>
  <c r="BJ530" i="10"/>
  <c r="BL530" i="10" s="1"/>
  <c r="BN530" i="10"/>
  <c r="BW530" i="10" s="1"/>
  <c r="BN528" i="10"/>
  <c r="BW528" i="10" s="1"/>
  <c r="AU527" i="10"/>
  <c r="AY527" i="10" s="1"/>
  <c r="BN462" i="10"/>
  <c r="BW462" i="10" s="1"/>
  <c r="BJ462" i="10"/>
  <c r="BL462" i="10" s="1"/>
  <c r="BA589" i="10"/>
  <c r="BC589" i="10" s="1"/>
  <c r="AU561" i="10"/>
  <c r="AU543" i="10"/>
  <c r="AY543" i="10" s="1"/>
  <c r="BA532" i="10"/>
  <c r="BC532" i="10" s="1"/>
  <c r="BA522" i="10"/>
  <c r="BC522" i="10" s="1"/>
  <c r="BA536" i="10"/>
  <c r="BC536" i="10" s="1"/>
  <c r="EC564" i="10"/>
  <c r="EC531" i="10"/>
  <c r="AU504" i="10"/>
  <c r="BM622" i="10"/>
  <c r="BV622" i="10" s="1"/>
  <c r="EC580" i="10"/>
  <c r="BN493" i="10"/>
  <c r="BW493" i="10" s="1"/>
  <c r="EC518" i="10"/>
  <c r="EC502" i="10"/>
  <c r="EC498" i="10"/>
  <c r="EC495" i="10"/>
  <c r="AU492" i="10"/>
  <c r="AY492" i="10" s="1"/>
  <c r="AU407" i="10"/>
  <c r="AU491" i="10"/>
  <c r="EC482" i="10"/>
  <c r="BJ471" i="10"/>
  <c r="BL471" i="10" s="1"/>
  <c r="BA516" i="10"/>
  <c r="BC516" i="10" s="1"/>
  <c r="EC480" i="10"/>
  <c r="AU484" i="10"/>
  <c r="EC470" i="10"/>
  <c r="AU468" i="10"/>
  <c r="AY468" i="10" s="1"/>
  <c r="AU480" i="10"/>
  <c r="AY480" i="10" s="1"/>
  <c r="BJ466" i="10"/>
  <c r="BL466" i="10" s="1"/>
  <c r="BN466" i="10"/>
  <c r="BW466" i="10" s="1"/>
  <c r="EC465" i="10"/>
  <c r="BJ459" i="10"/>
  <c r="BL459" i="10" s="1"/>
  <c r="AQ459" i="10" s="1"/>
  <c r="EC447" i="10"/>
  <c r="BN441" i="10"/>
  <c r="BW441" i="10" s="1"/>
  <c r="BJ428" i="10"/>
  <c r="BL428" i="10" s="1"/>
  <c r="BN428" i="10"/>
  <c r="BW428" i="10" s="1"/>
  <c r="BA471" i="10"/>
  <c r="BC471" i="10" s="1"/>
  <c r="BI441" i="10"/>
  <c r="BK441" i="10" s="1"/>
  <c r="BM441" i="10"/>
  <c r="BV441" i="10" s="1"/>
  <c r="EC463" i="10"/>
  <c r="AU456" i="10"/>
  <c r="AY456" i="10" s="1"/>
  <c r="BN440" i="10"/>
  <c r="BW440" i="10" s="1"/>
  <c r="EC431" i="10"/>
  <c r="BM404" i="10"/>
  <c r="BV404" i="10" s="1"/>
  <c r="BN345" i="10"/>
  <c r="BW345" i="10" s="1"/>
  <c r="BJ345" i="10"/>
  <c r="BL345" i="10" s="1"/>
  <c r="BJ437" i="10"/>
  <c r="BL437" i="10" s="1"/>
  <c r="BN437" i="10"/>
  <c r="BW437" i="10" s="1"/>
  <c r="BM453" i="10"/>
  <c r="BV453" i="10" s="1"/>
  <c r="BI451" i="10"/>
  <c r="BK451" i="10" s="1"/>
  <c r="BM417" i="10"/>
  <c r="BV417" i="10" s="1"/>
  <c r="BI417" i="10"/>
  <c r="BK417" i="10" s="1"/>
  <c r="AU318" i="10"/>
  <c r="BJ392" i="10"/>
  <c r="BL392" i="10" s="1"/>
  <c r="BI314" i="10"/>
  <c r="BK314" i="10" s="1"/>
  <c r="BM314" i="10"/>
  <c r="BV314" i="10" s="1"/>
  <c r="BJ411" i="10"/>
  <c r="BL411" i="10" s="1"/>
  <c r="BN411" i="10"/>
  <c r="BW411" i="10" s="1"/>
  <c r="AU395" i="10"/>
  <c r="BN386" i="10"/>
  <c r="BW386" i="10" s="1"/>
  <c r="BJ386" i="10"/>
  <c r="BL386" i="10" s="1"/>
  <c r="BN395" i="10"/>
  <c r="BW395" i="10" s="1"/>
  <c r="EC337" i="10"/>
  <c r="BA337" i="10"/>
  <c r="BC337" i="10" s="1"/>
  <c r="BJ299" i="10"/>
  <c r="BL299" i="10" s="1"/>
  <c r="BN299" i="10"/>
  <c r="BW299" i="10" s="1"/>
  <c r="EC364" i="10"/>
  <c r="BA364" i="10"/>
  <c r="BC364" i="10" s="1"/>
  <c r="BI382" i="10"/>
  <c r="BK382" i="10" s="1"/>
  <c r="EC344" i="10"/>
  <c r="BA344" i="10"/>
  <c r="BC344" i="10" s="1"/>
  <c r="BJ340" i="10"/>
  <c r="BL340" i="10" s="1"/>
  <c r="BA320" i="10"/>
  <c r="BC320" i="10" s="1"/>
  <c r="EC320" i="10"/>
  <c r="BJ368" i="10"/>
  <c r="BL368" i="10" s="1"/>
  <c r="AU364" i="10"/>
  <c r="AY364" i="10" s="1"/>
  <c r="EC333" i="10"/>
  <c r="BA350" i="10"/>
  <c r="BC350" i="10" s="1"/>
  <c r="EC350" i="10"/>
  <c r="BA376" i="10"/>
  <c r="BC376" i="10" s="1"/>
  <c r="BN365" i="10"/>
  <c r="BW365" i="10" s="1"/>
  <c r="BJ322" i="10"/>
  <c r="BL322" i="10" s="1"/>
  <c r="BN322" i="10"/>
  <c r="BW322" i="10" s="1"/>
  <c r="EC383" i="10"/>
  <c r="BN317" i="10"/>
  <c r="BW317" i="10" s="1"/>
  <c r="BJ317" i="10"/>
  <c r="BL317" i="10" s="1"/>
  <c r="BA339" i="10"/>
  <c r="BC339" i="10" s="1"/>
  <c r="EC342" i="10"/>
  <c r="BA321" i="10"/>
  <c r="BC321" i="10" s="1"/>
  <c r="BM278" i="10"/>
  <c r="BV278" i="10" s="1"/>
  <c r="BM303" i="10"/>
  <c r="BV303" i="10" s="1"/>
  <c r="BA271" i="10"/>
  <c r="BC271" i="10" s="1"/>
  <c r="BM297" i="10"/>
  <c r="BV297" i="10" s="1"/>
  <c r="BI291" i="10"/>
  <c r="BK291" i="10" s="1"/>
  <c r="BN349" i="10"/>
  <c r="BW349" i="10" s="1"/>
  <c r="AU339" i="10"/>
  <c r="AY339" i="10" s="1"/>
  <c r="BA316" i="10"/>
  <c r="BC316" i="10" s="1"/>
  <c r="BI312" i="10"/>
  <c r="BK312" i="10" s="1"/>
  <c r="AU303" i="10"/>
  <c r="AY303" i="10" s="1"/>
  <c r="CD303" i="10" s="1"/>
  <c r="CH303" i="10" s="1"/>
  <c r="EC287" i="10"/>
  <c r="BI286" i="10"/>
  <c r="BK286" i="10" s="1"/>
  <c r="AQ286" i="10" s="1"/>
  <c r="AU322" i="10"/>
  <c r="BJ303" i="10"/>
  <c r="BL303" i="10" s="1"/>
  <c r="AQ303" i="10" s="1"/>
  <c r="BM281" i="10"/>
  <c r="BV281" i="10" s="1"/>
  <c r="BJ275" i="10"/>
  <c r="BL275" i="10" s="1"/>
  <c r="EC224" i="10"/>
  <c r="BA224" i="10"/>
  <c r="BC224" i="10" s="1"/>
  <c r="BA256" i="10"/>
  <c r="BC256" i="10" s="1"/>
  <c r="BI234" i="10"/>
  <c r="BK234" i="10" s="1"/>
  <c r="BA228" i="10"/>
  <c r="BC228" i="10" s="1"/>
  <c r="EC228" i="10"/>
  <c r="BN274" i="10"/>
  <c r="BW274" i="10" s="1"/>
  <c r="BA272" i="10"/>
  <c r="BC272" i="10" s="1"/>
  <c r="EC258" i="10"/>
  <c r="BM227" i="10"/>
  <c r="BV227" i="10" s="1"/>
  <c r="BA215" i="10"/>
  <c r="BC215" i="10" s="1"/>
  <c r="BB218" i="10"/>
  <c r="BD218" i="10" s="1"/>
  <c r="EC1003" i="10"/>
  <c r="EC998" i="10"/>
  <c r="EC987" i="10"/>
  <c r="BA987" i="10"/>
  <c r="BC987" i="10" s="1"/>
  <c r="BA1013" i="10"/>
  <c r="BC1013" i="10" s="1"/>
  <c r="EC1013" i="10"/>
  <c r="EC982" i="10"/>
  <c r="BI966" i="10"/>
  <c r="BK966" i="10" s="1"/>
  <c r="EC1014" i="10"/>
  <c r="BI996" i="10"/>
  <c r="BK996" i="10" s="1"/>
  <c r="BA977" i="10"/>
  <c r="BC977" i="10" s="1"/>
  <c r="EC977" i="10"/>
  <c r="EC970" i="10"/>
  <c r="BA956" i="10"/>
  <c r="BC956" i="10" s="1"/>
  <c r="EC956" i="10"/>
  <c r="BI786" i="10"/>
  <c r="BK786" i="10" s="1"/>
  <c r="BM786" i="10"/>
  <c r="BV786" i="10" s="1"/>
  <c r="BI782" i="10"/>
  <c r="BK782" i="10" s="1"/>
  <c r="BM782" i="10"/>
  <c r="BV782" i="10" s="1"/>
  <c r="EC766" i="10"/>
  <c r="EC737" i="10"/>
  <c r="EC719" i="10"/>
  <c r="EC676" i="10"/>
  <c r="BA676" i="10"/>
  <c r="BC676" i="10" s="1"/>
  <c r="EC672" i="10"/>
  <c r="BA672" i="10"/>
  <c r="BC672" i="10" s="1"/>
  <c r="BI633" i="10"/>
  <c r="BK633" i="10" s="1"/>
  <c r="EC630" i="10"/>
  <c r="BJ565" i="10"/>
  <c r="BL565" i="10" s="1"/>
  <c r="BN510" i="10"/>
  <c r="BW510" i="10" s="1"/>
  <c r="BJ509" i="10"/>
  <c r="BL509" i="10" s="1"/>
  <c r="BN509" i="10"/>
  <c r="BW509" i="10" s="1"/>
  <c r="BI262" i="10"/>
  <c r="BK262" i="10" s="1"/>
  <c r="BJ953" i="10"/>
  <c r="BL953" i="10" s="1"/>
  <c r="BJ938" i="10"/>
  <c r="BL938" i="10" s="1"/>
  <c r="EC918" i="10"/>
  <c r="EC894" i="10"/>
  <c r="EC877" i="10"/>
  <c r="EC842" i="10"/>
  <c r="BI798" i="10"/>
  <c r="BK798" i="10" s="1"/>
  <c r="BM798" i="10"/>
  <c r="BV798" i="10" s="1"/>
  <c r="BI790" i="10"/>
  <c r="BK790" i="10" s="1"/>
  <c r="BI777" i="10"/>
  <c r="BK777" i="10" s="1"/>
  <c r="BM750" i="10"/>
  <c r="BV750" i="10" s="1"/>
  <c r="BZ750" i="10" s="1"/>
  <c r="EC738" i="10"/>
  <c r="BA703" i="10"/>
  <c r="BC703" i="10" s="1"/>
  <c r="BA693" i="10"/>
  <c r="BC693" i="10" s="1"/>
  <c r="EC684" i="10"/>
  <c r="BJ680" i="10"/>
  <c r="BL680" i="10" s="1"/>
  <c r="BI626" i="10"/>
  <c r="BK626" i="10" s="1"/>
  <c r="BI613" i="10"/>
  <c r="BK613" i="10" s="1"/>
  <c r="BJ596" i="10"/>
  <c r="BL596" i="10" s="1"/>
  <c r="BI555" i="10"/>
  <c r="BK555" i="10" s="1"/>
  <c r="BM555" i="10"/>
  <c r="BV555" i="10" s="1"/>
  <c r="EC1002" i="10"/>
  <c r="EC986" i="10"/>
  <c r="EC969" i="10"/>
  <c r="EC942" i="10"/>
  <c r="BM932" i="10"/>
  <c r="BV932" i="10" s="1"/>
  <c r="BZ932" i="10" s="1"/>
  <c r="EC910" i="10"/>
  <c r="BA903" i="10"/>
  <c r="BC903" i="10" s="1"/>
  <c r="BA899" i="10"/>
  <c r="BC899" i="10" s="1"/>
  <c r="EC893" i="10"/>
  <c r="BJ883" i="10"/>
  <c r="BL883" i="10" s="1"/>
  <c r="EC854" i="10"/>
  <c r="EC853" i="10"/>
  <c r="EC838" i="10"/>
  <c r="EC837" i="10"/>
  <c r="BA823" i="10"/>
  <c r="BC823" i="10" s="1"/>
  <c r="BA819" i="10"/>
  <c r="BC819" i="10" s="1"/>
  <c r="EC814" i="10"/>
  <c r="EC813" i="10"/>
  <c r="EC795" i="10"/>
  <c r="BA795" i="10"/>
  <c r="BC795" i="10" s="1"/>
  <c r="EC775" i="10"/>
  <c r="BA775" i="10"/>
  <c r="BC775" i="10" s="1"/>
  <c r="BA765" i="10"/>
  <c r="BC765" i="10" s="1"/>
  <c r="EC765" i="10"/>
  <c r="BM762" i="10"/>
  <c r="BV762" i="10" s="1"/>
  <c r="BI758" i="10"/>
  <c r="BK758" i="10" s="1"/>
  <c r="BM758" i="10"/>
  <c r="BV758" i="10" s="1"/>
  <c r="BN756" i="10"/>
  <c r="BW756" i="10" s="1"/>
  <c r="BI739" i="10"/>
  <c r="BK739" i="10" s="1"/>
  <c r="EC734" i="10"/>
  <c r="EC707" i="10"/>
  <c r="EC691" i="10"/>
  <c r="BA691" i="10"/>
  <c r="BC691" i="10" s="1"/>
  <c r="BM690" i="10"/>
  <c r="BV690" i="10" s="1"/>
  <c r="BN683" i="10"/>
  <c r="BW683" i="10" s="1"/>
  <c r="EC677" i="10"/>
  <c r="EC668" i="10"/>
  <c r="BA668" i="10"/>
  <c r="BC668" i="10" s="1"/>
  <c r="EC657" i="10"/>
  <c r="EC644" i="10"/>
  <c r="BA644" i="10"/>
  <c r="BC644" i="10" s="1"/>
  <c r="EC624" i="10"/>
  <c r="BN604" i="10"/>
  <c r="BW604" i="10" s="1"/>
  <c r="BJ604" i="10"/>
  <c r="BL604" i="10" s="1"/>
  <c r="BJ601" i="10"/>
  <c r="BL601" i="10" s="1"/>
  <c r="EC585" i="10"/>
  <c r="BA585" i="10"/>
  <c r="BC585" i="10" s="1"/>
  <c r="BB553" i="10"/>
  <c r="BD553" i="10" s="1"/>
  <c r="BI994" i="10"/>
  <c r="BK994" i="10" s="1"/>
  <c r="BA990" i="10"/>
  <c r="BC990" i="10" s="1"/>
  <c r="EC981" i="10"/>
  <c r="EC1006" i="10"/>
  <c r="EC990" i="10"/>
  <c r="EC966" i="10"/>
  <c r="BA959" i="10"/>
  <c r="BC959" i="10" s="1"/>
  <c r="BN928" i="10"/>
  <c r="BW928" i="10" s="1"/>
  <c r="BN916" i="10"/>
  <c r="BW916" i="10" s="1"/>
  <c r="EC914" i="10"/>
  <c r="EC913" i="10"/>
  <c r="EC909" i="10"/>
  <c r="BA907" i="10"/>
  <c r="BC907" i="10" s="1"/>
  <c r="EC881" i="10"/>
  <c r="EC862" i="10"/>
  <c r="BM858" i="10"/>
  <c r="BV858" i="10" s="1"/>
  <c r="BA855" i="10"/>
  <c r="BC855" i="10" s="1"/>
  <c r="BA851" i="10"/>
  <c r="BC851" i="10" s="1"/>
  <c r="EC845" i="10"/>
  <c r="BA843" i="10"/>
  <c r="BC843" i="10" s="1"/>
  <c r="BA839" i="10"/>
  <c r="BC839" i="10" s="1"/>
  <c r="BA835" i="10"/>
  <c r="BC835" i="10" s="1"/>
  <c r="EC817" i="10"/>
  <c r="EC805" i="10"/>
  <c r="EC802" i="10"/>
  <c r="EC801" i="10"/>
  <c r="EC794" i="10"/>
  <c r="EC778" i="10"/>
  <c r="EC774" i="10"/>
  <c r="BA769" i="10"/>
  <c r="BC769" i="10" s="1"/>
  <c r="EC769" i="10"/>
  <c r="EC763" i="10"/>
  <c r="BA763" i="10"/>
  <c r="BC763" i="10" s="1"/>
  <c r="BA759" i="10"/>
  <c r="BC759" i="10" s="1"/>
  <c r="BJ751" i="10"/>
  <c r="BL751" i="10" s="1"/>
  <c r="BN747" i="10"/>
  <c r="BW747" i="10" s="1"/>
  <c r="BJ747" i="10"/>
  <c r="BL747" i="10" s="1"/>
  <c r="BJ725" i="10"/>
  <c r="BL725" i="10" s="1"/>
  <c r="BN725" i="10"/>
  <c r="BW725" i="10" s="1"/>
  <c r="EC723" i="10"/>
  <c r="BA723" i="10"/>
  <c r="BC723" i="10" s="1"/>
  <c r="BM721" i="10"/>
  <c r="BV721" i="10" s="1"/>
  <c r="BI721" i="10"/>
  <c r="BK721" i="10" s="1"/>
  <c r="BA717" i="10"/>
  <c r="BC717" i="10" s="1"/>
  <c r="EC717" i="10"/>
  <c r="BI689" i="10"/>
  <c r="BK689" i="10" s="1"/>
  <c r="BM689" i="10"/>
  <c r="BV689" i="10" s="1"/>
  <c r="EC688" i="10"/>
  <c r="BA688" i="10"/>
  <c r="BC688" i="10" s="1"/>
  <c r="AN688" i="10" s="1"/>
  <c r="BJ685" i="10"/>
  <c r="BL685" i="10" s="1"/>
  <c r="BN685" i="10"/>
  <c r="BW685" i="10" s="1"/>
  <c r="EC669" i="10"/>
  <c r="BA658" i="10"/>
  <c r="BC658" i="10" s="1"/>
  <c r="EC658" i="10"/>
  <c r="EC641" i="10"/>
  <c r="BI618" i="10"/>
  <c r="BK618" i="10" s="1"/>
  <c r="BM618" i="10"/>
  <c r="BV618" i="10" s="1"/>
  <c r="BM609" i="10"/>
  <c r="BV609" i="10" s="1"/>
  <c r="BJ645" i="10"/>
  <c r="BL645" i="10" s="1"/>
  <c r="BN645" i="10"/>
  <c r="BW645" i="10" s="1"/>
  <c r="EC640" i="10"/>
  <c r="EC621" i="10"/>
  <c r="BA621" i="10"/>
  <c r="BC621" i="10" s="1"/>
  <c r="EC617" i="10"/>
  <c r="EC605" i="10"/>
  <c r="EC597" i="10"/>
  <c r="BA597" i="10"/>
  <c r="BC597" i="10" s="1"/>
  <c r="BI565" i="10"/>
  <c r="BK565" i="10" s="1"/>
  <c r="BM565" i="10"/>
  <c r="BV565" i="10" s="1"/>
  <c r="EC538" i="10"/>
  <c r="BJ537" i="10"/>
  <c r="BL537" i="10" s="1"/>
  <c r="BN537" i="10"/>
  <c r="BW537" i="10" s="1"/>
  <c r="EC530" i="10"/>
  <c r="BJ520" i="10"/>
  <c r="BL520" i="10" s="1"/>
  <c r="BN520" i="10"/>
  <c r="BW520" i="10" s="1"/>
  <c r="BI518" i="10"/>
  <c r="BK518" i="10" s="1"/>
  <c r="BA500" i="10"/>
  <c r="BC500" i="10" s="1"/>
  <c r="BJ335" i="10"/>
  <c r="BL335" i="10" s="1"/>
  <c r="BI331" i="10"/>
  <c r="BK331" i="10" s="1"/>
  <c r="BM331" i="10"/>
  <c r="BV331" i="10" s="1"/>
  <c r="BA735" i="10"/>
  <c r="BC735" i="10" s="1"/>
  <c r="BM705" i="10"/>
  <c r="BV705" i="10" s="1"/>
  <c r="EC652" i="10"/>
  <c r="BJ639" i="10"/>
  <c r="BL639" i="10" s="1"/>
  <c r="BN639" i="10"/>
  <c r="BW639" i="10" s="1"/>
  <c r="EC638" i="10"/>
  <c r="BM627" i="10"/>
  <c r="BV627" i="10" s="1"/>
  <c r="BA620" i="10"/>
  <c r="BC620" i="10" s="1"/>
  <c r="BJ566" i="10"/>
  <c r="BL566" i="10" s="1"/>
  <c r="BN566" i="10"/>
  <c r="BW566" i="10" s="1"/>
  <c r="BA559" i="10"/>
  <c r="BC559" i="10" s="1"/>
  <c r="EC558" i="10"/>
  <c r="BA558" i="10"/>
  <c r="BC558" i="10" s="1"/>
  <c r="BI522" i="10"/>
  <c r="BK522" i="10" s="1"/>
  <c r="BI517" i="10"/>
  <c r="BK517" i="10" s="1"/>
  <c r="EC514" i="10"/>
  <c r="BJ513" i="10"/>
  <c r="BL513" i="10" s="1"/>
  <c r="BN513" i="10"/>
  <c r="BW513" i="10" s="1"/>
  <c r="EC745" i="10"/>
  <c r="EC742" i="10"/>
  <c r="EC741" i="10"/>
  <c r="BN738" i="10"/>
  <c r="BW738" i="10" s="1"/>
  <c r="BA696" i="10"/>
  <c r="BC696" i="10" s="1"/>
  <c r="EC695" i="10"/>
  <c r="BM676" i="10"/>
  <c r="BV676" i="10" s="1"/>
  <c r="BZ676" i="10" s="1"/>
  <c r="BJ651" i="10"/>
  <c r="BL651" i="10" s="1"/>
  <c r="BJ593" i="10"/>
  <c r="BL593" i="10" s="1"/>
  <c r="BN578" i="10"/>
  <c r="BW578" i="10" s="1"/>
  <c r="BJ554" i="10"/>
  <c r="BL554" i="10" s="1"/>
  <c r="EC550" i="10"/>
  <c r="BM547" i="10"/>
  <c r="BV547" i="10" s="1"/>
  <c r="EC542" i="10"/>
  <c r="BA524" i="10"/>
  <c r="BC524" i="10" s="1"/>
  <c r="BA510" i="10"/>
  <c r="BC510" i="10" s="1"/>
  <c r="EC510" i="10"/>
  <c r="BA508" i="10"/>
  <c r="BC508" i="10" s="1"/>
  <c r="EC483" i="10"/>
  <c r="EC469" i="10"/>
  <c r="BJ492" i="10"/>
  <c r="BL492" i="10" s="1"/>
  <c r="EC462" i="10"/>
  <c r="EC458" i="10"/>
  <c r="BI437" i="10"/>
  <c r="BK437" i="10" s="1"/>
  <c r="BM400" i="10"/>
  <c r="BV400" i="10" s="1"/>
  <c r="BI400" i="10"/>
  <c r="BK400" i="10" s="1"/>
  <c r="EC297" i="10"/>
  <c r="BA297" i="10"/>
  <c r="BC297" i="10" s="1"/>
  <c r="BA283" i="10"/>
  <c r="BC283" i="10" s="1"/>
  <c r="EC283" i="10"/>
  <c r="BA548" i="10"/>
  <c r="BC548" i="10" s="1"/>
  <c r="EC544" i="10"/>
  <c r="BI446" i="10"/>
  <c r="BK446" i="10" s="1"/>
  <c r="BI440" i="10"/>
  <c r="BK440" i="10" s="1"/>
  <c r="BJ358" i="10"/>
  <c r="BL358" i="10" s="1"/>
  <c r="BN538" i="10"/>
  <c r="BW538" i="10" s="1"/>
  <c r="EC534" i="10"/>
  <c r="BN526" i="10"/>
  <c r="BW526" i="10" s="1"/>
  <c r="BM488" i="10"/>
  <c r="BV488" i="10" s="1"/>
  <c r="EC486" i="10"/>
  <c r="BN480" i="10"/>
  <c r="BW480" i="10" s="1"/>
  <c r="CA480" i="10" s="1"/>
  <c r="BM448" i="10"/>
  <c r="BV448" i="10" s="1"/>
  <c r="EC430" i="10"/>
  <c r="BB370" i="10"/>
  <c r="BD370" i="10" s="1"/>
  <c r="BN367" i="10"/>
  <c r="BW367" i="10" s="1"/>
  <c r="BJ481" i="10"/>
  <c r="BL481" i="10" s="1"/>
  <c r="BN481" i="10"/>
  <c r="BW481" i="10" s="1"/>
  <c r="EC466" i="10"/>
  <c r="BB452" i="10"/>
  <c r="BD452" i="10" s="1"/>
  <c r="BB448" i="10"/>
  <c r="BD448" i="10" s="1"/>
  <c r="EC435" i="10"/>
  <c r="EC427" i="10"/>
  <c r="BA417" i="10"/>
  <c r="BC417" i="10" s="1"/>
  <c r="EC417" i="10"/>
  <c r="EC395" i="10"/>
  <c r="EC391" i="10"/>
  <c r="BN383" i="10"/>
  <c r="BW383" i="10" s="1"/>
  <c r="BA382" i="10"/>
  <c r="BC382" i="10" s="1"/>
  <c r="EC382" i="10"/>
  <c r="BN374" i="10"/>
  <c r="BW374" i="10" s="1"/>
  <c r="BJ374" i="10"/>
  <c r="BL374" i="10" s="1"/>
  <c r="EC371" i="10"/>
  <c r="BJ332" i="10"/>
  <c r="BL332" i="10" s="1"/>
  <c r="BI321" i="10"/>
  <c r="BK321" i="10" s="1"/>
  <c r="BM321" i="10"/>
  <c r="BV321" i="10" s="1"/>
  <c r="BA300" i="10"/>
  <c r="BC300" i="10" s="1"/>
  <c r="EC300" i="10"/>
  <c r="EC298" i="10"/>
  <c r="BB292" i="10"/>
  <c r="BD292" i="10" s="1"/>
  <c r="BN429" i="10"/>
  <c r="BW429" i="10" s="1"/>
  <c r="EC425" i="10"/>
  <c r="EC412" i="10"/>
  <c r="EC388" i="10"/>
  <c r="EC341" i="10"/>
  <c r="BB340" i="10"/>
  <c r="BD340" i="10" s="1"/>
  <c r="EC276" i="10"/>
  <c r="BN476" i="10"/>
  <c r="BW476" i="10" s="1"/>
  <c r="BI475" i="10"/>
  <c r="BK475" i="10" s="1"/>
  <c r="BM475" i="10"/>
  <c r="BV475" i="10" s="1"/>
  <c r="BJ472" i="10"/>
  <c r="BL472" i="10" s="1"/>
  <c r="BN472" i="10"/>
  <c r="BW472" i="10" s="1"/>
  <c r="EC459" i="10"/>
  <c r="BA459" i="10"/>
  <c r="BC459" i="10" s="1"/>
  <c r="EC452" i="10"/>
  <c r="BA452" i="10"/>
  <c r="BC452" i="10" s="1"/>
  <c r="BN445" i="10"/>
  <c r="BW445" i="10" s="1"/>
  <c r="BI436" i="10"/>
  <c r="BK436" i="10" s="1"/>
  <c r="BI396" i="10"/>
  <c r="BK396" i="10" s="1"/>
  <c r="BN393" i="10"/>
  <c r="BW393" i="10" s="1"/>
  <c r="BN316" i="10"/>
  <c r="BW316" i="10" s="1"/>
  <c r="EC365" i="10"/>
  <c r="BI343" i="10"/>
  <c r="BK343" i="10" s="1"/>
  <c r="BM343" i="10"/>
  <c r="BV343" i="10" s="1"/>
  <c r="EC338" i="10"/>
  <c r="BA338" i="10"/>
  <c r="BC338" i="10" s="1"/>
  <c r="BA296" i="10"/>
  <c r="BC296" i="10" s="1"/>
  <c r="EC296" i="10"/>
  <c r="BI295" i="10"/>
  <c r="BK295" i="10" s="1"/>
  <c r="BM295" i="10"/>
  <c r="BV295" i="10" s="1"/>
  <c r="BA284" i="10"/>
  <c r="BC284" i="10" s="1"/>
  <c r="EC284" i="10"/>
  <c r="EC268" i="10"/>
  <c r="BA436" i="10"/>
  <c r="BC436" i="10" s="1"/>
  <c r="BN414" i="10"/>
  <c r="BW414" i="10" s="1"/>
  <c r="EC406" i="10"/>
  <c r="BA396" i="10"/>
  <c r="BC396" i="10" s="1"/>
  <c r="EC386" i="10"/>
  <c r="BN379" i="10"/>
  <c r="BW379" i="10" s="1"/>
  <c r="BA346" i="10"/>
  <c r="BC346" i="10" s="1"/>
  <c r="EC346" i="10"/>
  <c r="EC327" i="10"/>
  <c r="BN313" i="10"/>
  <c r="BW313" i="10" s="1"/>
  <c r="BM308" i="10"/>
  <c r="BV308" i="10" s="1"/>
  <c r="BN292" i="10"/>
  <c r="BW292" i="10" s="1"/>
  <c r="BJ292" i="10"/>
  <c r="BL292" i="10" s="1"/>
  <c r="BN261" i="10"/>
  <c r="BW261" i="10" s="1"/>
  <c r="BJ359" i="10"/>
  <c r="BL359" i="10" s="1"/>
  <c r="BA358" i="10"/>
  <c r="BC358" i="10" s="1"/>
  <c r="EC358" i="10"/>
  <c r="BN348" i="10"/>
  <c r="BW348" i="10" s="1"/>
  <c r="BJ348" i="10"/>
  <c r="BL348" i="10" s="1"/>
  <c r="BM334" i="10"/>
  <c r="BV334" i="10" s="1"/>
  <c r="BI320" i="10"/>
  <c r="BK320" i="10" s="1"/>
  <c r="EC317" i="10"/>
  <c r="BM302" i="10"/>
  <c r="BV302" i="10" s="1"/>
  <c r="BI302" i="10"/>
  <c r="BK302" i="10" s="1"/>
  <c r="EC271" i="10"/>
  <c r="EC252" i="10"/>
  <c r="BA226" i="10"/>
  <c r="BC226" i="10" s="1"/>
  <c r="EC226" i="10"/>
  <c r="BA352" i="10"/>
  <c r="BC352" i="10" s="1"/>
  <c r="EC339" i="10"/>
  <c r="BB274" i="10"/>
  <c r="BD274" i="10" s="1"/>
  <c r="EC266" i="10"/>
  <c r="EC264" i="10"/>
  <c r="EC260" i="10"/>
  <c r="BN257" i="10"/>
  <c r="BW257" i="10" s="1"/>
  <c r="BJ230" i="10"/>
  <c r="BL230" i="10" s="1"/>
  <c r="BI220" i="10"/>
  <c r="BK220" i="10" s="1"/>
  <c r="BM220" i="10"/>
  <c r="BV220" i="10" s="1"/>
  <c r="EC281" i="10"/>
  <c r="BA277" i="10"/>
  <c r="BC277" i="10" s="1"/>
  <c r="EC277" i="10"/>
  <c r="BB259" i="10"/>
  <c r="BD259" i="10" s="1"/>
  <c r="BI258" i="10"/>
  <c r="BK258" i="10" s="1"/>
  <c r="BJ234" i="10"/>
  <c r="BL234" i="10" s="1"/>
  <c r="BN234" i="10"/>
  <c r="BW234" i="10" s="1"/>
  <c r="EC218" i="10"/>
  <c r="BN239" i="10"/>
  <c r="BW239" i="10" s="1"/>
  <c r="BJ239" i="10"/>
  <c r="BL239" i="10" s="1"/>
  <c r="BA218" i="10"/>
  <c r="BC218" i="10" s="1"/>
  <c r="AU1013" i="10"/>
  <c r="AY1013" i="10" s="1"/>
  <c r="BA1012" i="10"/>
  <c r="BC1012" i="10" s="1"/>
  <c r="AU1009" i="10"/>
  <c r="AY1009" i="10" s="1"/>
  <c r="BA1008" i="10"/>
  <c r="BC1008" i="10" s="1"/>
  <c r="AU1005" i="10"/>
  <c r="BA1004" i="10"/>
  <c r="BC1004" i="10" s="1"/>
  <c r="AU1001" i="10"/>
  <c r="AY1001" i="10" s="1"/>
  <c r="BA1000" i="10"/>
  <c r="BC1000" i="10" s="1"/>
  <c r="AU997" i="10"/>
  <c r="AY997" i="10" s="1"/>
  <c r="BA996" i="10"/>
  <c r="BC996" i="10" s="1"/>
  <c r="AU993" i="10"/>
  <c r="BA992" i="10"/>
  <c r="BC992" i="10" s="1"/>
  <c r="AU989" i="10"/>
  <c r="BZ989" i="10" s="1"/>
  <c r="BA988" i="10"/>
  <c r="BC988" i="10" s="1"/>
  <c r="AU985" i="10"/>
  <c r="AY985" i="10" s="1"/>
  <c r="BA984" i="10"/>
  <c r="BC984" i="10" s="1"/>
  <c r="AU981" i="10"/>
  <c r="BA980" i="10"/>
  <c r="BC980" i="10" s="1"/>
  <c r="AU977" i="10"/>
  <c r="AY977" i="10" s="1"/>
  <c r="CL977" i="10" s="1"/>
  <c r="BA976" i="10"/>
  <c r="BC976" i="10" s="1"/>
  <c r="AU973" i="10"/>
  <c r="AY973" i="10" s="1"/>
  <c r="CD973" i="10" s="1"/>
  <c r="CH973" i="10" s="1"/>
  <c r="BA972" i="10"/>
  <c r="BC972" i="10" s="1"/>
  <c r="AU969" i="10"/>
  <c r="AY969" i="10" s="1"/>
  <c r="BA968" i="10"/>
  <c r="BC968" i="10" s="1"/>
  <c r="AU965" i="10"/>
  <c r="AY965" i="10" s="1"/>
  <c r="AU962" i="10"/>
  <c r="AY962" i="10" s="1"/>
  <c r="AU953" i="10"/>
  <c r="AY953" i="10" s="1"/>
  <c r="BI934" i="10"/>
  <c r="BK934" i="10" s="1"/>
  <c r="BM934" i="10"/>
  <c r="BV934" i="10" s="1"/>
  <c r="AU908" i="10"/>
  <c r="AY908" i="10" s="1"/>
  <c r="AU897" i="10"/>
  <c r="AY897" i="10" s="1"/>
  <c r="AY884" i="10"/>
  <c r="AU876" i="10"/>
  <c r="AY876" i="10" s="1"/>
  <c r="AU865" i="10"/>
  <c r="AY865" i="10" s="1"/>
  <c r="AU844" i="10"/>
  <c r="AY844" i="10" s="1"/>
  <c r="CD844" i="10" s="1"/>
  <c r="CH844" i="10" s="1"/>
  <c r="BA840" i="10"/>
  <c r="BC840" i="10" s="1"/>
  <c r="AY788" i="10"/>
  <c r="BA948" i="10"/>
  <c r="BC948" i="10" s="1"/>
  <c r="AU942" i="10"/>
  <c r="AY942" i="10" s="1"/>
  <c r="BA941" i="10"/>
  <c r="BC941" i="10" s="1"/>
  <c r="AU934" i="10"/>
  <c r="AY934" i="10" s="1"/>
  <c r="CL934" i="10" s="1"/>
  <c r="BA933" i="10"/>
  <c r="BC933" i="10" s="1"/>
  <c r="AU926" i="10"/>
  <c r="BA925" i="10"/>
  <c r="BC925" i="10" s="1"/>
  <c r="AU918" i="10"/>
  <c r="AY918" i="10" s="1"/>
  <c r="BA917" i="10"/>
  <c r="BC917" i="10" s="1"/>
  <c r="EC911" i="10"/>
  <c r="BA911" i="10"/>
  <c r="BC911" i="10" s="1"/>
  <c r="EC879" i="10"/>
  <c r="BA879" i="10"/>
  <c r="BC879" i="10" s="1"/>
  <c r="BI869" i="10"/>
  <c r="BK869" i="10" s="1"/>
  <c r="EC847" i="10"/>
  <c r="BA847" i="10"/>
  <c r="BC847" i="10" s="1"/>
  <c r="EC960" i="10"/>
  <c r="AU958" i="10"/>
  <c r="AY958" i="10" s="1"/>
  <c r="BA952" i="10"/>
  <c r="BC952" i="10" s="1"/>
  <c r="AY945" i="10"/>
  <c r="EC940" i="10"/>
  <c r="EC932" i="10"/>
  <c r="EC924" i="10"/>
  <c r="AU913" i="10"/>
  <c r="AY913" i="10" s="1"/>
  <c r="AU892" i="10"/>
  <c r="AY892" i="10" s="1"/>
  <c r="BA888" i="10"/>
  <c r="BC888" i="10" s="1"/>
  <c r="BB883" i="10"/>
  <c r="BD883" i="10" s="1"/>
  <c r="AU860" i="10"/>
  <c r="BA856" i="10"/>
  <c r="BC856" i="10" s="1"/>
  <c r="AU849" i="10"/>
  <c r="AY1014" i="10"/>
  <c r="BA965" i="10"/>
  <c r="BC965" i="10" s="1"/>
  <c r="AU949" i="10"/>
  <c r="AU948" i="10"/>
  <c r="AU944" i="10"/>
  <c r="AY944" i="10" s="1"/>
  <c r="BA943" i="10"/>
  <c r="BC943" i="10" s="1"/>
  <c r="BN943" i="10"/>
  <c r="BW943" i="10" s="1"/>
  <c r="EC941" i="10"/>
  <c r="AU936" i="10"/>
  <c r="AY936" i="10" s="1"/>
  <c r="CL936" i="10" s="1"/>
  <c r="BB936" i="10"/>
  <c r="BD936" i="10" s="1"/>
  <c r="EC933" i="10"/>
  <c r="AU928" i="10"/>
  <c r="EC925" i="10"/>
  <c r="AU920" i="10"/>
  <c r="AY920" i="10" s="1"/>
  <c r="AY912" i="10"/>
  <c r="EC895" i="10"/>
  <c r="BA895" i="10"/>
  <c r="BC895" i="10" s="1"/>
  <c r="AY891" i="10"/>
  <c r="BM885" i="10"/>
  <c r="BV885" i="10" s="1"/>
  <c r="BI885" i="10"/>
  <c r="BK885" i="10" s="1"/>
  <c r="EC863" i="10"/>
  <c r="BA863" i="10"/>
  <c r="BC863" i="10" s="1"/>
  <c r="AU817" i="10"/>
  <c r="AY817" i="10" s="1"/>
  <c r="BA808" i="10"/>
  <c r="BC808" i="10" s="1"/>
  <c r="AU801" i="10"/>
  <c r="AY801" i="10" s="1"/>
  <c r="BA792" i="10"/>
  <c r="BC792" i="10" s="1"/>
  <c r="AU769" i="10"/>
  <c r="AY769" i="10" s="1"/>
  <c r="BA768" i="10"/>
  <c r="BC768" i="10" s="1"/>
  <c r="EC768" i="10"/>
  <c r="BA760" i="10"/>
  <c r="BC760" i="10" s="1"/>
  <c r="EC760" i="10"/>
  <c r="AU753" i="10"/>
  <c r="AY753" i="10" s="1"/>
  <c r="AU745" i="10"/>
  <c r="AY745" i="10" s="1"/>
  <c r="CL745" i="10" s="1"/>
  <c r="AU737" i="10"/>
  <c r="AY737" i="10" s="1"/>
  <c r="CL737" i="10" s="1"/>
  <c r="BA736" i="10"/>
  <c r="BC736" i="10" s="1"/>
  <c r="EC736" i="10"/>
  <c r="EC947" i="10"/>
  <c r="AU946" i="10"/>
  <c r="BA939" i="10"/>
  <c r="BC939" i="10" s="1"/>
  <c r="AU938" i="10"/>
  <c r="AY933" i="10"/>
  <c r="CL933" i="10" s="1"/>
  <c r="BA931" i="10"/>
  <c r="BC931" i="10" s="1"/>
  <c r="AU930" i="10"/>
  <c r="BZ930" i="10" s="1"/>
  <c r="BA923" i="10"/>
  <c r="BC923" i="10" s="1"/>
  <c r="AU922" i="10"/>
  <c r="AY922" i="10" s="1"/>
  <c r="EC916" i="10"/>
  <c r="BA908" i="10"/>
  <c r="BC908" i="10" s="1"/>
  <c r="AU901" i="10"/>
  <c r="AY901" i="10" s="1"/>
  <c r="CA886" i="10"/>
  <c r="AU885" i="10"/>
  <c r="BI881" i="10"/>
  <c r="BK881" i="10" s="1"/>
  <c r="BA876" i="10"/>
  <c r="BC876" i="10" s="1"/>
  <c r="BI865" i="10"/>
  <c r="BK865" i="10" s="1"/>
  <c r="AU853" i="10"/>
  <c r="AY853" i="10" s="1"/>
  <c r="BI849" i="10"/>
  <c r="BK849" i="10" s="1"/>
  <c r="BA844" i="10"/>
  <c r="BC844" i="10" s="1"/>
  <c r="AU837" i="10"/>
  <c r="AY837" i="10" s="1"/>
  <c r="BA831" i="10"/>
  <c r="BC831" i="10" s="1"/>
  <c r="BA828" i="10"/>
  <c r="BC828" i="10" s="1"/>
  <c r="BI817" i="10"/>
  <c r="BK817" i="10" s="1"/>
  <c r="AU805" i="10"/>
  <c r="AY805" i="10" s="1"/>
  <c r="BA799" i="10"/>
  <c r="BC799" i="10" s="1"/>
  <c r="BA796" i="10"/>
  <c r="BC796" i="10" s="1"/>
  <c r="AU789" i="10"/>
  <c r="AY789" i="10" s="1"/>
  <c r="CD789" i="10" s="1"/>
  <c r="CH789" i="10" s="1"/>
  <c r="BA783" i="10"/>
  <c r="BC783" i="10" s="1"/>
  <c r="CA783" i="10"/>
  <c r="BA780" i="10"/>
  <c r="BC780" i="10" s="1"/>
  <c r="AY740" i="10"/>
  <c r="CD740" i="10" s="1"/>
  <c r="CH740" i="10" s="1"/>
  <c r="BA937" i="10"/>
  <c r="BC937" i="10" s="1"/>
  <c r="BA929" i="10"/>
  <c r="BC929" i="10" s="1"/>
  <c r="BA921" i="10"/>
  <c r="BC921" i="10" s="1"/>
  <c r="BA912" i="10"/>
  <c r="BC912" i="10" s="1"/>
  <c r="AU905" i="10"/>
  <c r="AY905" i="10" s="1"/>
  <c r="CL905" i="10" s="1"/>
  <c r="BA896" i="10"/>
  <c r="BC896" i="10" s="1"/>
  <c r="AU889" i="10"/>
  <c r="AY889" i="10" s="1"/>
  <c r="CA883" i="10"/>
  <c r="BA880" i="10"/>
  <c r="BC880" i="10" s="1"/>
  <c r="AU873" i="10"/>
  <c r="AY873" i="10" s="1"/>
  <c r="BA864" i="10"/>
  <c r="BC864" i="10" s="1"/>
  <c r="AU857" i="10"/>
  <c r="AY857" i="10" s="1"/>
  <c r="CD857" i="10" s="1"/>
  <c r="CH857" i="10" s="1"/>
  <c r="AU841" i="10"/>
  <c r="AY841" i="10" s="1"/>
  <c r="BA832" i="10"/>
  <c r="BC832" i="10" s="1"/>
  <c r="AU825" i="10"/>
  <c r="AY825" i="10" s="1"/>
  <c r="BA816" i="10"/>
  <c r="BC816" i="10" s="1"/>
  <c r="AU793" i="10"/>
  <c r="AY793" i="10" s="1"/>
  <c r="BA784" i="10"/>
  <c r="BC784" i="10" s="1"/>
  <c r="AU777" i="10"/>
  <c r="AY777" i="10" s="1"/>
  <c r="BI773" i="10"/>
  <c r="BK773" i="10" s="1"/>
  <c r="AU765" i="10"/>
  <c r="AY765" i="10" s="1"/>
  <c r="AU757" i="10"/>
  <c r="AY757" i="10" s="1"/>
  <c r="CD757" i="10" s="1"/>
  <c r="CH757" i="10" s="1"/>
  <c r="BA756" i="10"/>
  <c r="BC756" i="10" s="1"/>
  <c r="EC756" i="10"/>
  <c r="AU749" i="10"/>
  <c r="AY749" i="10" s="1"/>
  <c r="BA748" i="10"/>
  <c r="BC748" i="10" s="1"/>
  <c r="EC748" i="10"/>
  <c r="AU741" i="10"/>
  <c r="AY741" i="10" s="1"/>
  <c r="BA740" i="10"/>
  <c r="BC740" i="10" s="1"/>
  <c r="EC740" i="10"/>
  <c r="AU733" i="10"/>
  <c r="AY733" i="10" s="1"/>
  <c r="CL733" i="10" s="1"/>
  <c r="BA732" i="10"/>
  <c r="BC732" i="10" s="1"/>
  <c r="EC732" i="10"/>
  <c r="BB911" i="10"/>
  <c r="BD911" i="10" s="1"/>
  <c r="AU909" i="10"/>
  <c r="AY909" i="10" s="1"/>
  <c r="BA900" i="10"/>
  <c r="BC900" i="10" s="1"/>
  <c r="AU893" i="10"/>
  <c r="BA884" i="10"/>
  <c r="BC884" i="10" s="1"/>
  <c r="AU877" i="10"/>
  <c r="BA868" i="10"/>
  <c r="BC868" i="10" s="1"/>
  <c r="AU861" i="10"/>
  <c r="BA852" i="10"/>
  <c r="BC852" i="10" s="1"/>
  <c r="AU845" i="10"/>
  <c r="AY845" i="10" s="1"/>
  <c r="AU829" i="10"/>
  <c r="AY829" i="10" s="1"/>
  <c r="AU828" i="10"/>
  <c r="AY828" i="10" s="1"/>
  <c r="BA820" i="10"/>
  <c r="BC820" i="10" s="1"/>
  <c r="AU813" i="10"/>
  <c r="AY813" i="10" s="1"/>
  <c r="AU812" i="10"/>
  <c r="AY812" i="10" s="1"/>
  <c r="BA804" i="10"/>
  <c r="BC804" i="10" s="1"/>
  <c r="AU797" i="10"/>
  <c r="AY797" i="10" s="1"/>
  <c r="AU796" i="10"/>
  <c r="AY796" i="10" s="1"/>
  <c r="AU781" i="10"/>
  <c r="AY781" i="10" s="1"/>
  <c r="BA772" i="10"/>
  <c r="BC772" i="10" s="1"/>
  <c r="BJ724" i="10"/>
  <c r="BL724" i="10" s="1"/>
  <c r="BN724" i="10"/>
  <c r="BW724" i="10" s="1"/>
  <c r="AU723" i="10"/>
  <c r="AU722" i="10"/>
  <c r="AY722" i="10" s="1"/>
  <c r="AU714" i="10"/>
  <c r="AY714" i="10" s="1"/>
  <c r="EC713" i="10"/>
  <c r="AU707" i="10"/>
  <c r="AY707" i="10" s="1"/>
  <c r="AU701" i="10"/>
  <c r="AU693" i="10"/>
  <c r="AY693" i="10" s="1"/>
  <c r="CL693" i="10" s="1"/>
  <c r="AU675" i="10"/>
  <c r="AY675" i="10" s="1"/>
  <c r="BN650" i="10"/>
  <c r="BW650" i="10" s="1"/>
  <c r="CA650" i="10" s="1"/>
  <c r="BJ650" i="10"/>
  <c r="BL650" i="10" s="1"/>
  <c r="AU622" i="10"/>
  <c r="BJ602" i="10"/>
  <c r="BL602" i="10" s="1"/>
  <c r="BN602" i="10"/>
  <c r="BW602" i="10" s="1"/>
  <c r="BB727" i="10"/>
  <c r="BD727" i="10" s="1"/>
  <c r="AY720" i="10"/>
  <c r="BJ712" i="10"/>
  <c r="BL712" i="10" s="1"/>
  <c r="BN710" i="10"/>
  <c r="BW710" i="10" s="1"/>
  <c r="CA710" i="10" s="1"/>
  <c r="BM694" i="10"/>
  <c r="BV694" i="10" s="1"/>
  <c r="AY694" i="10"/>
  <c r="BM691" i="10"/>
  <c r="BV691" i="10" s="1"/>
  <c r="AU685" i="10"/>
  <c r="AY685" i="10" s="1"/>
  <c r="EC673" i="10"/>
  <c r="AY663" i="10"/>
  <c r="AY650" i="10"/>
  <c r="AU648" i="10"/>
  <c r="AY648" i="10" s="1"/>
  <c r="AU638" i="10"/>
  <c r="AY638" i="10" s="1"/>
  <c r="AY886" i="10"/>
  <c r="AY882" i="10"/>
  <c r="AY878" i="10"/>
  <c r="AY874" i="10"/>
  <c r="AY866" i="10"/>
  <c r="AY770" i="10"/>
  <c r="CD770" i="10" s="1"/>
  <c r="CH770" i="10" s="1"/>
  <c r="AU727" i="10"/>
  <c r="AY727" i="10" s="1"/>
  <c r="CD727" i="10" s="1"/>
  <c r="CH727" i="10" s="1"/>
  <c r="EC720" i="10"/>
  <c r="BA720" i="10"/>
  <c r="BC720" i="10" s="1"/>
  <c r="AY713" i="10"/>
  <c r="AY702" i="10"/>
  <c r="CD702" i="10" s="1"/>
  <c r="CH702" i="10" s="1"/>
  <c r="BI699" i="10"/>
  <c r="BK699" i="10" s="1"/>
  <c r="BM699" i="10"/>
  <c r="BV699" i="10" s="1"/>
  <c r="AU691" i="10"/>
  <c r="AY691" i="10" s="1"/>
  <c r="BM683" i="10"/>
  <c r="BV683" i="10" s="1"/>
  <c r="AU677" i="10"/>
  <c r="EC665" i="10"/>
  <c r="AU662" i="10"/>
  <c r="AY662" i="10" s="1"/>
  <c r="BM658" i="10"/>
  <c r="BV658" i="10" s="1"/>
  <c r="BI658" i="10"/>
  <c r="BK658" i="10" s="1"/>
  <c r="BB640" i="10"/>
  <c r="BD640" i="10" s="1"/>
  <c r="BI628" i="10"/>
  <c r="BK628" i="10" s="1"/>
  <c r="BM628" i="10"/>
  <c r="BV628" i="10" s="1"/>
  <c r="BA710" i="10"/>
  <c r="BC710" i="10" s="1"/>
  <c r="EC710" i="10"/>
  <c r="BI707" i="10"/>
  <c r="BK707" i="10" s="1"/>
  <c r="BM707" i="10"/>
  <c r="BV707" i="10" s="1"/>
  <c r="AU699" i="10"/>
  <c r="EC689" i="10"/>
  <c r="AU683" i="10"/>
  <c r="AY683" i="10" s="1"/>
  <c r="AU669" i="10"/>
  <c r="AY669" i="10" s="1"/>
  <c r="CL669" i="10" s="1"/>
  <c r="EC661" i="10"/>
  <c r="BA661" i="10"/>
  <c r="BC661" i="10" s="1"/>
  <c r="AU658" i="10"/>
  <c r="AY658" i="10" s="1"/>
  <c r="EC646" i="10"/>
  <c r="BI644" i="10"/>
  <c r="BK644" i="10" s="1"/>
  <c r="BM644" i="10"/>
  <c r="BV644" i="10" s="1"/>
  <c r="BA722" i="10"/>
  <c r="BC722" i="10" s="1"/>
  <c r="BA714" i="10"/>
  <c r="BC714" i="10" s="1"/>
  <c r="BA698" i="10"/>
  <c r="BC698" i="10" s="1"/>
  <c r="BA690" i="10"/>
  <c r="BC690" i="10" s="1"/>
  <c r="AU689" i="10"/>
  <c r="AY689" i="10" s="1"/>
  <c r="CL689" i="10" s="1"/>
  <c r="BA682" i="10"/>
  <c r="BC682" i="10" s="1"/>
  <c r="AU681" i="10"/>
  <c r="AY681" i="10" s="1"/>
  <c r="AU673" i="10"/>
  <c r="BA666" i="10"/>
  <c r="BC666" i="10" s="1"/>
  <c r="AU665" i="10"/>
  <c r="AY665" i="10" s="1"/>
  <c r="AU660" i="10"/>
  <c r="AY660" i="10" s="1"/>
  <c r="CD660" i="10" s="1"/>
  <c r="CH660" i="10" s="1"/>
  <c r="AU654" i="10"/>
  <c r="BM646" i="10"/>
  <c r="BV646" i="10" s="1"/>
  <c r="AU644" i="10"/>
  <c r="AY644" i="10" s="1"/>
  <c r="CD644" i="10" s="1"/>
  <c r="CH644" i="10" s="1"/>
  <c r="AU628" i="10"/>
  <c r="AY628" i="10" s="1"/>
  <c r="AU612" i="10"/>
  <c r="AY612" i="10" s="1"/>
  <c r="EC606" i="10"/>
  <c r="BA606" i="10"/>
  <c r="BC606" i="10" s="1"/>
  <c r="AU719" i="10"/>
  <c r="AY719" i="10" s="1"/>
  <c r="AU711" i="10"/>
  <c r="BA704" i="10"/>
  <c r="BC704" i="10" s="1"/>
  <c r="AU695" i="10"/>
  <c r="AY695" i="10" s="1"/>
  <c r="CD695" i="10" s="1"/>
  <c r="CH695" i="10" s="1"/>
  <c r="AU687" i="10"/>
  <c r="AY687" i="10" s="1"/>
  <c r="AU679" i="10"/>
  <c r="AY679" i="10" s="1"/>
  <c r="CD679" i="10" s="1"/>
  <c r="CH679" i="10" s="1"/>
  <c r="AU671" i="10"/>
  <c r="AU664" i="10"/>
  <c r="AY664" i="10" s="1"/>
  <c r="AU652" i="10"/>
  <c r="AY652" i="10" s="1"/>
  <c r="BI652" i="10"/>
  <c r="BK652" i="10" s="1"/>
  <c r="BM652" i="10"/>
  <c r="BV652" i="10" s="1"/>
  <c r="AU646" i="10"/>
  <c r="AY646" i="10" s="1"/>
  <c r="EC642" i="10"/>
  <c r="BA642" i="10"/>
  <c r="BC642" i="10" s="1"/>
  <c r="AU630" i="10"/>
  <c r="AY630" i="10" s="1"/>
  <c r="CL630" i="10" s="1"/>
  <c r="EC626" i="10"/>
  <c r="BA626" i="10"/>
  <c r="BC626" i="10" s="1"/>
  <c r="BM620" i="10"/>
  <c r="BV620" i="10" s="1"/>
  <c r="AU614" i="10"/>
  <c r="AY614" i="10" s="1"/>
  <c r="EC610" i="10"/>
  <c r="BA610" i="10"/>
  <c r="BC610" i="10" s="1"/>
  <c r="BA702" i="10"/>
  <c r="BC702" i="10" s="1"/>
  <c r="BA670" i="10"/>
  <c r="BC670" i="10" s="1"/>
  <c r="EC662" i="10"/>
  <c r="AU656" i="10"/>
  <c r="AY653" i="10"/>
  <c r="BB646" i="10"/>
  <c r="BD646" i="10" s="1"/>
  <c r="AU636" i="10"/>
  <c r="AY636" i="10" s="1"/>
  <c r="CL636" i="10" s="1"/>
  <c r="AU620" i="10"/>
  <c r="AY620" i="10" s="1"/>
  <c r="EC547" i="10"/>
  <c r="BA547" i="10"/>
  <c r="BC547" i="10" s="1"/>
  <c r="BA643" i="10"/>
  <c r="BC643" i="10" s="1"/>
  <c r="AU642" i="10"/>
  <c r="AU634" i="10"/>
  <c r="AY634" i="10" s="1"/>
  <c r="BA627" i="10"/>
  <c r="BC627" i="10" s="1"/>
  <c r="AU626" i="10"/>
  <c r="BM624" i="10"/>
  <c r="BV624" i="10" s="1"/>
  <c r="AU618" i="10"/>
  <c r="BI558" i="10"/>
  <c r="BK558" i="10" s="1"/>
  <c r="BM558" i="10"/>
  <c r="BV558" i="10" s="1"/>
  <c r="BJ547" i="10"/>
  <c r="BL547" i="10" s="1"/>
  <c r="AQ547" i="10" s="1"/>
  <c r="AU640" i="10"/>
  <c r="AY640" i="10" s="1"/>
  <c r="CL640" i="10" s="1"/>
  <c r="AU632" i="10"/>
  <c r="AY632" i="10" s="1"/>
  <c r="AU624" i="10"/>
  <c r="AY624" i="10" s="1"/>
  <c r="AU616" i="10"/>
  <c r="AY616" i="10" s="1"/>
  <c r="AU603" i="10"/>
  <c r="AU599" i="10"/>
  <c r="AU591" i="10"/>
  <c r="AY591" i="10" s="1"/>
  <c r="CD591" i="10" s="1"/>
  <c r="CH591" i="10" s="1"/>
  <c r="AU587" i="10"/>
  <c r="AY587" i="10" s="1"/>
  <c r="CL587" i="10" s="1"/>
  <c r="AU579" i="10"/>
  <c r="AY579" i="10" s="1"/>
  <c r="AU575" i="10"/>
  <c r="AU567" i="10"/>
  <c r="AY567" i="10" s="1"/>
  <c r="AU563" i="10"/>
  <c r="AY563" i="10" s="1"/>
  <c r="CD563" i="10" s="1"/>
  <c r="CH563" i="10" s="1"/>
  <c r="AU558" i="10"/>
  <c r="AY558" i="10" s="1"/>
  <c r="BA663" i="10"/>
  <c r="BC663" i="10" s="1"/>
  <c r="BB658" i="10"/>
  <c r="BD658" i="10" s="1"/>
  <c r="BA655" i="10"/>
  <c r="BC655" i="10" s="1"/>
  <c r="BB642" i="10"/>
  <c r="BD642" i="10" s="1"/>
  <c r="BA639" i="10"/>
  <c r="BC639" i="10" s="1"/>
  <c r="BB634" i="10"/>
  <c r="BD634" i="10" s="1"/>
  <c r="BA631" i="10"/>
  <c r="BC631" i="10" s="1"/>
  <c r="BB626" i="10"/>
  <c r="BD626" i="10" s="1"/>
  <c r="AU608" i="10"/>
  <c r="AY608" i="10" s="1"/>
  <c r="BA607" i="10"/>
  <c r="BC607" i="10" s="1"/>
  <c r="BA602" i="10"/>
  <c r="BC602" i="10" s="1"/>
  <c r="EC602" i="10"/>
  <c r="EC598" i="10"/>
  <c r="BA594" i="10"/>
  <c r="BC594" i="10" s="1"/>
  <c r="EC594" i="10"/>
  <c r="BA590" i="10"/>
  <c r="BC590" i="10" s="1"/>
  <c r="BA586" i="10"/>
  <c r="BC586" i="10" s="1"/>
  <c r="EC586" i="10"/>
  <c r="EC582" i="10"/>
  <c r="BA574" i="10"/>
  <c r="BC574" i="10" s="1"/>
  <c r="EC574" i="10"/>
  <c r="BA570" i="10"/>
  <c r="BC570" i="10" s="1"/>
  <c r="EC570" i="10"/>
  <c r="EC566" i="10"/>
  <c r="BJ543" i="10"/>
  <c r="BL543" i="10" s="1"/>
  <c r="BN543" i="10"/>
  <c r="BW543" i="10" s="1"/>
  <c r="EC533" i="10"/>
  <c r="BA525" i="10"/>
  <c r="BC525" i="10" s="1"/>
  <c r="EC525" i="10"/>
  <c r="BB520" i="10"/>
  <c r="BD520" i="10" s="1"/>
  <c r="EC517" i="10"/>
  <c r="BB512" i="10"/>
  <c r="BD512" i="10" s="1"/>
  <c r="BA553" i="10"/>
  <c r="BC553" i="10" s="1"/>
  <c r="EC553" i="10"/>
  <c r="BA549" i="10"/>
  <c r="BC549" i="10" s="1"/>
  <c r="EC549" i="10"/>
  <c r="AU545" i="10"/>
  <c r="BA537" i="10"/>
  <c r="BC537" i="10" s="1"/>
  <c r="EC537" i="10"/>
  <c r="BB536" i="10"/>
  <c r="BD536" i="10" s="1"/>
  <c r="EC519" i="10"/>
  <c r="BA519" i="10"/>
  <c r="BC519" i="10" s="1"/>
  <c r="EC511" i="10"/>
  <c r="BA511" i="10"/>
  <c r="BC511" i="10" s="1"/>
  <c r="BN559" i="10"/>
  <c r="BW559" i="10" s="1"/>
  <c r="AU554" i="10"/>
  <c r="AY554" i="10" s="1"/>
  <c r="BJ539" i="10"/>
  <c r="BL539" i="10" s="1"/>
  <c r="BN532" i="10"/>
  <c r="BW532" i="10" s="1"/>
  <c r="BN527" i="10"/>
  <c r="BW527" i="10" s="1"/>
  <c r="CA527" i="10" s="1"/>
  <c r="BN516" i="10"/>
  <c r="BW516" i="10" s="1"/>
  <c r="CA516" i="10" s="1"/>
  <c r="AU556" i="10"/>
  <c r="EC555" i="10"/>
  <c r="AU549" i="10"/>
  <c r="AY549" i="10" s="1"/>
  <c r="BA541" i="10"/>
  <c r="BC541" i="10" s="1"/>
  <c r="EC541" i="10"/>
  <c r="AU537" i="10"/>
  <c r="AY537" i="10" s="1"/>
  <c r="AU521" i="10"/>
  <c r="AU513" i="10"/>
  <c r="AU550" i="10"/>
  <c r="AY550" i="10" s="1"/>
  <c r="AU542" i="10"/>
  <c r="AY542" i="10" s="1"/>
  <c r="AU534" i="10"/>
  <c r="BN531" i="10"/>
  <c r="BW531" i="10" s="1"/>
  <c r="AU526" i="10"/>
  <c r="BN523" i="10"/>
  <c r="BW523" i="10" s="1"/>
  <c r="AU518" i="10"/>
  <c r="BN515" i="10"/>
  <c r="BW515" i="10" s="1"/>
  <c r="AU510" i="10"/>
  <c r="AY510" i="10" s="1"/>
  <c r="BN507" i="10"/>
  <c r="BW507" i="10" s="1"/>
  <c r="AU502" i="10"/>
  <c r="AY502" i="10" s="1"/>
  <c r="BA495" i="10"/>
  <c r="BC495" i="10" s="1"/>
  <c r="AU494" i="10"/>
  <c r="AU486" i="10"/>
  <c r="EC476" i="10"/>
  <c r="BA476" i="10"/>
  <c r="BC476" i="10" s="1"/>
  <c r="EC548" i="10"/>
  <c r="AU546" i="10"/>
  <c r="AY546" i="10" s="1"/>
  <c r="AU538" i="10"/>
  <c r="AY538" i="10" s="1"/>
  <c r="EC532" i="10"/>
  <c r="BA531" i="10"/>
  <c r="BC531" i="10" s="1"/>
  <c r="AU530" i="10"/>
  <c r="AY530" i="10" s="1"/>
  <c r="CD530" i="10" s="1"/>
  <c r="CH530" i="10" s="1"/>
  <c r="EC524" i="10"/>
  <c r="BA523" i="10"/>
  <c r="BC523" i="10" s="1"/>
  <c r="AU522" i="10"/>
  <c r="AY522" i="10" s="1"/>
  <c r="EC516" i="10"/>
  <c r="AU514" i="10"/>
  <c r="AY514" i="10" s="1"/>
  <c r="CL514" i="10" s="1"/>
  <c r="EC508" i="10"/>
  <c r="AU506" i="10"/>
  <c r="AY506" i="10" s="1"/>
  <c r="EC500" i="10"/>
  <c r="AU498" i="10"/>
  <c r="BN495" i="10"/>
  <c r="BW495" i="10" s="1"/>
  <c r="AU490" i="10"/>
  <c r="AY490" i="10" s="1"/>
  <c r="CL490" i="10" s="1"/>
  <c r="BN487" i="10"/>
  <c r="BW487" i="10" s="1"/>
  <c r="BA483" i="10"/>
  <c r="BC483" i="10" s="1"/>
  <c r="BA529" i="10"/>
  <c r="BC529" i="10" s="1"/>
  <c r="BB524" i="10"/>
  <c r="BD524" i="10" s="1"/>
  <c r="BA513" i="10"/>
  <c r="BC513" i="10" s="1"/>
  <c r="BA505" i="10"/>
  <c r="BC505" i="10" s="1"/>
  <c r="BA489" i="10"/>
  <c r="BC489" i="10" s="1"/>
  <c r="AU478" i="10"/>
  <c r="AY478" i="10" s="1"/>
  <c r="AU474" i="10"/>
  <c r="AY474" i="10" s="1"/>
  <c r="AU470" i="10"/>
  <c r="AY470" i="10" s="1"/>
  <c r="AU462" i="10"/>
  <c r="AY462" i="10" s="1"/>
  <c r="CL462" i="10" s="1"/>
  <c r="BA441" i="10"/>
  <c r="BC441" i="10" s="1"/>
  <c r="AU434" i="10"/>
  <c r="AY434" i="10" s="1"/>
  <c r="EC424" i="10"/>
  <c r="BA424" i="10"/>
  <c r="BC424" i="10" s="1"/>
  <c r="BA468" i="10"/>
  <c r="BC468" i="10" s="1"/>
  <c r="BA460" i="10"/>
  <c r="BC460" i="10" s="1"/>
  <c r="BA456" i="10"/>
  <c r="BC456" i="10" s="1"/>
  <c r="BA448" i="10"/>
  <c r="BC448" i="10" s="1"/>
  <c r="AU438" i="10"/>
  <c r="AY438" i="10" s="1"/>
  <c r="BA429" i="10"/>
  <c r="BC429" i="10" s="1"/>
  <c r="BA454" i="10"/>
  <c r="BC454" i="10" s="1"/>
  <c r="BA446" i="10"/>
  <c r="BC446" i="10" s="1"/>
  <c r="BZ436" i="10"/>
  <c r="BA433" i="10"/>
  <c r="BC433" i="10" s="1"/>
  <c r="BB428" i="10"/>
  <c r="BD428" i="10" s="1"/>
  <c r="EC453" i="10"/>
  <c r="BN448" i="10"/>
  <c r="BW448" i="10" s="1"/>
  <c r="AU426" i="10"/>
  <c r="AY426" i="10" s="1"/>
  <c r="AU418" i="10"/>
  <c r="AY418" i="10" s="1"/>
  <c r="AU413" i="10"/>
  <c r="AY413" i="10" s="1"/>
  <c r="CL413" i="10" s="1"/>
  <c r="BM402" i="10"/>
  <c r="BV402" i="10" s="1"/>
  <c r="AU394" i="10"/>
  <c r="BI390" i="10"/>
  <c r="BK390" i="10" s="1"/>
  <c r="BA388" i="10"/>
  <c r="BC388" i="10" s="1"/>
  <c r="BA385" i="10"/>
  <c r="BC385" i="10" s="1"/>
  <c r="AU378" i="10"/>
  <c r="AY378" i="10" s="1"/>
  <c r="CD378" i="10" s="1"/>
  <c r="CH378" i="10" s="1"/>
  <c r="BA412" i="10"/>
  <c r="BC412" i="10" s="1"/>
  <c r="BA405" i="10"/>
  <c r="BC405" i="10" s="1"/>
  <c r="AU398" i="10"/>
  <c r="AY398" i="10" s="1"/>
  <c r="AU382" i="10"/>
  <c r="AY382" i="10" s="1"/>
  <c r="AU386" i="10"/>
  <c r="BA380" i="10"/>
  <c r="BC380" i="10" s="1"/>
  <c r="BB376" i="10"/>
  <c r="BD376" i="10" s="1"/>
  <c r="AU410" i="10"/>
  <c r="EC409" i="10"/>
  <c r="BA408" i="10"/>
  <c r="BC408" i="10" s="1"/>
  <c r="BA400" i="10"/>
  <c r="BC400" i="10" s="1"/>
  <c r="BA397" i="10"/>
  <c r="BC397" i="10" s="1"/>
  <c r="BA384" i="10"/>
  <c r="BC384" i="10" s="1"/>
  <c r="BA368" i="10"/>
  <c r="BC368" i="10" s="1"/>
  <c r="AU350" i="10"/>
  <c r="AY350" i="10" s="1"/>
  <c r="AU365" i="10"/>
  <c r="AY365" i="10" s="1"/>
  <c r="CD365" i="10" s="1"/>
  <c r="CH365" i="10" s="1"/>
  <c r="BA361" i="10"/>
  <c r="BC361" i="10" s="1"/>
  <c r="BB356" i="10"/>
  <c r="BD356" i="10" s="1"/>
  <c r="AU371" i="10"/>
  <c r="AY371" i="10" s="1"/>
  <c r="AU363" i="10"/>
  <c r="AY363" i="10" s="1"/>
  <c r="BA349" i="10"/>
  <c r="BC349" i="10" s="1"/>
  <c r="BA370" i="10"/>
  <c r="BC370" i="10" s="1"/>
  <c r="BA356" i="10"/>
  <c r="BC356" i="10" s="1"/>
  <c r="AU333" i="10"/>
  <c r="AY333" i="10" s="1"/>
  <c r="CL333" i="10" s="1"/>
  <c r="BA326" i="10"/>
  <c r="BC326" i="10" s="1"/>
  <c r="AU324" i="10"/>
  <c r="AY324" i="10" s="1"/>
  <c r="BA340" i="10"/>
  <c r="BC340" i="10" s="1"/>
  <c r="BA332" i="10"/>
  <c r="BC332" i="10" s="1"/>
  <c r="BN334" i="10"/>
  <c r="BW334" i="10" s="1"/>
  <c r="AU329" i="10"/>
  <c r="AY329" i="10" s="1"/>
  <c r="BA328" i="10"/>
  <c r="BC328" i="10" s="1"/>
  <c r="EC322" i="10"/>
  <c r="BA322" i="10"/>
  <c r="BC322" i="10" s="1"/>
  <c r="BA314" i="10"/>
  <c r="BC314" i="10" s="1"/>
  <c r="EC314" i="10"/>
  <c r="BB322" i="10"/>
  <c r="BD322" i="10" s="1"/>
  <c r="BA309" i="10"/>
  <c r="BC309" i="10" s="1"/>
  <c r="BA306" i="10"/>
  <c r="BC306" i="10" s="1"/>
  <c r="BA310" i="10"/>
  <c r="BC310" i="10" s="1"/>
  <c r="BI300" i="10"/>
  <c r="BK300" i="10" s="1"/>
  <c r="BA298" i="10"/>
  <c r="BC298" i="10" s="1"/>
  <c r="AU291" i="10"/>
  <c r="EC286" i="10"/>
  <c r="BA286" i="10"/>
  <c r="BC286" i="10" s="1"/>
  <c r="EC294" i="10"/>
  <c r="BA294" i="10"/>
  <c r="BC294" i="10" s="1"/>
  <c r="AU296" i="10"/>
  <c r="AU284" i="10"/>
  <c r="AY284" i="10" s="1"/>
  <c r="BA278" i="10"/>
  <c r="BC278" i="10" s="1"/>
  <c r="BA276" i="10"/>
  <c r="BC276" i="10" s="1"/>
  <c r="EC269" i="10"/>
  <c r="BN266" i="10"/>
  <c r="BW266" i="10" s="1"/>
  <c r="BN276" i="10"/>
  <c r="BW276" i="10" s="1"/>
  <c r="BB262" i="10"/>
  <c r="BD262" i="10" s="1"/>
  <c r="BN265" i="10"/>
  <c r="BW265" i="10" s="1"/>
  <c r="EC265" i="10"/>
  <c r="BA265" i="10"/>
  <c r="BC265" i="10" s="1"/>
  <c r="EC263" i="10"/>
  <c r="BA267" i="10"/>
  <c r="BC267" i="10" s="1"/>
  <c r="AU263" i="10"/>
  <c r="EC262" i="10"/>
  <c r="BA261" i="10"/>
  <c r="BC261" i="10" s="1"/>
  <c r="EC251" i="10"/>
  <c r="BA251" i="10"/>
  <c r="BC251" i="10" s="1"/>
  <c r="BN245" i="10"/>
  <c r="BW245" i="10" s="1"/>
  <c r="EC259" i="10"/>
  <c r="BA259" i="10"/>
  <c r="BC259" i="10" s="1"/>
  <c r="BB258" i="10"/>
  <c r="BD258" i="10" s="1"/>
  <c r="BA255" i="10"/>
  <c r="BC255" i="10" s="1"/>
  <c r="AU248" i="10"/>
  <c r="BA227" i="10"/>
  <c r="BC227" i="10" s="1"/>
  <c r="EC227" i="10"/>
  <c r="EC257" i="10"/>
  <c r="AU254" i="10"/>
  <c r="AY254" i="10" s="1"/>
  <c r="EC253" i="10"/>
  <c r="BA249" i="10"/>
  <c r="BC249" i="10" s="1"/>
  <c r="EC249" i="10"/>
  <c r="BB250" i="10"/>
  <c r="BD250" i="10" s="1"/>
  <c r="BA245" i="10"/>
  <c r="BC245" i="10" s="1"/>
  <c r="EC245" i="10"/>
  <c r="BI240" i="10"/>
  <c r="BK240" i="10" s="1"/>
  <c r="BM240" i="10"/>
  <c r="BV240" i="10" s="1"/>
  <c r="EC235" i="10"/>
  <c r="AU228" i="10"/>
  <c r="BA247" i="10"/>
  <c r="BC247" i="10" s="1"/>
  <c r="BM244" i="10"/>
  <c r="BV244" i="10" s="1"/>
  <c r="BA237" i="10"/>
  <c r="BC237" i="10" s="1"/>
  <c r="EC237" i="10"/>
  <c r="BB242" i="10"/>
  <c r="BD242" i="10" s="1"/>
  <c r="BB229" i="10"/>
  <c r="BD229" i="10" s="1"/>
  <c r="EC234" i="10"/>
  <c r="BA233" i="10"/>
  <c r="BC233" i="10" s="1"/>
  <c r="BI221" i="10"/>
  <c r="BK221" i="10" s="1"/>
  <c r="BM221" i="10"/>
  <c r="BV221" i="10" s="1"/>
  <c r="AU236" i="10"/>
  <c r="AU225" i="10"/>
  <c r="BN224" i="10"/>
  <c r="BW224" i="10" s="1"/>
  <c r="AU222" i="10"/>
  <c r="AY222" i="10" s="1"/>
  <c r="EC225" i="10"/>
  <c r="BA217" i="10"/>
  <c r="BC217" i="10" s="1"/>
  <c r="BA221" i="10"/>
  <c r="BC221" i="10" s="1"/>
  <c r="AP214" i="10"/>
  <c r="BN214" i="10" s="1"/>
  <c r="BW214" i="10" s="1"/>
  <c r="AO214" i="10"/>
  <c r="BA214" i="10"/>
  <c r="BC214" i="10" s="1"/>
  <c r="AP213" i="10"/>
  <c r="AO213" i="10"/>
  <c r="BM213" i="10" s="1"/>
  <c r="BV213" i="10" s="1"/>
  <c r="AP212" i="10"/>
  <c r="BJ212" i="10" s="1"/>
  <c r="BL212" i="10" s="1"/>
  <c r="AO212" i="10"/>
  <c r="BI212" i="10" s="1"/>
  <c r="BK212" i="10" s="1"/>
  <c r="EC212" i="10"/>
  <c r="AP211" i="10"/>
  <c r="BJ211" i="10" s="1"/>
  <c r="BL211" i="10" s="1"/>
  <c r="AO211" i="10"/>
  <c r="BM211" i="10" s="1"/>
  <c r="BV211" i="10" s="1"/>
  <c r="AP210" i="10"/>
  <c r="BJ210" i="10" s="1"/>
  <c r="BL210" i="10" s="1"/>
  <c r="AO210" i="10"/>
  <c r="BM210" i="10" s="1"/>
  <c r="BV210" i="10" s="1"/>
  <c r="AP209" i="10"/>
  <c r="AO209" i="10"/>
  <c r="EC209" i="10"/>
  <c r="AP208" i="10"/>
  <c r="AO208" i="10"/>
  <c r="EC208" i="10"/>
  <c r="AP207" i="10"/>
  <c r="AO207" i="10"/>
  <c r="BM207" i="10" s="1"/>
  <c r="BV207" i="10" s="1"/>
  <c r="EC207" i="10"/>
  <c r="AP206" i="10"/>
  <c r="BN206" i="10" s="1"/>
  <c r="BW206" i="10" s="1"/>
  <c r="AO206" i="10"/>
  <c r="BM206" i="10" s="1"/>
  <c r="BV206" i="10" s="1"/>
  <c r="AP205" i="10"/>
  <c r="BJ205" i="10" s="1"/>
  <c r="BL205" i="10" s="1"/>
  <c r="AO205" i="10"/>
  <c r="BI205" i="10" s="1"/>
  <c r="BK205" i="10" s="1"/>
  <c r="AP204" i="10"/>
  <c r="BN204" i="10" s="1"/>
  <c r="BW204" i="10" s="1"/>
  <c r="AO204" i="10"/>
  <c r="BI204" i="10" s="1"/>
  <c r="BK204" i="10" s="1"/>
  <c r="BA204" i="10"/>
  <c r="BC204" i="10" s="1"/>
  <c r="AP203" i="10"/>
  <c r="BJ203" i="10" s="1"/>
  <c r="BL203" i="10" s="1"/>
  <c r="AO203" i="10"/>
  <c r="BA203" i="10"/>
  <c r="BC203" i="10" s="1"/>
  <c r="AP202" i="10"/>
  <c r="BN202" i="10" s="1"/>
  <c r="BW202" i="10" s="1"/>
  <c r="AO202" i="10"/>
  <c r="AP201" i="10"/>
  <c r="AO201" i="10"/>
  <c r="AP200" i="10"/>
  <c r="BJ200" i="10" s="1"/>
  <c r="BL200" i="10" s="1"/>
  <c r="AO200" i="10"/>
  <c r="BI200" i="10" s="1"/>
  <c r="BK200" i="10" s="1"/>
  <c r="AP199" i="10"/>
  <c r="BN199" i="10" s="1"/>
  <c r="BW199" i="10" s="1"/>
  <c r="AO199" i="10"/>
  <c r="BI199" i="10" s="1"/>
  <c r="BK199" i="10" s="1"/>
  <c r="BB199" i="10"/>
  <c r="BD199" i="10" s="1"/>
  <c r="EC199" i="10"/>
  <c r="AP198" i="10"/>
  <c r="BN198" i="10" s="1"/>
  <c r="BW198" i="10" s="1"/>
  <c r="AO198" i="10"/>
  <c r="BA198" i="10"/>
  <c r="BC198" i="10" s="1"/>
  <c r="AP197" i="10"/>
  <c r="BJ197" i="10" s="1"/>
  <c r="BL197" i="10" s="1"/>
  <c r="AO197" i="10"/>
  <c r="BM197" i="10" s="1"/>
  <c r="BV197" i="10" s="1"/>
  <c r="BA197" i="10"/>
  <c r="BC197" i="10" s="1"/>
  <c r="AP196" i="10"/>
  <c r="AO196" i="10"/>
  <c r="AP195" i="10"/>
  <c r="BN195" i="10" s="1"/>
  <c r="BW195" i="10" s="1"/>
  <c r="AO195" i="10"/>
  <c r="BM195" i="10" s="1"/>
  <c r="BV195" i="10" s="1"/>
  <c r="AP194" i="10"/>
  <c r="BJ194" i="10" s="1"/>
  <c r="BL194" i="10" s="1"/>
  <c r="AO194" i="10"/>
  <c r="BI194" i="10" s="1"/>
  <c r="BK194" i="10" s="1"/>
  <c r="BA194" i="10"/>
  <c r="BC194" i="10" s="1"/>
  <c r="AP193" i="10"/>
  <c r="AO193" i="10"/>
  <c r="BM193" i="10" s="1"/>
  <c r="BV193" i="10" s="1"/>
  <c r="BA193" i="10"/>
  <c r="BC193" i="10" s="1"/>
  <c r="AP192" i="10"/>
  <c r="AO192" i="10"/>
  <c r="AP191" i="10"/>
  <c r="BJ191" i="10" s="1"/>
  <c r="BL191" i="10" s="1"/>
  <c r="AO191" i="10"/>
  <c r="BM191" i="10" s="1"/>
  <c r="BV191" i="10" s="1"/>
  <c r="AP190" i="10"/>
  <c r="BJ190" i="10" s="1"/>
  <c r="BL190" i="10" s="1"/>
  <c r="AO190" i="10"/>
  <c r="AP189" i="10"/>
  <c r="AO189" i="10"/>
  <c r="BM189" i="10" s="1"/>
  <c r="BV189" i="10" s="1"/>
  <c r="AP188" i="10"/>
  <c r="AO188" i="10"/>
  <c r="AP187" i="10"/>
  <c r="BJ187" i="10" s="1"/>
  <c r="BL187" i="10" s="1"/>
  <c r="AO187" i="10"/>
  <c r="AP186" i="10"/>
  <c r="AO186" i="10"/>
  <c r="BI186" i="10" s="1"/>
  <c r="BK186" i="10" s="1"/>
  <c r="AP185" i="10"/>
  <c r="BJ185" i="10" s="1"/>
  <c r="BL185" i="10" s="1"/>
  <c r="AO185" i="10"/>
  <c r="BM185" i="10" s="1"/>
  <c r="BV185" i="10" s="1"/>
  <c r="AP184" i="10"/>
  <c r="AO184" i="10"/>
  <c r="AP183" i="10"/>
  <c r="AO183" i="10"/>
  <c r="BM183" i="10" s="1"/>
  <c r="BV183" i="10" s="1"/>
  <c r="AP182" i="10"/>
  <c r="AO182" i="10"/>
  <c r="AP181" i="10"/>
  <c r="BJ181" i="10" s="1"/>
  <c r="BL181" i="10" s="1"/>
  <c r="AO181" i="10"/>
  <c r="BI181" i="10" s="1"/>
  <c r="BK181" i="10" s="1"/>
  <c r="AP180" i="10"/>
  <c r="BN180" i="10" s="1"/>
  <c r="BW180" i="10" s="1"/>
  <c r="AO180" i="10"/>
  <c r="BI180" i="10" s="1"/>
  <c r="BK180" i="10" s="1"/>
  <c r="AP179" i="10"/>
  <c r="BJ179" i="10" s="1"/>
  <c r="BL179" i="10" s="1"/>
  <c r="AO179" i="10"/>
  <c r="AP178" i="10"/>
  <c r="AO178" i="10"/>
  <c r="BI178" i="10" s="1"/>
  <c r="BK178" i="10" s="1"/>
  <c r="AP177" i="10"/>
  <c r="BN177" i="10" s="1"/>
  <c r="BW177" i="10" s="1"/>
  <c r="AO177" i="10"/>
  <c r="BM177" i="10" s="1"/>
  <c r="BV177" i="10" s="1"/>
  <c r="AP176" i="10"/>
  <c r="BJ176" i="10" s="1"/>
  <c r="BL176" i="10" s="1"/>
  <c r="AO176" i="10"/>
  <c r="BA176" i="10"/>
  <c r="BC176" i="10" s="1"/>
  <c r="AP175" i="10"/>
  <c r="AO175" i="10"/>
  <c r="AP174" i="10"/>
  <c r="BN174" i="10" s="1"/>
  <c r="BW174" i="10" s="1"/>
  <c r="AO174" i="10"/>
  <c r="BM174" i="10" s="1"/>
  <c r="BV174" i="10" s="1"/>
  <c r="AP173" i="10"/>
  <c r="AO173" i="10"/>
  <c r="AP172" i="10"/>
  <c r="AO172" i="10"/>
  <c r="BI172" i="10" s="1"/>
  <c r="BK172" i="10" s="1"/>
  <c r="AP171" i="10"/>
  <c r="AO171" i="10"/>
  <c r="BM171" i="10" s="1"/>
  <c r="BV171" i="10" s="1"/>
  <c r="AP170" i="10"/>
  <c r="BJ170" i="10" s="1"/>
  <c r="BL170" i="10" s="1"/>
  <c r="AO170" i="10"/>
  <c r="BM170" i="10" s="1"/>
  <c r="BV170" i="10" s="1"/>
  <c r="AP169" i="10"/>
  <c r="BJ169" i="10" s="1"/>
  <c r="BL169" i="10" s="1"/>
  <c r="AO169" i="10"/>
  <c r="BI169" i="10" s="1"/>
  <c r="BK169" i="10" s="1"/>
  <c r="AP168" i="10"/>
  <c r="BN168" i="10" s="1"/>
  <c r="BW168" i="10" s="1"/>
  <c r="AO168" i="10"/>
  <c r="BI168" i="10" s="1"/>
  <c r="BK168" i="10" s="1"/>
  <c r="AP167" i="10"/>
  <c r="BJ167" i="10" s="1"/>
  <c r="BL167" i="10" s="1"/>
  <c r="AO167" i="10"/>
  <c r="AP166" i="10"/>
  <c r="AO166" i="10"/>
  <c r="AP165" i="10"/>
  <c r="BJ165" i="10" s="1"/>
  <c r="BL165" i="10" s="1"/>
  <c r="AO165" i="10"/>
  <c r="BM165" i="10" s="1"/>
  <c r="BV165" i="10" s="1"/>
  <c r="AP164" i="10"/>
  <c r="BN164" i="10" s="1"/>
  <c r="BW164" i="10" s="1"/>
  <c r="AO164" i="10"/>
  <c r="BM164" i="10" s="1"/>
  <c r="BV164" i="10" s="1"/>
  <c r="AP163" i="10"/>
  <c r="BN163" i="10" s="1"/>
  <c r="BW163" i="10" s="1"/>
  <c r="AO163" i="10"/>
  <c r="BI163" i="10" s="1"/>
  <c r="BK163" i="10" s="1"/>
  <c r="AP162" i="10"/>
  <c r="BJ162" i="10" s="1"/>
  <c r="BL162" i="10" s="1"/>
  <c r="AO162" i="10"/>
  <c r="BI162" i="10" s="1"/>
  <c r="BK162" i="10" s="1"/>
  <c r="AP161" i="10"/>
  <c r="AO161" i="10"/>
  <c r="AP160" i="10"/>
  <c r="AO160" i="10"/>
  <c r="EC160" i="10"/>
  <c r="AP159" i="10"/>
  <c r="AO159" i="10"/>
  <c r="EC159" i="10"/>
  <c r="AP158" i="10"/>
  <c r="BJ158" i="10" s="1"/>
  <c r="BL158" i="10" s="1"/>
  <c r="AO158" i="10"/>
  <c r="EC158" i="10"/>
  <c r="AP157" i="10"/>
  <c r="BN157" i="10" s="1"/>
  <c r="BW157" i="10" s="1"/>
  <c r="AO157" i="10"/>
  <c r="AP156" i="10"/>
  <c r="BJ156" i="10" s="1"/>
  <c r="BL156" i="10" s="1"/>
  <c r="AO156" i="10"/>
  <c r="AP155" i="10"/>
  <c r="AO155" i="10"/>
  <c r="AP154" i="10"/>
  <c r="BN154" i="10" s="1"/>
  <c r="BW154" i="10" s="1"/>
  <c r="AO154" i="10"/>
  <c r="AP153" i="10"/>
  <c r="BN153" i="10" s="1"/>
  <c r="BW153" i="10" s="1"/>
  <c r="AO153" i="10"/>
  <c r="EC153" i="10"/>
  <c r="AP152" i="10"/>
  <c r="AO152" i="10"/>
  <c r="EC152" i="10"/>
  <c r="AP151" i="10"/>
  <c r="AO151" i="10"/>
  <c r="EC151" i="10"/>
  <c r="AP150" i="10"/>
  <c r="BN150" i="10" s="1"/>
  <c r="BW150" i="10" s="1"/>
  <c r="AO150" i="10"/>
  <c r="AP149" i="10"/>
  <c r="AO149" i="10"/>
  <c r="BM149" i="10" s="1"/>
  <c r="BV149" i="10" s="1"/>
  <c r="EC149" i="10"/>
  <c r="AP148" i="10"/>
  <c r="AO148" i="10"/>
  <c r="BI148" i="10" s="1"/>
  <c r="BK148" i="10" s="1"/>
  <c r="EC148" i="10"/>
  <c r="AP147" i="10"/>
  <c r="AO147" i="10"/>
  <c r="BI147" i="10" s="1"/>
  <c r="BK147" i="10" s="1"/>
  <c r="EC147" i="10"/>
  <c r="AP146" i="10"/>
  <c r="BJ146" i="10" s="1"/>
  <c r="BL146" i="10" s="1"/>
  <c r="AO146" i="10"/>
  <c r="BA146" i="10"/>
  <c r="BC146" i="10" s="1"/>
  <c r="AP145" i="10"/>
  <c r="AO145" i="10"/>
  <c r="AP144" i="10"/>
  <c r="BN144" i="10" s="1"/>
  <c r="BW144" i="10" s="1"/>
  <c r="AO144" i="10"/>
  <c r="BM144" i="10" s="1"/>
  <c r="BV144" i="10" s="1"/>
  <c r="AP143" i="10"/>
  <c r="AO143" i="10"/>
  <c r="AP142" i="10"/>
  <c r="BN142" i="10" s="1"/>
  <c r="BW142" i="10" s="1"/>
  <c r="AO142" i="10"/>
  <c r="BM142" i="10" s="1"/>
  <c r="BV142" i="10" s="1"/>
  <c r="AP141" i="10"/>
  <c r="AO141" i="10"/>
  <c r="BM141" i="10" s="1"/>
  <c r="BV141" i="10" s="1"/>
  <c r="AP140" i="10"/>
  <c r="BJ140" i="10" s="1"/>
  <c r="BL140" i="10" s="1"/>
  <c r="AO140" i="10"/>
  <c r="BM140" i="10" s="1"/>
  <c r="BV140" i="10" s="1"/>
  <c r="AP139" i="10"/>
  <c r="AO139" i="10"/>
  <c r="AP138" i="10"/>
  <c r="AO138" i="10"/>
  <c r="BM138" i="10" s="1"/>
  <c r="BV138" i="10" s="1"/>
  <c r="BA138" i="10"/>
  <c r="BC138" i="10" s="1"/>
  <c r="AP137" i="10"/>
  <c r="BJ137" i="10" s="1"/>
  <c r="BL137" i="10" s="1"/>
  <c r="AO137" i="10"/>
  <c r="BI137" i="10" s="1"/>
  <c r="BK137" i="10" s="1"/>
  <c r="BA137" i="10"/>
  <c r="BC137" i="10" s="1"/>
  <c r="AP136" i="10"/>
  <c r="BJ136" i="10" s="1"/>
  <c r="BL136" i="10" s="1"/>
  <c r="AO136" i="10"/>
  <c r="AP135" i="10"/>
  <c r="AO135" i="10"/>
  <c r="AP134" i="10"/>
  <c r="BN134" i="10" s="1"/>
  <c r="BW134" i="10" s="1"/>
  <c r="AO134" i="10"/>
  <c r="AP133" i="10"/>
  <c r="BN133" i="10" s="1"/>
  <c r="BW133" i="10" s="1"/>
  <c r="AO133" i="10"/>
  <c r="AP132" i="10"/>
  <c r="BJ132" i="10" s="1"/>
  <c r="BL132" i="10" s="1"/>
  <c r="AO132" i="10"/>
  <c r="BI132" i="10" s="1"/>
  <c r="BK132" i="10" s="1"/>
  <c r="AP131" i="10"/>
  <c r="BJ131" i="10" s="1"/>
  <c r="BL131" i="10" s="1"/>
  <c r="AO131" i="10"/>
  <c r="AP130" i="10"/>
  <c r="BN130" i="10" s="1"/>
  <c r="BW130" i="10" s="1"/>
  <c r="AO130" i="10"/>
  <c r="BM130" i="10" s="1"/>
  <c r="BV130" i="10" s="1"/>
  <c r="AP129" i="10"/>
  <c r="AO129" i="10"/>
  <c r="BI129" i="10" s="1"/>
  <c r="BK129" i="10" s="1"/>
  <c r="AP128" i="10"/>
  <c r="BJ128" i="10" s="1"/>
  <c r="BL128" i="10" s="1"/>
  <c r="AO128" i="10"/>
  <c r="BM128" i="10" s="1"/>
  <c r="BV128" i="10" s="1"/>
  <c r="BB128" i="10"/>
  <c r="BD128" i="10" s="1"/>
  <c r="AP127" i="10"/>
  <c r="BJ127" i="10" s="1"/>
  <c r="BL127" i="10" s="1"/>
  <c r="AO127" i="10"/>
  <c r="BI127" i="10" s="1"/>
  <c r="BK127" i="10" s="1"/>
  <c r="AP126" i="10"/>
  <c r="BJ126" i="10" s="1"/>
  <c r="BL126" i="10" s="1"/>
  <c r="AO126" i="10"/>
  <c r="BM126" i="10" s="1"/>
  <c r="BV126" i="10" s="1"/>
  <c r="AP125" i="10"/>
  <c r="BJ125" i="10" s="1"/>
  <c r="BL125" i="10" s="1"/>
  <c r="AO125" i="10"/>
  <c r="BA125" i="10"/>
  <c r="BC125" i="10" s="1"/>
  <c r="AP124" i="10"/>
  <c r="BJ124" i="10" s="1"/>
  <c r="BL124" i="10" s="1"/>
  <c r="AO124" i="10"/>
  <c r="AP123" i="10"/>
  <c r="BJ123" i="10" s="1"/>
  <c r="BL123" i="10" s="1"/>
  <c r="AO123" i="10"/>
  <c r="BM123" i="10" s="1"/>
  <c r="BV123" i="10" s="1"/>
  <c r="AP122" i="10"/>
  <c r="AO122" i="10"/>
  <c r="AP121" i="10"/>
  <c r="BJ121" i="10" s="1"/>
  <c r="BL121" i="10" s="1"/>
  <c r="AO121" i="10"/>
  <c r="BM121" i="10" s="1"/>
  <c r="BV121" i="10" s="1"/>
  <c r="AP120" i="10"/>
  <c r="BN120" i="10" s="1"/>
  <c r="BW120" i="10" s="1"/>
  <c r="AO120" i="10"/>
  <c r="AP119" i="10"/>
  <c r="BJ119" i="10" s="1"/>
  <c r="BL119" i="10" s="1"/>
  <c r="AO119" i="10"/>
  <c r="AP118" i="10"/>
  <c r="AO118" i="10"/>
  <c r="BI118" i="10" s="1"/>
  <c r="BK118" i="10" s="1"/>
  <c r="AP117" i="10"/>
  <c r="AO117" i="10"/>
  <c r="BA117" i="10"/>
  <c r="BC117" i="10" s="1"/>
  <c r="AP116" i="10"/>
  <c r="BN116" i="10" s="1"/>
  <c r="BW116" i="10" s="1"/>
  <c r="AO116" i="10"/>
  <c r="BI116" i="10" s="1"/>
  <c r="BK116" i="10" s="1"/>
  <c r="BB116" i="10"/>
  <c r="BD116" i="10" s="1"/>
  <c r="AP115" i="10"/>
  <c r="BN115" i="10" s="1"/>
  <c r="BW115" i="10" s="1"/>
  <c r="AO115" i="10"/>
  <c r="AP114" i="10"/>
  <c r="BN114" i="10" s="1"/>
  <c r="BW114" i="10" s="1"/>
  <c r="AO114" i="10"/>
  <c r="AP113" i="10"/>
  <c r="AO113" i="10"/>
  <c r="BA113" i="10"/>
  <c r="BC113" i="10" s="1"/>
  <c r="AP112" i="10"/>
  <c r="BN112" i="10" s="1"/>
  <c r="BW112" i="10" s="1"/>
  <c r="AO112" i="10"/>
  <c r="BI112" i="10" s="1"/>
  <c r="BK112" i="10" s="1"/>
  <c r="AP111" i="10"/>
  <c r="BN111" i="10" s="1"/>
  <c r="BW111" i="10" s="1"/>
  <c r="AO111" i="10"/>
  <c r="AP110" i="10"/>
  <c r="BJ110" i="10" s="1"/>
  <c r="BL110" i="10" s="1"/>
  <c r="AO110" i="10"/>
  <c r="BM110" i="10" s="1"/>
  <c r="BV110" i="10" s="1"/>
  <c r="BB110" i="10"/>
  <c r="BD110" i="10" s="1"/>
  <c r="AP109" i="10"/>
  <c r="AO109" i="10"/>
  <c r="BI109" i="10" s="1"/>
  <c r="BK109" i="10" s="1"/>
  <c r="BB109" i="10"/>
  <c r="BD109" i="10" s="1"/>
  <c r="AP108" i="10"/>
  <c r="BN108" i="10" s="1"/>
  <c r="BW108" i="10" s="1"/>
  <c r="AO108" i="10"/>
  <c r="BM108" i="10" s="1"/>
  <c r="BV108" i="10" s="1"/>
  <c r="AP107" i="10"/>
  <c r="BN107" i="10" s="1"/>
  <c r="BW107" i="10" s="1"/>
  <c r="AO107" i="10"/>
  <c r="BI107" i="10" s="1"/>
  <c r="BK107" i="10" s="1"/>
  <c r="AP106" i="10"/>
  <c r="BN106" i="10" s="1"/>
  <c r="BW106" i="10" s="1"/>
  <c r="AO106" i="10"/>
  <c r="AP105" i="10"/>
  <c r="AO105" i="10"/>
  <c r="AP104" i="10"/>
  <c r="BJ104" i="10" s="1"/>
  <c r="BL104" i="10" s="1"/>
  <c r="AO104" i="10"/>
  <c r="BI104" i="10" s="1"/>
  <c r="BK104" i="10" s="1"/>
  <c r="AP103" i="10"/>
  <c r="BN103" i="10" s="1"/>
  <c r="BW103" i="10" s="1"/>
  <c r="AO103" i="10"/>
  <c r="BM103" i="10" s="1"/>
  <c r="BV103" i="10" s="1"/>
  <c r="AP102" i="10"/>
  <c r="AO102" i="10"/>
  <c r="BM102" i="10" s="1"/>
  <c r="BV102" i="10" s="1"/>
  <c r="AP101" i="10"/>
  <c r="BJ101" i="10" s="1"/>
  <c r="BL101" i="10" s="1"/>
  <c r="AO101" i="10"/>
  <c r="BI101" i="10" s="1"/>
  <c r="BK101" i="10" s="1"/>
  <c r="AP100" i="10"/>
  <c r="BN100" i="10" s="1"/>
  <c r="BW100" i="10" s="1"/>
  <c r="AO100" i="10"/>
  <c r="AP99" i="10"/>
  <c r="AO99" i="10"/>
  <c r="BI99" i="10" s="1"/>
  <c r="BK99" i="10" s="1"/>
  <c r="AP98" i="10"/>
  <c r="BN98" i="10" s="1"/>
  <c r="BW98" i="10" s="1"/>
  <c r="AO98" i="10"/>
  <c r="BM98" i="10" s="1"/>
  <c r="BV98" i="10" s="1"/>
  <c r="BB98" i="10"/>
  <c r="BD98" i="10" s="1"/>
  <c r="EC98" i="10"/>
  <c r="AP97" i="10"/>
  <c r="BJ97" i="10" s="1"/>
  <c r="BL97" i="10" s="1"/>
  <c r="AO97" i="10"/>
  <c r="BI97" i="10" s="1"/>
  <c r="BK97" i="10" s="1"/>
  <c r="AP96" i="10"/>
  <c r="AO96" i="10"/>
  <c r="EC96" i="10"/>
  <c r="AP95" i="10"/>
  <c r="BJ95" i="10" s="1"/>
  <c r="BL95" i="10" s="1"/>
  <c r="AO95" i="10"/>
  <c r="BM95" i="10" s="1"/>
  <c r="BV95" i="10" s="1"/>
  <c r="AP94" i="10"/>
  <c r="BN94" i="10" s="1"/>
  <c r="BW94" i="10" s="1"/>
  <c r="AO94" i="10"/>
  <c r="EC94" i="10"/>
  <c r="AP93" i="10"/>
  <c r="BJ93" i="10" s="1"/>
  <c r="BL93" i="10" s="1"/>
  <c r="AO93" i="10"/>
  <c r="AP92" i="10"/>
  <c r="BN92" i="10" s="1"/>
  <c r="BW92" i="10" s="1"/>
  <c r="AO92" i="10"/>
  <c r="AP91" i="10"/>
  <c r="BJ91" i="10" s="1"/>
  <c r="BL91" i="10" s="1"/>
  <c r="AO91" i="10"/>
  <c r="BI91" i="10" s="1"/>
  <c r="BK91" i="10" s="1"/>
  <c r="AP90" i="10"/>
  <c r="BJ90" i="10" s="1"/>
  <c r="BL90" i="10" s="1"/>
  <c r="AO90" i="10"/>
  <c r="BM90" i="10" s="1"/>
  <c r="BV90" i="10" s="1"/>
  <c r="AP89" i="10"/>
  <c r="BJ89" i="10" s="1"/>
  <c r="BL89" i="10" s="1"/>
  <c r="AO89" i="10"/>
  <c r="AP88" i="10"/>
  <c r="BJ88" i="10" s="1"/>
  <c r="BL88" i="10" s="1"/>
  <c r="AO88" i="10"/>
  <c r="AP87" i="10"/>
  <c r="AO87" i="10"/>
  <c r="BM87" i="10" s="1"/>
  <c r="BV87" i="10" s="1"/>
  <c r="AP86" i="10"/>
  <c r="AO86" i="10"/>
  <c r="AP85" i="10"/>
  <c r="BN85" i="10" s="1"/>
  <c r="BW85" i="10" s="1"/>
  <c r="AO85" i="10"/>
  <c r="AP84" i="10"/>
  <c r="BJ84" i="10" s="1"/>
  <c r="BL84" i="10" s="1"/>
  <c r="AO84" i="10"/>
  <c r="BM84" i="10" s="1"/>
  <c r="BV84" i="10" s="1"/>
  <c r="BB84" i="10"/>
  <c r="BD84" i="10" s="1"/>
  <c r="AP83" i="10"/>
  <c r="BN83" i="10" s="1"/>
  <c r="BW83" i="10" s="1"/>
  <c r="AO83" i="10"/>
  <c r="BM83" i="10" s="1"/>
  <c r="BV83" i="10" s="1"/>
  <c r="AP82" i="10"/>
  <c r="BJ82" i="10" s="1"/>
  <c r="BL82" i="10" s="1"/>
  <c r="AO82" i="10"/>
  <c r="AP81" i="10"/>
  <c r="BJ81" i="10" s="1"/>
  <c r="BL81" i="10" s="1"/>
  <c r="AO81" i="10"/>
  <c r="BM81" i="10" s="1"/>
  <c r="BV81" i="10" s="1"/>
  <c r="AP80" i="10"/>
  <c r="BJ80" i="10" s="1"/>
  <c r="BL80" i="10" s="1"/>
  <c r="AO80" i="10"/>
  <c r="BB80" i="10"/>
  <c r="BD80" i="10" s="1"/>
  <c r="AP79" i="10"/>
  <c r="BJ79" i="10" s="1"/>
  <c r="BL79" i="10" s="1"/>
  <c r="AO79" i="10"/>
  <c r="AP78" i="10"/>
  <c r="BN78" i="10" s="1"/>
  <c r="BW78" i="10" s="1"/>
  <c r="AO78" i="10"/>
  <c r="AP77" i="10"/>
  <c r="BN77" i="10" s="1"/>
  <c r="BW77" i="10" s="1"/>
  <c r="AO77" i="10"/>
  <c r="AP76" i="10"/>
  <c r="BJ76" i="10" s="1"/>
  <c r="BL76" i="10" s="1"/>
  <c r="AO76" i="10"/>
  <c r="BI76" i="10" s="1"/>
  <c r="BK76" i="10" s="1"/>
  <c r="AP75" i="10"/>
  <c r="BN75" i="10" s="1"/>
  <c r="BW75" i="10" s="1"/>
  <c r="AO75" i="10"/>
  <c r="BM75" i="10" s="1"/>
  <c r="BV75" i="10" s="1"/>
  <c r="AP74" i="10"/>
  <c r="BN74" i="10" s="1"/>
  <c r="BW74" i="10" s="1"/>
  <c r="AO74" i="10"/>
  <c r="BI74" i="10" s="1"/>
  <c r="BK74" i="10" s="1"/>
  <c r="AP73" i="10"/>
  <c r="BN73" i="10" s="1"/>
  <c r="BW73" i="10" s="1"/>
  <c r="AO73" i="10"/>
  <c r="BI73" i="10" s="1"/>
  <c r="BK73" i="10" s="1"/>
  <c r="AP72" i="10"/>
  <c r="AO72" i="10"/>
  <c r="BI72" i="10" s="1"/>
  <c r="BK72" i="10" s="1"/>
  <c r="AP71" i="10"/>
  <c r="BJ71" i="10" s="1"/>
  <c r="BL71" i="10" s="1"/>
  <c r="AO71" i="10"/>
  <c r="EC71" i="10"/>
  <c r="AP70" i="10"/>
  <c r="BJ70" i="10" s="1"/>
  <c r="BL70" i="10" s="1"/>
  <c r="AO70" i="10"/>
  <c r="AP69" i="10"/>
  <c r="BN69" i="10" s="1"/>
  <c r="BW69" i="10" s="1"/>
  <c r="AO69" i="10"/>
  <c r="AP68" i="10"/>
  <c r="BN68" i="10" s="1"/>
  <c r="BW68" i="10" s="1"/>
  <c r="AO68" i="10"/>
  <c r="BA68" i="10"/>
  <c r="BC68" i="10" s="1"/>
  <c r="AP67" i="10"/>
  <c r="BJ67" i="10" s="1"/>
  <c r="BL67" i="10" s="1"/>
  <c r="AO67" i="10"/>
  <c r="EC67" i="10"/>
  <c r="AP66" i="10"/>
  <c r="AO66" i="10"/>
  <c r="BI66" i="10" s="1"/>
  <c r="BK66" i="10" s="1"/>
  <c r="AP65" i="10"/>
  <c r="AO65" i="10"/>
  <c r="BI65" i="10" s="1"/>
  <c r="BK65" i="10" s="1"/>
  <c r="AP64" i="10"/>
  <c r="AO64" i="10"/>
  <c r="BM64" i="10" s="1"/>
  <c r="BV64" i="10" s="1"/>
  <c r="AP63" i="10"/>
  <c r="BJ63" i="10" s="1"/>
  <c r="BL63" i="10" s="1"/>
  <c r="AO63" i="10"/>
  <c r="BI63" i="10" s="1"/>
  <c r="BK63" i="10" s="1"/>
  <c r="AP62" i="10"/>
  <c r="BJ62" i="10" s="1"/>
  <c r="BL62" i="10" s="1"/>
  <c r="AO62" i="10"/>
  <c r="AP61" i="10"/>
  <c r="BN61" i="10" s="1"/>
  <c r="BW61" i="10" s="1"/>
  <c r="AO61" i="10"/>
  <c r="BI61" i="10" s="1"/>
  <c r="BK61" i="10" s="1"/>
  <c r="AP60" i="10"/>
  <c r="BJ60" i="10" s="1"/>
  <c r="BL60" i="10" s="1"/>
  <c r="AO60" i="10"/>
  <c r="BI60" i="10" s="1"/>
  <c r="BK60" i="10" s="1"/>
  <c r="AP59" i="10"/>
  <c r="BN59" i="10" s="1"/>
  <c r="BW59" i="10" s="1"/>
  <c r="AO59" i="10"/>
  <c r="BM59" i="10" s="1"/>
  <c r="BV59" i="10" s="1"/>
  <c r="AP58" i="10"/>
  <c r="AO58" i="10"/>
  <c r="AP57" i="10"/>
  <c r="AO57" i="10"/>
  <c r="BM57" i="10" s="1"/>
  <c r="BV57" i="10" s="1"/>
  <c r="AP56" i="10"/>
  <c r="BJ56" i="10" s="1"/>
  <c r="BL56" i="10" s="1"/>
  <c r="AO56" i="10"/>
  <c r="BA56" i="10"/>
  <c r="BC56" i="10" s="1"/>
  <c r="AP55" i="10"/>
  <c r="AO55" i="10"/>
  <c r="BI55" i="10" s="1"/>
  <c r="BK55" i="10" s="1"/>
  <c r="EC55" i="10"/>
  <c r="AP54" i="10"/>
  <c r="BN54" i="10" s="1"/>
  <c r="BW54" i="10" s="1"/>
  <c r="AO54" i="10"/>
  <c r="BM54" i="10" s="1"/>
  <c r="BV54" i="10" s="1"/>
  <c r="AP53" i="10"/>
  <c r="AO53" i="10"/>
  <c r="BI53" i="10" s="1"/>
  <c r="BK53" i="10" s="1"/>
  <c r="EC53" i="10"/>
  <c r="AP52" i="10"/>
  <c r="BJ52" i="10" s="1"/>
  <c r="BL52" i="10" s="1"/>
  <c r="AO52" i="10"/>
  <c r="AP51" i="10"/>
  <c r="BJ51" i="10" s="1"/>
  <c r="BL51" i="10" s="1"/>
  <c r="AO51" i="10"/>
  <c r="BI51" i="10" s="1"/>
  <c r="BK51" i="10" s="1"/>
  <c r="EC51" i="10"/>
  <c r="AP50" i="10"/>
  <c r="AO50" i="10"/>
  <c r="BI50" i="10" s="1"/>
  <c r="BK50" i="10" s="1"/>
  <c r="AP49" i="10"/>
  <c r="AO49" i="10"/>
  <c r="EC49" i="10"/>
  <c r="AP48" i="10"/>
  <c r="BJ48" i="10" s="1"/>
  <c r="BL48" i="10" s="1"/>
  <c r="AO48" i="10"/>
  <c r="BI48" i="10" s="1"/>
  <c r="BK48" i="10" s="1"/>
  <c r="AP47" i="10"/>
  <c r="BN47" i="10" s="1"/>
  <c r="BW47" i="10" s="1"/>
  <c r="AO47" i="10"/>
  <c r="AP46" i="10"/>
  <c r="BJ46" i="10" s="1"/>
  <c r="BL46" i="10" s="1"/>
  <c r="AO46" i="10"/>
  <c r="BI46" i="10" s="1"/>
  <c r="BK46" i="10" s="1"/>
  <c r="EC46" i="10"/>
  <c r="AP45" i="10"/>
  <c r="BN45" i="10" s="1"/>
  <c r="BW45" i="10" s="1"/>
  <c r="AO45" i="10"/>
  <c r="BM45" i="10" s="1"/>
  <c r="BV45" i="10" s="1"/>
  <c r="AP44" i="10"/>
  <c r="BN44" i="10" s="1"/>
  <c r="BW44" i="10" s="1"/>
  <c r="AO44" i="10"/>
  <c r="BB44" i="10"/>
  <c r="BD44" i="10" s="1"/>
  <c r="AP43" i="10"/>
  <c r="BN43" i="10" s="1"/>
  <c r="BW43" i="10" s="1"/>
  <c r="AO43" i="10"/>
  <c r="BI43" i="10" s="1"/>
  <c r="BK43" i="10" s="1"/>
  <c r="EC43" i="10"/>
  <c r="AP42" i="10"/>
  <c r="BN42" i="10" s="1"/>
  <c r="BW42" i="10" s="1"/>
  <c r="AO42" i="10"/>
  <c r="BI42" i="10" s="1"/>
  <c r="BK42" i="10" s="1"/>
  <c r="AP41" i="10"/>
  <c r="AO41" i="10"/>
  <c r="BM41" i="10" s="1"/>
  <c r="BV41" i="10" s="1"/>
  <c r="AP40" i="10"/>
  <c r="AO40" i="10"/>
  <c r="AP39" i="10"/>
  <c r="BN39" i="10" s="1"/>
  <c r="BW39" i="10" s="1"/>
  <c r="AO39" i="10"/>
  <c r="AP38" i="10"/>
  <c r="BJ38" i="10" s="1"/>
  <c r="BL38" i="10" s="1"/>
  <c r="AO38" i="10"/>
  <c r="AP37" i="10"/>
  <c r="AO37" i="10"/>
  <c r="EC37" i="10"/>
  <c r="AP36" i="10"/>
  <c r="BJ36" i="10" s="1"/>
  <c r="BL36" i="10" s="1"/>
  <c r="AO36" i="10"/>
  <c r="BM36" i="10" s="1"/>
  <c r="BV36" i="10" s="1"/>
  <c r="AP35" i="10"/>
  <c r="AO35" i="10"/>
  <c r="BM35" i="10" s="1"/>
  <c r="BV35" i="10" s="1"/>
  <c r="AP34" i="10"/>
  <c r="BN34" i="10" s="1"/>
  <c r="BW34" i="10" s="1"/>
  <c r="AO34" i="10"/>
  <c r="BM34" i="10" s="1"/>
  <c r="BV34" i="10" s="1"/>
  <c r="AP33" i="10"/>
  <c r="BJ33" i="10" s="1"/>
  <c r="BL33" i="10" s="1"/>
  <c r="AO33" i="10"/>
  <c r="AP32" i="10"/>
  <c r="BJ32" i="10" s="1"/>
  <c r="BL32" i="10" s="1"/>
  <c r="AO32" i="10"/>
  <c r="BI32" i="10" s="1"/>
  <c r="BK32" i="10" s="1"/>
  <c r="AP31" i="10"/>
  <c r="BJ31" i="10" s="1"/>
  <c r="BL31" i="10" s="1"/>
  <c r="AO31" i="10"/>
  <c r="AP30" i="10"/>
  <c r="BJ30" i="10" s="1"/>
  <c r="BL30" i="10" s="1"/>
  <c r="AO30" i="10"/>
  <c r="BM30" i="10" s="1"/>
  <c r="BV30" i="10" s="1"/>
  <c r="AP29" i="10"/>
  <c r="BJ29" i="10" s="1"/>
  <c r="BL29" i="10" s="1"/>
  <c r="AO29" i="10"/>
  <c r="AP28" i="10"/>
  <c r="BJ28" i="10" s="1"/>
  <c r="BL28" i="10" s="1"/>
  <c r="AO28" i="10"/>
  <c r="BM28" i="10" s="1"/>
  <c r="BV28" i="10" s="1"/>
  <c r="AP27" i="10"/>
  <c r="BJ27" i="10" s="1"/>
  <c r="BL27" i="10" s="1"/>
  <c r="AO27" i="10"/>
  <c r="AP26" i="10"/>
  <c r="BJ26" i="10" s="1"/>
  <c r="BL26" i="10" s="1"/>
  <c r="AO26" i="10"/>
  <c r="BM26" i="10" s="1"/>
  <c r="BV26" i="10" s="1"/>
  <c r="AP25" i="10"/>
  <c r="BJ25" i="10" s="1"/>
  <c r="BL25" i="10" s="1"/>
  <c r="AO25" i="10"/>
  <c r="BI25" i="10" s="1"/>
  <c r="BK25" i="10" s="1"/>
  <c r="EC25" i="10"/>
  <c r="AP24" i="10"/>
  <c r="BJ24" i="10" s="1"/>
  <c r="BL24" i="10" s="1"/>
  <c r="AO24" i="10"/>
  <c r="AP23" i="10"/>
  <c r="BJ23" i="10" s="1"/>
  <c r="BL23" i="10" s="1"/>
  <c r="AO23" i="10"/>
  <c r="AP22" i="10"/>
  <c r="BJ22" i="10" s="1"/>
  <c r="BL22" i="10" s="1"/>
  <c r="AO22" i="10"/>
  <c r="BM22" i="10" s="1"/>
  <c r="BV22" i="10" s="1"/>
  <c r="AP21" i="10"/>
  <c r="AO21" i="10"/>
  <c r="BI21" i="10" s="1"/>
  <c r="BK21" i="10" s="1"/>
  <c r="EC21" i="10"/>
  <c r="AP20" i="10"/>
  <c r="BJ20" i="10" s="1"/>
  <c r="BL20" i="10" s="1"/>
  <c r="AO20" i="10"/>
  <c r="BM20" i="10" s="1"/>
  <c r="BV20" i="10" s="1"/>
  <c r="AP19" i="10"/>
  <c r="AO19" i="10"/>
  <c r="BM19" i="10" s="1"/>
  <c r="BV19" i="10" s="1"/>
  <c r="AP18" i="10"/>
  <c r="BN18" i="10" s="1"/>
  <c r="BW18" i="10" s="1"/>
  <c r="AO18" i="10"/>
  <c r="AP17" i="10"/>
  <c r="AO17" i="10"/>
  <c r="BM17" i="10" s="1"/>
  <c r="BV17" i="10" s="1"/>
  <c r="AP16" i="10"/>
  <c r="BN16" i="10" s="1"/>
  <c r="BW16" i="10" s="1"/>
  <c r="AO16" i="10"/>
  <c r="BM16" i="10" s="1"/>
  <c r="BV16" i="10" s="1"/>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AS201" i="10"/>
  <c r="AV201" i="10"/>
  <c r="EM201" i="10" s="1"/>
  <c r="DZ201" i="10"/>
  <c r="EB201" i="10"/>
  <c r="EG201" i="10"/>
  <c r="EL201" i="10"/>
  <c r="AS202" i="10"/>
  <c r="AV202" i="10"/>
  <c r="EM202" i="10" s="1"/>
  <c r="DZ202" i="10"/>
  <c r="EB202" i="10"/>
  <c r="EG202" i="10"/>
  <c r="EL202" i="10"/>
  <c r="AS203" i="10"/>
  <c r="AV203" i="10"/>
  <c r="EM203" i="10" s="1"/>
  <c r="DZ203" i="10"/>
  <c r="EB203" i="10"/>
  <c r="EG203" i="10"/>
  <c r="EL203" i="10"/>
  <c r="AS204" i="10"/>
  <c r="AV204" i="10"/>
  <c r="EM204" i="10" s="1"/>
  <c r="DZ204" i="10"/>
  <c r="EB204" i="10"/>
  <c r="EG204" i="10"/>
  <c r="EL204" i="10"/>
  <c r="AS205" i="10"/>
  <c r="AV205" i="10"/>
  <c r="EM205" i="10" s="1"/>
  <c r="DZ205" i="10"/>
  <c r="EB205" i="10"/>
  <c r="EG205" i="10"/>
  <c r="EL205" i="10"/>
  <c r="AS206" i="10"/>
  <c r="AV206" i="10"/>
  <c r="EM206" i="10" s="1"/>
  <c r="DZ206" i="10"/>
  <c r="EB206" i="10"/>
  <c r="EG206" i="10"/>
  <c r="EL206" i="10"/>
  <c r="AS207" i="10"/>
  <c r="AU207" i="10"/>
  <c r="AY207" i="10" s="1"/>
  <c r="AV207" i="10"/>
  <c r="EM207" i="10" s="1"/>
  <c r="DZ207" i="10"/>
  <c r="EB207" i="10"/>
  <c r="EG207" i="10"/>
  <c r="EL207" i="10"/>
  <c r="AS208" i="10"/>
  <c r="AV208" i="10"/>
  <c r="EM208" i="10" s="1"/>
  <c r="DZ208" i="10"/>
  <c r="EB208" i="10"/>
  <c r="EG208" i="10"/>
  <c r="EL208" i="10"/>
  <c r="AS209" i="10"/>
  <c r="AV209" i="10"/>
  <c r="EM209" i="10" s="1"/>
  <c r="DZ209" i="10"/>
  <c r="EB209" i="10"/>
  <c r="EG209" i="10"/>
  <c r="EL209" i="10"/>
  <c r="AS210" i="10"/>
  <c r="AU210" i="10"/>
  <c r="AY210" i="10" s="1"/>
  <c r="AV210" i="10"/>
  <c r="EM210" i="10" s="1"/>
  <c r="DZ210" i="10"/>
  <c r="EB210" i="10"/>
  <c r="EG210" i="10"/>
  <c r="EL210" i="10"/>
  <c r="AS211" i="10"/>
  <c r="AV211" i="10"/>
  <c r="EM211" i="10" s="1"/>
  <c r="DZ211" i="10"/>
  <c r="EB211" i="10"/>
  <c r="EG211" i="10"/>
  <c r="EL211" i="10"/>
  <c r="AS212" i="10"/>
  <c r="AV212" i="10"/>
  <c r="EM212" i="10" s="1"/>
  <c r="DZ212" i="10"/>
  <c r="EB212" i="10"/>
  <c r="EG212" i="10"/>
  <c r="EL212" i="10"/>
  <c r="AS213" i="10"/>
  <c r="AU213" i="10"/>
  <c r="AY213" i="10" s="1"/>
  <c r="AV213" i="10"/>
  <c r="EM213" i="10" s="1"/>
  <c r="DZ213" i="10"/>
  <c r="EB213" i="10"/>
  <c r="EG213" i="10"/>
  <c r="EL213" i="10"/>
  <c r="AS214" i="10"/>
  <c r="AV214" i="10"/>
  <c r="EM214" i="10" s="1"/>
  <c r="DZ214" i="10"/>
  <c r="EB214" i="10"/>
  <c r="EG214" i="10"/>
  <c r="EL214" i="10"/>
  <c r="AS32" i="10"/>
  <c r="AV32" i="10"/>
  <c r="EM32" i="10" s="1"/>
  <c r="DZ32" i="10"/>
  <c r="EB32" i="10"/>
  <c r="EG32" i="10"/>
  <c r="EL32" i="10"/>
  <c r="AS33" i="10"/>
  <c r="AV33" i="10"/>
  <c r="EM33" i="10" s="1"/>
  <c r="DZ33" i="10"/>
  <c r="EB33" i="10"/>
  <c r="EG33" i="10"/>
  <c r="EL33" i="10"/>
  <c r="AS34" i="10"/>
  <c r="AV34" i="10"/>
  <c r="EM34" i="10" s="1"/>
  <c r="DZ34" i="10"/>
  <c r="EB34" i="10"/>
  <c r="EG34" i="10"/>
  <c r="EL34" i="10"/>
  <c r="AS35" i="10"/>
  <c r="AV35" i="10"/>
  <c r="EM35" i="10" s="1"/>
  <c r="DZ35" i="10"/>
  <c r="EB35" i="10"/>
  <c r="EG35" i="10"/>
  <c r="EL35" i="10"/>
  <c r="AS36" i="10"/>
  <c r="AV36" i="10"/>
  <c r="EM36" i="10" s="1"/>
  <c r="DZ36" i="10"/>
  <c r="EB36" i="10"/>
  <c r="EG36" i="10"/>
  <c r="EL36" i="10"/>
  <c r="AS37" i="10"/>
  <c r="AV37" i="10"/>
  <c r="EM37" i="10" s="1"/>
  <c r="DZ37" i="10"/>
  <c r="EB37" i="10"/>
  <c r="EG37" i="10"/>
  <c r="EL37" i="10"/>
  <c r="AS38" i="10"/>
  <c r="AV38" i="10"/>
  <c r="EM38" i="10" s="1"/>
  <c r="DZ38" i="10"/>
  <c r="EB38" i="10"/>
  <c r="EG38" i="10"/>
  <c r="EL38" i="10"/>
  <c r="AS39" i="10"/>
  <c r="AV39" i="10"/>
  <c r="EM39" i="10" s="1"/>
  <c r="DZ39" i="10"/>
  <c r="EB39" i="10"/>
  <c r="EG39" i="10"/>
  <c r="EL39" i="10"/>
  <c r="AS40" i="10"/>
  <c r="AV40" i="10"/>
  <c r="EM40" i="10" s="1"/>
  <c r="DZ40" i="10"/>
  <c r="EB40" i="10"/>
  <c r="EG40" i="10"/>
  <c r="EL40" i="10"/>
  <c r="AS41" i="10"/>
  <c r="AV41" i="10"/>
  <c r="EM41" i="10" s="1"/>
  <c r="DZ41" i="10"/>
  <c r="EB41" i="10"/>
  <c r="EG41" i="10"/>
  <c r="EL41" i="10"/>
  <c r="AS42" i="10"/>
  <c r="AV42" i="10"/>
  <c r="EM42" i="10" s="1"/>
  <c r="DZ42" i="10"/>
  <c r="EB42" i="10"/>
  <c r="EG42" i="10"/>
  <c r="EL42" i="10"/>
  <c r="AS43" i="10"/>
  <c r="AV43" i="10"/>
  <c r="EM43" i="10" s="1"/>
  <c r="DZ43" i="10"/>
  <c r="EB43" i="10"/>
  <c r="EG43" i="10"/>
  <c r="EL43" i="10"/>
  <c r="AS44" i="10"/>
  <c r="AV44" i="10"/>
  <c r="EM44" i="10" s="1"/>
  <c r="DZ44" i="10"/>
  <c r="EB44" i="10"/>
  <c r="EG44" i="10"/>
  <c r="EL44" i="10"/>
  <c r="AS45" i="10"/>
  <c r="AU45" i="10"/>
  <c r="AV45" i="10"/>
  <c r="EM45" i="10" s="1"/>
  <c r="DZ45" i="10"/>
  <c r="EB45" i="10"/>
  <c r="EG45" i="10"/>
  <c r="EL45" i="10"/>
  <c r="AS46" i="10"/>
  <c r="AV46" i="10"/>
  <c r="EM46" i="10" s="1"/>
  <c r="DZ46" i="10"/>
  <c r="EB46" i="10"/>
  <c r="EG46" i="10"/>
  <c r="EL46" i="10"/>
  <c r="AS47" i="10"/>
  <c r="AV47" i="10"/>
  <c r="EM47" i="10" s="1"/>
  <c r="DZ47" i="10"/>
  <c r="EB47" i="10"/>
  <c r="EG47" i="10"/>
  <c r="EL47" i="10"/>
  <c r="AS48" i="10"/>
  <c r="AV48" i="10"/>
  <c r="EM48" i="10" s="1"/>
  <c r="DZ48" i="10"/>
  <c r="EB48" i="10"/>
  <c r="EG48" i="10"/>
  <c r="EL48" i="10"/>
  <c r="AS49" i="10"/>
  <c r="AV49" i="10"/>
  <c r="EM49" i="10" s="1"/>
  <c r="DZ49" i="10"/>
  <c r="EB49" i="10"/>
  <c r="EG49" i="10"/>
  <c r="EL49" i="10"/>
  <c r="AS50" i="10"/>
  <c r="AV50" i="10"/>
  <c r="EM50" i="10" s="1"/>
  <c r="DZ50" i="10"/>
  <c r="EB50" i="10"/>
  <c r="EG50" i="10"/>
  <c r="EL50" i="10"/>
  <c r="AS51" i="10"/>
  <c r="AV51" i="10"/>
  <c r="EM51" i="10" s="1"/>
  <c r="DZ51" i="10"/>
  <c r="EB51" i="10"/>
  <c r="EG51" i="10"/>
  <c r="EL51" i="10"/>
  <c r="AS52" i="10"/>
  <c r="AV52" i="10"/>
  <c r="EM52" i="10" s="1"/>
  <c r="DZ52" i="10"/>
  <c r="EB52" i="10"/>
  <c r="EG52" i="10"/>
  <c r="EL52" i="10"/>
  <c r="AS53" i="10"/>
  <c r="AU53" i="10"/>
  <c r="AV53" i="10"/>
  <c r="EM53" i="10" s="1"/>
  <c r="DZ53" i="10"/>
  <c r="EB53" i="10"/>
  <c r="EG53" i="10"/>
  <c r="EL53" i="10"/>
  <c r="AS54" i="10"/>
  <c r="AV54" i="10"/>
  <c r="EM54" i="10" s="1"/>
  <c r="DZ54" i="10"/>
  <c r="EB54" i="10"/>
  <c r="EG54" i="10"/>
  <c r="EL54" i="10"/>
  <c r="AS55" i="10"/>
  <c r="AV55" i="10"/>
  <c r="EM55" i="10" s="1"/>
  <c r="DZ55" i="10"/>
  <c r="EB55" i="10"/>
  <c r="EG55" i="10"/>
  <c r="EL55" i="10"/>
  <c r="AS56" i="10"/>
  <c r="AV56" i="10"/>
  <c r="EM56" i="10" s="1"/>
  <c r="DZ56" i="10"/>
  <c r="EB56" i="10"/>
  <c r="EG56" i="10"/>
  <c r="EL56" i="10"/>
  <c r="AS57" i="10"/>
  <c r="AV57" i="10"/>
  <c r="EM57" i="10" s="1"/>
  <c r="DZ57" i="10"/>
  <c r="EB57" i="10"/>
  <c r="EG57" i="10"/>
  <c r="EL57" i="10"/>
  <c r="AS58" i="10"/>
  <c r="AV58" i="10"/>
  <c r="EM58" i="10" s="1"/>
  <c r="DZ58" i="10"/>
  <c r="EB58" i="10"/>
  <c r="EG58" i="10"/>
  <c r="EL58" i="10"/>
  <c r="AS59" i="10"/>
  <c r="AV59" i="10"/>
  <c r="EM59" i="10" s="1"/>
  <c r="DZ59" i="10"/>
  <c r="EB59" i="10"/>
  <c r="EG59" i="10"/>
  <c r="EL59" i="10"/>
  <c r="AS60" i="10"/>
  <c r="AV60" i="10"/>
  <c r="EM60" i="10" s="1"/>
  <c r="DZ60" i="10"/>
  <c r="EB60" i="10"/>
  <c r="EG60" i="10"/>
  <c r="EL60" i="10"/>
  <c r="AS61" i="10"/>
  <c r="AV61" i="10"/>
  <c r="EM61" i="10" s="1"/>
  <c r="DZ61" i="10"/>
  <c r="EB61" i="10"/>
  <c r="EG61" i="10"/>
  <c r="EL61" i="10"/>
  <c r="AS62" i="10"/>
  <c r="AV62" i="10"/>
  <c r="EM62" i="10" s="1"/>
  <c r="DZ62" i="10"/>
  <c r="EB62" i="10"/>
  <c r="EG62" i="10"/>
  <c r="EL62" i="10"/>
  <c r="AS63" i="10"/>
  <c r="AV63" i="10"/>
  <c r="EM63" i="10" s="1"/>
  <c r="DZ63" i="10"/>
  <c r="EB63" i="10"/>
  <c r="EG63" i="10"/>
  <c r="EL63" i="10"/>
  <c r="AS64" i="10"/>
  <c r="AV64" i="10"/>
  <c r="EM64" i="10" s="1"/>
  <c r="DZ64" i="10"/>
  <c r="EB64" i="10"/>
  <c r="EG64" i="10"/>
  <c r="EL64" i="10"/>
  <c r="AS65" i="10"/>
  <c r="AV65" i="10"/>
  <c r="EM65" i="10" s="1"/>
  <c r="DZ65" i="10"/>
  <c r="EB65" i="10"/>
  <c r="EG65" i="10"/>
  <c r="EL65" i="10"/>
  <c r="AS66" i="10"/>
  <c r="AV66" i="10"/>
  <c r="EM66" i="10" s="1"/>
  <c r="DZ66" i="10"/>
  <c r="EB66" i="10"/>
  <c r="EG66" i="10"/>
  <c r="EL66" i="10"/>
  <c r="AS67" i="10"/>
  <c r="AV67" i="10"/>
  <c r="EM67" i="10" s="1"/>
  <c r="DZ67" i="10"/>
  <c r="EB67" i="10"/>
  <c r="EG67" i="10"/>
  <c r="EL67" i="10"/>
  <c r="AS68" i="10"/>
  <c r="AV68" i="10"/>
  <c r="EM68" i="10" s="1"/>
  <c r="DZ68" i="10"/>
  <c r="EB68" i="10"/>
  <c r="EG68" i="10"/>
  <c r="EL68" i="10"/>
  <c r="AS69" i="10"/>
  <c r="AV69" i="10"/>
  <c r="EM69" i="10" s="1"/>
  <c r="DZ69" i="10"/>
  <c r="EB69" i="10"/>
  <c r="EG69" i="10"/>
  <c r="EL69" i="10"/>
  <c r="AS70" i="10"/>
  <c r="AV70" i="10"/>
  <c r="EM70" i="10" s="1"/>
  <c r="DZ70" i="10"/>
  <c r="EB70" i="10"/>
  <c r="EG70" i="10"/>
  <c r="EL70" i="10"/>
  <c r="AS71" i="10"/>
  <c r="AV71" i="10"/>
  <c r="EM71" i="10" s="1"/>
  <c r="DZ71" i="10"/>
  <c r="EB71" i="10"/>
  <c r="EG71" i="10"/>
  <c r="EL71" i="10"/>
  <c r="AS72" i="10"/>
  <c r="AV72" i="10"/>
  <c r="EM72" i="10" s="1"/>
  <c r="DZ72" i="10"/>
  <c r="EB72" i="10"/>
  <c r="EG72" i="10"/>
  <c r="EL72" i="10"/>
  <c r="AS73" i="10"/>
  <c r="AV73" i="10"/>
  <c r="EM73" i="10" s="1"/>
  <c r="DZ73" i="10"/>
  <c r="EB73" i="10"/>
  <c r="EG73" i="10"/>
  <c r="EL73" i="10"/>
  <c r="AS74" i="10"/>
  <c r="AV74" i="10"/>
  <c r="EM74" i="10" s="1"/>
  <c r="DZ74" i="10"/>
  <c r="EB74" i="10"/>
  <c r="EG74" i="10"/>
  <c r="EL74" i="10"/>
  <c r="AS75" i="10"/>
  <c r="AV75" i="10"/>
  <c r="EM75" i="10" s="1"/>
  <c r="DZ75" i="10"/>
  <c r="EB75" i="10"/>
  <c r="EG75" i="10"/>
  <c r="EL75" i="10"/>
  <c r="AS76" i="10"/>
  <c r="AV76" i="10"/>
  <c r="EM76" i="10" s="1"/>
  <c r="DZ76" i="10"/>
  <c r="EB76" i="10"/>
  <c r="EG76" i="10"/>
  <c r="EL76" i="10"/>
  <c r="AS77" i="10"/>
  <c r="AV77" i="10"/>
  <c r="EM77" i="10" s="1"/>
  <c r="DZ77" i="10"/>
  <c r="EB77" i="10"/>
  <c r="EG77" i="10"/>
  <c r="EL77" i="10"/>
  <c r="AS78" i="10"/>
  <c r="AV78" i="10"/>
  <c r="EM78" i="10" s="1"/>
  <c r="DZ78" i="10"/>
  <c r="EB78" i="10"/>
  <c r="EG78" i="10"/>
  <c r="EL78" i="10"/>
  <c r="AS79" i="10"/>
  <c r="AV79" i="10"/>
  <c r="EM79" i="10" s="1"/>
  <c r="DZ79" i="10"/>
  <c r="EB79" i="10"/>
  <c r="EG79" i="10"/>
  <c r="EL79" i="10"/>
  <c r="AS80" i="10"/>
  <c r="AV80" i="10"/>
  <c r="EM80" i="10" s="1"/>
  <c r="DZ80" i="10"/>
  <c r="EB80" i="10"/>
  <c r="EG80" i="10"/>
  <c r="EL80" i="10"/>
  <c r="AS81" i="10"/>
  <c r="AV81" i="10"/>
  <c r="EM81" i="10" s="1"/>
  <c r="DZ81" i="10"/>
  <c r="EB81" i="10"/>
  <c r="EG81" i="10"/>
  <c r="EL81" i="10"/>
  <c r="AS82" i="10"/>
  <c r="AV82" i="10"/>
  <c r="EM82" i="10" s="1"/>
  <c r="DZ82" i="10"/>
  <c r="EB82" i="10"/>
  <c r="EG82" i="10"/>
  <c r="EL82" i="10"/>
  <c r="AS83" i="10"/>
  <c r="AV83" i="10"/>
  <c r="EM83" i="10" s="1"/>
  <c r="DZ83" i="10"/>
  <c r="EB83" i="10"/>
  <c r="EG83" i="10"/>
  <c r="EL83" i="10"/>
  <c r="AS84" i="10"/>
  <c r="AV84" i="10"/>
  <c r="EM84" i="10" s="1"/>
  <c r="DZ84" i="10"/>
  <c r="EB84" i="10"/>
  <c r="EG84" i="10"/>
  <c r="EL84" i="10"/>
  <c r="AS85" i="10"/>
  <c r="AV85" i="10"/>
  <c r="EM85" i="10" s="1"/>
  <c r="DZ85" i="10"/>
  <c r="EB85" i="10"/>
  <c r="EG85" i="10"/>
  <c r="EL85" i="10"/>
  <c r="AS86" i="10"/>
  <c r="AV86" i="10"/>
  <c r="EM86" i="10" s="1"/>
  <c r="DZ86" i="10"/>
  <c r="EB86" i="10"/>
  <c r="EG86" i="10"/>
  <c r="EL86" i="10"/>
  <c r="AS87" i="10"/>
  <c r="AV87" i="10"/>
  <c r="EM87" i="10" s="1"/>
  <c r="DZ87" i="10"/>
  <c r="EB87" i="10"/>
  <c r="EG87" i="10"/>
  <c r="EL87" i="10"/>
  <c r="AS88" i="10"/>
  <c r="AV88" i="10"/>
  <c r="EM88" i="10" s="1"/>
  <c r="DZ88" i="10"/>
  <c r="EB88" i="10"/>
  <c r="EG88" i="10"/>
  <c r="EL88" i="10"/>
  <c r="AS89" i="10"/>
  <c r="AV89" i="10"/>
  <c r="EM89" i="10" s="1"/>
  <c r="DZ89" i="10"/>
  <c r="EB89" i="10"/>
  <c r="EG89" i="10"/>
  <c r="EL89" i="10"/>
  <c r="AS90" i="10"/>
  <c r="AU90" i="10"/>
  <c r="AV90" i="10"/>
  <c r="EM90" i="10" s="1"/>
  <c r="DZ90" i="10"/>
  <c r="EB90" i="10"/>
  <c r="EG90" i="10"/>
  <c r="EL90" i="10"/>
  <c r="AS91" i="10"/>
  <c r="AV91" i="10"/>
  <c r="EM91" i="10" s="1"/>
  <c r="DZ91" i="10"/>
  <c r="EB91" i="10"/>
  <c r="EG91" i="10"/>
  <c r="EL91" i="10"/>
  <c r="AS92" i="10"/>
  <c r="AV92" i="10"/>
  <c r="EM92" i="10" s="1"/>
  <c r="DZ92" i="10"/>
  <c r="EB92" i="10"/>
  <c r="EG92" i="10"/>
  <c r="EL92" i="10"/>
  <c r="AS93" i="10"/>
  <c r="AV93" i="10"/>
  <c r="EM93" i="10" s="1"/>
  <c r="DZ93" i="10"/>
  <c r="EB93" i="10"/>
  <c r="EG93" i="10"/>
  <c r="EL93" i="10"/>
  <c r="AS94" i="10"/>
  <c r="AV94" i="10"/>
  <c r="EM94" i="10" s="1"/>
  <c r="DZ94" i="10"/>
  <c r="EB94" i="10"/>
  <c r="EG94" i="10"/>
  <c r="EL94" i="10"/>
  <c r="AS95" i="10"/>
  <c r="AV95" i="10"/>
  <c r="EM95" i="10" s="1"/>
  <c r="DZ95" i="10"/>
  <c r="EB95" i="10"/>
  <c r="EG95" i="10"/>
  <c r="EL95" i="10"/>
  <c r="AS96" i="10"/>
  <c r="AV96" i="10"/>
  <c r="EM96" i="10" s="1"/>
  <c r="DZ96" i="10"/>
  <c r="EB96" i="10"/>
  <c r="EG96" i="10"/>
  <c r="EL96" i="10"/>
  <c r="AS97" i="10"/>
  <c r="AV97" i="10"/>
  <c r="EM97" i="10" s="1"/>
  <c r="DZ97" i="10"/>
  <c r="EB97" i="10"/>
  <c r="EG97" i="10"/>
  <c r="EL97" i="10"/>
  <c r="AS98" i="10"/>
  <c r="AV98" i="10"/>
  <c r="EM98" i="10" s="1"/>
  <c r="DZ98" i="10"/>
  <c r="EB98" i="10"/>
  <c r="EG98" i="10"/>
  <c r="EL98" i="10"/>
  <c r="AS99" i="10"/>
  <c r="AV99" i="10"/>
  <c r="EM99" i="10" s="1"/>
  <c r="DZ99" i="10"/>
  <c r="EB99" i="10"/>
  <c r="EG99" i="10"/>
  <c r="EL99" i="10"/>
  <c r="AS100" i="10"/>
  <c r="AV100" i="10"/>
  <c r="EM100" i="10" s="1"/>
  <c r="DZ100" i="10"/>
  <c r="EB100" i="10"/>
  <c r="EG100" i="10"/>
  <c r="EL100" i="10"/>
  <c r="AS101" i="10"/>
  <c r="AV101" i="10"/>
  <c r="EM101" i="10" s="1"/>
  <c r="DZ101" i="10"/>
  <c r="EB101" i="10"/>
  <c r="EG101" i="10"/>
  <c r="EL101" i="10"/>
  <c r="AS102" i="10"/>
  <c r="AV102" i="10"/>
  <c r="EM102" i="10" s="1"/>
  <c r="DZ102" i="10"/>
  <c r="EB102" i="10"/>
  <c r="EG102" i="10"/>
  <c r="EL102" i="10"/>
  <c r="AS103" i="10"/>
  <c r="AV103" i="10"/>
  <c r="EM103" i="10" s="1"/>
  <c r="DZ103" i="10"/>
  <c r="EB103" i="10"/>
  <c r="EG103" i="10"/>
  <c r="EL103" i="10"/>
  <c r="AS104" i="10"/>
  <c r="AV104" i="10"/>
  <c r="EM104" i="10" s="1"/>
  <c r="DZ104" i="10"/>
  <c r="EB104" i="10"/>
  <c r="EG104" i="10"/>
  <c r="EL104" i="10"/>
  <c r="AS105" i="10"/>
  <c r="AV105" i="10"/>
  <c r="EM105" i="10" s="1"/>
  <c r="DZ105" i="10"/>
  <c r="EB105" i="10"/>
  <c r="EG105" i="10"/>
  <c r="EL105" i="10"/>
  <c r="AS106" i="10"/>
  <c r="AV106" i="10"/>
  <c r="EM106" i="10" s="1"/>
  <c r="DZ106" i="10"/>
  <c r="EB106" i="10"/>
  <c r="EG106" i="10"/>
  <c r="EL106" i="10"/>
  <c r="AS107" i="10"/>
  <c r="AV107" i="10"/>
  <c r="EM107" i="10" s="1"/>
  <c r="DZ107" i="10"/>
  <c r="EB107" i="10"/>
  <c r="EG107" i="10"/>
  <c r="EL107" i="10"/>
  <c r="AS108" i="10"/>
  <c r="AV108" i="10"/>
  <c r="EM108" i="10" s="1"/>
  <c r="DZ108" i="10"/>
  <c r="EB108" i="10"/>
  <c r="EG108" i="10"/>
  <c r="EL108" i="10"/>
  <c r="AS109" i="10"/>
  <c r="AV109" i="10"/>
  <c r="EM109" i="10" s="1"/>
  <c r="DZ109" i="10"/>
  <c r="EB109" i="10"/>
  <c r="EG109" i="10"/>
  <c r="EL109" i="10"/>
  <c r="AS110" i="10"/>
  <c r="AV110" i="10"/>
  <c r="EM110" i="10" s="1"/>
  <c r="DZ110" i="10"/>
  <c r="EB110" i="10"/>
  <c r="EG110" i="10"/>
  <c r="EL110" i="10"/>
  <c r="AS111" i="10"/>
  <c r="AV111" i="10"/>
  <c r="EM111" i="10" s="1"/>
  <c r="DZ111" i="10"/>
  <c r="EB111" i="10"/>
  <c r="EG111" i="10"/>
  <c r="EL111" i="10"/>
  <c r="AS112" i="10"/>
  <c r="AV112" i="10"/>
  <c r="EM112" i="10" s="1"/>
  <c r="DZ112" i="10"/>
  <c r="EB112" i="10"/>
  <c r="EG112" i="10"/>
  <c r="EL112" i="10"/>
  <c r="AS113" i="10"/>
  <c r="AV113" i="10"/>
  <c r="EM113" i="10" s="1"/>
  <c r="DZ113" i="10"/>
  <c r="EB113" i="10"/>
  <c r="EG113" i="10"/>
  <c r="EL113" i="10"/>
  <c r="AS114" i="10"/>
  <c r="AV114" i="10"/>
  <c r="EM114" i="10" s="1"/>
  <c r="DZ114" i="10"/>
  <c r="EB114" i="10"/>
  <c r="EG114" i="10"/>
  <c r="EL114" i="10"/>
  <c r="AS115" i="10"/>
  <c r="AV115" i="10"/>
  <c r="EM115" i="10" s="1"/>
  <c r="DZ115" i="10"/>
  <c r="EB115" i="10"/>
  <c r="EG115" i="10"/>
  <c r="EL115" i="10"/>
  <c r="AS116" i="10"/>
  <c r="AV116" i="10"/>
  <c r="EM116" i="10" s="1"/>
  <c r="DZ116" i="10"/>
  <c r="EB116" i="10"/>
  <c r="EG116" i="10"/>
  <c r="EL116" i="10"/>
  <c r="AS117" i="10"/>
  <c r="AV117" i="10"/>
  <c r="EM117" i="10" s="1"/>
  <c r="DZ117" i="10"/>
  <c r="EB117" i="10"/>
  <c r="EG117" i="10"/>
  <c r="EL117" i="10"/>
  <c r="AS118" i="10"/>
  <c r="AV118" i="10"/>
  <c r="EM118" i="10" s="1"/>
  <c r="DZ118" i="10"/>
  <c r="EB118" i="10"/>
  <c r="EG118" i="10"/>
  <c r="EL118" i="10"/>
  <c r="AS119" i="10"/>
  <c r="AV119" i="10"/>
  <c r="EM119" i="10" s="1"/>
  <c r="DZ119" i="10"/>
  <c r="EB119" i="10"/>
  <c r="EG119" i="10"/>
  <c r="EL119" i="10"/>
  <c r="AS120" i="10"/>
  <c r="AV120" i="10"/>
  <c r="EM120" i="10" s="1"/>
  <c r="DZ120" i="10"/>
  <c r="EB120" i="10"/>
  <c r="EG120" i="10"/>
  <c r="EL120" i="10"/>
  <c r="AS121" i="10"/>
  <c r="AV121" i="10"/>
  <c r="EM121" i="10" s="1"/>
  <c r="DZ121" i="10"/>
  <c r="EB121" i="10"/>
  <c r="EG121" i="10"/>
  <c r="EL121" i="10"/>
  <c r="AS122" i="10"/>
  <c r="AV122" i="10"/>
  <c r="EM122" i="10" s="1"/>
  <c r="DZ122" i="10"/>
  <c r="EB122" i="10"/>
  <c r="EG122" i="10"/>
  <c r="EL122" i="10"/>
  <c r="AS123" i="10"/>
  <c r="AV123" i="10"/>
  <c r="EM123" i="10" s="1"/>
  <c r="DZ123" i="10"/>
  <c r="EB123" i="10"/>
  <c r="EG123" i="10"/>
  <c r="EL123" i="10"/>
  <c r="AS124" i="10"/>
  <c r="AV124" i="10"/>
  <c r="EM124" i="10" s="1"/>
  <c r="DZ124" i="10"/>
  <c r="EB124" i="10"/>
  <c r="EG124" i="10"/>
  <c r="EL124" i="10"/>
  <c r="AS125" i="10"/>
  <c r="AV125" i="10"/>
  <c r="EM125" i="10" s="1"/>
  <c r="DZ125" i="10"/>
  <c r="EB125" i="10"/>
  <c r="EG125" i="10"/>
  <c r="EL125" i="10"/>
  <c r="AS126" i="10"/>
  <c r="AV126" i="10"/>
  <c r="EM126" i="10" s="1"/>
  <c r="DZ126" i="10"/>
  <c r="EB126" i="10"/>
  <c r="EG126" i="10"/>
  <c r="EL126" i="10"/>
  <c r="AS127" i="10"/>
  <c r="AV127" i="10"/>
  <c r="EM127" i="10" s="1"/>
  <c r="DZ127" i="10"/>
  <c r="EB127" i="10"/>
  <c r="EG127" i="10"/>
  <c r="EL127" i="10"/>
  <c r="AS128" i="10"/>
  <c r="AV128" i="10"/>
  <c r="EM128" i="10" s="1"/>
  <c r="DZ128" i="10"/>
  <c r="EB128" i="10"/>
  <c r="EG128" i="10"/>
  <c r="EL128" i="10"/>
  <c r="AS129" i="10"/>
  <c r="AV129" i="10"/>
  <c r="EM129" i="10" s="1"/>
  <c r="DZ129" i="10"/>
  <c r="EB129" i="10"/>
  <c r="EG129" i="10"/>
  <c r="EL129" i="10"/>
  <c r="AS130" i="10"/>
  <c r="AV130" i="10"/>
  <c r="EM130" i="10" s="1"/>
  <c r="DZ130" i="10"/>
  <c r="EB130" i="10"/>
  <c r="EG130" i="10"/>
  <c r="EL130" i="10"/>
  <c r="AS131" i="10"/>
  <c r="AV131" i="10"/>
  <c r="EM131" i="10" s="1"/>
  <c r="DZ131" i="10"/>
  <c r="EB131" i="10"/>
  <c r="EG131" i="10"/>
  <c r="EL131" i="10"/>
  <c r="AS132" i="10"/>
  <c r="AV132" i="10"/>
  <c r="EM132" i="10" s="1"/>
  <c r="DZ132" i="10"/>
  <c r="EB132" i="10"/>
  <c r="EG132" i="10"/>
  <c r="EL132" i="10"/>
  <c r="AS133" i="10"/>
  <c r="AV133" i="10"/>
  <c r="EM133" i="10" s="1"/>
  <c r="DZ133" i="10"/>
  <c r="EB133" i="10"/>
  <c r="EG133" i="10"/>
  <c r="EL133" i="10"/>
  <c r="AS134" i="10"/>
  <c r="AV134" i="10"/>
  <c r="EM134" i="10" s="1"/>
  <c r="DZ134" i="10"/>
  <c r="EB134" i="10"/>
  <c r="EG134" i="10"/>
  <c r="EL134" i="10"/>
  <c r="AS135" i="10"/>
  <c r="AV135" i="10"/>
  <c r="EM135" i="10" s="1"/>
  <c r="DZ135" i="10"/>
  <c r="EB135" i="10"/>
  <c r="EG135" i="10"/>
  <c r="EL135" i="10"/>
  <c r="AS136" i="10"/>
  <c r="AV136" i="10"/>
  <c r="EM136" i="10" s="1"/>
  <c r="DZ136" i="10"/>
  <c r="EB136" i="10"/>
  <c r="EG136" i="10"/>
  <c r="EL136" i="10"/>
  <c r="AS137" i="10"/>
  <c r="AV137" i="10"/>
  <c r="EM137" i="10" s="1"/>
  <c r="DZ137" i="10"/>
  <c r="EB137" i="10"/>
  <c r="EG137" i="10"/>
  <c r="EL137" i="10"/>
  <c r="AS138" i="10"/>
  <c r="AV138" i="10"/>
  <c r="EM138" i="10" s="1"/>
  <c r="DZ138" i="10"/>
  <c r="EB138" i="10"/>
  <c r="EG138" i="10"/>
  <c r="EL138" i="10"/>
  <c r="AS139" i="10"/>
  <c r="AV139" i="10"/>
  <c r="EM139" i="10" s="1"/>
  <c r="DZ139" i="10"/>
  <c r="EB139" i="10"/>
  <c r="EG139" i="10"/>
  <c r="EL139" i="10"/>
  <c r="AS140" i="10"/>
  <c r="AV140" i="10"/>
  <c r="EM140" i="10" s="1"/>
  <c r="DZ140" i="10"/>
  <c r="EB140" i="10"/>
  <c r="EG140" i="10"/>
  <c r="EL140" i="10"/>
  <c r="AS141" i="10"/>
  <c r="AV141" i="10"/>
  <c r="EM141" i="10" s="1"/>
  <c r="DZ141" i="10"/>
  <c r="EB141" i="10"/>
  <c r="EG141" i="10"/>
  <c r="EL141" i="10"/>
  <c r="AS142" i="10"/>
  <c r="AV142" i="10"/>
  <c r="EM142" i="10" s="1"/>
  <c r="DZ142" i="10"/>
  <c r="EB142" i="10"/>
  <c r="EG142" i="10"/>
  <c r="EL142" i="10"/>
  <c r="AS143" i="10"/>
  <c r="AV143" i="10"/>
  <c r="EM143" i="10" s="1"/>
  <c r="DZ143" i="10"/>
  <c r="EB143" i="10"/>
  <c r="EG143" i="10"/>
  <c r="EL143" i="10"/>
  <c r="AS144" i="10"/>
  <c r="AV144" i="10"/>
  <c r="EM144" i="10" s="1"/>
  <c r="DZ144" i="10"/>
  <c r="EB144" i="10"/>
  <c r="EG144" i="10"/>
  <c r="EL144" i="10"/>
  <c r="AS145" i="10"/>
  <c r="AV145" i="10"/>
  <c r="EM145" i="10" s="1"/>
  <c r="DZ145" i="10"/>
  <c r="EB145" i="10"/>
  <c r="EG145" i="10"/>
  <c r="EL145" i="10"/>
  <c r="AS146" i="10"/>
  <c r="AV146" i="10"/>
  <c r="EM146" i="10" s="1"/>
  <c r="DZ146" i="10"/>
  <c r="EB146" i="10"/>
  <c r="EG146" i="10"/>
  <c r="EL146" i="10"/>
  <c r="AS147" i="10"/>
  <c r="AV147" i="10"/>
  <c r="EM147" i="10" s="1"/>
  <c r="DZ147" i="10"/>
  <c r="EB147" i="10"/>
  <c r="EG147" i="10"/>
  <c r="EL147" i="10"/>
  <c r="AS148" i="10"/>
  <c r="AV148" i="10"/>
  <c r="EM148" i="10" s="1"/>
  <c r="DZ148" i="10"/>
  <c r="EB148" i="10"/>
  <c r="EG148" i="10"/>
  <c r="EL148" i="10"/>
  <c r="AS149" i="10"/>
  <c r="AV149" i="10"/>
  <c r="EM149" i="10" s="1"/>
  <c r="DZ149" i="10"/>
  <c r="EB149" i="10"/>
  <c r="EG149" i="10"/>
  <c r="EL149" i="10"/>
  <c r="AS150" i="10"/>
  <c r="AV150" i="10"/>
  <c r="EM150" i="10" s="1"/>
  <c r="DZ150" i="10"/>
  <c r="EB150" i="10"/>
  <c r="EG150" i="10"/>
  <c r="EL150" i="10"/>
  <c r="AS151" i="10"/>
  <c r="AV151" i="10"/>
  <c r="EM151" i="10" s="1"/>
  <c r="DZ151" i="10"/>
  <c r="EB151" i="10"/>
  <c r="EG151" i="10"/>
  <c r="EL151" i="10"/>
  <c r="AS152" i="10"/>
  <c r="AV152" i="10"/>
  <c r="EM152" i="10" s="1"/>
  <c r="DZ152" i="10"/>
  <c r="EB152" i="10"/>
  <c r="EG152" i="10"/>
  <c r="EL152" i="10"/>
  <c r="AS153" i="10"/>
  <c r="AV153" i="10"/>
  <c r="EM153" i="10" s="1"/>
  <c r="DZ153" i="10"/>
  <c r="EB153" i="10"/>
  <c r="EG153" i="10"/>
  <c r="EL153" i="10"/>
  <c r="AS154" i="10"/>
  <c r="AV154" i="10"/>
  <c r="EM154" i="10" s="1"/>
  <c r="DZ154" i="10"/>
  <c r="EB154" i="10"/>
  <c r="EG154" i="10"/>
  <c r="EL154" i="10"/>
  <c r="AS155" i="10"/>
  <c r="AV155" i="10"/>
  <c r="EM155" i="10" s="1"/>
  <c r="DZ155" i="10"/>
  <c r="EB155" i="10"/>
  <c r="EG155" i="10"/>
  <c r="EL155" i="10"/>
  <c r="AS156" i="10"/>
  <c r="AV156" i="10"/>
  <c r="EM156" i="10" s="1"/>
  <c r="DZ156" i="10"/>
  <c r="EB156" i="10"/>
  <c r="EG156" i="10"/>
  <c r="EL156" i="10"/>
  <c r="AS157" i="10"/>
  <c r="AV157" i="10"/>
  <c r="EM157" i="10" s="1"/>
  <c r="DZ157" i="10"/>
  <c r="EB157" i="10"/>
  <c r="EG157" i="10"/>
  <c r="EL157" i="10"/>
  <c r="AS158" i="10"/>
  <c r="AU158" i="10"/>
  <c r="AY158" i="10" s="1"/>
  <c r="AV158" i="10"/>
  <c r="EM158" i="10" s="1"/>
  <c r="DZ158" i="10"/>
  <c r="EB158" i="10"/>
  <c r="EG158" i="10"/>
  <c r="EL158" i="10"/>
  <c r="AS159" i="10"/>
  <c r="AV159" i="10"/>
  <c r="EM159" i="10" s="1"/>
  <c r="DZ159" i="10"/>
  <c r="EB159" i="10"/>
  <c r="EG159" i="10"/>
  <c r="EL159" i="10"/>
  <c r="AS160" i="10"/>
  <c r="AV160" i="10"/>
  <c r="EM160" i="10" s="1"/>
  <c r="DZ160" i="10"/>
  <c r="EB160" i="10"/>
  <c r="EG160" i="10"/>
  <c r="EL160" i="10"/>
  <c r="AS161" i="10"/>
  <c r="AV161" i="10"/>
  <c r="EM161" i="10" s="1"/>
  <c r="DZ161" i="10"/>
  <c r="EB161" i="10"/>
  <c r="EG161" i="10"/>
  <c r="EL161" i="10"/>
  <c r="AS162" i="10"/>
  <c r="AU162" i="10"/>
  <c r="AV162" i="10"/>
  <c r="EM162" i="10" s="1"/>
  <c r="DZ162" i="10"/>
  <c r="EB162" i="10"/>
  <c r="EG162" i="10"/>
  <c r="EL162" i="10"/>
  <c r="AS163" i="10"/>
  <c r="AV163" i="10"/>
  <c r="EM163" i="10" s="1"/>
  <c r="DZ163" i="10"/>
  <c r="EB163" i="10"/>
  <c r="EG163" i="10"/>
  <c r="EL163" i="10"/>
  <c r="AS164" i="10"/>
  <c r="AV164" i="10"/>
  <c r="EM164" i="10" s="1"/>
  <c r="DZ164" i="10"/>
  <c r="EB164" i="10"/>
  <c r="EG164" i="10"/>
  <c r="EL164" i="10"/>
  <c r="AS165" i="10"/>
  <c r="AV165" i="10"/>
  <c r="EM165" i="10" s="1"/>
  <c r="DZ165" i="10"/>
  <c r="EB165" i="10"/>
  <c r="EG165" i="10"/>
  <c r="EL165" i="10"/>
  <c r="AS166" i="10"/>
  <c r="AV166" i="10"/>
  <c r="EM166" i="10" s="1"/>
  <c r="DZ166" i="10"/>
  <c r="EB166" i="10"/>
  <c r="EG166" i="10"/>
  <c r="EL166" i="10"/>
  <c r="AS167" i="10"/>
  <c r="AV167" i="10"/>
  <c r="EM167" i="10" s="1"/>
  <c r="DZ167" i="10"/>
  <c r="EB167" i="10"/>
  <c r="EG167" i="10"/>
  <c r="EL167" i="10"/>
  <c r="AS168" i="10"/>
  <c r="AV168" i="10"/>
  <c r="EM168" i="10" s="1"/>
  <c r="DZ168" i="10"/>
  <c r="EB168" i="10"/>
  <c r="EG168" i="10"/>
  <c r="EL168" i="10"/>
  <c r="AS169" i="10"/>
  <c r="AV169" i="10"/>
  <c r="EM169" i="10" s="1"/>
  <c r="DZ169" i="10"/>
  <c r="EB169" i="10"/>
  <c r="EG169" i="10"/>
  <c r="EL169" i="10"/>
  <c r="AS170" i="10"/>
  <c r="AU170" i="10"/>
  <c r="AY170" i="10" s="1"/>
  <c r="AV170" i="10"/>
  <c r="EM170" i="10" s="1"/>
  <c r="DZ170" i="10"/>
  <c r="EB170" i="10"/>
  <c r="EG170" i="10"/>
  <c r="EL170" i="10"/>
  <c r="AS171" i="10"/>
  <c r="AV171" i="10"/>
  <c r="EM171" i="10" s="1"/>
  <c r="DZ171" i="10"/>
  <c r="EB171" i="10"/>
  <c r="EG171" i="10"/>
  <c r="EL171" i="10"/>
  <c r="AS172" i="10"/>
  <c r="AV172" i="10"/>
  <c r="EM172" i="10" s="1"/>
  <c r="DZ172" i="10"/>
  <c r="EB172" i="10"/>
  <c r="EG172" i="10"/>
  <c r="EL172" i="10"/>
  <c r="AS173" i="10"/>
  <c r="AV173" i="10"/>
  <c r="EM173" i="10" s="1"/>
  <c r="DZ173" i="10"/>
  <c r="EB173" i="10"/>
  <c r="EG173" i="10"/>
  <c r="EL173" i="10"/>
  <c r="AS174" i="10"/>
  <c r="AV174" i="10"/>
  <c r="EM174" i="10" s="1"/>
  <c r="DZ174" i="10"/>
  <c r="EB174" i="10"/>
  <c r="EG174" i="10"/>
  <c r="EL174" i="10"/>
  <c r="AS175" i="10"/>
  <c r="AV175" i="10"/>
  <c r="EM175" i="10" s="1"/>
  <c r="DZ175" i="10"/>
  <c r="EB175" i="10"/>
  <c r="EG175" i="10"/>
  <c r="EL175" i="10"/>
  <c r="AS176" i="10"/>
  <c r="AV176" i="10"/>
  <c r="EM176" i="10" s="1"/>
  <c r="DZ176" i="10"/>
  <c r="EB176" i="10"/>
  <c r="EG176" i="10"/>
  <c r="EL176" i="10"/>
  <c r="AS177" i="10"/>
  <c r="AV177" i="10"/>
  <c r="EM177" i="10" s="1"/>
  <c r="DZ177" i="10"/>
  <c r="EB177" i="10"/>
  <c r="EG177" i="10"/>
  <c r="EL177" i="10"/>
  <c r="AS178" i="10"/>
  <c r="AV178" i="10"/>
  <c r="EM178" i="10" s="1"/>
  <c r="DZ178" i="10"/>
  <c r="EB178" i="10"/>
  <c r="EG178" i="10"/>
  <c r="EL178" i="10"/>
  <c r="AS179" i="10"/>
  <c r="AV179" i="10"/>
  <c r="EM179" i="10" s="1"/>
  <c r="DZ179" i="10"/>
  <c r="EB179" i="10"/>
  <c r="EG179" i="10"/>
  <c r="EL179" i="10"/>
  <c r="AS180" i="10"/>
  <c r="AV180" i="10"/>
  <c r="EM180" i="10" s="1"/>
  <c r="DZ180" i="10"/>
  <c r="EB180" i="10"/>
  <c r="EG180" i="10"/>
  <c r="EL180" i="10"/>
  <c r="AS181" i="10"/>
  <c r="AV181" i="10"/>
  <c r="EM181" i="10" s="1"/>
  <c r="DZ181" i="10"/>
  <c r="EB181" i="10"/>
  <c r="EG181" i="10"/>
  <c r="EL181" i="10"/>
  <c r="AS182" i="10"/>
  <c r="AV182" i="10"/>
  <c r="EM182" i="10" s="1"/>
  <c r="DZ182" i="10"/>
  <c r="EB182" i="10"/>
  <c r="EG182" i="10"/>
  <c r="EL182" i="10"/>
  <c r="AS183" i="10"/>
  <c r="AU183" i="10"/>
  <c r="AV183" i="10"/>
  <c r="EM183" i="10" s="1"/>
  <c r="DZ183" i="10"/>
  <c r="EB183" i="10"/>
  <c r="EG183" i="10"/>
  <c r="EL183" i="10"/>
  <c r="AS184" i="10"/>
  <c r="AV184" i="10"/>
  <c r="EM184" i="10" s="1"/>
  <c r="DZ184" i="10"/>
  <c r="EB184" i="10"/>
  <c r="EG184" i="10"/>
  <c r="EL184" i="10"/>
  <c r="AS185" i="10"/>
  <c r="AV185" i="10"/>
  <c r="EM185" i="10" s="1"/>
  <c r="DZ185" i="10"/>
  <c r="EB185" i="10"/>
  <c r="EG185" i="10"/>
  <c r="EL185" i="10"/>
  <c r="AS186" i="10"/>
  <c r="AV186" i="10"/>
  <c r="EM186" i="10" s="1"/>
  <c r="DZ186" i="10"/>
  <c r="EB186" i="10"/>
  <c r="EG186" i="10"/>
  <c r="EL186" i="10"/>
  <c r="AS187" i="10"/>
  <c r="AV187" i="10"/>
  <c r="EM187" i="10" s="1"/>
  <c r="DZ187" i="10"/>
  <c r="EB187" i="10"/>
  <c r="EG187" i="10"/>
  <c r="EL187" i="10"/>
  <c r="AS188" i="10"/>
  <c r="AV188" i="10"/>
  <c r="EM188" i="10" s="1"/>
  <c r="DZ188" i="10"/>
  <c r="EB188" i="10"/>
  <c r="EG188" i="10"/>
  <c r="EL188" i="10"/>
  <c r="AS189" i="10"/>
  <c r="AU189" i="10"/>
  <c r="AY189" i="10" s="1"/>
  <c r="AV189" i="10"/>
  <c r="EM189" i="10" s="1"/>
  <c r="DZ189" i="10"/>
  <c r="EB189" i="10"/>
  <c r="EG189" i="10"/>
  <c r="EL189" i="10"/>
  <c r="AS190" i="10"/>
  <c r="AV190" i="10"/>
  <c r="EM190" i="10" s="1"/>
  <c r="DZ190" i="10"/>
  <c r="EB190" i="10"/>
  <c r="EG190" i="10"/>
  <c r="EL190" i="10"/>
  <c r="AS191" i="10"/>
  <c r="AV191" i="10"/>
  <c r="EM191" i="10" s="1"/>
  <c r="DZ191" i="10"/>
  <c r="EB191" i="10"/>
  <c r="EG191" i="10"/>
  <c r="EL191" i="10"/>
  <c r="AS192" i="10"/>
  <c r="AV192" i="10"/>
  <c r="EM192" i="10" s="1"/>
  <c r="DZ192" i="10"/>
  <c r="EB192" i="10"/>
  <c r="EG192" i="10"/>
  <c r="EL192" i="10"/>
  <c r="AS193" i="10"/>
  <c r="AV193" i="10"/>
  <c r="EM193" i="10" s="1"/>
  <c r="DZ193" i="10"/>
  <c r="EB193" i="10"/>
  <c r="EG193" i="10"/>
  <c r="EL193" i="10"/>
  <c r="AS194" i="10"/>
  <c r="AV194" i="10"/>
  <c r="EM194" i="10" s="1"/>
  <c r="DZ194" i="10"/>
  <c r="EB194" i="10"/>
  <c r="EG194" i="10"/>
  <c r="EL194" i="10"/>
  <c r="AS195" i="10"/>
  <c r="AV195" i="10"/>
  <c r="EM195" i="10" s="1"/>
  <c r="DZ195" i="10"/>
  <c r="EB195" i="10"/>
  <c r="EG195" i="10"/>
  <c r="EL195" i="10"/>
  <c r="AS196" i="10"/>
  <c r="AV196" i="10"/>
  <c r="EM196" i="10" s="1"/>
  <c r="DZ196" i="10"/>
  <c r="EB196" i="10"/>
  <c r="EG196" i="10"/>
  <c r="EL196" i="10"/>
  <c r="AS197" i="10"/>
  <c r="AV197" i="10"/>
  <c r="EM197" i="10" s="1"/>
  <c r="DZ197" i="10"/>
  <c r="EB197" i="10"/>
  <c r="EG197" i="10"/>
  <c r="EL197" i="10"/>
  <c r="AS198" i="10"/>
  <c r="AV198" i="10"/>
  <c r="EM198" i="10" s="1"/>
  <c r="DZ198" i="10"/>
  <c r="EB198" i="10"/>
  <c r="EG198" i="10"/>
  <c r="EL198" i="10"/>
  <c r="AS199" i="10"/>
  <c r="AV199" i="10"/>
  <c r="EM199" i="10" s="1"/>
  <c r="DZ199" i="10"/>
  <c r="EB199" i="10"/>
  <c r="EG199" i="10"/>
  <c r="EL199" i="10"/>
  <c r="AS200" i="10"/>
  <c r="AU200" i="10"/>
  <c r="AY200" i="10" s="1"/>
  <c r="CD200" i="10" s="1"/>
  <c r="CH200" i="10" s="1"/>
  <c r="AV200" i="10"/>
  <c r="EM200" i="10" s="1"/>
  <c r="DZ200" i="10"/>
  <c r="EB200" i="10"/>
  <c r="EG200" i="10"/>
  <c r="EL200" i="10"/>
  <c r="AS20" i="10"/>
  <c r="AV20" i="10"/>
  <c r="EM20" i="10" s="1"/>
  <c r="DZ20" i="10"/>
  <c r="EB20" i="10"/>
  <c r="EG20" i="10"/>
  <c r="EL20" i="10"/>
  <c r="AS21" i="10"/>
  <c r="AV21" i="10"/>
  <c r="EM21" i="10" s="1"/>
  <c r="DZ21" i="10"/>
  <c r="EB21" i="10"/>
  <c r="EG21" i="10"/>
  <c r="EL21" i="10"/>
  <c r="AS22" i="10"/>
  <c r="AU22" i="10"/>
  <c r="AY22" i="10" s="1"/>
  <c r="AV22" i="10"/>
  <c r="EM22" i="10" s="1"/>
  <c r="DZ22" i="10"/>
  <c r="EB22" i="10"/>
  <c r="EG22" i="10"/>
  <c r="EL22" i="10"/>
  <c r="AS23" i="10"/>
  <c r="AV23" i="10"/>
  <c r="EM23" i="10" s="1"/>
  <c r="DZ23" i="10"/>
  <c r="EB23" i="10"/>
  <c r="EG23" i="10"/>
  <c r="EL23" i="10"/>
  <c r="AS24" i="10"/>
  <c r="AV24" i="10"/>
  <c r="EM24" i="10" s="1"/>
  <c r="DZ24" i="10"/>
  <c r="EB24" i="10"/>
  <c r="EG24" i="10"/>
  <c r="EL24" i="10"/>
  <c r="AS25" i="10"/>
  <c r="AV25" i="10"/>
  <c r="EM25" i="10" s="1"/>
  <c r="DZ25" i="10"/>
  <c r="EB25" i="10"/>
  <c r="EG25" i="10"/>
  <c r="EL25" i="10"/>
  <c r="AS26" i="10"/>
  <c r="AV26" i="10"/>
  <c r="EM26" i="10" s="1"/>
  <c r="DZ26" i="10"/>
  <c r="EB26" i="10"/>
  <c r="EG26" i="10"/>
  <c r="EL26" i="10"/>
  <c r="AS27" i="10"/>
  <c r="AV27" i="10"/>
  <c r="EM27" i="10" s="1"/>
  <c r="DZ27" i="10"/>
  <c r="EB27" i="10"/>
  <c r="EG27" i="10"/>
  <c r="EL27" i="10"/>
  <c r="AS28" i="10"/>
  <c r="AU28" i="10"/>
  <c r="AY28" i="10" s="1"/>
  <c r="CD28" i="10" s="1"/>
  <c r="CH28" i="10" s="1"/>
  <c r="AV28" i="10"/>
  <c r="EM28" i="10" s="1"/>
  <c r="DZ28" i="10"/>
  <c r="EB28" i="10"/>
  <c r="EG28" i="10"/>
  <c r="EL28" i="10"/>
  <c r="AS29" i="10"/>
  <c r="AU29" i="10"/>
  <c r="AY29" i="10" s="1"/>
  <c r="AV29" i="10"/>
  <c r="EM29" i="10" s="1"/>
  <c r="DZ29" i="10"/>
  <c r="EB29" i="10"/>
  <c r="EG29" i="10"/>
  <c r="EL29" i="10"/>
  <c r="AS30" i="10"/>
  <c r="AV30" i="10"/>
  <c r="EM30" i="10" s="1"/>
  <c r="DZ30" i="10"/>
  <c r="EB30" i="10"/>
  <c r="EG30" i="10"/>
  <c r="EL30" i="10"/>
  <c r="AS31" i="10"/>
  <c r="AV31" i="10"/>
  <c r="EM31" i="10" s="1"/>
  <c r="DZ31" i="10"/>
  <c r="EB31" i="10"/>
  <c r="EG31" i="10"/>
  <c r="EL31" i="10"/>
  <c r="AY940" i="10"/>
  <c r="AY395" i="10"/>
  <c r="BZ968" i="10"/>
  <c r="CA968" i="10"/>
  <c r="AY668" i="10"/>
  <c r="AY750" i="10"/>
  <c r="CD750" i="10" s="1"/>
  <c r="CH750" i="10" s="1"/>
  <c r="AY297" i="10"/>
  <c r="BJ168" i="10"/>
  <c r="BL168" i="10" s="1"/>
  <c r="BJ174" i="10"/>
  <c r="BL174" i="10" s="1"/>
  <c r="AY822" i="10"/>
  <c r="CL822" i="10" s="1"/>
  <c r="AY838" i="10"/>
  <c r="BM178" i="10"/>
  <c r="BV178" i="10" s="1"/>
  <c r="EC192" i="10"/>
  <c r="BI126" i="10"/>
  <c r="BK126" i="10" s="1"/>
  <c r="CA862" i="10"/>
  <c r="BB120" i="10"/>
  <c r="BD120" i="10" s="1"/>
  <c r="AY862" i="10"/>
  <c r="CL862" i="10" s="1"/>
  <c r="BZ1012" i="10"/>
  <c r="BZ999" i="10"/>
  <c r="BB104" i="10"/>
  <c r="BD104" i="10" s="1"/>
  <c r="BB68" i="10"/>
  <c r="BD68" i="10" s="1"/>
  <c r="AY778" i="10"/>
  <c r="CD778" i="10" s="1"/>
  <c r="CH778" i="10" s="1"/>
  <c r="AY818" i="10"/>
  <c r="BB50" i="10"/>
  <c r="BD50" i="10" s="1"/>
  <c r="BN22" i="10"/>
  <c r="BW22" i="10" s="1"/>
  <c r="BN110" i="10"/>
  <c r="BW110" i="10" s="1"/>
  <c r="AU27" i="10"/>
  <c r="AY27" i="10" s="1"/>
  <c r="CD27" i="10" s="1"/>
  <c r="CH27" i="10" s="1"/>
  <c r="AU153" i="10"/>
  <c r="AY153" i="10" s="1"/>
  <c r="BB211" i="10"/>
  <c r="BD211" i="10" s="1"/>
  <c r="BN169" i="10"/>
  <c r="BW169" i="10" s="1"/>
  <c r="BJ107" i="10"/>
  <c r="BL107" i="10" s="1"/>
  <c r="BJ45" i="10"/>
  <c r="BL45" i="10" s="1"/>
  <c r="AY491" i="10"/>
  <c r="AY561" i="10"/>
  <c r="AY504" i="10"/>
  <c r="BM212" i="10"/>
  <c r="BV212" i="10" s="1"/>
  <c r="BI189" i="10"/>
  <c r="BK189" i="10" s="1"/>
  <c r="BN156" i="10"/>
  <c r="BW156" i="10" s="1"/>
  <c r="BI90" i="10"/>
  <c r="BK90" i="10" s="1"/>
  <c r="BM148" i="10"/>
  <c r="BV148" i="10" s="1"/>
  <c r="CA857" i="10"/>
  <c r="CA997" i="10"/>
  <c r="AY860" i="10"/>
  <c r="CA567" i="10"/>
  <c r="BZ652" i="10"/>
  <c r="BZ733" i="10"/>
  <c r="BZ749" i="10"/>
  <c r="BZ1009" i="10"/>
  <c r="CA853" i="10"/>
  <c r="CA989" i="10"/>
  <c r="AY410" i="10"/>
  <c r="CA502" i="10"/>
  <c r="AY526" i="10"/>
  <c r="CA554" i="10"/>
  <c r="AY626" i="10"/>
  <c r="CA953" i="10"/>
  <c r="BZ985" i="10"/>
  <c r="AY989" i="10"/>
  <c r="CA1001" i="10"/>
  <c r="EC190" i="10"/>
  <c r="BA182" i="10"/>
  <c r="BC182" i="10" s="1"/>
  <c r="BA181" i="10"/>
  <c r="BC181" i="10" s="1"/>
  <c r="EC198" i="10"/>
  <c r="EC182" i="10"/>
  <c r="BA169" i="10"/>
  <c r="BC169" i="10" s="1"/>
  <c r="BA143" i="10"/>
  <c r="BC143" i="10" s="1"/>
  <c r="BA202" i="10"/>
  <c r="BC202" i="10" s="1"/>
  <c r="BA178" i="10"/>
  <c r="BC178" i="10" s="1"/>
  <c r="AU152" i="10"/>
  <c r="AY152" i="10" s="1"/>
  <c r="CD152" i="10" s="1"/>
  <c r="CH152" i="10" s="1"/>
  <c r="AU195" i="10"/>
  <c r="AY195" i="10" s="1"/>
  <c r="CL195" i="10" s="1"/>
  <c r="AU51" i="10"/>
  <c r="AY51" i="10" s="1"/>
  <c r="AU155" i="10"/>
  <c r="AY155" i="10" s="1"/>
  <c r="EC33" i="10"/>
  <c r="BA33" i="10"/>
  <c r="BC33" i="10" s="1"/>
  <c r="BA42" i="10"/>
  <c r="BC42" i="10" s="1"/>
  <c r="EC42" i="10"/>
  <c r="EC57" i="10"/>
  <c r="EC59" i="10"/>
  <c r="BA59" i="10"/>
  <c r="BC59" i="10" s="1"/>
  <c r="EC61" i="10"/>
  <c r="EC63" i="10"/>
  <c r="BA65" i="10"/>
  <c r="BC65" i="10" s="1"/>
  <c r="EC65" i="10"/>
  <c r="EC66" i="10"/>
  <c r="BA66" i="10"/>
  <c r="BC66" i="10" s="1"/>
  <c r="EC70" i="10"/>
  <c r="EC76" i="10"/>
  <c r="BA76" i="10"/>
  <c r="BC76" i="10" s="1"/>
  <c r="EC78" i="10"/>
  <c r="EC101" i="10"/>
  <c r="BA108" i="10"/>
  <c r="BC108" i="10" s="1"/>
  <c r="EC108" i="10"/>
  <c r="BA110" i="10"/>
  <c r="BC110" i="10" s="1"/>
  <c r="EC110" i="10"/>
  <c r="EC121" i="10"/>
  <c r="BA121" i="10"/>
  <c r="BC121" i="10" s="1"/>
  <c r="EC132" i="10"/>
  <c r="EC134" i="10"/>
  <c r="BA134" i="10"/>
  <c r="BC134" i="10" s="1"/>
  <c r="EC136" i="10"/>
  <c r="EC137" i="10"/>
  <c r="EC162" i="10"/>
  <c r="BA174" i="10"/>
  <c r="BC174" i="10" s="1"/>
  <c r="EC174" i="10"/>
  <c r="EC201" i="10"/>
  <c r="EC184" i="10"/>
  <c r="BA177" i="10"/>
  <c r="BC177" i="10" s="1"/>
  <c r="BA173" i="10"/>
  <c r="BC173" i="10" s="1"/>
  <c r="BA129" i="10"/>
  <c r="BC129" i="10" s="1"/>
  <c r="BA36" i="10"/>
  <c r="BC36" i="10" s="1"/>
  <c r="EC36" i="10"/>
  <c r="BA40" i="10"/>
  <c r="BC40" i="10" s="1"/>
  <c r="EC40" i="10"/>
  <c r="EC60" i="10"/>
  <c r="BA60" i="10"/>
  <c r="BC60" i="10" s="1"/>
  <c r="EC62" i="10"/>
  <c r="BA62" i="10"/>
  <c r="BC62" i="10" s="1"/>
  <c r="BA102" i="10"/>
  <c r="BC102" i="10" s="1"/>
  <c r="EC102" i="10"/>
  <c r="EC119" i="10"/>
  <c r="BA126" i="10"/>
  <c r="BC126" i="10" s="1"/>
  <c r="EC126" i="10"/>
  <c r="BA131" i="10"/>
  <c r="BC131" i="10" s="1"/>
  <c r="BA135" i="10"/>
  <c r="BC135" i="10" s="1"/>
  <c r="EC135" i="10"/>
  <c r="BA141" i="10"/>
  <c r="BC141" i="10" s="1"/>
  <c r="EC141" i="10"/>
  <c r="EC145" i="10"/>
  <c r="BA164" i="10"/>
  <c r="BC164" i="10" s="1"/>
  <c r="EC164" i="10"/>
  <c r="BA170" i="10"/>
  <c r="BC170" i="10" s="1"/>
  <c r="BA180" i="10"/>
  <c r="BC180" i="10" s="1"/>
  <c r="EC180" i="10"/>
  <c r="EC205" i="10"/>
  <c r="BA205" i="10"/>
  <c r="BC205" i="10" s="1"/>
  <c r="BA190" i="10"/>
  <c r="BC190" i="10" s="1"/>
  <c r="EC129" i="10"/>
  <c r="AU30" i="10"/>
  <c r="AY30" i="10" s="1"/>
  <c r="EC176" i="10"/>
  <c r="AU174" i="10"/>
  <c r="EC172" i="10"/>
  <c r="BA168" i="10"/>
  <c r="BC168" i="10" s="1"/>
  <c r="EC133" i="10"/>
  <c r="EC131" i="10"/>
  <c r="AU86" i="10"/>
  <c r="AY86" i="10" s="1"/>
  <c r="AU48" i="10"/>
  <c r="AY48" i="10" s="1"/>
  <c r="AU68" i="10"/>
  <c r="CI68" i="10" s="1"/>
  <c r="EC214" i="10"/>
  <c r="AU57" i="10"/>
  <c r="BA31" i="10"/>
  <c r="BC31" i="10" s="1"/>
  <c r="BA25" i="10"/>
  <c r="BC25" i="10" s="1"/>
  <c r="EC178" i="10"/>
  <c r="AU177" i="10"/>
  <c r="AY177" i="10" s="1"/>
  <c r="CL177" i="10" s="1"/>
  <c r="EC170" i="10"/>
  <c r="AU147" i="10"/>
  <c r="EC117" i="10"/>
  <c r="BA114" i="10"/>
  <c r="BC114" i="10" s="1"/>
  <c r="EC114" i="10"/>
  <c r="AU150" i="10"/>
  <c r="AY150" i="10" s="1"/>
  <c r="EC68" i="10"/>
  <c r="EC64" i="10"/>
  <c r="BA64" i="10"/>
  <c r="BC64" i="10" s="1"/>
  <c r="EC31" i="10"/>
  <c r="AU24" i="10"/>
  <c r="AY24" i="10" s="1"/>
  <c r="CL24" i="10" s="1"/>
  <c r="BI197" i="10"/>
  <c r="BK197" i="10" s="1"/>
  <c r="AQ197" i="10" s="1"/>
  <c r="BB121" i="10"/>
  <c r="BD121" i="10" s="1"/>
  <c r="EC104" i="10"/>
  <c r="BA104" i="10"/>
  <c r="BC104" i="10" s="1"/>
  <c r="EC186" i="10"/>
  <c r="BA186" i="10"/>
  <c r="BC186" i="10" s="1"/>
  <c r="BJ175" i="10"/>
  <c r="BL175" i="10" s="1"/>
  <c r="BN175" i="10"/>
  <c r="BW175" i="10" s="1"/>
  <c r="AU173" i="10"/>
  <c r="AY173" i="10" s="1"/>
  <c r="BM151" i="10"/>
  <c r="BV151" i="10" s="1"/>
  <c r="BI151" i="10"/>
  <c r="BK151" i="10" s="1"/>
  <c r="BJ141" i="10"/>
  <c r="BL141" i="10" s="1"/>
  <c r="BN141" i="10"/>
  <c r="BW141" i="10" s="1"/>
  <c r="AU164" i="10"/>
  <c r="BB122" i="10"/>
  <c r="BD122" i="10" s="1"/>
  <c r="EC111" i="10"/>
  <c r="EC196" i="10"/>
  <c r="BA183" i="10"/>
  <c r="BC183" i="10" s="1"/>
  <c r="BA167" i="10"/>
  <c r="BC167" i="10" s="1"/>
  <c r="BA165" i="10"/>
  <c r="BC165" i="10" s="1"/>
  <c r="BA163" i="10"/>
  <c r="BC163" i="10" s="1"/>
  <c r="EC146" i="10"/>
  <c r="EC140" i="10"/>
  <c r="EC138" i="10"/>
  <c r="BN136" i="10"/>
  <c r="BW136" i="10" s="1"/>
  <c r="EC123" i="10"/>
  <c r="EC122" i="10"/>
  <c r="BA111" i="10"/>
  <c r="BC111" i="10" s="1"/>
  <c r="EC107" i="10"/>
  <c r="BA107" i="10"/>
  <c r="BC107" i="10" s="1"/>
  <c r="BB92" i="10"/>
  <c r="BD92" i="10" s="1"/>
  <c r="BB85" i="10"/>
  <c r="BD85" i="10" s="1"/>
  <c r="EC125" i="10"/>
  <c r="BJ75" i="10"/>
  <c r="BL75" i="10" s="1"/>
  <c r="EC128" i="10"/>
  <c r="EC120" i="10"/>
  <c r="EC113" i="10"/>
  <c r="EC80" i="10"/>
  <c r="BA80" i="10"/>
  <c r="BC80" i="10" s="1"/>
  <c r="AU74" i="10"/>
  <c r="AY74" i="10" s="1"/>
  <c r="BB74" i="10"/>
  <c r="BD74" i="10" s="1"/>
  <c r="AU83" i="10"/>
  <c r="AY83" i="10" s="1"/>
  <c r="CD83" i="10" s="1"/>
  <c r="CH83" i="10" s="1"/>
  <c r="BA78" i="10"/>
  <c r="BC78" i="10" s="1"/>
  <c r="BJ65" i="10"/>
  <c r="BL65" i="10" s="1"/>
  <c r="BN65" i="10"/>
  <c r="BW65" i="10" s="1"/>
  <c r="BJ54" i="10"/>
  <c r="BL54" i="10" s="1"/>
  <c r="EC69" i="10"/>
  <c r="BA69" i="10"/>
  <c r="BC69" i="10" s="1"/>
  <c r="BA61" i="10"/>
  <c r="BC61" i="10" s="1"/>
  <c r="AU59" i="10"/>
  <c r="BB212" i="10"/>
  <c r="BD212" i="10" s="1"/>
  <c r="BB49" i="10"/>
  <c r="BD49" i="10" s="1"/>
  <c r="BA34" i="10"/>
  <c r="BC34" i="10" s="1"/>
  <c r="EC34" i="10"/>
  <c r="BJ214" i="10"/>
  <c r="BL214" i="10" s="1"/>
  <c r="BA70" i="10"/>
  <c r="BC70" i="10" s="1"/>
  <c r="EC56" i="10"/>
  <c r="BJ213" i="10"/>
  <c r="BL213" i="10" s="1"/>
  <c r="BN213" i="10"/>
  <c r="BW213" i="10" s="1"/>
  <c r="BM205" i="10"/>
  <c r="BV205" i="10" s="1"/>
  <c r="EC203" i="10"/>
  <c r="BN211" i="10"/>
  <c r="BW211" i="10" s="1"/>
  <c r="EC204" i="10"/>
  <c r="BI202" i="10"/>
  <c r="BK202" i="10" s="1"/>
  <c r="BM202" i="10"/>
  <c r="BV202" i="10" s="1"/>
  <c r="BA210" i="10"/>
  <c r="BC210" i="10" s="1"/>
  <c r="EC210" i="10"/>
  <c r="BN207" i="10"/>
  <c r="BW207" i="10" s="1"/>
  <c r="BJ207" i="10"/>
  <c r="BL207" i="10" s="1"/>
  <c r="BB214" i="10"/>
  <c r="BD214" i="10" s="1"/>
  <c r="BA213" i="10"/>
  <c r="BC213" i="10" s="1"/>
  <c r="BA209" i="10"/>
  <c r="BC209" i="10" s="1"/>
  <c r="EC213" i="10"/>
  <c r="BA212" i="10"/>
  <c r="BC212" i="10" s="1"/>
  <c r="BA211" i="10"/>
  <c r="BC211" i="10" s="1"/>
  <c r="BA208" i="10"/>
  <c r="BC208" i="10" s="1"/>
  <c r="AU206" i="10"/>
  <c r="AY206" i="10" s="1"/>
  <c r="AU204" i="10"/>
  <c r="AY204" i="10" s="1"/>
  <c r="BA207" i="10"/>
  <c r="BC207" i="10" s="1"/>
  <c r="AU203" i="10"/>
  <c r="AY203" i="10" s="1"/>
  <c r="EC185" i="10"/>
  <c r="BA185" i="10"/>
  <c r="BC185" i="10" s="1"/>
  <c r="AU192" i="10"/>
  <c r="AY192" i="10" s="1"/>
  <c r="EC195" i="10"/>
  <c r="BA189" i="10"/>
  <c r="BC189" i="10" s="1"/>
  <c r="EC189" i="10"/>
  <c r="AU198" i="10"/>
  <c r="AY198" i="10" s="1"/>
  <c r="AU194" i="10"/>
  <c r="AY194" i="10" s="1"/>
  <c r="BB194" i="10"/>
  <c r="BD194" i="10" s="1"/>
  <c r="BA199" i="10"/>
  <c r="BC199" i="10" s="1"/>
  <c r="EC197" i="10"/>
  <c r="BA195" i="10"/>
  <c r="BC195" i="10" s="1"/>
  <c r="EC193" i="10"/>
  <c r="BA191" i="10"/>
  <c r="BC191" i="10" s="1"/>
  <c r="EC191" i="10"/>
  <c r="EC187" i="10"/>
  <c r="BA187" i="10"/>
  <c r="BC187" i="10" s="1"/>
  <c r="BB182" i="10"/>
  <c r="BD182" i="10" s="1"/>
  <c r="BB143" i="10"/>
  <c r="BD143" i="10" s="1"/>
  <c r="BI121" i="10"/>
  <c r="BK121" i="10" s="1"/>
  <c r="AU120" i="10"/>
  <c r="AY120" i="10" s="1"/>
  <c r="CL120" i="10" s="1"/>
  <c r="BA39" i="10"/>
  <c r="BC39" i="10" s="1"/>
  <c r="EC39" i="10"/>
  <c r="EC183" i="10"/>
  <c r="EC181" i="10"/>
  <c r="EC179" i="10"/>
  <c r="EC177" i="10"/>
  <c r="EC175" i="10"/>
  <c r="EC173" i="10"/>
  <c r="EC171" i="10"/>
  <c r="EC169" i="10"/>
  <c r="EC167" i="10"/>
  <c r="EC165" i="10"/>
  <c r="EC163" i="10"/>
  <c r="BA160" i="10"/>
  <c r="BC160" i="10" s="1"/>
  <c r="BA159" i="10"/>
  <c r="BC159" i="10" s="1"/>
  <c r="BA157" i="10"/>
  <c r="BC157" i="10" s="1"/>
  <c r="BA156" i="10"/>
  <c r="BC156" i="10" s="1"/>
  <c r="BA153" i="10"/>
  <c r="BC153" i="10" s="1"/>
  <c r="BA152" i="10"/>
  <c r="BC152" i="10" s="1"/>
  <c r="BA151" i="10"/>
  <c r="BC151" i="10" s="1"/>
  <c r="BA150" i="10"/>
  <c r="BC150" i="10" s="1"/>
  <c r="BA148" i="10"/>
  <c r="BC148" i="10" s="1"/>
  <c r="BA147" i="10"/>
  <c r="BC147" i="10" s="1"/>
  <c r="BB146" i="10"/>
  <c r="BD146" i="10" s="1"/>
  <c r="AU135" i="10"/>
  <c r="AY135" i="10" s="1"/>
  <c r="CD135" i="10" s="1"/>
  <c r="CH135" i="10" s="1"/>
  <c r="AU131" i="10"/>
  <c r="AY131" i="10" s="1"/>
  <c r="CD131" i="10" s="1"/>
  <c r="CH131" i="10" s="1"/>
  <c r="EC84" i="10"/>
  <c r="BA84" i="10"/>
  <c r="BC84" i="10" s="1"/>
  <c r="BB188" i="10"/>
  <c r="BD188" i="10" s="1"/>
  <c r="BB180" i="10"/>
  <c r="BD180" i="10" s="1"/>
  <c r="BB176" i="10"/>
  <c r="BD176" i="10" s="1"/>
  <c r="BB170" i="10"/>
  <c r="BD170" i="10" s="1"/>
  <c r="BB164" i="10"/>
  <c r="BD164" i="10" s="1"/>
  <c r="BB193" i="10"/>
  <c r="BD193" i="10" s="1"/>
  <c r="BB187" i="10"/>
  <c r="BD187" i="10" s="1"/>
  <c r="BB181" i="10"/>
  <c r="BD181" i="10" s="1"/>
  <c r="BB175" i="10"/>
  <c r="BD175" i="10" s="1"/>
  <c r="BB169" i="10"/>
  <c r="BD169" i="10" s="1"/>
  <c r="BB165" i="10"/>
  <c r="BD165" i="10" s="1"/>
  <c r="AU111" i="10"/>
  <c r="AY111" i="10" s="1"/>
  <c r="CL111" i="10" s="1"/>
  <c r="BB158" i="10"/>
  <c r="BD158" i="10" s="1"/>
  <c r="BB157" i="10"/>
  <c r="BD157" i="10" s="1"/>
  <c r="BB152" i="10"/>
  <c r="BD152" i="10" s="1"/>
  <c r="BB151" i="10"/>
  <c r="BD151" i="10" s="1"/>
  <c r="BB140" i="10"/>
  <c r="BD140" i="10" s="1"/>
  <c r="AU96" i="10"/>
  <c r="AY96" i="10" s="1"/>
  <c r="CD96" i="10" s="1"/>
  <c r="CH96" i="10" s="1"/>
  <c r="BJ87" i="10"/>
  <c r="BL87" i="10" s="1"/>
  <c r="BN87" i="10"/>
  <c r="BW87" i="10" s="1"/>
  <c r="BI123" i="10"/>
  <c r="BK123" i="10" s="1"/>
  <c r="AU143" i="10"/>
  <c r="AY143" i="10" s="1"/>
  <c r="AU141" i="10"/>
  <c r="AY141" i="10" s="1"/>
  <c r="AU138" i="10"/>
  <c r="AY138" i="10" s="1"/>
  <c r="CD138" i="10" s="1"/>
  <c r="CH138" i="10" s="1"/>
  <c r="AU137" i="10"/>
  <c r="AY137" i="10" s="1"/>
  <c r="AU134" i="10"/>
  <c r="AY134" i="10" s="1"/>
  <c r="AU126" i="10"/>
  <c r="AY126" i="10" s="1"/>
  <c r="AU119" i="10"/>
  <c r="AY119" i="10" s="1"/>
  <c r="AU108" i="10"/>
  <c r="AY108" i="10" s="1"/>
  <c r="AU104" i="10"/>
  <c r="AY104" i="10" s="1"/>
  <c r="CD104" i="10" s="1"/>
  <c r="CH104" i="10" s="1"/>
  <c r="BA98" i="10"/>
  <c r="BC98" i="10" s="1"/>
  <c r="BA92" i="10"/>
  <c r="BC92" i="10" s="1"/>
  <c r="EC82" i="10"/>
  <c r="AU117" i="10"/>
  <c r="AU109" i="10"/>
  <c r="AY109" i="10" s="1"/>
  <c r="EC90" i="10"/>
  <c r="BA90" i="10"/>
  <c r="BC90" i="10" s="1"/>
  <c r="BN82" i="10"/>
  <c r="BW82" i="10" s="1"/>
  <c r="EC77" i="10"/>
  <c r="BA77" i="10"/>
  <c r="BC77" i="10" s="1"/>
  <c r="BA95" i="10"/>
  <c r="BC95" i="10" s="1"/>
  <c r="EC95" i="10"/>
  <c r="BA94" i="10"/>
  <c r="BC94" i="10" s="1"/>
  <c r="BA87" i="10"/>
  <c r="BC87" i="10" s="1"/>
  <c r="EC79" i="10"/>
  <c r="BA79" i="10"/>
  <c r="BC79" i="10" s="1"/>
  <c r="EC88" i="10"/>
  <c r="BA88" i="10"/>
  <c r="BC88" i="10" s="1"/>
  <c r="EC91" i="10"/>
  <c r="EC86" i="10"/>
  <c r="EC83" i="10"/>
  <c r="BA83" i="10"/>
  <c r="BC83" i="10" s="1"/>
  <c r="EC73" i="10"/>
  <c r="BA73" i="10"/>
  <c r="BC73" i="10" s="1"/>
  <c r="EC72" i="10"/>
  <c r="EC75" i="10"/>
  <c r="BA75" i="10"/>
  <c r="BC75" i="10" s="1"/>
  <c r="BN80" i="10"/>
  <c r="BW80" i="10" s="1"/>
  <c r="EC74" i="10"/>
  <c r="BA74" i="10"/>
  <c r="BC74" i="10" s="1"/>
  <c r="BA71" i="10"/>
  <c r="BC71" i="10" s="1"/>
  <c r="AU62" i="10"/>
  <c r="AY62" i="10" s="1"/>
  <c r="AU54" i="10"/>
  <c r="AY54" i="10" s="1"/>
  <c r="BB41" i="10"/>
  <c r="BD41" i="10" s="1"/>
  <c r="BA57" i="10"/>
  <c r="BC57" i="10" s="1"/>
  <c r="BA55" i="10"/>
  <c r="BC55" i="10" s="1"/>
  <c r="BA54" i="10"/>
  <c r="BC54" i="10" s="1"/>
  <c r="EC54" i="10"/>
  <c r="BA50" i="10"/>
  <c r="BC50" i="10" s="1"/>
  <c r="EC50" i="10"/>
  <c r="EC48" i="10"/>
  <c r="BA49" i="10"/>
  <c r="BC49" i="10" s="1"/>
  <c r="BA47" i="10"/>
  <c r="BC47" i="10" s="1"/>
  <c r="BA46" i="10"/>
  <c r="BC46" i="10" s="1"/>
  <c r="BA51" i="10"/>
  <c r="BC51" i="10" s="1"/>
  <c r="EC47" i="10"/>
  <c r="AU41" i="10"/>
  <c r="AY41" i="10" s="1"/>
  <c r="BN36" i="10"/>
  <c r="BW36" i="10" s="1"/>
  <c r="BA37" i="10"/>
  <c r="BC37" i="10" s="1"/>
  <c r="AU35" i="10"/>
  <c r="BN30" i="10"/>
  <c r="BW30" i="10" s="1"/>
  <c r="EC28" i="10"/>
  <c r="BA28" i="10"/>
  <c r="BC28" i="10" s="1"/>
  <c r="BB24" i="10"/>
  <c r="BD24" i="10" s="1"/>
  <c r="EC24" i="10"/>
  <c r="AU23" i="10"/>
  <c r="AY23" i="10" s="1"/>
  <c r="CD23" i="10" s="1"/>
  <c r="CH23" i="10" s="1"/>
  <c r="DZ19" i="10"/>
  <c r="DZ18" i="10"/>
  <c r="DZ17" i="10"/>
  <c r="DZ16" i="10"/>
  <c r="DZ15" i="10"/>
  <c r="AS15" i="10"/>
  <c r="AS16" i="10"/>
  <c r="AS17" i="10"/>
  <c r="AS18" i="10"/>
  <c r="AS19" i="10"/>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3" i="11"/>
  <c r="D4" i="11"/>
  <c r="F4" i="11"/>
  <c r="D5" i="11"/>
  <c r="F5" i="11"/>
  <c r="D6" i="11"/>
  <c r="F6" i="11"/>
  <c r="D7" i="11"/>
  <c r="F7" i="11"/>
  <c r="D8" i="11"/>
  <c r="F8" i="11"/>
  <c r="D9" i="11"/>
  <c r="F9" i="11"/>
  <c r="D10" i="11"/>
  <c r="F10" i="11"/>
  <c r="D11" i="11"/>
  <c r="F11" i="11"/>
  <c r="D12" i="11"/>
  <c r="F12" i="11"/>
  <c r="D13" i="11"/>
  <c r="F13" i="11"/>
  <c r="D14" i="11"/>
  <c r="F14" i="11"/>
  <c r="D15" i="11"/>
  <c r="F15" i="11"/>
  <c r="D16" i="11"/>
  <c r="F16" i="11"/>
  <c r="D17" i="11"/>
  <c r="F17" i="11"/>
  <c r="D18" i="11"/>
  <c r="F18" i="11"/>
  <c r="D19" i="11"/>
  <c r="F19" i="11"/>
  <c r="D20" i="11"/>
  <c r="F20" i="11"/>
  <c r="D21" i="11"/>
  <c r="F21" i="11"/>
  <c r="D22" i="11"/>
  <c r="F22" i="11"/>
  <c r="D23" i="11"/>
  <c r="F23" i="11"/>
  <c r="D24" i="11"/>
  <c r="F24" i="11"/>
  <c r="D25" i="11"/>
  <c r="F25" i="11"/>
  <c r="D26" i="11"/>
  <c r="F26" i="11"/>
  <c r="D27" i="11"/>
  <c r="F27" i="11"/>
  <c r="D28" i="11"/>
  <c r="F28" i="11"/>
  <c r="D29" i="11"/>
  <c r="F29" i="11"/>
  <c r="D30" i="11"/>
  <c r="F30" i="11"/>
  <c r="D31" i="11"/>
  <c r="F31" i="11"/>
  <c r="D32" i="11"/>
  <c r="F32" i="11"/>
  <c r="D33" i="11"/>
  <c r="F33" i="11"/>
  <c r="D34" i="11"/>
  <c r="F34" i="11"/>
  <c r="D35" i="11"/>
  <c r="F35" i="11"/>
  <c r="D36" i="11"/>
  <c r="F36" i="11"/>
  <c r="D37" i="11"/>
  <c r="F37" i="11"/>
  <c r="D38" i="11"/>
  <c r="F38" i="11"/>
  <c r="D39" i="11"/>
  <c r="F39" i="11"/>
  <c r="D40" i="11"/>
  <c r="F40" i="11"/>
  <c r="D41" i="11"/>
  <c r="F41" i="11"/>
  <c r="D42" i="11"/>
  <c r="F42" i="11"/>
  <c r="D43" i="11"/>
  <c r="F43" i="11"/>
  <c r="D44" i="11"/>
  <c r="F44" i="11"/>
  <c r="D45" i="11"/>
  <c r="F45" i="11"/>
  <c r="D46" i="11"/>
  <c r="F46" i="11"/>
  <c r="D47" i="11"/>
  <c r="F47" i="11"/>
  <c r="D48" i="11"/>
  <c r="F48" i="11"/>
  <c r="D49" i="11"/>
  <c r="F49" i="11"/>
  <c r="D50" i="11"/>
  <c r="F50" i="11"/>
  <c r="D51" i="11"/>
  <c r="F51" i="11"/>
  <c r="D52" i="11"/>
  <c r="F52" i="11"/>
  <c r="D53" i="11"/>
  <c r="F53" i="11"/>
  <c r="D54" i="11"/>
  <c r="F54" i="11"/>
  <c r="D55" i="11"/>
  <c r="F55" i="11"/>
  <c r="D56" i="11"/>
  <c r="F56" i="11"/>
  <c r="D57" i="11"/>
  <c r="F57" i="11"/>
  <c r="D58" i="11"/>
  <c r="F58" i="11"/>
  <c r="D59" i="11"/>
  <c r="F59" i="11"/>
  <c r="D60" i="11"/>
  <c r="F60" i="11"/>
  <c r="D61" i="11"/>
  <c r="F61" i="11"/>
  <c r="D62" i="11"/>
  <c r="F62" i="11"/>
  <c r="D63" i="11"/>
  <c r="F63" i="11"/>
  <c r="D64" i="11"/>
  <c r="F64" i="11"/>
  <c r="D65" i="11"/>
  <c r="F65" i="11"/>
  <c r="D66" i="11"/>
  <c r="F66" i="11"/>
  <c r="D67" i="11"/>
  <c r="F67" i="11"/>
  <c r="D68" i="11"/>
  <c r="F68" i="11"/>
  <c r="D69" i="11"/>
  <c r="F69" i="11"/>
  <c r="D70" i="11"/>
  <c r="F70" i="11"/>
  <c r="D71" i="11"/>
  <c r="F71" i="11"/>
  <c r="D72" i="11"/>
  <c r="F72" i="11"/>
  <c r="D73" i="11"/>
  <c r="F73" i="11"/>
  <c r="D74" i="11"/>
  <c r="F74" i="11"/>
  <c r="D75" i="11"/>
  <c r="F75" i="11"/>
  <c r="D76" i="11"/>
  <c r="F76" i="11"/>
  <c r="D77" i="11"/>
  <c r="F77" i="11"/>
  <c r="D78" i="11"/>
  <c r="F78" i="11"/>
  <c r="D79" i="11"/>
  <c r="F79" i="11"/>
  <c r="D80" i="11"/>
  <c r="F80" i="11"/>
  <c r="D81" i="11"/>
  <c r="F81" i="11"/>
  <c r="D82" i="11"/>
  <c r="F82" i="11"/>
  <c r="D83" i="11"/>
  <c r="F83" i="11"/>
  <c r="D84" i="11"/>
  <c r="F84" i="11"/>
  <c r="D85" i="11"/>
  <c r="F85" i="11"/>
  <c r="D86" i="11"/>
  <c r="F86" i="11"/>
  <c r="D87" i="11"/>
  <c r="F87" i="11"/>
  <c r="D88" i="11"/>
  <c r="F88" i="11"/>
  <c r="D89" i="11"/>
  <c r="F89" i="11"/>
  <c r="D90" i="11"/>
  <c r="F90" i="11"/>
  <c r="D91" i="11"/>
  <c r="F91" i="11"/>
  <c r="D92" i="11"/>
  <c r="F92" i="11"/>
  <c r="D93" i="11"/>
  <c r="F93" i="11"/>
  <c r="D94" i="11"/>
  <c r="F94" i="11"/>
  <c r="D95" i="11"/>
  <c r="F95" i="11"/>
  <c r="D96" i="11"/>
  <c r="F96" i="11"/>
  <c r="D97" i="11"/>
  <c r="F97" i="11"/>
  <c r="D98" i="11"/>
  <c r="F98" i="11"/>
  <c r="D99" i="11"/>
  <c r="F99" i="11"/>
  <c r="D100" i="11"/>
  <c r="F100" i="11"/>
  <c r="D101" i="11"/>
  <c r="F101" i="11"/>
  <c r="D102" i="11"/>
  <c r="F102" i="11"/>
  <c r="D103" i="11"/>
  <c r="F103" i="11"/>
  <c r="D104" i="11"/>
  <c r="F104" i="11"/>
  <c r="D105" i="11"/>
  <c r="F105" i="11"/>
  <c r="D106" i="11"/>
  <c r="F106" i="11"/>
  <c r="D107" i="11"/>
  <c r="F107" i="11"/>
  <c r="D108" i="11"/>
  <c r="F108" i="11"/>
  <c r="D109" i="11"/>
  <c r="F109" i="11"/>
  <c r="D110" i="11"/>
  <c r="F110" i="11"/>
  <c r="D111" i="11"/>
  <c r="F111" i="11"/>
  <c r="D112" i="11"/>
  <c r="F112" i="11"/>
  <c r="D113" i="11"/>
  <c r="F113" i="11"/>
  <c r="D114" i="11"/>
  <c r="F114" i="11"/>
  <c r="D115" i="11"/>
  <c r="F115" i="11"/>
  <c r="D116" i="11"/>
  <c r="F116" i="11"/>
  <c r="D117" i="11"/>
  <c r="F117" i="11"/>
  <c r="D118" i="11"/>
  <c r="F118" i="11"/>
  <c r="D119" i="11"/>
  <c r="F119" i="11"/>
  <c r="D120" i="11"/>
  <c r="F120" i="11"/>
  <c r="D121" i="11"/>
  <c r="F121" i="11"/>
  <c r="D122" i="11"/>
  <c r="F122" i="11"/>
  <c r="D123" i="11"/>
  <c r="F123" i="11"/>
  <c r="D124" i="11"/>
  <c r="F124" i="11"/>
  <c r="D125" i="11"/>
  <c r="F125" i="11"/>
  <c r="D126" i="11"/>
  <c r="F126" i="11"/>
  <c r="D127" i="11"/>
  <c r="F127" i="11"/>
  <c r="D128" i="11"/>
  <c r="F128" i="11"/>
  <c r="D129" i="11"/>
  <c r="F129" i="11"/>
  <c r="D130" i="11"/>
  <c r="F130" i="11"/>
  <c r="D131" i="11"/>
  <c r="F131" i="11"/>
  <c r="D132" i="11"/>
  <c r="F132" i="11"/>
  <c r="D133" i="11"/>
  <c r="F133" i="11"/>
  <c r="D134" i="11"/>
  <c r="F134" i="11"/>
  <c r="D135" i="11"/>
  <c r="F135" i="11"/>
  <c r="D136" i="11"/>
  <c r="F136" i="11"/>
  <c r="D137" i="11"/>
  <c r="F137" i="11"/>
  <c r="D138" i="11"/>
  <c r="F138" i="11"/>
  <c r="D139" i="11"/>
  <c r="F139" i="11"/>
  <c r="D140" i="11"/>
  <c r="F140" i="11"/>
  <c r="D141" i="11"/>
  <c r="F141" i="11"/>
  <c r="D142" i="11"/>
  <c r="F142" i="11"/>
  <c r="D143" i="11"/>
  <c r="F143" i="11"/>
  <c r="D144" i="11"/>
  <c r="F144" i="11"/>
  <c r="D145" i="11"/>
  <c r="F145" i="11"/>
  <c r="D146" i="11"/>
  <c r="F146" i="11"/>
  <c r="D147" i="11"/>
  <c r="F147" i="11"/>
  <c r="D148" i="11"/>
  <c r="F148" i="11"/>
  <c r="D149" i="11"/>
  <c r="F149" i="11"/>
  <c r="D150" i="11"/>
  <c r="F150" i="11"/>
  <c r="D151" i="11"/>
  <c r="F151" i="11"/>
  <c r="D152" i="11"/>
  <c r="F152" i="11"/>
  <c r="D153" i="11"/>
  <c r="F153" i="11"/>
  <c r="D154" i="11"/>
  <c r="F154" i="11"/>
  <c r="D155" i="11"/>
  <c r="F155" i="11"/>
  <c r="D156" i="11"/>
  <c r="F156" i="11"/>
  <c r="D157" i="11"/>
  <c r="F157" i="11"/>
  <c r="D158" i="11"/>
  <c r="F158" i="11"/>
  <c r="D159" i="11"/>
  <c r="F159" i="11"/>
  <c r="D160" i="11"/>
  <c r="F160" i="11"/>
  <c r="D161" i="11"/>
  <c r="F161" i="11"/>
  <c r="D162" i="11"/>
  <c r="F162" i="11"/>
  <c r="D163" i="11"/>
  <c r="F163" i="11"/>
  <c r="D164" i="11"/>
  <c r="F164" i="11"/>
  <c r="D165" i="11"/>
  <c r="F165" i="11"/>
  <c r="D166" i="11"/>
  <c r="F166" i="11"/>
  <c r="D167" i="11"/>
  <c r="F167" i="11"/>
  <c r="D168" i="11"/>
  <c r="F168" i="11"/>
  <c r="D169" i="11"/>
  <c r="F169" i="11"/>
  <c r="D170" i="11"/>
  <c r="F170" i="11"/>
  <c r="D171" i="11"/>
  <c r="F171" i="11"/>
  <c r="D172" i="11"/>
  <c r="F172" i="11"/>
  <c r="D173" i="11"/>
  <c r="F173" i="11"/>
  <c r="D174" i="11"/>
  <c r="F174" i="11"/>
  <c r="D175" i="11"/>
  <c r="F175" i="11"/>
  <c r="D176" i="11"/>
  <c r="F176" i="11"/>
  <c r="D177" i="11"/>
  <c r="F177" i="11"/>
  <c r="D178" i="11"/>
  <c r="F178" i="11"/>
  <c r="D179" i="11"/>
  <c r="F179" i="11"/>
  <c r="D180" i="11"/>
  <c r="F180" i="11"/>
  <c r="D181" i="11"/>
  <c r="F181" i="11"/>
  <c r="D182" i="11"/>
  <c r="F182" i="11"/>
  <c r="D183" i="11"/>
  <c r="F183" i="11"/>
  <c r="D184" i="11"/>
  <c r="F184" i="11"/>
  <c r="D185" i="11"/>
  <c r="F185" i="11"/>
  <c r="D186" i="11"/>
  <c r="F186" i="11"/>
  <c r="D187" i="11"/>
  <c r="F187" i="11"/>
  <c r="D188" i="11"/>
  <c r="F188" i="11"/>
  <c r="D189" i="11"/>
  <c r="F189" i="11"/>
  <c r="D190" i="11"/>
  <c r="F190" i="11"/>
  <c r="D191" i="11"/>
  <c r="F191" i="11"/>
  <c r="D192" i="11"/>
  <c r="F192" i="11"/>
  <c r="D193" i="11"/>
  <c r="F193" i="11"/>
  <c r="D194" i="11"/>
  <c r="F194" i="11"/>
  <c r="D195" i="11"/>
  <c r="F195" i="11"/>
  <c r="D196" i="11"/>
  <c r="F196" i="11"/>
  <c r="D197" i="11"/>
  <c r="F197" i="11"/>
  <c r="D198" i="11"/>
  <c r="F198" i="11"/>
  <c r="D199" i="11"/>
  <c r="F199" i="11"/>
  <c r="D200" i="11"/>
  <c r="F200" i="11"/>
  <c r="D201" i="11"/>
  <c r="F201" i="11"/>
  <c r="D202" i="11"/>
  <c r="F202" i="11"/>
  <c r="D203" i="11"/>
  <c r="F203" i="11"/>
  <c r="D204" i="11"/>
  <c r="F204" i="11"/>
  <c r="D205" i="11"/>
  <c r="F205" i="11"/>
  <c r="D206" i="11"/>
  <c r="F206" i="11"/>
  <c r="D207" i="11"/>
  <c r="F207" i="11"/>
  <c r="D208" i="11"/>
  <c r="F208" i="11"/>
  <c r="D209" i="11"/>
  <c r="F209" i="11"/>
  <c r="D210" i="11"/>
  <c r="F210" i="11"/>
  <c r="D211" i="11"/>
  <c r="F211" i="11"/>
  <c r="D212" i="11"/>
  <c r="F212" i="11"/>
  <c r="D213" i="11"/>
  <c r="F213" i="11"/>
  <c r="D214" i="11"/>
  <c r="F214" i="11"/>
  <c r="D215" i="11"/>
  <c r="F215" i="11"/>
  <c r="D216" i="11"/>
  <c r="F216" i="11"/>
  <c r="D217" i="11"/>
  <c r="F217" i="11"/>
  <c r="D218" i="11"/>
  <c r="F218" i="11"/>
  <c r="D219" i="11"/>
  <c r="F219" i="11"/>
  <c r="D220" i="11"/>
  <c r="F220" i="11"/>
  <c r="D221" i="11"/>
  <c r="F221" i="11"/>
  <c r="D222" i="11"/>
  <c r="F222" i="11"/>
  <c r="D223" i="11"/>
  <c r="F223" i="11"/>
  <c r="D224" i="11"/>
  <c r="F224" i="11"/>
  <c r="D225" i="11"/>
  <c r="F225" i="11"/>
  <c r="D226" i="11"/>
  <c r="F226" i="11"/>
  <c r="D227" i="11"/>
  <c r="F227" i="11"/>
  <c r="D228" i="11"/>
  <c r="F228" i="11"/>
  <c r="D229" i="11"/>
  <c r="F229" i="11"/>
  <c r="D230" i="11"/>
  <c r="F230" i="11"/>
  <c r="D231" i="11"/>
  <c r="F231" i="11"/>
  <c r="D232" i="11"/>
  <c r="F232" i="11"/>
  <c r="D233" i="11"/>
  <c r="F233" i="11"/>
  <c r="D234" i="11"/>
  <c r="F234" i="11"/>
  <c r="D235" i="11"/>
  <c r="F235" i="11"/>
  <c r="D236" i="11"/>
  <c r="F236" i="11"/>
  <c r="D237" i="11"/>
  <c r="F237" i="11"/>
  <c r="D238" i="11"/>
  <c r="F238" i="11"/>
  <c r="D239" i="11"/>
  <c r="F239" i="11"/>
  <c r="D240" i="11"/>
  <c r="F240" i="11"/>
  <c r="D241" i="11"/>
  <c r="F241" i="11"/>
  <c r="D242" i="11"/>
  <c r="F242" i="11"/>
  <c r="D243" i="11"/>
  <c r="F243" i="11"/>
  <c r="D244" i="11"/>
  <c r="F244" i="11"/>
  <c r="D245" i="11"/>
  <c r="F245" i="11"/>
  <c r="D246" i="11"/>
  <c r="F246" i="11"/>
  <c r="D247" i="11"/>
  <c r="F247" i="11"/>
  <c r="D248" i="11"/>
  <c r="F248" i="11"/>
  <c r="D249" i="11"/>
  <c r="F249" i="11"/>
  <c r="D250" i="11"/>
  <c r="F250" i="11"/>
  <c r="D251" i="11"/>
  <c r="F251" i="11"/>
  <c r="D252" i="11"/>
  <c r="F252" i="11"/>
  <c r="D253" i="11"/>
  <c r="F253" i="11"/>
  <c r="D254" i="11"/>
  <c r="F254" i="11"/>
  <c r="D255" i="11"/>
  <c r="F255" i="11"/>
  <c r="D256" i="11"/>
  <c r="F256" i="11"/>
  <c r="D257" i="11"/>
  <c r="F257" i="11"/>
  <c r="D258" i="11"/>
  <c r="F258" i="11"/>
  <c r="D259" i="11"/>
  <c r="F259" i="11"/>
  <c r="D260" i="11"/>
  <c r="F260" i="11"/>
  <c r="D261" i="11"/>
  <c r="F261" i="11"/>
  <c r="D262" i="11"/>
  <c r="F262" i="11"/>
  <c r="D263" i="11"/>
  <c r="F263" i="11"/>
  <c r="D264" i="11"/>
  <c r="F264" i="11"/>
  <c r="D265" i="11"/>
  <c r="F265" i="11"/>
  <c r="D266" i="11"/>
  <c r="F266" i="11"/>
  <c r="D267" i="11"/>
  <c r="F267" i="11"/>
  <c r="D268" i="11"/>
  <c r="F268" i="11"/>
  <c r="D269" i="11"/>
  <c r="F269" i="11"/>
  <c r="D270" i="11"/>
  <c r="F270" i="11"/>
  <c r="D271" i="11"/>
  <c r="F271" i="11"/>
  <c r="D272" i="11"/>
  <c r="F272" i="11"/>
  <c r="D273" i="11"/>
  <c r="F273" i="11"/>
  <c r="D274" i="11"/>
  <c r="F274" i="11"/>
  <c r="D275" i="11"/>
  <c r="F275" i="11"/>
  <c r="D276" i="11"/>
  <c r="F276" i="11"/>
  <c r="D277" i="11"/>
  <c r="F277" i="11"/>
  <c r="D278" i="11"/>
  <c r="F278" i="11"/>
  <c r="D279" i="11"/>
  <c r="F279" i="11"/>
  <c r="D280" i="11"/>
  <c r="F280" i="11"/>
  <c r="D281" i="11"/>
  <c r="F281" i="11"/>
  <c r="D282" i="11"/>
  <c r="F282" i="11"/>
  <c r="D283" i="11"/>
  <c r="F283" i="11"/>
  <c r="D284" i="11"/>
  <c r="F284" i="11"/>
  <c r="D285" i="11"/>
  <c r="F285" i="11"/>
  <c r="D286" i="11"/>
  <c r="F286" i="11"/>
  <c r="D287" i="11"/>
  <c r="F287" i="11"/>
  <c r="D288" i="11"/>
  <c r="F288" i="11"/>
  <c r="D289" i="11"/>
  <c r="F289" i="11"/>
  <c r="D290" i="11"/>
  <c r="F290" i="11"/>
  <c r="D291" i="11"/>
  <c r="F291" i="11"/>
  <c r="D292" i="11"/>
  <c r="F292" i="11"/>
  <c r="D293" i="11"/>
  <c r="F293" i="11"/>
  <c r="D294" i="11"/>
  <c r="F294" i="11"/>
  <c r="D295" i="11"/>
  <c r="F295" i="11"/>
  <c r="D296" i="11"/>
  <c r="F296" i="11"/>
  <c r="D297" i="11"/>
  <c r="F297" i="11"/>
  <c r="D298" i="11"/>
  <c r="F298" i="11"/>
  <c r="D299" i="11"/>
  <c r="F299" i="11"/>
  <c r="D300" i="11"/>
  <c r="F300" i="11"/>
  <c r="D301" i="11"/>
  <c r="F301" i="11"/>
  <c r="D302" i="11"/>
  <c r="F302" i="11"/>
  <c r="D303" i="11"/>
  <c r="F303" i="11"/>
  <c r="D304" i="11"/>
  <c r="F304" i="11"/>
  <c r="D305" i="11"/>
  <c r="F305" i="11"/>
  <c r="D306" i="11"/>
  <c r="F306" i="11"/>
  <c r="D307" i="11"/>
  <c r="F307" i="11"/>
  <c r="D308" i="11"/>
  <c r="F308" i="11"/>
  <c r="D309" i="11"/>
  <c r="F309" i="11"/>
  <c r="D310" i="11"/>
  <c r="F310" i="11"/>
  <c r="D311" i="11"/>
  <c r="F311" i="11"/>
  <c r="D312" i="11"/>
  <c r="F312" i="11"/>
  <c r="D313" i="11"/>
  <c r="F313" i="11"/>
  <c r="D314" i="11"/>
  <c r="F314" i="11"/>
  <c r="D315" i="11"/>
  <c r="F315" i="11"/>
  <c r="D316" i="11"/>
  <c r="F316" i="11"/>
  <c r="D317" i="11"/>
  <c r="F317" i="11"/>
  <c r="D318" i="11"/>
  <c r="F318" i="11"/>
  <c r="D319" i="11"/>
  <c r="F319" i="11"/>
  <c r="D320" i="11"/>
  <c r="F320" i="11"/>
  <c r="D321" i="11"/>
  <c r="F321" i="11"/>
  <c r="D322" i="11"/>
  <c r="F322" i="11"/>
  <c r="D323" i="11"/>
  <c r="F323" i="11"/>
  <c r="D324" i="11"/>
  <c r="F324" i="11"/>
  <c r="D325" i="11"/>
  <c r="F325" i="11"/>
  <c r="D326" i="11"/>
  <c r="F326" i="11"/>
  <c r="D327" i="11"/>
  <c r="F327" i="11"/>
  <c r="D328" i="11"/>
  <c r="F328" i="11"/>
  <c r="D329" i="11"/>
  <c r="F329" i="11"/>
  <c r="D330" i="11"/>
  <c r="F330" i="11"/>
  <c r="D331" i="11"/>
  <c r="F331" i="11"/>
  <c r="D332" i="11"/>
  <c r="F332" i="11"/>
  <c r="D333" i="11"/>
  <c r="F333" i="11"/>
  <c r="D334" i="11"/>
  <c r="F334" i="11"/>
  <c r="D335" i="11"/>
  <c r="F335" i="11"/>
  <c r="D336" i="11"/>
  <c r="F336" i="11"/>
  <c r="D337" i="11"/>
  <c r="F337" i="11"/>
  <c r="D338" i="11"/>
  <c r="F338" i="11"/>
  <c r="D339" i="11"/>
  <c r="F339" i="11"/>
  <c r="D340" i="11"/>
  <c r="F340" i="11"/>
  <c r="D341" i="11"/>
  <c r="F341" i="11"/>
  <c r="D342" i="11"/>
  <c r="F342" i="11"/>
  <c r="D343" i="11"/>
  <c r="F343" i="11"/>
  <c r="D344" i="11"/>
  <c r="F344" i="11"/>
  <c r="D345" i="11"/>
  <c r="F345" i="11"/>
  <c r="D346" i="11"/>
  <c r="F346" i="11"/>
  <c r="D347" i="11"/>
  <c r="F347" i="11"/>
  <c r="D348" i="11"/>
  <c r="F348" i="11"/>
  <c r="D349" i="11"/>
  <c r="F349" i="11"/>
  <c r="D350" i="11"/>
  <c r="F350" i="11"/>
  <c r="D351" i="11"/>
  <c r="F351" i="11"/>
  <c r="D352" i="11"/>
  <c r="F352" i="11"/>
  <c r="D353" i="11"/>
  <c r="F353" i="11"/>
  <c r="D354" i="11"/>
  <c r="F354" i="11"/>
  <c r="D355" i="11"/>
  <c r="F355" i="11"/>
  <c r="D356" i="11"/>
  <c r="F356" i="11"/>
  <c r="D357" i="11"/>
  <c r="F357" i="11"/>
  <c r="D358" i="11"/>
  <c r="F358" i="11"/>
  <c r="D359" i="11"/>
  <c r="F359" i="11"/>
  <c r="D360" i="11"/>
  <c r="F360" i="11"/>
  <c r="D361" i="11"/>
  <c r="F361" i="11"/>
  <c r="D362" i="11"/>
  <c r="F362" i="11"/>
  <c r="D363" i="11"/>
  <c r="F363" i="11"/>
  <c r="D364" i="11"/>
  <c r="F364" i="11"/>
  <c r="D365" i="11"/>
  <c r="F365" i="11"/>
  <c r="D366" i="11"/>
  <c r="F366" i="11"/>
  <c r="D367" i="11"/>
  <c r="F367" i="11"/>
  <c r="D368" i="11"/>
  <c r="F368" i="11"/>
  <c r="D369" i="11"/>
  <c r="F369" i="11"/>
  <c r="D370" i="11"/>
  <c r="F370" i="11"/>
  <c r="D371" i="11"/>
  <c r="F371" i="11"/>
  <c r="D372" i="11"/>
  <c r="F372" i="11"/>
  <c r="D373" i="11"/>
  <c r="F373" i="11"/>
  <c r="D374" i="11"/>
  <c r="F374" i="11"/>
  <c r="D375" i="11"/>
  <c r="F375" i="11"/>
  <c r="D376" i="11"/>
  <c r="F376" i="11"/>
  <c r="D377" i="11"/>
  <c r="F377" i="11"/>
  <c r="D378" i="11"/>
  <c r="F378" i="11"/>
  <c r="D379" i="11"/>
  <c r="F379" i="11"/>
  <c r="D380" i="11"/>
  <c r="F380" i="11"/>
  <c r="D381" i="11"/>
  <c r="F381" i="11"/>
  <c r="D382" i="11"/>
  <c r="F382" i="11"/>
  <c r="D383" i="11"/>
  <c r="F383" i="11"/>
  <c r="D384" i="11"/>
  <c r="F384" i="11"/>
  <c r="D385" i="11"/>
  <c r="F385" i="11"/>
  <c r="D386" i="11"/>
  <c r="F386" i="11"/>
  <c r="D387" i="11"/>
  <c r="F387" i="11"/>
  <c r="D388" i="11"/>
  <c r="F388" i="11"/>
  <c r="D389" i="11"/>
  <c r="F389" i="11"/>
  <c r="D390" i="11"/>
  <c r="F390" i="11"/>
  <c r="D391" i="11"/>
  <c r="F391" i="11"/>
  <c r="D392" i="11"/>
  <c r="F392" i="11"/>
  <c r="D393" i="11"/>
  <c r="F393" i="11"/>
  <c r="D394" i="11"/>
  <c r="F394" i="11"/>
  <c r="D395" i="11"/>
  <c r="F395" i="11"/>
  <c r="D396" i="11"/>
  <c r="F396" i="11"/>
  <c r="D397" i="11"/>
  <c r="F397" i="11"/>
  <c r="D398" i="11"/>
  <c r="F398" i="11"/>
  <c r="D399" i="11"/>
  <c r="F399" i="11"/>
  <c r="D400" i="11"/>
  <c r="F400" i="11"/>
  <c r="D401" i="11"/>
  <c r="F401" i="11"/>
  <c r="D402" i="11"/>
  <c r="F402" i="11"/>
  <c r="D403" i="11"/>
  <c r="F403" i="11"/>
  <c r="D404" i="11"/>
  <c r="F404" i="11"/>
  <c r="D405" i="11"/>
  <c r="F405" i="11"/>
  <c r="D406" i="11"/>
  <c r="F406" i="11"/>
  <c r="D407" i="11"/>
  <c r="F407" i="11"/>
  <c r="D408" i="11"/>
  <c r="F408" i="11"/>
  <c r="D409" i="11"/>
  <c r="F409" i="11"/>
  <c r="D410" i="11"/>
  <c r="F410" i="11"/>
  <c r="D411" i="11"/>
  <c r="F411" i="11"/>
  <c r="D412" i="11"/>
  <c r="F412" i="11"/>
  <c r="D413" i="11"/>
  <c r="F413" i="11"/>
  <c r="D414" i="11"/>
  <c r="F414" i="11"/>
  <c r="D415" i="11"/>
  <c r="F415" i="11"/>
  <c r="D416" i="11"/>
  <c r="F416" i="11"/>
  <c r="D417" i="11"/>
  <c r="F417" i="11"/>
  <c r="D418" i="11"/>
  <c r="F418" i="11"/>
  <c r="D419" i="11"/>
  <c r="F419" i="11"/>
  <c r="D420" i="11"/>
  <c r="F420" i="11"/>
  <c r="D421" i="11"/>
  <c r="F421" i="11"/>
  <c r="D422" i="11"/>
  <c r="F422" i="11"/>
  <c r="D423" i="11"/>
  <c r="F423" i="11"/>
  <c r="D424" i="11"/>
  <c r="F424" i="11"/>
  <c r="D425" i="11"/>
  <c r="F425" i="11"/>
  <c r="D426" i="11"/>
  <c r="F426" i="11"/>
  <c r="D427" i="11"/>
  <c r="F427" i="11"/>
  <c r="D428" i="11"/>
  <c r="F428" i="11"/>
  <c r="D429" i="11"/>
  <c r="F429" i="11"/>
  <c r="D430" i="11"/>
  <c r="F430" i="11"/>
  <c r="D431" i="11"/>
  <c r="F431" i="11"/>
  <c r="D432" i="11"/>
  <c r="F432" i="11"/>
  <c r="D433" i="11"/>
  <c r="F433" i="11"/>
  <c r="D434" i="11"/>
  <c r="F434" i="11"/>
  <c r="D435" i="11"/>
  <c r="F435" i="11"/>
  <c r="D436" i="11"/>
  <c r="F436" i="11"/>
  <c r="D437" i="11"/>
  <c r="F437" i="11"/>
  <c r="D438" i="11"/>
  <c r="F438" i="11"/>
  <c r="D439" i="11"/>
  <c r="F439" i="11"/>
  <c r="D440" i="11"/>
  <c r="F440" i="11"/>
  <c r="D441" i="11"/>
  <c r="F441" i="11"/>
  <c r="D442" i="11"/>
  <c r="F442" i="11"/>
  <c r="D443" i="11"/>
  <c r="F443" i="11"/>
  <c r="D444" i="11"/>
  <c r="F444" i="11"/>
  <c r="D445" i="11"/>
  <c r="F445" i="11"/>
  <c r="D446" i="11"/>
  <c r="F446" i="11"/>
  <c r="D447" i="11"/>
  <c r="F447" i="11"/>
  <c r="D448" i="11"/>
  <c r="F448" i="11"/>
  <c r="D449" i="11"/>
  <c r="F449" i="11"/>
  <c r="D450" i="11"/>
  <c r="F450" i="11"/>
  <c r="D451" i="11"/>
  <c r="F451" i="11"/>
  <c r="D452" i="11"/>
  <c r="F452" i="11"/>
  <c r="D453" i="11"/>
  <c r="F453" i="11"/>
  <c r="D454" i="11"/>
  <c r="F454" i="11"/>
  <c r="D455" i="11"/>
  <c r="F455" i="11"/>
  <c r="D456" i="11"/>
  <c r="F456" i="11"/>
  <c r="D457" i="11"/>
  <c r="F457" i="11"/>
  <c r="D458" i="11"/>
  <c r="F458" i="11"/>
  <c r="D459" i="11"/>
  <c r="F459" i="11"/>
  <c r="D460" i="11"/>
  <c r="F460" i="11"/>
  <c r="D461" i="11"/>
  <c r="F461" i="11"/>
  <c r="D462" i="11"/>
  <c r="F462" i="11"/>
  <c r="D463" i="11"/>
  <c r="F463" i="11"/>
  <c r="D464" i="11"/>
  <c r="F464" i="11"/>
  <c r="D465" i="11"/>
  <c r="F465" i="11"/>
  <c r="D466" i="11"/>
  <c r="F466" i="11"/>
  <c r="D467" i="11"/>
  <c r="F467" i="11"/>
  <c r="D468" i="11"/>
  <c r="F468" i="11"/>
  <c r="D469" i="11"/>
  <c r="F469" i="11"/>
  <c r="D470" i="11"/>
  <c r="F470" i="11"/>
  <c r="D471" i="11"/>
  <c r="F471" i="11"/>
  <c r="D472" i="11"/>
  <c r="F472" i="11"/>
  <c r="D473" i="11"/>
  <c r="F473" i="11"/>
  <c r="D474" i="11"/>
  <c r="F474" i="11"/>
  <c r="D475" i="11"/>
  <c r="F475" i="11"/>
  <c r="D476" i="11"/>
  <c r="F476" i="11"/>
  <c r="D477" i="11"/>
  <c r="F477" i="11"/>
  <c r="D478" i="11"/>
  <c r="F478" i="11"/>
  <c r="D479" i="11"/>
  <c r="F479" i="11"/>
  <c r="D480" i="11"/>
  <c r="F480" i="11"/>
  <c r="D481" i="11"/>
  <c r="F481" i="11"/>
  <c r="D482" i="11"/>
  <c r="F482" i="11"/>
  <c r="D483" i="11"/>
  <c r="F483" i="11"/>
  <c r="D484" i="11"/>
  <c r="F484" i="11"/>
  <c r="D485" i="11"/>
  <c r="F485" i="11"/>
  <c r="D486" i="11"/>
  <c r="F486" i="11"/>
  <c r="D487" i="11"/>
  <c r="F487" i="11"/>
  <c r="D488" i="11"/>
  <c r="F488" i="11"/>
  <c r="D489" i="11"/>
  <c r="F489" i="11"/>
  <c r="D490" i="11"/>
  <c r="F490" i="11"/>
  <c r="D491" i="11"/>
  <c r="F491" i="11"/>
  <c r="D492" i="11"/>
  <c r="F492" i="11"/>
  <c r="D493" i="11"/>
  <c r="F493" i="11"/>
  <c r="D494" i="11"/>
  <c r="F494" i="11"/>
  <c r="D495" i="11"/>
  <c r="F495" i="11"/>
  <c r="D496" i="11"/>
  <c r="F496" i="11"/>
  <c r="D497" i="11"/>
  <c r="F497" i="11"/>
  <c r="D498" i="11"/>
  <c r="F498" i="11"/>
  <c r="D3" i="11"/>
  <c r="F3" i="11"/>
  <c r="EL19" i="10"/>
  <c r="EG19" i="10"/>
  <c r="EL18" i="10"/>
  <c r="EG18" i="10"/>
  <c r="EL17" i="10"/>
  <c r="EG17" i="10"/>
  <c r="EL16" i="10"/>
  <c r="EG16" i="10"/>
  <c r="EL15" i="10"/>
  <c r="EG15" i="10"/>
  <c r="EC19" i="10"/>
  <c r="EB19" i="10"/>
  <c r="EC18" i="10"/>
  <c r="EB18" i="10"/>
  <c r="EB17" i="10"/>
  <c r="EC16" i="10"/>
  <c r="EB16" i="10"/>
  <c r="EC15" i="10"/>
  <c r="EB15" i="10"/>
  <c r="BI19" i="10"/>
  <c r="BK19" i="10" s="1"/>
  <c r="BN17" i="10"/>
  <c r="BW17" i="10" s="1"/>
  <c r="BJ17" i="10"/>
  <c r="BL17" i="10" s="1"/>
  <c r="BJ15" i="10"/>
  <c r="BL15" i="10" s="1"/>
  <c r="BI15" i="10"/>
  <c r="BK15" i="10" s="1"/>
  <c r="BB18" i="10"/>
  <c r="BD18" i="10" s="1"/>
  <c r="BA18" i="10"/>
  <c r="BC18" i="10" s="1"/>
  <c r="BA16" i="10"/>
  <c r="BC16" i="10" s="1"/>
  <c r="BA15" i="10"/>
  <c r="BC15" i="10" s="1"/>
  <c r="AV19" i="10"/>
  <c r="AV18" i="10"/>
  <c r="EM18" i="10" s="1"/>
  <c r="AV17" i="10"/>
  <c r="EM17" i="10" s="1"/>
  <c r="AV16" i="10"/>
  <c r="AV15" i="10"/>
  <c r="EM15" i="10" s="1"/>
  <c r="CB215" i="10"/>
  <c r="CB219" i="10"/>
  <c r="CB276" i="10"/>
  <c r="CB326" i="10"/>
  <c r="CF326" i="10" s="1"/>
  <c r="CB309" i="10"/>
  <c r="CF309" i="10" s="1"/>
  <c r="CB456" i="10"/>
  <c r="CB460" i="10"/>
  <c r="CF460" i="10" s="1"/>
  <c r="CB459" i="10"/>
  <c r="CF459" i="10" s="1"/>
  <c r="CB483" i="10"/>
  <c r="CB605" i="10"/>
  <c r="CB578" i="10"/>
  <c r="CF578" i="10" s="1"/>
  <c r="CB593" i="10"/>
  <c r="CB562" i="10"/>
  <c r="CB574" i="10"/>
  <c r="CB654" i="10"/>
  <c r="CF654" i="10" s="1"/>
  <c r="CB641" i="10"/>
  <c r="CF641" i="10" s="1"/>
  <c r="CB696" i="10"/>
  <c r="CF696" i="10" s="1"/>
  <c r="CB623" i="10"/>
  <c r="CB681" i="10"/>
  <c r="CB708" i="10"/>
  <c r="CB720" i="10"/>
  <c r="CB642" i="10"/>
  <c r="CF642" i="10" s="1"/>
  <c r="CB764" i="10"/>
  <c r="CB795" i="10"/>
  <c r="CF795" i="10" s="1"/>
  <c r="CB807" i="10"/>
  <c r="CB811" i="10"/>
  <c r="CF811" i="10" s="1"/>
  <c r="CB835" i="10"/>
  <c r="CB911" i="10"/>
  <c r="CB903" i="10"/>
  <c r="CB968" i="10"/>
  <c r="CF968" i="10" s="1"/>
  <c r="CB967" i="10"/>
  <c r="CF967" i="10" s="1"/>
  <c r="CB972" i="10"/>
  <c r="CB847" i="10"/>
  <c r="CB959" i="10"/>
  <c r="CF959" i="10" s="1"/>
  <c r="CB963" i="10"/>
  <c r="CB1007" i="10"/>
  <c r="CB887" i="10"/>
  <c r="CB961" i="10"/>
  <c r="CB979" i="10"/>
  <c r="CF979" i="10" s="1"/>
  <c r="CB878" i="10"/>
  <c r="CF878" i="10" s="1"/>
  <c r="CB814" i="10"/>
  <c r="CB676" i="10"/>
  <c r="CB848" i="10"/>
  <c r="CF848" i="10" s="1"/>
  <c r="CB743" i="10"/>
  <c r="CB629" i="10"/>
  <c r="CF629" i="10" s="1"/>
  <c r="CB799" i="10"/>
  <c r="CL647" i="10"/>
  <c r="CB634" i="10"/>
  <c r="CF634" i="10" s="1"/>
  <c r="CB596" i="10"/>
  <c r="CB646" i="10"/>
  <c r="CB602" i="10"/>
  <c r="CB573" i="10"/>
  <c r="CF573" i="10" s="1"/>
  <c r="CB568" i="10"/>
  <c r="CB476" i="10"/>
  <c r="CF476" i="10" s="1"/>
  <c r="CB454" i="10"/>
  <c r="CF454" i="10" s="1"/>
  <c r="CB426" i="10"/>
  <c r="CF426" i="10" s="1"/>
  <c r="CB420" i="10"/>
  <c r="CF420" i="10" s="1"/>
  <c r="CB440" i="10"/>
  <c r="CB450" i="10"/>
  <c r="CF450" i="10" s="1"/>
  <c r="CB282" i="10"/>
  <c r="CB983" i="10"/>
  <c r="CB919" i="10"/>
  <c r="CB951" i="10"/>
  <c r="CF951" i="10" s="1"/>
  <c r="CD967" i="10"/>
  <c r="CH967" i="10" s="1"/>
  <c r="CB879" i="10"/>
  <c r="CB982" i="10"/>
  <c r="CB906" i="10"/>
  <c r="CB659" i="10"/>
  <c r="CB784" i="10"/>
  <c r="CF784" i="10" s="1"/>
  <c r="CB551" i="10"/>
  <c r="CB759" i="10"/>
  <c r="CB842" i="10"/>
  <c r="CD755" i="10"/>
  <c r="CH755" i="10" s="1"/>
  <c r="CB674" i="10"/>
  <c r="CB543" i="10"/>
  <c r="CF543" i="10" s="1"/>
  <c r="CL692" i="10"/>
  <c r="CB615" i="10"/>
  <c r="CF615" i="10" s="1"/>
  <c r="CB594" i="10"/>
  <c r="CB673" i="10"/>
  <c r="CF673" i="10" s="1"/>
  <c r="CB692" i="10"/>
  <c r="CB576" i="10"/>
  <c r="CB533" i="10"/>
  <c r="CB422" i="10"/>
  <c r="CB321" i="10"/>
  <c r="CF321" i="10" s="1"/>
  <c r="CB965" i="10"/>
  <c r="CB883" i="10"/>
  <c r="CB976" i="10"/>
  <c r="CB978" i="10"/>
  <c r="CD968" i="10"/>
  <c r="CH968" i="10" s="1"/>
  <c r="CB943" i="10"/>
  <c r="CB955" i="10"/>
  <c r="CF955" i="10" s="1"/>
  <c r="CB977" i="10"/>
  <c r="CF977" i="10" s="1"/>
  <c r="CB894" i="10"/>
  <c r="CB863" i="10"/>
  <c r="CB763" i="10"/>
  <c r="CF763" i="10" s="1"/>
  <c r="CB758" i="10"/>
  <c r="CB712" i="10"/>
  <c r="CB794" i="10"/>
  <c r="CD692" i="10"/>
  <c r="CH692" i="10" s="1"/>
  <c r="CB480" i="10"/>
  <c r="CB627" i="10"/>
  <c r="CF627" i="10" s="1"/>
  <c r="CB582" i="10"/>
  <c r="CB539" i="10"/>
  <c r="CB545" i="10"/>
  <c r="CD326" i="10"/>
  <c r="CH326" i="10" s="1"/>
  <c r="CB418" i="10"/>
  <c r="CB372" i="10"/>
  <c r="CD334" i="10"/>
  <c r="CH334" i="10" s="1"/>
  <c r="CB272" i="10"/>
  <c r="CB281" i="10"/>
  <c r="CB221" i="10"/>
  <c r="CF221" i="10" s="1"/>
  <c r="CB1003" i="10"/>
  <c r="CB947" i="10"/>
  <c r="CF947" i="10" s="1"/>
  <c r="CB944" i="10"/>
  <c r="CF944" i="10" s="1"/>
  <c r="CB880" i="10"/>
  <c r="CF880" i="10" s="1"/>
  <c r="CB859" i="10"/>
  <c r="CB751" i="10"/>
  <c r="CB866" i="10"/>
  <c r="CB732" i="10"/>
  <c r="CB900" i="10"/>
  <c r="CB932" i="10"/>
  <c r="CB772" i="10"/>
  <c r="CB808" i="10"/>
  <c r="CF808" i="10" s="1"/>
  <c r="CB776" i="10"/>
  <c r="CB651" i="10"/>
  <c r="CF651" i="10" s="1"/>
  <c r="CB736" i="10"/>
  <c r="CB666" i="10"/>
  <c r="CB665" i="10"/>
  <c r="CL573" i="10"/>
  <c r="CB694" i="10"/>
  <c r="CB590" i="10"/>
  <c r="CF590" i="10" s="1"/>
  <c r="CL581" i="10"/>
  <c r="CB663" i="10"/>
  <c r="CB561" i="10"/>
  <c r="CB501" i="10"/>
  <c r="CB478" i="10"/>
  <c r="CF478" i="10" s="1"/>
  <c r="CB488" i="10"/>
  <c r="CB435" i="10"/>
  <c r="CB347" i="10"/>
  <c r="CB387" i="10"/>
  <c r="CB359" i="10"/>
  <c r="CB334" i="10"/>
  <c r="CF334" i="10" s="1"/>
  <c r="CB401" i="10"/>
  <c r="CB237" i="10"/>
  <c r="CF237" i="10" s="1"/>
  <c r="CB923" i="10"/>
  <c r="CB991" i="10"/>
  <c r="CF991" i="10" s="1"/>
  <c r="CB941" i="10"/>
  <c r="CB927" i="10"/>
  <c r="CB748" i="10"/>
  <c r="CB864" i="10"/>
  <c r="CF864" i="10" s="1"/>
  <c r="CB747" i="10"/>
  <c r="CB898" i="10"/>
  <c r="CB920" i="10"/>
  <c r="CB755" i="10"/>
  <c r="CB832" i="10"/>
  <c r="CF832" i="10" s="1"/>
  <c r="CB775" i="10"/>
  <c r="CB782" i="10"/>
  <c r="CB686" i="10"/>
  <c r="CF686" i="10" s="1"/>
  <c r="CB735" i="10"/>
  <c r="CB647" i="10"/>
  <c r="CD581" i="10"/>
  <c r="CH581" i="10" s="1"/>
  <c r="CB555" i="10"/>
  <c r="CB444" i="10"/>
  <c r="CB470" i="10"/>
  <c r="CB496" i="10"/>
  <c r="CF496" i="10" s="1"/>
  <c r="CB413" i="10"/>
  <c r="CB412" i="10"/>
  <c r="CF412" i="10" s="1"/>
  <c r="CB452" i="10"/>
  <c r="CB458" i="10"/>
  <c r="CD987" i="10"/>
  <c r="CH987" i="10" s="1"/>
  <c r="CB981" i="10"/>
  <c r="CB1002" i="10"/>
  <c r="CB998" i="10"/>
  <c r="CB925" i="10"/>
  <c r="CB868" i="10"/>
  <c r="CF868" i="10" s="1"/>
  <c r="CB874" i="10"/>
  <c r="CB718" i="10"/>
  <c r="CF718" i="10" s="1"/>
  <c r="CB902" i="10"/>
  <c r="CB787" i="10"/>
  <c r="CF787" i="10" s="1"/>
  <c r="CD763" i="10"/>
  <c r="CH763" i="10" s="1"/>
  <c r="CB752" i="10"/>
  <c r="CF752" i="10" s="1"/>
  <c r="CB670" i="10"/>
  <c r="CF670" i="10" s="1"/>
  <c r="CB771" i="10"/>
  <c r="CB806" i="10"/>
  <c r="CB503" i="10"/>
  <c r="CB824" i="10"/>
  <c r="CB770" i="10"/>
  <c r="CF770" i="10" s="1"/>
  <c r="CD585" i="10"/>
  <c r="CH585" i="10" s="1"/>
  <c r="CB515" i="10"/>
  <c r="CB474" i="10"/>
  <c r="CB448" i="10"/>
  <c r="CF448" i="10" s="1"/>
  <c r="CB396" i="10"/>
  <c r="CF396" i="10" s="1"/>
  <c r="CB999" i="10"/>
  <c r="CF999" i="10" s="1"/>
  <c r="CB924" i="10"/>
  <c r="CF924" i="10" s="1"/>
  <c r="CL967" i="10"/>
  <c r="CB855" i="10"/>
  <c r="CB884" i="10"/>
  <c r="CB668" i="10"/>
  <c r="CB746" i="10"/>
  <c r="CF746" i="10" s="1"/>
  <c r="CB730" i="10"/>
  <c r="CB819" i="10"/>
  <c r="CF819" i="10" s="1"/>
  <c r="CB788" i="10"/>
  <c r="CF788" i="10" s="1"/>
  <c r="CB639" i="10"/>
  <c r="CB702" i="10"/>
  <c r="CF702" i="10" s="1"/>
  <c r="CL635" i="10"/>
  <c r="CB519" i="10"/>
  <c r="CF519" i="10" s="1"/>
  <c r="CB584" i="10"/>
  <c r="CB570" i="10"/>
  <c r="CF570" i="10" s="1"/>
  <c r="CB569" i="10"/>
  <c r="CF569" i="10" s="1"/>
  <c r="CB495" i="10"/>
  <c r="CD495" i="10"/>
  <c r="CH495" i="10" s="1"/>
  <c r="CB507" i="10"/>
  <c r="CB466" i="10"/>
  <c r="CB465" i="10"/>
  <c r="CF465" i="10" s="1"/>
  <c r="CB392" i="10"/>
  <c r="CF392" i="10" s="1"/>
  <c r="CB399" i="10"/>
  <c r="CD747" i="10"/>
  <c r="CH747" i="10" s="1"/>
  <c r="CB393" i="10"/>
  <c r="CF393" i="10" s="1"/>
  <c r="CB293" i="10"/>
  <c r="CF293" i="10" s="1"/>
  <c r="CB996" i="10"/>
  <c r="CB953" i="10"/>
  <c r="CB921" i="10"/>
  <c r="CD807" i="10"/>
  <c r="CH807" i="10" s="1"/>
  <c r="CD775" i="10"/>
  <c r="CH775" i="10" s="1"/>
  <c r="CB749" i="10"/>
  <c r="CB954" i="10"/>
  <c r="CB800" i="10"/>
  <c r="CB872" i="10"/>
  <c r="CL1012" i="10"/>
  <c r="CL807" i="10"/>
  <c r="CL775" i="10"/>
  <c r="CB938" i="10"/>
  <c r="CB853" i="10"/>
  <c r="CD883" i="10"/>
  <c r="CH883" i="10" s="1"/>
  <c r="CB841" i="10"/>
  <c r="CD787" i="10"/>
  <c r="CH787" i="10" s="1"/>
  <c r="CB831" i="10"/>
  <c r="CF831" i="10" s="1"/>
  <c r="CB969" i="10"/>
  <c r="CF969" i="10" s="1"/>
  <c r="CB850" i="10"/>
  <c r="CB721" i="10"/>
  <c r="CF721" i="10" s="1"/>
  <c r="CB1008" i="10"/>
  <c r="CB904" i="10"/>
  <c r="CB888" i="10"/>
  <c r="CB757" i="10"/>
  <c r="CL879" i="10"/>
  <c r="CL883" i="10"/>
  <c r="CB825" i="10"/>
  <c r="CL787" i="10"/>
  <c r="CB567" i="10"/>
  <c r="CB891" i="10"/>
  <c r="CF891" i="10" s="1"/>
  <c r="CB729" i="10"/>
  <c r="CB472" i="10"/>
  <c r="CF472" i="10" s="1"/>
  <c r="CB364" i="10"/>
  <c r="CB376" i="10"/>
  <c r="CB1000" i="10"/>
  <c r="CB877" i="10"/>
  <c r="CF877" i="10" s="1"/>
  <c r="CL976" i="10"/>
  <c r="CB929" i="10"/>
  <c r="CB893" i="10"/>
  <c r="CF893" i="10" s="1"/>
  <c r="CB829" i="10"/>
  <c r="CB797" i="10"/>
  <c r="CB930" i="10"/>
  <c r="CB857" i="10"/>
  <c r="CF857" i="10" s="1"/>
  <c r="CB711" i="10"/>
  <c r="CF711" i="10" s="1"/>
  <c r="CB928" i="10"/>
  <c r="CB974" i="10"/>
  <c r="CF974" i="10" s="1"/>
  <c r="CB462" i="10"/>
  <c r="CB949" i="10"/>
  <c r="CB909" i="10"/>
  <c r="CB957" i="10"/>
  <c r="CB856" i="10"/>
  <c r="CF856" i="10" s="1"/>
  <c r="CB765" i="10"/>
  <c r="CB733" i="10"/>
  <c r="CF733" i="10" s="1"/>
  <c r="CB901" i="10"/>
  <c r="CB869" i="10"/>
  <c r="CF869" i="10" s="1"/>
  <c r="CB873" i="10"/>
  <c r="CB793" i="10"/>
  <c r="CD527" i="10"/>
  <c r="CH527" i="10" s="1"/>
  <c r="CB851" i="10"/>
  <c r="CD771" i="10"/>
  <c r="CH771" i="10" s="1"/>
  <c r="CB635" i="10"/>
  <c r="CB710" i="10"/>
  <c r="CF710" i="10" s="1"/>
  <c r="CB360" i="10"/>
  <c r="CB1004" i="10"/>
  <c r="CL955" i="10"/>
  <c r="CB962" i="10"/>
  <c r="CL988" i="10"/>
  <c r="CB861" i="10"/>
  <c r="CB922" i="10"/>
  <c r="CF922" i="10" s="1"/>
  <c r="CB805" i="10"/>
  <c r="CB889" i="10"/>
  <c r="CD835" i="10"/>
  <c r="CH835" i="10" s="1"/>
  <c r="CB777" i="10"/>
  <c r="CL527" i="10"/>
  <c r="CB621" i="10"/>
  <c r="CF621" i="10" s="1"/>
  <c r="CB960" i="10"/>
  <c r="CF960" i="10" s="1"/>
  <c r="CB988" i="10"/>
  <c r="CB992" i="10"/>
  <c r="CF992" i="10" s="1"/>
  <c r="CB937" i="10"/>
  <c r="CB741" i="10"/>
  <c r="CB789" i="10"/>
  <c r="CL835" i="10"/>
  <c r="CD760" i="10"/>
  <c r="CH760" i="10" s="1"/>
  <c r="CB984" i="10"/>
  <c r="CB845" i="10"/>
  <c r="CF845" i="10" s="1"/>
  <c r="CL747" i="10"/>
  <c r="CB626" i="10"/>
  <c r="CD647" i="10"/>
  <c r="CH647" i="10" s="1"/>
  <c r="CB587" i="10"/>
  <c r="CL582" i="10"/>
  <c r="CB526" i="10"/>
  <c r="CB536" i="10"/>
  <c r="CF536" i="10" s="1"/>
  <c r="CB486" i="10"/>
  <c r="CF486" i="10" s="1"/>
  <c r="CB781" i="10"/>
  <c r="CL735" i="10"/>
  <c r="CB727" i="10"/>
  <c r="CB608" i="10"/>
  <c r="CB599" i="10"/>
  <c r="CD578" i="10"/>
  <c r="CH578" i="10" s="1"/>
  <c r="CB513" i="10"/>
  <c r="CF513" i="10" s="1"/>
  <c r="CB554" i="10"/>
  <c r="CB550" i="10"/>
  <c r="CB518" i="10"/>
  <c r="CB510" i="10"/>
  <c r="CB546" i="10"/>
  <c r="CF546" i="10" s="1"/>
  <c r="CB516" i="10"/>
  <c r="CB500" i="10"/>
  <c r="CB430" i="10"/>
  <c r="CB502" i="10"/>
  <c r="CF502" i="10" s="1"/>
  <c r="CB506" i="10"/>
  <c r="CB813" i="10"/>
  <c r="CD819" i="10"/>
  <c r="CH819" i="10" s="1"/>
  <c r="CL755" i="10"/>
  <c r="CB563" i="10"/>
  <c r="CF563" i="10" s="1"/>
  <c r="CB556" i="10"/>
  <c r="CD594" i="10"/>
  <c r="CH594" i="10" s="1"/>
  <c r="CL578" i="10"/>
  <c r="CB537" i="10"/>
  <c r="CF537" i="10" s="1"/>
  <c r="CB492" i="10"/>
  <c r="CB441" i="10"/>
  <c r="CF441" i="10" s="1"/>
  <c r="CB726" i="10"/>
  <c r="CB591" i="10"/>
  <c r="CF591" i="10" s="1"/>
  <c r="CB660" i="10"/>
  <c r="CF660" i="10" s="1"/>
  <c r="CB603" i="10"/>
  <c r="CF603" i="10" s="1"/>
  <c r="CL594" i="10"/>
  <c r="CB544" i="10"/>
  <c r="CB540" i="10"/>
  <c r="CB542" i="10"/>
  <c r="CB524" i="10"/>
  <c r="CF524" i="10" s="1"/>
  <c r="CB453" i="10"/>
  <c r="CB514" i="10"/>
  <c r="CB549" i="10"/>
  <c r="CF549" i="10" s="1"/>
  <c r="CL763" i="10"/>
  <c r="CL731" i="10"/>
  <c r="CB579" i="10"/>
  <c r="CF579" i="10" s="1"/>
  <c r="CD590" i="10"/>
  <c r="CH590" i="10" s="1"/>
  <c r="CD539" i="10"/>
  <c r="CH539" i="10" s="1"/>
  <c r="CB528" i="10"/>
  <c r="CF528" i="10" s="1"/>
  <c r="CB484" i="10"/>
  <c r="CF484" i="10" s="1"/>
  <c r="CB477" i="10"/>
  <c r="CF477" i="10" s="1"/>
  <c r="CB530" i="10"/>
  <c r="CF530" i="10" s="1"/>
  <c r="CB482" i="10"/>
  <c r="CD472" i="10"/>
  <c r="CH472" i="10" s="1"/>
  <c r="CB946" i="10"/>
  <c r="CL590" i="10"/>
  <c r="CD562" i="10"/>
  <c r="CH562" i="10" s="1"/>
  <c r="CB520" i="10"/>
  <c r="CB512" i="10"/>
  <c r="CF512" i="10" s="1"/>
  <c r="CB552" i="10"/>
  <c r="CD520" i="10"/>
  <c r="CH520" i="10" s="1"/>
  <c r="CB532" i="10"/>
  <c r="CL495" i="10"/>
  <c r="CB494" i="10"/>
  <c r="CB490" i="10"/>
  <c r="CF490" i="10" s="1"/>
  <c r="CB837" i="10"/>
  <c r="CF837" i="10" s="1"/>
  <c r="CB905" i="10"/>
  <c r="CL771" i="10"/>
  <c r="CL739" i="10"/>
  <c r="CB538" i="10"/>
  <c r="CF538" i="10" s="1"/>
  <c r="CL520" i="10"/>
  <c r="CB417" i="10"/>
  <c r="CB489" i="10"/>
  <c r="CF489" i="10" s="1"/>
  <c r="CD448" i="10"/>
  <c r="CH448" i="10" s="1"/>
  <c r="CL968" i="10"/>
  <c r="CB713" i="10"/>
  <c r="CF713" i="10" s="1"/>
  <c r="CB719" i="10"/>
  <c r="CB429" i="10"/>
  <c r="CF429" i="10" s="1"/>
  <c r="CB434" i="10"/>
  <c r="CF434" i="10" s="1"/>
  <c r="CB438" i="10"/>
  <c r="CB365" i="10"/>
  <c r="CB366" i="10"/>
  <c r="CF366" i="10" s="1"/>
  <c r="CB350" i="10"/>
  <c r="CF350" i="10" s="1"/>
  <c r="CB324" i="10"/>
  <c r="CB291" i="10"/>
  <c r="CF291" i="10" s="1"/>
  <c r="CB275" i="10"/>
  <c r="CB521" i="10"/>
  <c r="CB534" i="10"/>
  <c r="CF534" i="10" s="1"/>
  <c r="CB508" i="10"/>
  <c r="CB522" i="10"/>
  <c r="CF522" i="10" s="1"/>
  <c r="CL472" i="10"/>
  <c r="CD356" i="10"/>
  <c r="CH356" i="10" s="1"/>
  <c r="CB339" i="10"/>
  <c r="CD582" i="10"/>
  <c r="CH582" i="10" s="1"/>
  <c r="CL456" i="10"/>
  <c r="CB398" i="10"/>
  <c r="CF398" i="10" s="1"/>
  <c r="CB336" i="10"/>
  <c r="CB303" i="10"/>
  <c r="CB263" i="10"/>
  <c r="CB390" i="10"/>
  <c r="CB411" i="10"/>
  <c r="CB322" i="10"/>
  <c r="CF322" i="10" s="1"/>
  <c r="CB287" i="10"/>
  <c r="CB234" i="10"/>
  <c r="CL519" i="10"/>
  <c r="CB498" i="10"/>
  <c r="CF498" i="10" s="1"/>
  <c r="CD551" i="10"/>
  <c r="CH551" i="10" s="1"/>
  <c r="CB447" i="10"/>
  <c r="CF447" i="10" s="1"/>
  <c r="CB378" i="10"/>
  <c r="CF378" i="10" s="1"/>
  <c r="CB333" i="10"/>
  <c r="CF333" i="10" s="1"/>
  <c r="CB254" i="10"/>
  <c r="CB394" i="10"/>
  <c r="CB342" i="10"/>
  <c r="CF342" i="10" s="1"/>
  <c r="CB264" i="10"/>
  <c r="CF264" i="10" s="1"/>
  <c r="CB548" i="10"/>
  <c r="CL468" i="10"/>
  <c r="CB389" i="10"/>
  <c r="CF389" i="10" s="1"/>
  <c r="CD700" i="10"/>
  <c r="CH700" i="10" s="1"/>
  <c r="CD609" i="10"/>
  <c r="CH609" i="10" s="1"/>
  <c r="CL690" i="10"/>
  <c r="CB690" i="10"/>
  <c r="CD955" i="10"/>
  <c r="CH955" i="10" s="1"/>
  <c r="CB867" i="10"/>
  <c r="CB742" i="10"/>
  <c r="CL688" i="10"/>
  <c r="CB843" i="10"/>
  <c r="CB678" i="10"/>
  <c r="CB933" i="10"/>
  <c r="CF933" i="10" s="1"/>
  <c r="CB527" i="10"/>
  <c r="CL674" i="10"/>
  <c r="CB823" i="10"/>
  <c r="CF823" i="10" s="1"/>
  <c r="CB971" i="10"/>
  <c r="CB672" i="10"/>
  <c r="CB871" i="10"/>
  <c r="CF871" i="10" s="1"/>
  <c r="CB739" i="10"/>
  <c r="CB986" i="10"/>
  <c r="CB995" i="10"/>
  <c r="CD364" i="10"/>
  <c r="CH364" i="10" s="1"/>
  <c r="CD980" i="10"/>
  <c r="CH980" i="10" s="1"/>
  <c r="CB838" i="10"/>
  <c r="CF838" i="10" s="1"/>
  <c r="CD668" i="10"/>
  <c r="CH668" i="10" s="1"/>
  <c r="CD1000" i="10"/>
  <c r="CH1000" i="10" s="1"/>
  <c r="CB416" i="10"/>
  <c r="CF416" i="10" s="1"/>
  <c r="CD690" i="10"/>
  <c r="CH690" i="10" s="1"/>
  <c r="CB380" i="10"/>
  <c r="CB766" i="10"/>
  <c r="CF766" i="10" s="1"/>
  <c r="CB716" i="10"/>
  <c r="CF716" i="10" s="1"/>
  <c r="CB340" i="10"/>
  <c r="CF340" i="10" s="1"/>
  <c r="CB580" i="10"/>
  <c r="CB731" i="10"/>
  <c r="CF731" i="10" s="1"/>
  <c r="CB931" i="10"/>
  <c r="CB436" i="10"/>
  <c r="CF436" i="10" s="1"/>
  <c r="CB471" i="10"/>
  <c r="CD674" i="10"/>
  <c r="CH674" i="10" s="1"/>
  <c r="CD672" i="10"/>
  <c r="CH672" i="10" s="1"/>
  <c r="CD1012" i="10"/>
  <c r="CH1012" i="10" s="1"/>
  <c r="CB404" i="10"/>
  <c r="CB728" i="10"/>
  <c r="CB370" i="10"/>
  <c r="CB760" i="10"/>
  <c r="CB950" i="10"/>
  <c r="CF950" i="10" s="1"/>
  <c r="CD658" i="10"/>
  <c r="CH658" i="10" s="1"/>
  <c r="CD905" i="10"/>
  <c r="CH905" i="10" s="1"/>
  <c r="CD745" i="10"/>
  <c r="CH745" i="10" s="1"/>
  <c r="CB194" i="10"/>
  <c r="CL364" i="10"/>
  <c r="CL668" i="10"/>
  <c r="CB778" i="10"/>
  <c r="CF778" i="10" s="1"/>
  <c r="CB706" i="10"/>
  <c r="CB834" i="10"/>
  <c r="CB1010" i="10"/>
  <c r="CF1010" i="10" s="1"/>
  <c r="CL627" i="10"/>
  <c r="CB790" i="10"/>
  <c r="CF790" i="10" s="1"/>
  <c r="CB684" i="10"/>
  <c r="CF684" i="10" s="1"/>
  <c r="CB734" i="10"/>
  <c r="CF734" i="10" s="1"/>
  <c r="CB585" i="10"/>
  <c r="CL672" i="10"/>
  <c r="CB754" i="10"/>
  <c r="CF754" i="10" s="1"/>
  <c r="CB939" i="10"/>
  <c r="CF939" i="10" s="1"/>
  <c r="CB315" i="10"/>
  <c r="CF315" i="10" s="1"/>
  <c r="CB446" i="10"/>
  <c r="CB896" i="10"/>
  <c r="CB308" i="10"/>
  <c r="CB980" i="10"/>
  <c r="CF980" i="10" s="1"/>
  <c r="CB975" i="10"/>
  <c r="CL658" i="10"/>
  <c r="CL781" i="10"/>
  <c r="CB152" i="10"/>
  <c r="CD739" i="10"/>
  <c r="CH739" i="10" s="1"/>
  <c r="CL611" i="10"/>
  <c r="CB783" i="10"/>
  <c r="CD996" i="10"/>
  <c r="CH996" i="10" s="1"/>
  <c r="CB509" i="10"/>
  <c r="CB964" i="10"/>
  <c r="CF964" i="10" s="1"/>
  <c r="CB245" i="10"/>
  <c r="CB606" i="10"/>
  <c r="CB826" i="10"/>
  <c r="CB966" i="10"/>
  <c r="CF966" i="10" s="1"/>
  <c r="CB468" i="10"/>
  <c r="CF468" i="10" s="1"/>
  <c r="CB600" i="10"/>
  <c r="CF600" i="10" s="1"/>
  <c r="CB689" i="10"/>
  <c r="CB327" i="10"/>
  <c r="CB410" i="10"/>
  <c r="CB611" i="10"/>
  <c r="CB491" i="10"/>
  <c r="CF491" i="10" s="1"/>
  <c r="CB653" i="10"/>
  <c r="CF653" i="10" s="1"/>
  <c r="CD837" i="10"/>
  <c r="CH837" i="10" s="1"/>
  <c r="CD646" i="10"/>
  <c r="CH646" i="10" s="1"/>
  <c r="CD324" i="10"/>
  <c r="CH324" i="10" s="1"/>
  <c r="CD640" i="10"/>
  <c r="CH640" i="10" s="1"/>
  <c r="CD781" i="10"/>
  <c r="CH781" i="10" s="1"/>
  <c r="CD611" i="10"/>
  <c r="CH611" i="10" s="1"/>
  <c r="CB597" i="10"/>
  <c r="CB862" i="10"/>
  <c r="CF862" i="10" s="1"/>
  <c r="CB1014" i="10"/>
  <c r="CB428" i="10"/>
  <c r="CB318" i="10"/>
  <c r="CD569" i="10"/>
  <c r="CH569" i="10" s="1"/>
  <c r="CB914" i="10"/>
  <c r="CL593" i="10"/>
  <c r="CB698" i="10"/>
  <c r="CF698" i="10" s="1"/>
  <c r="CB994" i="10"/>
  <c r="CB854" i="10"/>
  <c r="CL378" i="10"/>
  <c r="CL837" i="10"/>
  <c r="CL646" i="10"/>
  <c r="CL324" i="10"/>
  <c r="CD977" i="10"/>
  <c r="CH977" i="10" s="1"/>
  <c r="CL727" i="10"/>
  <c r="CL922" i="10"/>
  <c r="CD478" i="10"/>
  <c r="CH478" i="10" s="1"/>
  <c r="CL597" i="10"/>
  <c r="CB818" i="10"/>
  <c r="CF818" i="10" s="1"/>
  <c r="CB384" i="10"/>
  <c r="CF384" i="10" s="1"/>
  <c r="CB657" i="10"/>
  <c r="CF657" i="10" s="1"/>
  <c r="CB464" i="10"/>
  <c r="CF464" i="10" s="1"/>
  <c r="CB700" i="10"/>
  <c r="CF700" i="10" s="1"/>
  <c r="CL569" i="10"/>
  <c r="CB724" i="10"/>
  <c r="CD593" i="10"/>
  <c r="CH593" i="10" s="1"/>
  <c r="CL698" i="10"/>
  <c r="CB1011" i="10"/>
  <c r="CF1011" i="10" s="1"/>
  <c r="CB83" i="10"/>
  <c r="CF83" i="10" s="1"/>
  <c r="CL678" i="10"/>
  <c r="CD597" i="10"/>
  <c r="CH597" i="10" s="1"/>
  <c r="CB912" i="10"/>
  <c r="CB916" i="10"/>
  <c r="CB395" i="10"/>
  <c r="CB564" i="10"/>
  <c r="CF564" i="10" s="1"/>
  <c r="CD724" i="10"/>
  <c r="CH724" i="10" s="1"/>
  <c r="CB970" i="10"/>
  <c r="CF970" i="10" s="1"/>
  <c r="CB609" i="10"/>
  <c r="CF609" i="10" s="1"/>
  <c r="CD698" i="10"/>
  <c r="CH698" i="10" s="1"/>
  <c r="CB740" i="10"/>
  <c r="CB645" i="10"/>
  <c r="CF645" i="10" s="1"/>
  <c r="CB407" i="10"/>
  <c r="CB588" i="10"/>
  <c r="CD543" i="10"/>
  <c r="CH543" i="10" s="1"/>
  <c r="CL696" i="10"/>
  <c r="CD813" i="10"/>
  <c r="CH813" i="10" s="1"/>
  <c r="CL765" i="10"/>
  <c r="CL632" i="10"/>
  <c r="CD985" i="10"/>
  <c r="CH985" i="10" s="1"/>
  <c r="CD889" i="10"/>
  <c r="CH889" i="10" s="1"/>
  <c r="CD737" i="10"/>
  <c r="CH737" i="10" s="1"/>
  <c r="CL297" i="10"/>
  <c r="CD678" i="10"/>
  <c r="CH678" i="10" s="1"/>
  <c r="CL700" i="10"/>
  <c r="CB414" i="10"/>
  <c r="CF414" i="10" s="1"/>
  <c r="CL609" i="10"/>
  <c r="CL716" i="10"/>
  <c r="CD456" i="10"/>
  <c r="CH456" i="10" s="1"/>
  <c r="CB617" i="10"/>
  <c r="CD731" i="10"/>
  <c r="CH731" i="10" s="1"/>
  <c r="CB305" i="10"/>
  <c r="CF305" i="10" s="1"/>
  <c r="CB408" i="10"/>
  <c r="CF408" i="10" s="1"/>
  <c r="CL659" i="10"/>
  <c r="CB820" i="10"/>
  <c r="CL724" i="10"/>
  <c r="CB875" i="10"/>
  <c r="CB704" i="10"/>
  <c r="CF704" i="10" s="1"/>
  <c r="CB882" i="10"/>
  <c r="CF882" i="10" s="1"/>
  <c r="CD468" i="10"/>
  <c r="CH468" i="10" s="1"/>
  <c r="CB688" i="10"/>
  <c r="CF688" i="10" s="1"/>
  <c r="CB802" i="10"/>
  <c r="CB618" i="10"/>
  <c r="CF618" i="10" s="1"/>
  <c r="CD696" i="10"/>
  <c r="CH696" i="10" s="1"/>
  <c r="CD934" i="10"/>
  <c r="CH934" i="10" s="1"/>
  <c r="CL478" i="10"/>
  <c r="CD222" i="10"/>
  <c r="CH222" i="10" s="1"/>
  <c r="CL620" i="10"/>
  <c r="CL653" i="10"/>
  <c r="CL702" i="10"/>
  <c r="CL426" i="10"/>
  <c r="CD544" i="10"/>
  <c r="CH544" i="10" s="1"/>
  <c r="CB650" i="10"/>
  <c r="CF650" i="10" s="1"/>
  <c r="CB669" i="10"/>
  <c r="CB662" i="10"/>
  <c r="CF662" i="10" s="1"/>
  <c r="CD806" i="10"/>
  <c r="CH806" i="10" s="1"/>
  <c r="CB745" i="10"/>
  <c r="CL725" i="10"/>
  <c r="CB945" i="10"/>
  <c r="CB1001" i="10"/>
  <c r="CL1013" i="10"/>
  <c r="CB632" i="10"/>
  <c r="CF632" i="10" s="1"/>
  <c r="CB558" i="10"/>
  <c r="CD552" i="10"/>
  <c r="CH552" i="10" s="1"/>
  <c r="CB723" i="10"/>
  <c r="CL777" i="10"/>
  <c r="CB860" i="10"/>
  <c r="CF860" i="10" s="1"/>
  <c r="CB300" i="10"/>
  <c r="CF300" i="10" s="1"/>
  <c r="CB750" i="10"/>
  <c r="CF750" i="10" s="1"/>
  <c r="CD462" i="10"/>
  <c r="CH462" i="10" s="1"/>
  <c r="CL222" i="10"/>
  <c r="CL506" i="10"/>
  <c r="CD799" i="10"/>
  <c r="CH799" i="10" s="1"/>
  <c r="CB942" i="10"/>
  <c r="CB865" i="10"/>
  <c r="CF865" i="10" s="1"/>
  <c r="CB353" i="10"/>
  <c r="CL758" i="10"/>
  <c r="CL806" i="10"/>
  <c r="CD1014" i="10"/>
  <c r="CH1014" i="10" s="1"/>
  <c r="CL552" i="10"/>
  <c r="CL363" i="10"/>
  <c r="CB687" i="10"/>
  <c r="CF687" i="10" s="1"/>
  <c r="CB504" i="10"/>
  <c r="CF504" i="10" s="1"/>
  <c r="CL624" i="10"/>
  <c r="CB382" i="10"/>
  <c r="CF382" i="10" s="1"/>
  <c r="CD506" i="10"/>
  <c r="CH506" i="10" s="1"/>
  <c r="CL660" i="10"/>
  <c r="CL904" i="10"/>
  <c r="CD788" i="10"/>
  <c r="CH788" i="10" s="1"/>
  <c r="CD549" i="10"/>
  <c r="CH549" i="10" s="1"/>
  <c r="CD554" i="10"/>
  <c r="CH554" i="10" s="1"/>
  <c r="CL730" i="10"/>
  <c r="CL746" i="10"/>
  <c r="CD782" i="10"/>
  <c r="CH782" i="10" s="1"/>
  <c r="CD878" i="10"/>
  <c r="CH878" i="10" s="1"/>
  <c r="CL1014" i="10"/>
  <c r="CD474" i="10"/>
  <c r="CH474" i="10" s="1"/>
  <c r="CB640" i="10"/>
  <c r="CF640" i="10" s="1"/>
  <c r="CD960" i="10"/>
  <c r="CH960" i="10" s="1"/>
  <c r="CD308" i="10"/>
  <c r="CH308" i="10" s="1"/>
  <c r="CD363" i="10"/>
  <c r="CH363" i="10" s="1"/>
  <c r="CB614" i="10"/>
  <c r="CD826" i="10"/>
  <c r="CH826" i="10" s="1"/>
  <c r="CB830" i="10"/>
  <c r="CL543" i="10"/>
  <c r="CD624" i="10"/>
  <c r="CH624" i="10" s="1"/>
  <c r="CD765" i="10"/>
  <c r="CH765" i="10" s="1"/>
  <c r="CL985" i="10"/>
  <c r="CD436" i="10"/>
  <c r="CH436" i="10" s="1"/>
  <c r="CD567" i="10"/>
  <c r="CH567" i="10" s="1"/>
  <c r="CD579" i="10"/>
  <c r="CH579" i="10" s="1"/>
  <c r="CB636" i="10"/>
  <c r="CF636" i="10" s="1"/>
  <c r="CD650" i="10"/>
  <c r="CH650" i="10" s="1"/>
  <c r="CB622" i="10"/>
  <c r="CD912" i="10"/>
  <c r="CH912" i="10" s="1"/>
  <c r="CL788" i="10"/>
  <c r="CD956" i="10"/>
  <c r="CH956" i="10" s="1"/>
  <c r="CL329" i="10"/>
  <c r="CL549" i="10"/>
  <c r="CL554" i="10"/>
  <c r="CL303" i="10"/>
  <c r="CB374" i="10"/>
  <c r="CD730" i="10"/>
  <c r="CH730" i="10" s="1"/>
  <c r="CD746" i="10"/>
  <c r="CH746" i="10" s="1"/>
  <c r="CL782" i="10"/>
  <c r="CL878" i="10"/>
  <c r="CL910" i="10"/>
  <c r="CL474" i="10"/>
  <c r="CD891" i="10"/>
  <c r="CH891" i="10" s="1"/>
  <c r="CL960" i="10"/>
  <c r="CB363" i="10"/>
  <c r="CF363" i="10" s="1"/>
  <c r="CL308" i="10"/>
  <c r="CB312" i="10"/>
  <c r="CL371" i="10"/>
  <c r="CB695" i="10"/>
  <c r="CB664" i="10"/>
  <c r="CF664" i="10" s="1"/>
  <c r="CD834" i="10"/>
  <c r="CH834" i="10" s="1"/>
  <c r="CD866" i="10"/>
  <c r="CH866" i="10" s="1"/>
  <c r="CD898" i="10"/>
  <c r="CH898" i="10" s="1"/>
  <c r="CL889" i="10"/>
  <c r="CL436" i="10"/>
  <c r="CL567" i="10"/>
  <c r="CL579" i="10"/>
  <c r="CL712" i="10"/>
  <c r="CL650" i="10"/>
  <c r="CL718" i="10"/>
  <c r="CL912" i="10"/>
  <c r="CD808" i="10"/>
  <c r="CH808" i="10" s="1"/>
  <c r="CL956" i="10"/>
  <c r="CD329" i="10"/>
  <c r="CH329" i="10" s="1"/>
  <c r="CD550" i="10"/>
  <c r="CH550" i="10" s="1"/>
  <c r="CB225" i="10"/>
  <c r="CF225" i="10" s="1"/>
  <c r="CD822" i="10"/>
  <c r="CH822" i="10" s="1"/>
  <c r="CD886" i="10"/>
  <c r="CH886" i="10" s="1"/>
  <c r="CD872" i="10"/>
  <c r="CH872" i="10" s="1"/>
  <c r="CD896" i="10"/>
  <c r="CH896" i="10" s="1"/>
  <c r="CB844" i="10"/>
  <c r="CF844" i="10" s="1"/>
  <c r="CD576" i="10"/>
  <c r="CH576" i="10" s="1"/>
  <c r="CB616" i="10"/>
  <c r="CF616" i="10" s="1"/>
  <c r="CB630" i="10"/>
  <c r="CF630" i="10" s="1"/>
  <c r="CD663" i="10"/>
  <c r="CH663" i="10" s="1"/>
  <c r="CD873" i="10"/>
  <c r="CH873" i="10" s="1"/>
  <c r="CL891" i="10"/>
  <c r="CB934" i="10"/>
  <c r="CB892" i="10"/>
  <c r="CB329" i="10"/>
  <c r="CF329" i="10" s="1"/>
  <c r="CD371" i="10"/>
  <c r="CH371" i="10" s="1"/>
  <c r="CD434" i="10"/>
  <c r="CH434" i="10" s="1"/>
  <c r="CB612" i="10"/>
  <c r="CF612" i="10" s="1"/>
  <c r="CB717" i="10"/>
  <c r="CL710" i="10"/>
  <c r="CL834" i="10"/>
  <c r="CL866" i="10"/>
  <c r="CL898" i="10"/>
  <c r="CB707" i="10"/>
  <c r="CF707" i="10" s="1"/>
  <c r="CB836" i="10"/>
  <c r="CF836" i="10" s="1"/>
  <c r="CB822" i="10"/>
  <c r="CD922" i="10"/>
  <c r="CH922" i="10" s="1"/>
  <c r="CD693" i="10"/>
  <c r="CH693" i="10" s="1"/>
  <c r="CB725" i="10"/>
  <c r="CF725" i="10" s="1"/>
  <c r="CD950" i="10"/>
  <c r="CH950" i="10" s="1"/>
  <c r="CB989" i="10"/>
  <c r="CF989" i="10" s="1"/>
  <c r="CB897" i="10"/>
  <c r="CB357" i="10"/>
  <c r="CD540" i="10"/>
  <c r="CH540" i="10" s="1"/>
  <c r="CB222" i="10"/>
  <c r="CB248" i="10"/>
  <c r="CF248" i="10" s="1"/>
  <c r="CD706" i="10"/>
  <c r="CH706" i="10" s="1"/>
  <c r="CL754" i="10"/>
  <c r="CD862" i="10"/>
  <c r="CH862" i="10" s="1"/>
  <c r="CL764" i="10"/>
  <c r="CB812" i="10"/>
  <c r="CF812" i="10" s="1"/>
  <c r="CL966" i="10"/>
  <c r="CL973" i="10"/>
  <c r="CL997" i="10"/>
  <c r="CB624" i="10"/>
  <c r="CF624" i="10" s="1"/>
  <c r="CB691" i="10"/>
  <c r="CB648" i="10"/>
  <c r="CF648" i="10" s="1"/>
  <c r="CD940" i="10"/>
  <c r="CH940" i="10" s="1"/>
  <c r="CD999" i="10"/>
  <c r="CH999" i="10" s="1"/>
  <c r="CD942" i="10"/>
  <c r="CH942" i="10" s="1"/>
  <c r="CD470" i="10"/>
  <c r="CH470" i="10" s="1"/>
  <c r="CL538" i="10"/>
  <c r="CB677" i="10"/>
  <c r="CF677" i="10" s="1"/>
  <c r="CD874" i="10"/>
  <c r="CH874" i="10" s="1"/>
  <c r="CL720" i="10"/>
  <c r="CB675" i="10"/>
  <c r="CB531" i="10"/>
  <c r="CB744" i="10"/>
  <c r="CD297" i="10"/>
  <c r="CH297" i="10" s="1"/>
  <c r="CD490" i="10"/>
  <c r="CH490" i="10" s="1"/>
  <c r="CD620" i="10"/>
  <c r="CH620" i="10" s="1"/>
  <c r="CD653" i="10"/>
  <c r="CH653" i="10" s="1"/>
  <c r="CB683" i="10"/>
  <c r="CF683" i="10" s="1"/>
  <c r="CB638" i="10"/>
  <c r="CL950" i="10"/>
  <c r="CB918" i="10"/>
  <c r="CF918" i="10" s="1"/>
  <c r="CB958" i="10"/>
  <c r="CB997" i="10"/>
  <c r="CD426" i="10"/>
  <c r="CH426" i="10" s="1"/>
  <c r="CB386" i="10"/>
  <c r="CF386" i="10" s="1"/>
  <c r="CD580" i="10"/>
  <c r="CH580" i="10" s="1"/>
  <c r="CD754" i="10"/>
  <c r="CH754" i="10" s="1"/>
  <c r="CB817" i="10"/>
  <c r="CF817" i="10" s="1"/>
  <c r="CD725" i="10"/>
  <c r="CH725" i="10" s="1"/>
  <c r="CB926" i="10"/>
  <c r="CF926" i="10" s="1"/>
  <c r="CD1013" i="10"/>
  <c r="CH1013" i="10" s="1"/>
  <c r="CL563" i="10"/>
  <c r="CD777" i="10"/>
  <c r="CH777" i="10" s="1"/>
  <c r="CL740" i="10"/>
  <c r="CL940" i="10"/>
  <c r="CL999" i="10"/>
  <c r="CL942" i="10"/>
  <c r="CB1005" i="10"/>
  <c r="CF1005" i="10" s="1"/>
  <c r="CL470" i="10"/>
  <c r="CD333" i="10"/>
  <c r="CH333" i="10" s="1"/>
  <c r="CB362" i="10"/>
  <c r="CL516" i="10"/>
  <c r="CB656" i="10"/>
  <c r="CF656" i="10" s="1"/>
  <c r="CB679" i="10"/>
  <c r="CF679" i="10" s="1"/>
  <c r="CB644" i="10"/>
  <c r="CF644" i="10" s="1"/>
  <c r="CD850" i="10"/>
  <c r="CH850" i="10" s="1"/>
  <c r="CD882" i="10"/>
  <c r="CH882" i="10" s="1"/>
  <c r="CD914" i="10"/>
  <c r="CH914" i="10" s="1"/>
  <c r="CD720" i="10"/>
  <c r="CH720" i="10" s="1"/>
  <c r="CD712" i="10"/>
  <c r="CH712" i="10" s="1"/>
  <c r="CL663" i="10"/>
  <c r="CD710" i="10"/>
  <c r="CH710" i="10" s="1"/>
  <c r="CB685" i="10"/>
  <c r="CF685" i="10" s="1"/>
  <c r="CB701" i="10"/>
  <c r="CB769" i="10"/>
  <c r="CL784" i="10"/>
  <c r="CD801" i="10"/>
  <c r="CH801" i="10" s="1"/>
  <c r="CB849" i="10"/>
  <c r="CF849" i="10" s="1"/>
  <c r="CL937" i="10"/>
  <c r="CB985" i="10"/>
  <c r="CF985" i="10" s="1"/>
  <c r="CD864" i="10"/>
  <c r="CH864" i="10" s="1"/>
  <c r="CB876" i="10"/>
  <c r="CF876" i="10" s="1"/>
  <c r="CD957" i="10"/>
  <c r="CH957" i="10" s="1"/>
  <c r="CB198" i="10"/>
  <c r="CF198" i="10" s="1"/>
  <c r="CB203" i="10"/>
  <c r="CF203" i="10" s="1"/>
  <c r="CB137" i="10"/>
  <c r="CB48" i="10"/>
  <c r="CF48" i="10" s="1"/>
  <c r="CD30" i="10"/>
  <c r="CH30" i="10" s="1"/>
  <c r="CD832" i="10"/>
  <c r="CH832" i="10" s="1"/>
  <c r="CB189" i="10"/>
  <c r="CB693" i="10"/>
  <c r="CB628" i="10"/>
  <c r="CB699" i="10"/>
  <c r="CF699" i="10" s="1"/>
  <c r="CB722" i="10"/>
  <c r="CF722" i="10" s="1"/>
  <c r="CB973" i="10"/>
  <c r="CF973" i="10" s="1"/>
  <c r="CB671" i="10"/>
  <c r="CF671" i="10" s="1"/>
  <c r="CL797" i="10"/>
  <c r="CL801" i="10"/>
  <c r="CD986" i="10"/>
  <c r="CH986" i="10" s="1"/>
  <c r="CD945" i="10"/>
  <c r="CH945" i="10" s="1"/>
  <c r="CL864" i="10"/>
  <c r="CB30" i="10"/>
  <c r="CF30" i="10" s="1"/>
  <c r="CB117" i="10"/>
  <c r="CF117" i="10" s="1"/>
  <c r="CL30" i="10"/>
  <c r="CL750" i="10"/>
  <c r="CB51" i="10"/>
  <c r="CF51" i="10" s="1"/>
  <c r="CB381" i="10"/>
  <c r="CF381" i="10" s="1"/>
  <c r="CB371" i="10"/>
  <c r="CL886" i="10"/>
  <c r="CD966" i="10"/>
  <c r="CH966" i="10" s="1"/>
  <c r="CL576" i="10"/>
  <c r="CB442" i="10"/>
  <c r="CF442" i="10" s="1"/>
  <c r="CL434" i="10"/>
  <c r="CL826" i="10"/>
  <c r="CL914" i="10"/>
  <c r="CD797" i="10"/>
  <c r="CH797" i="10" s="1"/>
  <c r="CD748" i="10"/>
  <c r="CH748" i="10" s="1"/>
  <c r="CL789" i="10"/>
  <c r="CD848" i="10"/>
  <c r="CH848" i="10" s="1"/>
  <c r="CL986" i="10"/>
  <c r="CL945" i="10"/>
  <c r="CB119" i="10"/>
  <c r="CF119" i="10" s="1"/>
  <c r="CB35" i="10"/>
  <c r="CL813" i="10"/>
  <c r="CL550" i="10"/>
  <c r="CL872" i="10"/>
  <c r="CL896" i="10"/>
  <c r="CL995" i="10"/>
  <c r="CL748" i="10"/>
  <c r="CL848" i="10"/>
  <c r="CD921" i="10"/>
  <c r="CH921" i="10" s="1"/>
  <c r="CB28" i="10"/>
  <c r="CF28" i="10" s="1"/>
  <c r="CB195" i="10"/>
  <c r="CF195" i="10" s="1"/>
  <c r="CL51" i="10"/>
  <c r="CB101" i="10"/>
  <c r="CF101" i="10" s="1"/>
  <c r="CL778" i="10"/>
  <c r="CB1009" i="10"/>
  <c r="CF1009" i="10" s="1"/>
  <c r="CD718" i="10"/>
  <c r="CH718" i="10" s="1"/>
  <c r="CD764" i="10"/>
  <c r="CH764" i="10" s="1"/>
  <c r="CL873" i="10"/>
  <c r="CL850" i="10"/>
  <c r="CB828" i="10"/>
  <c r="CF828" i="10" s="1"/>
  <c r="CL921" i="10"/>
  <c r="CB908" i="10"/>
  <c r="CF908" i="10" s="1"/>
  <c r="CB167" i="10"/>
  <c r="CF167" i="10" s="1"/>
  <c r="CB191" i="10"/>
  <c r="CF191" i="10" s="1"/>
  <c r="CB153" i="10"/>
  <c r="CF153" i="10" s="1"/>
  <c r="CD51" i="10"/>
  <c r="CH51" i="10" s="1"/>
  <c r="CB134" i="10"/>
  <c r="CF134" i="10" s="1"/>
  <c r="CB126" i="10"/>
  <c r="CB104" i="10"/>
  <c r="CF104" i="10" s="1"/>
  <c r="CL533" i="10"/>
  <c r="CB402" i="10"/>
  <c r="CL600" i="10"/>
  <c r="CB620" i="10"/>
  <c r="CF620" i="10" s="1"/>
  <c r="CD916" i="10"/>
  <c r="CH916" i="10" s="1"/>
  <c r="CL706" i="10"/>
  <c r="CD997" i="10"/>
  <c r="CH997" i="10" s="1"/>
  <c r="CB714" i="10"/>
  <c r="CF714" i="10" s="1"/>
  <c r="CB993" i="10"/>
  <c r="CD538" i="10"/>
  <c r="CH538" i="10" s="1"/>
  <c r="CB652" i="10"/>
  <c r="CF652" i="10" s="1"/>
  <c r="CL874" i="10"/>
  <c r="CB737" i="10"/>
  <c r="CF737" i="10" s="1"/>
  <c r="CB753" i="10"/>
  <c r="CB796" i="10"/>
  <c r="CF796" i="10" s="1"/>
  <c r="CD856" i="10"/>
  <c r="CH856" i="10" s="1"/>
  <c r="CB1013" i="10"/>
  <c r="CF1013" i="10" s="1"/>
  <c r="CB89" i="10"/>
  <c r="CF89" i="10" s="1"/>
  <c r="CD153" i="10"/>
  <c r="CH153" i="10" s="1"/>
  <c r="CB108" i="10"/>
  <c r="CF108" i="10" s="1"/>
  <c r="CB170" i="10"/>
  <c r="CF170" i="10" s="1"/>
  <c r="CD952" i="10"/>
  <c r="CH952" i="10" s="1"/>
  <c r="CB174" i="10"/>
  <c r="CF174" i="10" s="1"/>
  <c r="CB141" i="10"/>
  <c r="CB113" i="10"/>
  <c r="CF113" i="10" s="1"/>
  <c r="CD632" i="10"/>
  <c r="CH632" i="10" s="1"/>
  <c r="CB658" i="10"/>
  <c r="CF658" i="10" s="1"/>
  <c r="CL794" i="10"/>
  <c r="CL882" i="10"/>
  <c r="CD784" i="10"/>
  <c r="CH784" i="10" s="1"/>
  <c r="CB801" i="10"/>
  <c r="CF801" i="10" s="1"/>
  <c r="CL957" i="10"/>
  <c r="CB158" i="10"/>
  <c r="CF158" i="10" s="1"/>
  <c r="CL153" i="10"/>
  <c r="CB143" i="10"/>
  <c r="CB75" i="10"/>
  <c r="CF75" i="10" s="1"/>
  <c r="CB200" i="10"/>
  <c r="CL728" i="10"/>
  <c r="CL645" i="10"/>
  <c r="CD561" i="10"/>
  <c r="CH561" i="10" s="1"/>
  <c r="CD944" i="10"/>
  <c r="CH944" i="10" s="1"/>
  <c r="CD989" i="10"/>
  <c r="CH989" i="10" s="1"/>
  <c r="CL796" i="10"/>
  <c r="CB74" i="10"/>
  <c r="CF74" i="10" s="1"/>
  <c r="CB197" i="10"/>
  <c r="CF197" i="10" s="1"/>
  <c r="CD155" i="10"/>
  <c r="CH155" i="10" s="1"/>
  <c r="CB59" i="10"/>
  <c r="CF59" i="10" s="1"/>
  <c r="CD728" i="10"/>
  <c r="CH728" i="10" s="1"/>
  <c r="CL561" i="10"/>
  <c r="CL944" i="10"/>
  <c r="CL989" i="10"/>
  <c r="CB164" i="10"/>
  <c r="CF164" i="10" s="1"/>
  <c r="CL204" i="10"/>
  <c r="CD689" i="10"/>
  <c r="CH689" i="10" s="1"/>
  <c r="CL844" i="10"/>
  <c r="CD546" i="10"/>
  <c r="CH546" i="10" s="1"/>
  <c r="CD828" i="10"/>
  <c r="CH828" i="10" s="1"/>
  <c r="CD876" i="10"/>
  <c r="CH876" i="10" s="1"/>
  <c r="CB177" i="10"/>
  <c r="CF177" i="10" s="1"/>
  <c r="CB150" i="10"/>
  <c r="CF150" i="10" s="1"/>
  <c r="CB155" i="10"/>
  <c r="CB213" i="10"/>
  <c r="CF213" i="10" s="1"/>
  <c r="CD514" i="10"/>
  <c r="CH514" i="10" s="1"/>
  <c r="CL546" i="10"/>
  <c r="CL828" i="10"/>
  <c r="CL876" i="10"/>
  <c r="CD860" i="10"/>
  <c r="CH860" i="10" s="1"/>
  <c r="CB90" i="10"/>
  <c r="CF90" i="10" s="1"/>
  <c r="CB68" i="10"/>
  <c r="CF68" i="10" s="1"/>
  <c r="CB209" i="10"/>
  <c r="CB210" i="10"/>
  <c r="CB29" i="10"/>
  <c r="CF29" i="10" s="1"/>
  <c r="CL860" i="10"/>
  <c r="CD936" i="10"/>
  <c r="CH936" i="10" s="1"/>
  <c r="CL210" i="10"/>
  <c r="CD480" i="10"/>
  <c r="CH480" i="10" s="1"/>
  <c r="CD410" i="10"/>
  <c r="CH410" i="10" s="1"/>
  <c r="CD920" i="10"/>
  <c r="CH920" i="10" s="1"/>
  <c r="CB179" i="10"/>
  <c r="CF179" i="10" s="1"/>
  <c r="CD210" i="10"/>
  <c r="CH210" i="10" s="1"/>
  <c r="CL530" i="10"/>
  <c r="CL155" i="10"/>
  <c r="CB173" i="10"/>
  <c r="CF173" i="10" s="1"/>
  <c r="CB107" i="10"/>
  <c r="CF107" i="10" s="1"/>
  <c r="CL410" i="10"/>
  <c r="CL365" i="10"/>
  <c r="CB81" i="10"/>
  <c r="CF81" i="10" s="1"/>
  <c r="CB185" i="10"/>
  <c r="CF185" i="10" s="1"/>
  <c r="CD173" i="10"/>
  <c r="CH173" i="10" s="1"/>
  <c r="CL126" i="10"/>
  <c r="CB62" i="10"/>
  <c r="CF62" i="10" s="1"/>
  <c r="CD137" i="10"/>
  <c r="CH137" i="10" s="1"/>
  <c r="CD141" i="10"/>
  <c r="CH141" i="10" s="1"/>
  <c r="CB45" i="10"/>
  <c r="CF45" i="10" s="1"/>
  <c r="CD204" i="10"/>
  <c r="CH204" i="10" s="1"/>
  <c r="CD119" i="10"/>
  <c r="CH119" i="10" s="1"/>
  <c r="CL96" i="10"/>
  <c r="CD126" i="10"/>
  <c r="CH126" i="10" s="1"/>
  <c r="CL137" i="10"/>
  <c r="CL141" i="10"/>
  <c r="CB96" i="10"/>
  <c r="CF96" i="10" s="1"/>
  <c r="CB32" i="10"/>
  <c r="CF32" i="10" s="1"/>
  <c r="CD413" i="10"/>
  <c r="CH413" i="10" s="1"/>
  <c r="CD796" i="10"/>
  <c r="CH796" i="10" s="1"/>
  <c r="CL173" i="10"/>
  <c r="CB86" i="10"/>
  <c r="CF86" i="10" s="1"/>
  <c r="CB206" i="10"/>
  <c r="CF206" i="10" s="1"/>
  <c r="CB207" i="10"/>
  <c r="CF207" i="10" s="1"/>
  <c r="CB41" i="10"/>
  <c r="CF41" i="10" s="1"/>
  <c r="CL119" i="10"/>
  <c r="CB135" i="10"/>
  <c r="CF135" i="10" s="1"/>
  <c r="CD170" i="10"/>
  <c r="CH170" i="10" s="1"/>
  <c r="CL480" i="10"/>
  <c r="CL138" i="10"/>
  <c r="CB125" i="10"/>
  <c r="CF125" i="10" s="1"/>
  <c r="CL170" i="10"/>
  <c r="CL104" i="10"/>
  <c r="CD143" i="10"/>
  <c r="CH143" i="10" s="1"/>
  <c r="CD192" i="10"/>
  <c r="CH192" i="10" s="1"/>
  <c r="CB54" i="10"/>
  <c r="CF54" i="10" s="1"/>
  <c r="CB131" i="10"/>
  <c r="CF131" i="10" s="1"/>
  <c r="CB120" i="10"/>
  <c r="CF120" i="10" s="1"/>
  <c r="CL22" i="10"/>
  <c r="CD195" i="10"/>
  <c r="CH195" i="10" s="1"/>
  <c r="CD645" i="10"/>
  <c r="CH645" i="10" s="1"/>
  <c r="CL920" i="10"/>
  <c r="CB204" i="10"/>
  <c r="CF204" i="10" s="1"/>
  <c r="CL143" i="10"/>
  <c r="CL192" i="10"/>
  <c r="CD22" i="10"/>
  <c r="CH22" i="10" s="1"/>
  <c r="CB192" i="10"/>
  <c r="CF192" i="10" s="1"/>
  <c r="CL135" i="10"/>
  <c r="CL54" i="10"/>
  <c r="CL194" i="10"/>
  <c r="CD54" i="10"/>
  <c r="CH54" i="10" s="1"/>
  <c r="CD194" i="10"/>
  <c r="CH194" i="10" s="1"/>
  <c r="CD198" i="10"/>
  <c r="CH198" i="10" s="1"/>
  <c r="CL198" i="10"/>
  <c r="AU17" i="10"/>
  <c r="AU18" i="10"/>
  <c r="EM19" i="10"/>
  <c r="EM16" i="10"/>
  <c r="G117" i="7"/>
  <c r="G118" i="7"/>
  <c r="G119" i="7"/>
  <c r="G120" i="7"/>
  <c r="F117" i="7"/>
  <c r="F118" i="7"/>
  <c r="F119" i="7"/>
  <c r="F120" i="7"/>
  <c r="G116" i="7"/>
  <c r="F116" i="7"/>
  <c r="CF189" i="10"/>
  <c r="CF945" i="10"/>
  <c r="CF617" i="10"/>
  <c r="CF318" i="10"/>
  <c r="CF1014" i="10"/>
  <c r="CF410" i="10"/>
  <c r="CF826" i="10"/>
  <c r="CF706" i="10"/>
  <c r="CF867" i="10"/>
  <c r="CF254" i="10"/>
  <c r="CF365" i="10"/>
  <c r="CF494" i="10"/>
  <c r="CF946" i="10"/>
  <c r="CF544" i="10"/>
  <c r="CF781" i="10"/>
  <c r="CF957" i="10"/>
  <c r="CF929" i="10"/>
  <c r="CF1000" i="10"/>
  <c r="CF757" i="10"/>
  <c r="CF853" i="10"/>
  <c r="CF996" i="10"/>
  <c r="CF855" i="10"/>
  <c r="CF444" i="10"/>
  <c r="CF782" i="10"/>
  <c r="CF755" i="10"/>
  <c r="CF748" i="10"/>
  <c r="CF488" i="10"/>
  <c r="CF666" i="10"/>
  <c r="CF751" i="10"/>
  <c r="CF372" i="10"/>
  <c r="CF545" i="10"/>
  <c r="CF480" i="10"/>
  <c r="CF883" i="10"/>
  <c r="CF533" i="10"/>
  <c r="CF674" i="10"/>
  <c r="CF282" i="10"/>
  <c r="CF440" i="10"/>
  <c r="CF961" i="10"/>
  <c r="CF126" i="10"/>
  <c r="CF753" i="10"/>
  <c r="CF402" i="10"/>
  <c r="CF675" i="10"/>
  <c r="CF374" i="10"/>
  <c r="CF830" i="10"/>
  <c r="CF407" i="10"/>
  <c r="CF395" i="10"/>
  <c r="CF327" i="10"/>
  <c r="CF194" i="10"/>
  <c r="CF971" i="10"/>
  <c r="CF411" i="10"/>
  <c r="CF303" i="10"/>
  <c r="CF275" i="10"/>
  <c r="CF417" i="10"/>
  <c r="CF905" i="10"/>
  <c r="CF626" i="10"/>
  <c r="CF789" i="10"/>
  <c r="CF937" i="10"/>
  <c r="CF1004" i="10"/>
  <c r="CF635" i="10"/>
  <c r="CF793" i="10"/>
  <c r="CF462" i="10"/>
  <c r="CF930" i="10"/>
  <c r="CF888" i="10"/>
  <c r="CF466" i="10"/>
  <c r="CF474" i="10"/>
  <c r="CF824" i="10"/>
  <c r="CF1002" i="10"/>
  <c r="CF647" i="10"/>
  <c r="CF920" i="10"/>
  <c r="CF387" i="10"/>
  <c r="CF736" i="10"/>
  <c r="CF772" i="10"/>
  <c r="CF859" i="10"/>
  <c r="CF1003" i="10"/>
  <c r="CF539" i="10"/>
  <c r="CF965" i="10"/>
  <c r="CF842" i="10"/>
  <c r="CF659" i="10"/>
  <c r="CF919" i="10"/>
  <c r="CF743" i="10"/>
  <c r="CF887" i="10"/>
  <c r="CF847" i="10"/>
  <c r="CF911" i="10"/>
  <c r="CF807" i="10"/>
  <c r="CF764" i="10"/>
  <c r="CF623" i="10"/>
  <c r="CF717" i="10"/>
  <c r="CF934" i="10"/>
  <c r="CF695" i="10"/>
  <c r="CF622" i="10"/>
  <c r="CF1001" i="10"/>
  <c r="CF875" i="10"/>
  <c r="CF724" i="10"/>
  <c r="CF606" i="10"/>
  <c r="CF509" i="10"/>
  <c r="CF308" i="10"/>
  <c r="CF760" i="10"/>
  <c r="CF404" i="10"/>
  <c r="CF931" i="10"/>
  <c r="CF678" i="10"/>
  <c r="CF690" i="10"/>
  <c r="CF390" i="10"/>
  <c r="CF336" i="10"/>
  <c r="CF438" i="10"/>
  <c r="CF726" i="10"/>
  <c r="CF492" i="10"/>
  <c r="CF556" i="10"/>
  <c r="CF510" i="10"/>
  <c r="CF984" i="10"/>
  <c r="CF889" i="10"/>
  <c r="CF861" i="10"/>
  <c r="CF909" i="10"/>
  <c r="CF938" i="10"/>
  <c r="CF503" i="10"/>
  <c r="CF413" i="10"/>
  <c r="CF555" i="10"/>
  <c r="CF927" i="10"/>
  <c r="CF663" i="10"/>
  <c r="CF932" i="10"/>
  <c r="CF272" i="10"/>
  <c r="CF418" i="10"/>
  <c r="CF794" i="10"/>
  <c r="CF576" i="10"/>
  <c r="CF759" i="10"/>
  <c r="CF906" i="10"/>
  <c r="CF983" i="10"/>
  <c r="CF456" i="10"/>
  <c r="CF210" i="10"/>
  <c r="CF701" i="10"/>
  <c r="CF997" i="10"/>
  <c r="CF897" i="10"/>
  <c r="CF942" i="10"/>
  <c r="CF854" i="10"/>
  <c r="CF597" i="10"/>
  <c r="CF152" i="10"/>
  <c r="CF896" i="10"/>
  <c r="CF370" i="10"/>
  <c r="CF995" i="10"/>
  <c r="CF843" i="10"/>
  <c r="CF742" i="10"/>
  <c r="CF394" i="10"/>
  <c r="CF234" i="10"/>
  <c r="CF263" i="10"/>
  <c r="CF719" i="10"/>
  <c r="CF520" i="10"/>
  <c r="CF514" i="10"/>
  <c r="CF542" i="10"/>
  <c r="CF430" i="10"/>
  <c r="CF518" i="10"/>
  <c r="CF599" i="10"/>
  <c r="CF901" i="10"/>
  <c r="CF376" i="10"/>
  <c r="CF567" i="10"/>
  <c r="CF921" i="10"/>
  <c r="CF507" i="10"/>
  <c r="CF806" i="10"/>
  <c r="CF898" i="10"/>
  <c r="CF941" i="10"/>
  <c r="CF401" i="10"/>
  <c r="CF694" i="10"/>
  <c r="CF712" i="10"/>
  <c r="CF943" i="10"/>
  <c r="CF594" i="10"/>
  <c r="CF602" i="10"/>
  <c r="CF972" i="10"/>
  <c r="CF605" i="10"/>
  <c r="CF276" i="10"/>
  <c r="CF137" i="10"/>
  <c r="CF209" i="10"/>
  <c r="CF200" i="10"/>
  <c r="CF143" i="10"/>
  <c r="CF993" i="10"/>
  <c r="CF958" i="10"/>
  <c r="CF745" i="10"/>
  <c r="CF802" i="10"/>
  <c r="CF820" i="10"/>
  <c r="CF912" i="10"/>
  <c r="CF914" i="10"/>
  <c r="CF689" i="10"/>
  <c r="CF672" i="10"/>
  <c r="CF508" i="10"/>
  <c r="CF532" i="10"/>
  <c r="CF500" i="10"/>
  <c r="CF608" i="10"/>
  <c r="CF805" i="10"/>
  <c r="CF873" i="10"/>
  <c r="CF797" i="10"/>
  <c r="CF364" i="10"/>
  <c r="CF981" i="10"/>
  <c r="CF347" i="10"/>
  <c r="CF776" i="10"/>
  <c r="CF900" i="10"/>
  <c r="CF582" i="10"/>
  <c r="CF422" i="10"/>
  <c r="CF982" i="10"/>
  <c r="CF646" i="10"/>
  <c r="CF676" i="10"/>
  <c r="CF720" i="10"/>
  <c r="CF357" i="10"/>
  <c r="CF35" i="10"/>
  <c r="CF371" i="10"/>
  <c r="CF312" i="10"/>
  <c r="CF558" i="10"/>
  <c r="CF669" i="10"/>
  <c r="CF588" i="10"/>
  <c r="CF245" i="10"/>
  <c r="CF975" i="10"/>
  <c r="CF446" i="10"/>
  <c r="CF580" i="10"/>
  <c r="CF986" i="10"/>
  <c r="CF548" i="10"/>
  <c r="CF339" i="10"/>
  <c r="CF516" i="10"/>
  <c r="CF550" i="10"/>
  <c r="CF962" i="10"/>
  <c r="CF360" i="10"/>
  <c r="CF851" i="10"/>
  <c r="CF949" i="10"/>
  <c r="CF829" i="10"/>
  <c r="CF825" i="10"/>
  <c r="CF904" i="10"/>
  <c r="CF841" i="10"/>
  <c r="CF953" i="10"/>
  <c r="CF495" i="10"/>
  <c r="CF639" i="10"/>
  <c r="CF902" i="10"/>
  <c r="CF458" i="10"/>
  <c r="CF775" i="10"/>
  <c r="CF747" i="10"/>
  <c r="CF435" i="10"/>
  <c r="CF732" i="10"/>
  <c r="CF978" i="10"/>
  <c r="CF692" i="10"/>
  <c r="CF551" i="10"/>
  <c r="CF879" i="10"/>
  <c r="CF596" i="10"/>
  <c r="CF814" i="10"/>
  <c r="CF963" i="10"/>
  <c r="CF835" i="10"/>
  <c r="CF708" i="10"/>
  <c r="CF562" i="10"/>
  <c r="CF483" i="10"/>
  <c r="CF219" i="10"/>
  <c r="CF744" i="10"/>
  <c r="CF614" i="10"/>
  <c r="CF428" i="10"/>
  <c r="CF834" i="10"/>
  <c r="CF728" i="10"/>
  <c r="CF380" i="10"/>
  <c r="CF739" i="10"/>
  <c r="CF527" i="10"/>
  <c r="CF287" i="10"/>
  <c r="CF540" i="10"/>
  <c r="CF813" i="10"/>
  <c r="CF526" i="10"/>
  <c r="CF587" i="10"/>
  <c r="CF777" i="10"/>
  <c r="CF765" i="10"/>
  <c r="CF928" i="10"/>
  <c r="CF872" i="10"/>
  <c r="CF800" i="10"/>
  <c r="CF749" i="10"/>
  <c r="CF730" i="10"/>
  <c r="CF668" i="10"/>
  <c r="CF771" i="10"/>
  <c r="CF925" i="10"/>
  <c r="CF735" i="10"/>
  <c r="CF923" i="10"/>
  <c r="CF359" i="10"/>
  <c r="CF501" i="10"/>
  <c r="CF665" i="10"/>
  <c r="CF863" i="10"/>
  <c r="CF976" i="10"/>
  <c r="CF1007" i="10"/>
  <c r="CF903" i="10"/>
  <c r="CF593" i="10"/>
  <c r="CF628" i="10"/>
  <c r="CF638" i="10"/>
  <c r="CF141" i="10"/>
  <c r="CF693" i="10"/>
  <c r="CF362" i="10"/>
  <c r="CF531" i="10"/>
  <c r="CF691" i="10"/>
  <c r="CF222" i="10"/>
  <c r="CF353" i="10"/>
  <c r="CF723" i="10"/>
  <c r="CF740" i="10"/>
  <c r="CF994" i="10"/>
  <c r="CF611" i="10"/>
  <c r="CF783" i="10"/>
  <c r="CF471" i="10"/>
  <c r="CF521" i="10"/>
  <c r="CF324" i="10"/>
  <c r="CF552" i="10"/>
  <c r="CF482" i="10"/>
  <c r="CF453" i="10"/>
  <c r="CF506" i="10"/>
  <c r="CF554" i="10"/>
  <c r="CF727" i="10"/>
  <c r="CF741" i="10"/>
  <c r="CF988" i="10"/>
  <c r="CF729" i="10"/>
  <c r="CF1008" i="10"/>
  <c r="CF850" i="10"/>
  <c r="CF954" i="10"/>
  <c r="CF399" i="10"/>
  <c r="CF584" i="10"/>
  <c r="CF884" i="10"/>
  <c r="CF874" i="10"/>
  <c r="CF998" i="10"/>
  <c r="CF470" i="10"/>
  <c r="CF866" i="10"/>
  <c r="CF281" i="10"/>
  <c r="CF758" i="10"/>
  <c r="CF894" i="10"/>
  <c r="CF568" i="10"/>
  <c r="CF799" i="10"/>
  <c r="CF681" i="10"/>
  <c r="CF215" i="10"/>
  <c r="D120" i="7"/>
  <c r="D119" i="7"/>
  <c r="D118" i="7"/>
  <c r="D117" i="7"/>
  <c r="D116" i="7"/>
  <c r="C125" i="7"/>
  <c r="H125" i="7"/>
  <c r="C126" i="7"/>
  <c r="H126" i="7"/>
  <c r="C127" i="7"/>
  <c r="H127" i="7"/>
  <c r="C128" i="7"/>
  <c r="H128" i="7"/>
  <c r="I125" i="7"/>
  <c r="I126" i="7"/>
  <c r="I127" i="7"/>
  <c r="I128" i="7"/>
  <c r="I124" i="7"/>
  <c r="H124" i="7"/>
  <c r="C124" i="7"/>
  <c r="D36" i="9"/>
  <c r="I36" i="9" s="1"/>
  <c r="D35" i="9"/>
  <c r="D34" i="9"/>
  <c r="D33" i="9"/>
  <c r="I33" i="9" s="1"/>
  <c r="D32" i="9"/>
  <c r="D30" i="9"/>
  <c r="I30" i="9" s="1"/>
  <c r="D29" i="9"/>
  <c r="D28" i="9"/>
  <c r="I28" i="9" s="1"/>
  <c r="D27" i="9"/>
  <c r="I27" i="9" s="1"/>
  <c r="D26" i="9"/>
  <c r="H26" i="9" s="1"/>
  <c r="S116" i="7" s="1"/>
  <c r="J24" i="9"/>
  <c r="G24" i="9"/>
  <c r="F24" i="9"/>
  <c r="E24" i="9"/>
  <c r="J23" i="9"/>
  <c r="G23" i="9"/>
  <c r="E23" i="9"/>
  <c r="J22" i="9"/>
  <c r="G22" i="9"/>
  <c r="E22" i="9"/>
  <c r="J21" i="9"/>
  <c r="G21" i="9"/>
  <c r="E21" i="9"/>
  <c r="J20" i="9"/>
  <c r="G20" i="9"/>
  <c r="E20" i="9"/>
  <c r="J18" i="9"/>
  <c r="G18" i="9"/>
  <c r="F18" i="9"/>
  <c r="E18" i="9"/>
  <c r="J17" i="9"/>
  <c r="G17" i="9"/>
  <c r="E17" i="9"/>
  <c r="J16" i="9"/>
  <c r="G16" i="9"/>
  <c r="E16" i="9"/>
  <c r="J15" i="9"/>
  <c r="G15" i="9"/>
  <c r="E15" i="9"/>
  <c r="F36" i="9"/>
  <c r="F16" i="9"/>
  <c r="F33" i="9"/>
  <c r="F32" i="9"/>
  <c r="J14" i="9"/>
  <c r="G14" i="9"/>
  <c r="E14" i="9"/>
  <c r="J36" i="9"/>
  <c r="J30" i="9"/>
  <c r="J35" i="9"/>
  <c r="J29" i="9"/>
  <c r="J34" i="9"/>
  <c r="J28" i="9"/>
  <c r="J33" i="9"/>
  <c r="J27" i="9"/>
  <c r="J32" i="9"/>
  <c r="J26" i="9"/>
  <c r="G36" i="9"/>
  <c r="E36" i="9"/>
  <c r="F30" i="9"/>
  <c r="G30" i="9"/>
  <c r="E30" i="9"/>
  <c r="G35" i="9"/>
  <c r="E35" i="9"/>
  <c r="G29" i="9"/>
  <c r="E29" i="9"/>
  <c r="G34" i="9"/>
  <c r="E34" i="9"/>
  <c r="G28" i="9"/>
  <c r="E28" i="9"/>
  <c r="G33" i="9"/>
  <c r="E33" i="9"/>
  <c r="G27" i="9"/>
  <c r="E27" i="9"/>
  <c r="G32" i="9"/>
  <c r="E32" i="9"/>
  <c r="G26" i="9"/>
  <c r="E26" i="9"/>
  <c r="F20" i="9"/>
  <c r="F15" i="9"/>
  <c r="F22" i="9"/>
  <c r="F28" i="9"/>
  <c r="F21" i="9"/>
  <c r="F14" i="9"/>
  <c r="F26" i="9"/>
  <c r="F27" i="9"/>
  <c r="F34" i="9"/>
  <c r="H33" i="9"/>
  <c r="F45" i="4"/>
  <c r="F27" i="4"/>
  <c r="E45" i="4"/>
  <c r="E27" i="4"/>
  <c r="D45" i="4"/>
  <c r="D27" i="4"/>
  <c r="D28" i="4"/>
  <c r="D10" i="4"/>
  <c r="D7" i="4"/>
  <c r="D9" i="3"/>
  <c r="AF16" i="3" s="1"/>
  <c r="I16" i="3"/>
  <c r="CM216" i="10"/>
  <c r="CM217" i="10"/>
  <c r="CM226" i="10"/>
  <c r="CM227" i="10"/>
  <c r="CM243" i="10"/>
  <c r="CM244" i="10"/>
  <c r="CM220" i="10"/>
  <c r="CM225" i="10"/>
  <c r="CM246" i="10"/>
  <c r="CM251" i="10"/>
  <c r="CM228" i="10"/>
  <c r="CM215" i="10"/>
  <c r="CM219" i="10"/>
  <c r="CM235" i="10"/>
  <c r="CM263" i="10"/>
  <c r="CM221" i="10"/>
  <c r="CM230" i="10"/>
  <c r="CM234" i="10"/>
  <c r="CM237" i="10"/>
  <c r="CM240" i="10"/>
  <c r="CM241" i="10"/>
  <c r="CM242" i="10"/>
  <c r="CM252" i="10"/>
  <c r="CM255" i="10"/>
  <c r="CM265" i="10"/>
  <c r="CM266" i="10"/>
  <c r="CM267" i="10"/>
  <c r="CM218" i="10"/>
  <c r="CM222" i="10"/>
  <c r="CM224" i="10"/>
  <c r="CM232" i="10"/>
  <c r="CM236" i="10"/>
  <c r="CM239" i="10"/>
  <c r="CM248" i="10"/>
  <c r="CM249" i="10"/>
  <c r="CM223" i="10"/>
  <c r="CM229" i="10"/>
  <c r="CM233" i="10"/>
  <c r="CM231" i="10"/>
  <c r="CM271" i="10"/>
  <c r="CM283" i="10"/>
  <c r="CM245" i="10"/>
  <c r="CM257" i="10"/>
  <c r="CM261" i="10"/>
  <c r="CM262" i="10"/>
  <c r="CM284" i="10"/>
  <c r="CM256" i="10"/>
  <c r="CM285" i="10"/>
  <c r="CM238" i="10"/>
  <c r="CM250" i="10"/>
  <c r="CM253" i="10"/>
  <c r="CM264" i="10"/>
  <c r="CM268" i="10"/>
  <c r="CM274" i="10"/>
  <c r="CM276" i="10"/>
  <c r="CM279" i="10"/>
  <c r="CM280" i="10"/>
  <c r="CM282" i="10"/>
  <c r="CM287" i="10"/>
  <c r="CM293" i="10"/>
  <c r="CM305" i="10"/>
  <c r="CM258" i="10"/>
  <c r="CM277" i="10"/>
  <c r="CM278" i="10"/>
  <c r="CM259" i="10"/>
  <c r="CM260" i="10"/>
  <c r="CM275" i="10"/>
  <c r="CM296" i="10"/>
  <c r="CM247" i="10"/>
  <c r="CM269" i="10"/>
  <c r="CM270" i="10"/>
  <c r="CM290" i="10"/>
  <c r="CM291" i="10"/>
  <c r="CM272" i="10"/>
  <c r="CM306" i="10"/>
  <c r="CM308" i="10"/>
  <c r="CM312" i="10"/>
  <c r="CM281" i="10"/>
  <c r="CM294" i="10"/>
  <c r="CM297" i="10"/>
  <c r="CM299" i="10"/>
  <c r="CM303" i="10"/>
  <c r="CM316" i="10"/>
  <c r="CM323" i="10"/>
  <c r="CM331" i="10"/>
  <c r="CM273" i="10"/>
  <c r="CM317" i="10"/>
  <c r="CM320" i="10"/>
  <c r="CM334" i="10"/>
  <c r="CM339" i="10"/>
  <c r="CM342" i="10"/>
  <c r="CM254" i="10"/>
  <c r="CM289" i="10"/>
  <c r="CM304" i="10"/>
  <c r="CM311" i="10"/>
  <c r="CM313" i="10"/>
  <c r="CM315" i="10"/>
  <c r="CM322" i="10"/>
  <c r="CM324" i="10"/>
  <c r="CM330" i="10"/>
  <c r="CM348" i="10"/>
  <c r="CM357" i="10"/>
  <c r="CM292" i="10"/>
  <c r="CM298" i="10"/>
  <c r="CM310" i="10"/>
  <c r="CM314" i="10"/>
  <c r="CM318" i="10"/>
  <c r="CM321" i="10"/>
  <c r="CM325" i="10"/>
  <c r="CM332" i="10"/>
  <c r="CM288" i="10"/>
  <c r="CM300" i="10"/>
  <c r="CM309" i="10"/>
  <c r="CM286" i="10"/>
  <c r="CM301" i="10"/>
  <c r="CM302" i="10"/>
  <c r="CM307" i="10"/>
  <c r="CM319" i="10"/>
  <c r="CM327" i="10"/>
  <c r="CM336" i="10"/>
  <c r="CM340" i="10"/>
  <c r="CM343" i="10"/>
  <c r="CM351" i="10"/>
  <c r="CM326" i="10"/>
  <c r="CM347" i="10"/>
  <c r="CM350" i="10"/>
  <c r="CM378" i="10"/>
  <c r="CM380" i="10"/>
  <c r="CM400" i="10"/>
  <c r="CM405" i="10"/>
  <c r="CM295" i="10"/>
  <c r="CM333" i="10"/>
  <c r="CM338" i="10"/>
  <c r="CM341" i="10"/>
  <c r="CM354" i="10"/>
  <c r="CM368" i="10"/>
  <c r="CM375" i="10"/>
  <c r="CM397" i="10"/>
  <c r="CM329" i="10"/>
  <c r="CM349" i="10"/>
  <c r="CM355" i="10"/>
  <c r="CM369" i="10"/>
  <c r="CM372" i="10"/>
  <c r="CM387" i="10"/>
  <c r="CM335" i="10"/>
  <c r="CM345" i="10"/>
  <c r="CM352" i="10"/>
  <c r="CM356" i="10"/>
  <c r="CM360" i="10"/>
  <c r="CM361" i="10"/>
  <c r="CM362" i="10"/>
  <c r="CM364" i="10"/>
  <c r="CM366" i="10"/>
  <c r="CM371" i="10"/>
  <c r="CM374" i="10"/>
  <c r="CM390" i="10"/>
  <c r="CM393" i="10"/>
  <c r="CM395" i="10"/>
  <c r="CM416" i="10"/>
  <c r="CM337" i="10"/>
  <c r="CM344" i="10"/>
  <c r="CM358" i="10"/>
  <c r="CM367" i="10"/>
  <c r="CM370" i="10"/>
  <c r="CM363" i="10"/>
  <c r="CM373" i="10"/>
  <c r="CM376" i="10"/>
  <c r="CM381" i="10"/>
  <c r="CM382" i="10"/>
  <c r="CM394" i="10"/>
  <c r="CM328" i="10"/>
  <c r="CM353" i="10"/>
  <c r="CM359" i="10"/>
  <c r="CM379" i="10"/>
  <c r="CM383" i="10"/>
  <c r="CM388" i="10"/>
  <c r="CM392" i="10"/>
  <c r="CM399" i="10"/>
  <c r="CM406" i="10"/>
  <c r="CM408" i="10"/>
  <c r="CM365" i="10"/>
  <c r="CM404" i="10"/>
  <c r="CM409" i="10"/>
  <c r="CM417" i="10"/>
  <c r="CM424" i="10"/>
  <c r="CM448" i="10"/>
  <c r="CM420" i="10"/>
  <c r="CM439" i="10"/>
  <c r="CM444" i="10"/>
  <c r="CM402" i="10"/>
  <c r="CM403" i="10"/>
  <c r="CM413" i="10"/>
  <c r="CM427" i="10"/>
  <c r="CM435" i="10"/>
  <c r="CM436" i="10"/>
  <c r="CM440" i="10"/>
  <c r="CM459" i="10"/>
  <c r="CM384" i="10"/>
  <c r="CM386" i="10"/>
  <c r="CM391" i="10"/>
  <c r="CM412" i="10"/>
  <c r="CM431" i="10"/>
  <c r="CM433" i="10"/>
  <c r="CM443" i="10"/>
  <c r="CM446" i="10"/>
  <c r="CM451" i="10"/>
  <c r="CM407" i="10"/>
  <c r="CM414" i="10"/>
  <c r="CM422" i="10"/>
  <c r="CM426" i="10"/>
  <c r="CM428" i="10"/>
  <c r="CM432" i="10"/>
  <c r="CM437" i="10"/>
  <c r="CM452" i="10"/>
  <c r="CM462" i="10"/>
  <c r="CM463" i="10"/>
  <c r="CM377" i="10"/>
  <c r="CM385" i="10"/>
  <c r="CM398" i="10"/>
  <c r="CM401" i="10"/>
  <c r="CM410" i="10"/>
  <c r="CM411" i="10"/>
  <c r="CM415" i="10"/>
  <c r="CM418" i="10"/>
  <c r="CM438" i="10"/>
  <c r="CM441" i="10"/>
  <c r="CM442" i="10"/>
  <c r="CM445" i="10"/>
  <c r="CM389" i="10"/>
  <c r="CM419" i="10"/>
  <c r="CM429" i="10"/>
  <c r="CM449" i="10"/>
  <c r="CM470" i="10"/>
  <c r="CM481" i="10"/>
  <c r="CM425" i="10"/>
  <c r="CM457" i="10"/>
  <c r="CM458" i="10"/>
  <c r="CM474" i="10"/>
  <c r="CM475" i="10"/>
  <c r="CM396" i="10"/>
  <c r="CM423" i="10"/>
  <c r="CM461" i="10"/>
  <c r="CM465" i="10"/>
  <c r="CM467" i="10"/>
  <c r="CM346" i="10"/>
  <c r="CM430" i="10"/>
  <c r="CM434" i="10"/>
  <c r="CM455" i="10"/>
  <c r="CM464" i="10"/>
  <c r="CM471" i="10"/>
  <c r="CM483" i="10"/>
  <c r="CM453" i="10"/>
  <c r="CM454" i="10"/>
  <c r="CM477" i="10"/>
  <c r="CM490" i="10"/>
  <c r="CM421" i="10"/>
  <c r="CM450" i="10"/>
  <c r="CM456" i="10"/>
  <c r="CM469" i="10"/>
  <c r="CM485" i="10"/>
  <c r="CM491" i="10"/>
  <c r="CM498" i="10"/>
  <c r="CM447" i="10"/>
  <c r="CM472" i="10"/>
  <c r="CM487" i="10"/>
  <c r="CM496" i="10"/>
  <c r="CM503" i="10"/>
  <c r="CM514" i="10"/>
  <c r="CM516" i="10"/>
  <c r="CM466" i="10"/>
  <c r="CM476" i="10"/>
  <c r="CM482" i="10"/>
  <c r="CM486" i="10"/>
  <c r="CM495" i="10"/>
  <c r="CM504" i="10"/>
  <c r="CM519" i="10"/>
  <c r="CM523" i="10"/>
  <c r="CM525" i="10"/>
  <c r="CM526" i="10"/>
  <c r="CM478" i="10"/>
  <c r="CM502" i="10"/>
  <c r="CM505" i="10"/>
  <c r="CM510" i="10"/>
  <c r="CM515" i="10"/>
  <c r="CM518" i="10"/>
  <c r="CM520" i="10"/>
  <c r="CM522" i="10"/>
  <c r="CM460" i="10"/>
  <c r="CM479" i="10"/>
  <c r="CM508" i="10"/>
  <c r="CM509" i="10"/>
  <c r="CM536" i="10"/>
  <c r="CM473" i="10"/>
  <c r="CM493" i="10"/>
  <c r="CM507" i="10"/>
  <c r="CM521" i="10"/>
  <c r="CM527" i="10"/>
  <c r="CM529" i="10"/>
  <c r="CM480" i="10"/>
  <c r="CM484" i="10"/>
  <c r="CM506" i="10"/>
  <c r="CM511" i="10"/>
  <c r="CM512" i="10"/>
  <c r="CM528" i="10"/>
  <c r="CM468" i="10"/>
  <c r="CM488" i="10"/>
  <c r="CM497" i="10"/>
  <c r="CM499" i="10"/>
  <c r="CM501" i="10"/>
  <c r="CM517" i="10"/>
  <c r="CM532" i="10"/>
  <c r="CM548" i="10"/>
  <c r="CM550" i="10"/>
  <c r="CM561" i="10"/>
  <c r="CM569" i="10"/>
  <c r="CM573" i="10"/>
  <c r="CM577" i="10"/>
  <c r="CM579" i="10"/>
  <c r="CM583" i="10"/>
  <c r="CM595" i="10"/>
  <c r="CM611" i="10"/>
  <c r="CM612" i="10"/>
  <c r="CM620" i="10"/>
  <c r="CM621" i="10"/>
  <c r="CM500" i="10"/>
  <c r="CM558" i="10"/>
  <c r="CM563" i="10"/>
  <c r="CM566" i="10"/>
  <c r="CM571" i="10"/>
  <c r="CM575" i="10"/>
  <c r="CM578" i="10"/>
  <c r="CM582" i="10"/>
  <c r="CM596" i="10"/>
  <c r="CM605" i="10"/>
  <c r="CM608" i="10"/>
  <c r="CM535" i="10"/>
  <c r="CM540" i="10"/>
  <c r="CM546" i="10"/>
  <c r="CM557" i="10"/>
  <c r="CM562" i="10"/>
  <c r="CM567" i="10"/>
  <c r="CM574" i="10"/>
  <c r="CM489" i="10"/>
  <c r="CM492" i="10"/>
  <c r="CM533" i="10"/>
  <c r="CM539" i="10"/>
  <c r="CM541" i="10"/>
  <c r="CM552" i="10"/>
  <c r="CM553" i="10"/>
  <c r="CM554" i="10"/>
  <c r="CM559" i="10"/>
  <c r="CM570" i="10"/>
  <c r="CM576" i="10"/>
  <c r="CM580" i="10"/>
  <c r="CM584" i="10"/>
  <c r="CM597" i="10"/>
  <c r="CM603" i="10"/>
  <c r="CM610" i="10"/>
  <c r="CM524" i="10"/>
  <c r="CM531" i="10"/>
  <c r="CM534" i="10"/>
  <c r="CM543" i="10"/>
  <c r="CM544" i="10"/>
  <c r="CM549" i="10"/>
  <c r="CM551" i="10"/>
  <c r="CM560" i="10"/>
  <c r="CM585" i="10"/>
  <c r="CM590" i="10"/>
  <c r="CM591" i="10"/>
  <c r="CM593" i="10"/>
  <c r="CM599" i="10"/>
  <c r="CM602" i="10"/>
  <c r="CM616" i="10"/>
  <c r="CM622" i="10"/>
  <c r="CM631" i="10"/>
  <c r="CM537" i="10"/>
  <c r="CM538" i="10"/>
  <c r="CM564" i="10"/>
  <c r="CM565" i="10"/>
  <c r="CM572" i="10"/>
  <c r="CM581" i="10"/>
  <c r="CM587" i="10"/>
  <c r="CM598" i="10"/>
  <c r="CM604" i="10"/>
  <c r="CM606" i="10"/>
  <c r="CM607" i="10"/>
  <c r="CM609" i="10"/>
  <c r="CM617" i="10"/>
  <c r="CM623" i="10"/>
  <c r="CM627" i="10"/>
  <c r="CM628" i="10"/>
  <c r="CM629" i="10"/>
  <c r="CM632" i="10"/>
  <c r="CM513" i="10"/>
  <c r="CM588" i="10"/>
  <c r="CM614" i="10"/>
  <c r="CM636" i="10"/>
  <c r="CM639" i="10"/>
  <c r="CM644" i="10"/>
  <c r="CM652" i="10"/>
  <c r="CM656" i="10"/>
  <c r="CM658" i="10"/>
  <c r="CM664" i="10"/>
  <c r="CM665" i="10"/>
  <c r="CM668" i="10"/>
  <c r="CM672" i="10"/>
  <c r="CM682" i="10"/>
  <c r="CM699" i="10"/>
  <c r="CM712" i="10"/>
  <c r="CM713" i="10"/>
  <c r="CM718" i="10"/>
  <c r="CM592" i="10"/>
  <c r="CM619" i="10"/>
  <c r="CM625" i="10"/>
  <c r="CM647" i="10"/>
  <c r="CM648" i="10"/>
  <c r="CM649" i="10"/>
  <c r="CM651" i="10"/>
  <c r="CM670" i="10"/>
  <c r="CM671" i="10"/>
  <c r="CM686" i="10"/>
  <c r="CM689" i="10"/>
  <c r="CM698" i="10"/>
  <c r="CM702" i="10"/>
  <c r="CM705" i="10"/>
  <c r="CM708" i="10"/>
  <c r="CM710" i="10"/>
  <c r="CM723" i="10"/>
  <c r="CM725" i="10"/>
  <c r="CM727" i="10"/>
  <c r="CM530" i="10"/>
  <c r="CM586" i="10"/>
  <c r="CM630" i="10"/>
  <c r="CM635" i="10"/>
  <c r="CM637" i="10"/>
  <c r="CM640" i="10"/>
  <c r="CM643" i="10"/>
  <c r="CM677" i="10"/>
  <c r="CM688" i="10"/>
  <c r="CM694" i="10"/>
  <c r="CM697" i="10"/>
  <c r="CM700" i="10"/>
  <c r="CM706" i="10"/>
  <c r="CM707" i="10"/>
  <c r="CM716" i="10"/>
  <c r="CM719" i="10"/>
  <c r="CM594" i="10"/>
  <c r="CM601" i="10"/>
  <c r="CM618" i="10"/>
  <c r="CM653" i="10"/>
  <c r="CM657" i="10"/>
  <c r="CM674" i="10"/>
  <c r="CM681" i="10"/>
  <c r="CM685" i="10"/>
  <c r="CM692" i="10"/>
  <c r="CM695" i="10"/>
  <c r="CM711" i="10"/>
  <c r="CM626" i="10"/>
  <c r="CM642" i="10"/>
  <c r="CM666" i="10"/>
  <c r="CM675" i="10"/>
  <c r="CM691" i="10"/>
  <c r="CM704" i="10"/>
  <c r="CM724" i="10"/>
  <c r="CM545" i="10"/>
  <c r="CM589" i="10"/>
  <c r="CM615" i="10"/>
  <c r="CM641" i="10"/>
  <c r="CM645" i="10"/>
  <c r="CM646" i="10"/>
  <c r="CM659" i="10"/>
  <c r="CM662" i="10"/>
  <c r="CM667" i="10"/>
  <c r="CM680" i="10"/>
  <c r="CM696" i="10"/>
  <c r="CM555" i="10"/>
  <c r="CM556" i="10"/>
  <c r="CM600" i="10"/>
  <c r="CM728" i="10"/>
  <c r="CM732" i="10"/>
  <c r="CM733" i="10"/>
  <c r="CM737" i="10"/>
  <c r="CM740" i="10"/>
  <c r="CM741" i="10"/>
  <c r="CM748" i="10"/>
  <c r="CM755" i="10"/>
  <c r="CM760" i="10"/>
  <c r="CM761" i="10"/>
  <c r="CM773" i="10"/>
  <c r="CM788" i="10"/>
  <c r="CM792" i="10"/>
  <c r="CM799" i="10"/>
  <c r="CM800" i="10"/>
  <c r="CM801" i="10"/>
  <c r="CM808" i="10"/>
  <c r="CM820" i="10"/>
  <c r="CM832" i="10"/>
  <c r="CM836" i="10"/>
  <c r="CM837" i="10"/>
  <c r="CM839" i="10"/>
  <c r="CM840" i="10"/>
  <c r="CM842" i="10"/>
  <c r="CM844" i="10"/>
  <c r="CM849" i="10"/>
  <c r="CM856" i="10"/>
  <c r="CM858" i="10"/>
  <c r="CM633" i="10"/>
  <c r="CM663" i="10"/>
  <c r="CM673" i="10"/>
  <c r="CM678" i="10"/>
  <c r="CM684" i="10"/>
  <c r="CM687" i="10"/>
  <c r="CM744" i="10"/>
  <c r="CM756" i="10"/>
  <c r="CM757" i="10"/>
  <c r="CM763" i="10"/>
  <c r="CM771" i="10"/>
  <c r="CM772" i="10"/>
  <c r="CM793" i="10"/>
  <c r="CM795" i="10"/>
  <c r="CM815" i="10"/>
  <c r="CM816" i="10"/>
  <c r="CM817" i="10"/>
  <c r="CM822" i="10"/>
  <c r="CM542" i="10"/>
  <c r="CM701" i="10"/>
  <c r="CM703" i="10"/>
  <c r="CM717" i="10"/>
  <c r="CM765" i="10"/>
  <c r="CM776" i="10"/>
  <c r="CM777" i="10"/>
  <c r="CM783" i="10"/>
  <c r="CM827" i="10"/>
  <c r="CM834" i="10"/>
  <c r="CM568" i="10"/>
  <c r="CM661" i="10"/>
  <c r="CM676" i="10"/>
  <c r="CM679" i="10"/>
  <c r="CM638" i="10"/>
  <c r="CM655" i="10"/>
  <c r="CM669" i="10"/>
  <c r="CM734" i="10"/>
  <c r="CM735" i="10"/>
  <c r="CM738" i="10"/>
  <c r="CM749" i="10"/>
  <c r="CM750" i="10"/>
  <c r="CM767" i="10"/>
  <c r="CM833" i="10"/>
  <c r="CM852" i="10"/>
  <c r="CM859" i="10"/>
  <c r="CM868" i="10"/>
  <c r="CM650" i="10"/>
  <c r="CM722" i="10"/>
  <c r="CM766" i="10"/>
  <c r="CM770" i="10"/>
  <c r="CM774" i="10"/>
  <c r="CM781" i="10"/>
  <c r="CM785" i="10"/>
  <c r="CM794" i="10"/>
  <c r="CM796" i="10"/>
  <c r="CM814" i="10"/>
  <c r="CM824" i="10"/>
  <c r="CM846" i="10"/>
  <c r="CM864" i="10"/>
  <c r="CM865" i="10"/>
  <c r="CM613" i="10"/>
  <c r="CM634" i="10"/>
  <c r="CM714" i="10"/>
  <c r="CM743" i="10"/>
  <c r="CM769" i="10"/>
  <c r="CM775" i="10"/>
  <c r="CM780" i="10"/>
  <c r="CM786" i="10"/>
  <c r="CM787" i="10"/>
  <c r="CM789" i="10"/>
  <c r="CM791" i="10"/>
  <c r="CM797" i="10"/>
  <c r="CM798" i="10"/>
  <c r="CM802" i="10"/>
  <c r="CM803" i="10"/>
  <c r="CM809" i="10"/>
  <c r="CM826" i="10"/>
  <c r="CM841" i="10"/>
  <c r="CM845" i="10"/>
  <c r="CM857" i="10"/>
  <c r="CM494" i="10"/>
  <c r="CM547" i="10"/>
  <c r="CM720" i="10"/>
  <c r="CM742" i="10"/>
  <c r="CM782" i="10"/>
  <c r="CM805" i="10"/>
  <c r="CM807" i="10"/>
  <c r="CM810" i="10"/>
  <c r="CM811" i="10"/>
  <c r="CM818" i="10"/>
  <c r="CM819" i="10"/>
  <c r="CM821" i="10"/>
  <c r="CM823" i="10"/>
  <c r="CM829" i="10"/>
  <c r="CM835" i="10"/>
  <c r="CM838" i="10"/>
  <c r="CM847" i="10"/>
  <c r="CM851" i="10"/>
  <c r="CM654" i="10"/>
  <c r="CM693" i="10"/>
  <c r="CM709" i="10"/>
  <c r="CM745" i="10"/>
  <c r="CM746" i="10"/>
  <c r="CM753" i="10"/>
  <c r="CM754" i="10"/>
  <c r="CM790" i="10"/>
  <c r="CM806" i="10"/>
  <c r="CM813" i="10"/>
  <c r="CM830" i="10"/>
  <c r="CM848" i="10"/>
  <c r="CM660" i="10"/>
  <c r="CM683" i="10"/>
  <c r="CM726" i="10"/>
  <c r="CM729" i="10"/>
  <c r="CM731" i="10"/>
  <c r="CM758" i="10"/>
  <c r="CM762" i="10"/>
  <c r="CM778" i="10"/>
  <c r="CM812" i="10"/>
  <c r="CM825" i="10"/>
  <c r="CM843" i="10"/>
  <c r="CM853" i="10"/>
  <c r="CM866" i="10"/>
  <c r="CM624" i="10"/>
  <c r="CM690" i="10"/>
  <c r="CM736" i="10"/>
  <c r="CM739" i="10"/>
  <c r="CM751" i="10"/>
  <c r="CM752" i="10"/>
  <c r="CM768" i="10"/>
  <c r="CM779" i="10"/>
  <c r="CM784" i="10"/>
  <c r="CM721" i="10"/>
  <c r="CM764" i="10"/>
  <c r="CM867" i="10"/>
  <c r="CM878" i="10"/>
  <c r="CM880" i="10"/>
  <c r="CM887" i="10"/>
  <c r="CM898" i="10"/>
  <c r="CM916" i="10"/>
  <c r="CM917" i="10"/>
  <c r="CM918" i="10"/>
  <c r="CM927" i="10"/>
  <c r="CM935" i="10"/>
  <c r="CM944" i="10"/>
  <c r="CM951" i="10"/>
  <c r="CM967" i="10"/>
  <c r="CM971" i="10"/>
  <c r="CM976" i="10"/>
  <c r="CM991" i="10"/>
  <c r="CM992" i="10"/>
  <c r="CM828" i="10"/>
  <c r="CM850" i="10"/>
  <c r="CM869" i="10"/>
  <c r="CM874" i="10"/>
  <c r="CM912" i="10"/>
  <c r="CM913" i="10"/>
  <c r="CM923" i="10"/>
  <c r="CM930" i="10"/>
  <c r="CM938" i="10"/>
  <c r="CM947" i="10"/>
  <c r="CM953" i="10"/>
  <c r="CM959" i="10"/>
  <c r="CM969" i="10"/>
  <c r="CM970" i="10"/>
  <c r="CM980" i="10"/>
  <c r="CM989" i="10"/>
  <c r="CM990" i="10"/>
  <c r="CM831" i="10"/>
  <c r="CM860" i="10"/>
  <c r="CM872" i="10"/>
  <c r="CM875" i="10"/>
  <c r="CM882" i="10"/>
  <c r="CM889" i="10"/>
  <c r="CM891" i="10"/>
  <c r="CM895" i="10"/>
  <c r="CM901" i="10"/>
  <c r="CM903" i="10"/>
  <c r="CM904" i="10"/>
  <c r="CM906" i="10"/>
  <c r="CM911" i="10"/>
  <c r="CM943" i="10"/>
  <c r="CM950" i="10"/>
  <c r="CM952" i="10"/>
  <c r="CM961" i="10"/>
  <c r="CM962" i="10"/>
  <c r="CM983" i="10"/>
  <c r="CM988" i="10"/>
  <c r="CM886" i="10"/>
  <c r="CM896" i="10"/>
  <c r="CM897" i="10"/>
  <c r="CM900" i="10"/>
  <c r="CM908" i="10"/>
  <c r="CM926" i="10"/>
  <c r="CM931" i="10"/>
  <c r="CM934" i="10"/>
  <c r="CM939" i="10"/>
  <c r="CM942" i="10"/>
  <c r="CM968" i="10"/>
  <c r="CM870" i="10"/>
  <c r="CM873" i="10"/>
  <c r="CM884" i="10"/>
  <c r="CM902" i="10"/>
  <c r="CM919" i="10"/>
  <c r="CM920" i="10"/>
  <c r="CM974" i="10"/>
  <c r="CM975" i="10"/>
  <c r="CM730" i="10"/>
  <c r="CM759" i="10"/>
  <c r="CM804" i="10"/>
  <c r="CM855" i="10"/>
  <c r="CM871" i="10"/>
  <c r="CM881" i="10"/>
  <c r="CM899" i="10"/>
  <c r="CM905" i="10"/>
  <c r="CM909" i="10"/>
  <c r="CM910" i="10"/>
  <c r="CM921" i="10"/>
  <c r="CM924" i="10"/>
  <c r="CM940" i="10"/>
  <c r="CM941" i="10"/>
  <c r="CM956" i="10"/>
  <c r="CM957" i="10"/>
  <c r="CM958" i="10"/>
  <c r="CM965" i="10"/>
  <c r="CM972" i="10"/>
  <c r="CM993" i="10"/>
  <c r="CM994" i="10"/>
  <c r="CM863" i="10"/>
  <c r="CM876" i="10"/>
  <c r="CM877" i="10"/>
  <c r="CM890" i="10"/>
  <c r="CM894" i="10"/>
  <c r="CM907" i="10"/>
  <c r="CM914" i="10"/>
  <c r="CM915" i="10"/>
  <c r="CM922" i="10"/>
  <c r="CM932" i="10"/>
  <c r="CM945" i="10"/>
  <c r="CM955" i="10"/>
  <c r="CM963" i="10"/>
  <c r="CM964" i="10"/>
  <c r="CM979" i="10"/>
  <c r="CM985" i="10"/>
  <c r="CM715" i="10"/>
  <c r="CM747" i="10"/>
  <c r="CM854" i="10"/>
  <c r="CM861" i="10"/>
  <c r="CM862" i="10"/>
  <c r="CM879" i="10"/>
  <c r="CM883" i="10"/>
  <c r="CM885" i="10"/>
  <c r="CM888" i="10"/>
  <c r="CM892" i="10"/>
  <c r="CM893" i="10"/>
  <c r="CM925" i="10"/>
  <c r="CM928" i="10"/>
  <c r="CM929" i="10"/>
  <c r="CM933" i="10"/>
  <c r="CM936" i="10"/>
  <c r="CM937" i="10"/>
  <c r="CM946" i="10"/>
  <c r="CM998" i="10"/>
  <c r="CM1004" i="10"/>
  <c r="CM978" i="10"/>
  <c r="CM1002" i="10"/>
  <c r="CM1009" i="10"/>
  <c r="CM1010" i="10"/>
  <c r="CM960" i="10"/>
  <c r="CM973" i="10"/>
  <c r="CM981" i="10"/>
  <c r="CM997" i="10"/>
  <c r="CM999" i="10"/>
  <c r="CM966" i="10"/>
  <c r="CM987" i="10"/>
  <c r="CM1001" i="10"/>
  <c r="CM1003" i="10"/>
  <c r="CM948" i="10"/>
  <c r="CM977" i="10"/>
  <c r="CM984" i="10"/>
  <c r="CM986" i="10"/>
  <c r="CM996" i="10"/>
  <c r="CM1007" i="10"/>
  <c r="CM1008" i="10"/>
  <c r="CM954" i="10"/>
  <c r="CM1005" i="10"/>
  <c r="CM1012" i="10"/>
  <c r="CM1013" i="10"/>
  <c r="CM1014" i="10"/>
  <c r="CM995" i="10"/>
  <c r="CM949" i="10"/>
  <c r="CM982" i="10"/>
  <c r="CM1000" i="10"/>
  <c r="CM1006" i="10"/>
  <c r="CM1011" i="10"/>
  <c r="CM204" i="10"/>
  <c r="CM213" i="10"/>
  <c r="CM33" i="10"/>
  <c r="CM34" i="10"/>
  <c r="CM48" i="10"/>
  <c r="CM54" i="10"/>
  <c r="CM60" i="10"/>
  <c r="CM85" i="10"/>
  <c r="CM86" i="10"/>
  <c r="CM92" i="10"/>
  <c r="CM108" i="10"/>
  <c r="CM112" i="10"/>
  <c r="CM137" i="10"/>
  <c r="CM141" i="10"/>
  <c r="CM148" i="10"/>
  <c r="CM155" i="10"/>
  <c r="CM163" i="10"/>
  <c r="CM186" i="10"/>
  <c r="CM190" i="10"/>
  <c r="CM196" i="10"/>
  <c r="CM20" i="10"/>
  <c r="CM21" i="10"/>
  <c r="CM25" i="10"/>
  <c r="CM57" i="10"/>
  <c r="CM111" i="10"/>
  <c r="CM147" i="10"/>
  <c r="CM158" i="10"/>
  <c r="CM202" i="10"/>
  <c r="CM203" i="10"/>
  <c r="CM212" i="10"/>
  <c r="CM47" i="10"/>
  <c r="CM56" i="10"/>
  <c r="CM93" i="10"/>
  <c r="CM103" i="10"/>
  <c r="CM109" i="10"/>
  <c r="CM146" i="10"/>
  <c r="CM162" i="10"/>
  <c r="CM170" i="10"/>
  <c r="CM180" i="10"/>
  <c r="CM26" i="10"/>
  <c r="CM194" i="10"/>
  <c r="CM35" i="10"/>
  <c r="CM76" i="10"/>
  <c r="CM175" i="10"/>
  <c r="CM32" i="10"/>
  <c r="CM39" i="10"/>
  <c r="CM40" i="10"/>
  <c r="CM53" i="10"/>
  <c r="CM91" i="10"/>
  <c r="CM104" i="10"/>
  <c r="CM105" i="10"/>
  <c r="CM106" i="10"/>
  <c r="CM107" i="10"/>
  <c r="CM110" i="10"/>
  <c r="CM113" i="10"/>
  <c r="CM114" i="10"/>
  <c r="CM145" i="10"/>
  <c r="CM154" i="10"/>
  <c r="CM157" i="10"/>
  <c r="CM161" i="10"/>
  <c r="CM169" i="10"/>
  <c r="CM174" i="10"/>
  <c r="CM179" i="10"/>
  <c r="CM195" i="10"/>
  <c r="CM198" i="10"/>
  <c r="CM200" i="10"/>
  <c r="CM30" i="10"/>
  <c r="CM31" i="10"/>
  <c r="CM62" i="10"/>
  <c r="CM120" i="10"/>
  <c r="CM122" i="10"/>
  <c r="CM201" i="10"/>
  <c r="CM210" i="10"/>
  <c r="CM211" i="10"/>
  <c r="CM37" i="10"/>
  <c r="CM38" i="10"/>
  <c r="CM43" i="10"/>
  <c r="CM44" i="10"/>
  <c r="CM52" i="10"/>
  <c r="CM55" i="10"/>
  <c r="CM59" i="10"/>
  <c r="CM65" i="10"/>
  <c r="CM83" i="10"/>
  <c r="CM84" i="10"/>
  <c r="CM90" i="10"/>
  <c r="CM115" i="10"/>
  <c r="CM116" i="10"/>
  <c r="CM132" i="10"/>
  <c r="CM133" i="10"/>
  <c r="CM136" i="10"/>
  <c r="CM140" i="10"/>
  <c r="CM153" i="10"/>
  <c r="CM168" i="10"/>
  <c r="CM173" i="10"/>
  <c r="CM185" i="10"/>
  <c r="CM189" i="10"/>
  <c r="CM199" i="10"/>
  <c r="CM24" i="10"/>
  <c r="CM27" i="10"/>
  <c r="CM28" i="10"/>
  <c r="CM29" i="10"/>
  <c r="CM23" i="10"/>
  <c r="CM206" i="10"/>
  <c r="CM94" i="10"/>
  <c r="CM121" i="10"/>
  <c r="CM128" i="10"/>
  <c r="CM138" i="10"/>
  <c r="CM171" i="10"/>
  <c r="CM45" i="10"/>
  <c r="CM46" i="10"/>
  <c r="CM51" i="10"/>
  <c r="CM66" i="10"/>
  <c r="CM67" i="10"/>
  <c r="CM68" i="10"/>
  <c r="CM69" i="10"/>
  <c r="CM81" i="10"/>
  <c r="CM82" i="10"/>
  <c r="CM88" i="10"/>
  <c r="CM89" i="10"/>
  <c r="CM118" i="10"/>
  <c r="CM131" i="10"/>
  <c r="CM134" i="10"/>
  <c r="CM135" i="10"/>
  <c r="CM139" i="10"/>
  <c r="CM160" i="10"/>
  <c r="CM165" i="10"/>
  <c r="CM166" i="10"/>
  <c r="CM167" i="10"/>
  <c r="CM178" i="10"/>
  <c r="CM184" i="10"/>
  <c r="CM61" i="10"/>
  <c r="CM73" i="10"/>
  <c r="CM78" i="10"/>
  <c r="CM95" i="10"/>
  <c r="CM207" i="10"/>
  <c r="CM208" i="10"/>
  <c r="CM209" i="10"/>
  <c r="CM214" i="10"/>
  <c r="CM36" i="10"/>
  <c r="CM42" i="10"/>
  <c r="CM50" i="10"/>
  <c r="CM58" i="10"/>
  <c r="CM70" i="10"/>
  <c r="CM71" i="10"/>
  <c r="CM74" i="10"/>
  <c r="CM87" i="10"/>
  <c r="CM117" i="10"/>
  <c r="CM123" i="10"/>
  <c r="CM130" i="10"/>
  <c r="CM144" i="10"/>
  <c r="CM151" i="10"/>
  <c r="CM152" i="10"/>
  <c r="CM156" i="10"/>
  <c r="CM159" i="10"/>
  <c r="CM172" i="10"/>
  <c r="CM177" i="10"/>
  <c r="CM182" i="10"/>
  <c r="CM183" i="10"/>
  <c r="CM188" i="10"/>
  <c r="CM192" i="10"/>
  <c r="CM197" i="10"/>
  <c r="CM41" i="10"/>
  <c r="CM98" i="10"/>
  <c r="CM149" i="10"/>
  <c r="CM49" i="10"/>
  <c r="CM63" i="10"/>
  <c r="CM64" i="10"/>
  <c r="CM72" i="10"/>
  <c r="CM75" i="10"/>
  <c r="CM77" i="10"/>
  <c r="CM79" i="10"/>
  <c r="CM80" i="10"/>
  <c r="CM96" i="10"/>
  <c r="CM97" i="10"/>
  <c r="CM99" i="10"/>
  <c r="CM101" i="10"/>
  <c r="CM119" i="10"/>
  <c r="CM124" i="10"/>
  <c r="CM125" i="10"/>
  <c r="CM126" i="10"/>
  <c r="CM129" i="10"/>
  <c r="CM143" i="10"/>
  <c r="CM150" i="10"/>
  <c r="CM164" i="10"/>
  <c r="CM176" i="10"/>
  <c r="CM187" i="10"/>
  <c r="CM191" i="10"/>
  <c r="CM193" i="10"/>
  <c r="CM100" i="10"/>
  <c r="CM102" i="10"/>
  <c r="CM127" i="10"/>
  <c r="CM205" i="10"/>
  <c r="CM142" i="10"/>
  <c r="CM181" i="10"/>
  <c r="CM22" i="10"/>
  <c r="CM18" i="10"/>
  <c r="CM19" i="10"/>
  <c r="CM16" i="10"/>
  <c r="CM17" i="10"/>
  <c r="CE220" i="10"/>
  <c r="CC221" i="10"/>
  <c r="CG221" i="10" s="1"/>
  <c r="CC224" i="10"/>
  <c r="CG224" i="10" s="1"/>
  <c r="CE225" i="10"/>
  <c r="CC228" i="10"/>
  <c r="CG228" i="10" s="1"/>
  <c r="CE229" i="10"/>
  <c r="CC231" i="10"/>
  <c r="CG231" i="10"/>
  <c r="CC238" i="10"/>
  <c r="CG238" i="10" s="1"/>
  <c r="CE246" i="10"/>
  <c r="CC247" i="10"/>
  <c r="CC215" i="10"/>
  <c r="CG215" i="10"/>
  <c r="CC222" i="10"/>
  <c r="CG222" i="10" s="1"/>
  <c r="CC226" i="10"/>
  <c r="CE230" i="10"/>
  <c r="CC232" i="10"/>
  <c r="CG232" i="10" s="1"/>
  <c r="CE234" i="10"/>
  <c r="CE235" i="10"/>
  <c r="CC236" i="10"/>
  <c r="CG236" i="10" s="1"/>
  <c r="CE239" i="10"/>
  <c r="CC240" i="10"/>
  <c r="CG240" i="10" s="1"/>
  <c r="CC242" i="10"/>
  <c r="CG242" i="10" s="1"/>
  <c r="CC243" i="10"/>
  <c r="CG243" i="10"/>
  <c r="CE247" i="10"/>
  <c r="CC248" i="10"/>
  <c r="CG248" i="10" s="1"/>
  <c r="CC252" i="10"/>
  <c r="CG252" i="10" s="1"/>
  <c r="CC218" i="10"/>
  <c r="CG218" i="10"/>
  <c r="CC219" i="10"/>
  <c r="CG219" i="10"/>
  <c r="CE222" i="10"/>
  <c r="CE226" i="10"/>
  <c r="CE215" i="10"/>
  <c r="CE218" i="10"/>
  <c r="CC223" i="10"/>
  <c r="CG223" i="10" s="1"/>
  <c r="CC250" i="10"/>
  <c r="CG250" i="10" s="1"/>
  <c r="CE256" i="10"/>
  <c r="CE261" i="10"/>
  <c r="CC216" i="10"/>
  <c r="CG216" i="10"/>
  <c r="CC217" i="10"/>
  <c r="CE219" i="10"/>
  <c r="CE223" i="10"/>
  <c r="CC227" i="10"/>
  <c r="CG227" i="10" s="1"/>
  <c r="CC244" i="10"/>
  <c r="CC245" i="10"/>
  <c r="CG245" i="10"/>
  <c r="CE250" i="10"/>
  <c r="CE251" i="10"/>
  <c r="CC253" i="10"/>
  <c r="CC257" i="10"/>
  <c r="CG257" i="10" s="1"/>
  <c r="CC260" i="10"/>
  <c r="CG260" i="10" s="1"/>
  <c r="CE216" i="10"/>
  <c r="CE217" i="10"/>
  <c r="CE227" i="10"/>
  <c r="CC229" i="10"/>
  <c r="CC237" i="10"/>
  <c r="CG237" i="10" s="1"/>
  <c r="CC241" i="10"/>
  <c r="CE244" i="10"/>
  <c r="CE245" i="10"/>
  <c r="CE253" i="10"/>
  <c r="CC254" i="10"/>
  <c r="CG254" i="10" s="1"/>
  <c r="CC220" i="10"/>
  <c r="CG220" i="10"/>
  <c r="CC225" i="10"/>
  <c r="CG225" i="10" s="1"/>
  <c r="CC233" i="10"/>
  <c r="CG233" i="10" s="1"/>
  <c r="CE237" i="10"/>
  <c r="CE241" i="10"/>
  <c r="CE228" i="10"/>
  <c r="CE248" i="10"/>
  <c r="CC263" i="10"/>
  <c r="CG263" i="10" s="1"/>
  <c r="CC268" i="10"/>
  <c r="CG268" i="10" s="1"/>
  <c r="CE272" i="10"/>
  <c r="CC279" i="10"/>
  <c r="CG279" i="10"/>
  <c r="CE285" i="10"/>
  <c r="CE286" i="10"/>
  <c r="CC287" i="10"/>
  <c r="CG287" i="10" s="1"/>
  <c r="CE240" i="10"/>
  <c r="CC256" i="10"/>
  <c r="CG256" i="10" s="1"/>
  <c r="CC258" i="10"/>
  <c r="CG258" i="10" s="1"/>
  <c r="CE263" i="10"/>
  <c r="CC264" i="10"/>
  <c r="CG264" i="10" s="1"/>
  <c r="CE268" i="10"/>
  <c r="CC269" i="10"/>
  <c r="CG269" i="10"/>
  <c r="CC270" i="10"/>
  <c r="CG270" i="10" s="1"/>
  <c r="CC275" i="10"/>
  <c r="CG275" i="10"/>
  <c r="CC277" i="10"/>
  <c r="CC278" i="10"/>
  <c r="CG278" i="10" s="1"/>
  <c r="CE279" i="10"/>
  <c r="CC280" i="10"/>
  <c r="CE287" i="10"/>
  <c r="CC290" i="10"/>
  <c r="CG290" i="10" s="1"/>
  <c r="CE233" i="10"/>
  <c r="CE238" i="10"/>
  <c r="CE242" i="10"/>
  <c r="CE258" i="10"/>
  <c r="CC259" i="10"/>
  <c r="CE260" i="10"/>
  <c r="CE264" i="10"/>
  <c r="CC265" i="10"/>
  <c r="CE269" i="10"/>
  <c r="CE275" i="10"/>
  <c r="CE277" i="10"/>
  <c r="CE278" i="10"/>
  <c r="CC234" i="10"/>
  <c r="CG234" i="10"/>
  <c r="CE236" i="10"/>
  <c r="CC246" i="10"/>
  <c r="CG246" i="10" s="1"/>
  <c r="CC255" i="10"/>
  <c r="CG255" i="10" s="1"/>
  <c r="CE259" i="10"/>
  <c r="CE265" i="10"/>
  <c r="CC266" i="10"/>
  <c r="CG266" i="10" s="1"/>
  <c r="CE270" i="10"/>
  <c r="CC273" i="10"/>
  <c r="CG273" i="10" s="1"/>
  <c r="CE280" i="10"/>
  <c r="CC281" i="10"/>
  <c r="CG281" i="10"/>
  <c r="CC291" i="10"/>
  <c r="CG291" i="10" s="1"/>
  <c r="CE296" i="10"/>
  <c r="CI296" i="10" s="1"/>
  <c r="CE298" i="10"/>
  <c r="CC299" i="10"/>
  <c r="CG299" i="10" s="1"/>
  <c r="CC300" i="10"/>
  <c r="CG300" i="10" s="1"/>
  <c r="CE243" i="10"/>
  <c r="CC249" i="10"/>
  <c r="CG249" i="10" s="1"/>
  <c r="CE252" i="10"/>
  <c r="CE266" i="10"/>
  <c r="CE273" i="10"/>
  <c r="CE281" i="10"/>
  <c r="CC235" i="10"/>
  <c r="CE249" i="10"/>
  <c r="CC251" i="10"/>
  <c r="CG251" i="10" s="1"/>
  <c r="CE254" i="10"/>
  <c r="CE255" i="10"/>
  <c r="CE257" i="10"/>
  <c r="CC261" i="10"/>
  <c r="CG261" i="10" s="1"/>
  <c r="CC262" i="10"/>
  <c r="CG262" i="10"/>
  <c r="CC267" i="10"/>
  <c r="CG267" i="10" s="1"/>
  <c r="CC271" i="10"/>
  <c r="CC274" i="10"/>
  <c r="CC276" i="10"/>
  <c r="CG276" i="10" s="1"/>
  <c r="CC283" i="10"/>
  <c r="CE288" i="10"/>
  <c r="CC289" i="10"/>
  <c r="CE292" i="10"/>
  <c r="CE294" i="10"/>
  <c r="CC297" i="10"/>
  <c r="CG297" i="10" s="1"/>
  <c r="CC305" i="10"/>
  <c r="CG305" i="10" s="1"/>
  <c r="CC306" i="10"/>
  <c r="CC239" i="10"/>
  <c r="CG239" i="10" s="1"/>
  <c r="CE262" i="10"/>
  <c r="CE271" i="10"/>
  <c r="CC272" i="10"/>
  <c r="CG272" i="10" s="1"/>
  <c r="CE276" i="10"/>
  <c r="CC282" i="10"/>
  <c r="CG282" i="10" s="1"/>
  <c r="CE283" i="10"/>
  <c r="CC284" i="10"/>
  <c r="CG284" i="10" s="1"/>
  <c r="CE289" i="10"/>
  <c r="CC230" i="10"/>
  <c r="CG230" i="10" s="1"/>
  <c r="CE304" i="10"/>
  <c r="CE305" i="10"/>
  <c r="CC309" i="10"/>
  <c r="CG309" i="10" s="1"/>
  <c r="CC311" i="10"/>
  <c r="CG311" i="10" s="1"/>
  <c r="CC314" i="10"/>
  <c r="CG314" i="10" s="1"/>
  <c r="CC318" i="10"/>
  <c r="CG318" i="10" s="1"/>
  <c r="CE320" i="10"/>
  <c r="CE322" i="10"/>
  <c r="CC324" i="10"/>
  <c r="CG324" i="10" s="1"/>
  <c r="CE332" i="10"/>
  <c r="CE284" i="10"/>
  <c r="CC298" i="10"/>
  <c r="CG298" i="10" s="1"/>
  <c r="CE309" i="10"/>
  <c r="CC310" i="10"/>
  <c r="CG310" i="10" s="1"/>
  <c r="CE311" i="10"/>
  <c r="CE314" i="10"/>
  <c r="CE318" i="10"/>
  <c r="CC319" i="10"/>
  <c r="CE324" i="10"/>
  <c r="CI324" i="10" s="1"/>
  <c r="CC326" i="10"/>
  <c r="CG326" i="10"/>
  <c r="CC333" i="10"/>
  <c r="CG333" i="10"/>
  <c r="CE267" i="10"/>
  <c r="CE310" i="10"/>
  <c r="CC313" i="10"/>
  <c r="CC323" i="10"/>
  <c r="CG323" i="10" s="1"/>
  <c r="CE326" i="10"/>
  <c r="CC330" i="10"/>
  <c r="CG330" i="10" s="1"/>
  <c r="CE333" i="10"/>
  <c r="CI333" i="10" s="1"/>
  <c r="CC335" i="10"/>
  <c r="CG335" i="10"/>
  <c r="CE340" i="10"/>
  <c r="CC343" i="10"/>
  <c r="CC346" i="10"/>
  <c r="CG346" i="10" s="1"/>
  <c r="CC285" i="10"/>
  <c r="CG285" i="10" s="1"/>
  <c r="CE290" i="10"/>
  <c r="CC292" i="10"/>
  <c r="CG292" i="10" s="1"/>
  <c r="CC301" i="10"/>
  <c r="CC302" i="10"/>
  <c r="CG302" i="10"/>
  <c r="CC307" i="10"/>
  <c r="CC317" i="10"/>
  <c r="CG317" i="10" s="1"/>
  <c r="CE319" i="10"/>
  <c r="CC321" i="10"/>
  <c r="CG321" i="10" s="1"/>
  <c r="CC327" i="10"/>
  <c r="CG327" i="10" s="1"/>
  <c r="CE335" i="10"/>
  <c r="CC336" i="10"/>
  <c r="CG336" i="10" s="1"/>
  <c r="CE343" i="10"/>
  <c r="CC345" i="10"/>
  <c r="CG345" i="10" s="1"/>
  <c r="CE346" i="10"/>
  <c r="CC351" i="10"/>
  <c r="CG351" i="10" s="1"/>
  <c r="CC352" i="10"/>
  <c r="CE274" i="10"/>
  <c r="CC288" i="10"/>
  <c r="CG288" i="10" s="1"/>
  <c r="CC293" i="10"/>
  <c r="CG293" i="10" s="1"/>
  <c r="CC295" i="10"/>
  <c r="CE300" i="10"/>
  <c r="CE301" i="10"/>
  <c r="CE302" i="10"/>
  <c r="CE307" i="10"/>
  <c r="CC308" i="10"/>
  <c r="CG308" i="10" s="1"/>
  <c r="CE313" i="10"/>
  <c r="CC315" i="10"/>
  <c r="CG315" i="10" s="1"/>
  <c r="CE317" i="10"/>
  <c r="CE323" i="10"/>
  <c r="CE327" i="10"/>
  <c r="CC328" i="10"/>
  <c r="CG328" i="10" s="1"/>
  <c r="CC329" i="10"/>
  <c r="CG329" i="10"/>
  <c r="CE330" i="10"/>
  <c r="CC334" i="10"/>
  <c r="CG334" i="10" s="1"/>
  <c r="CE336" i="10"/>
  <c r="CC337" i="10"/>
  <c r="CE221" i="10"/>
  <c r="CE224" i="10"/>
  <c r="CE282" i="10"/>
  <c r="CC286" i="10"/>
  <c r="CG286" i="10" s="1"/>
  <c r="CE293" i="10"/>
  <c r="CC294" i="10"/>
  <c r="CG294" i="10" s="1"/>
  <c r="CE295" i="10"/>
  <c r="CE308" i="10"/>
  <c r="CC312" i="10"/>
  <c r="CG312" i="10" s="1"/>
  <c r="CE232" i="10"/>
  <c r="CC296" i="10"/>
  <c r="CG296" i="10" s="1"/>
  <c r="CE297" i="10"/>
  <c r="CC303" i="10"/>
  <c r="CG303" i="10" s="1"/>
  <c r="CE306" i="10"/>
  <c r="CE312" i="10"/>
  <c r="CE315" i="10"/>
  <c r="CC316" i="10"/>
  <c r="CE325" i="10"/>
  <c r="CE331" i="10"/>
  <c r="CC332" i="10"/>
  <c r="CG332" i="10"/>
  <c r="CE338" i="10"/>
  <c r="CC344" i="10"/>
  <c r="CG344" i="10"/>
  <c r="CC348" i="10"/>
  <c r="CG348" i="10" s="1"/>
  <c r="CE231" i="10"/>
  <c r="CC349" i="10"/>
  <c r="CE352" i="10"/>
  <c r="CE361" i="10"/>
  <c r="CC362" i="10"/>
  <c r="CG362" i="10" s="1"/>
  <c r="CE366" i="10"/>
  <c r="CC367" i="10"/>
  <c r="CE370" i="10"/>
  <c r="CC371" i="10"/>
  <c r="CG371" i="10" s="1"/>
  <c r="CC373" i="10"/>
  <c r="CC374" i="10"/>
  <c r="CG374" i="10" s="1"/>
  <c r="CE376" i="10"/>
  <c r="CC390" i="10"/>
  <c r="CG390" i="10" s="1"/>
  <c r="CC393" i="10"/>
  <c r="CG393" i="10" s="1"/>
  <c r="CC395" i="10"/>
  <c r="CG395" i="10" s="1"/>
  <c r="CC403" i="10"/>
  <c r="CE291" i="10"/>
  <c r="CC322" i="10"/>
  <c r="CG322" i="10" s="1"/>
  <c r="CE329" i="10"/>
  <c r="CC331" i="10"/>
  <c r="CC339" i="10"/>
  <c r="CG339" i="10" s="1"/>
  <c r="CE344" i="10"/>
  <c r="CE345" i="10"/>
  <c r="CE349" i="10"/>
  <c r="CC358" i="10"/>
  <c r="CG358" i="10" s="1"/>
  <c r="CE362" i="10"/>
  <c r="CE367" i="10"/>
  <c r="CC368" i="10"/>
  <c r="CG368" i="10" s="1"/>
  <c r="CE371" i="10"/>
  <c r="CI371" i="10" s="1"/>
  <c r="CE373" i="10"/>
  <c r="CE374" i="10"/>
  <c r="CC377" i="10"/>
  <c r="CG377" i="10" s="1"/>
  <c r="CC384" i="10"/>
  <c r="CG384" i="10" s="1"/>
  <c r="CC388" i="10"/>
  <c r="CG388" i="10"/>
  <c r="CC389" i="10"/>
  <c r="CG389" i="10" s="1"/>
  <c r="CE390" i="10"/>
  <c r="CC391" i="10"/>
  <c r="CE393" i="10"/>
  <c r="CE395" i="10"/>
  <c r="CC398" i="10"/>
  <c r="CG398" i="10" s="1"/>
  <c r="CE303" i="10"/>
  <c r="CE339" i="10"/>
  <c r="CE351" i="10"/>
  <c r="CE358" i="10"/>
  <c r="CC363" i="10"/>
  <c r="CG363" i="10"/>
  <c r="CE377" i="10"/>
  <c r="CC380" i="10"/>
  <c r="CG380" i="10" s="1"/>
  <c r="CC381" i="10"/>
  <c r="CG381" i="10" s="1"/>
  <c r="CC382" i="10"/>
  <c r="CG382" i="10" s="1"/>
  <c r="CC383" i="10"/>
  <c r="CG383" i="10" s="1"/>
  <c r="CE384" i="10"/>
  <c r="CC304" i="10"/>
  <c r="CG304" i="10"/>
  <c r="CE334" i="10"/>
  <c r="CI334" i="10" s="1"/>
  <c r="CE337" i="10"/>
  <c r="CC338" i="10"/>
  <c r="CG338" i="10" s="1"/>
  <c r="CC359" i="10"/>
  <c r="CG359" i="10" s="1"/>
  <c r="CE363" i="10"/>
  <c r="CE368" i="10"/>
  <c r="CC379" i="10"/>
  <c r="CE380" i="10"/>
  <c r="CE381" i="10"/>
  <c r="CE382" i="10"/>
  <c r="CE383" i="10"/>
  <c r="CC385" i="10"/>
  <c r="CE392" i="10"/>
  <c r="CE394" i="10"/>
  <c r="CE399" i="10"/>
  <c r="CE400" i="10"/>
  <c r="CC406" i="10"/>
  <c r="CG406" i="10" s="1"/>
  <c r="CE409" i="10"/>
  <c r="CC410" i="10"/>
  <c r="CG410" i="10" s="1"/>
  <c r="CC412" i="10"/>
  <c r="CG412" i="10"/>
  <c r="CE299" i="10"/>
  <c r="CC325" i="10"/>
  <c r="CC353" i="10"/>
  <c r="CG353" i="10" s="1"/>
  <c r="CE359" i="10"/>
  <c r="CC364" i="10"/>
  <c r="CG364" i="10" s="1"/>
  <c r="CC365" i="10"/>
  <c r="CG365" i="10" s="1"/>
  <c r="CC372" i="10"/>
  <c r="CG372" i="10" s="1"/>
  <c r="CE316" i="10"/>
  <c r="CC320" i="10"/>
  <c r="CG320" i="10" s="1"/>
  <c r="CE328" i="10"/>
  <c r="CC341" i="10"/>
  <c r="CG341" i="10"/>
  <c r="CC347" i="10"/>
  <c r="CG347" i="10" s="1"/>
  <c r="CE348" i="10"/>
  <c r="CE353" i="10"/>
  <c r="CC357" i="10"/>
  <c r="CG357" i="10" s="1"/>
  <c r="CE364" i="10"/>
  <c r="CE365" i="10"/>
  <c r="CE372" i="10"/>
  <c r="CC375" i="10"/>
  <c r="CG375" i="10" s="1"/>
  <c r="CC378" i="10"/>
  <c r="CG378" i="10"/>
  <c r="CE386" i="10"/>
  <c r="CC401" i="10"/>
  <c r="CG401" i="10" s="1"/>
  <c r="CE404" i="10"/>
  <c r="CC405" i="10"/>
  <c r="CG405" i="10" s="1"/>
  <c r="CC407" i="10"/>
  <c r="CG407" i="10" s="1"/>
  <c r="CC414" i="10"/>
  <c r="CG414" i="10" s="1"/>
  <c r="CC340" i="10"/>
  <c r="CG340" i="10" s="1"/>
  <c r="CE341" i="10"/>
  <c r="CC342" i="10"/>
  <c r="CG342" i="10" s="1"/>
  <c r="CE347" i="10"/>
  <c r="CC350" i="10"/>
  <c r="CG350" i="10" s="1"/>
  <c r="CC354" i="10"/>
  <c r="CG354" i="10" s="1"/>
  <c r="CC355" i="10"/>
  <c r="CC356" i="10"/>
  <c r="CG356" i="10"/>
  <c r="CE357" i="10"/>
  <c r="CC360" i="10"/>
  <c r="CG360" i="10" s="1"/>
  <c r="CC366" i="10"/>
  <c r="CG366" i="10" s="1"/>
  <c r="CC369" i="10"/>
  <c r="CG369" i="10" s="1"/>
  <c r="CE375" i="10"/>
  <c r="CE378" i="10"/>
  <c r="CC387" i="10"/>
  <c r="CG387" i="10" s="1"/>
  <c r="CC396" i="10"/>
  <c r="CG396" i="10" s="1"/>
  <c r="CC397" i="10"/>
  <c r="CE401" i="10"/>
  <c r="CC402" i="10"/>
  <c r="CG402" i="10" s="1"/>
  <c r="CE405" i="10"/>
  <c r="CE407" i="10"/>
  <c r="CC408" i="10"/>
  <c r="CG408" i="10" s="1"/>
  <c r="CE388" i="10"/>
  <c r="CE403" i="10"/>
  <c r="CE413" i="10"/>
  <c r="CC431" i="10"/>
  <c r="CG431" i="10" s="1"/>
  <c r="CC433" i="10"/>
  <c r="CE435" i="10"/>
  <c r="CE443" i="10"/>
  <c r="CC444" i="10"/>
  <c r="CG444" i="10" s="1"/>
  <c r="CC447" i="10"/>
  <c r="CG447" i="10"/>
  <c r="CE356" i="10"/>
  <c r="CE402" i="10"/>
  <c r="CC419" i="10"/>
  <c r="CG419" i="10" s="1"/>
  <c r="CC423" i="10"/>
  <c r="CG423" i="10"/>
  <c r="CC428" i="10"/>
  <c r="CG428" i="10" s="1"/>
  <c r="CC430" i="10"/>
  <c r="CG430" i="10" s="1"/>
  <c r="CE431" i="10"/>
  <c r="CE433" i="10"/>
  <c r="CC434" i="10"/>
  <c r="CG434" i="10" s="1"/>
  <c r="CE447" i="10"/>
  <c r="CE321" i="10"/>
  <c r="CE360" i="10"/>
  <c r="CC386" i="10"/>
  <c r="CG386" i="10" s="1"/>
  <c r="CE391" i="10"/>
  <c r="CE396" i="10"/>
  <c r="CE419" i="10"/>
  <c r="CC421" i="10"/>
  <c r="CE423" i="10"/>
  <c r="CC424" i="10"/>
  <c r="CG424" i="10" s="1"/>
  <c r="CC425" i="10"/>
  <c r="CG425" i="10" s="1"/>
  <c r="CE428" i="10"/>
  <c r="CC429" i="10"/>
  <c r="CG429" i="10" s="1"/>
  <c r="CE430" i="10"/>
  <c r="CC432" i="10"/>
  <c r="CG432" i="10" s="1"/>
  <c r="CE434" i="10"/>
  <c r="CI434" i="10" s="1"/>
  <c r="CE444" i="10"/>
  <c r="CC448" i="10"/>
  <c r="CG448" i="10" s="1"/>
  <c r="CE453" i="10"/>
  <c r="CC456" i="10"/>
  <c r="CG456" i="10"/>
  <c r="CC457" i="10"/>
  <c r="CE460" i="10"/>
  <c r="CE461" i="10"/>
  <c r="CE354" i="10"/>
  <c r="CC394" i="10"/>
  <c r="CG394" i="10"/>
  <c r="CC411" i="10"/>
  <c r="CG411" i="10" s="1"/>
  <c r="CC415" i="10"/>
  <c r="CC420" i="10"/>
  <c r="CG420" i="10" s="1"/>
  <c r="CE421" i="10"/>
  <c r="CC422" i="10"/>
  <c r="CG422" i="10" s="1"/>
  <c r="CE424" i="10"/>
  <c r="CE425" i="10"/>
  <c r="CC426" i="10"/>
  <c r="CG426" i="10" s="1"/>
  <c r="CE429" i="10"/>
  <c r="CI429" i="10" s="1"/>
  <c r="CE432" i="10"/>
  <c r="CC437" i="10"/>
  <c r="CG437" i="10" s="1"/>
  <c r="CC445" i="10"/>
  <c r="CE448" i="10"/>
  <c r="CC454" i="10"/>
  <c r="CG454" i="10" s="1"/>
  <c r="CE456" i="10"/>
  <c r="CE457" i="10"/>
  <c r="CE350" i="10"/>
  <c r="CE355" i="10"/>
  <c r="CC370" i="10"/>
  <c r="CG370" i="10"/>
  <c r="CE385" i="10"/>
  <c r="CE387" i="10"/>
  <c r="CE398" i="10"/>
  <c r="CC404" i="10"/>
  <c r="CG404" i="10" s="1"/>
  <c r="CC409" i="10"/>
  <c r="CC416" i="10"/>
  <c r="CG416" i="10" s="1"/>
  <c r="CE417" i="10"/>
  <c r="CC427" i="10"/>
  <c r="CE436" i="10"/>
  <c r="CE439" i="10"/>
  <c r="CC450" i="10"/>
  <c r="CG450" i="10" s="1"/>
  <c r="CE455" i="10"/>
  <c r="CE458" i="10"/>
  <c r="CE342" i="10"/>
  <c r="CE379" i="10"/>
  <c r="CC400" i="10"/>
  <c r="CG400" i="10"/>
  <c r="CE406" i="10"/>
  <c r="CE408" i="10"/>
  <c r="CE412" i="10"/>
  <c r="CC413" i="10"/>
  <c r="CG413" i="10" s="1"/>
  <c r="CE416" i="10"/>
  <c r="CE427" i="10"/>
  <c r="CC435" i="10"/>
  <c r="CG435" i="10"/>
  <c r="CC443" i="10"/>
  <c r="CG443" i="10" s="1"/>
  <c r="CE446" i="10"/>
  <c r="CC399" i="10"/>
  <c r="CG399" i="10"/>
  <c r="CE422" i="10"/>
  <c r="CC439" i="10"/>
  <c r="CE445" i="10"/>
  <c r="CC455" i="10"/>
  <c r="CC459" i="10"/>
  <c r="CG459" i="10"/>
  <c r="CC461" i="10"/>
  <c r="CC462" i="10"/>
  <c r="CG462" i="10" s="1"/>
  <c r="CC463" i="10"/>
  <c r="CG463" i="10" s="1"/>
  <c r="CE465" i="10"/>
  <c r="CE472" i="10"/>
  <c r="CC475" i="10"/>
  <c r="CE476" i="10"/>
  <c r="CE478" i="10"/>
  <c r="CE411" i="10"/>
  <c r="CC440" i="10"/>
  <c r="CG440" i="10" s="1"/>
  <c r="CC441" i="10"/>
  <c r="CG441" i="10" s="1"/>
  <c r="CE454" i="10"/>
  <c r="CE459" i="10"/>
  <c r="CE462" i="10"/>
  <c r="CE463" i="10"/>
  <c r="CC467" i="10"/>
  <c r="CC468" i="10"/>
  <c r="CG468" i="10" s="1"/>
  <c r="CC477" i="10"/>
  <c r="CG477" i="10" s="1"/>
  <c r="CC376" i="10"/>
  <c r="CG376" i="10"/>
  <c r="CE397" i="10"/>
  <c r="CE414" i="10"/>
  <c r="CE440" i="10"/>
  <c r="CE441" i="10"/>
  <c r="CC452" i="10"/>
  <c r="CG452" i="10" s="1"/>
  <c r="CC453" i="10"/>
  <c r="CG453" i="10" s="1"/>
  <c r="CE468" i="10"/>
  <c r="CC471" i="10"/>
  <c r="CG471" i="10" s="1"/>
  <c r="CC473" i="10"/>
  <c r="CG473" i="10" s="1"/>
  <c r="CE475" i="10"/>
  <c r="CC417" i="10"/>
  <c r="CG417" i="10" s="1"/>
  <c r="CC438" i="10"/>
  <c r="CG438" i="10" s="1"/>
  <c r="CC442" i="10"/>
  <c r="CG442" i="10" s="1"/>
  <c r="CC451" i="10"/>
  <c r="CE452" i="10"/>
  <c r="CI452" i="10" s="1"/>
  <c r="CC460" i="10"/>
  <c r="CG460" i="10" s="1"/>
  <c r="CE467" i="10"/>
  <c r="CC469" i="10"/>
  <c r="CE473" i="10"/>
  <c r="CC480" i="10"/>
  <c r="CG480" i="10"/>
  <c r="CC483" i="10"/>
  <c r="CG483" i="10" s="1"/>
  <c r="CE485" i="10"/>
  <c r="CC361" i="10"/>
  <c r="CC392" i="10"/>
  <c r="CG392" i="10" s="1"/>
  <c r="CE420" i="10"/>
  <c r="CE426" i="10"/>
  <c r="CE438" i="10"/>
  <c r="CE442" i="10"/>
  <c r="CC446" i="10"/>
  <c r="CG446" i="10" s="1"/>
  <c r="CE451" i="10"/>
  <c r="CC466" i="10"/>
  <c r="CG466" i="10" s="1"/>
  <c r="CE469" i="10"/>
  <c r="CE471" i="10"/>
  <c r="CC479" i="10"/>
  <c r="CE480" i="10"/>
  <c r="CI480" i="10" s="1"/>
  <c r="CE450" i="10"/>
  <c r="CC464" i="10"/>
  <c r="CG464" i="10" s="1"/>
  <c r="CE410" i="10"/>
  <c r="CC418" i="10"/>
  <c r="CG418" i="10" s="1"/>
  <c r="CE437" i="10"/>
  <c r="CC449" i="10"/>
  <c r="CG449" i="10"/>
  <c r="CE464" i="10"/>
  <c r="CE470" i="10"/>
  <c r="CC474" i="10"/>
  <c r="CG474" i="10" s="1"/>
  <c r="CE479" i="10"/>
  <c r="CE481" i="10"/>
  <c r="CC482" i="10"/>
  <c r="CG482" i="10" s="1"/>
  <c r="CE484" i="10"/>
  <c r="CI484" i="10" s="1"/>
  <c r="CC486" i="10"/>
  <c r="CG486" i="10" s="1"/>
  <c r="CE488" i="10"/>
  <c r="CC489" i="10"/>
  <c r="CG489" i="10"/>
  <c r="CC491" i="10"/>
  <c r="CG491" i="10"/>
  <c r="CC494" i="10"/>
  <c r="CG494" i="10" s="1"/>
  <c r="CE496" i="10"/>
  <c r="CC497" i="10"/>
  <c r="CE466" i="10"/>
  <c r="CE474" i="10"/>
  <c r="CC485" i="10"/>
  <c r="CG485" i="10" s="1"/>
  <c r="CE498" i="10"/>
  <c r="CC499" i="10"/>
  <c r="CE505" i="10"/>
  <c r="CC508" i="10"/>
  <c r="CG508" i="10" s="1"/>
  <c r="CE509" i="10"/>
  <c r="CC478" i="10"/>
  <c r="CG478" i="10" s="1"/>
  <c r="CC493" i="10"/>
  <c r="CE508" i="10"/>
  <c r="CC511" i="10"/>
  <c r="CC521" i="10"/>
  <c r="CG521" i="10"/>
  <c r="CC523" i="10"/>
  <c r="CC529" i="10"/>
  <c r="CC533" i="10"/>
  <c r="CG533" i="10" s="1"/>
  <c r="CE538" i="10"/>
  <c r="CC436" i="10"/>
  <c r="CG436" i="10" s="1"/>
  <c r="CC481" i="10"/>
  <c r="CE493" i="10"/>
  <c r="CE494" i="10"/>
  <c r="CE499" i="10"/>
  <c r="CC500" i="10"/>
  <c r="CG500" i="10" s="1"/>
  <c r="CC503" i="10"/>
  <c r="CG503" i="10" s="1"/>
  <c r="CC506" i="10"/>
  <c r="CG506" i="10" s="1"/>
  <c r="CE511" i="10"/>
  <c r="CC512" i="10"/>
  <c r="CG512" i="10" s="1"/>
  <c r="CC513" i="10"/>
  <c r="CG513" i="10" s="1"/>
  <c r="CC515" i="10"/>
  <c r="CG515" i="10" s="1"/>
  <c r="CE521" i="10"/>
  <c r="CC528" i="10"/>
  <c r="CG528" i="10" s="1"/>
  <c r="CE369" i="10"/>
  <c r="CE415" i="10"/>
  <c r="CE449" i="10"/>
  <c r="CC470" i="10"/>
  <c r="CG470" i="10"/>
  <c r="CE477" i="10"/>
  <c r="CE489" i="10"/>
  <c r="CC490" i="10"/>
  <c r="CG490" i="10" s="1"/>
  <c r="CC492" i="10"/>
  <c r="CG492" i="10" s="1"/>
  <c r="CE500" i="10"/>
  <c r="CC501" i="10"/>
  <c r="CG501" i="10" s="1"/>
  <c r="CE503" i="10"/>
  <c r="CE506" i="10"/>
  <c r="CE512" i="10"/>
  <c r="CE513" i="10"/>
  <c r="CI513" i="10" s="1"/>
  <c r="CC517" i="10"/>
  <c r="CE523" i="10"/>
  <c r="CE528" i="10"/>
  <c r="CC530" i="10"/>
  <c r="CG530" i="10"/>
  <c r="CC532" i="10"/>
  <c r="CG532" i="10"/>
  <c r="CC465" i="10"/>
  <c r="CG465" i="10" s="1"/>
  <c r="CC484" i="10"/>
  <c r="CG484" i="10"/>
  <c r="CC488" i="10"/>
  <c r="CG488" i="10" s="1"/>
  <c r="CE490" i="10"/>
  <c r="CE492" i="10"/>
  <c r="CC495" i="10"/>
  <c r="CG495" i="10" s="1"/>
  <c r="CE501" i="10"/>
  <c r="CC507" i="10"/>
  <c r="CG507" i="10" s="1"/>
  <c r="CC514" i="10"/>
  <c r="CG514" i="10"/>
  <c r="CE515" i="10"/>
  <c r="CE517" i="10"/>
  <c r="CC519" i="10"/>
  <c r="CG519" i="10"/>
  <c r="CC524" i="10"/>
  <c r="CG524" i="10" s="1"/>
  <c r="CE530" i="10"/>
  <c r="CE532" i="10"/>
  <c r="CC534" i="10"/>
  <c r="CG534" i="10" s="1"/>
  <c r="CC535" i="10"/>
  <c r="CE418" i="10"/>
  <c r="CE486" i="10"/>
  <c r="CE487" i="10"/>
  <c r="CC502" i="10"/>
  <c r="CG502" i="10" s="1"/>
  <c r="CE504" i="10"/>
  <c r="CE507" i="10"/>
  <c r="CC510" i="10"/>
  <c r="CG510" i="10"/>
  <c r="CE516" i="10"/>
  <c r="CI516" i="10" s="1"/>
  <c r="CC518" i="10"/>
  <c r="CG518" i="10"/>
  <c r="CC520" i="10"/>
  <c r="CG520" i="10" s="1"/>
  <c r="CC522" i="10"/>
  <c r="CG522" i="10"/>
  <c r="CE525" i="10"/>
  <c r="CE526" i="10"/>
  <c r="CE389" i="10"/>
  <c r="CC458" i="10"/>
  <c r="CG458" i="10" s="1"/>
  <c r="CC472" i="10"/>
  <c r="CG472" i="10"/>
  <c r="CC476" i="10"/>
  <c r="CG476" i="10" s="1"/>
  <c r="CE482" i="10"/>
  <c r="CE483" i="10"/>
  <c r="CC498" i="10"/>
  <c r="CG498" i="10" s="1"/>
  <c r="CE502" i="10"/>
  <c r="CC505" i="10"/>
  <c r="CC509" i="10"/>
  <c r="CG509" i="10" s="1"/>
  <c r="CE510" i="10"/>
  <c r="CE518" i="10"/>
  <c r="CE520" i="10"/>
  <c r="CC487" i="10"/>
  <c r="CC531" i="10"/>
  <c r="CG531" i="10" s="1"/>
  <c r="CE536" i="10"/>
  <c r="CE539" i="10"/>
  <c r="CE540" i="10"/>
  <c r="CC541" i="10"/>
  <c r="CE546" i="10"/>
  <c r="CE551" i="10"/>
  <c r="CE558" i="10"/>
  <c r="CI558" i="10" s="1"/>
  <c r="CE563" i="10"/>
  <c r="CC567" i="10"/>
  <c r="CG567" i="10" s="1"/>
  <c r="CE571" i="10"/>
  <c r="CE575" i="10"/>
  <c r="CC589" i="10"/>
  <c r="CE590" i="10"/>
  <c r="CE596" i="10"/>
  <c r="CC598" i="10"/>
  <c r="CG598" i="10"/>
  <c r="CC601" i="10"/>
  <c r="CE602" i="10"/>
  <c r="CE608" i="10"/>
  <c r="CC610" i="10"/>
  <c r="CC618" i="10"/>
  <c r="CG618" i="10"/>
  <c r="CE629" i="10"/>
  <c r="CC631" i="10"/>
  <c r="CE491" i="10"/>
  <c r="CI491" i="10" s="1"/>
  <c r="CC496" i="10"/>
  <c r="CG496" i="10" s="1"/>
  <c r="CE522" i="10"/>
  <c r="CI522" i="10" s="1"/>
  <c r="CC527" i="10"/>
  <c r="CG527" i="10" s="1"/>
  <c r="CE534" i="10"/>
  <c r="CI534" i="10" s="1"/>
  <c r="CE544" i="10"/>
  <c r="CC549" i="10"/>
  <c r="CG549" i="10"/>
  <c r="CE552" i="10"/>
  <c r="CE553" i="10"/>
  <c r="CE554" i="10"/>
  <c r="CC557" i="10"/>
  <c r="CG557" i="10"/>
  <c r="CC559" i="10"/>
  <c r="CC560" i="10"/>
  <c r="CG560" i="10" s="1"/>
  <c r="CE576" i="10"/>
  <c r="CI576" i="10" s="1"/>
  <c r="CE580" i="10"/>
  <c r="CE584" i="10"/>
  <c r="CE586" i="10"/>
  <c r="CE589" i="10"/>
  <c r="CC591" i="10"/>
  <c r="CG591" i="10"/>
  <c r="CC599" i="10"/>
  <c r="CG599" i="10"/>
  <c r="CE601" i="10"/>
  <c r="CE603" i="10"/>
  <c r="CE606" i="10"/>
  <c r="CI606" i="10" s="1"/>
  <c r="CC607" i="10"/>
  <c r="CC613" i="10"/>
  <c r="CE614" i="10"/>
  <c r="CI614" i="10" s="1"/>
  <c r="CC616" i="10"/>
  <c r="CG616" i="10" s="1"/>
  <c r="CC619" i="10"/>
  <c r="CC621" i="10"/>
  <c r="CG621" i="10" s="1"/>
  <c r="CC622" i="10"/>
  <c r="CG622" i="10" s="1"/>
  <c r="CC623" i="10"/>
  <c r="CG623" i="10"/>
  <c r="CC625" i="10"/>
  <c r="CE514" i="10"/>
  <c r="CE527" i="10"/>
  <c r="CI527" i="10" s="1"/>
  <c r="CE529" i="10"/>
  <c r="CE533" i="10"/>
  <c r="CI533" i="10" s="1"/>
  <c r="CC542" i="10"/>
  <c r="CG542" i="10" s="1"/>
  <c r="CC545" i="10"/>
  <c r="CG545" i="10" s="1"/>
  <c r="CE547" i="10"/>
  <c r="CE549" i="10"/>
  <c r="CC555" i="10"/>
  <c r="CG555" i="10"/>
  <c r="CC556" i="10"/>
  <c r="CG556" i="10" s="1"/>
  <c r="CE560" i="10"/>
  <c r="CC564" i="10"/>
  <c r="CG564" i="10" s="1"/>
  <c r="CC572" i="10"/>
  <c r="CC587" i="10"/>
  <c r="CG587" i="10" s="1"/>
  <c r="CE591" i="10"/>
  <c r="CC594" i="10"/>
  <c r="CG594" i="10" s="1"/>
  <c r="CC597" i="10"/>
  <c r="CG597" i="10" s="1"/>
  <c r="CE599" i="10"/>
  <c r="CI599" i="10" s="1"/>
  <c r="CC604" i="10"/>
  <c r="CE605" i="10"/>
  <c r="CI605" i="10" s="1"/>
  <c r="CE607" i="10"/>
  <c r="CC504" i="10"/>
  <c r="CG504" i="10" s="1"/>
  <c r="CE524" i="10"/>
  <c r="CC537" i="10"/>
  <c r="CG537" i="10"/>
  <c r="CC538" i="10"/>
  <c r="CG538" i="10"/>
  <c r="CE542" i="10"/>
  <c r="CI542" i="10" s="1"/>
  <c r="CE545" i="10"/>
  <c r="CC548" i="10"/>
  <c r="CG548" i="10"/>
  <c r="CC550" i="10"/>
  <c r="CG550" i="10" s="1"/>
  <c r="CE555" i="10"/>
  <c r="CE556" i="10"/>
  <c r="CE557" i="10"/>
  <c r="CI557" i="10" s="1"/>
  <c r="CE559" i="10"/>
  <c r="CE564" i="10"/>
  <c r="CC566" i="10"/>
  <c r="CC568" i="10"/>
  <c r="CG568" i="10"/>
  <c r="CE572" i="10"/>
  <c r="CC578" i="10"/>
  <c r="CG578" i="10" s="1"/>
  <c r="CC582" i="10"/>
  <c r="CG582" i="10" s="1"/>
  <c r="CC585" i="10"/>
  <c r="CG585" i="10" s="1"/>
  <c r="CE587" i="10"/>
  <c r="CC593" i="10"/>
  <c r="CG593" i="10"/>
  <c r="CE594" i="10"/>
  <c r="CE604" i="10"/>
  <c r="CE497" i="10"/>
  <c r="CE537" i="10"/>
  <c r="CC543" i="10"/>
  <c r="CG543" i="10" s="1"/>
  <c r="CE548" i="10"/>
  <c r="CE550" i="10"/>
  <c r="CC562" i="10"/>
  <c r="CG562" i="10" s="1"/>
  <c r="CC565" i="10"/>
  <c r="CE566" i="10"/>
  <c r="CE568" i="10"/>
  <c r="CC574" i="10"/>
  <c r="CG574" i="10"/>
  <c r="CE578" i="10"/>
  <c r="CC579" i="10"/>
  <c r="CG579" i="10"/>
  <c r="CC581" i="10"/>
  <c r="CG581" i="10" s="1"/>
  <c r="CE582" i="10"/>
  <c r="CC583" i="10"/>
  <c r="CC595" i="10"/>
  <c r="CE597" i="10"/>
  <c r="CC609" i="10"/>
  <c r="CG609" i="10" s="1"/>
  <c r="CC612" i="10"/>
  <c r="CG612" i="10" s="1"/>
  <c r="CE615" i="10"/>
  <c r="CC617" i="10"/>
  <c r="CG617" i="10" s="1"/>
  <c r="CC620" i="10"/>
  <c r="CG620" i="10" s="1"/>
  <c r="CE624" i="10"/>
  <c r="CC626" i="10"/>
  <c r="CG626" i="10" s="1"/>
  <c r="CE636" i="10"/>
  <c r="CI636" i="10" s="1"/>
  <c r="CC526" i="10"/>
  <c r="CG526" i="10" s="1"/>
  <c r="CE562" i="10"/>
  <c r="CC570" i="10"/>
  <c r="CG570" i="10" s="1"/>
  <c r="CE574" i="10"/>
  <c r="CE579" i="10"/>
  <c r="CI579" i="10" s="1"/>
  <c r="CE583" i="10"/>
  <c r="CE585" i="10"/>
  <c r="CI585" i="10" s="1"/>
  <c r="CC588" i="10"/>
  <c r="CG588" i="10" s="1"/>
  <c r="CC592" i="10"/>
  <c r="CE593" i="10"/>
  <c r="CE595" i="10"/>
  <c r="CC600" i="10"/>
  <c r="CG600" i="10"/>
  <c r="CE612" i="10"/>
  <c r="CE620" i="10"/>
  <c r="CE626" i="10"/>
  <c r="CC630" i="10"/>
  <c r="CG630" i="10" s="1"/>
  <c r="CE543" i="10"/>
  <c r="CC551" i="10"/>
  <c r="CG551" i="10" s="1"/>
  <c r="CC554" i="10"/>
  <c r="CG554" i="10" s="1"/>
  <c r="CE565" i="10"/>
  <c r="CE567" i="10"/>
  <c r="CC590" i="10"/>
  <c r="CG590" i="10" s="1"/>
  <c r="CE592" i="10"/>
  <c r="CC611" i="10"/>
  <c r="CG611" i="10"/>
  <c r="CE623" i="10"/>
  <c r="CI623" i="10" s="1"/>
  <c r="CE627" i="10"/>
  <c r="CC633" i="10"/>
  <c r="CG633" i="10" s="1"/>
  <c r="CE640" i="10"/>
  <c r="CC642" i="10"/>
  <c r="CG642" i="10"/>
  <c r="CE645" i="10"/>
  <c r="CC649" i="10"/>
  <c r="CE659" i="10"/>
  <c r="CE666" i="10"/>
  <c r="CE676" i="10"/>
  <c r="CI676" i="10" s="1"/>
  <c r="CE677" i="10"/>
  <c r="CC678" i="10"/>
  <c r="CG678" i="10" s="1"/>
  <c r="CE681" i="10"/>
  <c r="CE684" i="10"/>
  <c r="CC685" i="10"/>
  <c r="CG685" i="10" s="1"/>
  <c r="CC690" i="10"/>
  <c r="CG690" i="10" s="1"/>
  <c r="CC695" i="10"/>
  <c r="CG695" i="10"/>
  <c r="CE707" i="10"/>
  <c r="CC708" i="10"/>
  <c r="CG708" i="10" s="1"/>
  <c r="CE711" i="10"/>
  <c r="CC720" i="10"/>
  <c r="CG720" i="10" s="1"/>
  <c r="CC729" i="10"/>
  <c r="CG729" i="10" s="1"/>
  <c r="CE535" i="10"/>
  <c r="CE570" i="10"/>
  <c r="CC577" i="10"/>
  <c r="CC580" i="10"/>
  <c r="CG580" i="10"/>
  <c r="CC586" i="10"/>
  <c r="CC596" i="10"/>
  <c r="CG596" i="10" s="1"/>
  <c r="CE611" i="10"/>
  <c r="CE618" i="10"/>
  <c r="CE621" i="10"/>
  <c r="CE630" i="10"/>
  <c r="CE642" i="10"/>
  <c r="CI642" i="10" s="1"/>
  <c r="CC646" i="10"/>
  <c r="CG646" i="10" s="1"/>
  <c r="CC661" i="10"/>
  <c r="CC662" i="10"/>
  <c r="CG662" i="10"/>
  <c r="CE668" i="10"/>
  <c r="CC672" i="10"/>
  <c r="CG672" i="10" s="1"/>
  <c r="CC675" i="10"/>
  <c r="CG675" i="10"/>
  <c r="CE685" i="10"/>
  <c r="CC691" i="10"/>
  <c r="CG691" i="10" s="1"/>
  <c r="CE695" i="10"/>
  <c r="CC698" i="10"/>
  <c r="CG698" i="10"/>
  <c r="CC700" i="10"/>
  <c r="CG700" i="10" s="1"/>
  <c r="CC716" i="10"/>
  <c r="CG716" i="10"/>
  <c r="CE720" i="10"/>
  <c r="CE726" i="10"/>
  <c r="CE729" i="10"/>
  <c r="CC544" i="10"/>
  <c r="CG544" i="10" s="1"/>
  <c r="CC546" i="10"/>
  <c r="CG546" i="10" s="1"/>
  <c r="CC569" i="10"/>
  <c r="CG569" i="10"/>
  <c r="CE577" i="10"/>
  <c r="CC603" i="10"/>
  <c r="CG603" i="10" s="1"/>
  <c r="CC615" i="10"/>
  <c r="CG615" i="10" s="1"/>
  <c r="CE633" i="10"/>
  <c r="CC634" i="10"/>
  <c r="CG634" i="10"/>
  <c r="CE646" i="10"/>
  <c r="CE649" i="10"/>
  <c r="CC654" i="10"/>
  <c r="CG654" i="10"/>
  <c r="CC657" i="10"/>
  <c r="CG657" i="10" s="1"/>
  <c r="CE661" i="10"/>
  <c r="CE662" i="10"/>
  <c r="CC663" i="10"/>
  <c r="CG663" i="10"/>
  <c r="CC667" i="10"/>
  <c r="CE672" i="10"/>
  <c r="CE675" i="10"/>
  <c r="CE678" i="10"/>
  <c r="CC682" i="10"/>
  <c r="CG682" i="10"/>
  <c r="CE690" i="10"/>
  <c r="CE691" i="10"/>
  <c r="CC692" i="10"/>
  <c r="CG692" i="10" s="1"/>
  <c r="CE708" i="10"/>
  <c r="CI708" i="10" s="1"/>
  <c r="CE541" i="10"/>
  <c r="CC552" i="10"/>
  <c r="CG552" i="10" s="1"/>
  <c r="CE569" i="10"/>
  <c r="CI569" i="10" s="1"/>
  <c r="CC584" i="10"/>
  <c r="CG584" i="10" s="1"/>
  <c r="CC628" i="10"/>
  <c r="CG628" i="10" s="1"/>
  <c r="CE634" i="10"/>
  <c r="CC637" i="10"/>
  <c r="CG637" i="10"/>
  <c r="CC643" i="10"/>
  <c r="CC650" i="10"/>
  <c r="CG650" i="10" s="1"/>
  <c r="CE654" i="10"/>
  <c r="CC655" i="10"/>
  <c r="CC660" i="10"/>
  <c r="CG660" i="10" s="1"/>
  <c r="CE663" i="10"/>
  <c r="CE667" i="10"/>
  <c r="CC669" i="10"/>
  <c r="CG669" i="10"/>
  <c r="CC673" i="10"/>
  <c r="CG673" i="10"/>
  <c r="CC686" i="10"/>
  <c r="CG686" i="10" s="1"/>
  <c r="CC688" i="10"/>
  <c r="CG688" i="10" s="1"/>
  <c r="CE698" i="10"/>
  <c r="CI698" i="10" s="1"/>
  <c r="CE700" i="10"/>
  <c r="CC701" i="10"/>
  <c r="CG701" i="10" s="1"/>
  <c r="CC703" i="10"/>
  <c r="CG703" i="10" s="1"/>
  <c r="CC712" i="10"/>
  <c r="CG712" i="10"/>
  <c r="CE716" i="10"/>
  <c r="CC717" i="10"/>
  <c r="CG717" i="10"/>
  <c r="CC718" i="10"/>
  <c r="CG718" i="10"/>
  <c r="CC721" i="10"/>
  <c r="CG721" i="10" s="1"/>
  <c r="CE495" i="10"/>
  <c r="CC525" i="10"/>
  <c r="CG525" i="10" s="1"/>
  <c r="CC561" i="10"/>
  <c r="CG561" i="10"/>
  <c r="CC571" i="10"/>
  <c r="CE581" i="10"/>
  <c r="CI581" i="10" s="1"/>
  <c r="CC605" i="10"/>
  <c r="CG605" i="10"/>
  <c r="CE613" i="10"/>
  <c r="CE622" i="10"/>
  <c r="CE628" i="10"/>
  <c r="CC635" i="10"/>
  <c r="CG635" i="10" s="1"/>
  <c r="CE637" i="10"/>
  <c r="CC638" i="10"/>
  <c r="CG638" i="10" s="1"/>
  <c r="CC639" i="10"/>
  <c r="CG639" i="10"/>
  <c r="CC641" i="10"/>
  <c r="CG641" i="10" s="1"/>
  <c r="CE650" i="10"/>
  <c r="CC651" i="10"/>
  <c r="CG651" i="10" s="1"/>
  <c r="CE655" i="10"/>
  <c r="CE657" i="10"/>
  <c r="CI657" i="10" s="1"/>
  <c r="CE660" i="10"/>
  <c r="CC665" i="10"/>
  <c r="CG665" i="10" s="1"/>
  <c r="CE669" i="10"/>
  <c r="CC670" i="10"/>
  <c r="CG670" i="10"/>
  <c r="CE673" i="10"/>
  <c r="CC679" i="10"/>
  <c r="CG679" i="10" s="1"/>
  <c r="CE682" i="10"/>
  <c r="CC683" i="10"/>
  <c r="CG683" i="10"/>
  <c r="CE686" i="10"/>
  <c r="CI686" i="10" s="1"/>
  <c r="CC687" i="10"/>
  <c r="CG687" i="10" s="1"/>
  <c r="CE688" i="10"/>
  <c r="CE692" i="10"/>
  <c r="CC693" i="10"/>
  <c r="CG693" i="10"/>
  <c r="CE701" i="10"/>
  <c r="CC702" i="10"/>
  <c r="CG702" i="10" s="1"/>
  <c r="CE703" i="10"/>
  <c r="CC709" i="10"/>
  <c r="CG709" i="10" s="1"/>
  <c r="CC710" i="10"/>
  <c r="CG710" i="10" s="1"/>
  <c r="CE712" i="10"/>
  <c r="CC713" i="10"/>
  <c r="CG713" i="10" s="1"/>
  <c r="CC714" i="10"/>
  <c r="CG714" i="10" s="1"/>
  <c r="CC715" i="10"/>
  <c r="CG715" i="10" s="1"/>
  <c r="CE717" i="10"/>
  <c r="CE718" i="10"/>
  <c r="CE721" i="10"/>
  <c r="CC722" i="10"/>
  <c r="CG722" i="10" s="1"/>
  <c r="CE519" i="10"/>
  <c r="CE531" i="10"/>
  <c r="CC539" i="10"/>
  <c r="CG539" i="10"/>
  <c r="CC547" i="10"/>
  <c r="CC553" i="10"/>
  <c r="CE561" i="10"/>
  <c r="CC573" i="10"/>
  <c r="CG573" i="10"/>
  <c r="CC576" i="10"/>
  <c r="CG576" i="10"/>
  <c r="CE600" i="10"/>
  <c r="CE609" i="10"/>
  <c r="CI609" i="10" s="1"/>
  <c r="CC624" i="10"/>
  <c r="CG624" i="10" s="1"/>
  <c r="CE638" i="10"/>
  <c r="CE639" i="10"/>
  <c r="CE643" i="10"/>
  <c r="CC644" i="10"/>
  <c r="CG644" i="10" s="1"/>
  <c r="CC647" i="10"/>
  <c r="CG647" i="10" s="1"/>
  <c r="CE651" i="10"/>
  <c r="CC652" i="10"/>
  <c r="CG652" i="10" s="1"/>
  <c r="CC656" i="10"/>
  <c r="CG656" i="10" s="1"/>
  <c r="CC658" i="10"/>
  <c r="CG658" i="10" s="1"/>
  <c r="CC664" i="10"/>
  <c r="CG664" i="10"/>
  <c r="CE665" i="10"/>
  <c r="CI665" i="10" s="1"/>
  <c r="CE670" i="10"/>
  <c r="CI670" i="10" s="1"/>
  <c r="CC674" i="10"/>
  <c r="CG674" i="10" s="1"/>
  <c r="CE679" i="10"/>
  <c r="CE683" i="10"/>
  <c r="CE687" i="10"/>
  <c r="CC689" i="10"/>
  <c r="CG689" i="10"/>
  <c r="CE693" i="10"/>
  <c r="CC694" i="10"/>
  <c r="CG694" i="10"/>
  <c r="CC699" i="10"/>
  <c r="CG699" i="10" s="1"/>
  <c r="CC516" i="10"/>
  <c r="CG516" i="10" s="1"/>
  <c r="CC563" i="10"/>
  <c r="CG563" i="10"/>
  <c r="CE616" i="10"/>
  <c r="CI616" i="10" s="1"/>
  <c r="CC632" i="10"/>
  <c r="CG632" i="10"/>
  <c r="CC636" i="10"/>
  <c r="CG636" i="10"/>
  <c r="CE644" i="10"/>
  <c r="CC680" i="10"/>
  <c r="CG680" i="10" s="1"/>
  <c r="CE689" i="10"/>
  <c r="CE719" i="10"/>
  <c r="CC725" i="10"/>
  <c r="CG725" i="10"/>
  <c r="CC731" i="10"/>
  <c r="CG731" i="10" s="1"/>
  <c r="CE734" i="10"/>
  <c r="CC739" i="10"/>
  <c r="CG739" i="10" s="1"/>
  <c r="CE742" i="10"/>
  <c r="CC751" i="10"/>
  <c r="CG751" i="10"/>
  <c r="CE758" i="10"/>
  <c r="CI758" i="10" s="1"/>
  <c r="CE764" i="10"/>
  <c r="CC768" i="10"/>
  <c r="CG768" i="10" s="1"/>
  <c r="CC769" i="10"/>
  <c r="CG769" i="10" s="1"/>
  <c r="CE774" i="10"/>
  <c r="CE781" i="10"/>
  <c r="CE785" i="10"/>
  <c r="CC789" i="10"/>
  <c r="CG789" i="10" s="1"/>
  <c r="CE797" i="10"/>
  <c r="CI797" i="10" s="1"/>
  <c r="CE802" i="10"/>
  <c r="CC804" i="10"/>
  <c r="CG804" i="10"/>
  <c r="CC805" i="10"/>
  <c r="CG805" i="10" s="1"/>
  <c r="CE809" i="10"/>
  <c r="CE830" i="10"/>
  <c r="CC834" i="10"/>
  <c r="CG834" i="10" s="1"/>
  <c r="CE838" i="10"/>
  <c r="CC841" i="10"/>
  <c r="CG841" i="10" s="1"/>
  <c r="CE845" i="10"/>
  <c r="CI845" i="10" s="1"/>
  <c r="CC847" i="10"/>
  <c r="CG847" i="10"/>
  <c r="CC850" i="10"/>
  <c r="CG850" i="10" s="1"/>
  <c r="CC854" i="10"/>
  <c r="CG854" i="10" s="1"/>
  <c r="CC859" i="10"/>
  <c r="CG859" i="10" s="1"/>
  <c r="CE632" i="10"/>
  <c r="CC659" i="10"/>
  <c r="CG659" i="10"/>
  <c r="CC671" i="10"/>
  <c r="CG671" i="10"/>
  <c r="CE680" i="10"/>
  <c r="CE702" i="10"/>
  <c r="CI702" i="10" s="1"/>
  <c r="CC704" i="10"/>
  <c r="CG704" i="10" s="1"/>
  <c r="CC705" i="10"/>
  <c r="CG705" i="10" s="1"/>
  <c r="CE709" i="10"/>
  <c r="CE715" i="10"/>
  <c r="CE725" i="10"/>
  <c r="CE731" i="10"/>
  <c r="CE739" i="10"/>
  <c r="CC743" i="10"/>
  <c r="CG743" i="10" s="1"/>
  <c r="CC747" i="10"/>
  <c r="CG747" i="10" s="1"/>
  <c r="CE751" i="10"/>
  <c r="CC759" i="10"/>
  <c r="CG759" i="10" s="1"/>
  <c r="CC765" i="10"/>
  <c r="CG765" i="10" s="1"/>
  <c r="CE768" i="10"/>
  <c r="CE769" i="10"/>
  <c r="CC770" i="10"/>
  <c r="CG770" i="10" s="1"/>
  <c r="CC776" i="10"/>
  <c r="CG776" i="10"/>
  <c r="CC777" i="10"/>
  <c r="CG777" i="10" s="1"/>
  <c r="CC784" i="10"/>
  <c r="CG784" i="10" s="1"/>
  <c r="CE789" i="10"/>
  <c r="CI789" i="10" s="1"/>
  <c r="CC798" i="10"/>
  <c r="CG798" i="10"/>
  <c r="CC803" i="10"/>
  <c r="CG803" i="10" s="1"/>
  <c r="CE804" i="10"/>
  <c r="CE805" i="10"/>
  <c r="CC831" i="10"/>
  <c r="CG831" i="10" s="1"/>
  <c r="CE834" i="10"/>
  <c r="CC540" i="10"/>
  <c r="CG540" i="10" s="1"/>
  <c r="CC575" i="10"/>
  <c r="CG575" i="10" s="1"/>
  <c r="CC536" i="10"/>
  <c r="CG536" i="10" s="1"/>
  <c r="CC602" i="10"/>
  <c r="CG602" i="10"/>
  <c r="CE610" i="10"/>
  <c r="CC629" i="10"/>
  <c r="CG629" i="10" s="1"/>
  <c r="CC666" i="10"/>
  <c r="CG666" i="10"/>
  <c r="CC696" i="10"/>
  <c r="CG696" i="10" s="1"/>
  <c r="CC706" i="10"/>
  <c r="CG706" i="10" s="1"/>
  <c r="CC723" i="10"/>
  <c r="CG723" i="10" s="1"/>
  <c r="CE730" i="10"/>
  <c r="CI730" i="10" s="1"/>
  <c r="CC732" i="10"/>
  <c r="CG732" i="10" s="1"/>
  <c r="CC740" i="10"/>
  <c r="CG740" i="10" s="1"/>
  <c r="CC744" i="10"/>
  <c r="CG744" i="10" s="1"/>
  <c r="CC745" i="10"/>
  <c r="CG745" i="10" s="1"/>
  <c r="CC748" i="10"/>
  <c r="CG748" i="10"/>
  <c r="CC749" i="10"/>
  <c r="CG749" i="10" s="1"/>
  <c r="CC753" i="10"/>
  <c r="CG753" i="10" s="1"/>
  <c r="CE760" i="10"/>
  <c r="CE763" i="10"/>
  <c r="CI763" i="10" s="1"/>
  <c r="CE766" i="10"/>
  <c r="CE771" i="10"/>
  <c r="CE775" i="10"/>
  <c r="CE778" i="10"/>
  <c r="CC780" i="10"/>
  <c r="CG780" i="10"/>
  <c r="CE782" i="10"/>
  <c r="CC790" i="10"/>
  <c r="CG790" i="10" s="1"/>
  <c r="CE795" i="10"/>
  <c r="CE796" i="10"/>
  <c r="CC800" i="10"/>
  <c r="CG800" i="10" s="1"/>
  <c r="CC806" i="10"/>
  <c r="CG806" i="10"/>
  <c r="CC811" i="10"/>
  <c r="CG811" i="10" s="1"/>
  <c r="CC812" i="10"/>
  <c r="CG812" i="10" s="1"/>
  <c r="CC813" i="10"/>
  <c r="CG813" i="10" s="1"/>
  <c r="CE815" i="10"/>
  <c r="CC821" i="10"/>
  <c r="CG821" i="10" s="1"/>
  <c r="CC824" i="10"/>
  <c r="CG824" i="10" s="1"/>
  <c r="CC825" i="10"/>
  <c r="CG825" i="10" s="1"/>
  <c r="CE826" i="10"/>
  <c r="CI826" i="10" s="1"/>
  <c r="CC828" i="10"/>
  <c r="CG828" i="10" s="1"/>
  <c r="CC829" i="10"/>
  <c r="CG829" i="10"/>
  <c r="CC832" i="10"/>
  <c r="CG832" i="10" s="1"/>
  <c r="CC833" i="10"/>
  <c r="CG833" i="10"/>
  <c r="CE617" i="10"/>
  <c r="CC640" i="10"/>
  <c r="CG640" i="10" s="1"/>
  <c r="CC645" i="10"/>
  <c r="CG645" i="10" s="1"/>
  <c r="CC648" i="10"/>
  <c r="CG648" i="10"/>
  <c r="CE652" i="10"/>
  <c r="CE658" i="10"/>
  <c r="CI658" i="10" s="1"/>
  <c r="CE674" i="10"/>
  <c r="CI674" i="10" s="1"/>
  <c r="CC677" i="10"/>
  <c r="CG677" i="10"/>
  <c r="CE696" i="10"/>
  <c r="CC697" i="10"/>
  <c r="CG697" i="10"/>
  <c r="CE653" i="10"/>
  <c r="CE694" i="10"/>
  <c r="CE706" i="10"/>
  <c r="CE713" i="10"/>
  <c r="CI713" i="10" s="1"/>
  <c r="CE714" i="10"/>
  <c r="CC728" i="10"/>
  <c r="CG728" i="10"/>
  <c r="CE733" i="10"/>
  <c r="CC737" i="10"/>
  <c r="CG737" i="10" s="1"/>
  <c r="CC756" i="10"/>
  <c r="CG756" i="10" s="1"/>
  <c r="CC761" i="10"/>
  <c r="CG761" i="10" s="1"/>
  <c r="CC774" i="10"/>
  <c r="CG774" i="10" s="1"/>
  <c r="CE780" i="10"/>
  <c r="CC781" i="10"/>
  <c r="CG781" i="10"/>
  <c r="CC782" i="10"/>
  <c r="CG782" i="10" s="1"/>
  <c r="CE783" i="10"/>
  <c r="CC785" i="10"/>
  <c r="CG785" i="10"/>
  <c r="CE786" i="10"/>
  <c r="CE787" i="10"/>
  <c r="CI787" i="10" s="1"/>
  <c r="CE791" i="10"/>
  <c r="CC793" i="10"/>
  <c r="CG793" i="10" s="1"/>
  <c r="CE798" i="10"/>
  <c r="CC801" i="10"/>
  <c r="CG801" i="10" s="1"/>
  <c r="CC802" i="10"/>
  <c r="CG802" i="10"/>
  <c r="CC807" i="10"/>
  <c r="CG807" i="10" s="1"/>
  <c r="CC810" i="10"/>
  <c r="CG810" i="10"/>
  <c r="CE811" i="10"/>
  <c r="CC818" i="10"/>
  <c r="CG818" i="10" s="1"/>
  <c r="CC819" i="10"/>
  <c r="CG819" i="10" s="1"/>
  <c r="CC822" i="10"/>
  <c r="CG822" i="10" s="1"/>
  <c r="CE823" i="10"/>
  <c r="CC827" i="10"/>
  <c r="CG827" i="10"/>
  <c r="CC835" i="10"/>
  <c r="CG835" i="10"/>
  <c r="CC840" i="10"/>
  <c r="CG840" i="10" s="1"/>
  <c r="CE841" i="10"/>
  <c r="CI841" i="10" s="1"/>
  <c r="CC844" i="10"/>
  <c r="CG844" i="10" s="1"/>
  <c r="CC845" i="10"/>
  <c r="CG845" i="10" s="1"/>
  <c r="CC848" i="10"/>
  <c r="CG848" i="10"/>
  <c r="CE851" i="10"/>
  <c r="CE855" i="10"/>
  <c r="CE857" i="10"/>
  <c r="CC858" i="10"/>
  <c r="CG858" i="10"/>
  <c r="CC860" i="10"/>
  <c r="CG860" i="10" s="1"/>
  <c r="CC861" i="10"/>
  <c r="CG861" i="10" s="1"/>
  <c r="CC869" i="10"/>
  <c r="CG869" i="10" s="1"/>
  <c r="CE871" i="10"/>
  <c r="CC872" i="10"/>
  <c r="CG872" i="10" s="1"/>
  <c r="CC614" i="10"/>
  <c r="CG614" i="10" s="1"/>
  <c r="CC676" i="10"/>
  <c r="CG676" i="10"/>
  <c r="CC711" i="10"/>
  <c r="CG711" i="10" s="1"/>
  <c r="CE728" i="10"/>
  <c r="CE737" i="10"/>
  <c r="CI737" i="10" s="1"/>
  <c r="CC741" i="10"/>
  <c r="CG741" i="10" s="1"/>
  <c r="CC742" i="10"/>
  <c r="CG742" i="10" s="1"/>
  <c r="CE747" i="10"/>
  <c r="CI747" i="10" s="1"/>
  <c r="CC755" i="10"/>
  <c r="CG755" i="10"/>
  <c r="CE756" i="10"/>
  <c r="CC760" i="10"/>
  <c r="CG760" i="10" s="1"/>
  <c r="CE761" i="10"/>
  <c r="CE765" i="10"/>
  <c r="CE793" i="10"/>
  <c r="CI793" i="10" s="1"/>
  <c r="CC797" i="10"/>
  <c r="CG797" i="10" s="1"/>
  <c r="CE801" i="10"/>
  <c r="CI801" i="10" s="1"/>
  <c r="CE807" i="10"/>
  <c r="CI807" i="10" s="1"/>
  <c r="CC809" i="10"/>
  <c r="CG809" i="10" s="1"/>
  <c r="CE810" i="10"/>
  <c r="CE818" i="10"/>
  <c r="CI818" i="10" s="1"/>
  <c r="CE819" i="10"/>
  <c r="CE821" i="10"/>
  <c r="CE822" i="10"/>
  <c r="CE827" i="10"/>
  <c r="CE829" i="10"/>
  <c r="CI829" i="10" s="1"/>
  <c r="CE831" i="10"/>
  <c r="CI831" i="10" s="1"/>
  <c r="CE835" i="10"/>
  <c r="CC839" i="10"/>
  <c r="CG839" i="10" s="1"/>
  <c r="CE840" i="10"/>
  <c r="CC843" i="10"/>
  <c r="CG843" i="10" s="1"/>
  <c r="CE844" i="10"/>
  <c r="CI844" i="10" s="1"/>
  <c r="CE848" i="10"/>
  <c r="CC849" i="10"/>
  <c r="CG849" i="10" s="1"/>
  <c r="CE858" i="10"/>
  <c r="CE860" i="10"/>
  <c r="CE861" i="10"/>
  <c r="CI861" i="10" s="1"/>
  <c r="CE588" i="10"/>
  <c r="CI588" i="10" s="1"/>
  <c r="CE631" i="10"/>
  <c r="CE664" i="10"/>
  <c r="CC684" i="10"/>
  <c r="CG684" i="10" s="1"/>
  <c r="CE699" i="10"/>
  <c r="CI699" i="10" s="1"/>
  <c r="CC707" i="10"/>
  <c r="CG707" i="10" s="1"/>
  <c r="CC730" i="10"/>
  <c r="CG730" i="10"/>
  <c r="CE741" i="10"/>
  <c r="CI741" i="10" s="1"/>
  <c r="CE745" i="10"/>
  <c r="CI745" i="10" s="1"/>
  <c r="CC746" i="10"/>
  <c r="CG746" i="10" s="1"/>
  <c r="CE748" i="10"/>
  <c r="CI748" i="10" s="1"/>
  <c r="CE753" i="10"/>
  <c r="CI753" i="10" s="1"/>
  <c r="CC754" i="10"/>
  <c r="CG754" i="10" s="1"/>
  <c r="CE755" i="10"/>
  <c r="CE759" i="10"/>
  <c r="CI759" i="10" s="1"/>
  <c r="CC773" i="10"/>
  <c r="CG773" i="10" s="1"/>
  <c r="CE790" i="10"/>
  <c r="CE806" i="10"/>
  <c r="CI806" i="10" s="1"/>
  <c r="CE813" i="10"/>
  <c r="CI813" i="10" s="1"/>
  <c r="CC817" i="10"/>
  <c r="CG817" i="10" s="1"/>
  <c r="CC830" i="10"/>
  <c r="CG830" i="10"/>
  <c r="CE832" i="10"/>
  <c r="CI832" i="10" s="1"/>
  <c r="CC837" i="10"/>
  <c r="CG837" i="10" s="1"/>
  <c r="CC838" i="10"/>
  <c r="CG838" i="10" s="1"/>
  <c r="CE839" i="10"/>
  <c r="CC842" i="10"/>
  <c r="CG842" i="10"/>
  <c r="CE843" i="10"/>
  <c r="CI843" i="10" s="1"/>
  <c r="CE849" i="10"/>
  <c r="CI849" i="10" s="1"/>
  <c r="CE850" i="10"/>
  <c r="CE573" i="10"/>
  <c r="CI573" i="10" s="1"/>
  <c r="CE641" i="10"/>
  <c r="CI641" i="10" s="1"/>
  <c r="CE697" i="10"/>
  <c r="CE732" i="10"/>
  <c r="CI732" i="10" s="1"/>
  <c r="CE746" i="10"/>
  <c r="CC752" i="10"/>
  <c r="CG752" i="10" s="1"/>
  <c r="CE754" i="10"/>
  <c r="CC764" i="10"/>
  <c r="CG764" i="10" s="1"/>
  <c r="CE773" i="10"/>
  <c r="CE776" i="10"/>
  <c r="CC779" i="10"/>
  <c r="CG779" i="10" s="1"/>
  <c r="CC788" i="10"/>
  <c r="CG788" i="10"/>
  <c r="CC792" i="10"/>
  <c r="CG792" i="10" s="1"/>
  <c r="CC795" i="10"/>
  <c r="CG795" i="10" s="1"/>
  <c r="CC816" i="10"/>
  <c r="CG816" i="10" s="1"/>
  <c r="CE817" i="10"/>
  <c r="CE828" i="10"/>
  <c r="CI828" i="10" s="1"/>
  <c r="CE837" i="10"/>
  <c r="CI837" i="10" s="1"/>
  <c r="CE842" i="10"/>
  <c r="CC558" i="10"/>
  <c r="CG558" i="10" s="1"/>
  <c r="CE598" i="10"/>
  <c r="CE625" i="10"/>
  <c r="CE656" i="10"/>
  <c r="CC668" i="10"/>
  <c r="CG668" i="10" s="1"/>
  <c r="CC735" i="10"/>
  <c r="CG735" i="10" s="1"/>
  <c r="CC736" i="10"/>
  <c r="CG736" i="10" s="1"/>
  <c r="CE740" i="10"/>
  <c r="CE752" i="10"/>
  <c r="CI752" i="10" s="1"/>
  <c r="CC758" i="10"/>
  <c r="CG758" i="10" s="1"/>
  <c r="CC762" i="10"/>
  <c r="CG762" i="10" s="1"/>
  <c r="CC763" i="10"/>
  <c r="CG763" i="10"/>
  <c r="CC778" i="10"/>
  <c r="CG778" i="10" s="1"/>
  <c r="CE779" i="10"/>
  <c r="CE788" i="10"/>
  <c r="CE792" i="10"/>
  <c r="CE800" i="10"/>
  <c r="CC808" i="10"/>
  <c r="CG808" i="10" s="1"/>
  <c r="CE812" i="10"/>
  <c r="CI812" i="10" s="1"/>
  <c r="CE816" i="10"/>
  <c r="CC820" i="10"/>
  <c r="CG820" i="10" s="1"/>
  <c r="CE825" i="10"/>
  <c r="CI825" i="10" s="1"/>
  <c r="CC853" i="10"/>
  <c r="CG853" i="10" s="1"/>
  <c r="CE862" i="10"/>
  <c r="CC606" i="10"/>
  <c r="CG606" i="10" s="1"/>
  <c r="CE635" i="10"/>
  <c r="CE647" i="10"/>
  <c r="CI647" i="10" s="1"/>
  <c r="CE705" i="10"/>
  <c r="CC719" i="10"/>
  <c r="CG719" i="10" s="1"/>
  <c r="CE723" i="10"/>
  <c r="CI723" i="10" s="1"/>
  <c r="CC724" i="10"/>
  <c r="CG724" i="10" s="1"/>
  <c r="CE727" i="10"/>
  <c r="CC734" i="10"/>
  <c r="CG734" i="10" s="1"/>
  <c r="CC738" i="10"/>
  <c r="CG738" i="10" s="1"/>
  <c r="CE749" i="10"/>
  <c r="CC750" i="10"/>
  <c r="CG750" i="10" s="1"/>
  <c r="CE757" i="10"/>
  <c r="CC766" i="10"/>
  <c r="CG766" i="10" s="1"/>
  <c r="CE767" i="10"/>
  <c r="CE772" i="10"/>
  <c r="CE777" i="10"/>
  <c r="CI777" i="10" s="1"/>
  <c r="CC794" i="10"/>
  <c r="CG794" i="10" s="1"/>
  <c r="CE799" i="10"/>
  <c r="CC814" i="10"/>
  <c r="CG814" i="10" s="1"/>
  <c r="CE833" i="10"/>
  <c r="CE836" i="10"/>
  <c r="CC846" i="10"/>
  <c r="CG846" i="10" s="1"/>
  <c r="CE847" i="10"/>
  <c r="CC852" i="10"/>
  <c r="CG852" i="10"/>
  <c r="CC856" i="10"/>
  <c r="CG856" i="10" s="1"/>
  <c r="CE863" i="10"/>
  <c r="CE864" i="10"/>
  <c r="CC865" i="10"/>
  <c r="CG865" i="10"/>
  <c r="CC867" i="10"/>
  <c r="CG867" i="10" s="1"/>
  <c r="CE868" i="10"/>
  <c r="CC627" i="10"/>
  <c r="CG627" i="10"/>
  <c r="CE648" i="10"/>
  <c r="CC653" i="10"/>
  <c r="CG653" i="10" s="1"/>
  <c r="CC681" i="10"/>
  <c r="CG681" i="10" s="1"/>
  <c r="CE704" i="10"/>
  <c r="CI704" i="10" s="1"/>
  <c r="CE710" i="10"/>
  <c r="CE722" i="10"/>
  <c r="CE724" i="10"/>
  <c r="CI724" i="10" s="1"/>
  <c r="CC733" i="10"/>
  <c r="CG733" i="10" s="1"/>
  <c r="CE738" i="10"/>
  <c r="CE743" i="10"/>
  <c r="CE744" i="10"/>
  <c r="CI744" i="10" s="1"/>
  <c r="CE750" i="10"/>
  <c r="CE770" i="10"/>
  <c r="CC771" i="10"/>
  <c r="CG771" i="10" s="1"/>
  <c r="CC775" i="10"/>
  <c r="CG775" i="10" s="1"/>
  <c r="CC783" i="10"/>
  <c r="CG783" i="10" s="1"/>
  <c r="CC786" i="10"/>
  <c r="CG786" i="10"/>
  <c r="CC787" i="10"/>
  <c r="CG787" i="10" s="1"/>
  <c r="CC791" i="10"/>
  <c r="CG791" i="10"/>
  <c r="CE794" i="10"/>
  <c r="CC796" i="10"/>
  <c r="CG796" i="10" s="1"/>
  <c r="CE803" i="10"/>
  <c r="CE814" i="10"/>
  <c r="CI814" i="10" s="1"/>
  <c r="CC823" i="10"/>
  <c r="CG823" i="10" s="1"/>
  <c r="CE824" i="10"/>
  <c r="CI824" i="10" s="1"/>
  <c r="CC826" i="10"/>
  <c r="CG826" i="10" s="1"/>
  <c r="CC727" i="10"/>
  <c r="CG727" i="10" s="1"/>
  <c r="CE735" i="10"/>
  <c r="CE820" i="10"/>
  <c r="CI820" i="10" s="1"/>
  <c r="CE852" i="10"/>
  <c r="CE856" i="10"/>
  <c r="CC864" i="10"/>
  <c r="CG864" i="10" s="1"/>
  <c r="CE872" i="10"/>
  <c r="CC886" i="10"/>
  <c r="CG886" i="10" s="1"/>
  <c r="CE889" i="10"/>
  <c r="CE896" i="10"/>
  <c r="CI896" i="10" s="1"/>
  <c r="CC897" i="10"/>
  <c r="CG897" i="10" s="1"/>
  <c r="CC899" i="10"/>
  <c r="CG899" i="10" s="1"/>
  <c r="CC900" i="10"/>
  <c r="CG900" i="10"/>
  <c r="CE901" i="10"/>
  <c r="CE904" i="10"/>
  <c r="CC907" i="10"/>
  <c r="CG907" i="10" s="1"/>
  <c r="CC908" i="10"/>
  <c r="CG908" i="10" s="1"/>
  <c r="CE915" i="10"/>
  <c r="CE919" i="10"/>
  <c r="CC924" i="10"/>
  <c r="CG924" i="10" s="1"/>
  <c r="CC926" i="10"/>
  <c r="CG926" i="10"/>
  <c r="CC934" i="10"/>
  <c r="CG934" i="10" s="1"/>
  <c r="CC942" i="10"/>
  <c r="CG942" i="10"/>
  <c r="CE950" i="10"/>
  <c r="CI950" i="10" s="1"/>
  <c r="CE952" i="10"/>
  <c r="CC955" i="10"/>
  <c r="CG955" i="10" s="1"/>
  <c r="CC959" i="10"/>
  <c r="CG959" i="10" s="1"/>
  <c r="CC963" i="10"/>
  <c r="CG963" i="10"/>
  <c r="CE972" i="10"/>
  <c r="CI972" i="10" s="1"/>
  <c r="CC973" i="10"/>
  <c r="CG973" i="10"/>
  <c r="CC726" i="10"/>
  <c r="CG726" i="10" s="1"/>
  <c r="CE762" i="10"/>
  <c r="CC836" i="10"/>
  <c r="CG836" i="10" s="1"/>
  <c r="CE853" i="10"/>
  <c r="CC871" i="10"/>
  <c r="CG871" i="10" s="1"/>
  <c r="CC879" i="10"/>
  <c r="CG879" i="10" s="1"/>
  <c r="CC884" i="10"/>
  <c r="CG884" i="10"/>
  <c r="CE886" i="10"/>
  <c r="CE897" i="10"/>
  <c r="CE899" i="10"/>
  <c r="CE900" i="10"/>
  <c r="CC902" i="10"/>
  <c r="CG902" i="10" s="1"/>
  <c r="CE907" i="10"/>
  <c r="CE908" i="10"/>
  <c r="CC910" i="10"/>
  <c r="CG910" i="10" s="1"/>
  <c r="CC920" i="10"/>
  <c r="CG920" i="10" s="1"/>
  <c r="CC923" i="10"/>
  <c r="CG923" i="10"/>
  <c r="CE924" i="10"/>
  <c r="CI924" i="10" s="1"/>
  <c r="CE926" i="10"/>
  <c r="CC927" i="10"/>
  <c r="CG927" i="10" s="1"/>
  <c r="CC932" i="10"/>
  <c r="CG932" i="10" s="1"/>
  <c r="CE934" i="10"/>
  <c r="CI934" i="10" s="1"/>
  <c r="CC935" i="10"/>
  <c r="CC940" i="10"/>
  <c r="CG940" i="10" s="1"/>
  <c r="CC941" i="10"/>
  <c r="CG941" i="10" s="1"/>
  <c r="CE942" i="10"/>
  <c r="CC947" i="10"/>
  <c r="CG947" i="10" s="1"/>
  <c r="CE955" i="10"/>
  <c r="CI955" i="10" s="1"/>
  <c r="CE963" i="10"/>
  <c r="CE967" i="10"/>
  <c r="CE971" i="10"/>
  <c r="CE973" i="10"/>
  <c r="CI973" i="10" s="1"/>
  <c r="CC974" i="10"/>
  <c r="CG974" i="10" s="1"/>
  <c r="CE979" i="10"/>
  <c r="CC991" i="10"/>
  <c r="CG991" i="10" s="1"/>
  <c r="CC608" i="10"/>
  <c r="CG608" i="10"/>
  <c r="CC815" i="10"/>
  <c r="CG815" i="10"/>
  <c r="CC868" i="10"/>
  <c r="CG868" i="10"/>
  <c r="CC870" i="10"/>
  <c r="CG870" i="10" s="1"/>
  <c r="CC873" i="10"/>
  <c r="CG873" i="10" s="1"/>
  <c r="CE879" i="10"/>
  <c r="CI879" i="10" s="1"/>
  <c r="CC881" i="10"/>
  <c r="CC883" i="10"/>
  <c r="CG883" i="10"/>
  <c r="CE884" i="10"/>
  <c r="CC890" i="10"/>
  <c r="CG890" i="10" s="1"/>
  <c r="CC894" i="10"/>
  <c r="CG894" i="10" s="1"/>
  <c r="CE902" i="10"/>
  <c r="CC905" i="10"/>
  <c r="CG905" i="10" s="1"/>
  <c r="CC909" i="10"/>
  <c r="CG909" i="10" s="1"/>
  <c r="CE910" i="10"/>
  <c r="CI910" i="10" s="1"/>
  <c r="CC914" i="10"/>
  <c r="CG914" i="10" s="1"/>
  <c r="CE920" i="10"/>
  <c r="CC921" i="10"/>
  <c r="CG921" i="10"/>
  <c r="CC922" i="10"/>
  <c r="CG922" i="10"/>
  <c r="CE927" i="10"/>
  <c r="CE932" i="10"/>
  <c r="CI932" i="10" s="1"/>
  <c r="CE935" i="10"/>
  <c r="CE940" i="10"/>
  <c r="CE941" i="10"/>
  <c r="CI941" i="10" s="1"/>
  <c r="CC951" i="10"/>
  <c r="CG951" i="10" s="1"/>
  <c r="CC956" i="10"/>
  <c r="CG956" i="10" s="1"/>
  <c r="CC957" i="10"/>
  <c r="CG957" i="10" s="1"/>
  <c r="CC958" i="10"/>
  <c r="CG958" i="10" s="1"/>
  <c r="CE959" i="10"/>
  <c r="CC965" i="10"/>
  <c r="CG965" i="10" s="1"/>
  <c r="CE974" i="10"/>
  <c r="CE671" i="10"/>
  <c r="CE846" i="10"/>
  <c r="CC863" i="10"/>
  <c r="CG863" i="10" s="1"/>
  <c r="CE870" i="10"/>
  <c r="CE873" i="10"/>
  <c r="CC876" i="10"/>
  <c r="CG876" i="10"/>
  <c r="CC877" i="10"/>
  <c r="CG877" i="10" s="1"/>
  <c r="CE881" i="10"/>
  <c r="CE883" i="10"/>
  <c r="CC887" i="10"/>
  <c r="CG887" i="10" s="1"/>
  <c r="CE890" i="10"/>
  <c r="CE894" i="10"/>
  <c r="CE905" i="10"/>
  <c r="CE909" i="10"/>
  <c r="CI909" i="10" s="1"/>
  <c r="CE914" i="10"/>
  <c r="CC916" i="10"/>
  <c r="CG916" i="10"/>
  <c r="CE921" i="10"/>
  <c r="CE922" i="10"/>
  <c r="CE923" i="10"/>
  <c r="CI923" i="10" s="1"/>
  <c r="CC925" i="10"/>
  <c r="CG925" i="10" s="1"/>
  <c r="CC931" i="10"/>
  <c r="CG931" i="10" s="1"/>
  <c r="CC933" i="10"/>
  <c r="CG933" i="10" s="1"/>
  <c r="CC939" i="10"/>
  <c r="CG939" i="10" s="1"/>
  <c r="CC943" i="10"/>
  <c r="CG943" i="10" s="1"/>
  <c r="CC945" i="10"/>
  <c r="CG945" i="10" s="1"/>
  <c r="CC946" i="10"/>
  <c r="CG946" i="10" s="1"/>
  <c r="CE947" i="10"/>
  <c r="CE951" i="10"/>
  <c r="CC954" i="10"/>
  <c r="CG954" i="10" s="1"/>
  <c r="CE956" i="10"/>
  <c r="CI956" i="10" s="1"/>
  <c r="CE957" i="10"/>
  <c r="CI957" i="10" s="1"/>
  <c r="CE958" i="10"/>
  <c r="CI958" i="10" s="1"/>
  <c r="CC960" i="10"/>
  <c r="CG960" i="10" s="1"/>
  <c r="CC964" i="10"/>
  <c r="CG964" i="10"/>
  <c r="CE965" i="10"/>
  <c r="CE619" i="10"/>
  <c r="CE736" i="10"/>
  <c r="CC799" i="10"/>
  <c r="CG799" i="10" s="1"/>
  <c r="CC855" i="10"/>
  <c r="CG855" i="10" s="1"/>
  <c r="CC857" i="10"/>
  <c r="CG857" i="10" s="1"/>
  <c r="CE876" i="10"/>
  <c r="CI876" i="10" s="1"/>
  <c r="CE877" i="10"/>
  <c r="CI877" i="10" s="1"/>
  <c r="CC878" i="10"/>
  <c r="CG878" i="10" s="1"/>
  <c r="CC880" i="10"/>
  <c r="CG880" i="10" s="1"/>
  <c r="CC885" i="10"/>
  <c r="CG885" i="10" s="1"/>
  <c r="CE887" i="10"/>
  <c r="CC888" i="10"/>
  <c r="CG888" i="10" s="1"/>
  <c r="CC891" i="10"/>
  <c r="CG891" i="10" s="1"/>
  <c r="CC892" i="10"/>
  <c r="CG892" i="10" s="1"/>
  <c r="CC893" i="10"/>
  <c r="CG893" i="10" s="1"/>
  <c r="CC895" i="10"/>
  <c r="CG895" i="10"/>
  <c r="CC898" i="10"/>
  <c r="CG898" i="10" s="1"/>
  <c r="CC911" i="10"/>
  <c r="CG911" i="10" s="1"/>
  <c r="CE916" i="10"/>
  <c r="CC917" i="10"/>
  <c r="CG917" i="10"/>
  <c r="CE925" i="10"/>
  <c r="CC928" i="10"/>
  <c r="CG928" i="10" s="1"/>
  <c r="CC929" i="10"/>
  <c r="CG929" i="10"/>
  <c r="CE933" i="10"/>
  <c r="CC936" i="10"/>
  <c r="CG936" i="10"/>
  <c r="CC937" i="10"/>
  <c r="CG937" i="10" s="1"/>
  <c r="CE943" i="10"/>
  <c r="CE945" i="10"/>
  <c r="CE946" i="10"/>
  <c r="CC948" i="10"/>
  <c r="CG948" i="10" s="1"/>
  <c r="CC949" i="10"/>
  <c r="CG949" i="10" s="1"/>
  <c r="CE954" i="10"/>
  <c r="CI954" i="10" s="1"/>
  <c r="CE960" i="10"/>
  <c r="CC961" i="10"/>
  <c r="CG961" i="10"/>
  <c r="CE964" i="10"/>
  <c r="CC966" i="10"/>
  <c r="CG966" i="10" s="1"/>
  <c r="CC975" i="10"/>
  <c r="CG975" i="10"/>
  <c r="CE976" i="10"/>
  <c r="CI976" i="10" s="1"/>
  <c r="CC977" i="10"/>
  <c r="CG977" i="10" s="1"/>
  <c r="CC978" i="10"/>
  <c r="CG978" i="10"/>
  <c r="CC980" i="10"/>
  <c r="CG980" i="10"/>
  <c r="CC981" i="10"/>
  <c r="CG981" i="10" s="1"/>
  <c r="CC982" i="10"/>
  <c r="CG982" i="10" s="1"/>
  <c r="CE984" i="10"/>
  <c r="CE985" i="10"/>
  <c r="CC986" i="10"/>
  <c r="CG986" i="10"/>
  <c r="CE784" i="10"/>
  <c r="CC862" i="10"/>
  <c r="CG862" i="10" s="1"/>
  <c r="CE865" i="10"/>
  <c r="CE867" i="10"/>
  <c r="CC874" i="10"/>
  <c r="CG874" i="10"/>
  <c r="CC875" i="10"/>
  <c r="CG875" i="10" s="1"/>
  <c r="CE878" i="10"/>
  <c r="CE880" i="10"/>
  <c r="CI880" i="10" s="1"/>
  <c r="CE885" i="10"/>
  <c r="CI885" i="10" s="1"/>
  <c r="CE888" i="10"/>
  <c r="CE891" i="10"/>
  <c r="CI891" i="10" s="1"/>
  <c r="CE892" i="10"/>
  <c r="CE893" i="10"/>
  <c r="CE895" i="10"/>
  <c r="CE898" i="10"/>
  <c r="CC903" i="10"/>
  <c r="CG903" i="10" s="1"/>
  <c r="CE911" i="10"/>
  <c r="CC912" i="10"/>
  <c r="CG912" i="10" s="1"/>
  <c r="CE917" i="10"/>
  <c r="CC918" i="10"/>
  <c r="CG918" i="10" s="1"/>
  <c r="CE928" i="10"/>
  <c r="CE929" i="10"/>
  <c r="CI929" i="10" s="1"/>
  <c r="CC930" i="10"/>
  <c r="CG930" i="10" s="1"/>
  <c r="CE931" i="10"/>
  <c r="CE936" i="10"/>
  <c r="CI936" i="10" s="1"/>
  <c r="CE937" i="10"/>
  <c r="CC938" i="10"/>
  <c r="CG938" i="10" s="1"/>
  <c r="CE939" i="10"/>
  <c r="CC944" i="10"/>
  <c r="CG944" i="10"/>
  <c r="CE948" i="10"/>
  <c r="CE949" i="10"/>
  <c r="CE966" i="10"/>
  <c r="CI966" i="10" s="1"/>
  <c r="CC968" i="10"/>
  <c r="CG968" i="10" s="1"/>
  <c r="CE977" i="10"/>
  <c r="CE978" i="10"/>
  <c r="CI978" i="10" s="1"/>
  <c r="CE980" i="10"/>
  <c r="CE981" i="10"/>
  <c r="CE982" i="10"/>
  <c r="CI982" i="10" s="1"/>
  <c r="CE986" i="10"/>
  <c r="CC987" i="10"/>
  <c r="CG987" i="10"/>
  <c r="CE992" i="10"/>
  <c r="CI992" i="10" s="1"/>
  <c r="CC996" i="10"/>
  <c r="CG996" i="10" s="1"/>
  <c r="CC1000" i="10"/>
  <c r="CG1000" i="10" s="1"/>
  <c r="CE1001" i="10"/>
  <c r="CC1004" i="10"/>
  <c r="CG1004" i="10" s="1"/>
  <c r="CE1005" i="10"/>
  <c r="CC757" i="10"/>
  <c r="CG757" i="10"/>
  <c r="CC772" i="10"/>
  <c r="CG772" i="10" s="1"/>
  <c r="CE854" i="10"/>
  <c r="CC866" i="10"/>
  <c r="CG866" i="10"/>
  <c r="CE874" i="10"/>
  <c r="CE875" i="10"/>
  <c r="CC882" i="10"/>
  <c r="CG882" i="10" s="1"/>
  <c r="CE903" i="10"/>
  <c r="CI903" i="10" s="1"/>
  <c r="CC906" i="10"/>
  <c r="CG906" i="10"/>
  <c r="CE912" i="10"/>
  <c r="CC913" i="10"/>
  <c r="CG913" i="10" s="1"/>
  <c r="CC915" i="10"/>
  <c r="CG915" i="10" s="1"/>
  <c r="CE918" i="10"/>
  <c r="CE930" i="10"/>
  <c r="CI930" i="10" s="1"/>
  <c r="CE938" i="10"/>
  <c r="CE944" i="10"/>
  <c r="CC953" i="10"/>
  <c r="CG953" i="10" s="1"/>
  <c r="CE961" i="10"/>
  <c r="CC962" i="10"/>
  <c r="CG962" i="10" s="1"/>
  <c r="CE968" i="10"/>
  <c r="CC969" i="10"/>
  <c r="CG969" i="10" s="1"/>
  <c r="CC970" i="10"/>
  <c r="CG970" i="10" s="1"/>
  <c r="CE975" i="10"/>
  <c r="CC983" i="10"/>
  <c r="CG983" i="10"/>
  <c r="CC988" i="10"/>
  <c r="CG988" i="10" s="1"/>
  <c r="CC989" i="10"/>
  <c r="CG989" i="10" s="1"/>
  <c r="CC990" i="10"/>
  <c r="CG990" i="10" s="1"/>
  <c r="CC995" i="10"/>
  <c r="CG995" i="10" s="1"/>
  <c r="CE996" i="10"/>
  <c r="CC997" i="10"/>
  <c r="CG997" i="10" s="1"/>
  <c r="CC998" i="10"/>
  <c r="CG998" i="10" s="1"/>
  <c r="CC767" i="10"/>
  <c r="CG767" i="10"/>
  <c r="CE808" i="10"/>
  <c r="CC851" i="10"/>
  <c r="CG851" i="10" s="1"/>
  <c r="CE859" i="10"/>
  <c r="CI859" i="10" s="1"/>
  <c r="CE866" i="10"/>
  <c r="CE869" i="10"/>
  <c r="CE882" i="10"/>
  <c r="CC889" i="10"/>
  <c r="CG889" i="10" s="1"/>
  <c r="CC896" i="10"/>
  <c r="CG896" i="10" s="1"/>
  <c r="CC901" i="10"/>
  <c r="CG901" i="10"/>
  <c r="CC904" i="10"/>
  <c r="CG904" i="10" s="1"/>
  <c r="CE906" i="10"/>
  <c r="CI906" i="10" s="1"/>
  <c r="CE913" i="10"/>
  <c r="CC919" i="10"/>
  <c r="CG919" i="10" s="1"/>
  <c r="CC967" i="10"/>
  <c r="CG967" i="10" s="1"/>
  <c r="CE970" i="10"/>
  <c r="CC972" i="10"/>
  <c r="CG972" i="10"/>
  <c r="CC976" i="10"/>
  <c r="CG976" i="10" s="1"/>
  <c r="CE990" i="10"/>
  <c r="CE997" i="10"/>
  <c r="CI997" i="10" s="1"/>
  <c r="CE1002" i="10"/>
  <c r="CC1007" i="10"/>
  <c r="CG1007" i="10" s="1"/>
  <c r="CC1008" i="10"/>
  <c r="CG1008" i="10" s="1"/>
  <c r="CE953" i="10"/>
  <c r="CI953" i="10" s="1"/>
  <c r="CE987" i="10"/>
  <c r="CC1001" i="10"/>
  <c r="CG1001" i="10" s="1"/>
  <c r="CE1007" i="10"/>
  <c r="CI1007" i="10" s="1"/>
  <c r="CE1008" i="10"/>
  <c r="CC1012" i="10"/>
  <c r="CG1012" i="10" s="1"/>
  <c r="CC1011" i="10"/>
  <c r="CG1011" i="10" s="1"/>
  <c r="CE1012" i="10"/>
  <c r="CI1012" i="10" s="1"/>
  <c r="CC1013" i="10"/>
  <c r="CG1013" i="10" s="1"/>
  <c r="CC1002" i="10"/>
  <c r="CG1002" i="10" s="1"/>
  <c r="CC971" i="10"/>
  <c r="CG971" i="10" s="1"/>
  <c r="CC1014" i="10"/>
  <c r="CG1014" i="10" s="1"/>
  <c r="CE1010" i="10"/>
  <c r="CC950" i="10"/>
  <c r="CG950" i="10" s="1"/>
  <c r="CC984" i="10"/>
  <c r="CG984" i="10" s="1"/>
  <c r="CC992" i="10"/>
  <c r="CG992" i="10"/>
  <c r="CC994" i="10"/>
  <c r="CG994" i="10" s="1"/>
  <c r="CE1000" i="10"/>
  <c r="CI1000" i="10" s="1"/>
  <c r="CC1005" i="10"/>
  <c r="CG1005" i="10" s="1"/>
  <c r="CC1006" i="10"/>
  <c r="CE1011" i="10"/>
  <c r="CE1013" i="10"/>
  <c r="CI1013" i="10" s="1"/>
  <c r="CE1014" i="10"/>
  <c r="CE983" i="10"/>
  <c r="CE988" i="10"/>
  <c r="CE994" i="10"/>
  <c r="CE995" i="10"/>
  <c r="CE1006" i="10"/>
  <c r="CC985" i="10"/>
  <c r="CG985" i="10" s="1"/>
  <c r="CE993" i="10"/>
  <c r="CE962" i="10"/>
  <c r="CC979" i="10"/>
  <c r="CG979" i="10" s="1"/>
  <c r="CE989" i="10"/>
  <c r="CE991" i="10"/>
  <c r="CC1003" i="10"/>
  <c r="CG1003" i="10" s="1"/>
  <c r="CE1004" i="10"/>
  <c r="CE1009" i="10"/>
  <c r="CC993" i="10"/>
  <c r="CG993" i="10" s="1"/>
  <c r="CE998" i="10"/>
  <c r="CC999" i="10"/>
  <c r="CG999" i="10" s="1"/>
  <c r="CE1003" i="10"/>
  <c r="CI1003" i="10" s="1"/>
  <c r="CC1009" i="10"/>
  <c r="CG1009" i="10" s="1"/>
  <c r="CC1010" i="10"/>
  <c r="CG1010" i="10" s="1"/>
  <c r="CE999" i="10"/>
  <c r="CI999" i="10" s="1"/>
  <c r="CC952" i="10"/>
  <c r="CG952" i="10" s="1"/>
  <c r="CE969" i="10"/>
  <c r="DY560" i="10"/>
  <c r="DY934" i="10"/>
  <c r="DY452" i="10"/>
  <c r="DY534" i="10"/>
  <c r="DY910" i="10"/>
  <c r="DY522" i="10"/>
  <c r="DY731" i="10"/>
  <c r="DY935" i="10"/>
  <c r="DY927" i="10"/>
  <c r="DY919" i="10"/>
  <c r="DY798" i="10"/>
  <c r="DY790" i="10"/>
  <c r="DY564" i="10"/>
  <c r="DY950" i="10"/>
  <c r="DY882" i="10"/>
  <c r="DY786" i="10"/>
  <c r="DY774" i="10"/>
  <c r="DY902" i="10"/>
  <c r="EA902" i="10" s="1"/>
  <c r="DY448" i="10"/>
  <c r="DY523" i="10"/>
  <c r="DY914" i="10"/>
  <c r="DY649" i="10"/>
  <c r="CC201" i="10"/>
  <c r="CG201" i="10" s="1"/>
  <c r="CC210" i="10"/>
  <c r="CG210" i="10"/>
  <c r="CC211" i="10"/>
  <c r="CE32" i="10"/>
  <c r="CC37" i="10"/>
  <c r="CC38" i="10"/>
  <c r="CG38" i="10" s="1"/>
  <c r="CE39" i="10"/>
  <c r="CC43" i="10"/>
  <c r="CC44" i="10"/>
  <c r="CC52" i="10"/>
  <c r="CG52" i="10" s="1"/>
  <c r="CE53" i="10"/>
  <c r="CC55" i="10"/>
  <c r="CC59" i="10"/>
  <c r="CG59" i="10" s="1"/>
  <c r="CC65" i="10"/>
  <c r="CC82" i="10"/>
  <c r="CG82" i="10"/>
  <c r="CC83" i="10"/>
  <c r="CG83" i="10" s="1"/>
  <c r="CC84" i="10"/>
  <c r="CG84" i="10" s="1"/>
  <c r="CC90" i="10"/>
  <c r="CG90" i="10" s="1"/>
  <c r="CE91" i="10"/>
  <c r="CE104" i="10"/>
  <c r="CE105" i="10"/>
  <c r="CE106" i="10"/>
  <c r="CE107" i="10"/>
  <c r="CE110" i="10"/>
  <c r="CE113" i="10"/>
  <c r="CE114" i="10"/>
  <c r="CC115" i="10"/>
  <c r="CC116" i="10"/>
  <c r="CG116" i="10" s="1"/>
  <c r="CC132" i="10"/>
  <c r="CG132" i="10"/>
  <c r="CC133" i="10"/>
  <c r="CC136" i="10"/>
  <c r="CG136" i="10"/>
  <c r="CC140" i="10"/>
  <c r="CG140" i="10" s="1"/>
  <c r="CE145" i="10"/>
  <c r="CC153" i="10"/>
  <c r="CG153" i="10" s="1"/>
  <c r="CE157" i="10"/>
  <c r="CE161" i="10"/>
  <c r="CC167" i="10"/>
  <c r="CG167" i="10" s="1"/>
  <c r="CC168" i="10"/>
  <c r="CG168" i="10" s="1"/>
  <c r="CE169" i="10"/>
  <c r="CC173" i="10"/>
  <c r="CG173" i="10" s="1"/>
  <c r="CE174" i="10"/>
  <c r="CE179" i="10"/>
  <c r="CC185" i="10"/>
  <c r="CG185" i="10" s="1"/>
  <c r="CC189" i="10"/>
  <c r="CG189" i="10" s="1"/>
  <c r="CE195" i="10"/>
  <c r="CE198" i="10"/>
  <c r="CC199" i="10"/>
  <c r="CE200" i="10"/>
  <c r="CC24" i="10"/>
  <c r="CG24" i="10" s="1"/>
  <c r="CC27" i="10"/>
  <c r="CG27" i="10"/>
  <c r="CC28" i="10"/>
  <c r="CG28" i="10" s="1"/>
  <c r="CC29" i="10"/>
  <c r="CG29" i="10" s="1"/>
  <c r="CE30" i="10"/>
  <c r="CE31" i="10"/>
  <c r="CC194" i="10"/>
  <c r="CG194" i="10" s="1"/>
  <c r="CC23" i="10"/>
  <c r="CG23" i="10"/>
  <c r="CE27" i="10"/>
  <c r="CE28" i="10"/>
  <c r="CE29" i="10"/>
  <c r="CC91" i="10"/>
  <c r="CE103" i="10"/>
  <c r="CE180" i="10"/>
  <c r="CE201" i="10"/>
  <c r="CE210" i="10"/>
  <c r="CI210" i="10" s="1"/>
  <c r="CE211" i="10"/>
  <c r="CE37" i="10"/>
  <c r="CE38" i="10"/>
  <c r="CE43" i="10"/>
  <c r="CE44" i="10"/>
  <c r="CC45" i="10"/>
  <c r="CG45" i="10" s="1"/>
  <c r="CC46" i="10"/>
  <c r="CC51" i="10"/>
  <c r="CG51" i="10" s="1"/>
  <c r="CE52" i="10"/>
  <c r="CE55" i="10"/>
  <c r="CE59" i="10"/>
  <c r="CE65" i="10"/>
  <c r="CC66" i="10"/>
  <c r="CG66" i="10" s="1"/>
  <c r="CC67" i="10"/>
  <c r="CC68" i="10"/>
  <c r="CG68" i="10"/>
  <c r="CC69" i="10"/>
  <c r="CG69" i="10" s="1"/>
  <c r="CC81" i="10"/>
  <c r="CG81" i="10"/>
  <c r="CE82" i="10"/>
  <c r="CE83" i="10"/>
  <c r="CI83" i="10" s="1"/>
  <c r="CE84" i="10"/>
  <c r="CC88" i="10"/>
  <c r="CC89" i="10"/>
  <c r="CG89" i="10" s="1"/>
  <c r="CE90" i="10"/>
  <c r="CE115" i="10"/>
  <c r="CE116" i="10"/>
  <c r="CC118" i="10"/>
  <c r="CG118" i="10" s="1"/>
  <c r="CC131" i="10"/>
  <c r="CG131" i="10" s="1"/>
  <c r="CE132" i="10"/>
  <c r="CE133" i="10"/>
  <c r="CC134" i="10"/>
  <c r="CG134" i="10" s="1"/>
  <c r="CC135" i="10"/>
  <c r="CG135" i="10" s="1"/>
  <c r="CE136" i="10"/>
  <c r="CC139" i="10"/>
  <c r="CE140" i="10"/>
  <c r="CC152" i="10"/>
  <c r="CG152" i="10" s="1"/>
  <c r="CE153" i="10"/>
  <c r="CI153" i="10" s="1"/>
  <c r="CC160" i="10"/>
  <c r="CC165" i="10"/>
  <c r="CG165" i="10" s="1"/>
  <c r="CC166" i="10"/>
  <c r="CE167" i="10"/>
  <c r="CE168" i="10"/>
  <c r="CE173" i="10"/>
  <c r="CI173" i="10" s="1"/>
  <c r="CC178" i="10"/>
  <c r="CG178" i="10"/>
  <c r="CC184" i="10"/>
  <c r="CG184" i="10" s="1"/>
  <c r="CE185" i="10"/>
  <c r="CE189" i="10"/>
  <c r="CE199" i="10"/>
  <c r="CE24" i="10"/>
  <c r="CC39" i="10"/>
  <c r="CE47" i="10"/>
  <c r="CC104" i="10"/>
  <c r="CG104" i="10"/>
  <c r="CC114" i="10"/>
  <c r="CG114" i="10"/>
  <c r="CE170" i="10"/>
  <c r="DY326" i="10"/>
  <c r="CC207" i="10"/>
  <c r="CG207" i="10" s="1"/>
  <c r="CC208" i="10"/>
  <c r="CG208" i="10" s="1"/>
  <c r="CC209" i="10"/>
  <c r="CG209" i="10" s="1"/>
  <c r="CC214" i="10"/>
  <c r="CG214" i="10"/>
  <c r="CC36" i="10"/>
  <c r="CG36" i="10" s="1"/>
  <c r="CC42" i="10"/>
  <c r="CG42" i="10"/>
  <c r="CE45" i="10"/>
  <c r="CI45" i="10" s="1"/>
  <c r="CE46" i="10"/>
  <c r="CC50" i="10"/>
  <c r="CG50" i="10" s="1"/>
  <c r="CE51" i="10"/>
  <c r="CC58" i="10"/>
  <c r="CG58" i="10" s="1"/>
  <c r="CE66" i="10"/>
  <c r="CE67" i="10"/>
  <c r="CE68" i="10"/>
  <c r="CE69" i="10"/>
  <c r="CC70" i="10"/>
  <c r="CG70" i="10"/>
  <c r="CC71" i="10"/>
  <c r="CC74" i="10"/>
  <c r="CG74" i="10" s="1"/>
  <c r="CE81" i="10"/>
  <c r="CC87" i="10"/>
  <c r="CG87" i="10" s="1"/>
  <c r="CE88" i="10"/>
  <c r="CE89" i="10"/>
  <c r="CC117" i="10"/>
  <c r="CG117" i="10" s="1"/>
  <c r="CE118" i="10"/>
  <c r="CC123" i="10"/>
  <c r="CG123" i="10"/>
  <c r="CC130" i="10"/>
  <c r="CE131" i="10"/>
  <c r="CI131" i="10" s="1"/>
  <c r="CE134" i="10"/>
  <c r="CE135" i="10"/>
  <c r="CI135" i="10" s="1"/>
  <c r="CE139" i="10"/>
  <c r="CC144" i="10"/>
  <c r="CG144" i="10" s="1"/>
  <c r="CC151" i="10"/>
  <c r="CE152" i="10"/>
  <c r="CC156" i="10"/>
  <c r="CG156" i="10"/>
  <c r="CC159" i="10"/>
  <c r="CG159" i="10"/>
  <c r="CE160" i="10"/>
  <c r="CE165" i="10"/>
  <c r="CE166" i="10"/>
  <c r="CC172" i="10"/>
  <c r="CG172" i="10" s="1"/>
  <c r="CC177" i="10"/>
  <c r="CG177" i="10" s="1"/>
  <c r="CE178" i="10"/>
  <c r="CC182" i="10"/>
  <c r="CG182" i="10"/>
  <c r="CC183" i="10"/>
  <c r="CG183" i="10"/>
  <c r="CE184" i="10"/>
  <c r="CC188" i="10"/>
  <c r="CG188" i="10" s="1"/>
  <c r="CC192" i="10"/>
  <c r="CG192" i="10" s="1"/>
  <c r="CE194" i="10"/>
  <c r="CC197" i="10"/>
  <c r="CG197" i="10" s="1"/>
  <c r="CE23" i="10"/>
  <c r="CC107" i="10"/>
  <c r="CG107" i="10"/>
  <c r="CC113" i="10"/>
  <c r="CG113" i="10" s="1"/>
  <c r="CE207" i="10"/>
  <c r="CE208" i="10"/>
  <c r="CE209" i="10"/>
  <c r="CE214" i="10"/>
  <c r="CE36" i="10"/>
  <c r="CE42" i="10"/>
  <c r="CC49" i="10"/>
  <c r="CE50" i="10"/>
  <c r="CE58" i="10"/>
  <c r="CC63" i="10"/>
  <c r="CG63" i="10"/>
  <c r="CC64" i="10"/>
  <c r="CG64" i="10" s="1"/>
  <c r="CE70" i="10"/>
  <c r="CE71" i="10"/>
  <c r="CC72" i="10"/>
  <c r="CG72" i="10" s="1"/>
  <c r="CC73" i="10"/>
  <c r="CE74" i="10"/>
  <c r="CI74" i="10" s="1"/>
  <c r="CC75" i="10"/>
  <c r="CG75" i="10" s="1"/>
  <c r="CC77" i="10"/>
  <c r="CG77" i="10" s="1"/>
  <c r="CC79" i="10"/>
  <c r="CC80" i="10"/>
  <c r="CG80" i="10" s="1"/>
  <c r="CE87" i="10"/>
  <c r="CC96" i="10"/>
  <c r="CG96" i="10"/>
  <c r="CC97" i="10"/>
  <c r="CC99" i="10"/>
  <c r="CG99" i="10" s="1"/>
  <c r="CC101" i="10"/>
  <c r="CG101" i="10" s="1"/>
  <c r="CE117" i="10"/>
  <c r="CC119" i="10"/>
  <c r="CG119" i="10" s="1"/>
  <c r="CE123" i="10"/>
  <c r="CC124" i="10"/>
  <c r="CG124" i="10"/>
  <c r="CC125" i="10"/>
  <c r="CG125" i="10" s="1"/>
  <c r="CC126" i="10"/>
  <c r="CG126" i="10" s="1"/>
  <c r="CC129" i="10"/>
  <c r="CG129" i="10" s="1"/>
  <c r="CE130" i="10"/>
  <c r="CC143" i="10"/>
  <c r="CG143" i="10" s="1"/>
  <c r="CE144" i="10"/>
  <c r="CC150" i="10"/>
  <c r="CG150" i="10" s="1"/>
  <c r="CE151" i="10"/>
  <c r="CE156" i="10"/>
  <c r="CE159" i="10"/>
  <c r="CC164" i="10"/>
  <c r="CG164" i="10" s="1"/>
  <c r="CE172" i="10"/>
  <c r="CC176" i="10"/>
  <c r="CG176" i="10"/>
  <c r="CE177" i="10"/>
  <c r="CE182" i="10"/>
  <c r="CE183" i="10"/>
  <c r="CI183" i="10" s="1"/>
  <c r="CC187" i="10"/>
  <c r="CE188" i="10"/>
  <c r="CC191" i="10"/>
  <c r="CG191" i="10" s="1"/>
  <c r="CE192" i="10"/>
  <c r="CC193" i="10"/>
  <c r="CE197" i="10"/>
  <c r="CE187" i="10"/>
  <c r="CE191" i="10"/>
  <c r="CE193" i="10"/>
  <c r="CE203" i="10"/>
  <c r="CI203" i="10" s="1"/>
  <c r="CE212" i="10"/>
  <c r="CC32" i="10"/>
  <c r="CC169" i="10"/>
  <c r="CC179" i="10"/>
  <c r="CG179" i="10" s="1"/>
  <c r="CC195" i="10"/>
  <c r="CG195" i="10" s="1"/>
  <c r="CC198" i="10"/>
  <c r="CG198" i="10" s="1"/>
  <c r="CC30" i="10"/>
  <c r="CG30" i="10"/>
  <c r="CC205" i="10"/>
  <c r="CC206" i="10"/>
  <c r="CG206" i="10" s="1"/>
  <c r="CC35" i="10"/>
  <c r="CG35" i="10" s="1"/>
  <c r="CC41" i="10"/>
  <c r="CG41" i="10" s="1"/>
  <c r="CE49" i="10"/>
  <c r="CC57" i="10"/>
  <c r="CG57" i="10" s="1"/>
  <c r="CC61" i="10"/>
  <c r="CC62" i="10"/>
  <c r="CG62" i="10" s="1"/>
  <c r="CE63" i="10"/>
  <c r="CE64" i="10"/>
  <c r="CE72" i="10"/>
  <c r="CE73" i="10"/>
  <c r="CE75" i="10"/>
  <c r="CC76" i="10"/>
  <c r="CG76" i="10"/>
  <c r="CE77" i="10"/>
  <c r="CC78" i="10"/>
  <c r="CG78" i="10" s="1"/>
  <c r="CE79" i="10"/>
  <c r="CE80" i="10"/>
  <c r="CC94" i="10"/>
  <c r="CC95" i="10"/>
  <c r="CG95" i="10" s="1"/>
  <c r="CE96" i="10"/>
  <c r="CI96" i="10" s="1"/>
  <c r="CE97" i="10"/>
  <c r="CC98" i="10"/>
  <c r="CG98" i="10"/>
  <c r="CE99" i="10"/>
  <c r="CC100" i="10"/>
  <c r="CG100" i="10" s="1"/>
  <c r="CE101" i="10"/>
  <c r="CC102" i="10"/>
  <c r="CG102" i="10" s="1"/>
  <c r="CC111" i="10"/>
  <c r="CG111" i="10"/>
  <c r="CE119" i="10"/>
  <c r="CI119" i="10" s="1"/>
  <c r="CC120" i="10"/>
  <c r="CG120" i="10" s="1"/>
  <c r="CC121" i="10"/>
  <c r="CC122" i="10"/>
  <c r="CG122" i="10" s="1"/>
  <c r="CE124" i="10"/>
  <c r="CE125" i="10"/>
  <c r="CE126" i="10"/>
  <c r="CC127" i="10"/>
  <c r="CC128" i="10"/>
  <c r="CG128" i="10" s="1"/>
  <c r="CE129" i="10"/>
  <c r="CC138" i="10"/>
  <c r="CG138" i="10" s="1"/>
  <c r="CC142" i="10"/>
  <c r="CG142" i="10" s="1"/>
  <c r="CE143" i="10"/>
  <c r="CC147" i="10"/>
  <c r="CG147" i="10" s="1"/>
  <c r="CC148" i="10"/>
  <c r="CC149" i="10"/>
  <c r="CE150" i="10"/>
  <c r="CC158" i="10"/>
  <c r="CG158" i="10"/>
  <c r="CE164" i="10"/>
  <c r="CC171" i="10"/>
  <c r="CC175" i="10"/>
  <c r="CE176" i="10"/>
  <c r="CC181" i="10"/>
  <c r="CC22" i="10"/>
  <c r="CG22" i="10" s="1"/>
  <c r="CE40" i="10"/>
  <c r="CC53" i="10"/>
  <c r="CG53" i="10" s="1"/>
  <c r="CE56" i="10"/>
  <c r="CC105" i="10"/>
  <c r="CC110" i="10"/>
  <c r="CG110" i="10" s="1"/>
  <c r="CC157" i="10"/>
  <c r="CG157" i="10" s="1"/>
  <c r="CC174" i="10"/>
  <c r="CG174" i="10" s="1"/>
  <c r="DY265" i="10"/>
  <c r="CC204" i="10"/>
  <c r="CG204" i="10" s="1"/>
  <c r="CE205" i="10"/>
  <c r="CE206" i="10"/>
  <c r="CC213" i="10"/>
  <c r="CG213" i="10" s="1"/>
  <c r="CC33" i="10"/>
  <c r="CC34" i="10"/>
  <c r="CE35" i="10"/>
  <c r="CI35" i="10" s="1"/>
  <c r="CE41" i="10"/>
  <c r="CC48" i="10"/>
  <c r="CG48" i="10" s="1"/>
  <c r="CC54" i="10"/>
  <c r="CG54" i="10"/>
  <c r="CE57" i="10"/>
  <c r="CC60" i="10"/>
  <c r="CG60" i="10" s="1"/>
  <c r="CE61" i="10"/>
  <c r="CE62" i="10"/>
  <c r="CE76" i="10"/>
  <c r="CE78" i="10"/>
  <c r="CC85" i="10"/>
  <c r="CC86" i="10"/>
  <c r="CG86" i="10"/>
  <c r="CC92" i="10"/>
  <c r="CG92" i="10"/>
  <c r="CE94" i="10"/>
  <c r="CE95" i="10"/>
  <c r="CE98" i="10"/>
  <c r="CE100" i="10"/>
  <c r="CE102" i="10"/>
  <c r="CC108" i="10"/>
  <c r="CG108" i="10" s="1"/>
  <c r="CE111" i="10"/>
  <c r="CI111" i="10" s="1"/>
  <c r="CC112" i="10"/>
  <c r="CG112" i="10"/>
  <c r="CE120" i="10"/>
  <c r="CE121" i="10"/>
  <c r="CE122" i="10"/>
  <c r="CE127" i="10"/>
  <c r="CE128" i="10"/>
  <c r="CC137" i="10"/>
  <c r="CG137" i="10"/>
  <c r="CE138" i="10"/>
  <c r="CC141" i="10"/>
  <c r="CG141" i="10"/>
  <c r="CE142" i="10"/>
  <c r="CE147" i="10"/>
  <c r="CE148" i="10"/>
  <c r="CE149" i="10"/>
  <c r="CC155" i="10"/>
  <c r="CG155" i="10" s="1"/>
  <c r="CE158" i="10"/>
  <c r="CC163" i="10"/>
  <c r="CE171" i="10"/>
  <c r="CE175" i="10"/>
  <c r="CE181" i="10"/>
  <c r="CC186" i="10"/>
  <c r="CG186" i="10"/>
  <c r="CC190" i="10"/>
  <c r="CC196" i="10"/>
  <c r="CG196" i="10"/>
  <c r="CC20" i="10"/>
  <c r="CC21" i="10"/>
  <c r="CE22" i="10"/>
  <c r="CC25" i="10"/>
  <c r="CC145" i="10"/>
  <c r="CE146" i="10"/>
  <c r="CE154" i="10"/>
  <c r="CC200" i="10"/>
  <c r="CG200" i="10"/>
  <c r="CE26" i="10"/>
  <c r="DY289" i="10"/>
  <c r="CC202" i="10"/>
  <c r="CG202" i="10" s="1"/>
  <c r="CC203" i="10"/>
  <c r="CG203" i="10"/>
  <c r="CE204" i="10"/>
  <c r="CI204" i="10" s="1"/>
  <c r="CC212" i="10"/>
  <c r="CG212" i="10" s="1"/>
  <c r="CE213" i="10"/>
  <c r="CI213" i="10" s="1"/>
  <c r="CE33" i="10"/>
  <c r="CE34" i="10"/>
  <c r="CC40" i="10"/>
  <c r="CC47" i="10"/>
  <c r="CG47" i="10" s="1"/>
  <c r="CE48" i="10"/>
  <c r="CE54" i="10"/>
  <c r="CC56" i="10"/>
  <c r="CG56" i="10" s="1"/>
  <c r="CE60" i="10"/>
  <c r="CE85" i="10"/>
  <c r="CE86" i="10"/>
  <c r="CE92" i="10"/>
  <c r="CC93" i="10"/>
  <c r="CG93" i="10"/>
  <c r="CC103" i="10"/>
  <c r="CE108" i="10"/>
  <c r="CC109" i="10"/>
  <c r="CE112" i="10"/>
  <c r="CE137" i="10"/>
  <c r="CI137" i="10" s="1"/>
  <c r="CE141" i="10"/>
  <c r="CI141" i="10" s="1"/>
  <c r="CC146" i="10"/>
  <c r="CG146" i="10" s="1"/>
  <c r="CC154" i="10"/>
  <c r="CG154" i="10" s="1"/>
  <c r="CE155" i="10"/>
  <c r="CI155" i="10" s="1"/>
  <c r="CC162" i="10"/>
  <c r="CG162" i="10"/>
  <c r="CE163" i="10"/>
  <c r="CC170" i="10"/>
  <c r="CG170" i="10" s="1"/>
  <c r="CC180" i="10"/>
  <c r="CG180" i="10" s="1"/>
  <c r="CE186" i="10"/>
  <c r="CE190" i="10"/>
  <c r="CE196" i="10"/>
  <c r="CE20" i="10"/>
  <c r="CE21" i="10"/>
  <c r="CE25" i="10"/>
  <c r="CC26" i="10"/>
  <c r="CE93" i="10"/>
  <c r="CC106" i="10"/>
  <c r="CG106" i="10" s="1"/>
  <c r="CC161" i="10"/>
  <c r="CG161" i="10" s="1"/>
  <c r="CE202" i="10"/>
  <c r="CE109" i="10"/>
  <c r="CE162" i="10"/>
  <c r="CC31" i="10"/>
  <c r="DY781" i="10"/>
  <c r="DY272" i="10"/>
  <c r="DY457" i="10"/>
  <c r="DY905" i="10"/>
  <c r="DY292" i="10"/>
  <c r="DY386" i="10"/>
  <c r="DY218" i="10"/>
  <c r="DY769" i="10"/>
  <c r="DY865" i="10"/>
  <c r="DY714" i="10"/>
  <c r="DY829" i="10"/>
  <c r="DY658" i="10"/>
  <c r="DY970" i="10"/>
  <c r="DY322" i="10"/>
  <c r="DY278" i="10"/>
  <c r="DY268" i="10"/>
  <c r="DY434" i="10"/>
  <c r="DY595" i="10"/>
  <c r="DY284" i="10"/>
  <c r="DY936" i="10"/>
  <c r="DY982" i="10"/>
  <c r="DY283" i="10"/>
  <c r="DY745" i="10"/>
  <c r="DY901" i="10"/>
  <c r="DY817" i="10"/>
  <c r="DY877" i="10"/>
  <c r="DY346" i="10"/>
  <c r="DY514" i="10"/>
  <c r="DY454" i="10"/>
  <c r="DY796" i="10"/>
  <c r="DY370" i="10"/>
  <c r="DY460" i="10"/>
  <c r="DY701" i="10"/>
  <c r="DY626" i="10"/>
  <c r="DY258" i="10"/>
  <c r="DY356" i="10"/>
  <c r="DY524" i="10"/>
  <c r="DY732" i="10"/>
  <c r="DY247" i="10"/>
  <c r="DY520" i="10"/>
  <c r="DY328" i="10"/>
  <c r="DY532" i="10"/>
  <c r="DY823" i="10"/>
  <c r="DY908" i="10"/>
  <c r="DY941" i="10"/>
  <c r="DY760" i="10"/>
  <c r="DY536" i="10"/>
  <c r="DY932" i="10"/>
  <c r="DY541" i="10"/>
  <c r="DY262" i="10"/>
  <c r="DY610" i="10"/>
  <c r="DY642" i="10"/>
  <c r="DY907" i="10"/>
  <c r="DY940" i="10"/>
  <c r="DY446" i="10"/>
  <c r="DY756" i="10"/>
  <c r="DY871" i="10"/>
  <c r="DY888" i="10"/>
  <c r="DY553" i="10"/>
  <c r="DY883" i="10"/>
  <c r="DY80" i="10"/>
  <c r="DY880" i="10"/>
  <c r="DY933" i="10"/>
  <c r="DY868" i="10"/>
  <c r="DY856" i="10"/>
  <c r="DY775" i="10"/>
  <c r="DY468" i="10"/>
  <c r="DY792" i="10"/>
  <c r="DY146" i="10"/>
  <c r="DY212" i="10"/>
  <c r="ED212" i="10" s="1"/>
  <c r="DY145" i="10"/>
  <c r="DY110" i="10"/>
  <c r="DY59" i="10"/>
  <c r="DY31" i="10"/>
  <c r="DY170" i="10"/>
  <c r="DY199" i="10"/>
  <c r="DY49" i="10"/>
  <c r="DY84" i="10"/>
  <c r="DY193" i="10"/>
  <c r="DY169" i="10"/>
  <c r="DY163" i="10"/>
  <c r="DY164" i="10"/>
  <c r="DY180" i="10"/>
  <c r="DY187" i="10"/>
  <c r="DY194" i="10"/>
  <c r="DY151" i="10"/>
  <c r="DY176" i="10"/>
  <c r="DY182" i="10"/>
  <c r="CC19" i="10"/>
  <c r="CC18" i="10"/>
  <c r="CG18" i="10"/>
  <c r="CC17" i="10"/>
  <c r="CG17" i="10"/>
  <c r="CE16" i="10"/>
  <c r="CC16" i="10"/>
  <c r="CG16" i="10" s="1"/>
  <c r="CE17" i="10"/>
  <c r="CC15" i="10"/>
  <c r="CG15" i="10" s="1"/>
  <c r="CE18" i="10"/>
  <c r="CE19" i="10"/>
  <c r="CE15" i="10"/>
  <c r="D15" i="4"/>
  <c r="D16" i="4"/>
  <c r="CI1008" i="10"/>
  <c r="CI784" i="10"/>
  <c r="CI922" i="10"/>
  <c r="CI920" i="10"/>
  <c r="CI884" i="10"/>
  <c r="CI853" i="10"/>
  <c r="CI735" i="10"/>
  <c r="CI794" i="10"/>
  <c r="CI750" i="10"/>
  <c r="CI864" i="10"/>
  <c r="CI656" i="10"/>
  <c r="CI754" i="10"/>
  <c r="CI848" i="10"/>
  <c r="CI632" i="10"/>
  <c r="CI742" i="10"/>
  <c r="CI693" i="10"/>
  <c r="CI639" i="10"/>
  <c r="CI717" i="10"/>
  <c r="CI495" i="10"/>
  <c r="CI700" i="10"/>
  <c r="CI711" i="10"/>
  <c r="CI640" i="10"/>
  <c r="CI550" i="10"/>
  <c r="CI554" i="10"/>
  <c r="CI563" i="10"/>
  <c r="CI492" i="10"/>
  <c r="CI410" i="10"/>
  <c r="CI382" i="10"/>
  <c r="CI326" i="10"/>
  <c r="CI248" i="10"/>
  <c r="CI760" i="10"/>
  <c r="CI170" i="10"/>
  <c r="CI198" i="10"/>
  <c r="CI1004" i="10"/>
  <c r="CI961" i="10"/>
  <c r="CI912" i="10"/>
  <c r="CI931" i="10"/>
  <c r="CI921" i="10"/>
  <c r="CI883" i="10"/>
  <c r="CI952" i="10"/>
  <c r="CI889" i="10"/>
  <c r="CI799" i="10"/>
  <c r="CI749" i="10"/>
  <c r="CI664" i="10"/>
  <c r="CI822" i="10"/>
  <c r="CI871" i="10"/>
  <c r="CI782" i="10"/>
  <c r="CI830" i="10"/>
  <c r="CI781" i="10"/>
  <c r="CI701" i="10"/>
  <c r="CI622" i="10"/>
  <c r="CI678" i="10"/>
  <c r="CI615" i="10"/>
  <c r="CI514" i="10"/>
  <c r="CI490" i="10"/>
  <c r="CI521" i="10"/>
  <c r="CI478" i="10"/>
  <c r="CI432" i="10"/>
  <c r="CI386" i="10"/>
  <c r="CI381" i="10"/>
  <c r="CI297" i="10"/>
  <c r="CI318" i="10"/>
  <c r="CI233" i="10"/>
  <c r="CI228" i="10"/>
  <c r="CI995" i="10"/>
  <c r="CI808" i="10"/>
  <c r="CI986" i="10"/>
  <c r="CI949" i="10"/>
  <c r="CI898" i="10"/>
  <c r="CI878" i="10"/>
  <c r="CI985" i="10"/>
  <c r="CI925" i="10"/>
  <c r="CI974" i="10"/>
  <c r="CI940" i="10"/>
  <c r="CI979" i="10"/>
  <c r="CI942" i="10"/>
  <c r="CI743" i="10"/>
  <c r="CI635" i="10"/>
  <c r="CI746" i="10"/>
  <c r="CI751" i="10"/>
  <c r="CI687" i="10"/>
  <c r="CI650" i="10"/>
  <c r="CI654" i="10"/>
  <c r="CI675" i="10"/>
  <c r="CI695" i="10"/>
  <c r="CI707" i="10"/>
  <c r="CI593" i="10"/>
  <c r="CI562" i="10"/>
  <c r="CI578" i="10"/>
  <c r="CI549" i="10"/>
  <c r="CI584" i="10"/>
  <c r="CI552" i="10"/>
  <c r="CI596" i="10"/>
  <c r="CI551" i="10"/>
  <c r="CI520" i="10"/>
  <c r="CI494" i="10"/>
  <c r="CI350" i="10"/>
  <c r="CI401" i="10"/>
  <c r="CI162" i="10"/>
  <c r="CI194" i="10"/>
  <c r="CI161" i="10"/>
  <c r="CI104" i="10"/>
  <c r="CI991" i="10"/>
  <c r="CI994" i="10"/>
  <c r="CI987" i="10"/>
  <c r="CI944" i="10"/>
  <c r="CI945" i="10"/>
  <c r="CI914" i="10"/>
  <c r="CI897" i="10"/>
  <c r="CI904" i="10"/>
  <c r="CI872" i="10"/>
  <c r="CI648" i="10"/>
  <c r="CI800" i="10"/>
  <c r="CI790" i="10"/>
  <c r="CI819" i="10"/>
  <c r="CI765" i="10"/>
  <c r="CI706" i="10"/>
  <c r="CI652" i="10"/>
  <c r="CI778" i="10"/>
  <c r="CI834" i="10"/>
  <c r="CI683" i="10"/>
  <c r="CI692" i="10"/>
  <c r="CI672" i="10"/>
  <c r="CI646" i="10"/>
  <c r="CI666" i="10"/>
  <c r="CI543" i="10"/>
  <c r="CI537" i="10"/>
  <c r="CI591" i="10"/>
  <c r="CI580" i="10"/>
  <c r="CI629" i="10"/>
  <c r="CI590" i="10"/>
  <c r="CI546" i="10"/>
  <c r="CI418" i="10"/>
  <c r="CI515" i="10"/>
  <c r="CI498" i="10"/>
  <c r="CI470" i="10"/>
  <c r="CI438" i="10"/>
  <c r="CI462" i="10"/>
  <c r="CI444" i="10"/>
  <c r="CI413" i="10"/>
  <c r="CI329" i="10"/>
  <c r="CI327" i="10"/>
  <c r="CI237" i="10"/>
  <c r="CI207" i="10"/>
  <c r="CI189" i="10"/>
  <c r="CI854" i="10"/>
  <c r="CI823" i="10"/>
  <c r="CI30" i="10"/>
  <c r="CI989" i="10"/>
  <c r="CI988" i="10"/>
  <c r="CI970" i="10"/>
  <c r="CI975" i="10"/>
  <c r="CI938" i="10"/>
  <c r="CI928" i="10"/>
  <c r="CI893" i="10"/>
  <c r="CI964" i="10"/>
  <c r="CI943" i="10"/>
  <c r="CI916" i="10"/>
  <c r="CI901" i="10"/>
  <c r="CI847" i="10"/>
  <c r="CI772" i="10"/>
  <c r="CI727" i="10"/>
  <c r="CI862" i="10"/>
  <c r="CI740" i="10"/>
  <c r="CI842" i="10"/>
  <c r="CI728" i="10"/>
  <c r="CI811" i="10"/>
  <c r="CI694" i="10"/>
  <c r="CI775" i="10"/>
  <c r="CI651" i="10"/>
  <c r="CI600" i="10"/>
  <c r="CI519" i="10"/>
  <c r="CI712" i="10"/>
  <c r="CI688" i="10"/>
  <c r="CI716" i="10"/>
  <c r="CI729" i="10"/>
  <c r="CI685" i="10"/>
  <c r="CI570" i="10"/>
  <c r="CI659" i="10"/>
  <c r="CI597" i="10"/>
  <c r="CI568" i="10"/>
  <c r="CI603" i="10"/>
  <c r="CI544" i="10"/>
  <c r="CI510" i="10"/>
  <c r="CI506" i="10"/>
  <c r="CI508" i="10"/>
  <c r="CI464" i="10"/>
  <c r="CI426" i="10"/>
  <c r="CI459" i="10"/>
  <c r="CI472" i="10"/>
  <c r="CI456" i="10"/>
  <c r="CI356" i="10"/>
  <c r="CI394" i="10"/>
  <c r="CI368" i="10"/>
  <c r="CI339" i="10"/>
  <c r="CI254" i="10"/>
  <c r="CI236" i="10"/>
  <c r="CI222" i="10"/>
  <c r="CI225" i="10"/>
  <c r="CI1009" i="10"/>
  <c r="CI1010" i="10"/>
  <c r="CI911" i="10"/>
  <c r="CI22" i="10"/>
  <c r="CI57" i="10"/>
  <c r="CI28" i="10"/>
  <c r="CI882" i="10"/>
  <c r="CI1001" i="10"/>
  <c r="CI980" i="10"/>
  <c r="CI892" i="10"/>
  <c r="CI867" i="10"/>
  <c r="CI736" i="10"/>
  <c r="CI905" i="10"/>
  <c r="CI873" i="10"/>
  <c r="CI927" i="10"/>
  <c r="CI902" i="10"/>
  <c r="CI856" i="10"/>
  <c r="CI868" i="10"/>
  <c r="CI788" i="10"/>
  <c r="CI776" i="10"/>
  <c r="CI860" i="10"/>
  <c r="CI835" i="10"/>
  <c r="CI653" i="10"/>
  <c r="CI771" i="10"/>
  <c r="CI805" i="10"/>
  <c r="CI739" i="10"/>
  <c r="CI802" i="10"/>
  <c r="CI764" i="10"/>
  <c r="CI719" i="10"/>
  <c r="CI726" i="10"/>
  <c r="CI621" i="10"/>
  <c r="CI626" i="10"/>
  <c r="CI575" i="10"/>
  <c r="CI540" i="10"/>
  <c r="CI503" i="10"/>
  <c r="CI474" i="10"/>
  <c r="CI412" i="10"/>
  <c r="CI398" i="10"/>
  <c r="CI365" i="10"/>
  <c r="CI363" i="10"/>
  <c r="CI303" i="10"/>
  <c r="CI291" i="10"/>
  <c r="CI308" i="10"/>
  <c r="CI263" i="10"/>
  <c r="CI272" i="10"/>
  <c r="CI51" i="10"/>
  <c r="CI126" i="10"/>
  <c r="CI886" i="10"/>
  <c r="CI108" i="10"/>
  <c r="CI54" i="10"/>
  <c r="CI138" i="10"/>
  <c r="CI143" i="10"/>
  <c r="CI24" i="10"/>
  <c r="CI27" i="10"/>
  <c r="CI174" i="10"/>
  <c r="CI998" i="10"/>
  <c r="CI1014" i="10"/>
  <c r="CI996" i="10"/>
  <c r="CI918" i="10"/>
  <c r="CI874" i="10"/>
  <c r="CI865" i="10"/>
  <c r="CI960" i="10"/>
  <c r="CI951" i="10"/>
  <c r="CI894" i="10"/>
  <c r="CI967" i="10"/>
  <c r="CI908" i="10"/>
  <c r="CI722" i="10"/>
  <c r="CI836" i="10"/>
  <c r="CI755" i="10"/>
  <c r="CI796" i="10"/>
  <c r="CI766" i="10"/>
  <c r="CI769" i="10"/>
  <c r="CI731" i="10"/>
  <c r="CI689" i="10"/>
  <c r="CI721" i="10"/>
  <c r="CI660" i="10"/>
  <c r="CI691" i="10"/>
  <c r="CI662" i="10"/>
  <c r="CI720" i="10"/>
  <c r="CI618" i="10"/>
  <c r="CI684" i="10"/>
  <c r="CI645" i="10"/>
  <c r="CI620" i="10"/>
  <c r="CI624" i="10"/>
  <c r="CI594" i="10"/>
  <c r="CI545" i="10"/>
  <c r="CI539" i="10"/>
  <c r="CI538" i="10"/>
  <c r="CI448" i="10"/>
  <c r="CI378" i="10"/>
  <c r="CI364" i="10"/>
  <c r="CI192" i="10"/>
  <c r="CI150" i="10"/>
  <c r="CI195" i="10"/>
  <c r="CI48" i="10"/>
  <c r="CI158" i="10"/>
  <c r="CI117" i="10"/>
  <c r="CI969" i="10"/>
  <c r="CI993" i="10"/>
  <c r="CI1002" i="10"/>
  <c r="CI913" i="10"/>
  <c r="CI866" i="10"/>
  <c r="CI968" i="10"/>
  <c r="CI977" i="10"/>
  <c r="CI937" i="10"/>
  <c r="CI888" i="10"/>
  <c r="CI933" i="10"/>
  <c r="CI965" i="10"/>
  <c r="CI947" i="10"/>
  <c r="CI963" i="10"/>
  <c r="CI907" i="10"/>
  <c r="CI919" i="10"/>
  <c r="CI770" i="10"/>
  <c r="CI710" i="10"/>
  <c r="CI817" i="10"/>
  <c r="CI850" i="10"/>
  <c r="CI855" i="10"/>
  <c r="CI783" i="10"/>
  <c r="CI733" i="10"/>
  <c r="CI696" i="10"/>
  <c r="CI617" i="10"/>
  <c r="CI795" i="10"/>
  <c r="CI725" i="10"/>
  <c r="CI838" i="10"/>
  <c r="CI561" i="10"/>
  <c r="CI718" i="10"/>
  <c r="CI663" i="10"/>
  <c r="CI690" i="10"/>
  <c r="CI668" i="10"/>
  <c r="CI611" i="10"/>
  <c r="CI681" i="10"/>
  <c r="CI567" i="10"/>
  <c r="CI612" i="10"/>
  <c r="CI582" i="10"/>
  <c r="CI564" i="10"/>
  <c r="CI602" i="10"/>
  <c r="CI502" i="10"/>
  <c r="CI526" i="10"/>
  <c r="CI504" i="10"/>
  <c r="CI530" i="10"/>
  <c r="CI500" i="10"/>
  <c r="CI468" i="10"/>
  <c r="CI436" i="10"/>
  <c r="CI407" i="10"/>
  <c r="CI395" i="10"/>
  <c r="CI284" i="10"/>
  <c r="CI220" i="10"/>
  <c r="H36" i="9" l="1"/>
  <c r="L29" i="9"/>
  <c r="H30" i="9"/>
  <c r="S120" i="7" s="1"/>
  <c r="L18" i="9"/>
  <c r="I35" i="9"/>
  <c r="L35" i="9"/>
  <c r="F29" i="9"/>
  <c r="K29" i="9" s="1"/>
  <c r="F17" i="9"/>
  <c r="F35" i="9"/>
  <c r="K35" i="9" s="1"/>
  <c r="K34" i="9"/>
  <c r="H35" i="9"/>
  <c r="U15" i="7"/>
  <c r="L28" i="9"/>
  <c r="K18" i="9"/>
  <c r="AR18" i="9" s="1"/>
  <c r="K23" i="9"/>
  <c r="L23" i="9"/>
  <c r="H27" i="9"/>
  <c r="S117" i="7" s="1"/>
  <c r="L34" i="9"/>
  <c r="K21" i="9"/>
  <c r="L15" i="9"/>
  <c r="K15" i="9"/>
  <c r="V15" i="9" s="1"/>
  <c r="L32" i="9"/>
  <c r="H28" i="9"/>
  <c r="S118" i="7" s="1"/>
  <c r="U17" i="7"/>
  <c r="L33" i="9"/>
  <c r="L30" i="9"/>
  <c r="K30" i="9"/>
  <c r="U19" i="7"/>
  <c r="J64" i="7" s="1"/>
  <c r="AI15" i="9"/>
  <c r="K32" i="9"/>
  <c r="K22" i="9"/>
  <c r="K33" i="9"/>
  <c r="K20" i="9"/>
  <c r="L17" i="9"/>
  <c r="K28" i="9"/>
  <c r="L21" i="9"/>
  <c r="K16" i="9"/>
  <c r="O16" i="9" s="1"/>
  <c r="L22" i="9"/>
  <c r="BA26" i="10"/>
  <c r="BC26" i="10" s="1"/>
  <c r="EC26" i="10"/>
  <c r="BA20" i="10"/>
  <c r="BC20" i="10" s="1"/>
  <c r="EC20" i="10"/>
  <c r="CI23" i="10"/>
  <c r="CI29" i="10"/>
  <c r="CL23" i="10"/>
  <c r="BB855" i="10"/>
  <c r="BD855" i="10" s="1"/>
  <c r="BM287" i="10"/>
  <c r="BV287" i="10" s="1"/>
  <c r="BB969" i="10"/>
  <c r="BD969" i="10" s="1"/>
  <c r="BM723" i="10"/>
  <c r="BV723" i="10" s="1"/>
  <c r="BB633" i="10"/>
  <c r="BD633" i="10" s="1"/>
  <c r="BB987" i="10"/>
  <c r="BD987" i="10" s="1"/>
  <c r="BB171" i="10"/>
  <c r="BD171" i="10" s="1"/>
  <c r="BB111" i="10"/>
  <c r="BD111" i="10" s="1"/>
  <c r="BB135" i="10"/>
  <c r="BD135" i="10" s="1"/>
  <c r="AQ169" i="10"/>
  <c r="BB735" i="10"/>
  <c r="BD735" i="10" s="1"/>
  <c r="BN424" i="10"/>
  <c r="BW424" i="10" s="1"/>
  <c r="BM630" i="10"/>
  <c r="BV630" i="10" s="1"/>
  <c r="BA967" i="10"/>
  <c r="BC967" i="10" s="1"/>
  <c r="BN248" i="10"/>
  <c r="BW248" i="10" s="1"/>
  <c r="BN896" i="10"/>
  <c r="BW896" i="10" s="1"/>
  <c r="AQ266" i="10"/>
  <c r="BB147" i="10"/>
  <c r="BD147" i="10" s="1"/>
  <c r="BB117" i="10"/>
  <c r="BD117" i="10" s="1"/>
  <c r="BN311" i="10"/>
  <c r="BW311" i="10" s="1"/>
  <c r="BB549" i="10"/>
  <c r="BD549" i="10" s="1"/>
  <c r="EC985" i="10"/>
  <c r="EC997" i="10"/>
  <c r="BN297" i="10"/>
  <c r="BW297" i="10" s="1"/>
  <c r="CA297" i="10" s="1"/>
  <c r="AN883" i="10"/>
  <c r="DY735" i="10"/>
  <c r="BB177" i="10"/>
  <c r="BD177" i="10" s="1"/>
  <c r="BB207" i="10"/>
  <c r="BD207" i="10" s="1"/>
  <c r="BN235" i="10"/>
  <c r="BW235" i="10" s="1"/>
  <c r="BB795" i="10"/>
  <c r="BD795" i="10" s="1"/>
  <c r="BI901" i="10"/>
  <c r="BK901" i="10" s="1"/>
  <c r="BA961" i="10"/>
  <c r="BC961" i="10" s="1"/>
  <c r="BA955" i="10"/>
  <c r="BC955" i="10" s="1"/>
  <c r="BI305" i="10"/>
  <c r="BK305" i="10" s="1"/>
  <c r="BI384" i="10"/>
  <c r="BK384" i="10" s="1"/>
  <c r="BA997" i="10"/>
  <c r="BC997" i="10" s="1"/>
  <c r="AW997" i="10" s="1"/>
  <c r="BA979" i="10"/>
  <c r="BC979" i="10" s="1"/>
  <c r="BB993" i="10"/>
  <c r="BD993" i="10" s="1"/>
  <c r="AW993" i="10" s="1"/>
  <c r="BB129" i="10"/>
  <c r="BD129" i="10" s="1"/>
  <c r="BB705" i="10"/>
  <c r="BD705" i="10" s="1"/>
  <c r="BA991" i="10"/>
  <c r="BC991" i="10" s="1"/>
  <c r="BI930" i="10"/>
  <c r="BK930" i="10" s="1"/>
  <c r="BJ890" i="10"/>
  <c r="BL890" i="10" s="1"/>
  <c r="EC955" i="10"/>
  <c r="BB753" i="10"/>
  <c r="BD753" i="10" s="1"/>
  <c r="BB153" i="10"/>
  <c r="BD153" i="10" s="1"/>
  <c r="BB183" i="10"/>
  <c r="BD183" i="10" s="1"/>
  <c r="BN52" i="10"/>
  <c r="BW52" i="10" s="1"/>
  <c r="CA52" i="10" s="1"/>
  <c r="BB123" i="10"/>
  <c r="BD123" i="10" s="1"/>
  <c r="BB597" i="10"/>
  <c r="BD597" i="10" s="1"/>
  <c r="BB951" i="10"/>
  <c r="BD951" i="10" s="1"/>
  <c r="BI243" i="10"/>
  <c r="BK243" i="10" s="1"/>
  <c r="BJ486" i="10"/>
  <c r="BL486" i="10" s="1"/>
  <c r="BA973" i="10"/>
  <c r="BC973" i="10" s="1"/>
  <c r="EC967" i="10"/>
  <c r="BA949" i="10"/>
  <c r="BC949" i="10" s="1"/>
  <c r="DY591" i="10"/>
  <c r="BB225" i="10"/>
  <c r="BD225" i="10" s="1"/>
  <c r="AN225" i="10" s="1"/>
  <c r="BM353" i="10"/>
  <c r="BV353" i="10" s="1"/>
  <c r="BB981" i="10"/>
  <c r="BD981" i="10" s="1"/>
  <c r="AN981" i="10" s="1"/>
  <c r="BM366" i="10"/>
  <c r="BV366" i="10" s="1"/>
  <c r="EC1009" i="10"/>
  <c r="EC961" i="10"/>
  <c r="BB189" i="10"/>
  <c r="BD189" i="10" s="1"/>
  <c r="BN79" i="10"/>
  <c r="BW79" i="10" s="1"/>
  <c r="BB213" i="10"/>
  <c r="BD213" i="10" s="1"/>
  <c r="BM324" i="10"/>
  <c r="BV324" i="10" s="1"/>
  <c r="BB945" i="10"/>
  <c r="BD945" i="10" s="1"/>
  <c r="BI987" i="10"/>
  <c r="BK987" i="10" s="1"/>
  <c r="BA1009" i="10"/>
  <c r="BC1009" i="10" s="1"/>
  <c r="EC979" i="10"/>
  <c r="BB939" i="10"/>
  <c r="BD939" i="10" s="1"/>
  <c r="AW939" i="10" s="1"/>
  <c r="AQ906" i="10"/>
  <c r="BN90" i="10"/>
  <c r="BW90" i="10" s="1"/>
  <c r="BB159" i="10"/>
  <c r="BD159" i="10" s="1"/>
  <c r="BB105" i="10"/>
  <c r="BD105" i="10" s="1"/>
  <c r="BB843" i="10"/>
  <c r="BD843" i="10" s="1"/>
  <c r="BB819" i="10"/>
  <c r="BD819" i="10" s="1"/>
  <c r="BM770" i="10"/>
  <c r="BV770" i="10" s="1"/>
  <c r="EC949" i="10"/>
  <c r="EC991" i="10"/>
  <c r="BA985" i="10"/>
  <c r="BC985" i="10" s="1"/>
  <c r="BN84" i="10"/>
  <c r="BW84" i="10" s="1"/>
  <c r="BB195" i="10"/>
  <c r="BD195" i="10" s="1"/>
  <c r="AN195" i="10" s="1"/>
  <c r="BJ283" i="10"/>
  <c r="BL283" i="10" s="1"/>
  <c r="BJ766" i="10"/>
  <c r="BL766" i="10" s="1"/>
  <c r="BB141" i="10"/>
  <c r="BD141" i="10" s="1"/>
  <c r="BB285" i="10"/>
  <c r="BD285" i="10" s="1"/>
  <c r="BI596" i="10"/>
  <c r="BK596" i="10" s="1"/>
  <c r="BM761" i="10"/>
  <c r="BV761" i="10" s="1"/>
  <c r="BA1003" i="10"/>
  <c r="BC1003" i="10" s="1"/>
  <c r="BB1005" i="10"/>
  <c r="BD1005" i="10" s="1"/>
  <c r="BB999" i="10"/>
  <c r="BD999" i="10" s="1"/>
  <c r="DI24" i="10"/>
  <c r="DI21" i="10"/>
  <c r="DK20" i="10"/>
  <c r="DI25" i="10"/>
  <c r="DI22" i="10"/>
  <c r="DK23" i="10"/>
  <c r="CI52" i="10"/>
  <c r="BM915" i="10"/>
  <c r="BV915" i="10" s="1"/>
  <c r="BI915" i="10"/>
  <c r="BK915" i="10" s="1"/>
  <c r="AQ915" i="10" s="1"/>
  <c r="AW908" i="10"/>
  <c r="AN908" i="10"/>
  <c r="BJ534" i="10"/>
  <c r="BL534" i="10" s="1"/>
  <c r="BN534" i="10"/>
  <c r="BW534" i="10" s="1"/>
  <c r="BM529" i="10"/>
  <c r="BV529" i="10" s="1"/>
  <c r="BI529" i="10"/>
  <c r="BK529" i="10" s="1"/>
  <c r="AQ529" i="10" s="1"/>
  <c r="BM520" i="10"/>
  <c r="BV520" i="10" s="1"/>
  <c r="BI520" i="10"/>
  <c r="BK520" i="10" s="1"/>
  <c r="CI190" i="10"/>
  <c r="CI234" i="10"/>
  <c r="BJ598" i="10"/>
  <c r="BL598" i="10" s="1"/>
  <c r="BN598" i="10"/>
  <c r="BW598" i="10" s="1"/>
  <c r="BJ588" i="10"/>
  <c r="BL588" i="10" s="1"/>
  <c r="BN588" i="10"/>
  <c r="BW588" i="10" s="1"/>
  <c r="BI663" i="10"/>
  <c r="BK663" i="10" s="1"/>
  <c r="AQ663" i="10" s="1"/>
  <c r="BM663" i="10"/>
  <c r="BV663" i="10" s="1"/>
  <c r="BM135" i="10"/>
  <c r="BV135" i="10" s="1"/>
  <c r="BI135" i="10"/>
  <c r="BK135" i="10" s="1"/>
  <c r="BI961" i="10"/>
  <c r="BK961" i="10" s="1"/>
  <c r="BM961" i="10"/>
  <c r="BV961" i="10" s="1"/>
  <c r="BJ832" i="10"/>
  <c r="BL832" i="10" s="1"/>
  <c r="BN832" i="10"/>
  <c r="BW832" i="10" s="1"/>
  <c r="BM831" i="10"/>
  <c r="BV831" i="10" s="1"/>
  <c r="BZ831" i="10" s="1"/>
  <c r="BI831" i="10"/>
  <c r="BK831" i="10" s="1"/>
  <c r="BJ815" i="10"/>
  <c r="BL815" i="10" s="1"/>
  <c r="BN815" i="10"/>
  <c r="BW815" i="10" s="1"/>
  <c r="BI800" i="10"/>
  <c r="BK800" i="10" s="1"/>
  <c r="BM800" i="10"/>
  <c r="BV800" i="10" s="1"/>
  <c r="CL744" i="10"/>
  <c r="CD744" i="10"/>
  <c r="CH744" i="10" s="1"/>
  <c r="BM743" i="10"/>
  <c r="BV743" i="10" s="1"/>
  <c r="BI743" i="10"/>
  <c r="BK743" i="10" s="1"/>
  <c r="BI738" i="10"/>
  <c r="BK738" i="10" s="1"/>
  <c r="BM738" i="10"/>
  <c r="BV738" i="10" s="1"/>
  <c r="BI285" i="10"/>
  <c r="BK285" i="10" s="1"/>
  <c r="BM285" i="10"/>
  <c r="BV285" i="10" s="1"/>
  <c r="BM276" i="10"/>
  <c r="BV276" i="10" s="1"/>
  <c r="BI276" i="10"/>
  <c r="BK276" i="10" s="1"/>
  <c r="BI267" i="10"/>
  <c r="BK267" i="10" s="1"/>
  <c r="BM267" i="10"/>
  <c r="BV267" i="10" s="1"/>
  <c r="BI250" i="10"/>
  <c r="BK250" i="10" s="1"/>
  <c r="BM250" i="10"/>
  <c r="BV250" i="10" s="1"/>
  <c r="BZ250" i="10" s="1"/>
  <c r="BJ233" i="10"/>
  <c r="BL233" i="10" s="1"/>
  <c r="BN233" i="10"/>
  <c r="BW233" i="10" s="1"/>
  <c r="BI224" i="10"/>
  <c r="BK224" i="10" s="1"/>
  <c r="BM224" i="10"/>
  <c r="BV224" i="10" s="1"/>
  <c r="BM215" i="10"/>
  <c r="BV215" i="10" s="1"/>
  <c r="BI215" i="10"/>
  <c r="BK215" i="10" s="1"/>
  <c r="BF1014" i="10"/>
  <c r="BU1014" i="10" s="1"/>
  <c r="BB1014" i="10"/>
  <c r="BD1014" i="10" s="1"/>
  <c r="AW1014" i="10" s="1"/>
  <c r="BF1008" i="10"/>
  <c r="BU1008" i="10" s="1"/>
  <c r="BB1008" i="10"/>
  <c r="BD1008" i="10" s="1"/>
  <c r="BF1002" i="10"/>
  <c r="BU1002" i="10" s="1"/>
  <c r="BB1002" i="10"/>
  <c r="BD1002" i="10" s="1"/>
  <c r="AN1002" i="10" s="1"/>
  <c r="BF996" i="10"/>
  <c r="BU996" i="10" s="1"/>
  <c r="BB996" i="10"/>
  <c r="BD996" i="10" s="1"/>
  <c r="BF990" i="10"/>
  <c r="BU990" i="10" s="1"/>
  <c r="DY990" i="10" s="1"/>
  <c r="BB990" i="10"/>
  <c r="BD990" i="10" s="1"/>
  <c r="BF984" i="10"/>
  <c r="BU984" i="10" s="1"/>
  <c r="BB984" i="10"/>
  <c r="BD984" i="10" s="1"/>
  <c r="BF978" i="10"/>
  <c r="BU978" i="10" s="1"/>
  <c r="BB978" i="10"/>
  <c r="BD978" i="10" s="1"/>
  <c r="AN978" i="10" s="1"/>
  <c r="BF972" i="10"/>
  <c r="BU972" i="10" s="1"/>
  <c r="DY972" i="10" s="1"/>
  <c r="BB972" i="10"/>
  <c r="BD972" i="10" s="1"/>
  <c r="BF966" i="10"/>
  <c r="BU966" i="10" s="1"/>
  <c r="BB966" i="10"/>
  <c r="BD966" i="10" s="1"/>
  <c r="AN966" i="10" s="1"/>
  <c r="BF960" i="10"/>
  <c r="BU960" i="10" s="1"/>
  <c r="BB960" i="10"/>
  <c r="BD960" i="10" s="1"/>
  <c r="BF954" i="10"/>
  <c r="BU954" i="10" s="1"/>
  <c r="BB954" i="10"/>
  <c r="BD954" i="10" s="1"/>
  <c r="BF942" i="10"/>
  <c r="BU942" i="10" s="1"/>
  <c r="BB942" i="10"/>
  <c r="BD942" i="10" s="1"/>
  <c r="BF930" i="10"/>
  <c r="BU930" i="10" s="1"/>
  <c r="BB930" i="10"/>
  <c r="BD930" i="10" s="1"/>
  <c r="BF924" i="10"/>
  <c r="BU924" i="10" s="1"/>
  <c r="BB924" i="10"/>
  <c r="BD924" i="10" s="1"/>
  <c r="BF918" i="10"/>
  <c r="BU918" i="10" s="1"/>
  <c r="BB918" i="10"/>
  <c r="BD918" i="10" s="1"/>
  <c r="AN918" i="10" s="1"/>
  <c r="BF912" i="10"/>
  <c r="BU912" i="10" s="1"/>
  <c r="BB912" i="10"/>
  <c r="BD912" i="10" s="1"/>
  <c r="BF906" i="10"/>
  <c r="BU906" i="10" s="1"/>
  <c r="BY906" i="10" s="1"/>
  <c r="BB906" i="10"/>
  <c r="BD906" i="10" s="1"/>
  <c r="AW906" i="10" s="1"/>
  <c r="BF822" i="10"/>
  <c r="BU822" i="10" s="1"/>
  <c r="DY822" i="10" s="1"/>
  <c r="BB822" i="10"/>
  <c r="BD822" i="10" s="1"/>
  <c r="BF750" i="10"/>
  <c r="BU750" i="10" s="1"/>
  <c r="BY750" i="10" s="1"/>
  <c r="BB750" i="10"/>
  <c r="BD750" i="10" s="1"/>
  <c r="AN750" i="10" s="1"/>
  <c r="BF720" i="10"/>
  <c r="BU720" i="10" s="1"/>
  <c r="BB720" i="10"/>
  <c r="BD720" i="10" s="1"/>
  <c r="BF678" i="10"/>
  <c r="BU678" i="10" s="1"/>
  <c r="BY678" i="10" s="1"/>
  <c r="BB678" i="10"/>
  <c r="BD678" i="10" s="1"/>
  <c r="BF672" i="10"/>
  <c r="BU672" i="10" s="1"/>
  <c r="BB672" i="10"/>
  <c r="BD672" i="10" s="1"/>
  <c r="AW672" i="10" s="1"/>
  <c r="BF660" i="10"/>
  <c r="BU660" i="10" s="1"/>
  <c r="BB660" i="10"/>
  <c r="BD660" i="10" s="1"/>
  <c r="BF654" i="10"/>
  <c r="BU654" i="10" s="1"/>
  <c r="BB654" i="10"/>
  <c r="BD654" i="10" s="1"/>
  <c r="AW654" i="10" s="1"/>
  <c r="BF648" i="10"/>
  <c r="BU648" i="10" s="1"/>
  <c r="BB648" i="10"/>
  <c r="BD648" i="10" s="1"/>
  <c r="BF636" i="10"/>
  <c r="BU636" i="10" s="1"/>
  <c r="BB636" i="10"/>
  <c r="BD636" i="10" s="1"/>
  <c r="BF630" i="10"/>
  <c r="BU630" i="10" s="1"/>
  <c r="BY630" i="10" s="1"/>
  <c r="BB630" i="10"/>
  <c r="BD630" i="10" s="1"/>
  <c r="AN630" i="10" s="1"/>
  <c r="BF624" i="10"/>
  <c r="BU624" i="10" s="1"/>
  <c r="BB624" i="10"/>
  <c r="BD624" i="10" s="1"/>
  <c r="BF618" i="10"/>
  <c r="BU618" i="10" s="1"/>
  <c r="BY618" i="10" s="1"/>
  <c r="BB618" i="10"/>
  <c r="BD618" i="10" s="1"/>
  <c r="BF600" i="10"/>
  <c r="BU600" i="10" s="1"/>
  <c r="BB600" i="10"/>
  <c r="BD600" i="10" s="1"/>
  <c r="BF588" i="10"/>
  <c r="BU588" i="10" s="1"/>
  <c r="BY588" i="10" s="1"/>
  <c r="BB588" i="10"/>
  <c r="BD588" i="10" s="1"/>
  <c r="BF582" i="10"/>
  <c r="BU582" i="10" s="1"/>
  <c r="BY582" i="10" s="1"/>
  <c r="BB582" i="10"/>
  <c r="BD582" i="10" s="1"/>
  <c r="BF558" i="10"/>
  <c r="BU558" i="10" s="1"/>
  <c r="BB558" i="10"/>
  <c r="BD558" i="10" s="1"/>
  <c r="AN558" i="10" s="1"/>
  <c r="BF540" i="10"/>
  <c r="BU540" i="10" s="1"/>
  <c r="BY540" i="10" s="1"/>
  <c r="BB540" i="10"/>
  <c r="BD540" i="10" s="1"/>
  <c r="BF528" i="10"/>
  <c r="BU528" i="10" s="1"/>
  <c r="BY528" i="10" s="1"/>
  <c r="BB528" i="10"/>
  <c r="BD528" i="10" s="1"/>
  <c r="BF516" i="10"/>
  <c r="BU516" i="10" s="1"/>
  <c r="BB516" i="10"/>
  <c r="BD516" i="10" s="1"/>
  <c r="BF510" i="10"/>
  <c r="BU510" i="10" s="1"/>
  <c r="BB510" i="10"/>
  <c r="BD510" i="10" s="1"/>
  <c r="AN510" i="10" s="1"/>
  <c r="BF504" i="10"/>
  <c r="BU504" i="10" s="1"/>
  <c r="DY504" i="10" s="1"/>
  <c r="BB504" i="10"/>
  <c r="BD504" i="10" s="1"/>
  <c r="BF492" i="10"/>
  <c r="BU492" i="10" s="1"/>
  <c r="BB492" i="10"/>
  <c r="BD492" i="10" s="1"/>
  <c r="AW492" i="10" s="1"/>
  <c r="BF480" i="10"/>
  <c r="BU480" i="10" s="1"/>
  <c r="BY480" i="10" s="1"/>
  <c r="BB480" i="10"/>
  <c r="BD480" i="10" s="1"/>
  <c r="BF432" i="10"/>
  <c r="BU432" i="10" s="1"/>
  <c r="BB432" i="10"/>
  <c r="BD432" i="10" s="1"/>
  <c r="BF426" i="10"/>
  <c r="BU426" i="10" s="1"/>
  <c r="BY426" i="10" s="1"/>
  <c r="BB426" i="10"/>
  <c r="BD426" i="10" s="1"/>
  <c r="BF414" i="10"/>
  <c r="BU414" i="10" s="1"/>
  <c r="BB414" i="10"/>
  <c r="BD414" i="10" s="1"/>
  <c r="BF408" i="10"/>
  <c r="BU408" i="10" s="1"/>
  <c r="BB408" i="10"/>
  <c r="BD408" i="10" s="1"/>
  <c r="BF402" i="10"/>
  <c r="BU402" i="10" s="1"/>
  <c r="DY402" i="10" s="1"/>
  <c r="BB402" i="10"/>
  <c r="BD402" i="10" s="1"/>
  <c r="AW402" i="10" s="1"/>
  <c r="BF396" i="10"/>
  <c r="BU396" i="10" s="1"/>
  <c r="BB396" i="10"/>
  <c r="BD396" i="10" s="1"/>
  <c r="BF390" i="10"/>
  <c r="BU390" i="10" s="1"/>
  <c r="BY390" i="10" s="1"/>
  <c r="BB390" i="10"/>
  <c r="BD390" i="10" s="1"/>
  <c r="BF384" i="10"/>
  <c r="BU384" i="10" s="1"/>
  <c r="BB384" i="10"/>
  <c r="BD384" i="10" s="1"/>
  <c r="BF360" i="10"/>
  <c r="BU360" i="10" s="1"/>
  <c r="BB360" i="10"/>
  <c r="BD360" i="10" s="1"/>
  <c r="BF348" i="10"/>
  <c r="BU348" i="10" s="1"/>
  <c r="BY348" i="10" s="1"/>
  <c r="BB348" i="10"/>
  <c r="BD348" i="10" s="1"/>
  <c r="BF324" i="10"/>
  <c r="BU324" i="10" s="1"/>
  <c r="BY324" i="10" s="1"/>
  <c r="BB324" i="10"/>
  <c r="BD324" i="10" s="1"/>
  <c r="BF318" i="10"/>
  <c r="BU318" i="10" s="1"/>
  <c r="BY318" i="10" s="1"/>
  <c r="BB318" i="10"/>
  <c r="BD318" i="10" s="1"/>
  <c r="BF312" i="10"/>
  <c r="BU312" i="10" s="1"/>
  <c r="BY312" i="10" s="1"/>
  <c r="BB312" i="10"/>
  <c r="BD312" i="10" s="1"/>
  <c r="BF306" i="10"/>
  <c r="BU306" i="10" s="1"/>
  <c r="DY306" i="10" s="1"/>
  <c r="BB306" i="10"/>
  <c r="BD306" i="10" s="1"/>
  <c r="BF288" i="10"/>
  <c r="BU288" i="10" s="1"/>
  <c r="BB288" i="10"/>
  <c r="BD288" i="10" s="1"/>
  <c r="BF276" i="10"/>
  <c r="BU276" i="10" s="1"/>
  <c r="DY276" i="10" s="1"/>
  <c r="BB276" i="10"/>
  <c r="BD276" i="10" s="1"/>
  <c r="BF270" i="10"/>
  <c r="BU270" i="10" s="1"/>
  <c r="BB270" i="10"/>
  <c r="BD270" i="10" s="1"/>
  <c r="BF252" i="10"/>
  <c r="BU252" i="10" s="1"/>
  <c r="BB252" i="10"/>
  <c r="BD252" i="10" s="1"/>
  <c r="BF240" i="10"/>
  <c r="BU240" i="10" s="1"/>
  <c r="BY240" i="10" s="1"/>
  <c r="BB240" i="10"/>
  <c r="BD240" i="10" s="1"/>
  <c r="BF234" i="10"/>
  <c r="BU234" i="10" s="1"/>
  <c r="BB234" i="10"/>
  <c r="BD234" i="10" s="1"/>
  <c r="BF222" i="10"/>
  <c r="BU222" i="10" s="1"/>
  <c r="BB222" i="10"/>
  <c r="BD222" i="10" s="1"/>
  <c r="BF216" i="10"/>
  <c r="BU216" i="10" s="1"/>
  <c r="BB216" i="10"/>
  <c r="BD216" i="10" s="1"/>
  <c r="BF210" i="10"/>
  <c r="BU210" i="10" s="1"/>
  <c r="DY210" i="10" s="1"/>
  <c r="BB210" i="10"/>
  <c r="BD210" i="10" s="1"/>
  <c r="AN210" i="10" s="1"/>
  <c r="BF204" i="10"/>
  <c r="BU204" i="10" s="1"/>
  <c r="DY204" i="10" s="1"/>
  <c r="BB204" i="10"/>
  <c r="BD204" i="10" s="1"/>
  <c r="BF198" i="10"/>
  <c r="BU198" i="10" s="1"/>
  <c r="DY198" i="10" s="1"/>
  <c r="BB198" i="10"/>
  <c r="BD198" i="10" s="1"/>
  <c r="BF192" i="10"/>
  <c r="BU192" i="10" s="1"/>
  <c r="BB192" i="10"/>
  <c r="BD192" i="10" s="1"/>
  <c r="BF186" i="10"/>
  <c r="BU186" i="10" s="1"/>
  <c r="DY186" i="10" s="1"/>
  <c r="BB186" i="10"/>
  <c r="BD186" i="10" s="1"/>
  <c r="BF168" i="10"/>
  <c r="BU168" i="10" s="1"/>
  <c r="BY168" i="10" s="1"/>
  <c r="BB168" i="10"/>
  <c r="BD168" i="10" s="1"/>
  <c r="BF162" i="10"/>
  <c r="BU162" i="10" s="1"/>
  <c r="BY162" i="10" s="1"/>
  <c r="BB162" i="10"/>
  <c r="BD162" i="10" s="1"/>
  <c r="BF156" i="10"/>
  <c r="BU156" i="10" s="1"/>
  <c r="BB156" i="10"/>
  <c r="BD156" i="10" s="1"/>
  <c r="BF150" i="10"/>
  <c r="BU150" i="10" s="1"/>
  <c r="BB150" i="10"/>
  <c r="BD150" i="10" s="1"/>
  <c r="BF144" i="10"/>
  <c r="BU144" i="10" s="1"/>
  <c r="BB144" i="10"/>
  <c r="BD144" i="10" s="1"/>
  <c r="BF138" i="10"/>
  <c r="BU138" i="10" s="1"/>
  <c r="DY138" i="10" s="1"/>
  <c r="BB138" i="10"/>
  <c r="BD138" i="10" s="1"/>
  <c r="BF132" i="10"/>
  <c r="BU132" i="10" s="1"/>
  <c r="BB132" i="10"/>
  <c r="BD132" i="10" s="1"/>
  <c r="BF126" i="10"/>
  <c r="BU126" i="10" s="1"/>
  <c r="DY126" i="10" s="1"/>
  <c r="BB126" i="10"/>
  <c r="BD126" i="10" s="1"/>
  <c r="AN126" i="10" s="1"/>
  <c r="BF114" i="10"/>
  <c r="BU114" i="10" s="1"/>
  <c r="DY114" i="10" s="1"/>
  <c r="EA114" i="10" s="1"/>
  <c r="BB114" i="10"/>
  <c r="BD114" i="10" s="1"/>
  <c r="BF108" i="10"/>
  <c r="BU108" i="10" s="1"/>
  <c r="DY108" i="10" s="1"/>
  <c r="BB108" i="10"/>
  <c r="BD108" i="10" s="1"/>
  <c r="BF96" i="10"/>
  <c r="BU96" i="10" s="1"/>
  <c r="BB96" i="10"/>
  <c r="BD96" i="10" s="1"/>
  <c r="BF78" i="10"/>
  <c r="BU78" i="10" s="1"/>
  <c r="DY78" i="10" s="1"/>
  <c r="BB78" i="10"/>
  <c r="BD78" i="10" s="1"/>
  <c r="BF72" i="10"/>
  <c r="BU72" i="10" s="1"/>
  <c r="BB72" i="10"/>
  <c r="BD72" i="10" s="1"/>
  <c r="BF66" i="10"/>
  <c r="BU66" i="10" s="1"/>
  <c r="DY66" i="10" s="1"/>
  <c r="BB66" i="10"/>
  <c r="BD66" i="10" s="1"/>
  <c r="AN66" i="10" s="1"/>
  <c r="BF60" i="10"/>
  <c r="BU60" i="10" s="1"/>
  <c r="BB60" i="10"/>
  <c r="BD60" i="10" s="1"/>
  <c r="BF54" i="10"/>
  <c r="BU54" i="10" s="1"/>
  <c r="DY54" i="10" s="1"/>
  <c r="BB54" i="10"/>
  <c r="BD54" i="10" s="1"/>
  <c r="BF48" i="10"/>
  <c r="BU48" i="10" s="1"/>
  <c r="BB48" i="10"/>
  <c r="BD48" i="10" s="1"/>
  <c r="BF42" i="10"/>
  <c r="BU42" i="10" s="1"/>
  <c r="DY42" i="10" s="1"/>
  <c r="BB42" i="10"/>
  <c r="BD42" i="10" s="1"/>
  <c r="BF36" i="10"/>
  <c r="BU36" i="10" s="1"/>
  <c r="DY36" i="10" s="1"/>
  <c r="BB36" i="10"/>
  <c r="BD36" i="10" s="1"/>
  <c r="BF30" i="10"/>
  <c r="BU30" i="10" s="1"/>
  <c r="BB30" i="10"/>
  <c r="BD30" i="10" s="1"/>
  <c r="AX34" i="10"/>
  <c r="AU34" i="10"/>
  <c r="CI34" i="10" s="1"/>
  <c r="AX52" i="10"/>
  <c r="AU52" i="10"/>
  <c r="AY52" i="10" s="1"/>
  <c r="AX64" i="10"/>
  <c r="AU64" i="10"/>
  <c r="AX76" i="10"/>
  <c r="AU76" i="10"/>
  <c r="AX82" i="10"/>
  <c r="AU82" i="10"/>
  <c r="AY82" i="10" s="1"/>
  <c r="AX106" i="10"/>
  <c r="AU106" i="10"/>
  <c r="CI106" i="10" s="1"/>
  <c r="AX112" i="10"/>
  <c r="AU112" i="10"/>
  <c r="AX124" i="10"/>
  <c r="AU124" i="10"/>
  <c r="AY124" i="10" s="1"/>
  <c r="CD124" i="10" s="1"/>
  <c r="CH124" i="10" s="1"/>
  <c r="AX130" i="10"/>
  <c r="AU130" i="10"/>
  <c r="AX148" i="10"/>
  <c r="AU148" i="10"/>
  <c r="AY148" i="10" s="1"/>
  <c r="AX154" i="10"/>
  <c r="AU154" i="10"/>
  <c r="CI154" i="10" s="1"/>
  <c r="AX160" i="10"/>
  <c r="AU160" i="10"/>
  <c r="AY160" i="10" s="1"/>
  <c r="AX178" i="10"/>
  <c r="AU178" i="10"/>
  <c r="AX190" i="10"/>
  <c r="AU190" i="10"/>
  <c r="AY190" i="10" s="1"/>
  <c r="CL190" i="10" s="1"/>
  <c r="AX202" i="10"/>
  <c r="AU202" i="10"/>
  <c r="AX208" i="10"/>
  <c r="AU208" i="10"/>
  <c r="AX226" i="10"/>
  <c r="AU226" i="10"/>
  <c r="CI226" i="10" s="1"/>
  <c r="AX232" i="10"/>
  <c r="AU232" i="10"/>
  <c r="AX244" i="10"/>
  <c r="AU244" i="10"/>
  <c r="CI244" i="10" s="1"/>
  <c r="AX256" i="10"/>
  <c r="AU256" i="10"/>
  <c r="AX274" i="10"/>
  <c r="CJ274" i="10" s="1"/>
  <c r="AU274" i="10"/>
  <c r="AX292" i="10"/>
  <c r="AU292" i="10"/>
  <c r="AY292" i="10" s="1"/>
  <c r="AX298" i="10"/>
  <c r="CJ298" i="10" s="1"/>
  <c r="AU298" i="10"/>
  <c r="CJ304" i="10"/>
  <c r="CB304" i="10"/>
  <c r="CF304" i="10" s="1"/>
  <c r="AX310" i="10"/>
  <c r="AU310" i="10"/>
  <c r="CI310" i="10" s="1"/>
  <c r="AY310" i="10"/>
  <c r="AX316" i="10"/>
  <c r="AU316" i="10"/>
  <c r="BM119" i="10"/>
  <c r="BV119" i="10" s="1"/>
  <c r="BI119" i="10"/>
  <c r="BK119" i="10" s="1"/>
  <c r="BM979" i="10"/>
  <c r="BV979" i="10" s="1"/>
  <c r="BZ979" i="10" s="1"/>
  <c r="BI979" i="10"/>
  <c r="BK979" i="10" s="1"/>
  <c r="BI341" i="10"/>
  <c r="BK341" i="10" s="1"/>
  <c r="BM341" i="10"/>
  <c r="BV341" i="10" s="1"/>
  <c r="BM322" i="10"/>
  <c r="BV322" i="10" s="1"/>
  <c r="BZ322" i="10" s="1"/>
  <c r="BI322" i="10"/>
  <c r="BK322" i="10" s="1"/>
  <c r="CI314" i="10"/>
  <c r="BJ992" i="10"/>
  <c r="BL992" i="10" s="1"/>
  <c r="BN992" i="10"/>
  <c r="BW992" i="10" s="1"/>
  <c r="BI418" i="10"/>
  <c r="BK418" i="10" s="1"/>
  <c r="BM418" i="10"/>
  <c r="BV418" i="10" s="1"/>
  <c r="BM414" i="10"/>
  <c r="BV414" i="10" s="1"/>
  <c r="BI414" i="10"/>
  <c r="BK414" i="10" s="1"/>
  <c r="AQ414" i="10" s="1"/>
  <c r="BJ401" i="10"/>
  <c r="BL401" i="10" s="1"/>
  <c r="BN401" i="10"/>
  <c r="BW401" i="10" s="1"/>
  <c r="BN999" i="10"/>
  <c r="BW999" i="10" s="1"/>
  <c r="CA999" i="10" s="1"/>
  <c r="BJ999" i="10"/>
  <c r="BL999" i="10" s="1"/>
  <c r="AY926" i="10"/>
  <c r="CI926" i="10"/>
  <c r="CD884" i="10"/>
  <c r="CH884" i="10" s="1"/>
  <c r="CL884" i="10"/>
  <c r="CL931" i="10"/>
  <c r="CD931" i="10"/>
  <c r="CH931" i="10" s="1"/>
  <c r="BN498" i="10"/>
  <c r="BW498" i="10" s="1"/>
  <c r="BJ498" i="10"/>
  <c r="BL498" i="10" s="1"/>
  <c r="AQ498" i="10" s="1"/>
  <c r="CL464" i="10"/>
  <c r="CD464" i="10"/>
  <c r="CH464" i="10" s="1"/>
  <c r="BJ457" i="10"/>
  <c r="BL457" i="10" s="1"/>
  <c r="BN457" i="10"/>
  <c r="BW457" i="10" s="1"/>
  <c r="CA457" i="10" s="1"/>
  <c r="BI456" i="10"/>
  <c r="BK456" i="10" s="1"/>
  <c r="BM456" i="10"/>
  <c r="BV456" i="10" s="1"/>
  <c r="CD726" i="10"/>
  <c r="CH726" i="10" s="1"/>
  <c r="BB163" i="10"/>
  <c r="BD163" i="10" s="1"/>
  <c r="BB139" i="10"/>
  <c r="BD139" i="10" s="1"/>
  <c r="BI210" i="10"/>
  <c r="BK210" i="10" s="1"/>
  <c r="BI193" i="10"/>
  <c r="BK193" i="10" s="1"/>
  <c r="BN212" i="10"/>
  <c r="BW212" i="10" s="1"/>
  <c r="BB97" i="10"/>
  <c r="BD97" i="10" s="1"/>
  <c r="BI225" i="10"/>
  <c r="BK225" i="10" s="1"/>
  <c r="BN364" i="10"/>
  <c r="BW364" i="10" s="1"/>
  <c r="CA364" i="10" s="1"/>
  <c r="BB484" i="10"/>
  <c r="BD484" i="10" s="1"/>
  <c r="CA498" i="10"/>
  <c r="BB751" i="10"/>
  <c r="BD751" i="10" s="1"/>
  <c r="BB823" i="10"/>
  <c r="BD823" i="10" s="1"/>
  <c r="BJ253" i="10"/>
  <c r="BL253" i="10" s="1"/>
  <c r="BN219" i="10"/>
  <c r="BW219" i="10" s="1"/>
  <c r="BB307" i="10"/>
  <c r="BD307" i="10" s="1"/>
  <c r="BB625" i="10"/>
  <c r="BD625" i="10" s="1"/>
  <c r="BB511" i="10"/>
  <c r="BD511" i="10" s="1"/>
  <c r="BJ402" i="10"/>
  <c r="BL402" i="10" s="1"/>
  <c r="AQ402" i="10" s="1"/>
  <c r="BJ356" i="10"/>
  <c r="BL356" i="10" s="1"/>
  <c r="AQ356" i="10" s="1"/>
  <c r="BJ1008" i="10"/>
  <c r="BL1008" i="10" s="1"/>
  <c r="AQ1008" i="10" s="1"/>
  <c r="BN1008" i="10"/>
  <c r="BW1008" i="10" s="1"/>
  <c r="BB904" i="10"/>
  <c r="BD904" i="10" s="1"/>
  <c r="BI671" i="10"/>
  <c r="BK671" i="10" s="1"/>
  <c r="BM671" i="10"/>
  <c r="BV671" i="10" s="1"/>
  <c r="BI666" i="10"/>
  <c r="BK666" i="10" s="1"/>
  <c r="BM666" i="10"/>
  <c r="BV666" i="10" s="1"/>
  <c r="BZ666" i="10" s="1"/>
  <c r="BM656" i="10"/>
  <c r="BV656" i="10" s="1"/>
  <c r="BI656" i="10"/>
  <c r="BK656" i="10" s="1"/>
  <c r="BI595" i="10"/>
  <c r="BK595" i="10" s="1"/>
  <c r="BM595" i="10"/>
  <c r="BV595" i="10" s="1"/>
  <c r="BN550" i="10"/>
  <c r="BW550" i="10" s="1"/>
  <c r="BJ550" i="10"/>
  <c r="BL550" i="10" s="1"/>
  <c r="BI466" i="10"/>
  <c r="BK466" i="10" s="1"/>
  <c r="AQ466" i="10" s="1"/>
  <c r="BM466" i="10"/>
  <c r="BV466" i="10" s="1"/>
  <c r="BJ412" i="10"/>
  <c r="BL412" i="10" s="1"/>
  <c r="BN412" i="10"/>
  <c r="BW412" i="10" s="1"/>
  <c r="BB398" i="10"/>
  <c r="BD398" i="10" s="1"/>
  <c r="BI252" i="10"/>
  <c r="BK252" i="10" s="1"/>
  <c r="BM252" i="10"/>
  <c r="BV252" i="10" s="1"/>
  <c r="BM222" i="10"/>
  <c r="BV222" i="10" s="1"/>
  <c r="BI222" i="10"/>
  <c r="BK222" i="10" s="1"/>
  <c r="CI160" i="10"/>
  <c r="CG130" i="10"/>
  <c r="CG274" i="10"/>
  <c r="CL591" i="10"/>
  <c r="BJ114" i="10"/>
  <c r="BL114" i="10" s="1"/>
  <c r="BI164" i="10"/>
  <c r="BK164" i="10" s="1"/>
  <c r="BB133" i="10"/>
  <c r="BD133" i="10" s="1"/>
  <c r="BB244" i="10"/>
  <c r="BD244" i="10" s="1"/>
  <c r="BB610" i="10"/>
  <c r="BD610" i="10" s="1"/>
  <c r="BB709" i="10"/>
  <c r="BD709" i="10" s="1"/>
  <c r="BB940" i="10"/>
  <c r="BD940" i="10" s="1"/>
  <c r="AW940" i="10" s="1"/>
  <c r="BM376" i="10"/>
  <c r="BV376" i="10" s="1"/>
  <c r="BB379" i="10"/>
  <c r="BD379" i="10" s="1"/>
  <c r="BJ930" i="10"/>
  <c r="BL930" i="10" s="1"/>
  <c r="BB272" i="10"/>
  <c r="BD272" i="10" s="1"/>
  <c r="AW272" i="10" s="1"/>
  <c r="BB362" i="10"/>
  <c r="BD362" i="10" s="1"/>
  <c r="BB535" i="10"/>
  <c r="BD535" i="10" s="1"/>
  <c r="BI965" i="10"/>
  <c r="BK965" i="10" s="1"/>
  <c r="BM965" i="10"/>
  <c r="BV965" i="10" s="1"/>
  <c r="BB934" i="10"/>
  <c r="BD934" i="10" s="1"/>
  <c r="BB865" i="10"/>
  <c r="BD865" i="10" s="1"/>
  <c r="BN813" i="10"/>
  <c r="BW813" i="10" s="1"/>
  <c r="BJ813" i="10"/>
  <c r="BL813" i="10" s="1"/>
  <c r="BI713" i="10"/>
  <c r="BK713" i="10" s="1"/>
  <c r="BM713" i="10"/>
  <c r="BV713" i="10" s="1"/>
  <c r="BZ713" i="10" s="1"/>
  <c r="BJ709" i="10"/>
  <c r="BL709" i="10" s="1"/>
  <c r="BN709" i="10"/>
  <c r="BW709" i="10" s="1"/>
  <c r="CA709" i="10" s="1"/>
  <c r="BN621" i="10"/>
  <c r="BW621" i="10" s="1"/>
  <c r="BJ621" i="10"/>
  <c r="BL621" i="10" s="1"/>
  <c r="BN560" i="10"/>
  <c r="BW560" i="10" s="1"/>
  <c r="BJ560" i="10"/>
  <c r="BL560" i="10" s="1"/>
  <c r="BB541" i="10"/>
  <c r="BD541" i="10" s="1"/>
  <c r="BM471" i="10"/>
  <c r="BV471" i="10" s="1"/>
  <c r="BI471" i="10"/>
  <c r="BK471" i="10" s="1"/>
  <c r="BB439" i="10"/>
  <c r="BD439" i="10" s="1"/>
  <c r="BM434" i="10"/>
  <c r="BV434" i="10" s="1"/>
  <c r="BI434" i="10"/>
  <c r="BK434" i="10" s="1"/>
  <c r="BJ430" i="10"/>
  <c r="BL430" i="10" s="1"/>
  <c r="BN430" i="10"/>
  <c r="BW430" i="10" s="1"/>
  <c r="BM349" i="10"/>
  <c r="BV349" i="10" s="1"/>
  <c r="BI349" i="10"/>
  <c r="BK349" i="10" s="1"/>
  <c r="AQ349" i="10" s="1"/>
  <c r="BJ331" i="10"/>
  <c r="BL331" i="10" s="1"/>
  <c r="BN331" i="10"/>
  <c r="BW331" i="10" s="1"/>
  <c r="BN102" i="10"/>
  <c r="BW102" i="10" s="1"/>
  <c r="BJ102" i="10"/>
  <c r="BL102" i="10" s="1"/>
  <c r="BN689" i="10"/>
  <c r="BW689" i="10" s="1"/>
  <c r="BJ1002" i="10"/>
  <c r="BL1002" i="10" s="1"/>
  <c r="BN1002" i="10"/>
  <c r="BW1002" i="10" s="1"/>
  <c r="BM848" i="10"/>
  <c r="BV848" i="10" s="1"/>
  <c r="BI848" i="10"/>
  <c r="BK848" i="10" s="1"/>
  <c r="BM636" i="10"/>
  <c r="BV636" i="10" s="1"/>
  <c r="BZ636" i="10" s="1"/>
  <c r="BI636" i="10"/>
  <c r="BK636" i="10" s="1"/>
  <c r="BM586" i="10"/>
  <c r="BV586" i="10" s="1"/>
  <c r="BI586" i="10"/>
  <c r="BK586" i="10" s="1"/>
  <c r="BI532" i="10"/>
  <c r="BK532" i="10" s="1"/>
  <c r="BM532" i="10"/>
  <c r="BV532" i="10" s="1"/>
  <c r="BM394" i="10"/>
  <c r="BV394" i="10" s="1"/>
  <c r="BI394" i="10"/>
  <c r="BK394" i="10" s="1"/>
  <c r="BN312" i="10"/>
  <c r="BW312" i="10" s="1"/>
  <c r="BJ312" i="10"/>
  <c r="BL312" i="10" s="1"/>
  <c r="BI257" i="10"/>
  <c r="BK257" i="10" s="1"/>
  <c r="BM257" i="10"/>
  <c r="BV257" i="10" s="1"/>
  <c r="BJ244" i="10"/>
  <c r="BL244" i="10" s="1"/>
  <c r="AQ244" i="10" s="1"/>
  <c r="BN244" i="10"/>
  <c r="BW244" i="10" s="1"/>
  <c r="BF944" i="10"/>
  <c r="BU944" i="10" s="1"/>
  <c r="BB944" i="10"/>
  <c r="BD944" i="10" s="1"/>
  <c r="BF938" i="10"/>
  <c r="BU938" i="10" s="1"/>
  <c r="BB938" i="10"/>
  <c r="BD938" i="10" s="1"/>
  <c r="BF896" i="10"/>
  <c r="BU896" i="10" s="1"/>
  <c r="BB896" i="10"/>
  <c r="BD896" i="10" s="1"/>
  <c r="BF890" i="10"/>
  <c r="BU890" i="10" s="1"/>
  <c r="DY890" i="10" s="1"/>
  <c r="BB890" i="10"/>
  <c r="BD890" i="10" s="1"/>
  <c r="BF884" i="10"/>
  <c r="BU884" i="10" s="1"/>
  <c r="BB884" i="10"/>
  <c r="BD884" i="10" s="1"/>
  <c r="BF788" i="10"/>
  <c r="BU788" i="10" s="1"/>
  <c r="BY788" i="10" s="1"/>
  <c r="DU788" i="10" s="1"/>
  <c r="BB788" i="10"/>
  <c r="BD788" i="10" s="1"/>
  <c r="BF728" i="10"/>
  <c r="BU728" i="10" s="1"/>
  <c r="BB728" i="10"/>
  <c r="BD728" i="10" s="1"/>
  <c r="BF596" i="10"/>
  <c r="BU596" i="10" s="1"/>
  <c r="BY596" i="10" s="1"/>
  <c r="BB596" i="10"/>
  <c r="BD596" i="10" s="1"/>
  <c r="BF542" i="10"/>
  <c r="BU542" i="10" s="1"/>
  <c r="BB542" i="10"/>
  <c r="BD542" i="10" s="1"/>
  <c r="BF530" i="10"/>
  <c r="BU530" i="10" s="1"/>
  <c r="DY530" i="10" s="1"/>
  <c r="BB530" i="10"/>
  <c r="BD530" i="10" s="1"/>
  <c r="BF500" i="10"/>
  <c r="BU500" i="10" s="1"/>
  <c r="BB500" i="10"/>
  <c r="BD500" i="10" s="1"/>
  <c r="BF494" i="10"/>
  <c r="BU494" i="10" s="1"/>
  <c r="BY494" i="10" s="1"/>
  <c r="DU494" i="10" s="1"/>
  <c r="BB494" i="10"/>
  <c r="BD494" i="10" s="1"/>
  <c r="BF488" i="10"/>
  <c r="BU488" i="10" s="1"/>
  <c r="BY488" i="10" s="1"/>
  <c r="BB488" i="10"/>
  <c r="BD488" i="10" s="1"/>
  <c r="BF482" i="10"/>
  <c r="BU482" i="10" s="1"/>
  <c r="DY482" i="10" s="1"/>
  <c r="BB482" i="10"/>
  <c r="BD482" i="10" s="1"/>
  <c r="BF458" i="10"/>
  <c r="BU458" i="10" s="1"/>
  <c r="BB458" i="10"/>
  <c r="BD458" i="10" s="1"/>
  <c r="BF440" i="10"/>
  <c r="BU440" i="10" s="1"/>
  <c r="BB440" i="10"/>
  <c r="BD440" i="10" s="1"/>
  <c r="BF422" i="10"/>
  <c r="BU422" i="10" s="1"/>
  <c r="BY422" i="10" s="1"/>
  <c r="BB422" i="10"/>
  <c r="BD422" i="10" s="1"/>
  <c r="BF404" i="10"/>
  <c r="BU404" i="10" s="1"/>
  <c r="BY404" i="10" s="1"/>
  <c r="DU404" i="10" s="1"/>
  <c r="BB404" i="10"/>
  <c r="BD404" i="10" s="1"/>
  <c r="BF380" i="10"/>
  <c r="BU380" i="10" s="1"/>
  <c r="BB380" i="10"/>
  <c r="BD380" i="10" s="1"/>
  <c r="BF350" i="10"/>
  <c r="BU350" i="10" s="1"/>
  <c r="DY350" i="10" s="1"/>
  <c r="BB350" i="10"/>
  <c r="BD350" i="10" s="1"/>
  <c r="BF344" i="10"/>
  <c r="BU344" i="10" s="1"/>
  <c r="BB344" i="10"/>
  <c r="BD344" i="10" s="1"/>
  <c r="BF320" i="10"/>
  <c r="BU320" i="10" s="1"/>
  <c r="DY320" i="10" s="1"/>
  <c r="BB320" i="10"/>
  <c r="BD320" i="10" s="1"/>
  <c r="BF314" i="10"/>
  <c r="BU314" i="10" s="1"/>
  <c r="DY314" i="10" s="1"/>
  <c r="BB314" i="10"/>
  <c r="BD314" i="10" s="1"/>
  <c r="BF308" i="10"/>
  <c r="BU308" i="10" s="1"/>
  <c r="BB308" i="10"/>
  <c r="BD308" i="10" s="1"/>
  <c r="BF302" i="10"/>
  <c r="BU302" i="10" s="1"/>
  <c r="BB302" i="10"/>
  <c r="BD302" i="10" s="1"/>
  <c r="BF296" i="10"/>
  <c r="BU296" i="10" s="1"/>
  <c r="DY296" i="10" s="1"/>
  <c r="BB296" i="10"/>
  <c r="BD296" i="10" s="1"/>
  <c r="BF290" i="10"/>
  <c r="BU290" i="10" s="1"/>
  <c r="BB290" i="10"/>
  <c r="BD290" i="10" s="1"/>
  <c r="BF266" i="10"/>
  <c r="BU266" i="10" s="1"/>
  <c r="BB266" i="10"/>
  <c r="BD266" i="10" s="1"/>
  <c r="BF260" i="10"/>
  <c r="BU260" i="10" s="1"/>
  <c r="DY260" i="10" s="1"/>
  <c r="BB260" i="10"/>
  <c r="BD260" i="10" s="1"/>
  <c r="BF254" i="10"/>
  <c r="BU254" i="10" s="1"/>
  <c r="BY254" i="10" s="1"/>
  <c r="DU254" i="10" s="1"/>
  <c r="BB254" i="10"/>
  <c r="BD254" i="10" s="1"/>
  <c r="BF248" i="10"/>
  <c r="BU248" i="10" s="1"/>
  <c r="BB248" i="10"/>
  <c r="BD248" i="10" s="1"/>
  <c r="BF230" i="10"/>
  <c r="BU230" i="10" s="1"/>
  <c r="BB230" i="10"/>
  <c r="BD230" i="10" s="1"/>
  <c r="BF224" i="10"/>
  <c r="BU224" i="10" s="1"/>
  <c r="DY224" i="10" s="1"/>
  <c r="BB224" i="10"/>
  <c r="BD224" i="10" s="1"/>
  <c r="BF206" i="10"/>
  <c r="BU206" i="10" s="1"/>
  <c r="BB206" i="10"/>
  <c r="BD206" i="10" s="1"/>
  <c r="BF200" i="10"/>
  <c r="BU200" i="10" s="1"/>
  <c r="BB200" i="10"/>
  <c r="BD200" i="10" s="1"/>
  <c r="BF134" i="10"/>
  <c r="BU134" i="10" s="1"/>
  <c r="DY134" i="10" s="1"/>
  <c r="EA134" i="10" s="1"/>
  <c r="BB134" i="10"/>
  <c r="BD134" i="10" s="1"/>
  <c r="BF62" i="10"/>
  <c r="BU62" i="10" s="1"/>
  <c r="BB62" i="10"/>
  <c r="BD62" i="10" s="1"/>
  <c r="BF56" i="10"/>
  <c r="BU56" i="10" s="1"/>
  <c r="BY56" i="10" s="1"/>
  <c r="BB56" i="10"/>
  <c r="BD56" i="10" s="1"/>
  <c r="BF38" i="10"/>
  <c r="BU38" i="10" s="1"/>
  <c r="BB38" i="10"/>
  <c r="BD38" i="10" s="1"/>
  <c r="AX176" i="10"/>
  <c r="AU176" i="10"/>
  <c r="AY176" i="10" s="1"/>
  <c r="CL176" i="10" s="1"/>
  <c r="AX314" i="10"/>
  <c r="AU314" i="10"/>
  <c r="AX338" i="10"/>
  <c r="AU338" i="10"/>
  <c r="AX344" i="10"/>
  <c r="AU344" i="10"/>
  <c r="CI344" i="10" s="1"/>
  <c r="AY344" i="10"/>
  <c r="CG160" i="10"/>
  <c r="CG280" i="10"/>
  <c r="CG244" i="10"/>
  <c r="AU75" i="10"/>
  <c r="CI75" i="10" s="1"/>
  <c r="AU81" i="10"/>
  <c r="AY81" i="10" s="1"/>
  <c r="BB31" i="10"/>
  <c r="BD31" i="10" s="1"/>
  <c r="BB392" i="10"/>
  <c r="BD392" i="10" s="1"/>
  <c r="BM660" i="10"/>
  <c r="BV660" i="10" s="1"/>
  <c r="BZ660" i="10" s="1"/>
  <c r="BB775" i="10"/>
  <c r="BD775" i="10" s="1"/>
  <c r="BJ927" i="10"/>
  <c r="BL927" i="10" s="1"/>
  <c r="BB334" i="10"/>
  <c r="BD334" i="10" s="1"/>
  <c r="BB382" i="10"/>
  <c r="BD382" i="10" s="1"/>
  <c r="BZ627" i="10"/>
  <c r="BN504" i="10"/>
  <c r="BW504" i="10" s="1"/>
  <c r="BI845" i="10"/>
  <c r="BK845" i="10" s="1"/>
  <c r="BB670" i="10"/>
  <c r="BD670" i="10" s="1"/>
  <c r="BJ419" i="10"/>
  <c r="BL419" i="10" s="1"/>
  <c r="BI513" i="10"/>
  <c r="BK513" i="10" s="1"/>
  <c r="BB676" i="10"/>
  <c r="BD676" i="10" s="1"/>
  <c r="BB790" i="10"/>
  <c r="BD790" i="10" s="1"/>
  <c r="AW790" i="10" s="1"/>
  <c r="BI293" i="10"/>
  <c r="BK293" i="10" s="1"/>
  <c r="AQ293" i="10" s="1"/>
  <c r="AQ250" i="10"/>
  <c r="BM678" i="10"/>
  <c r="BV678" i="10" s="1"/>
  <c r="BZ678" i="10" s="1"/>
  <c r="BB781" i="10"/>
  <c r="BD781" i="10" s="1"/>
  <c r="BB914" i="10"/>
  <c r="BD914" i="10" s="1"/>
  <c r="BB817" i="10"/>
  <c r="BD817" i="10" s="1"/>
  <c r="BB649" i="10"/>
  <c r="BD649" i="10" s="1"/>
  <c r="BN967" i="10"/>
  <c r="BW967" i="10" s="1"/>
  <c r="BJ967" i="10"/>
  <c r="BL967" i="10" s="1"/>
  <c r="BJ955" i="10"/>
  <c r="BL955" i="10" s="1"/>
  <c r="BN955" i="10"/>
  <c r="BW955" i="10" s="1"/>
  <c r="CA955" i="10" s="1"/>
  <c r="BB941" i="10"/>
  <c r="BD941" i="10" s="1"/>
  <c r="BB935" i="10"/>
  <c r="BD935" i="10" s="1"/>
  <c r="BB919" i="10"/>
  <c r="BD919" i="10" s="1"/>
  <c r="BB694" i="10"/>
  <c r="BD694" i="10" s="1"/>
  <c r="BN613" i="10"/>
  <c r="BW613" i="10" s="1"/>
  <c r="BJ613" i="10"/>
  <c r="BL613" i="10" s="1"/>
  <c r="BI537" i="10"/>
  <c r="BK537" i="10" s="1"/>
  <c r="BM537" i="10"/>
  <c r="BV537" i="10" s="1"/>
  <c r="BB430" i="10"/>
  <c r="BD430" i="10" s="1"/>
  <c r="BI386" i="10"/>
  <c r="BK386" i="10" s="1"/>
  <c r="BM386" i="10"/>
  <c r="BV386" i="10" s="1"/>
  <c r="BZ386" i="10" s="1"/>
  <c r="BI886" i="10"/>
  <c r="BK886" i="10" s="1"/>
  <c r="BM886" i="10"/>
  <c r="BV886" i="10" s="1"/>
  <c r="BZ886" i="10" s="1"/>
  <c r="BJ726" i="10"/>
  <c r="BL726" i="10" s="1"/>
  <c r="BN726" i="10"/>
  <c r="BW726" i="10" s="1"/>
  <c r="BN638" i="10"/>
  <c r="BW638" i="10" s="1"/>
  <c r="BJ638" i="10"/>
  <c r="BL638" i="10" s="1"/>
  <c r="BN426" i="10"/>
  <c r="BW426" i="10" s="1"/>
  <c r="BJ426" i="10"/>
  <c r="BL426" i="10" s="1"/>
  <c r="CA356" i="10"/>
  <c r="BI317" i="10"/>
  <c r="BK317" i="10" s="1"/>
  <c r="BM317" i="10"/>
  <c r="BV317" i="10" s="1"/>
  <c r="BI271" i="10"/>
  <c r="BK271" i="10" s="1"/>
  <c r="BM271" i="10"/>
  <c r="BV271" i="10" s="1"/>
  <c r="BF1009" i="10"/>
  <c r="BU1009" i="10" s="1"/>
  <c r="BB1009" i="10"/>
  <c r="BD1009" i="10" s="1"/>
  <c r="BF997" i="10"/>
  <c r="BU997" i="10" s="1"/>
  <c r="BB997" i="10"/>
  <c r="BD997" i="10" s="1"/>
  <c r="BF991" i="10"/>
  <c r="BU991" i="10" s="1"/>
  <c r="BB991" i="10"/>
  <c r="BD991" i="10" s="1"/>
  <c r="AW991" i="10" s="1"/>
  <c r="BF979" i="10"/>
  <c r="BU979" i="10" s="1"/>
  <c r="BB979" i="10"/>
  <c r="BD979" i="10" s="1"/>
  <c r="BF973" i="10"/>
  <c r="BU973" i="10" s="1"/>
  <c r="BB973" i="10"/>
  <c r="BD973" i="10" s="1"/>
  <c r="BF961" i="10"/>
  <c r="BU961" i="10" s="1"/>
  <c r="BB961" i="10"/>
  <c r="BD961" i="10" s="1"/>
  <c r="BF949" i="10"/>
  <c r="BU949" i="10" s="1"/>
  <c r="BB949" i="10"/>
  <c r="BD949" i="10" s="1"/>
  <c r="AW949" i="10" s="1"/>
  <c r="BF925" i="10"/>
  <c r="BU925" i="10" s="1"/>
  <c r="BB925" i="10"/>
  <c r="BD925" i="10" s="1"/>
  <c r="BF913" i="10"/>
  <c r="BU913" i="10" s="1"/>
  <c r="BB913" i="10"/>
  <c r="BD913" i="10" s="1"/>
  <c r="BF895" i="10"/>
  <c r="BU895" i="10" s="1"/>
  <c r="DY895" i="10" s="1"/>
  <c r="BB895" i="10"/>
  <c r="BD895" i="10" s="1"/>
  <c r="BF889" i="10"/>
  <c r="BU889" i="10" s="1"/>
  <c r="BB889" i="10"/>
  <c r="BD889" i="10" s="1"/>
  <c r="BF853" i="10"/>
  <c r="BU853" i="10" s="1"/>
  <c r="BB853" i="10"/>
  <c r="BD853" i="10" s="1"/>
  <c r="BF847" i="10"/>
  <c r="BU847" i="10" s="1"/>
  <c r="BB847" i="10"/>
  <c r="BD847" i="10" s="1"/>
  <c r="BF841" i="10"/>
  <c r="BU841" i="10" s="1"/>
  <c r="BB841" i="10"/>
  <c r="BD841" i="10" s="1"/>
  <c r="BF835" i="10"/>
  <c r="BU835" i="10" s="1"/>
  <c r="BB835" i="10"/>
  <c r="BD835" i="10" s="1"/>
  <c r="BF811" i="10"/>
  <c r="BU811" i="10" s="1"/>
  <c r="BB811" i="10"/>
  <c r="BD811" i="10" s="1"/>
  <c r="BF799" i="10"/>
  <c r="BU799" i="10" s="1"/>
  <c r="BB799" i="10"/>
  <c r="BD799" i="10" s="1"/>
  <c r="BF793" i="10"/>
  <c r="BU793" i="10" s="1"/>
  <c r="BB793" i="10"/>
  <c r="BD793" i="10" s="1"/>
  <c r="BF787" i="10"/>
  <c r="BU787" i="10" s="1"/>
  <c r="BY787" i="10" s="1"/>
  <c r="BB787" i="10"/>
  <c r="BD787" i="10" s="1"/>
  <c r="BF763" i="10"/>
  <c r="BU763" i="10" s="1"/>
  <c r="BB763" i="10"/>
  <c r="BD763" i="10" s="1"/>
  <c r="BF757" i="10"/>
  <c r="BU757" i="10" s="1"/>
  <c r="DY757" i="10" s="1"/>
  <c r="BB757" i="10"/>
  <c r="BD757" i="10" s="1"/>
  <c r="BF739" i="10"/>
  <c r="BU739" i="10" s="1"/>
  <c r="BB739" i="10"/>
  <c r="BD739" i="10" s="1"/>
  <c r="BF721" i="10"/>
  <c r="BU721" i="10" s="1"/>
  <c r="BY721" i="10" s="1"/>
  <c r="BB721" i="10"/>
  <c r="BD721" i="10" s="1"/>
  <c r="BF703" i="10"/>
  <c r="BU703" i="10" s="1"/>
  <c r="BB703" i="10"/>
  <c r="BD703" i="10" s="1"/>
  <c r="BF691" i="10"/>
  <c r="BU691" i="10" s="1"/>
  <c r="DY691" i="10" s="1"/>
  <c r="BB691" i="10"/>
  <c r="BD691" i="10" s="1"/>
  <c r="BF685" i="10"/>
  <c r="BU685" i="10" s="1"/>
  <c r="DY685" i="10" s="1"/>
  <c r="BB685" i="10"/>
  <c r="BD685" i="10" s="1"/>
  <c r="BF679" i="10"/>
  <c r="BU679" i="10" s="1"/>
  <c r="DY679" i="10" s="1"/>
  <c r="BB679" i="10"/>
  <c r="BD679" i="10" s="1"/>
  <c r="BF673" i="10"/>
  <c r="BU673" i="10" s="1"/>
  <c r="BY673" i="10" s="1"/>
  <c r="BB673" i="10"/>
  <c r="BD673" i="10" s="1"/>
  <c r="BF661" i="10"/>
  <c r="BU661" i="10" s="1"/>
  <c r="DY661" i="10" s="1"/>
  <c r="BB661" i="10"/>
  <c r="BD661" i="10" s="1"/>
  <c r="BF655" i="10"/>
  <c r="BU655" i="10" s="1"/>
  <c r="DY655" i="10" s="1"/>
  <c r="BB655" i="10"/>
  <c r="BD655" i="10" s="1"/>
  <c r="BF643" i="10"/>
  <c r="BU643" i="10" s="1"/>
  <c r="DY643" i="10" s="1"/>
  <c r="BB643" i="10"/>
  <c r="BD643" i="10" s="1"/>
  <c r="BF631" i="10"/>
  <c r="BU631" i="10" s="1"/>
  <c r="DY631" i="10" s="1"/>
  <c r="BB631" i="10"/>
  <c r="BD631" i="10" s="1"/>
  <c r="BF607" i="10"/>
  <c r="BU607" i="10" s="1"/>
  <c r="DY607" i="10" s="1"/>
  <c r="BB607" i="10"/>
  <c r="BD607" i="10" s="1"/>
  <c r="BF601" i="10"/>
  <c r="BU601" i="10" s="1"/>
  <c r="BB601" i="10"/>
  <c r="BD601" i="10" s="1"/>
  <c r="BF589" i="10"/>
  <c r="BU589" i="10" s="1"/>
  <c r="BB589" i="10"/>
  <c r="BD589" i="10" s="1"/>
  <c r="BF577" i="10"/>
  <c r="BU577" i="10" s="1"/>
  <c r="BB577" i="10"/>
  <c r="BD577" i="10" s="1"/>
  <c r="BF571" i="10"/>
  <c r="BU571" i="10" s="1"/>
  <c r="BY571" i="10" s="1"/>
  <c r="DU571" i="10" s="1"/>
  <c r="BB571" i="10"/>
  <c r="BD571" i="10" s="1"/>
  <c r="BF565" i="10"/>
  <c r="BU565" i="10" s="1"/>
  <c r="BB565" i="10"/>
  <c r="BD565" i="10" s="1"/>
  <c r="BF559" i="10"/>
  <c r="BU559" i="10" s="1"/>
  <c r="BB559" i="10"/>
  <c r="BD559" i="10" s="1"/>
  <c r="BF529" i="10"/>
  <c r="BU529" i="10" s="1"/>
  <c r="DY529" i="10" s="1"/>
  <c r="BB529" i="10"/>
  <c r="BD529" i="10" s="1"/>
  <c r="BF505" i="10"/>
  <c r="BU505" i="10" s="1"/>
  <c r="DY505" i="10" s="1"/>
  <c r="BB505" i="10"/>
  <c r="BD505" i="10" s="1"/>
  <c r="AW505" i="10" s="1"/>
  <c r="BF493" i="10"/>
  <c r="BU493" i="10" s="1"/>
  <c r="BY493" i="10" s="1"/>
  <c r="DU493" i="10" s="1"/>
  <c r="BB493" i="10"/>
  <c r="BD493" i="10" s="1"/>
  <c r="BF487" i="10"/>
  <c r="BU487" i="10" s="1"/>
  <c r="BY487" i="10" s="1"/>
  <c r="DU487" i="10" s="1"/>
  <c r="BB487" i="10"/>
  <c r="BD487" i="10" s="1"/>
  <c r="BF475" i="10"/>
  <c r="BU475" i="10" s="1"/>
  <c r="BB475" i="10"/>
  <c r="BD475" i="10" s="1"/>
  <c r="BF469" i="10"/>
  <c r="BU469" i="10" s="1"/>
  <c r="BB469" i="10"/>
  <c r="BD469" i="10" s="1"/>
  <c r="BF451" i="10"/>
  <c r="BU451" i="10" s="1"/>
  <c r="DY451" i="10" s="1"/>
  <c r="BB451" i="10"/>
  <c r="BD451" i="10" s="1"/>
  <c r="BF445" i="10"/>
  <c r="BU445" i="10" s="1"/>
  <c r="BB445" i="10"/>
  <c r="BD445" i="10" s="1"/>
  <c r="BF391" i="10"/>
  <c r="BU391" i="10" s="1"/>
  <c r="BY391" i="10" s="1"/>
  <c r="DU391" i="10" s="1"/>
  <c r="BB391" i="10"/>
  <c r="BD391" i="10" s="1"/>
  <c r="BF385" i="10"/>
  <c r="BU385" i="10" s="1"/>
  <c r="DY385" i="10" s="1"/>
  <c r="BB385" i="10"/>
  <c r="BD385" i="10" s="1"/>
  <c r="BF361" i="10"/>
  <c r="BU361" i="10" s="1"/>
  <c r="BB361" i="10"/>
  <c r="BD361" i="10" s="1"/>
  <c r="BF349" i="10"/>
  <c r="BU349" i="10" s="1"/>
  <c r="BB349" i="10"/>
  <c r="BD349" i="10" s="1"/>
  <c r="BF331" i="10"/>
  <c r="BU331" i="10" s="1"/>
  <c r="BB331" i="10"/>
  <c r="BD331" i="10" s="1"/>
  <c r="BF325" i="10"/>
  <c r="BU325" i="10" s="1"/>
  <c r="BB325" i="10"/>
  <c r="BD325" i="10" s="1"/>
  <c r="BF277" i="10"/>
  <c r="BU277" i="10" s="1"/>
  <c r="BB277" i="10"/>
  <c r="BD277" i="10" s="1"/>
  <c r="BF271" i="10"/>
  <c r="BU271" i="10" s="1"/>
  <c r="DY271" i="10" s="1"/>
  <c r="BB271" i="10"/>
  <c r="BD271" i="10" s="1"/>
  <c r="BF253" i="10"/>
  <c r="BU253" i="10" s="1"/>
  <c r="BB253" i="10"/>
  <c r="BD253" i="10" s="1"/>
  <c r="BF235" i="10"/>
  <c r="BU235" i="10" s="1"/>
  <c r="BB235" i="10"/>
  <c r="BD235" i="10" s="1"/>
  <c r="BF223" i="10"/>
  <c r="BU223" i="10" s="1"/>
  <c r="DY223" i="10" s="1"/>
  <c r="BB223" i="10"/>
  <c r="BD223" i="10" s="1"/>
  <c r="BF217" i="10"/>
  <c r="BU217" i="10" s="1"/>
  <c r="DY217" i="10" s="1"/>
  <c r="BB217" i="10"/>
  <c r="BD217" i="10" s="1"/>
  <c r="BF127" i="10"/>
  <c r="BU127" i="10" s="1"/>
  <c r="BB127" i="10"/>
  <c r="BD127" i="10" s="1"/>
  <c r="BF115" i="10"/>
  <c r="BU115" i="10" s="1"/>
  <c r="BY115" i="10" s="1"/>
  <c r="DU115" i="10" s="1"/>
  <c r="BB115" i="10"/>
  <c r="BD115" i="10" s="1"/>
  <c r="BF103" i="10"/>
  <c r="BU103" i="10" s="1"/>
  <c r="BB103" i="10"/>
  <c r="BD103" i="10" s="1"/>
  <c r="BF91" i="10"/>
  <c r="BU91" i="10" s="1"/>
  <c r="BB91" i="10"/>
  <c r="BD91" i="10" s="1"/>
  <c r="BF55" i="10"/>
  <c r="BU55" i="10" s="1"/>
  <c r="DY55" i="10" s="1"/>
  <c r="BB55" i="10"/>
  <c r="BD55" i="10" s="1"/>
  <c r="BF43" i="10"/>
  <c r="BU43" i="10" s="1"/>
  <c r="BB43" i="10"/>
  <c r="BD43" i="10" s="1"/>
  <c r="AX165" i="10"/>
  <c r="AU165" i="10"/>
  <c r="AY165" i="10" s="1"/>
  <c r="AX267" i="10"/>
  <c r="AU267" i="10"/>
  <c r="AX285" i="10"/>
  <c r="AU285" i="10"/>
  <c r="AY285" i="10" s="1"/>
  <c r="AX345" i="10"/>
  <c r="AU345" i="10"/>
  <c r="AX405" i="10"/>
  <c r="AU405" i="10"/>
  <c r="AX423" i="10"/>
  <c r="AU423" i="10"/>
  <c r="AY423" i="10" s="1"/>
  <c r="CD1003" i="10"/>
  <c r="CH1003" i="10" s="1"/>
  <c r="BN181" i="10"/>
  <c r="BW181" i="10" s="1"/>
  <c r="BB37" i="10"/>
  <c r="BD37" i="10" s="1"/>
  <c r="AW37" i="10" s="1"/>
  <c r="BB289" i="10"/>
  <c r="BD289" i="10" s="1"/>
  <c r="BB907" i="10"/>
  <c r="BD907" i="10" s="1"/>
  <c r="BJ355" i="10"/>
  <c r="BL355" i="10" s="1"/>
  <c r="BI319" i="10"/>
  <c r="BK319" i="10" s="1"/>
  <c r="BJ658" i="10"/>
  <c r="BL658" i="10" s="1"/>
  <c r="BB707" i="10"/>
  <c r="BD707" i="10" s="1"/>
  <c r="BB241" i="10"/>
  <c r="BD241" i="10" s="1"/>
  <c r="BB319" i="10"/>
  <c r="BD319" i="10" s="1"/>
  <c r="BB886" i="10"/>
  <c r="BD886" i="10" s="1"/>
  <c r="AW914" i="10"/>
  <c r="BB454" i="10"/>
  <c r="BD454" i="10" s="1"/>
  <c r="AW454" i="10" s="1"/>
  <c r="BB902" i="10"/>
  <c r="BD902" i="10" s="1"/>
  <c r="AW902" i="10" s="1"/>
  <c r="BB967" i="10"/>
  <c r="BD967" i="10" s="1"/>
  <c r="BN895" i="10"/>
  <c r="BW895" i="10" s="1"/>
  <c r="BJ895" i="10"/>
  <c r="BL895" i="10" s="1"/>
  <c r="BJ881" i="10"/>
  <c r="BL881" i="10" s="1"/>
  <c r="AQ881" i="10" s="1"/>
  <c r="BN881" i="10"/>
  <c r="BW881" i="10" s="1"/>
  <c r="BB880" i="10"/>
  <c r="BD880" i="10" s="1"/>
  <c r="BJ868" i="10"/>
  <c r="BL868" i="10" s="1"/>
  <c r="AQ868" i="10" s="1"/>
  <c r="BN868" i="10"/>
  <c r="BW868" i="10" s="1"/>
  <c r="BB856" i="10"/>
  <c r="BD856" i="10" s="1"/>
  <c r="BB700" i="10"/>
  <c r="BD700" i="10" s="1"/>
  <c r="BJ485" i="10"/>
  <c r="BL485" i="10" s="1"/>
  <c r="AQ485" i="10" s="1"/>
  <c r="BN485" i="10"/>
  <c r="BW485" i="10" s="1"/>
  <c r="AX328" i="10"/>
  <c r="AU328" i="10"/>
  <c r="CI328" i="10" s="1"/>
  <c r="AX388" i="10"/>
  <c r="AU388" i="10"/>
  <c r="AX400" i="10"/>
  <c r="AU400" i="10"/>
  <c r="AX406" i="10"/>
  <c r="AU406" i="10"/>
  <c r="CI406" i="10" s="1"/>
  <c r="AX424" i="10"/>
  <c r="AU424" i="10"/>
  <c r="CI424" i="10" s="1"/>
  <c r="BM447" i="10"/>
  <c r="BV447" i="10" s="1"/>
  <c r="BZ447" i="10" s="1"/>
  <c r="BB532" i="10"/>
  <c r="BD532" i="10" s="1"/>
  <c r="BB697" i="10"/>
  <c r="BD697" i="10" s="1"/>
  <c r="BB916" i="10"/>
  <c r="BD916" i="10" s="1"/>
  <c r="BB278" i="10"/>
  <c r="BD278" i="10" s="1"/>
  <c r="BI231" i="10"/>
  <c r="BK231" i="10" s="1"/>
  <c r="BN247" i="10"/>
  <c r="BW247" i="10" s="1"/>
  <c r="BJ649" i="10"/>
  <c r="BL649" i="10" s="1"/>
  <c r="BM461" i="10"/>
  <c r="BV461" i="10" s="1"/>
  <c r="BB446" i="10"/>
  <c r="BD446" i="10" s="1"/>
  <c r="BJ228" i="10"/>
  <c r="BL228" i="10" s="1"/>
  <c r="BB955" i="10"/>
  <c r="BD955" i="10" s="1"/>
  <c r="BB328" i="10"/>
  <c r="BD328" i="10" s="1"/>
  <c r="AN328" i="10" s="1"/>
  <c r="BB478" i="10"/>
  <c r="BD478" i="10" s="1"/>
  <c r="BM1011" i="10"/>
  <c r="BV1011" i="10" s="1"/>
  <c r="BI1011" i="10"/>
  <c r="BK1011" i="10" s="1"/>
  <c r="AQ1011" i="10" s="1"/>
  <c r="BB985" i="10"/>
  <c r="BD985" i="10" s="1"/>
  <c r="BB868" i="10"/>
  <c r="BD868" i="10" s="1"/>
  <c r="BN774" i="10"/>
  <c r="BW774" i="10" s="1"/>
  <c r="BJ774" i="10"/>
  <c r="BL774" i="10" s="1"/>
  <c r="BN749" i="10"/>
  <c r="BW749" i="10" s="1"/>
  <c r="CA749" i="10" s="1"/>
  <c r="BJ749" i="10"/>
  <c r="BL749" i="10" s="1"/>
  <c r="BN674" i="10"/>
  <c r="BW674" i="10" s="1"/>
  <c r="BJ674" i="10"/>
  <c r="BL674" i="10" s="1"/>
  <c r="BJ544" i="10"/>
  <c r="BL544" i="10" s="1"/>
  <c r="BN544" i="10"/>
  <c r="BW544" i="10" s="1"/>
  <c r="BN406" i="10"/>
  <c r="BW406" i="10" s="1"/>
  <c r="BJ406" i="10"/>
  <c r="BL406" i="10" s="1"/>
  <c r="BN268" i="10"/>
  <c r="BW268" i="10" s="1"/>
  <c r="BJ268" i="10"/>
  <c r="BL268" i="10" s="1"/>
  <c r="BJ153" i="10"/>
  <c r="BL153" i="10" s="1"/>
  <c r="BZ394" i="10"/>
  <c r="AW883" i="10"/>
  <c r="BM833" i="10"/>
  <c r="BV833" i="10" s="1"/>
  <c r="BI833" i="10"/>
  <c r="BK833" i="10" s="1"/>
  <c r="BM801" i="10"/>
  <c r="BV801" i="10" s="1"/>
  <c r="BI801" i="10"/>
  <c r="BK801" i="10" s="1"/>
  <c r="AQ801" i="10" s="1"/>
  <c r="BM785" i="10"/>
  <c r="BV785" i="10" s="1"/>
  <c r="BI785" i="10"/>
  <c r="BK785" i="10" s="1"/>
  <c r="BM680" i="10"/>
  <c r="BV680" i="10" s="1"/>
  <c r="BI680" i="10"/>
  <c r="BK680" i="10" s="1"/>
  <c r="AQ680" i="10" s="1"/>
  <c r="BI604" i="10"/>
  <c r="BK604" i="10" s="1"/>
  <c r="BM604" i="10"/>
  <c r="BV604" i="10" s="1"/>
  <c r="BM427" i="10"/>
  <c r="BV427" i="10" s="1"/>
  <c r="BI427" i="10"/>
  <c r="BK427" i="10" s="1"/>
  <c r="AQ427" i="10" s="1"/>
  <c r="BI423" i="10"/>
  <c r="BK423" i="10" s="1"/>
  <c r="BM423" i="10"/>
  <c r="BV423" i="10" s="1"/>
  <c r="BJ397" i="10"/>
  <c r="BL397" i="10" s="1"/>
  <c r="BN397" i="10"/>
  <c r="BW397" i="10" s="1"/>
  <c r="CA397" i="10" s="1"/>
  <c r="BI374" i="10"/>
  <c r="BK374" i="10" s="1"/>
  <c r="AQ374" i="10" s="1"/>
  <c r="BM374" i="10"/>
  <c r="BV374" i="10" s="1"/>
  <c r="BI347" i="10"/>
  <c r="BK347" i="10" s="1"/>
  <c r="BM347" i="10"/>
  <c r="BV347" i="10" s="1"/>
  <c r="BN251" i="10"/>
  <c r="BW251" i="10" s="1"/>
  <c r="BJ251" i="10"/>
  <c r="BL251" i="10" s="1"/>
  <c r="BJ246" i="10"/>
  <c r="BL246" i="10" s="1"/>
  <c r="BN246" i="10"/>
  <c r="BW246" i="10" s="1"/>
  <c r="BI229" i="10"/>
  <c r="BK229" i="10" s="1"/>
  <c r="BM229" i="10"/>
  <c r="BV229" i="10" s="1"/>
  <c r="BF989" i="10"/>
  <c r="BU989" i="10" s="1"/>
  <c r="BB989" i="10"/>
  <c r="BD989" i="10" s="1"/>
  <c r="AN989" i="10" s="1"/>
  <c r="BF923" i="10"/>
  <c r="BU923" i="10" s="1"/>
  <c r="BY923" i="10" s="1"/>
  <c r="BB923" i="10"/>
  <c r="BD923" i="10" s="1"/>
  <c r="BF467" i="10"/>
  <c r="BU467" i="10" s="1"/>
  <c r="BB467" i="10"/>
  <c r="BD467" i="10" s="1"/>
  <c r="BF455" i="10"/>
  <c r="BU455" i="10" s="1"/>
  <c r="BB455" i="10"/>
  <c r="BD455" i="10" s="1"/>
  <c r="BF215" i="10"/>
  <c r="BU215" i="10" s="1"/>
  <c r="BB215" i="10"/>
  <c r="BD215" i="10" s="1"/>
  <c r="AX95" i="10"/>
  <c r="AU95" i="10"/>
  <c r="AY95" i="10" s="1"/>
  <c r="CL95" i="10" s="1"/>
  <c r="CL237" i="10"/>
  <c r="BJ77" i="10"/>
  <c r="BL77" i="10" s="1"/>
  <c r="BN125" i="10"/>
  <c r="BW125" i="10" s="1"/>
  <c r="BI58" i="10"/>
  <c r="BK58" i="10" s="1"/>
  <c r="BM58" i="10"/>
  <c r="BV58" i="10" s="1"/>
  <c r="BB859" i="10"/>
  <c r="BD859" i="10" s="1"/>
  <c r="AW859" i="10" s="1"/>
  <c r="BB871" i="10"/>
  <c r="BD871" i="10" s="1"/>
  <c r="BI236" i="10"/>
  <c r="BK236" i="10" s="1"/>
  <c r="AQ537" i="10"/>
  <c r="BM724" i="10"/>
  <c r="BV724" i="10" s="1"/>
  <c r="BN888" i="10"/>
  <c r="BW888" i="10" s="1"/>
  <c r="BB386" i="10"/>
  <c r="BD386" i="10" s="1"/>
  <c r="BB466" i="10"/>
  <c r="BD466" i="10" s="1"/>
  <c r="BB499" i="10"/>
  <c r="BD499" i="10" s="1"/>
  <c r="BB443" i="10"/>
  <c r="BD443" i="10" s="1"/>
  <c r="BB313" i="10"/>
  <c r="BD313" i="10" s="1"/>
  <c r="BB514" i="10"/>
  <c r="BD514" i="10" s="1"/>
  <c r="BB1012" i="10"/>
  <c r="BD1012" i="10" s="1"/>
  <c r="BI986" i="10"/>
  <c r="BK986" i="10" s="1"/>
  <c r="BM986" i="10"/>
  <c r="BV986" i="10" s="1"/>
  <c r="BB950" i="10"/>
  <c r="BD950" i="10" s="1"/>
  <c r="AW950" i="10" s="1"/>
  <c r="BI944" i="10"/>
  <c r="BK944" i="10" s="1"/>
  <c r="BM944" i="10"/>
  <c r="BV944" i="10" s="1"/>
  <c r="BI876" i="10"/>
  <c r="BK876" i="10" s="1"/>
  <c r="BM876" i="10"/>
  <c r="BV876" i="10" s="1"/>
  <c r="BI697" i="10"/>
  <c r="BK697" i="10" s="1"/>
  <c r="BM697" i="10"/>
  <c r="BV697" i="10" s="1"/>
  <c r="BN545" i="10"/>
  <c r="BW545" i="10" s="1"/>
  <c r="BJ545" i="10"/>
  <c r="BL545" i="10" s="1"/>
  <c r="BN470" i="10"/>
  <c r="BW470" i="10" s="1"/>
  <c r="BJ470" i="10"/>
  <c r="BL470" i="10" s="1"/>
  <c r="CA918" i="10"/>
  <c r="BI69" i="10"/>
  <c r="BK69" i="10" s="1"/>
  <c r="BM69" i="10"/>
  <c r="BV69" i="10" s="1"/>
  <c r="BJ802" i="10"/>
  <c r="BL802" i="10" s="1"/>
  <c r="BN802" i="10"/>
  <c r="BW802" i="10" s="1"/>
  <c r="BI640" i="10"/>
  <c r="BK640" i="10" s="1"/>
  <c r="BM640" i="10"/>
  <c r="BV640" i="10" s="1"/>
  <c r="BJ600" i="10"/>
  <c r="BL600" i="10" s="1"/>
  <c r="BN600" i="10"/>
  <c r="BW600" i="10" s="1"/>
  <c r="BI554" i="10"/>
  <c r="BK554" i="10" s="1"/>
  <c r="AQ554" i="10" s="1"/>
  <c r="BM554" i="10"/>
  <c r="BV554" i="10" s="1"/>
  <c r="BJ278" i="10"/>
  <c r="BL278" i="10" s="1"/>
  <c r="BN278" i="10"/>
  <c r="BW278" i="10" s="1"/>
  <c r="BN217" i="10"/>
  <c r="BW217" i="10" s="1"/>
  <c r="BJ217" i="10"/>
  <c r="BL217" i="10" s="1"/>
  <c r="BF946" i="10"/>
  <c r="BU946" i="10" s="1"/>
  <c r="BB946" i="10"/>
  <c r="BD946" i="10" s="1"/>
  <c r="AW946" i="10" s="1"/>
  <c r="BF928" i="10"/>
  <c r="BU928" i="10" s="1"/>
  <c r="BB928" i="10"/>
  <c r="BD928" i="10" s="1"/>
  <c r="AW928" i="10" s="1"/>
  <c r="BF898" i="10"/>
  <c r="BU898" i="10" s="1"/>
  <c r="BY898" i="10" s="1"/>
  <c r="BB898" i="10"/>
  <c r="BD898" i="10" s="1"/>
  <c r="BF892" i="10"/>
  <c r="BU892" i="10" s="1"/>
  <c r="BB892" i="10"/>
  <c r="BD892" i="10" s="1"/>
  <c r="BF862" i="10"/>
  <c r="BU862" i="10" s="1"/>
  <c r="BB862" i="10"/>
  <c r="BD862" i="10" s="1"/>
  <c r="BF850" i="10"/>
  <c r="BU850" i="10" s="1"/>
  <c r="BY850" i="10" s="1"/>
  <c r="BB850" i="10"/>
  <c r="BD850" i="10" s="1"/>
  <c r="AW850" i="10" s="1"/>
  <c r="BF844" i="10"/>
  <c r="BU844" i="10" s="1"/>
  <c r="BB844" i="10"/>
  <c r="BD844" i="10" s="1"/>
  <c r="BF838" i="10"/>
  <c r="BU838" i="10" s="1"/>
  <c r="BB838" i="10"/>
  <c r="BD838" i="10" s="1"/>
  <c r="AN838" i="10" s="1"/>
  <c r="BF826" i="10"/>
  <c r="BU826" i="10" s="1"/>
  <c r="BB826" i="10"/>
  <c r="BD826" i="10" s="1"/>
  <c r="BF814" i="10"/>
  <c r="BU814" i="10" s="1"/>
  <c r="BB814" i="10"/>
  <c r="BD814" i="10" s="1"/>
  <c r="BF808" i="10"/>
  <c r="BU808" i="10" s="1"/>
  <c r="BB808" i="10"/>
  <c r="BD808" i="10" s="1"/>
  <c r="BF802" i="10"/>
  <c r="BU802" i="10" s="1"/>
  <c r="BB802" i="10"/>
  <c r="BD802" i="10" s="1"/>
  <c r="BF784" i="10"/>
  <c r="BU784" i="10" s="1"/>
  <c r="BB784" i="10"/>
  <c r="BD784" i="10" s="1"/>
  <c r="BF778" i="10"/>
  <c r="BU778" i="10" s="1"/>
  <c r="BB778" i="10"/>
  <c r="BD778" i="10" s="1"/>
  <c r="AW778" i="10" s="1"/>
  <c r="BF772" i="10"/>
  <c r="BU772" i="10" s="1"/>
  <c r="BB772" i="10"/>
  <c r="BD772" i="10" s="1"/>
  <c r="BF748" i="10"/>
  <c r="BU748" i="10" s="1"/>
  <c r="BY748" i="10" s="1"/>
  <c r="BB748" i="10"/>
  <c r="BD748" i="10" s="1"/>
  <c r="BF742" i="10"/>
  <c r="BU742" i="10" s="1"/>
  <c r="BY742" i="10" s="1"/>
  <c r="BB742" i="10"/>
  <c r="BD742" i="10" s="1"/>
  <c r="BF736" i="10"/>
  <c r="BU736" i="10" s="1"/>
  <c r="BY736" i="10" s="1"/>
  <c r="BB736" i="10"/>
  <c r="BD736" i="10" s="1"/>
  <c r="BF724" i="10"/>
  <c r="BU724" i="10" s="1"/>
  <c r="BY724" i="10" s="1"/>
  <c r="BB724" i="10"/>
  <c r="BD724" i="10" s="1"/>
  <c r="BF718" i="10"/>
  <c r="BU718" i="10" s="1"/>
  <c r="BY718" i="10" s="1"/>
  <c r="BB718" i="10"/>
  <c r="BD718" i="10" s="1"/>
  <c r="BF712" i="10"/>
  <c r="BU712" i="10" s="1"/>
  <c r="BY712" i="10" s="1"/>
  <c r="BB712" i="10"/>
  <c r="BD712" i="10" s="1"/>
  <c r="BF706" i="10"/>
  <c r="BU706" i="10" s="1"/>
  <c r="BY706" i="10" s="1"/>
  <c r="BB706" i="10"/>
  <c r="BD706" i="10" s="1"/>
  <c r="BF682" i="10"/>
  <c r="BU682" i="10" s="1"/>
  <c r="DY682" i="10" s="1"/>
  <c r="BB682" i="10"/>
  <c r="BD682" i="10" s="1"/>
  <c r="BF652" i="10"/>
  <c r="BU652" i="10" s="1"/>
  <c r="BB652" i="10"/>
  <c r="BD652" i="10" s="1"/>
  <c r="BF622" i="10"/>
  <c r="BU622" i="10" s="1"/>
  <c r="BB622" i="10"/>
  <c r="BD622" i="10" s="1"/>
  <c r="BF616" i="10"/>
  <c r="BU616" i="10" s="1"/>
  <c r="BB616" i="10"/>
  <c r="BD616" i="10" s="1"/>
  <c r="AW616" i="10" s="1"/>
  <c r="BF604" i="10"/>
  <c r="BU604" i="10" s="1"/>
  <c r="DY604" i="10" s="1"/>
  <c r="BB604" i="10"/>
  <c r="BD604" i="10" s="1"/>
  <c r="BF586" i="10"/>
  <c r="BU586" i="10" s="1"/>
  <c r="DY586" i="10" s="1"/>
  <c r="BB586" i="10"/>
  <c r="BD586" i="10" s="1"/>
  <c r="BF580" i="10"/>
  <c r="BU580" i="10" s="1"/>
  <c r="BB580" i="10"/>
  <c r="BD580" i="10" s="1"/>
  <c r="BF574" i="10"/>
  <c r="BU574" i="10" s="1"/>
  <c r="BB574" i="10"/>
  <c r="BD574" i="10" s="1"/>
  <c r="BF556" i="10"/>
  <c r="BU556" i="10" s="1"/>
  <c r="BB556" i="10"/>
  <c r="BD556" i="10" s="1"/>
  <c r="AN556" i="10" s="1"/>
  <c r="BF550" i="10"/>
  <c r="BU550" i="10" s="1"/>
  <c r="BY550" i="10" s="1"/>
  <c r="BB550" i="10"/>
  <c r="BD550" i="10" s="1"/>
  <c r="AN550" i="10" s="1"/>
  <c r="BF544" i="10"/>
  <c r="BU544" i="10" s="1"/>
  <c r="BB544" i="10"/>
  <c r="BD544" i="10" s="1"/>
  <c r="BF538" i="10"/>
  <c r="BU538" i="10" s="1"/>
  <c r="BY538" i="10" s="1"/>
  <c r="BB538" i="10"/>
  <c r="BD538" i="10" s="1"/>
  <c r="BF526" i="10"/>
  <c r="BU526" i="10" s="1"/>
  <c r="DY526" i="10" s="1"/>
  <c r="BB526" i="10"/>
  <c r="BD526" i="10" s="1"/>
  <c r="BF508" i="10"/>
  <c r="BU508" i="10" s="1"/>
  <c r="DY508" i="10" s="1"/>
  <c r="BB508" i="10"/>
  <c r="BD508" i="10" s="1"/>
  <c r="BF502" i="10"/>
  <c r="BU502" i="10" s="1"/>
  <c r="DY502" i="10" s="1"/>
  <c r="BB502" i="10"/>
  <c r="BD502" i="10" s="1"/>
  <c r="BF490" i="10"/>
  <c r="BU490" i="10" s="1"/>
  <c r="BY490" i="10" s="1"/>
  <c r="BB490" i="10"/>
  <c r="BD490" i="10" s="1"/>
  <c r="BF472" i="10"/>
  <c r="BU472" i="10" s="1"/>
  <c r="BY472" i="10" s="1"/>
  <c r="BB472" i="10"/>
  <c r="BD472" i="10" s="1"/>
  <c r="BF436" i="10"/>
  <c r="BU436" i="10" s="1"/>
  <c r="BB436" i="10"/>
  <c r="BD436" i="10" s="1"/>
  <c r="BF400" i="10"/>
  <c r="BU400" i="10" s="1"/>
  <c r="BB400" i="10"/>
  <c r="BD400" i="10" s="1"/>
  <c r="BF394" i="10"/>
  <c r="BU394" i="10" s="1"/>
  <c r="BB394" i="10"/>
  <c r="BD394" i="10" s="1"/>
  <c r="BF364" i="10"/>
  <c r="BU364" i="10" s="1"/>
  <c r="DY364" i="10" s="1"/>
  <c r="BB364" i="10"/>
  <c r="BD364" i="10" s="1"/>
  <c r="BF358" i="10"/>
  <c r="BU358" i="10" s="1"/>
  <c r="DY358" i="10" s="1"/>
  <c r="BB358" i="10"/>
  <c r="BD358" i="10" s="1"/>
  <c r="AW358" i="10" s="1"/>
  <c r="BF352" i="10"/>
  <c r="BU352" i="10" s="1"/>
  <c r="DY352" i="10" s="1"/>
  <c r="BB352" i="10"/>
  <c r="BD352" i="10" s="1"/>
  <c r="BF304" i="10"/>
  <c r="BU304" i="10" s="1"/>
  <c r="BB304" i="10"/>
  <c r="BD304" i="10" s="1"/>
  <c r="BF298" i="10"/>
  <c r="BU298" i="10" s="1"/>
  <c r="DY298" i="10" s="1"/>
  <c r="BB298" i="10"/>
  <c r="BD298" i="10" s="1"/>
  <c r="BF286" i="10"/>
  <c r="BU286" i="10" s="1"/>
  <c r="DY286" i="10" s="1"/>
  <c r="BB286" i="10"/>
  <c r="BD286" i="10" s="1"/>
  <c r="BF256" i="10"/>
  <c r="BU256" i="10" s="1"/>
  <c r="BY256" i="10" s="1"/>
  <c r="BB256" i="10"/>
  <c r="BD256" i="10" s="1"/>
  <c r="BY250" i="10"/>
  <c r="BF238" i="10"/>
  <c r="BU238" i="10" s="1"/>
  <c r="BY238" i="10" s="1"/>
  <c r="BB238" i="10"/>
  <c r="BD238" i="10" s="1"/>
  <c r="BY178" i="10"/>
  <c r="AX180" i="10"/>
  <c r="AU180" i="10"/>
  <c r="AX216" i="10"/>
  <c r="AU216" i="10"/>
  <c r="AX258" i="10"/>
  <c r="AU258" i="10"/>
  <c r="AX270" i="10"/>
  <c r="AU270" i="10"/>
  <c r="AY270" i="10" s="1"/>
  <c r="AX294" i="10"/>
  <c r="AU294" i="10"/>
  <c r="BZ294" i="10" s="1"/>
  <c r="AX348" i="10"/>
  <c r="AU348" i="10"/>
  <c r="AX354" i="10"/>
  <c r="AU354" i="10"/>
  <c r="CG190" i="10"/>
  <c r="CG34" i="10"/>
  <c r="CG148" i="10"/>
  <c r="CG46" i="10"/>
  <c r="CI714" i="10"/>
  <c r="CI638" i="10"/>
  <c r="CI627" i="10"/>
  <c r="CG316" i="10"/>
  <c r="CG226" i="10"/>
  <c r="BB145" i="10"/>
  <c r="BD145" i="10" s="1"/>
  <c r="CA859" i="10"/>
  <c r="BB86" i="10"/>
  <c r="BD86" i="10" s="1"/>
  <c r="BB205" i="10"/>
  <c r="BD205" i="10" s="1"/>
  <c r="BB268" i="10"/>
  <c r="BD268" i="10" s="1"/>
  <c r="BB932" i="10"/>
  <c r="BD932" i="10" s="1"/>
  <c r="BI942" i="10"/>
  <c r="BK942" i="10" s="1"/>
  <c r="BB247" i="10"/>
  <c r="BD247" i="10" s="1"/>
  <c r="BB416" i="10"/>
  <c r="BD416" i="10" s="1"/>
  <c r="AQ331" i="10"/>
  <c r="BB523" i="10"/>
  <c r="BD523" i="10" s="1"/>
  <c r="AW523" i="10" s="1"/>
  <c r="BJ993" i="10"/>
  <c r="BL993" i="10" s="1"/>
  <c r="BI428" i="10"/>
  <c r="BK428" i="10" s="1"/>
  <c r="BN522" i="10"/>
  <c r="BW522" i="10" s="1"/>
  <c r="BB922" i="10"/>
  <c r="BD922" i="10" s="1"/>
  <c r="BM357" i="10"/>
  <c r="BV357" i="10" s="1"/>
  <c r="BB434" i="10"/>
  <c r="BD434" i="10" s="1"/>
  <c r="BI476" i="10"/>
  <c r="BK476" i="10" s="1"/>
  <c r="AQ476" i="10" s="1"/>
  <c r="BB236" i="10"/>
  <c r="BD236" i="10" s="1"/>
  <c r="BJ226" i="10"/>
  <c r="BL226" i="10" s="1"/>
  <c r="BB470" i="10"/>
  <c r="BD470" i="10" s="1"/>
  <c r="BB518" i="10"/>
  <c r="BD518" i="10" s="1"/>
  <c r="BI767" i="10"/>
  <c r="BK767" i="10" s="1"/>
  <c r="BJ964" i="10"/>
  <c r="BL964" i="10" s="1"/>
  <c r="BN964" i="10"/>
  <c r="BW964" i="10" s="1"/>
  <c r="BI892" i="10"/>
  <c r="BK892" i="10" s="1"/>
  <c r="BM892" i="10"/>
  <c r="BV892" i="10" s="1"/>
  <c r="BB877" i="10"/>
  <c r="BD877" i="10" s="1"/>
  <c r="BJ708" i="10"/>
  <c r="BL708" i="10" s="1"/>
  <c r="BN708" i="10"/>
  <c r="BW708" i="10" s="1"/>
  <c r="BI703" i="10"/>
  <c r="BK703" i="10" s="1"/>
  <c r="BM703" i="10"/>
  <c r="BV703" i="10" s="1"/>
  <c r="BN625" i="10"/>
  <c r="BW625" i="10" s="1"/>
  <c r="BJ625" i="10"/>
  <c r="BL625" i="10" s="1"/>
  <c r="AQ625" i="10" s="1"/>
  <c r="BJ573" i="10"/>
  <c r="BL573" i="10" s="1"/>
  <c r="AQ573" i="10" s="1"/>
  <c r="BN573" i="10"/>
  <c r="BW573" i="10" s="1"/>
  <c r="BB433" i="10"/>
  <c r="BD433" i="10" s="1"/>
  <c r="AQ429" i="10"/>
  <c r="BI330" i="10"/>
  <c r="BK330" i="10" s="1"/>
  <c r="BM330" i="10"/>
  <c r="BV330" i="10" s="1"/>
  <c r="BI269" i="10"/>
  <c r="BK269" i="10" s="1"/>
  <c r="BM269" i="10"/>
  <c r="BV269" i="10" s="1"/>
  <c r="BY429" i="10"/>
  <c r="BY183" i="10"/>
  <c r="BY177" i="10"/>
  <c r="BY165" i="10"/>
  <c r="BY159" i="10"/>
  <c r="BY147" i="10"/>
  <c r="BY123" i="10"/>
  <c r="AN1008" i="10"/>
  <c r="AU404" i="10"/>
  <c r="AU416" i="10"/>
  <c r="AU396" i="10"/>
  <c r="CI396" i="10" s="1"/>
  <c r="AU548" i="10"/>
  <c r="AY548" i="10" s="1"/>
  <c r="AU528" i="10"/>
  <c r="AY528" i="10" s="1"/>
  <c r="AU347" i="10"/>
  <c r="CA639" i="10"/>
  <c r="AU428" i="10"/>
  <c r="AQ316" i="10"/>
  <c r="AW844" i="10"/>
  <c r="AN925" i="10"/>
  <c r="AQ252" i="10"/>
  <c r="AU221" i="10"/>
  <c r="BB975" i="10"/>
  <c r="BD975" i="10" s="1"/>
  <c r="AQ858" i="10"/>
  <c r="AU574" i="10"/>
  <c r="CI574" i="10" s="1"/>
  <c r="AU476" i="10"/>
  <c r="AU293" i="10"/>
  <c r="AU275" i="10"/>
  <c r="CI275" i="10" s="1"/>
  <c r="AU477" i="10"/>
  <c r="BB957" i="10"/>
  <c r="BD957" i="10" s="1"/>
  <c r="AU536" i="10"/>
  <c r="AU420" i="10"/>
  <c r="AU390" i="10"/>
  <c r="AQ689" i="10"/>
  <c r="AQ509" i="10"/>
  <c r="AW1003" i="10"/>
  <c r="AQ385" i="10"/>
  <c r="BB963" i="10"/>
  <c r="BD963" i="10" s="1"/>
  <c r="AU446" i="10"/>
  <c r="CI446" i="10" s="1"/>
  <c r="AU408" i="10"/>
  <c r="AU460" i="10"/>
  <c r="BB1011" i="10"/>
  <c r="BD1011" i="10" s="1"/>
  <c r="AN1011" i="10" s="1"/>
  <c r="BB933" i="10"/>
  <c r="BD933" i="10" s="1"/>
  <c r="AQ880" i="10"/>
  <c r="AU509" i="10"/>
  <c r="AX181" i="10"/>
  <c r="AU181" i="10"/>
  <c r="AY181" i="10" s="1"/>
  <c r="AX283" i="10"/>
  <c r="AU283" i="10"/>
  <c r="AX307" i="10"/>
  <c r="AX319" i="10"/>
  <c r="AU319" i="10"/>
  <c r="AX331" i="10"/>
  <c r="AU331" i="10"/>
  <c r="CI331" i="10" s="1"/>
  <c r="CJ397" i="10"/>
  <c r="CB397" i="10"/>
  <c r="CF397" i="10" s="1"/>
  <c r="AX409" i="10"/>
  <c r="AU409" i="10"/>
  <c r="AX421" i="10"/>
  <c r="AU421" i="10"/>
  <c r="AX433" i="10"/>
  <c r="AU433" i="10"/>
  <c r="CI433" i="10" s="1"/>
  <c r="AX445" i="10"/>
  <c r="AU445" i="10"/>
  <c r="AX457" i="10"/>
  <c r="AU457" i="10"/>
  <c r="AY457" i="10" s="1"/>
  <c r="CD457" i="10" s="1"/>
  <c r="CH457" i="10" s="1"/>
  <c r="AX469" i="10"/>
  <c r="AU469" i="10"/>
  <c r="AY469" i="10" s="1"/>
  <c r="AX481" i="10"/>
  <c r="AU481" i="10"/>
  <c r="CI481" i="10" s="1"/>
  <c r="AY481" i="10"/>
  <c r="AX493" i="10"/>
  <c r="AU493" i="10"/>
  <c r="AY493" i="10" s="1"/>
  <c r="AX505" i="10"/>
  <c r="AU505" i="10"/>
  <c r="CI505" i="10" s="1"/>
  <c r="AX517" i="10"/>
  <c r="AU517" i="10"/>
  <c r="AY517" i="10" s="1"/>
  <c r="AX529" i="10"/>
  <c r="AU529" i="10"/>
  <c r="BZ529" i="10" s="1"/>
  <c r="AX541" i="10"/>
  <c r="AU541" i="10"/>
  <c r="AX553" i="10"/>
  <c r="AU553" i="10"/>
  <c r="AX565" i="10"/>
  <c r="AU565" i="10"/>
  <c r="AY565" i="10" s="1"/>
  <c r="AX577" i="10"/>
  <c r="AU577" i="10"/>
  <c r="AY577" i="10" s="1"/>
  <c r="AX601" i="10"/>
  <c r="AU601" i="10"/>
  <c r="AX613" i="10"/>
  <c r="AU613" i="10"/>
  <c r="AY613" i="10" s="1"/>
  <c r="AX619" i="10"/>
  <c r="AU619" i="10"/>
  <c r="AX631" i="10"/>
  <c r="AU631" i="10"/>
  <c r="AX637" i="10"/>
  <c r="AU637" i="10"/>
  <c r="AX661" i="10"/>
  <c r="AU661" i="10"/>
  <c r="CG151" i="10"/>
  <c r="CG139" i="10"/>
  <c r="CG613" i="10"/>
  <c r="CG505" i="10"/>
  <c r="CG499" i="10"/>
  <c r="CG265" i="10"/>
  <c r="CG229" i="10"/>
  <c r="CB109" i="10"/>
  <c r="CF109" i="10" s="1"/>
  <c r="AX79" i="10"/>
  <c r="AU79" i="10"/>
  <c r="AY79" i="10" s="1"/>
  <c r="AX85" i="10"/>
  <c r="AU85" i="10"/>
  <c r="AY85" i="10" s="1"/>
  <c r="CD85" i="10" s="1"/>
  <c r="CH85" i="10" s="1"/>
  <c r="AX91" i="10"/>
  <c r="AU91" i="10"/>
  <c r="AY91" i="10" s="1"/>
  <c r="CD91" i="10" s="1"/>
  <c r="CH91" i="10" s="1"/>
  <c r="AX97" i="10"/>
  <c r="AU97" i="10"/>
  <c r="AY97" i="10" s="1"/>
  <c r="AX115" i="10"/>
  <c r="AU115" i="10"/>
  <c r="AX121" i="10"/>
  <c r="AU121" i="10"/>
  <c r="AY121" i="10" s="1"/>
  <c r="AX127" i="10"/>
  <c r="AU127" i="10"/>
  <c r="AY127" i="10" s="1"/>
  <c r="CG127" i="10"/>
  <c r="AX133" i="10"/>
  <c r="AU133" i="10"/>
  <c r="AX139" i="10"/>
  <c r="AU139" i="10"/>
  <c r="AY139" i="10" s="1"/>
  <c r="CD139" i="10" s="1"/>
  <c r="CH139" i="10" s="1"/>
  <c r="AX145" i="10"/>
  <c r="AU145" i="10"/>
  <c r="CI145" i="10" s="1"/>
  <c r="AX151" i="10"/>
  <c r="AU151" i="10"/>
  <c r="AX157" i="10"/>
  <c r="AU157" i="10"/>
  <c r="AY157" i="10" s="1"/>
  <c r="AX163" i="10"/>
  <c r="AU163" i="10"/>
  <c r="CI163" i="10" s="1"/>
  <c r="AX169" i="10"/>
  <c r="AU169" i="10"/>
  <c r="AY169" i="10" s="1"/>
  <c r="CL169" i="10" s="1"/>
  <c r="AX193" i="10"/>
  <c r="AU193" i="10"/>
  <c r="AY193" i="10" s="1"/>
  <c r="AX199" i="10"/>
  <c r="AU199" i="10"/>
  <c r="AX205" i="10"/>
  <c r="AU205" i="10"/>
  <c r="AY205" i="10" s="1"/>
  <c r="AX211" i="10"/>
  <c r="AU211" i="10"/>
  <c r="AY211" i="10" s="1"/>
  <c r="AX217" i="10"/>
  <c r="AU217" i="10"/>
  <c r="AX223" i="10"/>
  <c r="AU223" i="10"/>
  <c r="AX229" i="10"/>
  <c r="AU229" i="10"/>
  <c r="AY229" i="10" s="1"/>
  <c r="AX235" i="10"/>
  <c r="AU235" i="10"/>
  <c r="AX247" i="10"/>
  <c r="AU247" i="10"/>
  <c r="AY247" i="10" s="1"/>
  <c r="AX253" i="10"/>
  <c r="AU253" i="10"/>
  <c r="AX259" i="10"/>
  <c r="AU259" i="10"/>
  <c r="AY259" i="10" s="1"/>
  <c r="AX271" i="10"/>
  <c r="AU271" i="10"/>
  <c r="CI271" i="10" s="1"/>
  <c r="AX277" i="10"/>
  <c r="AU277" i="10"/>
  <c r="AX313" i="10"/>
  <c r="AU313" i="10"/>
  <c r="AY313" i="10" s="1"/>
  <c r="AX325" i="10"/>
  <c r="AU325" i="10"/>
  <c r="CJ337" i="10"/>
  <c r="CB337" i="10"/>
  <c r="CF337" i="10" s="1"/>
  <c r="AX343" i="10"/>
  <c r="AU343" i="10"/>
  <c r="CI343" i="10" s="1"/>
  <c r="AX349" i="10"/>
  <c r="AU349" i="10"/>
  <c r="AX355" i="10"/>
  <c r="AU355" i="10"/>
  <c r="AX361" i="10"/>
  <c r="AU361" i="10"/>
  <c r="AX367" i="10"/>
  <c r="AU367" i="10"/>
  <c r="AX373" i="10"/>
  <c r="AU373" i="10"/>
  <c r="AX379" i="10"/>
  <c r="AU379" i="10"/>
  <c r="AX385" i="10"/>
  <c r="AU385" i="10"/>
  <c r="AY385" i="10" s="1"/>
  <c r="AX391" i="10"/>
  <c r="AU391" i="10"/>
  <c r="AX415" i="10"/>
  <c r="AU415" i="10"/>
  <c r="AX427" i="10"/>
  <c r="AU427" i="10"/>
  <c r="CI427" i="10" s="1"/>
  <c r="AX439" i="10"/>
  <c r="AU439" i="10"/>
  <c r="AX451" i="10"/>
  <c r="AU451" i="10"/>
  <c r="CI451" i="10" s="1"/>
  <c r="AX463" i="10"/>
  <c r="AU463" i="10"/>
  <c r="AX475" i="10"/>
  <c r="AU475" i="10"/>
  <c r="AX487" i="10"/>
  <c r="AU487" i="10"/>
  <c r="AX499" i="10"/>
  <c r="AU499" i="10"/>
  <c r="CI499" i="10" s="1"/>
  <c r="AX511" i="10"/>
  <c r="AU511" i="10"/>
  <c r="AY511" i="10" s="1"/>
  <c r="AX523" i="10"/>
  <c r="AU523" i="10"/>
  <c r="AX547" i="10"/>
  <c r="AU547" i="10"/>
  <c r="AX559" i="10"/>
  <c r="AY559" i="10"/>
  <c r="AU559" i="10"/>
  <c r="CI559" i="10" s="1"/>
  <c r="AX571" i="10"/>
  <c r="AU571" i="10"/>
  <c r="AX595" i="10"/>
  <c r="AU595" i="10"/>
  <c r="AY595" i="10" s="1"/>
  <c r="AX607" i="10"/>
  <c r="AU607" i="10"/>
  <c r="CI607" i="10" s="1"/>
  <c r="AX625" i="10"/>
  <c r="AU625" i="10"/>
  <c r="AY625" i="10" s="1"/>
  <c r="CJ643" i="10"/>
  <c r="CB643" i="10"/>
  <c r="CF643" i="10" s="1"/>
  <c r="AX649" i="10"/>
  <c r="AU649" i="10"/>
  <c r="AX655" i="10"/>
  <c r="AU655" i="10"/>
  <c r="AY655" i="10" s="1"/>
  <c r="AX667" i="10"/>
  <c r="AU667" i="10"/>
  <c r="CG109" i="10"/>
  <c r="CG205" i="10"/>
  <c r="CI193" i="10"/>
  <c r="CI529" i="10"/>
  <c r="CG607" i="10"/>
  <c r="CG601" i="10"/>
  <c r="CG529" i="10"/>
  <c r="CG355" i="10"/>
  <c r="CG343" i="10"/>
  <c r="CG247" i="10"/>
  <c r="CL596" i="10"/>
  <c r="CD596" i="10"/>
  <c r="CH596" i="10" s="1"/>
  <c r="AY484" i="10"/>
  <c r="CA484" i="10"/>
  <c r="AY305" i="10"/>
  <c r="CI305" i="10"/>
  <c r="CG85" i="10"/>
  <c r="CG553" i="10"/>
  <c r="CG457" i="10"/>
  <c r="CG379" i="10"/>
  <c r="CG547" i="10"/>
  <c r="CG559" i="10"/>
  <c r="CG451" i="10"/>
  <c r="CG433" i="10"/>
  <c r="CI409" i="10"/>
  <c r="CG289" i="10"/>
  <c r="CD177" i="10"/>
  <c r="CH177" i="10" s="1"/>
  <c r="AU187" i="10"/>
  <c r="CL924" i="10"/>
  <c r="CD924" i="10"/>
  <c r="CH924" i="10" s="1"/>
  <c r="AU307" i="10"/>
  <c r="CI307" i="10" s="1"/>
  <c r="AU643" i="10"/>
  <c r="CI643" i="10" s="1"/>
  <c r="CD602" i="10"/>
  <c r="CH602" i="10" s="1"/>
  <c r="CL602" i="10"/>
  <c r="CL984" i="10"/>
  <c r="CD984" i="10"/>
  <c r="CH984" i="10" s="1"/>
  <c r="CI511" i="10"/>
  <c r="CG397" i="10"/>
  <c r="CD838" i="10"/>
  <c r="CH838" i="10" s="1"/>
  <c r="CL838" i="10"/>
  <c r="AU337" i="10"/>
  <c r="AY337" i="10" s="1"/>
  <c r="CG103" i="10"/>
  <c r="CG121" i="10"/>
  <c r="CG79" i="10"/>
  <c r="CI134" i="10"/>
  <c r="CG133" i="10"/>
  <c r="CG667" i="10"/>
  <c r="CG625" i="10"/>
  <c r="CG361" i="10"/>
  <c r="CG421" i="10"/>
  <c r="CG349" i="10"/>
  <c r="CG307" i="10"/>
  <c r="CG259" i="10"/>
  <c r="CG217" i="10"/>
  <c r="CD991" i="10"/>
  <c r="CH991" i="10" s="1"/>
  <c r="CL991" i="10"/>
  <c r="CI121" i="10"/>
  <c r="CD548" i="10"/>
  <c r="CH548" i="10" s="1"/>
  <c r="CL548" i="10"/>
  <c r="CG523" i="10"/>
  <c r="CG277" i="10"/>
  <c r="CI181" i="10"/>
  <c r="CG193" i="10"/>
  <c r="CG571" i="10"/>
  <c r="CG661" i="10"/>
  <c r="CG577" i="10"/>
  <c r="CG631" i="10"/>
  <c r="CG517" i="10"/>
  <c r="CG511" i="10"/>
  <c r="CG427" i="10"/>
  <c r="CG283" i="10"/>
  <c r="CD734" i="10"/>
  <c r="CH734" i="10" s="1"/>
  <c r="AU103" i="10"/>
  <c r="CD888" i="10"/>
  <c r="CH888" i="10" s="1"/>
  <c r="CL888" i="10"/>
  <c r="AY887" i="10"/>
  <c r="CI887" i="10"/>
  <c r="CD880" i="10"/>
  <c r="CH880" i="10" s="1"/>
  <c r="CL880" i="10"/>
  <c r="AU397" i="10"/>
  <c r="CG541" i="10"/>
  <c r="CI177" i="10"/>
  <c r="CG181" i="10"/>
  <c r="CG91" i="10"/>
  <c r="CI625" i="10"/>
  <c r="CI587" i="10"/>
  <c r="CG439" i="10"/>
  <c r="CG319" i="10"/>
  <c r="CG253" i="10"/>
  <c r="CI229" i="10"/>
  <c r="CB175" i="10"/>
  <c r="CF175" i="10" s="1"/>
  <c r="AY928" i="10"/>
  <c r="CL928" i="10" s="1"/>
  <c r="CA928" i="10"/>
  <c r="CD412" i="10"/>
  <c r="CH412" i="10" s="1"/>
  <c r="CL412" i="10"/>
  <c r="CI984" i="10"/>
  <c r="CG145" i="10"/>
  <c r="CI205" i="10"/>
  <c r="CG73" i="10"/>
  <c r="CG655" i="10"/>
  <c r="CG565" i="10"/>
  <c r="CG487" i="10"/>
  <c r="CG493" i="10"/>
  <c r="CI469" i="10"/>
  <c r="CG415" i="10"/>
  <c r="CG373" i="10"/>
  <c r="CG337" i="10"/>
  <c r="CI313" i="10"/>
  <c r="CG235" i="10"/>
  <c r="CB103" i="10"/>
  <c r="CF103" i="10" s="1"/>
  <c r="CB187" i="10"/>
  <c r="CF187" i="10" s="1"/>
  <c r="CD587" i="10"/>
  <c r="CH587" i="10" s="1"/>
  <c r="CD841" i="10"/>
  <c r="CH841" i="10" s="1"/>
  <c r="CL841" i="10"/>
  <c r="CL615" i="10"/>
  <c r="CD615" i="10"/>
  <c r="CH615" i="10" s="1"/>
  <c r="CL272" i="10"/>
  <c r="CD272" i="10"/>
  <c r="CH272" i="10" s="1"/>
  <c r="CD972" i="10"/>
  <c r="CH972" i="10" s="1"/>
  <c r="CL972" i="10"/>
  <c r="CL842" i="10"/>
  <c r="CD842" i="10"/>
  <c r="CH842" i="10" s="1"/>
  <c r="CG391" i="10"/>
  <c r="CI548" i="10"/>
  <c r="CG163" i="10"/>
  <c r="CG175" i="10"/>
  <c r="CG169" i="10"/>
  <c r="CI184" i="10"/>
  <c r="CG115" i="10"/>
  <c r="CG595" i="10"/>
  <c r="CG475" i="10"/>
  <c r="CG409" i="10"/>
  <c r="CG331" i="10"/>
  <c r="CG271" i="10"/>
  <c r="CD845" i="10"/>
  <c r="CH845" i="10" s="1"/>
  <c r="CL845" i="10"/>
  <c r="CI655" i="10"/>
  <c r="CB43" i="10"/>
  <c r="CF43" i="10" s="1"/>
  <c r="CB265" i="10"/>
  <c r="CF265" i="10" s="1"/>
  <c r="AU175" i="10"/>
  <c r="AY175" i="10" s="1"/>
  <c r="CI734" i="10"/>
  <c r="CG97" i="10"/>
  <c r="CG199" i="10"/>
  <c r="CG643" i="10"/>
  <c r="CI517" i="10"/>
  <c r="CG469" i="10"/>
  <c r="CI321" i="10"/>
  <c r="CG325" i="10"/>
  <c r="CG367" i="10"/>
  <c r="CG313" i="10"/>
  <c r="CI247" i="10"/>
  <c r="AY409" i="10"/>
  <c r="CL500" i="10"/>
  <c r="CD500" i="10"/>
  <c r="CH500" i="10" s="1"/>
  <c r="CA988" i="10"/>
  <c r="AY885" i="10"/>
  <c r="CA885" i="10"/>
  <c r="AY911" i="10"/>
  <c r="CA911" i="10"/>
  <c r="BZ559" i="10"/>
  <c r="BZ396" i="10"/>
  <c r="AX50" i="10"/>
  <c r="AU50" i="10"/>
  <c r="AY50" i="10" s="1"/>
  <c r="CD50" i="10" s="1"/>
  <c r="CH50" i="10" s="1"/>
  <c r="AX56" i="10"/>
  <c r="AU56" i="10"/>
  <c r="AY56" i="10" s="1"/>
  <c r="CL56" i="10" s="1"/>
  <c r="AX92" i="10"/>
  <c r="AU92" i="10"/>
  <c r="AY92" i="10" s="1"/>
  <c r="CL92" i="10" s="1"/>
  <c r="AX110" i="10"/>
  <c r="AU110" i="10"/>
  <c r="AX116" i="10"/>
  <c r="AU116" i="10"/>
  <c r="AY116" i="10" s="1"/>
  <c r="AX122" i="10"/>
  <c r="AU122" i="10"/>
  <c r="AY122" i="10" s="1"/>
  <c r="AX128" i="10"/>
  <c r="AU128" i="10"/>
  <c r="CI128" i="10" s="1"/>
  <c r="AX140" i="10"/>
  <c r="AU140" i="10"/>
  <c r="CI140" i="10" s="1"/>
  <c r="AX146" i="10"/>
  <c r="AU146" i="10"/>
  <c r="AX182" i="10"/>
  <c r="AU182" i="10"/>
  <c r="AY182" i="10" s="1"/>
  <c r="AX188" i="10"/>
  <c r="AU188" i="10"/>
  <c r="AY188" i="10" s="1"/>
  <c r="AX212" i="10"/>
  <c r="AU212" i="10"/>
  <c r="CI212" i="10" s="1"/>
  <c r="AX218" i="10"/>
  <c r="AU218" i="10"/>
  <c r="AX224" i="10"/>
  <c r="AU224" i="10"/>
  <c r="CA224" i="10" s="1"/>
  <c r="AX236" i="10"/>
  <c r="AY236" i="10"/>
  <c r="AX242" i="10"/>
  <c r="AU242" i="10"/>
  <c r="AX278" i="10"/>
  <c r="AU278" i="10"/>
  <c r="BZ278" i="10" s="1"/>
  <c r="CJ284" i="10"/>
  <c r="CB284" i="10"/>
  <c r="CF284" i="10" s="1"/>
  <c r="CJ296" i="10"/>
  <c r="CB296" i="10"/>
  <c r="CF296" i="10" s="1"/>
  <c r="AX302" i="10"/>
  <c r="AU302" i="10"/>
  <c r="AX320" i="10"/>
  <c r="AU320" i="10"/>
  <c r="CI320" i="10" s="1"/>
  <c r="AX332" i="10"/>
  <c r="AU332" i="10"/>
  <c r="CA332" i="10" s="1"/>
  <c r="AY751" i="10"/>
  <c r="CA751" i="10"/>
  <c r="AY1002" i="10"/>
  <c r="CA1002" i="10"/>
  <c r="CD444" i="10"/>
  <c r="CH444" i="10" s="1"/>
  <c r="CL444" i="10"/>
  <c r="AY903" i="10"/>
  <c r="BZ903" i="10"/>
  <c r="BY667" i="10"/>
  <c r="BY661" i="10"/>
  <c r="BY649" i="10"/>
  <c r="BY637" i="10"/>
  <c r="DU637" i="10" s="1"/>
  <c r="BY625" i="10"/>
  <c r="BY565" i="10"/>
  <c r="BY559" i="10"/>
  <c r="BY553" i="10"/>
  <c r="DU553" i="10" s="1"/>
  <c r="BY541" i="10"/>
  <c r="BY529" i="10"/>
  <c r="BY523" i="10"/>
  <c r="BY505" i="10"/>
  <c r="BY499" i="10"/>
  <c r="BY469" i="10"/>
  <c r="BY457" i="10"/>
  <c r="BY451" i="10"/>
  <c r="BY445" i="10"/>
  <c r="BY439" i="10"/>
  <c r="BY379" i="10"/>
  <c r="DU379" i="10" s="1"/>
  <c r="BY247" i="10"/>
  <c r="BY223" i="10"/>
  <c r="AX57" i="10"/>
  <c r="AY57" i="10"/>
  <c r="AX63" i="10"/>
  <c r="AU63" i="10"/>
  <c r="AX69" i="10"/>
  <c r="AU69" i="10"/>
  <c r="AY69" i="10" s="1"/>
  <c r="AX87" i="10"/>
  <c r="AU87" i="10"/>
  <c r="AY87" i="10" s="1"/>
  <c r="CD87" i="10" s="1"/>
  <c r="CH87" i="10" s="1"/>
  <c r="AX93" i="10"/>
  <c r="AU93" i="10"/>
  <c r="AX99" i="10"/>
  <c r="AU99" i="10"/>
  <c r="AY99" i="10" s="1"/>
  <c r="AX123" i="10"/>
  <c r="AU123" i="10"/>
  <c r="AY123" i="10" s="1"/>
  <c r="AX129" i="10"/>
  <c r="AU129" i="10"/>
  <c r="AX159" i="10"/>
  <c r="AU159" i="10"/>
  <c r="AX183" i="10"/>
  <c r="AY183" i="10"/>
  <c r="AX201" i="10"/>
  <c r="AU201" i="10"/>
  <c r="AX231" i="10"/>
  <c r="AU231" i="10"/>
  <c r="AX243" i="10"/>
  <c r="AU243" i="10"/>
  <c r="AY243" i="10" s="1"/>
  <c r="CJ267" i="10"/>
  <c r="CB267" i="10"/>
  <c r="CF267" i="10" s="1"/>
  <c r="AX273" i="10"/>
  <c r="AU273" i="10"/>
  <c r="AX279" i="10"/>
  <c r="AU279" i="10"/>
  <c r="CI279" i="10" s="1"/>
  <c r="CJ297" i="10"/>
  <c r="CB297" i="10"/>
  <c r="CF297" i="10" s="1"/>
  <c r="CG187" i="10"/>
  <c r="CI200" i="10"/>
  <c r="CG211" i="10"/>
  <c r="CG619" i="10"/>
  <c r="CG481" i="10"/>
  <c r="CG445" i="10"/>
  <c r="CG385" i="10"/>
  <c r="BZ256" i="10"/>
  <c r="BZ446" i="10"/>
  <c r="AY743" i="10"/>
  <c r="CA743" i="10"/>
  <c r="CA897" i="10"/>
  <c r="CA1013" i="10"/>
  <c r="BZ356" i="10"/>
  <c r="CA481" i="10"/>
  <c r="AX40" i="10"/>
  <c r="AU40" i="10"/>
  <c r="AY40" i="10" s="1"/>
  <c r="CD40" i="10" s="1"/>
  <c r="CH40" i="10" s="1"/>
  <c r="AX46" i="10"/>
  <c r="AU46" i="10"/>
  <c r="AX58" i="10"/>
  <c r="AU58" i="10"/>
  <c r="AY58" i="10" s="1"/>
  <c r="CD58" i="10" s="1"/>
  <c r="CH58" i="10" s="1"/>
  <c r="AX70" i="10"/>
  <c r="AU70" i="10"/>
  <c r="AY70" i="10" s="1"/>
  <c r="AX94" i="10"/>
  <c r="AU94" i="10"/>
  <c r="AY94" i="10" s="1"/>
  <c r="AX100" i="10"/>
  <c r="AU100" i="10"/>
  <c r="CA100" i="10" s="1"/>
  <c r="AX118" i="10"/>
  <c r="AU118" i="10"/>
  <c r="AX136" i="10"/>
  <c r="AU136" i="10"/>
  <c r="AY136" i="10" s="1"/>
  <c r="AX142" i="10"/>
  <c r="AU142" i="10"/>
  <c r="AX172" i="10"/>
  <c r="AU172" i="10"/>
  <c r="AY172" i="10" s="1"/>
  <c r="AX184" i="10"/>
  <c r="AU184" i="10"/>
  <c r="AY184" i="10" s="1"/>
  <c r="AX196" i="10"/>
  <c r="AU196" i="10"/>
  <c r="AY196" i="10" s="1"/>
  <c r="CD196" i="10" s="1"/>
  <c r="CH196" i="10" s="1"/>
  <c r="AX214" i="10"/>
  <c r="AU214" i="10"/>
  <c r="AX220" i="10"/>
  <c r="AY220" i="10"/>
  <c r="CJ226" i="10"/>
  <c r="CB226" i="10"/>
  <c r="AX238" i="10"/>
  <c r="AU238" i="10"/>
  <c r="CI238" i="10" s="1"/>
  <c r="AX250" i="10"/>
  <c r="AU250" i="10"/>
  <c r="AX262" i="10"/>
  <c r="AU262" i="10"/>
  <c r="BZ262" i="10" s="1"/>
  <c r="AX268" i="10"/>
  <c r="CJ268" i="10" s="1"/>
  <c r="AU268" i="10"/>
  <c r="AX280" i="10"/>
  <c r="AU280" i="10"/>
  <c r="AX286" i="10"/>
  <c r="AU286" i="10"/>
  <c r="CJ292" i="10"/>
  <c r="CB292" i="10"/>
  <c r="CF292" i="10" s="1"/>
  <c r="CA507" i="10"/>
  <c r="CA532" i="10"/>
  <c r="AY622" i="10"/>
  <c r="CA622" i="10"/>
  <c r="CA259" i="10"/>
  <c r="CD759" i="10"/>
  <c r="CH759" i="10" s="1"/>
  <c r="CL759" i="10"/>
  <c r="BZ475" i="10"/>
  <c r="AY621" i="10"/>
  <c r="CA621" i="10"/>
  <c r="AX47" i="10"/>
  <c r="AU47" i="10"/>
  <c r="AY47" i="10" s="1"/>
  <c r="CL47" i="10" s="1"/>
  <c r="AX53" i="10"/>
  <c r="AY53" i="10"/>
  <c r="CL53" i="10" s="1"/>
  <c r="AX77" i="10"/>
  <c r="AU77" i="10"/>
  <c r="CA509" i="10"/>
  <c r="CA888" i="10"/>
  <c r="AY424" i="10"/>
  <c r="BZ424" i="10"/>
  <c r="AX36" i="10"/>
  <c r="AU36" i="10"/>
  <c r="AX42" i="10"/>
  <c r="AU42" i="10"/>
  <c r="AX60" i="10"/>
  <c r="AU60" i="10"/>
  <c r="AY60" i="10" s="1"/>
  <c r="AX66" i="10"/>
  <c r="AU66" i="10"/>
  <c r="AY66" i="10" s="1"/>
  <c r="CL66" i="10" s="1"/>
  <c r="AX72" i="10"/>
  <c r="AU72" i="10"/>
  <c r="AX78" i="10"/>
  <c r="AU78" i="10"/>
  <c r="CI78" i="10" s="1"/>
  <c r="AX84" i="10"/>
  <c r="AU84" i="10"/>
  <c r="CA84" i="10" s="1"/>
  <c r="AX102" i="10"/>
  <c r="AU102" i="10"/>
  <c r="AY102" i="10" s="1"/>
  <c r="CL102" i="10" s="1"/>
  <c r="AX114" i="10"/>
  <c r="AU114" i="10"/>
  <c r="AY114" i="10" s="1"/>
  <c r="AX132" i="10"/>
  <c r="AU132" i="10"/>
  <c r="AX144" i="10"/>
  <c r="AU144" i="10"/>
  <c r="AX156" i="10"/>
  <c r="AU156" i="10"/>
  <c r="AY156" i="10" s="1"/>
  <c r="CL156" i="10" s="1"/>
  <c r="AX162" i="10"/>
  <c r="AY162" i="10"/>
  <c r="AX168" i="10"/>
  <c r="AU168" i="10"/>
  <c r="AX186" i="10"/>
  <c r="AU186" i="10"/>
  <c r="AX240" i="10"/>
  <c r="AU240" i="10"/>
  <c r="CI240" i="10" s="1"/>
  <c r="AX252" i="10"/>
  <c r="AU252" i="10"/>
  <c r="CB368" i="10"/>
  <c r="CF368" i="10" s="1"/>
  <c r="AU101" i="10"/>
  <c r="AU191" i="10"/>
  <c r="AU287" i="10"/>
  <c r="AY287" i="10" s="1"/>
  <c r="AU312" i="10"/>
  <c r="AY328" i="10"/>
  <c r="AU342" i="10"/>
  <c r="CI342" i="10" s="1"/>
  <c r="AU482" i="10"/>
  <c r="CI482" i="10" s="1"/>
  <c r="BZ305" i="10"/>
  <c r="BZ690" i="10"/>
  <c r="AU441" i="10"/>
  <c r="CI441" i="10" s="1"/>
  <c r="AU384" i="10"/>
  <c r="AY446" i="10"/>
  <c r="AU531" i="10"/>
  <c r="BZ347" i="10"/>
  <c r="AU440" i="10"/>
  <c r="BZ440" i="10" s="1"/>
  <c r="AU454" i="10"/>
  <c r="AU501" i="10"/>
  <c r="CA868" i="10"/>
  <c r="AU366" i="10"/>
  <c r="AU453" i="10"/>
  <c r="CI453" i="10" s="1"/>
  <c r="AU376" i="10"/>
  <c r="AU392" i="10"/>
  <c r="CI392" i="10" s="1"/>
  <c r="AU387" i="10"/>
  <c r="CI387" i="10" s="1"/>
  <c r="AU215" i="10"/>
  <c r="CI215" i="10" s="1"/>
  <c r="CB356" i="10"/>
  <c r="CF356" i="10" s="1"/>
  <c r="AU113" i="10"/>
  <c r="AY113" i="10" s="1"/>
  <c r="CL113" i="10" s="1"/>
  <c r="AU89" i="10"/>
  <c r="AY394" i="10"/>
  <c r="AY318" i="10"/>
  <c r="AU179" i="10"/>
  <c r="AU209" i="10"/>
  <c r="AY209" i="10" s="1"/>
  <c r="AU264" i="10"/>
  <c r="CI264" i="10" s="1"/>
  <c r="AU300" i="10"/>
  <c r="CI300" i="10" s="1"/>
  <c r="AU346" i="10"/>
  <c r="CI346" i="10" s="1"/>
  <c r="AU411" i="10"/>
  <c r="CI411" i="10" s="1"/>
  <c r="AU417" i="10"/>
  <c r="AU447" i="10"/>
  <c r="AY447" i="10" s="1"/>
  <c r="AU304" i="10"/>
  <c r="AY304" i="10" s="1"/>
  <c r="BZ464" i="10"/>
  <c r="AU450" i="10"/>
  <c r="AU524" i="10"/>
  <c r="AY524" i="10" s="1"/>
  <c r="BZ509" i="10"/>
  <c r="AU496" i="10"/>
  <c r="AY496" i="10" s="1"/>
  <c r="AU414" i="10"/>
  <c r="AU399" i="10"/>
  <c r="AY399" i="10" s="1"/>
  <c r="CL399" i="10" s="1"/>
  <c r="AU393" i="10"/>
  <c r="CI393" i="10" s="1"/>
  <c r="AU377" i="10"/>
  <c r="CA377" i="10" s="1"/>
  <c r="AU372" i="10"/>
  <c r="CI372" i="10" s="1"/>
  <c r="AU281" i="10"/>
  <c r="CB298" i="10"/>
  <c r="CF298" i="10" s="1"/>
  <c r="AU362" i="10"/>
  <c r="CI362" i="10" s="1"/>
  <c r="AY381" i="10"/>
  <c r="AU422" i="10"/>
  <c r="AU458" i="10"/>
  <c r="AU282" i="10"/>
  <c r="CI282" i="10" s="1"/>
  <c r="AY294" i="10"/>
  <c r="BZ366" i="10"/>
  <c r="AU380" i="10"/>
  <c r="CI380" i="10" s="1"/>
  <c r="AU276" i="10"/>
  <c r="BZ476" i="10"/>
  <c r="AU321" i="10"/>
  <c r="AY321" i="10" s="1"/>
  <c r="AU489" i="10"/>
  <c r="AY489" i="10" s="1"/>
  <c r="AU488" i="10"/>
  <c r="AU483" i="10"/>
  <c r="AU507" i="10"/>
  <c r="AY507" i="10" s="1"/>
  <c r="CA657" i="10"/>
  <c r="CA635" i="10"/>
  <c r="AU512" i="10"/>
  <c r="AU359" i="10"/>
  <c r="AY359" i="10" s="1"/>
  <c r="AU340" i="10"/>
  <c r="CB288" i="10"/>
  <c r="CF288" i="10" s="1"/>
  <c r="AU125" i="10"/>
  <c r="CA79" i="10"/>
  <c r="AU185" i="10"/>
  <c r="AY185" i="10" s="1"/>
  <c r="AU167" i="10"/>
  <c r="AU402" i="10"/>
  <c r="AU466" i="10"/>
  <c r="CA446" i="10"/>
  <c r="BZ921" i="10"/>
  <c r="BZ536" i="10"/>
  <c r="AU532" i="10"/>
  <c r="BZ532" i="10" s="1"/>
  <c r="AU435" i="10"/>
  <c r="AY435" i="10" s="1"/>
  <c r="CL435" i="10" s="1"/>
  <c r="AU360" i="10"/>
  <c r="CA360" i="10" s="1"/>
  <c r="AU336" i="10"/>
  <c r="AU309" i="10"/>
  <c r="CI309" i="10" s="1"/>
  <c r="AU245" i="10"/>
  <c r="CI245" i="10" s="1"/>
  <c r="AU107" i="10"/>
  <c r="CI107" i="10" s="1"/>
  <c r="AU197" i="10"/>
  <c r="AY197" i="10" s="1"/>
  <c r="BZ221" i="10"/>
  <c r="AU288" i="10"/>
  <c r="AU374" i="10"/>
  <c r="AU430" i="10"/>
  <c r="CI430" i="10" s="1"/>
  <c r="AU442" i="10"/>
  <c r="BZ343" i="10"/>
  <c r="BZ721" i="10"/>
  <c r="AU370" i="10"/>
  <c r="AY370" i="10" s="1"/>
  <c r="AU471" i="10"/>
  <c r="AY471" i="10" s="1"/>
  <c r="CA588" i="10"/>
  <c r="AU555" i="10"/>
  <c r="AY555" i="10" s="1"/>
  <c r="AU465" i="10"/>
  <c r="AU315" i="10"/>
  <c r="AY315" i="10" s="1"/>
  <c r="BZ320" i="10"/>
  <c r="CA947" i="10"/>
  <c r="DJ29" i="10"/>
  <c r="DI29" i="10"/>
  <c r="DJ26" i="10"/>
  <c r="DI26" i="10"/>
  <c r="DK26" i="10" s="1"/>
  <c r="DJ28" i="10"/>
  <c r="DI28" i="10"/>
  <c r="DJ27" i="10"/>
  <c r="DI27" i="10"/>
  <c r="CD21" i="10"/>
  <c r="CH21" i="10" s="1"/>
  <c r="CL21" i="10"/>
  <c r="DI17" i="10"/>
  <c r="DK17" i="10" s="1"/>
  <c r="CI21" i="10"/>
  <c r="DJ16" i="10"/>
  <c r="CG21" i="10"/>
  <c r="DJ25" i="10"/>
  <c r="DK25" i="10" s="1"/>
  <c r="DJ22" i="10"/>
  <c r="DK22" i="10" s="1"/>
  <c r="DJ19" i="10"/>
  <c r="DI16" i="10"/>
  <c r="DI19" i="10"/>
  <c r="BJ16" i="10"/>
  <c r="BL16" i="10" s="1"/>
  <c r="DJ18" i="10"/>
  <c r="BA21" i="10"/>
  <c r="BC21" i="10" s="1"/>
  <c r="DJ24" i="10"/>
  <c r="DK24" i="10" s="1"/>
  <c r="DJ21" i="10"/>
  <c r="DK21" i="10" s="1"/>
  <c r="DI18" i="10"/>
  <c r="DJ15" i="10"/>
  <c r="DI15" i="10"/>
  <c r="CL964" i="10"/>
  <c r="CD964" i="10"/>
  <c r="CH964" i="10" s="1"/>
  <c r="CD150" i="10"/>
  <c r="CH150" i="10" s="1"/>
  <c r="CL150" i="10"/>
  <c r="CL892" i="10"/>
  <c r="CD892" i="10"/>
  <c r="CH892" i="10" s="1"/>
  <c r="BM884" i="10"/>
  <c r="BV884" i="10" s="1"/>
  <c r="BZ103" i="10"/>
  <c r="BZ658" i="10"/>
  <c r="BJ859" i="10"/>
  <c r="BL859" i="10" s="1"/>
  <c r="BM956" i="10"/>
  <c r="BV956" i="10" s="1"/>
  <c r="AQ900" i="10"/>
  <c r="AQ894" i="10"/>
  <c r="BZ801" i="10"/>
  <c r="BI57" i="10"/>
  <c r="BK57" i="10" s="1"/>
  <c r="AQ951" i="10"/>
  <c r="AN932" i="10"/>
  <c r="BZ590" i="10"/>
  <c r="BJ92" i="10"/>
  <c r="BL92" i="10" s="1"/>
  <c r="AQ92" i="10" s="1"/>
  <c r="BZ885" i="10"/>
  <c r="BJ611" i="10"/>
  <c r="BL611" i="10" s="1"/>
  <c r="BN894" i="10"/>
  <c r="BW894" i="10" s="1"/>
  <c r="BN636" i="10"/>
  <c r="BW636" i="10" s="1"/>
  <c r="BM981" i="10"/>
  <c r="BV981" i="10" s="1"/>
  <c r="BM851" i="10"/>
  <c r="BV851" i="10" s="1"/>
  <c r="BJ736" i="10"/>
  <c r="BL736" i="10" s="1"/>
  <c r="BM914" i="10"/>
  <c r="BV914" i="10" s="1"/>
  <c r="BZ914" i="10" s="1"/>
  <c r="BJ911" i="10"/>
  <c r="BL911" i="10" s="1"/>
  <c r="BM53" i="10"/>
  <c r="BV53" i="10" s="1"/>
  <c r="BN191" i="10"/>
  <c r="BW191" i="10" s="1"/>
  <c r="BI174" i="10"/>
  <c r="BK174" i="10" s="1"/>
  <c r="AQ174" i="10" s="1"/>
  <c r="BI976" i="10"/>
  <c r="BK976" i="10" s="1"/>
  <c r="AW999" i="10"/>
  <c r="BZ901" i="10"/>
  <c r="BN162" i="10"/>
  <c r="BW162" i="10" s="1"/>
  <c r="CA162" i="10" s="1"/>
  <c r="BI821" i="10"/>
  <c r="BK821" i="10" s="1"/>
  <c r="BN762" i="10"/>
  <c r="BW762" i="10" s="1"/>
  <c r="BJ735" i="10"/>
  <c r="BL735" i="10" s="1"/>
  <c r="BI991" i="10"/>
  <c r="BK991" i="10" s="1"/>
  <c r="BJ892" i="10"/>
  <c r="BL892" i="10" s="1"/>
  <c r="BN185" i="10"/>
  <c r="BW185" i="10" s="1"/>
  <c r="BI853" i="10"/>
  <c r="BK853" i="10" s="1"/>
  <c r="BZ236" i="10"/>
  <c r="BM883" i="10"/>
  <c r="BV883" i="10" s="1"/>
  <c r="BZ883" i="10" s="1"/>
  <c r="BN958" i="10"/>
  <c r="BW958" i="10" s="1"/>
  <c r="CA958" i="10" s="1"/>
  <c r="BM1004" i="10"/>
  <c r="BV1004" i="10" s="1"/>
  <c r="BN879" i="10"/>
  <c r="BW879" i="10" s="1"/>
  <c r="CA879" i="10" s="1"/>
  <c r="BN594" i="10"/>
  <c r="BW594" i="10" s="1"/>
  <c r="CA994" i="10"/>
  <c r="BJ47" i="10"/>
  <c r="BL47" i="10" s="1"/>
  <c r="AN955" i="10"/>
  <c r="AQ904" i="10"/>
  <c r="CA645" i="10"/>
  <c r="AN906" i="10"/>
  <c r="BM1002" i="10"/>
  <c r="BV1002" i="10" s="1"/>
  <c r="BZ1002" i="10" s="1"/>
  <c r="BJ885" i="10"/>
  <c r="BL885" i="10" s="1"/>
  <c r="CA942" i="10"/>
  <c r="CA214" i="10"/>
  <c r="BM957" i="10"/>
  <c r="BV957" i="10" s="1"/>
  <c r="AN949" i="10"/>
  <c r="CA698" i="10"/>
  <c r="CA964" i="10"/>
  <c r="BM904" i="10"/>
  <c r="BV904" i="10" s="1"/>
  <c r="CA550" i="10"/>
  <c r="CT698" i="10"/>
  <c r="CT626" i="10"/>
  <c r="DA731" i="10"/>
  <c r="DA719" i="10"/>
  <c r="DA707" i="10"/>
  <c r="DA695" i="10"/>
  <c r="DA683" i="10"/>
  <c r="DA671" i="10"/>
  <c r="DA659" i="10"/>
  <c r="DA647" i="10"/>
  <c r="DA635" i="10"/>
  <c r="DA623" i="10"/>
  <c r="DA611" i="10"/>
  <c r="DA599" i="10"/>
  <c r="DA587" i="10"/>
  <c r="DA575" i="10"/>
  <c r="DA563" i="10"/>
  <c r="DA551" i="10"/>
  <c r="DA539" i="10"/>
  <c r="DA527" i="10"/>
  <c r="DA515" i="10"/>
  <c r="DA511" i="10"/>
  <c r="DA503" i="10"/>
  <c r="DA499" i="10"/>
  <c r="DA491" i="10"/>
  <c r="DA487" i="10"/>
  <c r="CT772" i="10"/>
  <c r="CT746" i="10"/>
  <c r="CT742" i="10"/>
  <c r="CT683" i="10"/>
  <c r="CT653" i="10"/>
  <c r="CT611" i="10"/>
  <c r="CT581" i="10"/>
  <c r="AQ622" i="10"/>
  <c r="CT791" i="10"/>
  <c r="CT752" i="10"/>
  <c r="CT712" i="10"/>
  <c r="CT662" i="10"/>
  <c r="CT590" i="10"/>
  <c r="CT431" i="10"/>
  <c r="DA837" i="10"/>
  <c r="DA825" i="10"/>
  <c r="DA813" i="10"/>
  <c r="DA801" i="10"/>
  <c r="DA789" i="10"/>
  <c r="DA777" i="10"/>
  <c r="DA765" i="10"/>
  <c r="DA753" i="10"/>
  <c r="DA741" i="10"/>
  <c r="DA729" i="10"/>
  <c r="DA717" i="10"/>
  <c r="DA705" i="10"/>
  <c r="DA693" i="10"/>
  <c r="DA681" i="10"/>
  <c r="DA669" i="10"/>
  <c r="DA657" i="10"/>
  <c r="DA645" i="10"/>
  <c r="DA633" i="10"/>
  <c r="DA621" i="10"/>
  <c r="DA609" i="10"/>
  <c r="DA597" i="10"/>
  <c r="DA585" i="10"/>
  <c r="DA573" i="10"/>
  <c r="DA561" i="10"/>
  <c r="DA549" i="10"/>
  <c r="DA537" i="10"/>
  <c r="DA525" i="10"/>
  <c r="DA513" i="10"/>
  <c r="DA501" i="10"/>
  <c r="CT689" i="10"/>
  <c r="CT647" i="10"/>
  <c r="CT617" i="10"/>
  <c r="CT575" i="10"/>
  <c r="CT388" i="10"/>
  <c r="AW510" i="10"/>
  <c r="BZ500" i="10"/>
  <c r="BZ481" i="10"/>
  <c r="AQ477" i="10"/>
  <c r="CT1012" i="10"/>
  <c r="CT1009" i="10"/>
  <c r="CT1006" i="10"/>
  <c r="CT1003" i="10"/>
  <c r="CT1000" i="10"/>
  <c r="CT997" i="10"/>
  <c r="CT994" i="10"/>
  <c r="CT991" i="10"/>
  <c r="CT988" i="10"/>
  <c r="CT985" i="10"/>
  <c r="CT982" i="10"/>
  <c r="CT979" i="10"/>
  <c r="CT976" i="10"/>
  <c r="CT973" i="10"/>
  <c r="CT970" i="10"/>
  <c r="CT967" i="10"/>
  <c r="CT964" i="10"/>
  <c r="CT961" i="10"/>
  <c r="CT958" i="10"/>
  <c r="CT955" i="10"/>
  <c r="CT952" i="10"/>
  <c r="CT949" i="10"/>
  <c r="CT946" i="10"/>
  <c r="CT943" i="10"/>
  <c r="CT940" i="10"/>
  <c r="CT937" i="10"/>
  <c r="CT934" i="10"/>
  <c r="CT931" i="10"/>
  <c r="CT928" i="10"/>
  <c r="CT925" i="10"/>
  <c r="CT922" i="10"/>
  <c r="CT919" i="10"/>
  <c r="CT916" i="10"/>
  <c r="CT913" i="10"/>
  <c r="CT910" i="10"/>
  <c r="CT907" i="10"/>
  <c r="CT904" i="10"/>
  <c r="CT901" i="10"/>
  <c r="CT898" i="10"/>
  <c r="CT895" i="10"/>
  <c r="CT892" i="10"/>
  <c r="CT889" i="10"/>
  <c r="CT886" i="10"/>
  <c r="CT883" i="10"/>
  <c r="CT880" i="10"/>
  <c r="CT877" i="10"/>
  <c r="CT874" i="10"/>
  <c r="CT871" i="10"/>
  <c r="CT868" i="10"/>
  <c r="CT865" i="10"/>
  <c r="CT862" i="10"/>
  <c r="CT859" i="10"/>
  <c r="CT856" i="10"/>
  <c r="CT853" i="10"/>
  <c r="CT850" i="10"/>
  <c r="CT847" i="10"/>
  <c r="CT844" i="10"/>
  <c r="CT841" i="10"/>
  <c r="CT838" i="10"/>
  <c r="CT835" i="10"/>
  <c r="CT832" i="10"/>
  <c r="CT829" i="10"/>
  <c r="CT826" i="10"/>
  <c r="CT823" i="10"/>
  <c r="CT820" i="10"/>
  <c r="CT817" i="10"/>
  <c r="CT814" i="10"/>
  <c r="CT811" i="10"/>
  <c r="CT808" i="10"/>
  <c r="CT805" i="10"/>
  <c r="CT802" i="10"/>
  <c r="CT799" i="10"/>
  <c r="CT796" i="10"/>
  <c r="CT751" i="10"/>
  <c r="CT476" i="10"/>
  <c r="DU1012" i="10"/>
  <c r="DU982" i="10"/>
  <c r="DU970" i="10"/>
  <c r="DU964" i="10"/>
  <c r="DU958" i="10"/>
  <c r="BX228" i="10"/>
  <c r="DA489" i="10"/>
  <c r="DA477" i="10"/>
  <c r="DA465" i="10"/>
  <c r="DA453" i="10"/>
  <c r="DA441" i="10"/>
  <c r="DA429" i="10"/>
  <c r="DA417" i="10"/>
  <c r="DA405" i="10"/>
  <c r="DA393" i="10"/>
  <c r="DA381" i="10"/>
  <c r="DA369" i="10"/>
  <c r="DA357" i="10"/>
  <c r="DA345" i="10"/>
  <c r="DA333" i="10"/>
  <c r="DA321" i="10"/>
  <c r="DA309" i="10"/>
  <c r="DA305" i="10"/>
  <c r="DA297" i="10"/>
  <c r="DA293" i="10"/>
  <c r="DA285" i="10"/>
  <c r="DA281" i="10"/>
  <c r="DA273" i="10"/>
  <c r="DA269" i="10"/>
  <c r="DA261" i="10"/>
  <c r="DA257" i="10"/>
  <c r="DA249" i="10"/>
  <c r="DA245" i="10"/>
  <c r="DA237" i="10"/>
  <c r="DA233" i="10"/>
  <c r="DA225" i="10"/>
  <c r="DA221" i="10"/>
  <c r="DA213" i="10"/>
  <c r="DA209" i="10"/>
  <c r="DA201" i="10"/>
  <c r="DA197" i="10"/>
  <c r="DA189" i="10"/>
  <c r="DA185" i="10"/>
  <c r="DA177" i="10"/>
  <c r="DA173" i="10"/>
  <c r="DA165" i="10"/>
  <c r="DA161" i="10"/>
  <c r="DA153" i="10"/>
  <c r="DA149" i="10"/>
  <c r="DA141" i="10"/>
  <c r="DA137" i="10"/>
  <c r="DA129" i="10"/>
  <c r="DA125" i="10"/>
  <c r="DA117" i="10"/>
  <c r="DA113" i="10"/>
  <c r="DA105" i="10"/>
  <c r="DA93" i="10"/>
  <c r="DA81" i="10"/>
  <c r="DA69" i="10"/>
  <c r="DA57" i="10"/>
  <c r="DA45" i="10"/>
  <c r="DA33" i="10"/>
  <c r="DU981" i="10"/>
  <c r="DU975" i="10"/>
  <c r="DU969" i="10"/>
  <c r="DU957" i="10"/>
  <c r="DU951" i="10"/>
  <c r="BX181" i="10"/>
  <c r="BX247" i="10"/>
  <c r="DU1003" i="10"/>
  <c r="DU985" i="10"/>
  <c r="DU967" i="10"/>
  <c r="DU955" i="10"/>
  <c r="DA479" i="10"/>
  <c r="DA475" i="10"/>
  <c r="DA467" i="10"/>
  <c r="DA463" i="10"/>
  <c r="DA455" i="10"/>
  <c r="DA451" i="10"/>
  <c r="DA443" i="10"/>
  <c r="DA439" i="10"/>
  <c r="DA431" i="10"/>
  <c r="DA427" i="10"/>
  <c r="DA419" i="10"/>
  <c r="DA415" i="10"/>
  <c r="DA407" i="10"/>
  <c r="DA403" i="10"/>
  <c r="DA395" i="10"/>
  <c r="DA391" i="10"/>
  <c r="DA383" i="10"/>
  <c r="DA379" i="10"/>
  <c r="DA371" i="10"/>
  <c r="DA367" i="10"/>
  <c r="DA359" i="10"/>
  <c r="DA355" i="10"/>
  <c r="DA347" i="10"/>
  <c r="DA343" i="10"/>
  <c r="DA335" i="10"/>
  <c r="DA331" i="10"/>
  <c r="DA323" i="10"/>
  <c r="DA319" i="10"/>
  <c r="DA311" i="10"/>
  <c r="DA307" i="10"/>
  <c r="DA299" i="10"/>
  <c r="DA295" i="10"/>
  <c r="DA287" i="10"/>
  <c r="DA283" i="10"/>
  <c r="DA275" i="10"/>
  <c r="DA271" i="10"/>
  <c r="DA263" i="10"/>
  <c r="DA259" i="10"/>
  <c r="DA251" i="10"/>
  <c r="DA247" i="10"/>
  <c r="DA239" i="10"/>
  <c r="DA235" i="10"/>
  <c r="DA227" i="10"/>
  <c r="DA223" i="10"/>
  <c r="DA215" i="10"/>
  <c r="DA211" i="10"/>
  <c r="DA203" i="10"/>
  <c r="DA199" i="10"/>
  <c r="DA191" i="10"/>
  <c r="DA187" i="10"/>
  <c r="DA179" i="10"/>
  <c r="DA175" i="10"/>
  <c r="DA167" i="10"/>
  <c r="DA163" i="10"/>
  <c r="DA155" i="10"/>
  <c r="DA151" i="10"/>
  <c r="DA143" i="10"/>
  <c r="DA139" i="10"/>
  <c r="DA131" i="10"/>
  <c r="DA127" i="10"/>
  <c r="DA119" i="10"/>
  <c r="DA115" i="10"/>
  <c r="DA107" i="10"/>
  <c r="DA103" i="10"/>
  <c r="DA95" i="10"/>
  <c r="DA91" i="10"/>
  <c r="DA83" i="10"/>
  <c r="DA79" i="10"/>
  <c r="DA71" i="10"/>
  <c r="DA67" i="10"/>
  <c r="DA59" i="10"/>
  <c r="DA55" i="10"/>
  <c r="DA47" i="10"/>
  <c r="DA43" i="10"/>
  <c r="DA35" i="10"/>
  <c r="DA31" i="10"/>
  <c r="AY992" i="10"/>
  <c r="BZ992" i="10"/>
  <c r="CL662" i="10"/>
  <c r="CD662" i="10"/>
  <c r="CH662" i="10" s="1"/>
  <c r="CD742" i="10"/>
  <c r="CH742" i="10" s="1"/>
  <c r="CL742" i="10"/>
  <c r="CD385" i="10"/>
  <c r="CH385" i="10" s="1"/>
  <c r="CL385" i="10"/>
  <c r="DN934" i="10"/>
  <c r="BP934" i="10" s="1"/>
  <c r="DO934" i="10" s="1"/>
  <c r="CI385" i="10"/>
  <c r="CD818" i="10"/>
  <c r="CH818" i="10" s="1"/>
  <c r="CL818" i="10"/>
  <c r="CL686" i="10"/>
  <c r="CD686" i="10"/>
  <c r="CH686" i="10" s="1"/>
  <c r="BM659" i="10"/>
  <c r="BV659" i="10" s="1"/>
  <c r="BI659" i="10"/>
  <c r="BK659" i="10" s="1"/>
  <c r="BM648" i="10"/>
  <c r="BV648" i="10" s="1"/>
  <c r="BI648" i="10"/>
  <c r="BK648" i="10" s="1"/>
  <c r="BI643" i="10"/>
  <c r="BK643" i="10" s="1"/>
  <c r="BM643" i="10"/>
  <c r="BV643" i="10" s="1"/>
  <c r="BI632" i="10"/>
  <c r="BK632" i="10" s="1"/>
  <c r="AQ632" i="10" s="1"/>
  <c r="BM632" i="10"/>
  <c r="BV632" i="10" s="1"/>
  <c r="BI601" i="10"/>
  <c r="BK601" i="10" s="1"/>
  <c r="AQ601" i="10" s="1"/>
  <c r="BM601" i="10"/>
  <c r="BV601" i="10" s="1"/>
  <c r="BZ601" i="10" s="1"/>
  <c r="BJ586" i="10"/>
  <c r="BL586" i="10" s="1"/>
  <c r="BN586" i="10"/>
  <c r="BW586" i="10" s="1"/>
  <c r="BJ579" i="10"/>
  <c r="BL579" i="10" s="1"/>
  <c r="BN579" i="10"/>
  <c r="BW579" i="10" s="1"/>
  <c r="CL568" i="10"/>
  <c r="CD568" i="10"/>
  <c r="CH568" i="10" s="1"/>
  <c r="BJ553" i="10"/>
  <c r="BL553" i="10" s="1"/>
  <c r="AQ553" i="10" s="1"/>
  <c r="BN553" i="10"/>
  <c r="BW553" i="10" s="1"/>
  <c r="CA553" i="10" s="1"/>
  <c r="BJ533" i="10"/>
  <c r="BL533" i="10" s="1"/>
  <c r="BN533" i="10"/>
  <c r="BW533" i="10" s="1"/>
  <c r="CA533" i="10" s="1"/>
  <c r="BI527" i="10"/>
  <c r="BK527" i="10" s="1"/>
  <c r="AQ527" i="10" s="1"/>
  <c r="BM527" i="10"/>
  <c r="BV527" i="10" s="1"/>
  <c r="BN489" i="10"/>
  <c r="BW489" i="10" s="1"/>
  <c r="CA489" i="10" s="1"/>
  <c r="BJ489" i="10"/>
  <c r="BL489" i="10" s="1"/>
  <c r="BN475" i="10"/>
  <c r="BW475" i="10" s="1"/>
  <c r="CA475" i="10" s="1"/>
  <c r="BJ475" i="10"/>
  <c r="BL475" i="10" s="1"/>
  <c r="BN464" i="10"/>
  <c r="BW464" i="10" s="1"/>
  <c r="CA464" i="10" s="1"/>
  <c r="BJ464" i="10"/>
  <c r="BL464" i="10" s="1"/>
  <c r="BI463" i="10"/>
  <c r="BK463" i="10" s="1"/>
  <c r="BM463" i="10"/>
  <c r="BV463" i="10" s="1"/>
  <c r="BN447" i="10"/>
  <c r="BW447" i="10" s="1"/>
  <c r="BJ447" i="10"/>
  <c r="BL447" i="10" s="1"/>
  <c r="AQ447" i="10" s="1"/>
  <c r="BJ442" i="10"/>
  <c r="BL442" i="10" s="1"/>
  <c r="BN442" i="10"/>
  <c r="BW442" i="10" s="1"/>
  <c r="BN436" i="10"/>
  <c r="BW436" i="10" s="1"/>
  <c r="BJ436" i="10"/>
  <c r="BL436" i="10" s="1"/>
  <c r="BJ425" i="10"/>
  <c r="BL425" i="10" s="1"/>
  <c r="BN425" i="10"/>
  <c r="BW425" i="10" s="1"/>
  <c r="BJ416" i="10"/>
  <c r="BL416" i="10" s="1"/>
  <c r="BN416" i="10"/>
  <c r="BW416" i="10" s="1"/>
  <c r="BI411" i="10"/>
  <c r="BK411" i="10" s="1"/>
  <c r="AQ411" i="10" s="1"/>
  <c r="BM411" i="10"/>
  <c r="BV411" i="10" s="1"/>
  <c r="BI578" i="10"/>
  <c r="BK578" i="10" s="1"/>
  <c r="BN670" i="10"/>
  <c r="BW670" i="10" s="1"/>
  <c r="BJ670" i="10"/>
  <c r="BL670" i="10" s="1"/>
  <c r="AQ670" i="10" s="1"/>
  <c r="BJ85" i="10"/>
  <c r="BL85" i="10" s="1"/>
  <c r="CD97" i="10"/>
  <c r="CH97" i="10" s="1"/>
  <c r="CL97" i="10"/>
  <c r="AY790" i="10"/>
  <c r="BZ790" i="10"/>
  <c r="BM726" i="10"/>
  <c r="BV726" i="10" s="1"/>
  <c r="BI726" i="10"/>
  <c r="BK726" i="10" s="1"/>
  <c r="BN720" i="10"/>
  <c r="BW720" i="10" s="1"/>
  <c r="BJ720" i="10"/>
  <c r="BL720" i="10" s="1"/>
  <c r="BN715" i="10"/>
  <c r="BW715" i="10" s="1"/>
  <c r="BJ715" i="10"/>
  <c r="BL715" i="10" s="1"/>
  <c r="CD820" i="10"/>
  <c r="CH820" i="10" s="1"/>
  <c r="CL820" i="10"/>
  <c r="AY938" i="10"/>
  <c r="CA938" i="10"/>
  <c r="CL800" i="10"/>
  <c r="CD800" i="10"/>
  <c r="CH800" i="10" s="1"/>
  <c r="BM897" i="10"/>
  <c r="BV897" i="10" s="1"/>
  <c r="BI897" i="10"/>
  <c r="BK897" i="10" s="1"/>
  <c r="AQ897" i="10" s="1"/>
  <c r="BM843" i="10"/>
  <c r="BV843" i="10" s="1"/>
  <c r="BZ843" i="10" s="1"/>
  <c r="BI843" i="10"/>
  <c r="BK843" i="10" s="1"/>
  <c r="BM830" i="10"/>
  <c r="BV830" i="10" s="1"/>
  <c r="BI830" i="10"/>
  <c r="BK830" i="10" s="1"/>
  <c r="BN825" i="10"/>
  <c r="BW825" i="10" s="1"/>
  <c r="BJ825" i="10"/>
  <c r="BL825" i="10" s="1"/>
  <c r="BN820" i="10"/>
  <c r="BW820" i="10" s="1"/>
  <c r="CA820" i="10" s="1"/>
  <c r="BJ820" i="10"/>
  <c r="BL820" i="10" s="1"/>
  <c r="BI814" i="10"/>
  <c r="BK814" i="10" s="1"/>
  <c r="BM814" i="10"/>
  <c r="BV814" i="10" s="1"/>
  <c r="CD776" i="10"/>
  <c r="CH776" i="10" s="1"/>
  <c r="CL776" i="10"/>
  <c r="BI775" i="10"/>
  <c r="BK775" i="10" s="1"/>
  <c r="BM775" i="10"/>
  <c r="BV775" i="10" s="1"/>
  <c r="BM755" i="10"/>
  <c r="BV755" i="10" s="1"/>
  <c r="BI755" i="10"/>
  <c r="BK755" i="10" s="1"/>
  <c r="BN750" i="10"/>
  <c r="BW750" i="10" s="1"/>
  <c r="CA750" i="10" s="1"/>
  <c r="BJ750" i="10"/>
  <c r="BL750" i="10" s="1"/>
  <c r="BJ745" i="10"/>
  <c r="BL745" i="10" s="1"/>
  <c r="BN745" i="10"/>
  <c r="BW745" i="10" s="1"/>
  <c r="CA745" i="10" s="1"/>
  <c r="CL504" i="10"/>
  <c r="CD504" i="10"/>
  <c r="CH504" i="10" s="1"/>
  <c r="CL284" i="10"/>
  <c r="CD284" i="10"/>
  <c r="CH284" i="10" s="1"/>
  <c r="CD234" i="10"/>
  <c r="CH234" i="10" s="1"/>
  <c r="CL234" i="10"/>
  <c r="CL943" i="10"/>
  <c r="CD943" i="10"/>
  <c r="CH943" i="10" s="1"/>
  <c r="BM936" i="10"/>
  <c r="BV936" i="10" s="1"/>
  <c r="BZ936" i="10" s="1"/>
  <c r="BI936" i="10"/>
  <c r="BK936" i="10" s="1"/>
  <c r="AW924" i="10"/>
  <c r="BJ913" i="10"/>
  <c r="BL913" i="10" s="1"/>
  <c r="BN913" i="10"/>
  <c r="BW913" i="10" s="1"/>
  <c r="CA913" i="10" s="1"/>
  <c r="CL717" i="10"/>
  <c r="CD717" i="10"/>
  <c r="CH717" i="10" s="1"/>
  <c r="CD907" i="10"/>
  <c r="CH907" i="10" s="1"/>
  <c r="CL907" i="10"/>
  <c r="AY951" i="10"/>
  <c r="BZ951" i="10"/>
  <c r="CD736" i="10"/>
  <c r="CH736" i="10" s="1"/>
  <c r="CL736" i="10"/>
  <c r="CD517" i="10"/>
  <c r="CH517" i="10" s="1"/>
  <c r="CL517" i="10"/>
  <c r="CL502" i="10"/>
  <c r="CD502" i="10"/>
  <c r="CH502" i="10" s="1"/>
  <c r="AY513" i="10"/>
  <c r="BZ513" i="10"/>
  <c r="CD722" i="10"/>
  <c r="CH722" i="10" s="1"/>
  <c r="CL722" i="10"/>
  <c r="AY877" i="10"/>
  <c r="CA877" i="10"/>
  <c r="CD503" i="10"/>
  <c r="CH503" i="10" s="1"/>
  <c r="CL503" i="10"/>
  <c r="BM617" i="10"/>
  <c r="BV617" i="10" s="1"/>
  <c r="BZ617" i="10" s="1"/>
  <c r="BJ1003" i="10"/>
  <c r="BL1003" i="10" s="1"/>
  <c r="BN1003" i="10"/>
  <c r="BW1003" i="10" s="1"/>
  <c r="CA1003" i="10" s="1"/>
  <c r="BJ64" i="10"/>
  <c r="BL64" i="10" s="1"/>
  <c r="BN64" i="10"/>
  <c r="BW64" i="10" s="1"/>
  <c r="BM100" i="10"/>
  <c r="BV100" i="10" s="1"/>
  <c r="BI100" i="10"/>
  <c r="BK100" i="10" s="1"/>
  <c r="BJ145" i="10"/>
  <c r="BL145" i="10" s="1"/>
  <c r="BN145" i="10"/>
  <c r="BW145" i="10" s="1"/>
  <c r="BJ149" i="10"/>
  <c r="BL149" i="10" s="1"/>
  <c r="BN149" i="10"/>
  <c r="BW149" i="10" s="1"/>
  <c r="BI159" i="10"/>
  <c r="BK159" i="10" s="1"/>
  <c r="AQ159" i="10" s="1"/>
  <c r="BM159" i="10"/>
  <c r="BV159" i="10" s="1"/>
  <c r="BI176" i="10"/>
  <c r="BK176" i="10" s="1"/>
  <c r="BM176" i="10"/>
  <c r="BV176" i="10" s="1"/>
  <c r="CL823" i="10"/>
  <c r="CD823" i="10"/>
  <c r="CH823" i="10" s="1"/>
  <c r="CL929" i="10"/>
  <c r="CD929" i="10"/>
  <c r="CH929" i="10" s="1"/>
  <c r="CL617" i="10"/>
  <c r="CD617" i="10"/>
  <c r="CH617" i="10" s="1"/>
  <c r="BM313" i="10"/>
  <c r="BV313" i="10" s="1"/>
  <c r="BI313" i="10"/>
  <c r="BK313" i="10" s="1"/>
  <c r="AQ313" i="10" s="1"/>
  <c r="AY309" i="10"/>
  <c r="BJ302" i="10"/>
  <c r="BL302" i="10" s="1"/>
  <c r="BN302" i="10"/>
  <c r="BW302" i="10" s="1"/>
  <c r="BM292" i="10"/>
  <c r="BV292" i="10" s="1"/>
  <c r="BZ292" i="10" s="1"/>
  <c r="BI292" i="10"/>
  <c r="BK292" i="10" s="1"/>
  <c r="BJ287" i="10"/>
  <c r="BL287" i="10" s="1"/>
  <c r="BN287" i="10"/>
  <c r="BW287" i="10" s="1"/>
  <c r="BJ277" i="10"/>
  <c r="BL277" i="10" s="1"/>
  <c r="BN277" i="10"/>
  <c r="BW277" i="10" s="1"/>
  <c r="BN267" i="10"/>
  <c r="BW267" i="10" s="1"/>
  <c r="CA267" i="10" s="1"/>
  <c r="BJ267" i="10"/>
  <c r="BL267" i="10" s="1"/>
  <c r="BN258" i="10"/>
  <c r="BW258" i="10" s="1"/>
  <c r="BJ258" i="10"/>
  <c r="BL258" i="10" s="1"/>
  <c r="AQ258" i="10" s="1"/>
  <c r="BJ249" i="10"/>
  <c r="BL249" i="10" s="1"/>
  <c r="BN249" i="10"/>
  <c r="BW249" i="10" s="1"/>
  <c r="BJ231" i="10"/>
  <c r="BL231" i="10" s="1"/>
  <c r="BN231" i="10"/>
  <c r="BW231" i="10" s="1"/>
  <c r="BI216" i="10"/>
  <c r="BK216" i="10" s="1"/>
  <c r="BM216" i="10"/>
  <c r="BV216" i="10" s="1"/>
  <c r="CL694" i="10"/>
  <c r="CD694" i="10"/>
  <c r="CH694" i="10" s="1"/>
  <c r="CD401" i="10"/>
  <c r="CH401" i="10" s="1"/>
  <c r="CL401" i="10"/>
  <c r="CL704" i="10"/>
  <c r="CD704" i="10"/>
  <c r="CH704" i="10" s="1"/>
  <c r="BM364" i="10"/>
  <c r="BV364" i="10" s="1"/>
  <c r="BZ364" i="10" s="1"/>
  <c r="BI364" i="10"/>
  <c r="BK364" i="10" s="1"/>
  <c r="AQ364" i="10" s="1"/>
  <c r="BI359" i="10"/>
  <c r="BK359" i="10" s="1"/>
  <c r="BM359" i="10"/>
  <c r="BV359" i="10" s="1"/>
  <c r="BI340" i="10"/>
  <c r="BK340" i="10" s="1"/>
  <c r="BM340" i="10"/>
  <c r="BV340" i="10" s="1"/>
  <c r="BZ340" i="10" s="1"/>
  <c r="CA638" i="10"/>
  <c r="BM169" i="10"/>
  <c r="BV169" i="10" s="1"/>
  <c r="BN132" i="10"/>
  <c r="BW132" i="10" s="1"/>
  <c r="CI90" i="10"/>
  <c r="CI53" i="10"/>
  <c r="CI948" i="10"/>
  <c r="BZ488" i="10"/>
  <c r="BN910" i="10"/>
  <c r="BW910" i="10" s="1"/>
  <c r="AN991" i="10"/>
  <c r="BZ965" i="10"/>
  <c r="BI927" i="10"/>
  <c r="BK927" i="10" s="1"/>
  <c r="BI1012" i="10"/>
  <c r="BK1012" i="10" s="1"/>
  <c r="BZ303" i="10"/>
  <c r="CA558" i="10"/>
  <c r="BN453" i="10"/>
  <c r="BW453" i="10" s="1"/>
  <c r="BJ357" i="10"/>
  <c r="BL357" i="10" s="1"/>
  <c r="AQ357" i="10" s="1"/>
  <c r="BM637" i="10"/>
  <c r="BV637" i="10" s="1"/>
  <c r="BM783" i="10"/>
  <c r="BV783" i="10" s="1"/>
  <c r="BZ783" i="10" s="1"/>
  <c r="BJ657" i="10"/>
  <c r="BL657" i="10" s="1"/>
  <c r="BM392" i="10"/>
  <c r="BV392" i="10" s="1"/>
  <c r="BN884" i="10"/>
  <c r="BW884" i="10" s="1"/>
  <c r="CA884" i="10" s="1"/>
  <c r="BM599" i="10"/>
  <c r="BV599" i="10" s="1"/>
  <c r="BZ977" i="10"/>
  <c r="CT788" i="10"/>
  <c r="CT719" i="10"/>
  <c r="CT488" i="10"/>
  <c r="CT425" i="10"/>
  <c r="CT284" i="10"/>
  <c r="BI17" i="10"/>
  <c r="BK17" i="10" s="1"/>
  <c r="CI125" i="10"/>
  <c r="CA164" i="10"/>
  <c r="BZ691" i="10"/>
  <c r="AY498" i="10"/>
  <c r="CA969" i="10"/>
  <c r="BN128" i="10"/>
  <c r="BW128" i="10" s="1"/>
  <c r="CI252" i="10"/>
  <c r="BM316" i="10"/>
  <c r="BV316" i="10" s="1"/>
  <c r="BZ316" i="10" s="1"/>
  <c r="CA547" i="10"/>
  <c r="AN624" i="10"/>
  <c r="BZ663" i="10"/>
  <c r="CA724" i="10"/>
  <c r="AW932" i="10"/>
  <c r="AQ785" i="10"/>
  <c r="BJ270" i="10"/>
  <c r="BL270" i="10" s="1"/>
  <c r="CA429" i="10"/>
  <c r="BI673" i="10"/>
  <c r="BK673" i="10" s="1"/>
  <c r="BN482" i="10"/>
  <c r="BW482" i="10" s="1"/>
  <c r="CA766" i="10"/>
  <c r="BM995" i="10"/>
  <c r="BV995" i="10" s="1"/>
  <c r="BZ995" i="10" s="1"/>
  <c r="BJ994" i="10"/>
  <c r="BL994" i="10" s="1"/>
  <c r="AQ994" i="10" s="1"/>
  <c r="BN225" i="10"/>
  <c r="BW225" i="10" s="1"/>
  <c r="CA225" i="10" s="1"/>
  <c r="BJ893" i="10"/>
  <c r="BL893" i="10" s="1"/>
  <c r="BM784" i="10"/>
  <c r="BV784" i="10" s="1"/>
  <c r="BJ587" i="10"/>
  <c r="BL587" i="10" s="1"/>
  <c r="AQ587" i="10" s="1"/>
  <c r="BM251" i="10"/>
  <c r="BV251" i="10" s="1"/>
  <c r="CA401" i="10"/>
  <c r="CA984" i="10"/>
  <c r="AQ958" i="10"/>
  <c r="AW913" i="10"/>
  <c r="CT784" i="10"/>
  <c r="CT770" i="10"/>
  <c r="CT760" i="10"/>
  <c r="CT715" i="10"/>
  <c r="CT670" i="10"/>
  <c r="CT650" i="10"/>
  <c r="CT578" i="10"/>
  <c r="CT560" i="10"/>
  <c r="CT491" i="10"/>
  <c r="CT470" i="10"/>
  <c r="BZ845" i="10"/>
  <c r="AY320" i="10"/>
  <c r="CA487" i="10"/>
  <c r="CI1005" i="10"/>
  <c r="BM696" i="10"/>
  <c r="BV696" i="10" s="1"/>
  <c r="BM747" i="10"/>
  <c r="BV747" i="10" s="1"/>
  <c r="BZ747" i="10" s="1"/>
  <c r="BN933" i="10"/>
  <c r="BW933" i="10" s="1"/>
  <c r="BM946" i="10"/>
  <c r="BV946" i="10" s="1"/>
  <c r="BI481" i="10"/>
  <c r="BK481" i="10" s="1"/>
  <c r="AQ481" i="10" s="1"/>
  <c r="BZ728" i="10"/>
  <c r="CI251" i="10"/>
  <c r="CI59" i="10"/>
  <c r="AY225" i="10"/>
  <c r="BJ98" i="10"/>
  <c r="BL98" i="10" s="1"/>
  <c r="BM66" i="10"/>
  <c r="BV66" i="10" s="1"/>
  <c r="BM362" i="10"/>
  <c r="BV362" i="10" s="1"/>
  <c r="AN505" i="10"/>
  <c r="CA539" i="10"/>
  <c r="BI667" i="10"/>
  <c r="BK667" i="10" s="1"/>
  <c r="BJ935" i="10"/>
  <c r="BL935" i="10" s="1"/>
  <c r="BN678" i="10"/>
  <c r="BW678" i="10" s="1"/>
  <c r="CA678" i="10" s="1"/>
  <c r="CA513" i="10"/>
  <c r="BM791" i="10"/>
  <c r="BV791" i="10" s="1"/>
  <c r="BM233" i="10"/>
  <c r="BV233" i="10" s="1"/>
  <c r="BZ319" i="10"/>
  <c r="BJ853" i="10"/>
  <c r="BL853" i="10" s="1"/>
  <c r="CA887" i="10"/>
  <c r="BN945" i="10"/>
  <c r="BW945" i="10" s="1"/>
  <c r="CA945" i="10" s="1"/>
  <c r="BM573" i="10"/>
  <c r="BV573" i="10" s="1"/>
  <c r="CA617" i="10"/>
  <c r="BJ806" i="10"/>
  <c r="BL806" i="10" s="1"/>
  <c r="BI525" i="10"/>
  <c r="BK525" i="10" s="1"/>
  <c r="AW1012" i="10"/>
  <c r="BZ805" i="10"/>
  <c r="AQ609" i="10"/>
  <c r="CT787" i="10"/>
  <c r="CT725" i="10"/>
  <c r="CT700" i="10"/>
  <c r="CT680" i="10"/>
  <c r="CT608" i="10"/>
  <c r="CT512" i="10"/>
  <c r="CT421" i="10"/>
  <c r="CT398" i="10"/>
  <c r="CT136" i="10"/>
  <c r="CL459" i="10"/>
  <c r="CA418" i="10"/>
  <c r="BZ468" i="10"/>
  <c r="AQ311" i="10"/>
  <c r="BN692" i="10"/>
  <c r="BW692" i="10" s="1"/>
  <c r="CA692" i="10" s="1"/>
  <c r="BI984" i="10"/>
  <c r="BK984" i="10" s="1"/>
  <c r="AQ790" i="10"/>
  <c r="BN978" i="10"/>
  <c r="BW978" i="10" s="1"/>
  <c r="AQ392" i="10"/>
  <c r="BN628" i="10"/>
  <c r="BW628" i="10" s="1"/>
  <c r="BM960" i="10"/>
  <c r="BV960" i="10" s="1"/>
  <c r="BZ960" i="10" s="1"/>
  <c r="AQ617" i="10"/>
  <c r="BN238" i="10"/>
  <c r="BW238" i="10" s="1"/>
  <c r="CA238" i="10" s="1"/>
  <c r="BI959" i="10"/>
  <c r="BK959" i="10" s="1"/>
  <c r="BI752" i="10"/>
  <c r="BK752" i="10" s="1"/>
  <c r="AQ366" i="10"/>
  <c r="CT794" i="10"/>
  <c r="CT707" i="10"/>
  <c r="CT676" i="10"/>
  <c r="CT659" i="10"/>
  <c r="CT635" i="10"/>
  <c r="CT587" i="10"/>
  <c r="CT563" i="10"/>
  <c r="CT473" i="10"/>
  <c r="CT454" i="10"/>
  <c r="CT424" i="10"/>
  <c r="CT178" i="10"/>
  <c r="CA234" i="10"/>
  <c r="CA416" i="10"/>
  <c r="CA832" i="10"/>
  <c r="CI64" i="10"/>
  <c r="CA522" i="10"/>
  <c r="BZ285" i="10"/>
  <c r="AN914" i="10"/>
  <c r="AQ137" i="10"/>
  <c r="BZ345" i="10"/>
  <c r="CA544" i="10"/>
  <c r="BN229" i="10"/>
  <c r="BW229" i="10" s="1"/>
  <c r="CA428" i="10"/>
  <c r="BN555" i="10"/>
  <c r="BW555" i="10" s="1"/>
  <c r="BJ629" i="10"/>
  <c r="BL629" i="10" s="1"/>
  <c r="BJ860" i="10"/>
  <c r="BL860" i="10" s="1"/>
  <c r="BI985" i="10"/>
  <c r="BK985" i="10" s="1"/>
  <c r="BN612" i="10"/>
  <c r="BW612" i="10" s="1"/>
  <c r="BM365" i="10"/>
  <c r="BV365" i="10" s="1"/>
  <c r="BN574" i="10"/>
  <c r="BW574" i="10" s="1"/>
  <c r="CA574" i="10" s="1"/>
  <c r="BN506" i="10"/>
  <c r="BW506" i="10" s="1"/>
  <c r="BM311" i="10"/>
  <c r="BV311" i="10" s="1"/>
  <c r="BN427" i="10"/>
  <c r="BW427" i="10" s="1"/>
  <c r="CA427" i="10" s="1"/>
  <c r="CA835" i="10"/>
  <c r="AQ491" i="10"/>
  <c r="CT779" i="10"/>
  <c r="CT748" i="10"/>
  <c r="CT734" i="10"/>
  <c r="CT724" i="10"/>
  <c r="CT679" i="10"/>
  <c r="CT461" i="10"/>
  <c r="CT208" i="10"/>
  <c r="BZ165" i="10"/>
  <c r="BJ111" i="10"/>
  <c r="BL111" i="10" s="1"/>
  <c r="CA825" i="10"/>
  <c r="BN205" i="10"/>
  <c r="BW205" i="10" s="1"/>
  <c r="BN101" i="10"/>
  <c r="BW101" i="10" s="1"/>
  <c r="CI486" i="10"/>
  <c r="CA943" i="10"/>
  <c r="BN409" i="10"/>
  <c r="BW409" i="10" s="1"/>
  <c r="CA409" i="10" s="1"/>
  <c r="BM477" i="10"/>
  <c r="BV477" i="10" s="1"/>
  <c r="BN541" i="10"/>
  <c r="BW541" i="10" s="1"/>
  <c r="CA747" i="10"/>
  <c r="BN730" i="10"/>
  <c r="BW730" i="10" s="1"/>
  <c r="BN351" i="10"/>
  <c r="BW351" i="10" s="1"/>
  <c r="BI515" i="10"/>
  <c r="BK515" i="10" s="1"/>
  <c r="BM958" i="10"/>
  <c r="BV958" i="10" s="1"/>
  <c r="BZ958" i="10" s="1"/>
  <c r="BN986" i="10"/>
  <c r="BW986" i="10" s="1"/>
  <c r="BJ473" i="10"/>
  <c r="BL473" i="10" s="1"/>
  <c r="BZ967" i="10"/>
  <c r="BZ966" i="10"/>
  <c r="CI405" i="10"/>
  <c r="CT755" i="10"/>
  <c r="CT706" i="10"/>
  <c r="CT686" i="10"/>
  <c r="CT614" i="10"/>
  <c r="CT500" i="10"/>
  <c r="CT389" i="10"/>
  <c r="CT235" i="10"/>
  <c r="BN491" i="10"/>
  <c r="BW491" i="10" s="1"/>
  <c r="CA491" i="10" s="1"/>
  <c r="AQ555" i="10"/>
  <c r="BN321" i="10"/>
  <c r="BW321" i="10" s="1"/>
  <c r="BI500" i="10"/>
  <c r="BK500" i="10" s="1"/>
  <c r="CA664" i="10"/>
  <c r="DA1008" i="10"/>
  <c r="DA996" i="10"/>
  <c r="DA984" i="10"/>
  <c r="DA972" i="10"/>
  <c r="DA960" i="10"/>
  <c r="DA948" i="10"/>
  <c r="DA936" i="10"/>
  <c r="DA924" i="10"/>
  <c r="DA912" i="10"/>
  <c r="DA900" i="10"/>
  <c r="DA888" i="10"/>
  <c r="DA876" i="10"/>
  <c r="DA864" i="10"/>
  <c r="DA852" i="10"/>
  <c r="DA840" i="10"/>
  <c r="DA828" i="10"/>
  <c r="DA816" i="10"/>
  <c r="DA804" i="10"/>
  <c r="DA792" i="10"/>
  <c r="DA780" i="10"/>
  <c r="DA768" i="10"/>
  <c r="DA756" i="10"/>
  <c r="DA744" i="10"/>
  <c r="DA732" i="10"/>
  <c r="DA720" i="10"/>
  <c r="DA708" i="10"/>
  <c r="DA696" i="10"/>
  <c r="DA684" i="10"/>
  <c r="DA672" i="10"/>
  <c r="DA660" i="10"/>
  <c r="DA648" i="10"/>
  <c r="DA636" i="10"/>
  <c r="DA624" i="10"/>
  <c r="DA612" i="10"/>
  <c r="BN27" i="10"/>
  <c r="BW27" i="10" s="1"/>
  <c r="BJ43" i="10"/>
  <c r="BL43" i="10" s="1"/>
  <c r="BI108" i="10"/>
  <c r="BK108" i="10" s="1"/>
  <c r="BI138" i="10"/>
  <c r="BK138" i="10" s="1"/>
  <c r="CA412" i="10"/>
  <c r="CI556" i="10"/>
  <c r="CA355" i="10"/>
  <c r="BM610" i="10"/>
  <c r="BV610" i="10" s="1"/>
  <c r="BZ610" i="10" s="1"/>
  <c r="BM894" i="10"/>
  <c r="BV894" i="10" s="1"/>
  <c r="BZ428" i="10"/>
  <c r="BI728" i="10"/>
  <c r="BK728" i="10" s="1"/>
  <c r="BJ635" i="10"/>
  <c r="BL635" i="10" s="1"/>
  <c r="BI528" i="10"/>
  <c r="BK528" i="10" s="1"/>
  <c r="BN900" i="10"/>
  <c r="BW900" i="10" s="1"/>
  <c r="BN609" i="10"/>
  <c r="BW609" i="10" s="1"/>
  <c r="BN675" i="10"/>
  <c r="BW675" i="10" s="1"/>
  <c r="CA663" i="10"/>
  <c r="AQ910" i="10"/>
  <c r="AN901" i="10"/>
  <c r="CT782" i="10"/>
  <c r="CT778" i="10"/>
  <c r="CT758" i="10"/>
  <c r="CT644" i="10"/>
  <c r="CT572" i="10"/>
  <c r="CT460" i="10"/>
  <c r="CT374" i="10"/>
  <c r="CT362" i="10"/>
  <c r="CA207" i="10"/>
  <c r="BM137" i="10"/>
  <c r="BV137" i="10" s="1"/>
  <c r="BJ142" i="10"/>
  <c r="BL142" i="10" s="1"/>
  <c r="CA860" i="10"/>
  <c r="BN684" i="10"/>
  <c r="BW684" i="10" s="1"/>
  <c r="CA684" i="10" s="1"/>
  <c r="BJ664" i="10"/>
  <c r="BL664" i="10" s="1"/>
  <c r="BN987" i="10"/>
  <c r="BW987" i="10" s="1"/>
  <c r="CA601" i="10"/>
  <c r="BJ758" i="10"/>
  <c r="BL758" i="10" s="1"/>
  <c r="BM856" i="10"/>
  <c r="BV856" i="10" s="1"/>
  <c r="BN732" i="10"/>
  <c r="BW732" i="10" s="1"/>
  <c r="BN716" i="10"/>
  <c r="BW716" i="10" s="1"/>
  <c r="CA716" i="10" s="1"/>
  <c r="BJ502" i="10"/>
  <c r="BL502" i="10" s="1"/>
  <c r="BJ662" i="10"/>
  <c r="BL662" i="10" s="1"/>
  <c r="AQ681" i="10"/>
  <c r="CT761" i="10"/>
  <c r="CT736" i="10"/>
  <c r="CT716" i="10"/>
  <c r="CT695" i="10"/>
  <c r="CT671" i="10"/>
  <c r="CT623" i="10"/>
  <c r="CT599" i="10"/>
  <c r="DU929" i="10"/>
  <c r="DU923" i="10"/>
  <c r="DU911" i="10"/>
  <c r="DU899" i="10"/>
  <c r="DU893" i="10"/>
  <c r="DU887" i="10"/>
  <c r="DU731" i="10"/>
  <c r="DU719" i="10"/>
  <c r="DU707" i="10"/>
  <c r="DU701" i="10"/>
  <c r="DU695" i="10"/>
  <c r="DU689" i="10"/>
  <c r="DU677" i="10"/>
  <c r="DU671" i="10"/>
  <c r="DU665" i="10"/>
  <c r="DU659" i="10"/>
  <c r="DU647" i="10"/>
  <c r="DU605" i="10"/>
  <c r="DU599" i="10"/>
  <c r="DU593" i="10"/>
  <c r="DU581" i="10"/>
  <c r="DU575" i="10"/>
  <c r="DU563" i="10"/>
  <c r="DU527" i="10"/>
  <c r="DU293" i="10"/>
  <c r="BY263" i="10"/>
  <c r="DU263" i="10" s="1"/>
  <c r="DU257" i="10"/>
  <c r="DY251" i="10"/>
  <c r="DY245" i="10"/>
  <c r="DU209" i="10"/>
  <c r="DY197" i="10"/>
  <c r="DY185" i="10"/>
  <c r="DU173" i="10"/>
  <c r="DU167" i="10"/>
  <c r="DY137" i="10"/>
  <c r="DY131" i="10"/>
  <c r="DY107" i="10"/>
  <c r="DY71" i="10"/>
  <c r="DY65" i="10"/>
  <c r="DY35" i="10"/>
  <c r="DY263" i="10"/>
  <c r="DY293" i="10"/>
  <c r="DY365" i="10"/>
  <c r="DY431" i="10"/>
  <c r="DY443" i="10"/>
  <c r="DY581" i="10"/>
  <c r="DY605" i="10"/>
  <c r="BX641" i="10"/>
  <c r="DY647" i="10"/>
  <c r="DY665" i="10"/>
  <c r="DY671" i="10"/>
  <c r="DY677" i="10"/>
  <c r="DY707" i="10"/>
  <c r="DY713" i="10"/>
  <c r="DY719" i="10"/>
  <c r="DY725" i="10"/>
  <c r="DY886" i="10"/>
  <c r="DY898" i="10"/>
  <c r="DY904" i="10"/>
  <c r="BX916" i="10"/>
  <c r="DY922" i="10"/>
  <c r="DY945" i="10"/>
  <c r="DY951" i="10"/>
  <c r="DY957" i="10"/>
  <c r="DY963" i="10"/>
  <c r="DY969" i="10"/>
  <c r="DY975" i="10"/>
  <c r="DY981" i="10"/>
  <c r="DU940" i="10"/>
  <c r="DU934" i="10"/>
  <c r="DU922" i="10"/>
  <c r="DU916" i="10"/>
  <c r="DU904" i="10"/>
  <c r="DU898" i="10"/>
  <c r="DU886" i="10"/>
  <c r="DU880" i="10"/>
  <c r="DU868" i="10"/>
  <c r="DU856" i="10"/>
  <c r="DU850" i="10"/>
  <c r="DU796" i="10"/>
  <c r="DU790" i="10"/>
  <c r="DU760" i="10"/>
  <c r="DU748" i="10"/>
  <c r="DU742" i="10"/>
  <c r="DU736" i="10"/>
  <c r="DU724" i="10"/>
  <c r="DU718" i="10"/>
  <c r="DU712" i="10"/>
  <c r="DU706" i="10"/>
  <c r="DU700" i="10"/>
  <c r="DU694" i="10"/>
  <c r="DU658" i="10"/>
  <c r="DU550" i="10"/>
  <c r="DU538" i="10"/>
  <c r="DU532" i="10"/>
  <c r="DU520" i="10"/>
  <c r="DU490" i="10"/>
  <c r="DU484" i="10"/>
  <c r="DU478" i="10"/>
  <c r="DU472" i="10"/>
  <c r="DU466" i="10"/>
  <c r="DU454" i="10"/>
  <c r="DU448" i="10"/>
  <c r="BY430" i="10"/>
  <c r="DU430" i="10" s="1"/>
  <c r="BY376" i="10"/>
  <c r="DU376" i="10" s="1"/>
  <c r="BY340" i="10"/>
  <c r="DU340" i="10" s="1"/>
  <c r="BY334" i="10"/>
  <c r="DU334" i="10" s="1"/>
  <c r="BY328" i="10"/>
  <c r="DU328" i="10" s="1"/>
  <c r="BY322" i="10"/>
  <c r="DU322" i="10" s="1"/>
  <c r="BY304" i="10"/>
  <c r="DU304" i="10" s="1"/>
  <c r="BY286" i="10"/>
  <c r="DU286" i="10" s="1"/>
  <c r="DU256" i="10"/>
  <c r="DU250" i="10"/>
  <c r="DU238" i="10"/>
  <c r="DU178" i="10"/>
  <c r="DU945" i="10"/>
  <c r="DU933" i="10"/>
  <c r="DU927" i="10"/>
  <c r="DU735" i="10"/>
  <c r="DU591" i="10"/>
  <c r="DU429" i="10"/>
  <c r="BY285" i="10"/>
  <c r="DU285" i="10" s="1"/>
  <c r="DU183" i="10"/>
  <c r="DU177" i="10"/>
  <c r="DU165" i="10"/>
  <c r="DU159" i="10"/>
  <c r="DU147" i="10"/>
  <c r="DU123" i="10"/>
  <c r="DY99" i="10"/>
  <c r="DY75" i="10"/>
  <c r="DY57" i="10"/>
  <c r="CI25" i="10"/>
  <c r="DA600" i="10"/>
  <c r="DA588" i="10"/>
  <c r="DA576" i="10"/>
  <c r="DA564" i="10"/>
  <c r="DA552" i="10"/>
  <c r="DA540" i="10"/>
  <c r="DA528" i="10"/>
  <c r="DA516" i="10"/>
  <c r="DA504" i="10"/>
  <c r="DA492" i="10"/>
  <c r="DA480" i="10"/>
  <c r="DA468" i="10"/>
  <c r="DA456" i="10"/>
  <c r="DA444" i="10"/>
  <c r="DA432" i="10"/>
  <c r="DA420" i="10"/>
  <c r="DA408" i="10"/>
  <c r="DA396" i="10"/>
  <c r="DA384" i="10"/>
  <c r="DA372" i="10"/>
  <c r="DA360" i="10"/>
  <c r="DA348" i="10"/>
  <c r="DA336" i="10"/>
  <c r="DA324" i="10"/>
  <c r="DA312" i="10"/>
  <c r="DA300" i="10"/>
  <c r="DA288" i="10"/>
  <c r="DA276" i="10"/>
  <c r="DA264" i="10"/>
  <c r="DA252" i="10"/>
  <c r="DA240" i="10"/>
  <c r="DA228" i="10"/>
  <c r="DA216" i="10"/>
  <c r="DA204" i="10"/>
  <c r="DA192" i="10"/>
  <c r="DA180" i="10"/>
  <c r="DA168" i="10"/>
  <c r="DA156" i="10"/>
  <c r="DA144" i="10"/>
  <c r="DA132" i="10"/>
  <c r="DA120" i="10"/>
  <c r="DA108" i="10"/>
  <c r="DA96" i="10"/>
  <c r="DA84" i="10"/>
  <c r="DA72" i="10"/>
  <c r="DA60" i="10"/>
  <c r="DA48" i="10"/>
  <c r="DA36" i="10"/>
  <c r="DU932" i="10"/>
  <c r="DU914" i="10"/>
  <c r="DU902" i="10"/>
  <c r="DU596" i="10"/>
  <c r="DU536" i="10"/>
  <c r="DU524" i="10"/>
  <c r="DU512" i="10"/>
  <c r="DU488" i="10"/>
  <c r="DU452" i="10"/>
  <c r="DU434" i="10"/>
  <c r="DU428" i="10"/>
  <c r="DU422" i="10"/>
  <c r="DU416" i="10"/>
  <c r="BY326" i="10"/>
  <c r="DU326" i="10" s="1"/>
  <c r="BY308" i="10"/>
  <c r="DU308" i="10" s="1"/>
  <c r="BY278" i="10"/>
  <c r="DU278" i="10" s="1"/>
  <c r="DU218" i="10"/>
  <c r="DU212" i="10"/>
  <c r="DU194" i="10"/>
  <c r="DY104" i="10"/>
  <c r="DY98" i="10"/>
  <c r="DY74" i="10"/>
  <c r="DY68" i="10"/>
  <c r="DY62" i="10"/>
  <c r="DU56" i="10"/>
  <c r="DU50" i="10"/>
  <c r="DU907" i="10"/>
  <c r="DU901" i="10"/>
  <c r="DU883" i="10"/>
  <c r="DU877" i="10"/>
  <c r="DU871" i="10"/>
  <c r="DU865" i="10"/>
  <c r="DU859" i="10"/>
  <c r="DU829" i="10"/>
  <c r="DU823" i="10"/>
  <c r="DU817" i="10"/>
  <c r="DU751" i="10"/>
  <c r="DU745" i="10"/>
  <c r="DU727" i="10"/>
  <c r="DU721" i="10"/>
  <c r="DU673" i="10"/>
  <c r="DU667" i="10"/>
  <c r="DU661" i="10"/>
  <c r="DU649" i="10"/>
  <c r="DU625" i="10"/>
  <c r="DU565" i="10"/>
  <c r="DU559" i="10"/>
  <c r="DU541" i="10"/>
  <c r="DU529" i="10"/>
  <c r="DU523" i="10"/>
  <c r="DU505" i="10"/>
  <c r="DU499" i="10"/>
  <c r="DU469" i="10"/>
  <c r="DU457" i="10"/>
  <c r="DU451" i="10"/>
  <c r="DU445" i="10"/>
  <c r="DU439" i="10"/>
  <c r="BY367" i="10"/>
  <c r="DU367" i="10" s="1"/>
  <c r="BY355" i="10"/>
  <c r="DU355" i="10" s="1"/>
  <c r="BY331" i="10"/>
  <c r="DU331" i="10" s="1"/>
  <c r="BY319" i="10"/>
  <c r="DU319" i="10" s="1"/>
  <c r="BY313" i="10"/>
  <c r="DU313" i="10" s="1"/>
  <c r="BY283" i="10"/>
  <c r="DU283" i="10" s="1"/>
  <c r="DU247" i="10"/>
  <c r="DU223" i="10"/>
  <c r="CI15" i="10"/>
  <c r="CG39" i="10"/>
  <c r="DU936" i="10"/>
  <c r="DU906" i="10"/>
  <c r="DU888" i="10"/>
  <c r="DU882" i="10"/>
  <c r="DU750" i="10"/>
  <c r="DU744" i="10"/>
  <c r="DU732" i="10"/>
  <c r="DU714" i="10"/>
  <c r="DU678" i="10"/>
  <c r="DU630" i="10"/>
  <c r="DU618" i="10"/>
  <c r="DU588" i="10"/>
  <c r="DU582" i="10"/>
  <c r="DU564" i="10"/>
  <c r="DU546" i="10"/>
  <c r="DU540" i="10"/>
  <c r="DU534" i="10"/>
  <c r="DU528" i="10"/>
  <c r="DU522" i="10"/>
  <c r="DU486" i="10"/>
  <c r="DU480" i="10"/>
  <c r="DU474" i="10"/>
  <c r="DU468" i="10"/>
  <c r="DU426" i="10"/>
  <c r="DU390" i="10"/>
  <c r="DU366" i="10"/>
  <c r="DU348" i="10"/>
  <c r="DU336" i="10"/>
  <c r="DU324" i="10"/>
  <c r="DU318" i="10"/>
  <c r="DU312" i="10"/>
  <c r="DU258" i="10"/>
  <c r="DU240" i="10"/>
  <c r="DU168" i="10"/>
  <c r="DU162" i="10"/>
  <c r="BX1010" i="10"/>
  <c r="BY930" i="10"/>
  <c r="DU930" i="10" s="1"/>
  <c r="DY930" i="10"/>
  <c r="DY167" i="10"/>
  <c r="BZ128" i="10"/>
  <c r="BB29" i="10"/>
  <c r="BD29" i="10" s="1"/>
  <c r="BB95" i="10"/>
  <c r="BD95" i="10" s="1"/>
  <c r="BA269" i="10"/>
  <c r="BC269" i="10" s="1"/>
  <c r="BB701" i="10"/>
  <c r="BD701" i="10" s="1"/>
  <c r="BB671" i="10"/>
  <c r="BD671" i="10" s="1"/>
  <c r="BM432" i="10"/>
  <c r="BV432" i="10" s="1"/>
  <c r="BA731" i="10"/>
  <c r="BC731" i="10" s="1"/>
  <c r="BB503" i="10"/>
  <c r="BD503" i="10" s="1"/>
  <c r="BB239" i="10"/>
  <c r="BD239" i="10" s="1"/>
  <c r="BI294" i="10"/>
  <c r="BK294" i="10" s="1"/>
  <c r="BB982" i="10"/>
  <c r="BD982" i="10" s="1"/>
  <c r="BM413" i="10"/>
  <c r="BV413" i="10" s="1"/>
  <c r="BZ413" i="10" s="1"/>
  <c r="BA898" i="10"/>
  <c r="BC898" i="10" s="1"/>
  <c r="BA916" i="10"/>
  <c r="BC916" i="10" s="1"/>
  <c r="AW916" i="10" s="1"/>
  <c r="AW1005" i="10"/>
  <c r="BB473" i="10"/>
  <c r="BD473" i="10" s="1"/>
  <c r="DY929" i="10"/>
  <c r="BB167" i="10"/>
  <c r="BD167" i="10" s="1"/>
  <c r="BB191" i="10"/>
  <c r="BD191" i="10" s="1"/>
  <c r="BM60" i="10"/>
  <c r="BV60" i="10" s="1"/>
  <c r="BM223" i="10"/>
  <c r="BV223" i="10" s="1"/>
  <c r="BZ228" i="10"/>
  <c r="BA353" i="10"/>
  <c r="BC353" i="10" s="1"/>
  <c r="AW799" i="10"/>
  <c r="BB863" i="10"/>
  <c r="BD863" i="10" s="1"/>
  <c r="BB827" i="10"/>
  <c r="BD827" i="10" s="1"/>
  <c r="BA945" i="10"/>
  <c r="BC945" i="10" s="1"/>
  <c r="BN433" i="10"/>
  <c r="BW433" i="10" s="1"/>
  <c r="BM631" i="10"/>
  <c r="BV631" i="10" s="1"/>
  <c r="BB599" i="10"/>
  <c r="BD599" i="10" s="1"/>
  <c r="BB509" i="10"/>
  <c r="BD509" i="10" s="1"/>
  <c r="BA975" i="10"/>
  <c r="BC975" i="10" s="1"/>
  <c r="AN975" i="10" s="1"/>
  <c r="BI375" i="10"/>
  <c r="BK375" i="10" s="1"/>
  <c r="BB263" i="10"/>
  <c r="BD263" i="10" s="1"/>
  <c r="AQ521" i="10"/>
  <c r="BI566" i="10"/>
  <c r="BK566" i="10" s="1"/>
  <c r="AQ566" i="10" s="1"/>
  <c r="BN840" i="10"/>
  <c r="BW840" i="10" s="1"/>
  <c r="BJ925" i="10"/>
  <c r="BL925" i="10" s="1"/>
  <c r="BA293" i="10"/>
  <c r="BC293" i="10" s="1"/>
  <c r="BB227" i="10"/>
  <c r="BD227" i="10" s="1"/>
  <c r="BA886" i="10"/>
  <c r="BC886" i="10" s="1"/>
  <c r="BB551" i="10"/>
  <c r="BD551" i="10" s="1"/>
  <c r="DY209" i="10"/>
  <c r="DY887" i="10"/>
  <c r="DY911" i="10"/>
  <c r="DY916" i="10"/>
  <c r="BB161" i="10"/>
  <c r="BD161" i="10" s="1"/>
  <c r="BB71" i="10"/>
  <c r="BD71" i="10" s="1"/>
  <c r="AN71" i="10" s="1"/>
  <c r="BA323" i="10"/>
  <c r="BC323" i="10" s="1"/>
  <c r="BB371" i="10"/>
  <c r="BD371" i="10" s="1"/>
  <c r="BA605" i="10"/>
  <c r="BC605" i="10" s="1"/>
  <c r="BN687" i="10"/>
  <c r="BW687" i="10" s="1"/>
  <c r="BA677" i="10"/>
  <c r="BC677" i="10" s="1"/>
  <c r="AQ715" i="10"/>
  <c r="AQ299" i="10"/>
  <c r="BJ757" i="10"/>
  <c r="BL757" i="10" s="1"/>
  <c r="BB323" i="10"/>
  <c r="BD323" i="10" s="1"/>
  <c r="BB257" i="10"/>
  <c r="BD257" i="10" s="1"/>
  <c r="BB970" i="10"/>
  <c r="BD970" i="10" s="1"/>
  <c r="BN343" i="10"/>
  <c r="BW343" i="10" s="1"/>
  <c r="CA343" i="10" s="1"/>
  <c r="BA443" i="10"/>
  <c r="BC443" i="10" s="1"/>
  <c r="BM734" i="10"/>
  <c r="BV734" i="10" s="1"/>
  <c r="BZ734" i="10" s="1"/>
  <c r="DY958" i="10"/>
  <c r="BB17" i="10"/>
  <c r="BD17" i="10" s="1"/>
  <c r="BJ94" i="10"/>
  <c r="BL94" i="10" s="1"/>
  <c r="BN137" i="10"/>
  <c r="BW137" i="10" s="1"/>
  <c r="BN179" i="10"/>
  <c r="BW179" i="10" s="1"/>
  <c r="CA179" i="10" s="1"/>
  <c r="BB53" i="10"/>
  <c r="BD53" i="10" s="1"/>
  <c r="BB77" i="10"/>
  <c r="BD77" i="10" s="1"/>
  <c r="BB335" i="10"/>
  <c r="BD335" i="10" s="1"/>
  <c r="BB581" i="10"/>
  <c r="BD581" i="10" s="1"/>
  <c r="BA647" i="10"/>
  <c r="BC647" i="10" s="1"/>
  <c r="AN647" i="10" s="1"/>
  <c r="BB725" i="10"/>
  <c r="BD725" i="10" s="1"/>
  <c r="BB779" i="10"/>
  <c r="BD779" i="10" s="1"/>
  <c r="BB731" i="10"/>
  <c r="BD731" i="10" s="1"/>
  <c r="BB791" i="10"/>
  <c r="BD791" i="10" s="1"/>
  <c r="BA365" i="10"/>
  <c r="BC365" i="10" s="1"/>
  <c r="BM299" i="10"/>
  <c r="BV299" i="10" s="1"/>
  <c r="BB311" i="10"/>
  <c r="BD311" i="10" s="1"/>
  <c r="BI310" i="10"/>
  <c r="BK310" i="10" s="1"/>
  <c r="BB575" i="10"/>
  <c r="BD575" i="10" s="1"/>
  <c r="BB431" i="10"/>
  <c r="BD431" i="10" s="1"/>
  <c r="BB905" i="10"/>
  <c r="BD905" i="10" s="1"/>
  <c r="BM882" i="10"/>
  <c r="BV882" i="10" s="1"/>
  <c r="BZ882" i="10" s="1"/>
  <c r="BB23" i="10"/>
  <c r="BD23" i="10" s="1"/>
  <c r="BN89" i="10"/>
  <c r="BW89" i="10" s="1"/>
  <c r="CA89" i="10" s="1"/>
  <c r="BB149" i="10"/>
  <c r="BD149" i="10" s="1"/>
  <c r="BB173" i="10"/>
  <c r="BD173" i="10" s="1"/>
  <c r="BB197" i="10"/>
  <c r="BD197" i="10" s="1"/>
  <c r="BB59" i="10"/>
  <c r="BD59" i="10" s="1"/>
  <c r="BZ75" i="10"/>
  <c r="BB209" i="10"/>
  <c r="BD209" i="10" s="1"/>
  <c r="BB293" i="10"/>
  <c r="BD293" i="10" s="1"/>
  <c r="BB365" i="10"/>
  <c r="BD365" i="10" s="1"/>
  <c r="BB653" i="10"/>
  <c r="BD653" i="10" s="1"/>
  <c r="BB887" i="10"/>
  <c r="BD887" i="10" s="1"/>
  <c r="AW887" i="10" s="1"/>
  <c r="BB851" i="10"/>
  <c r="BD851" i="10" s="1"/>
  <c r="AW851" i="10" s="1"/>
  <c r="BM241" i="10"/>
  <c r="BV241" i="10" s="1"/>
  <c r="BB251" i="10"/>
  <c r="BD251" i="10" s="1"/>
  <c r="BN315" i="10"/>
  <c r="BW315" i="10" s="1"/>
  <c r="BJ279" i="10"/>
  <c r="BL279" i="10" s="1"/>
  <c r="BI403" i="10"/>
  <c r="BK403" i="10" s="1"/>
  <c r="BA743" i="10"/>
  <c r="BC743" i="10" s="1"/>
  <c r="BA617" i="10"/>
  <c r="BC617" i="10" s="1"/>
  <c r="BA641" i="10"/>
  <c r="BC641" i="10" s="1"/>
  <c r="BN861" i="10"/>
  <c r="BW861" i="10" s="1"/>
  <c r="BN295" i="10"/>
  <c r="BW295" i="10" s="1"/>
  <c r="BB833" i="10"/>
  <c r="BD833" i="10" s="1"/>
  <c r="AW833" i="10" s="1"/>
  <c r="BA951" i="10"/>
  <c r="BC951" i="10" s="1"/>
  <c r="AW951" i="10" s="1"/>
  <c r="BI342" i="10"/>
  <c r="BK342" i="10" s="1"/>
  <c r="AQ342" i="10" s="1"/>
  <c r="BB245" i="10"/>
  <c r="BD245" i="10" s="1"/>
  <c r="BM822" i="10"/>
  <c r="BV822" i="10" s="1"/>
  <c r="BN740" i="10"/>
  <c r="BW740" i="10" s="1"/>
  <c r="BN337" i="10"/>
  <c r="BW337" i="10" s="1"/>
  <c r="BM577" i="10"/>
  <c r="BV577" i="10" s="1"/>
  <c r="BI536" i="10"/>
  <c r="BK536" i="10" s="1"/>
  <c r="AQ536" i="10" s="1"/>
  <c r="BN304" i="10"/>
  <c r="BW304" i="10" s="1"/>
  <c r="BM482" i="10"/>
  <c r="BV482" i="10" s="1"/>
  <c r="BB869" i="10"/>
  <c r="BD869" i="10" s="1"/>
  <c r="BB857" i="10"/>
  <c r="BD857" i="10" s="1"/>
  <c r="AN857" i="10" s="1"/>
  <c r="BA683" i="10"/>
  <c r="BC683" i="10" s="1"/>
  <c r="BB563" i="10"/>
  <c r="BD563" i="10" s="1"/>
  <c r="BB527" i="10"/>
  <c r="BD527" i="10" s="1"/>
  <c r="BM218" i="10"/>
  <c r="BV218" i="10" s="1"/>
  <c r="BN269" i="10"/>
  <c r="BW269" i="10" s="1"/>
  <c r="BB605" i="10"/>
  <c r="BD605" i="10" s="1"/>
  <c r="BA611" i="10"/>
  <c r="BC611" i="10" s="1"/>
  <c r="BB677" i="10"/>
  <c r="BD677" i="10" s="1"/>
  <c r="BB695" i="10"/>
  <c r="BD695" i="10" s="1"/>
  <c r="BB743" i="10"/>
  <c r="BD743" i="10" s="1"/>
  <c r="BB815" i="10"/>
  <c r="BD815" i="10" s="1"/>
  <c r="BB839" i="10"/>
  <c r="BD839" i="10" s="1"/>
  <c r="AW839" i="10" s="1"/>
  <c r="BA892" i="10"/>
  <c r="BC892" i="10" s="1"/>
  <c r="BA963" i="10"/>
  <c r="BC963" i="10" s="1"/>
  <c r="AN1012" i="10"/>
  <c r="BB329" i="10"/>
  <c r="BD329" i="10" s="1"/>
  <c r="AQ295" i="10"/>
  <c r="BA910" i="10"/>
  <c r="BC910" i="10" s="1"/>
  <c r="BA701" i="10"/>
  <c r="BC701" i="10" s="1"/>
  <c r="AQ528" i="10"/>
  <c r="DY964" i="10"/>
  <c r="AQ123" i="10"/>
  <c r="BB101" i="10"/>
  <c r="BD101" i="10" s="1"/>
  <c r="BN123" i="10"/>
  <c r="BW123" i="10" s="1"/>
  <c r="CA123" i="10" s="1"/>
  <c r="BI191" i="10"/>
  <c r="BK191" i="10" s="1"/>
  <c r="BB83" i="10"/>
  <c r="BD83" i="10" s="1"/>
  <c r="BB131" i="10"/>
  <c r="BD131" i="10" s="1"/>
  <c r="BA263" i="10"/>
  <c r="BC263" i="10" s="1"/>
  <c r="BB281" i="10"/>
  <c r="BD281" i="10" s="1"/>
  <c r="BB665" i="10"/>
  <c r="BD665" i="10" s="1"/>
  <c r="BB755" i="10"/>
  <c r="BD755" i="10" s="1"/>
  <c r="BB881" i="10"/>
  <c r="BD881" i="10" s="1"/>
  <c r="BA581" i="10"/>
  <c r="BC581" i="10" s="1"/>
  <c r="BM561" i="10"/>
  <c r="BV561" i="10" s="1"/>
  <c r="BZ561" i="10" s="1"/>
  <c r="BA329" i="10"/>
  <c r="BC329" i="10" s="1"/>
  <c r="BM491" i="10"/>
  <c r="BV491" i="10" s="1"/>
  <c r="BZ491" i="10" s="1"/>
  <c r="BN848" i="10"/>
  <c r="BW848" i="10" s="1"/>
  <c r="BN521" i="10"/>
  <c r="BW521" i="10" s="1"/>
  <c r="BB221" i="10"/>
  <c r="BD221" i="10" s="1"/>
  <c r="AQ945" i="10"/>
  <c r="BA922" i="10"/>
  <c r="BC922" i="10" s="1"/>
  <c r="BB353" i="10"/>
  <c r="BD353" i="10" s="1"/>
  <c r="DY899" i="10"/>
  <c r="DY893" i="10"/>
  <c r="BB179" i="10"/>
  <c r="BD179" i="10" s="1"/>
  <c r="BB35" i="10"/>
  <c r="BD35" i="10" s="1"/>
  <c r="BB305" i="10"/>
  <c r="BD305" i="10" s="1"/>
  <c r="BA377" i="10"/>
  <c r="BC377" i="10" s="1"/>
  <c r="AN377" i="10" s="1"/>
  <c r="BB479" i="10"/>
  <c r="BD479" i="10" s="1"/>
  <c r="BB767" i="10"/>
  <c r="BD767" i="10" s="1"/>
  <c r="BB899" i="10"/>
  <c r="BD899" i="10" s="1"/>
  <c r="BA425" i="10"/>
  <c r="BC425" i="10" s="1"/>
  <c r="BN366" i="10"/>
  <c r="BW366" i="10" s="1"/>
  <c r="BM715" i="10"/>
  <c r="BV715" i="10" s="1"/>
  <c r="BB958" i="10"/>
  <c r="BD958" i="10" s="1"/>
  <c r="BB893" i="10"/>
  <c r="BD893" i="10" s="1"/>
  <c r="BJ984" i="10"/>
  <c r="BL984" i="10" s="1"/>
  <c r="AQ577" i="10"/>
  <c r="BN632" i="10"/>
  <c r="BW632" i="10" s="1"/>
  <c r="BB347" i="10"/>
  <c r="BD347" i="10" s="1"/>
  <c r="BJ556" i="10"/>
  <c r="BL556" i="10" s="1"/>
  <c r="BJ942" i="10"/>
  <c r="BL942" i="10" s="1"/>
  <c r="BM949" i="10"/>
  <c r="BV949" i="10" s="1"/>
  <c r="BB845" i="10"/>
  <c r="BD845" i="10" s="1"/>
  <c r="BB809" i="10"/>
  <c r="BD809" i="10" s="1"/>
  <c r="DY1012" i="10"/>
  <c r="DY923" i="10"/>
  <c r="BB137" i="10"/>
  <c r="BD137" i="10" s="1"/>
  <c r="AN137" i="10" s="1"/>
  <c r="BA401" i="10"/>
  <c r="BC401" i="10" s="1"/>
  <c r="BA437" i="10"/>
  <c r="BC437" i="10" s="1"/>
  <c r="BB449" i="10"/>
  <c r="BD449" i="10" s="1"/>
  <c r="BN551" i="10"/>
  <c r="BW551" i="10" s="1"/>
  <c r="CA551" i="10" s="1"/>
  <c r="BA665" i="10"/>
  <c r="BC665" i="10" s="1"/>
  <c r="BI805" i="10"/>
  <c r="BK805" i="10" s="1"/>
  <c r="AN924" i="10"/>
  <c r="BB803" i="10"/>
  <c r="BD803" i="10" s="1"/>
  <c r="BA904" i="10"/>
  <c r="BC904" i="10" s="1"/>
  <c r="AN904" i="10" s="1"/>
  <c r="BI228" i="10"/>
  <c r="BK228" i="10" s="1"/>
  <c r="BM332" i="10"/>
  <c r="BV332" i="10" s="1"/>
  <c r="BZ332" i="10" s="1"/>
  <c r="BN320" i="10"/>
  <c r="BW320" i="10" s="1"/>
  <c r="BB587" i="10"/>
  <c r="BD587" i="10" s="1"/>
  <c r="BB994" i="10"/>
  <c r="BD994" i="10" s="1"/>
  <c r="AN994" i="10" s="1"/>
  <c r="BA707" i="10"/>
  <c r="BC707" i="10" s="1"/>
  <c r="BI590" i="10"/>
  <c r="BK590" i="10" s="1"/>
  <c r="BB359" i="10"/>
  <c r="BD359" i="10" s="1"/>
  <c r="BM889" i="10"/>
  <c r="BV889" i="10" s="1"/>
  <c r="BA725" i="10"/>
  <c r="BC725" i="10" s="1"/>
  <c r="BA719" i="10"/>
  <c r="BC719" i="10" s="1"/>
  <c r="BA629" i="10"/>
  <c r="BC629" i="10" s="1"/>
  <c r="BB155" i="10"/>
  <c r="BD155" i="10" s="1"/>
  <c r="BB107" i="10"/>
  <c r="BD107" i="10" s="1"/>
  <c r="BJ103" i="10"/>
  <c r="BL103" i="10" s="1"/>
  <c r="BB203" i="10"/>
  <c r="BD203" i="10" s="1"/>
  <c r="BJ204" i="10"/>
  <c r="BL204" i="10" s="1"/>
  <c r="BB89" i="10"/>
  <c r="BD89" i="10" s="1"/>
  <c r="BB569" i="10"/>
  <c r="BD569" i="10" s="1"/>
  <c r="AW569" i="10" s="1"/>
  <c r="BB593" i="10"/>
  <c r="BD593" i="10" s="1"/>
  <c r="BB689" i="10"/>
  <c r="BD689" i="10" s="1"/>
  <c r="BB713" i="10"/>
  <c r="BD713" i="10" s="1"/>
  <c r="BA713" i="10"/>
  <c r="BC713" i="10" s="1"/>
  <c r="BB875" i="10"/>
  <c r="BD875" i="10" s="1"/>
  <c r="AW875" i="10" s="1"/>
  <c r="BA957" i="10"/>
  <c r="BC957" i="10" s="1"/>
  <c r="BA317" i="10"/>
  <c r="BC317" i="10" s="1"/>
  <c r="BB461" i="10"/>
  <c r="BD461" i="10" s="1"/>
  <c r="BB659" i="10"/>
  <c r="BD659" i="10" s="1"/>
  <c r="BB647" i="10"/>
  <c r="BD647" i="10" s="1"/>
  <c r="BN648" i="10"/>
  <c r="BW648" i="10" s="1"/>
  <c r="BM264" i="10"/>
  <c r="BV264" i="10" s="1"/>
  <c r="BZ264" i="10" s="1"/>
  <c r="BM794" i="10"/>
  <c r="BV794" i="10" s="1"/>
  <c r="BM910" i="10"/>
  <c r="BV910" i="10" s="1"/>
  <c r="BI408" i="10"/>
  <c r="BK408" i="10" s="1"/>
  <c r="BN606" i="10"/>
  <c r="BW606" i="10" s="1"/>
  <c r="CA606" i="10" s="1"/>
  <c r="BM847" i="10"/>
  <c r="BV847" i="10" s="1"/>
  <c r="BA981" i="10"/>
  <c r="BC981" i="10" s="1"/>
  <c r="AQ879" i="10"/>
  <c r="BA431" i="10"/>
  <c r="BC431" i="10" s="1"/>
  <c r="DY173" i="10"/>
  <c r="DN916" i="10"/>
  <c r="BP916" i="10" s="1"/>
  <c r="DO916" i="10" s="1"/>
  <c r="BB185" i="10"/>
  <c r="BD185" i="10" s="1"/>
  <c r="BB47" i="10"/>
  <c r="BD47" i="10" s="1"/>
  <c r="AW47" i="10" s="1"/>
  <c r="BB65" i="10"/>
  <c r="BD65" i="10" s="1"/>
  <c r="CA386" i="10"/>
  <c r="BB419" i="10"/>
  <c r="BD419" i="10" s="1"/>
  <c r="BB719" i="10"/>
  <c r="BD719" i="10" s="1"/>
  <c r="AN719" i="10" s="1"/>
  <c r="BM612" i="10"/>
  <c r="BV612" i="10" s="1"/>
  <c r="BB964" i="10"/>
  <c r="BD964" i="10" s="1"/>
  <c r="AW964" i="10" s="1"/>
  <c r="BB275" i="10"/>
  <c r="BD275" i="10" s="1"/>
  <c r="BN439" i="10"/>
  <c r="BW439" i="10" s="1"/>
  <c r="BJ595" i="10"/>
  <c r="BL595" i="10" s="1"/>
  <c r="BN902" i="10"/>
  <c r="BW902" i="10" s="1"/>
  <c r="CA902" i="10" s="1"/>
  <c r="BB929" i="10"/>
  <c r="BD929" i="10" s="1"/>
  <c r="BB749" i="10"/>
  <c r="BD749" i="10" s="1"/>
  <c r="AN749" i="10" s="1"/>
  <c r="BA671" i="10"/>
  <c r="BC671" i="10" s="1"/>
  <c r="BA969" i="10"/>
  <c r="BC969" i="10" s="1"/>
  <c r="BB917" i="10"/>
  <c r="BD917" i="10" s="1"/>
  <c r="AQ847" i="10"/>
  <c r="BB821" i="10"/>
  <c r="BD821" i="10" s="1"/>
  <c r="BJ800" i="10"/>
  <c r="BL800" i="10" s="1"/>
  <c r="AQ800" i="10" s="1"/>
  <c r="BY946" i="10"/>
  <c r="DU946" i="10" s="1"/>
  <c r="DY946" i="10"/>
  <c r="CL158" i="10"/>
  <c r="CD158" i="10"/>
  <c r="CH158" i="10" s="1"/>
  <c r="CD665" i="10"/>
  <c r="CH665" i="10" s="1"/>
  <c r="CL665" i="10"/>
  <c r="CD254" i="10"/>
  <c r="CH254" i="10" s="1"/>
  <c r="CL254" i="10"/>
  <c r="CD894" i="10"/>
  <c r="CH894" i="10" s="1"/>
  <c r="CL894" i="10"/>
  <c r="CD537" i="10"/>
  <c r="CH537" i="10" s="1"/>
  <c r="CL537" i="10"/>
  <c r="AN942" i="10"/>
  <c r="AW942" i="10"/>
  <c r="CJ637" i="10"/>
  <c r="CB637" i="10"/>
  <c r="CF637" i="10" s="1"/>
  <c r="CD612" i="10"/>
  <c r="CH612" i="10" s="1"/>
  <c r="CL612" i="10"/>
  <c r="CD484" i="10"/>
  <c r="CH484" i="10" s="1"/>
  <c r="CL484" i="10"/>
  <c r="CD309" i="10"/>
  <c r="CH309" i="10" s="1"/>
  <c r="CL309" i="10"/>
  <c r="CJ147" i="10"/>
  <c r="CB147" i="10"/>
  <c r="CL925" i="10"/>
  <c r="CD925" i="10"/>
  <c r="CH925" i="10" s="1"/>
  <c r="CD113" i="10"/>
  <c r="CH113" i="10" s="1"/>
  <c r="CD24" i="10"/>
  <c r="CH24" i="10" s="1"/>
  <c r="BM112" i="10"/>
  <c r="BV112" i="10" s="1"/>
  <c r="BI141" i="10"/>
  <c r="BK141" i="10" s="1"/>
  <c r="AQ141" i="10" s="1"/>
  <c r="CA287" i="10"/>
  <c r="CA612" i="10"/>
  <c r="BI165" i="10"/>
  <c r="BK165" i="10" s="1"/>
  <c r="BM50" i="10"/>
  <c r="BV50" i="10" s="1"/>
  <c r="BZ463" i="10"/>
  <c r="BN904" i="10"/>
  <c r="BW904" i="10" s="1"/>
  <c r="AN817" i="10"/>
  <c r="BN899" i="10"/>
  <c r="BW899" i="10" s="1"/>
  <c r="BJ857" i="10"/>
  <c r="BL857" i="10" s="1"/>
  <c r="BN847" i="10"/>
  <c r="BW847" i="10" s="1"/>
  <c r="BI171" i="10"/>
  <c r="BK171" i="10" s="1"/>
  <c r="CA925" i="10"/>
  <c r="BZ934" i="10"/>
  <c r="BJ867" i="10"/>
  <c r="BL867" i="10" s="1"/>
  <c r="BZ782" i="10"/>
  <c r="BN905" i="10"/>
  <c r="BW905" i="10" s="1"/>
  <c r="CA905" i="10" s="1"/>
  <c r="AQ893" i="10"/>
  <c r="AQ784" i="10"/>
  <c r="CA970" i="10"/>
  <c r="BJ643" i="10"/>
  <c r="BL643" i="10" s="1"/>
  <c r="BI698" i="10"/>
  <c r="BK698" i="10" s="1"/>
  <c r="BI954" i="10"/>
  <c r="BK954" i="10" s="1"/>
  <c r="BN828" i="10"/>
  <c r="BW828" i="10" s="1"/>
  <c r="CA828" i="10" s="1"/>
  <c r="BM479" i="10"/>
  <c r="BV479" i="10" s="1"/>
  <c r="BZ479" i="10" s="1"/>
  <c r="BJ694" i="10"/>
  <c r="BL694" i="10" s="1"/>
  <c r="BI493" i="10"/>
  <c r="BK493" i="10" s="1"/>
  <c r="BI415" i="10"/>
  <c r="BK415" i="10" s="1"/>
  <c r="BI1003" i="10"/>
  <c r="BK1003" i="10" s="1"/>
  <c r="BZ933" i="10"/>
  <c r="CI127" i="10"/>
  <c r="AW168" i="10"/>
  <c r="AQ121" i="10"/>
  <c r="BN67" i="10"/>
  <c r="BW67" i="10" s="1"/>
  <c r="CA472" i="10"/>
  <c r="BJ970" i="10"/>
  <c r="BL970" i="10" s="1"/>
  <c r="AQ970" i="10" s="1"/>
  <c r="AQ613" i="10"/>
  <c r="BN983" i="10"/>
  <c r="BW983" i="10" s="1"/>
  <c r="BJ917" i="10"/>
  <c r="BL917" i="10" s="1"/>
  <c r="BN869" i="10"/>
  <c r="BW869" i="10" s="1"/>
  <c r="DY200" i="10"/>
  <c r="CI164" i="10"/>
  <c r="CA426" i="10"/>
  <c r="BZ537" i="10"/>
  <c r="BI149" i="10"/>
  <c r="BK149" i="10" s="1"/>
  <c r="CA22" i="10"/>
  <c r="BJ206" i="10"/>
  <c r="BL206" i="10" s="1"/>
  <c r="CA802" i="10"/>
  <c r="BZ694" i="10"/>
  <c r="AQ292" i="10"/>
  <c r="CA504" i="10"/>
  <c r="BI974" i="10"/>
  <c r="BK974" i="10" s="1"/>
  <c r="BJ947" i="10"/>
  <c r="BL947" i="10" s="1"/>
  <c r="BM681" i="10"/>
  <c r="BV681" i="10" s="1"/>
  <c r="BM587" i="10"/>
  <c r="BV587" i="10" s="1"/>
  <c r="BZ587" i="10" s="1"/>
  <c r="BM945" i="10"/>
  <c r="BV945" i="10" s="1"/>
  <c r="BZ945" i="10" s="1"/>
  <c r="BI668" i="10"/>
  <c r="BK668" i="10" s="1"/>
  <c r="BM839" i="10"/>
  <c r="BV839" i="10" s="1"/>
  <c r="CA702" i="10"/>
  <c r="AN960" i="10"/>
  <c r="AQ892" i="10"/>
  <c r="BN790" i="10"/>
  <c r="BW790" i="10" s="1"/>
  <c r="BI921" i="10"/>
  <c r="BK921" i="10" s="1"/>
  <c r="AN889" i="10"/>
  <c r="BZ409" i="10"/>
  <c r="CD564" i="10"/>
  <c r="CH564" i="10" s="1"/>
  <c r="AQ869" i="10"/>
  <c r="BZ434" i="10"/>
  <c r="BZ382" i="10"/>
  <c r="BZ222" i="10"/>
  <c r="BX1007" i="10"/>
  <c r="CL200" i="10"/>
  <c r="CA36" i="10"/>
  <c r="BN26" i="10"/>
  <c r="BW26" i="10" s="1"/>
  <c r="BI128" i="10"/>
  <c r="BK128" i="10" s="1"/>
  <c r="AY386" i="10"/>
  <c r="BI87" i="10"/>
  <c r="BK87" i="10" s="1"/>
  <c r="BM186" i="10"/>
  <c r="BV186" i="10" s="1"/>
  <c r="BZ802" i="10"/>
  <c r="AN940" i="10"/>
  <c r="BI720" i="10"/>
  <c r="BK720" i="10" s="1"/>
  <c r="BM860" i="10"/>
  <c r="BV860" i="10" s="1"/>
  <c r="BZ860" i="10" s="1"/>
  <c r="BN961" i="10"/>
  <c r="BW961" i="10" s="1"/>
  <c r="CA961" i="10" s="1"/>
  <c r="AQ428" i="10"/>
  <c r="BJ901" i="10"/>
  <c r="BL901" i="10" s="1"/>
  <c r="AQ901" i="10" s="1"/>
  <c r="BJ1009" i="10"/>
  <c r="BL1009" i="10" s="1"/>
  <c r="BI855" i="10"/>
  <c r="BK855" i="10" s="1"/>
  <c r="BN420" i="10"/>
  <c r="BW420" i="10" s="1"/>
  <c r="BN975" i="10"/>
  <c r="BW975" i="10" s="1"/>
  <c r="BM1001" i="10"/>
  <c r="BV1001" i="10" s="1"/>
  <c r="BZ1001" i="10" s="1"/>
  <c r="BN354" i="10"/>
  <c r="BW354" i="10" s="1"/>
  <c r="BM498" i="10"/>
  <c r="BV498" i="10" s="1"/>
  <c r="BZ498" i="10" s="1"/>
  <c r="BJ959" i="10"/>
  <c r="BL959" i="10" s="1"/>
  <c r="BI891" i="10"/>
  <c r="BK891" i="10" s="1"/>
  <c r="AQ891" i="10" s="1"/>
  <c r="BN906" i="10"/>
  <c r="BW906" i="10" s="1"/>
  <c r="CA906" i="10" s="1"/>
  <c r="BI534" i="10"/>
  <c r="BK534" i="10" s="1"/>
  <c r="AQ534" i="10" s="1"/>
  <c r="AN947" i="10"/>
  <c r="CA782" i="10"/>
  <c r="BZ698" i="10"/>
  <c r="CI86" i="10"/>
  <c r="BZ865" i="10"/>
  <c r="BN197" i="10"/>
  <c r="BW197" i="10" s="1"/>
  <c r="BN119" i="10"/>
  <c r="BW119" i="10" s="1"/>
  <c r="BZ996" i="10"/>
  <c r="BZ448" i="10"/>
  <c r="BM708" i="10"/>
  <c r="BV708" i="10" s="1"/>
  <c r="BM952" i="10"/>
  <c r="BV952" i="10" s="1"/>
  <c r="BZ952" i="10" s="1"/>
  <c r="AN913" i="10"/>
  <c r="BZ404" i="10"/>
  <c r="BM955" i="10"/>
  <c r="BV955" i="10" s="1"/>
  <c r="BZ955" i="10" s="1"/>
  <c r="BN465" i="10"/>
  <c r="BW465" i="10" s="1"/>
  <c r="CA465" i="10" s="1"/>
  <c r="BM880" i="10"/>
  <c r="BV880" i="10" s="1"/>
  <c r="BJ744" i="10"/>
  <c r="BL744" i="10" s="1"/>
  <c r="BN761" i="10"/>
  <c r="BW761" i="10" s="1"/>
  <c r="BZ976" i="10"/>
  <c r="BI345" i="10"/>
  <c r="BK345" i="10" s="1"/>
  <c r="AQ345" i="10" s="1"/>
  <c r="BM896" i="10"/>
  <c r="BV896" i="10" s="1"/>
  <c r="BI811" i="10"/>
  <c r="BK811" i="10" s="1"/>
  <c r="BI732" i="10"/>
  <c r="BK732" i="10" s="1"/>
  <c r="BN949" i="10"/>
  <c r="BW949" i="10" s="1"/>
  <c r="CA949" i="10" s="1"/>
  <c r="BZ164" i="10"/>
  <c r="BI102" i="10"/>
  <c r="BK102" i="10" s="1"/>
  <c r="AQ102" i="10" s="1"/>
  <c r="CA312" i="10"/>
  <c r="BJ177" i="10"/>
  <c r="BL177" i="10" s="1"/>
  <c r="BM72" i="10"/>
  <c r="BV72" i="10" s="1"/>
  <c r="BZ72" i="10" s="1"/>
  <c r="BN200" i="10"/>
  <c r="BW200" i="10" s="1"/>
  <c r="CA523" i="10"/>
  <c r="BM912" i="10"/>
  <c r="BV912" i="10" s="1"/>
  <c r="BZ912" i="10" s="1"/>
  <c r="BM635" i="10"/>
  <c r="BV635" i="10" s="1"/>
  <c r="BN734" i="10"/>
  <c r="BW734" i="10" s="1"/>
  <c r="CA734" i="10" s="1"/>
  <c r="BZ894" i="10"/>
  <c r="BJ988" i="10"/>
  <c r="BL988" i="10" s="1"/>
  <c r="AQ988" i="10" s="1"/>
  <c r="BJ778" i="10"/>
  <c r="BL778" i="10" s="1"/>
  <c r="BN971" i="10"/>
  <c r="BW971" i="10" s="1"/>
  <c r="BJ569" i="10"/>
  <c r="BL569" i="10" s="1"/>
  <c r="AQ783" i="10"/>
  <c r="BJ957" i="10"/>
  <c r="BL957" i="10" s="1"/>
  <c r="AQ957" i="10" s="1"/>
  <c r="BN852" i="10"/>
  <c r="BW852" i="10" s="1"/>
  <c r="BJ1005" i="10"/>
  <c r="BL1005" i="10" s="1"/>
  <c r="BJ862" i="10"/>
  <c r="BL862" i="10" s="1"/>
  <c r="BM868" i="10"/>
  <c r="BV868" i="10" s="1"/>
  <c r="BM859" i="10"/>
  <c r="BV859" i="10" s="1"/>
  <c r="BJ877" i="10"/>
  <c r="BL877" i="10" s="1"/>
  <c r="AQ916" i="10"/>
  <c r="AQ884" i="10"/>
  <c r="CI113" i="10"/>
  <c r="BN81" i="10"/>
  <c r="BW81" i="10" s="1"/>
  <c r="BM194" i="10"/>
  <c r="BV194" i="10" s="1"/>
  <c r="BZ194" i="10" s="1"/>
  <c r="BZ176" i="10"/>
  <c r="BZ312" i="10"/>
  <c r="BI170" i="10"/>
  <c r="BK170" i="10" s="1"/>
  <c r="BM107" i="10"/>
  <c r="BV107" i="10" s="1"/>
  <c r="BN146" i="10"/>
  <c r="BW146" i="10" s="1"/>
  <c r="CA316" i="10"/>
  <c r="CA537" i="10"/>
  <c r="BI781" i="10"/>
  <c r="BK781" i="10" s="1"/>
  <c r="BJ972" i="10"/>
  <c r="BL972" i="10" s="1"/>
  <c r="BI993" i="10"/>
  <c r="BK993" i="10" s="1"/>
  <c r="AQ993" i="10" s="1"/>
  <c r="CA924" i="10"/>
  <c r="AW905" i="10"/>
  <c r="AN979" i="10"/>
  <c r="CA951" i="10"/>
  <c r="BY130" i="10"/>
  <c r="DU130" i="10" s="1"/>
  <c r="BY70" i="10"/>
  <c r="DU70" i="10" s="1"/>
  <c r="BN56" i="10"/>
  <c r="BW56" i="10" s="1"/>
  <c r="BZ942" i="10"/>
  <c r="CA675" i="10"/>
  <c r="BJ130" i="10"/>
  <c r="BL130" i="10" s="1"/>
  <c r="AQ130" i="10" s="1"/>
  <c r="BN714" i="10"/>
  <c r="BW714" i="10" s="1"/>
  <c r="BI641" i="10"/>
  <c r="BK641" i="10" s="1"/>
  <c r="BZ625" i="10"/>
  <c r="BJ721" i="10"/>
  <c r="BL721" i="10" s="1"/>
  <c r="BM727" i="10"/>
  <c r="BV727" i="10" s="1"/>
  <c r="BJ914" i="10"/>
  <c r="BL914" i="10" s="1"/>
  <c r="AQ899" i="10"/>
  <c r="AQ379" i="10"/>
  <c r="CT710" i="10"/>
  <c r="CT674" i="10"/>
  <c r="CT664" i="10"/>
  <c r="CT638" i="10"/>
  <c r="CT602" i="10"/>
  <c r="CT566" i="10"/>
  <c r="CT527" i="10"/>
  <c r="CT509" i="10"/>
  <c r="CT407" i="10"/>
  <c r="CT403" i="10"/>
  <c r="CT304" i="10"/>
  <c r="CT160" i="10"/>
  <c r="CU160" i="10" s="1"/>
  <c r="CT785" i="10"/>
  <c r="CT775" i="10"/>
  <c r="CT749" i="10"/>
  <c r="CT713" i="10"/>
  <c r="CT677" i="10"/>
  <c r="CT641" i="10"/>
  <c r="CT605" i="10"/>
  <c r="CT569" i="10"/>
  <c r="CT439" i="10"/>
  <c r="CS18" i="10"/>
  <c r="CS27" i="10"/>
  <c r="CT167" i="10"/>
  <c r="CU167" i="10" s="1"/>
  <c r="CT344" i="10"/>
  <c r="CT295" i="10"/>
  <c r="CS26" i="10"/>
  <c r="CT764" i="10"/>
  <c r="CT728" i="10"/>
  <c r="CT692" i="10"/>
  <c r="CT656" i="10"/>
  <c r="CT620" i="10"/>
  <c r="CT584" i="10"/>
  <c r="CT452" i="10"/>
  <c r="CT416" i="10"/>
  <c r="CT380" i="10"/>
  <c r="CU380" i="10" s="1"/>
  <c r="CT173" i="10"/>
  <c r="CT166" i="10"/>
  <c r="CT793" i="10"/>
  <c r="CT767" i="10"/>
  <c r="CT731" i="10"/>
  <c r="CT466" i="10"/>
  <c r="CT773" i="10"/>
  <c r="CT737" i="10"/>
  <c r="CT701" i="10"/>
  <c r="CT665" i="10"/>
  <c r="CT629" i="10"/>
  <c r="CT593" i="10"/>
  <c r="CU593" i="10" s="1"/>
  <c r="CT524" i="10"/>
  <c r="CT316" i="10"/>
  <c r="CT776" i="10"/>
  <c r="CT740" i="10"/>
  <c r="CT704" i="10"/>
  <c r="CT668" i="10"/>
  <c r="CT632" i="10"/>
  <c r="CT596" i="10"/>
  <c r="CT545" i="10"/>
  <c r="CT433" i="10"/>
  <c r="DA1011" i="10"/>
  <c r="DA999" i="10"/>
  <c r="DA987" i="10"/>
  <c r="DA975" i="10"/>
  <c r="DA963" i="10"/>
  <c r="DA951" i="10"/>
  <c r="DA939" i="10"/>
  <c r="DA927" i="10"/>
  <c r="DA915" i="10"/>
  <c r="DA903" i="10"/>
  <c r="DA891" i="10"/>
  <c r="DA879" i="10"/>
  <c r="DA867" i="10"/>
  <c r="DA855" i="10"/>
  <c r="DA843" i="10"/>
  <c r="DA831" i="10"/>
  <c r="DA819" i="10"/>
  <c r="DA807" i="10"/>
  <c r="DA795" i="10"/>
  <c r="DA783" i="10"/>
  <c r="DA771" i="10"/>
  <c r="DA759" i="10"/>
  <c r="DA747" i="10"/>
  <c r="DA735" i="10"/>
  <c r="DA723" i="10"/>
  <c r="CT21" i="10"/>
  <c r="CL757" i="10"/>
  <c r="AY389" i="10"/>
  <c r="BZ389" i="10"/>
  <c r="CI757" i="10"/>
  <c r="CI457" i="10"/>
  <c r="AY699" i="10"/>
  <c r="BZ699" i="10"/>
  <c r="CA699" i="10"/>
  <c r="AY641" i="10"/>
  <c r="BZ641" i="10"/>
  <c r="CL963" i="10"/>
  <c r="CD963" i="10"/>
  <c r="CH963" i="10" s="1"/>
  <c r="CD729" i="10"/>
  <c r="CH729" i="10" s="1"/>
  <c r="CL729" i="10"/>
  <c r="AY721" i="10"/>
  <c r="CA721" i="10"/>
  <c r="AY643" i="10"/>
  <c r="CA643" i="10"/>
  <c r="AY605" i="10"/>
  <c r="CA605" i="10"/>
  <c r="AY405" i="10"/>
  <c r="BZ405" i="10"/>
  <c r="CD270" i="10"/>
  <c r="CH270" i="10" s="1"/>
  <c r="CL270" i="10"/>
  <c r="CL457" i="10"/>
  <c r="AY656" i="10"/>
  <c r="BZ656" i="10"/>
  <c r="CD528" i="10"/>
  <c r="CH528" i="10" s="1"/>
  <c r="CL528" i="10"/>
  <c r="CD353" i="10"/>
  <c r="CH353" i="10" s="1"/>
  <c r="CL871" i="10"/>
  <c r="CD871" i="10"/>
  <c r="CH871" i="10" s="1"/>
  <c r="AY961" i="10"/>
  <c r="AY1004" i="10"/>
  <c r="BZ1004" i="10"/>
  <c r="CD344" i="10"/>
  <c r="CH344" i="10" s="1"/>
  <c r="CL344" i="10"/>
  <c r="CA411" i="10"/>
  <c r="AY411" i="10"/>
  <c r="BZ314" i="10"/>
  <c r="AY314" i="10"/>
  <c r="AY629" i="10"/>
  <c r="CA629" i="10"/>
  <c r="AY993" i="10"/>
  <c r="BZ993" i="10"/>
  <c r="CA993" i="10"/>
  <c r="CI528" i="10"/>
  <c r="AY849" i="10"/>
  <c r="BZ849" i="10"/>
  <c r="CL651" i="10"/>
  <c r="CD651" i="10"/>
  <c r="CH651" i="10" s="1"/>
  <c r="AY264" i="10"/>
  <c r="CL264" i="10" s="1"/>
  <c r="AY342" i="10"/>
  <c r="BZ342" i="10"/>
  <c r="CA342" i="10"/>
  <c r="CI270" i="10"/>
  <c r="CI389" i="10"/>
  <c r="CI353" i="10"/>
  <c r="CA154" i="10"/>
  <c r="CA651" i="10"/>
  <c r="BZ961" i="10"/>
  <c r="CA986" i="10"/>
  <c r="BZ251" i="10"/>
  <c r="CA957" i="10"/>
  <c r="CT781" i="10"/>
  <c r="CT745" i="10"/>
  <c r="CT709" i="10"/>
  <c r="CT673" i="10"/>
  <c r="CT554" i="10"/>
  <c r="CA270" i="10"/>
  <c r="BZ528" i="10"/>
  <c r="CT1013" i="10"/>
  <c r="CT1010" i="10"/>
  <c r="CT1007" i="10"/>
  <c r="CU1007" i="10" s="1"/>
  <c r="CT1004" i="10"/>
  <c r="CT1001" i="10"/>
  <c r="CT998" i="10"/>
  <c r="CT995" i="10"/>
  <c r="CT992" i="10"/>
  <c r="CT989" i="10"/>
  <c r="CT986" i="10"/>
  <c r="CT983" i="10"/>
  <c r="CT980" i="10"/>
  <c r="CT977" i="10"/>
  <c r="CT974" i="10"/>
  <c r="CT971" i="10"/>
  <c r="CU971" i="10" s="1"/>
  <c r="CT968" i="10"/>
  <c r="CT965" i="10"/>
  <c r="CT962" i="10"/>
  <c r="CT959" i="10"/>
  <c r="CT956" i="10"/>
  <c r="CT953" i="10"/>
  <c r="CT950" i="10"/>
  <c r="CT947" i="10"/>
  <c r="CT944" i="10"/>
  <c r="CT941" i="10"/>
  <c r="CT938" i="10"/>
  <c r="CT935" i="10"/>
  <c r="CU935" i="10" s="1"/>
  <c r="CT932" i="10"/>
  <c r="CT929" i="10"/>
  <c r="CT926" i="10"/>
  <c r="CT923" i="10"/>
  <c r="CT920" i="10"/>
  <c r="CT917" i="10"/>
  <c r="CT914" i="10"/>
  <c r="CT911" i="10"/>
  <c r="CT908" i="10"/>
  <c r="CT905" i="10"/>
  <c r="CT902" i="10"/>
  <c r="CT899" i="10"/>
  <c r="CU899" i="10" s="1"/>
  <c r="CT896" i="10"/>
  <c r="CT893" i="10"/>
  <c r="CT890" i="10"/>
  <c r="CT887" i="10"/>
  <c r="CT884" i="10"/>
  <c r="CT881" i="10"/>
  <c r="CT878" i="10"/>
  <c r="CT875" i="10"/>
  <c r="CT872" i="10"/>
  <c r="CT869" i="10"/>
  <c r="CT866" i="10"/>
  <c r="CT863" i="10"/>
  <c r="CU863" i="10" s="1"/>
  <c r="CT860" i="10"/>
  <c r="CT857" i="10"/>
  <c r="CT854" i="10"/>
  <c r="CT851" i="10"/>
  <c r="CT848" i="10"/>
  <c r="CT845" i="10"/>
  <c r="CT842" i="10"/>
  <c r="CT839" i="10"/>
  <c r="CT836" i="10"/>
  <c r="CT833" i="10"/>
  <c r="CT830" i="10"/>
  <c r="CT827" i="10"/>
  <c r="CU827" i="10" s="1"/>
  <c r="CT824" i="10"/>
  <c r="CT821" i="10"/>
  <c r="CT818" i="10"/>
  <c r="CT815" i="10"/>
  <c r="CT812" i="10"/>
  <c r="CT809" i="10"/>
  <c r="CT806" i="10"/>
  <c r="CT803" i="10"/>
  <c r="CT800" i="10"/>
  <c r="CT797" i="10"/>
  <c r="CA528" i="10"/>
  <c r="BZ986" i="10"/>
  <c r="CA593" i="10"/>
  <c r="CA649" i="10"/>
  <c r="CA980" i="10"/>
  <c r="CA952" i="10"/>
  <c r="BZ420" i="10"/>
  <c r="CT790" i="10"/>
  <c r="CT754" i="10"/>
  <c r="CT718" i="10"/>
  <c r="CT682" i="10"/>
  <c r="CA587" i="10"/>
  <c r="CA916" i="10"/>
  <c r="BZ619" i="10"/>
  <c r="CT757" i="10"/>
  <c r="CT721" i="10"/>
  <c r="CT685" i="10"/>
  <c r="CA565" i="10"/>
  <c r="AY164" i="10"/>
  <c r="BZ210" i="10"/>
  <c r="CA216" i="10"/>
  <c r="CA309" i="10"/>
  <c r="CT763" i="10"/>
  <c r="CT727" i="10"/>
  <c r="CT691" i="10"/>
  <c r="CU691" i="10" s="1"/>
  <c r="CT655" i="10"/>
  <c r="BZ151" i="10"/>
  <c r="BZ216" i="10"/>
  <c r="BZ814" i="10"/>
  <c r="CA992" i="10"/>
  <c r="BZ511" i="10"/>
  <c r="CT766" i="10"/>
  <c r="CT730" i="10"/>
  <c r="CT694" i="10"/>
  <c r="CT658" i="10"/>
  <c r="CA231" i="10"/>
  <c r="BZ957" i="10"/>
  <c r="CA735" i="10"/>
  <c r="CA726" i="10"/>
  <c r="BZ916" i="10"/>
  <c r="BZ651" i="10"/>
  <c r="BZ517" i="10"/>
  <c r="CA328" i="10"/>
  <c r="CT769" i="10"/>
  <c r="CT733" i="10"/>
  <c r="CT697" i="10"/>
  <c r="CT661" i="10"/>
  <c r="CA107" i="10"/>
  <c r="CA153" i="10"/>
  <c r="BZ231" i="10"/>
  <c r="CA324" i="10"/>
  <c r="CA200" i="10"/>
  <c r="CA891" i="10"/>
  <c r="CA492" i="10"/>
  <c r="CT739" i="10"/>
  <c r="CT703" i="10"/>
  <c r="CT667" i="10"/>
  <c r="CT551" i="10"/>
  <c r="CT515" i="10"/>
  <c r="CU515" i="10" s="1"/>
  <c r="CT479" i="10"/>
  <c r="CT469" i="10"/>
  <c r="CT434" i="10"/>
  <c r="CT410" i="10"/>
  <c r="CT382" i="10"/>
  <c r="CT518" i="10"/>
  <c r="CT482" i="10"/>
  <c r="CT448" i="10"/>
  <c r="CT223" i="10"/>
  <c r="CT557" i="10"/>
  <c r="CT521" i="10"/>
  <c r="CT485" i="10"/>
  <c r="CU485" i="10" s="1"/>
  <c r="CT437" i="10"/>
  <c r="CT430" i="10"/>
  <c r="CT395" i="10"/>
  <c r="CT385" i="10"/>
  <c r="CT371" i="10"/>
  <c r="CT353" i="10"/>
  <c r="CT268" i="10"/>
  <c r="CT530" i="10"/>
  <c r="CT494" i="10"/>
  <c r="CT412" i="10"/>
  <c r="CT331" i="10"/>
  <c r="CT533" i="10"/>
  <c r="CU533" i="10" s="1"/>
  <c r="CT497" i="10"/>
  <c r="CT467" i="10"/>
  <c r="CT457" i="10"/>
  <c r="CT443" i="10"/>
  <c r="CT401" i="10"/>
  <c r="CT394" i="10"/>
  <c r="CT359" i="10"/>
  <c r="CT338" i="10"/>
  <c r="CT293" i="10"/>
  <c r="CT199" i="10"/>
  <c r="CT184" i="10"/>
  <c r="CT536" i="10"/>
  <c r="CU536" i="10" s="1"/>
  <c r="CT221" i="10"/>
  <c r="CT652" i="10"/>
  <c r="CT649" i="10"/>
  <c r="CT646" i="10"/>
  <c r="CT643" i="10"/>
  <c r="CT640" i="10"/>
  <c r="CT637" i="10"/>
  <c r="CT634" i="10"/>
  <c r="CT631" i="10"/>
  <c r="CT628" i="10"/>
  <c r="CT625" i="10"/>
  <c r="CT622" i="10"/>
  <c r="CU622" i="10" s="1"/>
  <c r="CT619" i="10"/>
  <c r="CT616" i="10"/>
  <c r="CT613" i="10"/>
  <c r="CT610" i="10"/>
  <c r="CT607" i="10"/>
  <c r="CT604" i="10"/>
  <c r="CT601" i="10"/>
  <c r="CT598" i="10"/>
  <c r="CT595" i="10"/>
  <c r="CT592" i="10"/>
  <c r="CT589" i="10"/>
  <c r="CT586" i="10"/>
  <c r="CU586" i="10" s="1"/>
  <c r="CT583" i="10"/>
  <c r="CT580" i="10"/>
  <c r="CT539" i="10"/>
  <c r="CT503" i="10"/>
  <c r="CT446" i="10"/>
  <c r="CT418" i="10"/>
  <c r="CT397" i="10"/>
  <c r="CT326" i="10"/>
  <c r="CT266" i="10"/>
  <c r="DB1012" i="10"/>
  <c r="DC1012" i="10" s="1"/>
  <c r="DB1008" i="10"/>
  <c r="DB1004" i="10"/>
  <c r="DC1004" i="10" s="1"/>
  <c r="DB1000" i="10"/>
  <c r="DB996" i="10"/>
  <c r="DB992" i="10"/>
  <c r="DB988" i="10"/>
  <c r="DB984" i="10"/>
  <c r="DB980" i="10"/>
  <c r="DB976" i="10"/>
  <c r="DB972" i="10"/>
  <c r="DB968" i="10"/>
  <c r="CT542" i="10"/>
  <c r="CT506" i="10"/>
  <c r="CT311" i="10"/>
  <c r="CU311" i="10" s="1"/>
  <c r="CT277" i="10"/>
  <c r="DA832" i="10"/>
  <c r="DA820" i="10"/>
  <c r="DA808" i="10"/>
  <c r="DA796" i="10"/>
  <c r="DA784" i="10"/>
  <c r="DA772" i="10"/>
  <c r="DA760" i="10"/>
  <c r="DA748" i="10"/>
  <c r="DA736" i="10"/>
  <c r="DA724" i="10"/>
  <c r="DA712" i="10"/>
  <c r="DA700" i="10"/>
  <c r="DA688" i="10"/>
  <c r="DA676" i="10"/>
  <c r="DA664" i="10"/>
  <c r="DA652" i="10"/>
  <c r="DA640" i="10"/>
  <c r="DA628" i="10"/>
  <c r="DA616" i="10"/>
  <c r="CT548" i="10"/>
  <c r="CT458" i="10"/>
  <c r="CT445" i="10"/>
  <c r="CT422" i="10"/>
  <c r="CU422" i="10" s="1"/>
  <c r="CT409" i="10"/>
  <c r="CT386" i="10"/>
  <c r="CT350" i="10"/>
  <c r="CT272" i="10"/>
  <c r="CT185" i="10"/>
  <c r="CS163" i="10"/>
  <c r="CT464" i="10"/>
  <c r="CT451" i="10"/>
  <c r="CT428" i="10"/>
  <c r="CT415" i="10"/>
  <c r="CT392" i="10"/>
  <c r="CT379" i="10"/>
  <c r="CU379" i="10" s="1"/>
  <c r="CT356" i="10"/>
  <c r="CT322" i="10"/>
  <c r="CT257" i="10"/>
  <c r="CT250" i="10"/>
  <c r="CS247" i="10"/>
  <c r="CT239" i="10"/>
  <c r="CT365" i="10"/>
  <c r="CT289" i="10"/>
  <c r="CT281" i="10"/>
  <c r="CU281" i="10" s="1"/>
  <c r="CT217" i="10"/>
  <c r="CT209" i="10"/>
  <c r="DB1013" i="10"/>
  <c r="DC1013" i="10" s="1"/>
  <c r="DB1009" i="10"/>
  <c r="DB1005" i="10"/>
  <c r="DB1001" i="10"/>
  <c r="DB997" i="10"/>
  <c r="DB993" i="10"/>
  <c r="DB989" i="10"/>
  <c r="DB985" i="10"/>
  <c r="DB981" i="10"/>
  <c r="DB977" i="10"/>
  <c r="DC977" i="10" s="1"/>
  <c r="DB973" i="10"/>
  <c r="DC973" i="10" s="1"/>
  <c r="DB969" i="10"/>
  <c r="DB965" i="10"/>
  <c r="DC965" i="10" s="1"/>
  <c r="DB961" i="10"/>
  <c r="DB957" i="10"/>
  <c r="DB953" i="10"/>
  <c r="DB949" i="10"/>
  <c r="DB945" i="10"/>
  <c r="DB941" i="10"/>
  <c r="DB937" i="10"/>
  <c r="DB933" i="10"/>
  <c r="DB929" i="10"/>
  <c r="DC929" i="10" s="1"/>
  <c r="DB925" i="10"/>
  <c r="DC925" i="10" s="1"/>
  <c r="DB921" i="10"/>
  <c r="DB917" i="10"/>
  <c r="DC917" i="10" s="1"/>
  <c r="DB913" i="10"/>
  <c r="DB909" i="10"/>
  <c r="DB905" i="10"/>
  <c r="DB901" i="10"/>
  <c r="DB897" i="10"/>
  <c r="DB893" i="10"/>
  <c r="DB889" i="10"/>
  <c r="DB885" i="10"/>
  <c r="DB881" i="10"/>
  <c r="DC881" i="10" s="1"/>
  <c r="DB877" i="10"/>
  <c r="DB873" i="10"/>
  <c r="DB869" i="10"/>
  <c r="DC869" i="10" s="1"/>
  <c r="DB865" i="10"/>
  <c r="DB861" i="10"/>
  <c r="DB857" i="10"/>
  <c r="DB853" i="10"/>
  <c r="DB849" i="10"/>
  <c r="DB845" i="10"/>
  <c r="DB841" i="10"/>
  <c r="DB837" i="10"/>
  <c r="DB833" i="10"/>
  <c r="DC833" i="10" s="1"/>
  <c r="DB829" i="10"/>
  <c r="DB825" i="10"/>
  <c r="DB821" i="10"/>
  <c r="DC821" i="10" s="1"/>
  <c r="DB817" i="10"/>
  <c r="DB813" i="10"/>
  <c r="DB809" i="10"/>
  <c r="CT463" i="10"/>
  <c r="CT440" i="10"/>
  <c r="CT427" i="10"/>
  <c r="CT404" i="10"/>
  <c r="CT391" i="10"/>
  <c r="CT368" i="10"/>
  <c r="CT328" i="10"/>
  <c r="CT307" i="10"/>
  <c r="CT256" i="10"/>
  <c r="CU256" i="10" s="1"/>
  <c r="CT241" i="10"/>
  <c r="CT164" i="10"/>
  <c r="CT145" i="10"/>
  <c r="CT130" i="10"/>
  <c r="CT112" i="10"/>
  <c r="CT100" i="10"/>
  <c r="DB964" i="10"/>
  <c r="DB960" i="10"/>
  <c r="DB956" i="10"/>
  <c r="DC956" i="10" s="1"/>
  <c r="DB952" i="10"/>
  <c r="DC952" i="10" s="1"/>
  <c r="DB948" i="10"/>
  <c r="DB944" i="10"/>
  <c r="DC944" i="10" s="1"/>
  <c r="DB940" i="10"/>
  <c r="DB936" i="10"/>
  <c r="DB932" i="10"/>
  <c r="DB928" i="10"/>
  <c r="DB924" i="10"/>
  <c r="DB920" i="10"/>
  <c r="DB916" i="10"/>
  <c r="DB912" i="10"/>
  <c r="DB908" i="10"/>
  <c r="DC908" i="10" s="1"/>
  <c r="DB904" i="10"/>
  <c r="DC904" i="10" s="1"/>
  <c r="DB900" i="10"/>
  <c r="DB896" i="10"/>
  <c r="DC896" i="10" s="1"/>
  <c r="DB892" i="10"/>
  <c r="DB888" i="10"/>
  <c r="DB884" i="10"/>
  <c r="DB880" i="10"/>
  <c r="DB876" i="10"/>
  <c r="DB872" i="10"/>
  <c r="DB868" i="10"/>
  <c r="DB864" i="10"/>
  <c r="DB860" i="10"/>
  <c r="DC860" i="10" s="1"/>
  <c r="DB856" i="10"/>
  <c r="DC856" i="10" s="1"/>
  <c r="DB852" i="10"/>
  <c r="DB848" i="10"/>
  <c r="DC848" i="10" s="1"/>
  <c r="DB844" i="10"/>
  <c r="DB840" i="10"/>
  <c r="DB836" i="10"/>
  <c r="DB832" i="10"/>
  <c r="DB828" i="10"/>
  <c r="DB824" i="10"/>
  <c r="DB820" i="10"/>
  <c r="DB816" i="10"/>
  <c r="DB812" i="10"/>
  <c r="DC812" i="10" s="1"/>
  <c r="DB808" i="10"/>
  <c r="DB804" i="10"/>
  <c r="DB800" i="10"/>
  <c r="DC800" i="10" s="1"/>
  <c r="DB796" i="10"/>
  <c r="DB792" i="10"/>
  <c r="DB788" i="10"/>
  <c r="DB784" i="10"/>
  <c r="DB780" i="10"/>
  <c r="DB776" i="10"/>
  <c r="DB772" i="10"/>
  <c r="DB768" i="10"/>
  <c r="DB764" i="10"/>
  <c r="DC764" i="10" s="1"/>
  <c r="DB760" i="10"/>
  <c r="DC760" i="10" s="1"/>
  <c r="DB756" i="10"/>
  <c r="DB752" i="10"/>
  <c r="DC752" i="10" s="1"/>
  <c r="DB748" i="10"/>
  <c r="DB744" i="10"/>
  <c r="DB740" i="10"/>
  <c r="DB736" i="10"/>
  <c r="DB732" i="10"/>
  <c r="DB728" i="10"/>
  <c r="DB724" i="10"/>
  <c r="DB720" i="10"/>
  <c r="DB716" i="10"/>
  <c r="DC716" i="10" s="1"/>
  <c r="DB712" i="10"/>
  <c r="DB708" i="10"/>
  <c r="DB704" i="10"/>
  <c r="DC704" i="10" s="1"/>
  <c r="DB700" i="10"/>
  <c r="DB696" i="10"/>
  <c r="DB692" i="10"/>
  <c r="DB688" i="10"/>
  <c r="DB684" i="10"/>
  <c r="DB680" i="10"/>
  <c r="DB676" i="10"/>
  <c r="DB672" i="10"/>
  <c r="DB668" i="10"/>
  <c r="DC668" i="10" s="1"/>
  <c r="DB664" i="10"/>
  <c r="DB660" i="10"/>
  <c r="DB656" i="10"/>
  <c r="DC656" i="10" s="1"/>
  <c r="DB652" i="10"/>
  <c r="DB648" i="10"/>
  <c r="DB644" i="10"/>
  <c r="DB640" i="10"/>
  <c r="DB636" i="10"/>
  <c r="DB632" i="10"/>
  <c r="DB628" i="10"/>
  <c r="CT577" i="10"/>
  <c r="CT574" i="10"/>
  <c r="CT571" i="10"/>
  <c r="CT568" i="10"/>
  <c r="CT565" i="10"/>
  <c r="CU565" i="10" s="1"/>
  <c r="CT562" i="10"/>
  <c r="CT559" i="10"/>
  <c r="CT556" i="10"/>
  <c r="CT553" i="10"/>
  <c r="CT550" i="10"/>
  <c r="CT547" i="10"/>
  <c r="CT544" i="10"/>
  <c r="CT541" i="10"/>
  <c r="CT538" i="10"/>
  <c r="CT535" i="10"/>
  <c r="CT532" i="10"/>
  <c r="CT529" i="10"/>
  <c r="CU529" i="10" s="1"/>
  <c r="CT526" i="10"/>
  <c r="CT523" i="10"/>
  <c r="CT520" i="10"/>
  <c r="CT517" i="10"/>
  <c r="CT514" i="10"/>
  <c r="CT511" i="10"/>
  <c r="CT508" i="10"/>
  <c r="CT505" i="10"/>
  <c r="CT502" i="10"/>
  <c r="CT499" i="10"/>
  <c r="CT496" i="10"/>
  <c r="CT493" i="10"/>
  <c r="CU493" i="10" s="1"/>
  <c r="CT490" i="10"/>
  <c r="CT487" i="10"/>
  <c r="CT484" i="10"/>
  <c r="CT481" i="10"/>
  <c r="CT478" i="10"/>
  <c r="CT475" i="10"/>
  <c r="CT472" i="10"/>
  <c r="CT449" i="10"/>
  <c r="CT436" i="10"/>
  <c r="CT413" i="10"/>
  <c r="CT400" i="10"/>
  <c r="CT377" i="10"/>
  <c r="CU377" i="10" s="1"/>
  <c r="CT341" i="10"/>
  <c r="CT320" i="10"/>
  <c r="CT262" i="10"/>
  <c r="CT226" i="10"/>
  <c r="CS175" i="10"/>
  <c r="CT115" i="10"/>
  <c r="AU341" i="10"/>
  <c r="AX341" i="10"/>
  <c r="DA604" i="10"/>
  <c r="DA592" i="10"/>
  <c r="DA580" i="10"/>
  <c r="DA568" i="10"/>
  <c r="DA556" i="10"/>
  <c r="DA544" i="10"/>
  <c r="DA532" i="10"/>
  <c r="DA520" i="10"/>
  <c r="DA508" i="10"/>
  <c r="DA496" i="10"/>
  <c r="DA484" i="10"/>
  <c r="DA472" i="10"/>
  <c r="DA460" i="10"/>
  <c r="DA448" i="10"/>
  <c r="DA436" i="10"/>
  <c r="DA424" i="10"/>
  <c r="DA412" i="10"/>
  <c r="DA400" i="10"/>
  <c r="DA388" i="10"/>
  <c r="DA376" i="10"/>
  <c r="DA364" i="10"/>
  <c r="DA352" i="10"/>
  <c r="DA340" i="10"/>
  <c r="DA328" i="10"/>
  <c r="DA316" i="10"/>
  <c r="DA304" i="10"/>
  <c r="DA292" i="10"/>
  <c r="DA280" i="10"/>
  <c r="DA268" i="10"/>
  <c r="DA256" i="10"/>
  <c r="DA244" i="10"/>
  <c r="DA232" i="10"/>
  <c r="DA220" i="10"/>
  <c r="DA208" i="10"/>
  <c r="DA196" i="10"/>
  <c r="DA184" i="10"/>
  <c r="DA172" i="10"/>
  <c r="DA160" i="10"/>
  <c r="DA148" i="10"/>
  <c r="DA136" i="10"/>
  <c r="CT455" i="10"/>
  <c r="CT442" i="10"/>
  <c r="CT419" i="10"/>
  <c r="CT406" i="10"/>
  <c r="CT383" i="10"/>
  <c r="CT347" i="10"/>
  <c r="CT200" i="10"/>
  <c r="BX259" i="10"/>
  <c r="BX880" i="10"/>
  <c r="DN880" i="10" s="1"/>
  <c r="BP880" i="10" s="1"/>
  <c r="DO880" i="10" s="1"/>
  <c r="DB805" i="10"/>
  <c r="DB801" i="10"/>
  <c r="DB797" i="10"/>
  <c r="DC797" i="10" s="1"/>
  <c r="DB793" i="10"/>
  <c r="DB789" i="10"/>
  <c r="DB785" i="10"/>
  <c r="DB781" i="10"/>
  <c r="DB777" i="10"/>
  <c r="DB773" i="10"/>
  <c r="DB769" i="10"/>
  <c r="DB765" i="10"/>
  <c r="DB761" i="10"/>
  <c r="DC761" i="10" s="1"/>
  <c r="DB757" i="10"/>
  <c r="DB753" i="10"/>
  <c r="DB749" i="10"/>
  <c r="DC749" i="10" s="1"/>
  <c r="DB745" i="10"/>
  <c r="DB741" i="10"/>
  <c r="DB737" i="10"/>
  <c r="DB733" i="10"/>
  <c r="DB729" i="10"/>
  <c r="DB725" i="10"/>
  <c r="DB721" i="10"/>
  <c r="DB717" i="10"/>
  <c r="DB713" i="10"/>
  <c r="DC713" i="10" s="1"/>
  <c r="DB709" i="10"/>
  <c r="DB705" i="10"/>
  <c r="DB701" i="10"/>
  <c r="DC701" i="10" s="1"/>
  <c r="DB697" i="10"/>
  <c r="DB693" i="10"/>
  <c r="DB689" i="10"/>
  <c r="DB685" i="10"/>
  <c r="DB681" i="10"/>
  <c r="DB677" i="10"/>
  <c r="DB673" i="10"/>
  <c r="DB669" i="10"/>
  <c r="DB665" i="10"/>
  <c r="DC665" i="10" s="1"/>
  <c r="DB661" i="10"/>
  <c r="DB657" i="10"/>
  <c r="DB653" i="10"/>
  <c r="DC653" i="10" s="1"/>
  <c r="DB649" i="10"/>
  <c r="DB645" i="10"/>
  <c r="DB641" i="10"/>
  <c r="DB637" i="10"/>
  <c r="DB633" i="10"/>
  <c r="DB629" i="10"/>
  <c r="DB625" i="10"/>
  <c r="DB621" i="10"/>
  <c r="DB617" i="10"/>
  <c r="DC617" i="10" s="1"/>
  <c r="DB613" i="10"/>
  <c r="DB609" i="10"/>
  <c r="DB605" i="10"/>
  <c r="DC605" i="10" s="1"/>
  <c r="DB601" i="10"/>
  <c r="DB597" i="10"/>
  <c r="DB593" i="10"/>
  <c r="DB589" i="10"/>
  <c r="DB585" i="10"/>
  <c r="DB581" i="10"/>
  <c r="DB577" i="10"/>
  <c r="DB573" i="10"/>
  <c r="DB569" i="10"/>
  <c r="DC569" i="10" s="1"/>
  <c r="DB565" i="10"/>
  <c r="DB561" i="10"/>
  <c r="DB557" i="10"/>
  <c r="DC557" i="10" s="1"/>
  <c r="DB553" i="10"/>
  <c r="DB549" i="10"/>
  <c r="DB545" i="10"/>
  <c r="BY941" i="10"/>
  <c r="DU941" i="10" s="1"/>
  <c r="BY270" i="10"/>
  <c r="DU270" i="10" s="1"/>
  <c r="BY186" i="10"/>
  <c r="DU186" i="10" s="1"/>
  <c r="DY18" i="10"/>
  <c r="BX1012" i="10"/>
  <c r="BY1005" i="10"/>
  <c r="DU1005" i="10" s="1"/>
  <c r="BY999" i="10"/>
  <c r="DU999" i="10" s="1"/>
  <c r="BY993" i="10"/>
  <c r="DU993" i="10" s="1"/>
  <c r="BY987" i="10"/>
  <c r="DU987" i="10" s="1"/>
  <c r="BY371" i="10"/>
  <c r="DU371" i="10" s="1"/>
  <c r="BY359" i="10"/>
  <c r="DU359" i="10" s="1"/>
  <c r="BY347" i="10"/>
  <c r="DU347" i="10" s="1"/>
  <c r="BY197" i="10"/>
  <c r="DU197" i="10" s="1"/>
  <c r="BY191" i="10"/>
  <c r="DU191" i="10" s="1"/>
  <c r="BX642" i="10"/>
  <c r="BX672" i="10"/>
  <c r="BX690" i="10"/>
  <c r="BX949" i="10"/>
  <c r="BX1013" i="10"/>
  <c r="DB624" i="10"/>
  <c r="DB620" i="10"/>
  <c r="DC620" i="10" s="1"/>
  <c r="DB616" i="10"/>
  <c r="DB612" i="10"/>
  <c r="DB608" i="10"/>
  <c r="DB604" i="10"/>
  <c r="DB600" i="10"/>
  <c r="DB596" i="10"/>
  <c r="DB592" i="10"/>
  <c r="DB588" i="10"/>
  <c r="DB584" i="10"/>
  <c r="DC584" i="10" s="1"/>
  <c r="DB580" i="10"/>
  <c r="DB576" i="10"/>
  <c r="DB572" i="10"/>
  <c r="DC572" i="10" s="1"/>
  <c r="DB568" i="10"/>
  <c r="DB564" i="10"/>
  <c r="DB560" i="10"/>
  <c r="DB556" i="10"/>
  <c r="DB552" i="10"/>
  <c r="DB548" i="10"/>
  <c r="DB544" i="10"/>
  <c r="DB540" i="10"/>
  <c r="DB536" i="10"/>
  <c r="DC536" i="10" s="1"/>
  <c r="DB532" i="10"/>
  <c r="DB528" i="10"/>
  <c r="DB524" i="10"/>
  <c r="DC524" i="10" s="1"/>
  <c r="DB520" i="10"/>
  <c r="DB516" i="10"/>
  <c r="DB512" i="10"/>
  <c r="DB508" i="10"/>
  <c r="DB504" i="10"/>
  <c r="DB500" i="10"/>
  <c r="DB496" i="10"/>
  <c r="DB492" i="10"/>
  <c r="DB488" i="10"/>
  <c r="DC488" i="10" s="1"/>
  <c r="DB484" i="10"/>
  <c r="DC484" i="10" s="1"/>
  <c r="DB480" i="10"/>
  <c r="DB476" i="10"/>
  <c r="DC476" i="10" s="1"/>
  <c r="DB472" i="10"/>
  <c r="DB468" i="10"/>
  <c r="DB464" i="10"/>
  <c r="DB460" i="10"/>
  <c r="DB456" i="10"/>
  <c r="DB452" i="10"/>
  <c r="DB448" i="10"/>
  <c r="DB444" i="10"/>
  <c r="DB440" i="10"/>
  <c r="DC440" i="10" s="1"/>
  <c r="DB436" i="10"/>
  <c r="DB432" i="10"/>
  <c r="DB428" i="10"/>
  <c r="DC428" i="10" s="1"/>
  <c r="DB424" i="10"/>
  <c r="DB420" i="10"/>
  <c r="DB416" i="10"/>
  <c r="DB412" i="10"/>
  <c r="DB408" i="10"/>
  <c r="DB404" i="10"/>
  <c r="DB400" i="10"/>
  <c r="DB396" i="10"/>
  <c r="DB392" i="10"/>
  <c r="DC392" i="10" s="1"/>
  <c r="DB388" i="10"/>
  <c r="DB384" i="10"/>
  <c r="DB380" i="10"/>
  <c r="DC380" i="10" s="1"/>
  <c r="DB376" i="10"/>
  <c r="DB372" i="10"/>
  <c r="DB368" i="10"/>
  <c r="DB364" i="10"/>
  <c r="DB360" i="10"/>
  <c r="DB356" i="10"/>
  <c r="DB352" i="10"/>
  <c r="DB348" i="10"/>
  <c r="DB344" i="10"/>
  <c r="DC344" i="10" s="1"/>
  <c r="DB340" i="10"/>
  <c r="DC340" i="10" s="1"/>
  <c r="DB336" i="10"/>
  <c r="DB332" i="10"/>
  <c r="DC332" i="10" s="1"/>
  <c r="DB328" i="10"/>
  <c r="DB324" i="10"/>
  <c r="DB320" i="10"/>
  <c r="DB316" i="10"/>
  <c r="DB312" i="10"/>
  <c r="DB308" i="10"/>
  <c r="DB304" i="10"/>
  <c r="DB300" i="10"/>
  <c r="DB296" i="10"/>
  <c r="DC296" i="10" s="1"/>
  <c r="DB292" i="10"/>
  <c r="DB288" i="10"/>
  <c r="CU173" i="10"/>
  <c r="CT169" i="10"/>
  <c r="BY634" i="10"/>
  <c r="DU634" i="10" s="1"/>
  <c r="BY616" i="10"/>
  <c r="DU616" i="10" s="1"/>
  <c r="BX1014" i="10"/>
  <c r="CT190" i="10"/>
  <c r="CS187" i="10"/>
  <c r="CT28" i="10"/>
  <c r="BY843" i="10"/>
  <c r="DU843" i="10" s="1"/>
  <c r="BY819" i="10"/>
  <c r="DU819" i="10" s="1"/>
  <c r="BY795" i="10"/>
  <c r="DU795" i="10" s="1"/>
  <c r="DY51" i="10"/>
  <c r="DY39" i="10"/>
  <c r="DY33" i="10"/>
  <c r="BX198" i="10"/>
  <c r="DT198" i="10" s="1"/>
  <c r="CT179" i="10"/>
  <c r="BX889" i="10"/>
  <c r="CT82" i="10"/>
  <c r="BY919" i="10"/>
  <c r="DU919" i="10" s="1"/>
  <c r="BX907" i="10"/>
  <c r="BX1005" i="10"/>
  <c r="CD337" i="10"/>
  <c r="CH337" i="10" s="1"/>
  <c r="CL337" i="10"/>
  <c r="CD211" i="10"/>
  <c r="CH211" i="10" s="1"/>
  <c r="CL211" i="10"/>
  <c r="CL471" i="10"/>
  <c r="CD471" i="10"/>
  <c r="CH471" i="10" s="1"/>
  <c r="CD901" i="10"/>
  <c r="CH901" i="10" s="1"/>
  <c r="CL901" i="10"/>
  <c r="BI918" i="10"/>
  <c r="BK918" i="10" s="1"/>
  <c r="BM918" i="10"/>
  <c r="BV918" i="10" s="1"/>
  <c r="BZ918" i="10" s="1"/>
  <c r="BN688" i="10"/>
  <c r="BW688" i="10" s="1"/>
  <c r="BJ688" i="10"/>
  <c r="BL688" i="10" s="1"/>
  <c r="BM265" i="10"/>
  <c r="BV265" i="10" s="1"/>
  <c r="BI265" i="10"/>
  <c r="BK265" i="10" s="1"/>
  <c r="AQ265" i="10" s="1"/>
  <c r="BN256" i="10"/>
  <c r="BW256" i="10" s="1"/>
  <c r="CA256" i="10" s="1"/>
  <c r="BJ256" i="10"/>
  <c r="BL256" i="10" s="1"/>
  <c r="BE455" i="10"/>
  <c r="BT455" i="10" s="1"/>
  <c r="DY455" i="10" s="1"/>
  <c r="BA455" i="10"/>
  <c r="BC455" i="10" s="1"/>
  <c r="AN455" i="10" s="1"/>
  <c r="EC455" i="10"/>
  <c r="BE461" i="10"/>
  <c r="BT461" i="10" s="1"/>
  <c r="BA461" i="10"/>
  <c r="BC461" i="10" s="1"/>
  <c r="EC461" i="10"/>
  <c r="BE467" i="10"/>
  <c r="BT467" i="10" s="1"/>
  <c r="DY467" i="10" s="1"/>
  <c r="EC467" i="10"/>
  <c r="BE473" i="10"/>
  <c r="BT473" i="10" s="1"/>
  <c r="DY473" i="10" s="1"/>
  <c r="BA473" i="10"/>
  <c r="BC473" i="10" s="1"/>
  <c r="EC473" i="10"/>
  <c r="BE479" i="10"/>
  <c r="BT479" i="10" s="1"/>
  <c r="DY479" i="10" s="1"/>
  <c r="EC479" i="10"/>
  <c r="BA479" i="10"/>
  <c r="BC479" i="10" s="1"/>
  <c r="AW479" i="10" s="1"/>
  <c r="BE497" i="10"/>
  <c r="BT497" i="10" s="1"/>
  <c r="EC497" i="10"/>
  <c r="BE509" i="10"/>
  <c r="BT509" i="10" s="1"/>
  <c r="DY509" i="10" s="1"/>
  <c r="BA509" i="10"/>
  <c r="BC509" i="10" s="1"/>
  <c r="EC509" i="10"/>
  <c r="BE515" i="10"/>
  <c r="BT515" i="10" s="1"/>
  <c r="EC515" i="10"/>
  <c r="BA515" i="10"/>
  <c r="BC515" i="10" s="1"/>
  <c r="BE521" i="10"/>
  <c r="BT521" i="10" s="1"/>
  <c r="EC521" i="10"/>
  <c r="BE545" i="10"/>
  <c r="BT545" i="10" s="1"/>
  <c r="BA545" i="10"/>
  <c r="BC545" i="10" s="1"/>
  <c r="EC545" i="10"/>
  <c r="BE551" i="10"/>
  <c r="BT551" i="10" s="1"/>
  <c r="BA551" i="10"/>
  <c r="BC551" i="10" s="1"/>
  <c r="BE563" i="10"/>
  <c r="BT563" i="10" s="1"/>
  <c r="DY563" i="10" s="1"/>
  <c r="BA563" i="10"/>
  <c r="BC563" i="10" s="1"/>
  <c r="EC563" i="10"/>
  <c r="BE569" i="10"/>
  <c r="BT569" i="10" s="1"/>
  <c r="EC569" i="10"/>
  <c r="BA569" i="10"/>
  <c r="BC569" i="10" s="1"/>
  <c r="BE575" i="10"/>
  <c r="BT575" i="10" s="1"/>
  <c r="DY575" i="10" s="1"/>
  <c r="BA575" i="10"/>
  <c r="BC575" i="10" s="1"/>
  <c r="EC575" i="10"/>
  <c r="AX610" i="10"/>
  <c r="AU610" i="10"/>
  <c r="CI610" i="10" s="1"/>
  <c r="CI120" i="10"/>
  <c r="CI156" i="10"/>
  <c r="CI337" i="10"/>
  <c r="CF916" i="10"/>
  <c r="CL152" i="10"/>
  <c r="CB377" i="10"/>
  <c r="CF377" i="10" s="1"/>
  <c r="CA202" i="10"/>
  <c r="BN974" i="10"/>
  <c r="BW974" i="10" s="1"/>
  <c r="BJ931" i="10"/>
  <c r="BL931" i="10" s="1"/>
  <c r="BN931" i="10"/>
  <c r="BW931" i="10" s="1"/>
  <c r="CA931" i="10" s="1"/>
  <c r="BJ926" i="10"/>
  <c r="BL926" i="10" s="1"/>
  <c r="BN926" i="10"/>
  <c r="BW926" i="10" s="1"/>
  <c r="CA926" i="10" s="1"/>
  <c r="BI919" i="10"/>
  <c r="BK919" i="10" s="1"/>
  <c r="AQ919" i="10" s="1"/>
  <c r="BM919" i="10"/>
  <c r="BV919" i="10" s="1"/>
  <c r="BZ919" i="10" s="1"/>
  <c r="BJ742" i="10"/>
  <c r="BL742" i="10" s="1"/>
  <c r="BN742" i="10"/>
  <c r="BW742" i="10" s="1"/>
  <c r="CA742" i="10" s="1"/>
  <c r="BI730" i="10"/>
  <c r="BK730" i="10" s="1"/>
  <c r="AQ730" i="10" s="1"/>
  <c r="BM730" i="10"/>
  <c r="BV730" i="10" s="1"/>
  <c r="BJ717" i="10"/>
  <c r="BL717" i="10" s="1"/>
  <c r="BN717" i="10"/>
  <c r="BW717" i="10" s="1"/>
  <c r="CA717" i="10" s="1"/>
  <c r="BJ535" i="10"/>
  <c r="BL535" i="10" s="1"/>
  <c r="BN535" i="10"/>
  <c r="BW535" i="10" s="1"/>
  <c r="BI530" i="10"/>
  <c r="BK530" i="10" s="1"/>
  <c r="BM530" i="10"/>
  <c r="BV530" i="10" s="1"/>
  <c r="BI401" i="10"/>
  <c r="BK401" i="10" s="1"/>
  <c r="BM401" i="10"/>
  <c r="BV401" i="10" s="1"/>
  <c r="BZ401" i="10" s="1"/>
  <c r="BI395" i="10"/>
  <c r="BK395" i="10" s="1"/>
  <c r="BM395" i="10"/>
  <c r="BV395" i="10" s="1"/>
  <c r="BZ395" i="10" s="1"/>
  <c r="BJ390" i="10"/>
  <c r="BL390" i="10" s="1"/>
  <c r="AQ390" i="10" s="1"/>
  <c r="BN390" i="10"/>
  <c r="BW390" i="10" s="1"/>
  <c r="CA390" i="10" s="1"/>
  <c r="BN271" i="10"/>
  <c r="BW271" i="10" s="1"/>
  <c r="BJ271" i="10"/>
  <c r="BL271" i="10" s="1"/>
  <c r="BE301" i="10"/>
  <c r="BT301" i="10" s="1"/>
  <c r="DY301" i="10" s="1"/>
  <c r="EC301" i="10"/>
  <c r="BA301" i="10"/>
  <c r="BC301" i="10" s="1"/>
  <c r="AN301" i="10" s="1"/>
  <c r="AX419" i="10"/>
  <c r="AU419" i="10"/>
  <c r="AX425" i="10"/>
  <c r="AU425" i="10"/>
  <c r="CI425" i="10" s="1"/>
  <c r="AX431" i="10"/>
  <c r="AU431" i="10"/>
  <c r="CI431" i="10" s="1"/>
  <c r="AX437" i="10"/>
  <c r="AU437" i="10"/>
  <c r="CI437" i="10" s="1"/>
  <c r="AX443" i="10"/>
  <c r="AU443" i="10"/>
  <c r="CL124" i="10"/>
  <c r="CD639" i="10"/>
  <c r="CH639" i="10" s="1"/>
  <c r="CA156" i="10"/>
  <c r="AW960" i="10"/>
  <c r="BA521" i="10"/>
  <c r="BC521" i="10" s="1"/>
  <c r="BJ980" i="10"/>
  <c r="BL980" i="10" s="1"/>
  <c r="BI926" i="10"/>
  <c r="BK926" i="10" s="1"/>
  <c r="AQ926" i="10" s="1"/>
  <c r="BM926" i="10"/>
  <c r="BV926" i="10" s="1"/>
  <c r="BZ926" i="10" s="1"/>
  <c r="BN871" i="10"/>
  <c r="BW871" i="10" s="1"/>
  <c r="BJ871" i="10"/>
  <c r="BL871" i="10" s="1"/>
  <c r="BI754" i="10"/>
  <c r="BK754" i="10" s="1"/>
  <c r="BM754" i="10"/>
  <c r="BV754" i="10" s="1"/>
  <c r="BZ754" i="10" s="1"/>
  <c r="BI737" i="10"/>
  <c r="BK737" i="10" s="1"/>
  <c r="AQ737" i="10" s="1"/>
  <c r="BM737" i="10"/>
  <c r="BV737" i="10" s="1"/>
  <c r="BZ737" i="10" s="1"/>
  <c r="BM731" i="10"/>
  <c r="BV731" i="10" s="1"/>
  <c r="BI731" i="10"/>
  <c r="BK731" i="10" s="1"/>
  <c r="BI711" i="10"/>
  <c r="BK711" i="10" s="1"/>
  <c r="BM711" i="10"/>
  <c r="BV711" i="10" s="1"/>
  <c r="BI535" i="10"/>
  <c r="BK535" i="10" s="1"/>
  <c r="BM535" i="10"/>
  <c r="BV535" i="10" s="1"/>
  <c r="BJ431" i="10"/>
  <c r="BL431" i="10" s="1"/>
  <c r="BN431" i="10"/>
  <c r="BW431" i="10" s="1"/>
  <c r="BN396" i="10"/>
  <c r="BW396" i="10" s="1"/>
  <c r="BJ396" i="10"/>
  <c r="BL396" i="10" s="1"/>
  <c r="BN301" i="10"/>
  <c r="BW301" i="10" s="1"/>
  <c r="BJ301" i="10"/>
  <c r="BL301" i="10" s="1"/>
  <c r="BJ291" i="10"/>
  <c r="BL291" i="10" s="1"/>
  <c r="AQ291" i="10" s="1"/>
  <c r="BN291" i="10"/>
  <c r="BW291" i="10" s="1"/>
  <c r="CA291" i="10" s="1"/>
  <c r="AX289" i="10"/>
  <c r="AU289" i="10"/>
  <c r="BE414" i="10"/>
  <c r="BT414" i="10" s="1"/>
  <c r="DY414" i="10" s="1"/>
  <c r="BA414" i="10"/>
  <c r="BC414" i="10" s="1"/>
  <c r="EC414" i="10"/>
  <c r="BM925" i="10"/>
  <c r="BV925" i="10" s="1"/>
  <c r="BZ925" i="10" s="1"/>
  <c r="BI925" i="10"/>
  <c r="BK925" i="10" s="1"/>
  <c r="BJ706" i="10"/>
  <c r="BL706" i="10" s="1"/>
  <c r="BN706" i="10"/>
  <c r="BW706" i="10" s="1"/>
  <c r="CA706" i="10" s="1"/>
  <c r="BN378" i="10"/>
  <c r="BW378" i="10" s="1"/>
  <c r="BJ378" i="10"/>
  <c r="BL378" i="10" s="1"/>
  <c r="BJ285" i="10"/>
  <c r="BL285" i="10" s="1"/>
  <c r="AQ285" i="10" s="1"/>
  <c r="BN285" i="10"/>
  <c r="BW285" i="10" s="1"/>
  <c r="BJ280" i="10"/>
  <c r="BL280" i="10" s="1"/>
  <c r="BN280" i="10"/>
  <c r="BW280" i="10" s="1"/>
  <c r="BI270" i="10"/>
  <c r="BK270" i="10" s="1"/>
  <c r="BM270" i="10"/>
  <c r="BV270" i="10" s="1"/>
  <c r="BZ270" i="10" s="1"/>
  <c r="AX306" i="10"/>
  <c r="AU306" i="10"/>
  <c r="CI306" i="10" s="1"/>
  <c r="AX586" i="10"/>
  <c r="AU586" i="10"/>
  <c r="AX592" i="10"/>
  <c r="AU592" i="10"/>
  <c r="CI592" i="10" s="1"/>
  <c r="CG306" i="10"/>
  <c r="CL83" i="10"/>
  <c r="CD176" i="10"/>
  <c r="CH176" i="10" s="1"/>
  <c r="CL857" i="10"/>
  <c r="CB952" i="10"/>
  <c r="CF952" i="10" s="1"/>
  <c r="CA206" i="10"/>
  <c r="BM275" i="10"/>
  <c r="BV275" i="10" s="1"/>
  <c r="AQ275" i="10"/>
  <c r="BN991" i="10"/>
  <c r="BW991" i="10" s="1"/>
  <c r="BJ991" i="10"/>
  <c r="BL991" i="10" s="1"/>
  <c r="AQ991" i="10" s="1"/>
  <c r="BM990" i="10"/>
  <c r="BV990" i="10" s="1"/>
  <c r="BI990" i="10"/>
  <c r="BK990" i="10" s="1"/>
  <c r="BM938" i="10"/>
  <c r="BV938" i="10" s="1"/>
  <c r="BZ938" i="10" s="1"/>
  <c r="BI938" i="10"/>
  <c r="BK938" i="10" s="1"/>
  <c r="BM572" i="10"/>
  <c r="BV572" i="10" s="1"/>
  <c r="BI572" i="10"/>
  <c r="BK572" i="10" s="1"/>
  <c r="BI567" i="10"/>
  <c r="BK567" i="10" s="1"/>
  <c r="BM567" i="10"/>
  <c r="BV567" i="10" s="1"/>
  <c r="BZ567" i="10" s="1"/>
  <c r="BM556" i="10"/>
  <c r="BV556" i="10" s="1"/>
  <c r="BI556" i="10"/>
  <c r="BK556" i="10" s="1"/>
  <c r="BJ421" i="10"/>
  <c r="BL421" i="10" s="1"/>
  <c r="BN421" i="10"/>
  <c r="BW421" i="10" s="1"/>
  <c r="CA421" i="10" s="1"/>
  <c r="BJ407" i="10"/>
  <c r="BL407" i="10" s="1"/>
  <c r="AQ407" i="10" s="1"/>
  <c r="BN407" i="10"/>
  <c r="BW407" i="10" s="1"/>
  <c r="BM301" i="10"/>
  <c r="BV301" i="10" s="1"/>
  <c r="BI301" i="10"/>
  <c r="BK301" i="10" s="1"/>
  <c r="CB936" i="10"/>
  <c r="CF936" i="10" s="1"/>
  <c r="AW353" i="10"/>
  <c r="EC551" i="10"/>
  <c r="BJ775" i="10"/>
  <c r="BL775" i="10" s="1"/>
  <c r="BN775" i="10"/>
  <c r="BW775" i="10" s="1"/>
  <c r="BJ592" i="10"/>
  <c r="BL592" i="10" s="1"/>
  <c r="BN592" i="10"/>
  <c r="BW592" i="10" s="1"/>
  <c r="BI579" i="10"/>
  <c r="BK579" i="10" s="1"/>
  <c r="AQ579" i="10" s="1"/>
  <c r="BM579" i="10"/>
  <c r="BV579" i="10" s="1"/>
  <c r="BZ574" i="10"/>
  <c r="AY574" i="10"/>
  <c r="BJ562" i="10"/>
  <c r="BL562" i="10" s="1"/>
  <c r="BN562" i="10"/>
  <c r="BW562" i="10" s="1"/>
  <c r="CA562" i="10" s="1"/>
  <c r="BE143" i="10"/>
  <c r="BT143" i="10" s="1"/>
  <c r="DY143" i="10" s="1"/>
  <c r="EC143" i="10"/>
  <c r="BE255" i="10"/>
  <c r="BT255" i="10" s="1"/>
  <c r="EC255" i="10"/>
  <c r="AX260" i="10"/>
  <c r="AU260" i="10"/>
  <c r="CI260" i="10" s="1"/>
  <c r="AX266" i="10"/>
  <c r="AU266" i="10"/>
  <c r="AX761" i="10"/>
  <c r="AU761" i="10"/>
  <c r="AX767" i="10"/>
  <c r="AU767" i="10"/>
  <c r="AX773" i="10"/>
  <c r="AU773" i="10"/>
  <c r="CI773" i="10" s="1"/>
  <c r="AX779" i="10"/>
  <c r="AU779" i="10"/>
  <c r="AX785" i="10"/>
  <c r="AU785" i="10"/>
  <c r="AX791" i="10"/>
  <c r="AU791" i="10"/>
  <c r="BZ791" i="10" s="1"/>
  <c r="AX803" i="10"/>
  <c r="AU803" i="10"/>
  <c r="AX809" i="10"/>
  <c r="AU809" i="10"/>
  <c r="AX815" i="10"/>
  <c r="AU815" i="10"/>
  <c r="CI815" i="10" s="1"/>
  <c r="AX821" i="10"/>
  <c r="AU821" i="10"/>
  <c r="CI821" i="10" s="1"/>
  <c r="AX827" i="10"/>
  <c r="AU827" i="10"/>
  <c r="AX833" i="10"/>
  <c r="AU833" i="10"/>
  <c r="AX839" i="10"/>
  <c r="AU839" i="10"/>
  <c r="BZ839" i="10" s="1"/>
  <c r="BM909" i="10"/>
  <c r="BV909" i="10" s="1"/>
  <c r="BZ909" i="10" s="1"/>
  <c r="BI909" i="10"/>
  <c r="BK909" i="10" s="1"/>
  <c r="CI157" i="10"/>
  <c r="CD169" i="10"/>
  <c r="CH169" i="10" s="1"/>
  <c r="CD933" i="10"/>
  <c r="CH933" i="10" s="1"/>
  <c r="CB913" i="10"/>
  <c r="CB895" i="10"/>
  <c r="CB598" i="10"/>
  <c r="CF598" i="10" s="1"/>
  <c r="CA211" i="10"/>
  <c r="BN165" i="10"/>
  <c r="BW165" i="10" s="1"/>
  <c r="CA165" i="10" s="1"/>
  <c r="EC200" i="10"/>
  <c r="BN919" i="10"/>
  <c r="BW919" i="10" s="1"/>
  <c r="CA919" i="10" s="1"/>
  <c r="CA693" i="10"/>
  <c r="BJ940" i="10"/>
  <c r="BL940" i="10" s="1"/>
  <c r="BN940" i="10"/>
  <c r="BW940" i="10" s="1"/>
  <c r="CA940" i="10" s="1"/>
  <c r="BI799" i="10"/>
  <c r="BK799" i="10" s="1"/>
  <c r="BM799" i="10"/>
  <c r="BV799" i="10" s="1"/>
  <c r="BZ799" i="10" s="1"/>
  <c r="BJ454" i="10"/>
  <c r="BL454" i="10" s="1"/>
  <c r="BN454" i="10"/>
  <c r="BW454" i="10" s="1"/>
  <c r="CA454" i="10" s="1"/>
  <c r="BJ449" i="10"/>
  <c r="BL449" i="10" s="1"/>
  <c r="BN449" i="10"/>
  <c r="BW449" i="10" s="1"/>
  <c r="BJ319" i="10"/>
  <c r="BL319" i="10" s="1"/>
  <c r="BN319" i="10"/>
  <c r="BW319" i="10" s="1"/>
  <c r="BJ314" i="10"/>
  <c r="BL314" i="10" s="1"/>
  <c r="BN314" i="10"/>
  <c r="BW314" i="10" s="1"/>
  <c r="CA314" i="10" s="1"/>
  <c r="AX249" i="10"/>
  <c r="AU249" i="10"/>
  <c r="CI249" i="10" s="1"/>
  <c r="AX255" i="10"/>
  <c r="AU255" i="10"/>
  <c r="BE261" i="10"/>
  <c r="BT261" i="10" s="1"/>
  <c r="EC261" i="10"/>
  <c r="BE267" i="10"/>
  <c r="BT267" i="10" s="1"/>
  <c r="EC267" i="10"/>
  <c r="BE273" i="10"/>
  <c r="BT273" i="10" s="1"/>
  <c r="BA273" i="10"/>
  <c r="BC273" i="10" s="1"/>
  <c r="EC273" i="10"/>
  <c r="BE279" i="10"/>
  <c r="BT279" i="10" s="1"/>
  <c r="BA279" i="10"/>
  <c r="BC279" i="10" s="1"/>
  <c r="AX403" i="10"/>
  <c r="AU403" i="10"/>
  <c r="CI403" i="10" s="1"/>
  <c r="AX738" i="10"/>
  <c r="AU738" i="10"/>
  <c r="CA738" i="10" s="1"/>
  <c r="CI152" i="10"/>
  <c r="CG610" i="10"/>
  <c r="CL139" i="10"/>
  <c r="CD120" i="10"/>
  <c r="CH120" i="10" s="1"/>
  <c r="CD156" i="10"/>
  <c r="CH156" i="10" s="1"/>
  <c r="CL906" i="10"/>
  <c r="CB604" i="10"/>
  <c r="CF604" i="10" s="1"/>
  <c r="CB907" i="10"/>
  <c r="EC188" i="10"/>
  <c r="BI177" i="10"/>
  <c r="BK177" i="10" s="1"/>
  <c r="AN1005" i="10"/>
  <c r="BJ805" i="10"/>
  <c r="BL805" i="10" s="1"/>
  <c r="BN805" i="10"/>
  <c r="BW805" i="10" s="1"/>
  <c r="AU604" i="10"/>
  <c r="CI604" i="10" s="1"/>
  <c r="BN603" i="10"/>
  <c r="BW603" i="10" s="1"/>
  <c r="CA603" i="10" s="1"/>
  <c r="BJ603" i="10"/>
  <c r="BL603" i="10" s="1"/>
  <c r="BJ326" i="10"/>
  <c r="BL326" i="10" s="1"/>
  <c r="BN326" i="10"/>
  <c r="BW326" i="10" s="1"/>
  <c r="CA326" i="10" s="1"/>
  <c r="BE250" i="10"/>
  <c r="BT250" i="10" s="1"/>
  <c r="EC250" i="10"/>
  <c r="BE392" i="10"/>
  <c r="BT392" i="10" s="1"/>
  <c r="EC392" i="10"/>
  <c r="BA392" i="10"/>
  <c r="BC392" i="10" s="1"/>
  <c r="BE398" i="10"/>
  <c r="BT398" i="10" s="1"/>
  <c r="BA398" i="10"/>
  <c r="BC398" i="10" s="1"/>
  <c r="EC398" i="10"/>
  <c r="BE727" i="10"/>
  <c r="BT727" i="10" s="1"/>
  <c r="DY727" i="10" s="1"/>
  <c r="EC727" i="10"/>
  <c r="BA727" i="10"/>
  <c r="BC727" i="10" s="1"/>
  <c r="CD1007" i="10"/>
  <c r="CH1007" i="10" s="1"/>
  <c r="CI139" i="10"/>
  <c r="CI169" i="10"/>
  <c r="CG586" i="10"/>
  <c r="CL695" i="10"/>
  <c r="CL770" i="10"/>
  <c r="AY125" i="10"/>
  <c r="BJ198" i="10"/>
  <c r="BL198" i="10" s="1"/>
  <c r="BZ927" i="10"/>
  <c r="AY927" i="10"/>
  <c r="BJ948" i="10"/>
  <c r="BL948" i="10" s="1"/>
  <c r="BN948" i="10"/>
  <c r="BW948" i="10" s="1"/>
  <c r="BN898" i="10"/>
  <c r="BW898" i="10" s="1"/>
  <c r="CA898" i="10" s="1"/>
  <c r="BJ898" i="10"/>
  <c r="BL898" i="10" s="1"/>
  <c r="BI816" i="10"/>
  <c r="BK816" i="10" s="1"/>
  <c r="BM816" i="10"/>
  <c r="BV816" i="10" s="1"/>
  <c r="BN811" i="10"/>
  <c r="BW811" i="10" s="1"/>
  <c r="CA811" i="10" s="1"/>
  <c r="BJ811" i="10"/>
  <c r="BL811" i="10" s="1"/>
  <c r="BJ637" i="10"/>
  <c r="BL637" i="10" s="1"/>
  <c r="AQ637" i="10" s="1"/>
  <c r="BN637" i="10"/>
  <c r="BW637" i="10" s="1"/>
  <c r="CA637" i="10" s="1"/>
  <c r="BJ615" i="10"/>
  <c r="BL615" i="10" s="1"/>
  <c r="BN615" i="10"/>
  <c r="BW615" i="10" s="1"/>
  <c r="CA615" i="10" s="1"/>
  <c r="BN461" i="10"/>
  <c r="BW461" i="10" s="1"/>
  <c r="BJ461" i="10"/>
  <c r="BL461" i="10" s="1"/>
  <c r="BI325" i="10"/>
  <c r="BK325" i="10" s="1"/>
  <c r="BM325" i="10"/>
  <c r="BV325" i="10" s="1"/>
  <c r="BF926" i="10"/>
  <c r="BU926" i="10" s="1"/>
  <c r="BF915" i="10"/>
  <c r="BU915" i="10" s="1"/>
  <c r="BB915" i="10"/>
  <c r="BD915" i="10" s="1"/>
  <c r="BF909" i="10"/>
  <c r="BU909" i="10" s="1"/>
  <c r="BE239" i="10"/>
  <c r="BT239" i="10" s="1"/>
  <c r="DY239" i="10" s="1"/>
  <c r="EC239" i="10"/>
  <c r="BA239" i="10"/>
  <c r="BC239" i="10" s="1"/>
  <c r="BE381" i="10"/>
  <c r="BT381" i="10" s="1"/>
  <c r="BA381" i="10"/>
  <c r="BC381" i="10" s="1"/>
  <c r="EC381" i="10"/>
  <c r="AX697" i="10"/>
  <c r="AU697" i="10"/>
  <c r="AX703" i="10"/>
  <c r="AU703" i="10"/>
  <c r="AX709" i="10"/>
  <c r="AU709" i="10"/>
  <c r="AX715" i="10"/>
  <c r="AU715" i="10"/>
  <c r="CG592" i="10"/>
  <c r="BA497" i="10"/>
  <c r="BC497" i="10" s="1"/>
  <c r="AW497" i="10" s="1"/>
  <c r="BI1014" i="10"/>
  <c r="BK1014" i="10" s="1"/>
  <c r="BM1014" i="10"/>
  <c r="BV1014" i="10" s="1"/>
  <c r="BZ1014" i="10" s="1"/>
  <c r="BN962" i="10"/>
  <c r="BW962" i="10" s="1"/>
  <c r="CA962" i="10" s="1"/>
  <c r="BJ962" i="10"/>
  <c r="BL962" i="10" s="1"/>
  <c r="BN642" i="10"/>
  <c r="BW642" i="10" s="1"/>
  <c r="CA642" i="10" s="1"/>
  <c r="BJ642" i="10"/>
  <c r="BL642" i="10" s="1"/>
  <c r="BM487" i="10"/>
  <c r="BV487" i="10" s="1"/>
  <c r="BZ487" i="10" s="1"/>
  <c r="BI487" i="10"/>
  <c r="BK487" i="10" s="1"/>
  <c r="BJ483" i="10"/>
  <c r="BL483" i="10" s="1"/>
  <c r="BN483" i="10"/>
  <c r="BW483" i="10" s="1"/>
  <c r="CA483" i="10" s="1"/>
  <c r="BJ338" i="10"/>
  <c r="BL338" i="10" s="1"/>
  <c r="BN338" i="10"/>
  <c r="BW338" i="10" s="1"/>
  <c r="CA338" i="10" s="1"/>
  <c r="BJ327" i="10"/>
  <c r="BL327" i="10" s="1"/>
  <c r="BN327" i="10"/>
  <c r="BW327" i="10" s="1"/>
  <c r="CA327" i="10" s="1"/>
  <c r="BF943" i="10"/>
  <c r="BU943" i="10" s="1"/>
  <c r="DY943" i="10" s="1"/>
  <c r="BB943" i="10"/>
  <c r="BD943" i="10" s="1"/>
  <c r="BF920" i="10"/>
  <c r="BU920" i="10" s="1"/>
  <c r="BB920" i="10"/>
  <c r="BD920" i="10" s="1"/>
  <c r="AN920" i="10" s="1"/>
  <c r="BF903" i="10"/>
  <c r="BU903" i="10" s="1"/>
  <c r="BB903" i="10"/>
  <c r="BD903" i="10" s="1"/>
  <c r="BF897" i="10"/>
  <c r="BU897" i="10" s="1"/>
  <c r="BB897" i="10"/>
  <c r="BD897" i="10" s="1"/>
  <c r="AW897" i="10" s="1"/>
  <c r="BF891" i="10"/>
  <c r="BU891" i="10" s="1"/>
  <c r="BB891" i="10"/>
  <c r="BD891" i="10" s="1"/>
  <c r="AW891" i="10" s="1"/>
  <c r="BF885" i="10"/>
  <c r="BU885" i="10" s="1"/>
  <c r="BB885" i="10"/>
  <c r="BD885" i="10" s="1"/>
  <c r="BF879" i="10"/>
  <c r="BU879" i="10" s="1"/>
  <c r="BB879" i="10"/>
  <c r="BD879" i="10" s="1"/>
  <c r="BF873" i="10"/>
  <c r="BU873" i="10" s="1"/>
  <c r="BB873" i="10"/>
  <c r="BD873" i="10" s="1"/>
  <c r="AW873" i="10" s="1"/>
  <c r="BF867" i="10"/>
  <c r="BU867" i="10" s="1"/>
  <c r="BY867" i="10" s="1"/>
  <c r="DU867" i="10" s="1"/>
  <c r="BB867" i="10"/>
  <c r="BD867" i="10" s="1"/>
  <c r="BF849" i="10"/>
  <c r="BU849" i="10" s="1"/>
  <c r="BB849" i="10"/>
  <c r="BD849" i="10" s="1"/>
  <c r="BF831" i="10"/>
  <c r="BU831" i="10" s="1"/>
  <c r="BY831" i="10" s="1"/>
  <c r="DU831" i="10" s="1"/>
  <c r="BB831" i="10"/>
  <c r="BD831" i="10" s="1"/>
  <c r="BF813" i="10"/>
  <c r="BU813" i="10" s="1"/>
  <c r="BB813" i="10"/>
  <c r="BD813" i="10" s="1"/>
  <c r="BF807" i="10"/>
  <c r="BU807" i="10" s="1"/>
  <c r="BB807" i="10"/>
  <c r="BD807" i="10" s="1"/>
  <c r="BF783" i="10"/>
  <c r="BU783" i="10" s="1"/>
  <c r="BB783" i="10"/>
  <c r="BD783" i="10" s="1"/>
  <c r="BF777" i="10"/>
  <c r="BU777" i="10" s="1"/>
  <c r="BB777" i="10"/>
  <c r="BD777" i="10" s="1"/>
  <c r="AW777" i="10" s="1"/>
  <c r="BF771" i="10"/>
  <c r="BU771" i="10" s="1"/>
  <c r="BB771" i="10"/>
  <c r="BD771" i="10" s="1"/>
  <c r="BF765" i="10"/>
  <c r="BU765" i="10" s="1"/>
  <c r="BB765" i="10"/>
  <c r="BD765" i="10" s="1"/>
  <c r="AW765" i="10" s="1"/>
  <c r="BF759" i="10"/>
  <c r="BU759" i="10" s="1"/>
  <c r="BY759" i="10" s="1"/>
  <c r="DU759" i="10" s="1"/>
  <c r="BB759" i="10"/>
  <c r="BD759" i="10" s="1"/>
  <c r="BF747" i="10"/>
  <c r="BU747" i="10" s="1"/>
  <c r="BB747" i="10"/>
  <c r="BD747" i="10" s="1"/>
  <c r="BF741" i="10"/>
  <c r="BU741" i="10" s="1"/>
  <c r="BB741" i="10"/>
  <c r="BD741" i="10" s="1"/>
  <c r="BF729" i="10"/>
  <c r="BU729" i="10" s="1"/>
  <c r="BY729" i="10" s="1"/>
  <c r="DU729" i="10" s="1"/>
  <c r="BB729" i="10"/>
  <c r="BD729" i="10" s="1"/>
  <c r="BF723" i="10"/>
  <c r="BU723" i="10" s="1"/>
  <c r="BY723" i="10" s="1"/>
  <c r="DU723" i="10" s="1"/>
  <c r="BB723" i="10"/>
  <c r="BD723" i="10" s="1"/>
  <c r="BF717" i="10"/>
  <c r="BU717" i="10" s="1"/>
  <c r="BB717" i="10"/>
  <c r="BD717" i="10" s="1"/>
  <c r="AN717" i="10" s="1"/>
  <c r="BF711" i="10"/>
  <c r="BU711" i="10" s="1"/>
  <c r="BY711" i="10" s="1"/>
  <c r="DU711" i="10" s="1"/>
  <c r="BB711" i="10"/>
  <c r="BD711" i="10" s="1"/>
  <c r="BF693" i="10"/>
  <c r="BU693" i="10" s="1"/>
  <c r="DY693" i="10" s="1"/>
  <c r="BB693" i="10"/>
  <c r="BD693" i="10" s="1"/>
  <c r="BF687" i="10"/>
  <c r="BU687" i="10" s="1"/>
  <c r="BB687" i="10"/>
  <c r="BD687" i="10" s="1"/>
  <c r="AW687" i="10" s="1"/>
  <c r="BF675" i="10"/>
  <c r="BU675" i="10" s="1"/>
  <c r="BY675" i="10" s="1"/>
  <c r="DU675" i="10" s="1"/>
  <c r="BB675" i="10"/>
  <c r="BD675" i="10" s="1"/>
  <c r="AN675" i="10" s="1"/>
  <c r="BF669" i="10"/>
  <c r="BU669" i="10" s="1"/>
  <c r="BY669" i="10" s="1"/>
  <c r="DU669" i="10" s="1"/>
  <c r="BB669" i="10"/>
  <c r="BD669" i="10" s="1"/>
  <c r="BF663" i="10"/>
  <c r="BU663" i="10" s="1"/>
  <c r="BB663" i="10"/>
  <c r="BD663" i="10" s="1"/>
  <c r="AW663" i="10" s="1"/>
  <c r="BF645" i="10"/>
  <c r="BU645" i="10" s="1"/>
  <c r="DY645" i="10" s="1"/>
  <c r="BB645" i="10"/>
  <c r="BD645" i="10" s="1"/>
  <c r="BF621" i="10"/>
  <c r="BU621" i="10" s="1"/>
  <c r="BY621" i="10" s="1"/>
  <c r="DU621" i="10" s="1"/>
  <c r="BB621" i="10"/>
  <c r="BD621" i="10" s="1"/>
  <c r="BF615" i="10"/>
  <c r="BU615" i="10" s="1"/>
  <c r="BY615" i="10" s="1"/>
  <c r="DU615" i="10" s="1"/>
  <c r="BB615" i="10"/>
  <c r="BD615" i="10" s="1"/>
  <c r="BF603" i="10"/>
  <c r="BU603" i="10" s="1"/>
  <c r="BY603" i="10" s="1"/>
  <c r="DU603" i="10" s="1"/>
  <c r="BB603" i="10"/>
  <c r="BD603" i="10" s="1"/>
  <c r="BF585" i="10"/>
  <c r="BU585" i="10" s="1"/>
  <c r="BB585" i="10"/>
  <c r="BD585" i="10" s="1"/>
  <c r="BF579" i="10"/>
  <c r="BU579" i="10" s="1"/>
  <c r="BY579" i="10" s="1"/>
  <c r="DU579" i="10" s="1"/>
  <c r="BB579" i="10"/>
  <c r="BD579" i="10" s="1"/>
  <c r="AN579" i="10" s="1"/>
  <c r="BF573" i="10"/>
  <c r="BU573" i="10" s="1"/>
  <c r="BY573" i="10" s="1"/>
  <c r="DU573" i="10" s="1"/>
  <c r="BB573" i="10"/>
  <c r="BD573" i="10" s="1"/>
  <c r="BF561" i="10"/>
  <c r="BU561" i="10" s="1"/>
  <c r="BB561" i="10"/>
  <c r="BD561" i="10" s="1"/>
  <c r="BF555" i="10"/>
  <c r="BU555" i="10" s="1"/>
  <c r="BY555" i="10" s="1"/>
  <c r="DU555" i="10" s="1"/>
  <c r="BB555" i="10"/>
  <c r="BD555" i="10" s="1"/>
  <c r="BF543" i="10"/>
  <c r="BU543" i="10" s="1"/>
  <c r="BB543" i="10"/>
  <c r="BD543" i="10" s="1"/>
  <c r="BF537" i="10"/>
  <c r="BU537" i="10" s="1"/>
  <c r="DY537" i="10" s="1"/>
  <c r="BB537" i="10"/>
  <c r="BD537" i="10" s="1"/>
  <c r="BF423" i="10"/>
  <c r="BU423" i="10" s="1"/>
  <c r="BB423" i="10"/>
  <c r="BD423" i="10" s="1"/>
  <c r="AN423" i="10" s="1"/>
  <c r="BF375" i="10"/>
  <c r="BU375" i="10" s="1"/>
  <c r="BB375" i="10"/>
  <c r="BD375" i="10" s="1"/>
  <c r="BF303" i="10"/>
  <c r="BU303" i="10" s="1"/>
  <c r="BY303" i="10" s="1"/>
  <c r="DU303" i="10" s="1"/>
  <c r="BB303" i="10"/>
  <c r="BD303" i="10" s="1"/>
  <c r="BF297" i="10"/>
  <c r="BU297" i="10" s="1"/>
  <c r="BY297" i="10" s="1"/>
  <c r="DU297" i="10" s="1"/>
  <c r="BB297" i="10"/>
  <c r="BD297" i="10" s="1"/>
  <c r="BF201" i="10"/>
  <c r="BU201" i="10" s="1"/>
  <c r="BB201" i="10"/>
  <c r="BD201" i="10" s="1"/>
  <c r="AX227" i="10"/>
  <c r="AU227" i="10"/>
  <c r="CI227" i="10" s="1"/>
  <c r="AX233" i="10"/>
  <c r="AY233" i="10"/>
  <c r="AX239" i="10"/>
  <c r="AU239" i="10"/>
  <c r="AX369" i="10"/>
  <c r="AU369" i="10"/>
  <c r="AX375" i="10"/>
  <c r="AU375" i="10"/>
  <c r="CI375" i="10" s="1"/>
  <c r="BE686" i="10"/>
  <c r="BT686" i="10" s="1"/>
  <c r="EC686" i="10"/>
  <c r="BA686" i="10"/>
  <c r="BC686" i="10" s="1"/>
  <c r="CB885" i="10"/>
  <c r="CF885" i="10" s="1"/>
  <c r="CI857" i="10"/>
  <c r="CI211" i="10"/>
  <c r="CG604" i="10"/>
  <c r="BA200" i="10"/>
  <c r="BC200" i="10" s="1"/>
  <c r="BN524" i="10"/>
  <c r="BW524" i="10" s="1"/>
  <c r="CA524" i="10" s="1"/>
  <c r="CA586" i="10"/>
  <c r="AU598" i="10"/>
  <c r="CA598" i="10" s="1"/>
  <c r="BJ963" i="10"/>
  <c r="BL963" i="10" s="1"/>
  <c r="BN963" i="10"/>
  <c r="BW963" i="10" s="1"/>
  <c r="CA963" i="10" s="1"/>
  <c r="BI962" i="10"/>
  <c r="BK962" i="10" s="1"/>
  <c r="BM962" i="10"/>
  <c r="BV962" i="10" s="1"/>
  <c r="BJ908" i="10"/>
  <c r="BL908" i="10" s="1"/>
  <c r="BN908" i="10"/>
  <c r="BW908" i="10" s="1"/>
  <c r="CA908" i="10" s="1"/>
  <c r="BM907" i="10"/>
  <c r="BV907" i="10" s="1"/>
  <c r="BZ907" i="10" s="1"/>
  <c r="BI907" i="10"/>
  <c r="BK907" i="10" s="1"/>
  <c r="AQ907" i="10" s="1"/>
  <c r="BI823" i="10"/>
  <c r="BK823" i="10" s="1"/>
  <c r="BM823" i="10"/>
  <c r="BV823" i="10" s="1"/>
  <c r="BZ823" i="10" s="1"/>
  <c r="AY676" i="10"/>
  <c r="CA676" i="10"/>
  <c r="CA670" i="10"/>
  <c r="AY670" i="10"/>
  <c r="BM664" i="10"/>
  <c r="BV664" i="10" s="1"/>
  <c r="BZ664" i="10" s="1"/>
  <c r="BI664" i="10"/>
  <c r="BK664" i="10" s="1"/>
  <c r="BI647" i="10"/>
  <c r="BK647" i="10" s="1"/>
  <c r="BM647" i="10"/>
  <c r="BV647" i="10" s="1"/>
  <c r="BZ647" i="10" s="1"/>
  <c r="BI642" i="10"/>
  <c r="BK642" i="10" s="1"/>
  <c r="AQ642" i="10" s="1"/>
  <c r="BM642" i="10"/>
  <c r="BV642" i="10" s="1"/>
  <c r="BN497" i="10"/>
  <c r="BW497" i="10" s="1"/>
  <c r="BJ497" i="10"/>
  <c r="BL497" i="10" s="1"/>
  <c r="BM492" i="10"/>
  <c r="BV492" i="10" s="1"/>
  <c r="BZ492" i="10" s="1"/>
  <c r="BI492" i="10"/>
  <c r="BK492" i="10" s="1"/>
  <c r="AQ492" i="10" s="1"/>
  <c r="BJ488" i="10"/>
  <c r="BL488" i="10" s="1"/>
  <c r="AQ488" i="10" s="1"/>
  <c r="BN488" i="10"/>
  <c r="BW488" i="10" s="1"/>
  <c r="CA488" i="10" s="1"/>
  <c r="BI483" i="10"/>
  <c r="BK483" i="10" s="1"/>
  <c r="BM483" i="10"/>
  <c r="BV483" i="10" s="1"/>
  <c r="BZ483" i="10" s="1"/>
  <c r="BI474" i="10"/>
  <c r="BK474" i="10" s="1"/>
  <c r="BM474" i="10"/>
  <c r="BV474" i="10" s="1"/>
  <c r="BN469" i="10"/>
  <c r="BW469" i="10" s="1"/>
  <c r="CA469" i="10" s="1"/>
  <c r="BJ469" i="10"/>
  <c r="BL469" i="10" s="1"/>
  <c r="BM367" i="10"/>
  <c r="BV367" i="10" s="1"/>
  <c r="BZ367" i="10" s="1"/>
  <c r="BI367" i="10"/>
  <c r="BK367" i="10" s="1"/>
  <c r="BJ363" i="10"/>
  <c r="BL363" i="10" s="1"/>
  <c r="BN363" i="10"/>
  <c r="BW363" i="10" s="1"/>
  <c r="CA363" i="10" s="1"/>
  <c r="BI351" i="10"/>
  <c r="BK351" i="10" s="1"/>
  <c r="BM351" i="10"/>
  <c r="BV351" i="10" s="1"/>
  <c r="BM344" i="10"/>
  <c r="BV344" i="10" s="1"/>
  <c r="BZ344" i="10" s="1"/>
  <c r="BI344" i="10"/>
  <c r="BK344" i="10" s="1"/>
  <c r="BI338" i="10"/>
  <c r="BK338" i="10" s="1"/>
  <c r="BM338" i="10"/>
  <c r="BV338" i="10" s="1"/>
  <c r="BN241" i="10"/>
  <c r="BW241" i="10" s="1"/>
  <c r="BJ241" i="10"/>
  <c r="BL241" i="10" s="1"/>
  <c r="BF948" i="10"/>
  <c r="BU948" i="10" s="1"/>
  <c r="BY948" i="10" s="1"/>
  <c r="DU948" i="10" s="1"/>
  <c r="BB948" i="10"/>
  <c r="BD948" i="10" s="1"/>
  <c r="BE234" i="10"/>
  <c r="BT234" i="10" s="1"/>
  <c r="DY234" i="10" s="1"/>
  <c r="BA234" i="10"/>
  <c r="BC234" i="10" s="1"/>
  <c r="AX680" i="10"/>
  <c r="AU680" i="10"/>
  <c r="CI124" i="10"/>
  <c r="CB987" i="10"/>
  <c r="CF987" i="10" s="1"/>
  <c r="AQ210" i="10"/>
  <c r="EC194" i="10"/>
  <c r="CA793" i="10"/>
  <c r="BI908" i="10"/>
  <c r="BK908" i="10" s="1"/>
  <c r="BM908" i="10"/>
  <c r="BV908" i="10" s="1"/>
  <c r="BZ908" i="10" s="1"/>
  <c r="BJ836" i="10"/>
  <c r="BL836" i="10" s="1"/>
  <c r="BN836" i="10"/>
  <c r="BW836" i="10" s="1"/>
  <c r="CA836" i="10" s="1"/>
  <c r="BN659" i="10"/>
  <c r="BW659" i="10" s="1"/>
  <c r="CA659" i="10" s="1"/>
  <c r="BJ659" i="10"/>
  <c r="BL659" i="10" s="1"/>
  <c r="BN654" i="10"/>
  <c r="BW654" i="10" s="1"/>
  <c r="BJ654" i="10"/>
  <c r="BL654" i="10" s="1"/>
  <c r="BM514" i="10"/>
  <c r="BV514" i="10" s="1"/>
  <c r="BZ514" i="10" s="1"/>
  <c r="BI514" i="10"/>
  <c r="BK514" i="10" s="1"/>
  <c r="BI497" i="10"/>
  <c r="BK497" i="10" s="1"/>
  <c r="BM497" i="10"/>
  <c r="BV497" i="10" s="1"/>
  <c r="BZ497" i="10" s="1"/>
  <c r="BN372" i="10"/>
  <c r="BW372" i="10" s="1"/>
  <c r="BJ372" i="10"/>
  <c r="BL372" i="10" s="1"/>
  <c r="BI363" i="10"/>
  <c r="BK363" i="10" s="1"/>
  <c r="BM363" i="10"/>
  <c r="BV363" i="10" s="1"/>
  <c r="BZ363" i="10" s="1"/>
  <c r="BM358" i="10"/>
  <c r="BV358" i="10" s="1"/>
  <c r="BI358" i="10"/>
  <c r="BK358" i="10" s="1"/>
  <c r="AQ358" i="10" s="1"/>
  <c r="BM255" i="10"/>
  <c r="BV255" i="10" s="1"/>
  <c r="BI255" i="10"/>
  <c r="BK255" i="10" s="1"/>
  <c r="AQ255" i="10" s="1"/>
  <c r="BN237" i="10"/>
  <c r="BW237" i="10" s="1"/>
  <c r="CA237" i="10" s="1"/>
  <c r="BJ237" i="10"/>
  <c r="BL237" i="10" s="1"/>
  <c r="AQ237" i="10" s="1"/>
  <c r="BN223" i="10"/>
  <c r="BW223" i="10" s="1"/>
  <c r="CA223" i="10" s="1"/>
  <c r="BJ223" i="10"/>
  <c r="BL223" i="10" s="1"/>
  <c r="AQ223" i="10" s="1"/>
  <c r="BN218" i="10"/>
  <c r="BW218" i="10" s="1"/>
  <c r="CA218" i="10" s="1"/>
  <c r="BJ218" i="10"/>
  <c r="BL218" i="10" s="1"/>
  <c r="AQ218" i="10" s="1"/>
  <c r="BF1007" i="10"/>
  <c r="BU1007" i="10" s="1"/>
  <c r="BB1007" i="10"/>
  <c r="BD1007" i="10" s="1"/>
  <c r="AN1007" i="10" s="1"/>
  <c r="BF983" i="10"/>
  <c r="BU983" i="10" s="1"/>
  <c r="BB983" i="10"/>
  <c r="BD983" i="10" s="1"/>
  <c r="AW983" i="10" s="1"/>
  <c r="BF971" i="10"/>
  <c r="BU971" i="10" s="1"/>
  <c r="BB971" i="10"/>
  <c r="BD971" i="10" s="1"/>
  <c r="BE211" i="10"/>
  <c r="BT211" i="10" s="1"/>
  <c r="DY211" i="10" s="1"/>
  <c r="EC211" i="10"/>
  <c r="AX358" i="10"/>
  <c r="AU358" i="10"/>
  <c r="CA358" i="10" s="1"/>
  <c r="AX633" i="10"/>
  <c r="AU633" i="10"/>
  <c r="BE639" i="10"/>
  <c r="BT639" i="10" s="1"/>
  <c r="DY639" i="10" s="1"/>
  <c r="EC639" i="10"/>
  <c r="BE669" i="10"/>
  <c r="BT669" i="10" s="1"/>
  <c r="BA669" i="10"/>
  <c r="BC669" i="10" s="1"/>
  <c r="BE675" i="10"/>
  <c r="BT675" i="10" s="1"/>
  <c r="EC675" i="10"/>
  <c r="CI116" i="10"/>
  <c r="CI206" i="10"/>
  <c r="CB581" i="10"/>
  <c r="CF581" i="10" s="1"/>
  <c r="BN210" i="10"/>
  <c r="BW210" i="10" s="1"/>
  <c r="CA210" i="10" s="1"/>
  <c r="BN909" i="10"/>
  <c r="BW909" i="10" s="1"/>
  <c r="CA909" i="10" s="1"/>
  <c r="BJ909" i="10"/>
  <c r="BL909" i="10" s="1"/>
  <c r="BJ842" i="10"/>
  <c r="BL842" i="10" s="1"/>
  <c r="BN842" i="10"/>
  <c r="BW842" i="10" s="1"/>
  <c r="CA842" i="10" s="1"/>
  <c r="BJ682" i="10"/>
  <c r="BL682" i="10" s="1"/>
  <c r="AQ682" i="10" s="1"/>
  <c r="BN682" i="10"/>
  <c r="BW682" i="10" s="1"/>
  <c r="BI377" i="10"/>
  <c r="BK377" i="10" s="1"/>
  <c r="BM377" i="10"/>
  <c r="BV377" i="10" s="1"/>
  <c r="BZ377" i="10" s="1"/>
  <c r="AX311" i="10"/>
  <c r="AU311" i="10"/>
  <c r="AX317" i="10"/>
  <c r="AU317" i="10"/>
  <c r="CA317" i="10" s="1"/>
  <c r="AX323" i="10"/>
  <c r="AU323" i="10"/>
  <c r="CI323" i="10" s="1"/>
  <c r="BE616" i="10"/>
  <c r="BT616" i="10" s="1"/>
  <c r="DY616" i="10" s="1"/>
  <c r="EC616" i="10"/>
  <c r="BA616" i="10"/>
  <c r="BC616" i="10" s="1"/>
  <c r="BE622" i="10"/>
  <c r="BT622" i="10" s="1"/>
  <c r="BA622" i="10"/>
  <c r="BC622" i="10" s="1"/>
  <c r="EC622" i="10"/>
  <c r="BE628" i="10"/>
  <c r="BT628" i="10" s="1"/>
  <c r="BA628" i="10"/>
  <c r="BC628" i="10" s="1"/>
  <c r="EC628" i="10"/>
  <c r="BZ390" i="10"/>
  <c r="AU869" i="10"/>
  <c r="CI869" i="10" s="1"/>
  <c r="CA439" i="10"/>
  <c r="BZ233" i="10"/>
  <c r="CA648" i="10"/>
  <c r="BZ770" i="10"/>
  <c r="AU915" i="10"/>
  <c r="BZ950" i="10"/>
  <c r="BZ879" i="10"/>
  <c r="AU983" i="10"/>
  <c r="AW919" i="10"/>
  <c r="AU900" i="10"/>
  <c r="BF947" i="10"/>
  <c r="BU947" i="10" s="1"/>
  <c r="BX739" i="10"/>
  <c r="BX886" i="10"/>
  <c r="BX954" i="10"/>
  <c r="BX960" i="10"/>
  <c r="CA315" i="10"/>
  <c r="CA433" i="10"/>
  <c r="BZ359" i="10"/>
  <c r="CA493" i="10"/>
  <c r="AU959" i="10"/>
  <c r="BJ918" i="10"/>
  <c r="BL918" i="10" s="1"/>
  <c r="BJ969" i="10"/>
  <c r="BL969" i="10" s="1"/>
  <c r="BJ924" i="10"/>
  <c r="BL924" i="10" s="1"/>
  <c r="BN1011" i="10"/>
  <c r="BW1011" i="10" s="1"/>
  <c r="BZ557" i="10"/>
  <c r="BZ493" i="10"/>
  <c r="BY994" i="10"/>
  <c r="DU994" i="10" s="1"/>
  <c r="BY386" i="10"/>
  <c r="DU386" i="10" s="1"/>
  <c r="BY284" i="10"/>
  <c r="DU284" i="10" s="1"/>
  <c r="BY272" i="10"/>
  <c r="DU272" i="10" s="1"/>
  <c r="BY266" i="10"/>
  <c r="DU266" i="10" s="1"/>
  <c r="BY260" i="10"/>
  <c r="DU260" i="10" s="1"/>
  <c r="BY188" i="10"/>
  <c r="DU188" i="10" s="1"/>
  <c r="BY164" i="10"/>
  <c r="DU164" i="10" s="1"/>
  <c r="CA233" i="10"/>
  <c r="CA359" i="10"/>
  <c r="BZ353" i="10"/>
  <c r="AQ984" i="10"/>
  <c r="BZ724" i="10"/>
  <c r="BZ234" i="10"/>
  <c r="CA247" i="10"/>
  <c r="BZ456" i="10"/>
  <c r="BZ670" i="10"/>
  <c r="BZ778" i="10"/>
  <c r="CA1009" i="10"/>
  <c r="EC1000" i="10"/>
  <c r="AW910" i="10"/>
  <c r="CA806" i="10"/>
  <c r="BZ796" i="10"/>
  <c r="BX740" i="10"/>
  <c r="BX745" i="10"/>
  <c r="DN745" i="10" s="1"/>
  <c r="BP745" i="10" s="1"/>
  <c r="BX877" i="10"/>
  <c r="DN877" i="10" s="1"/>
  <c r="BP877" i="10" s="1"/>
  <c r="DO877" i="10" s="1"/>
  <c r="BX931" i="10"/>
  <c r="BX955" i="10"/>
  <c r="DN955" i="10" s="1"/>
  <c r="BP955" i="10" s="1"/>
  <c r="DO955" i="10" s="1"/>
  <c r="BX961" i="10"/>
  <c r="BZ287" i="10"/>
  <c r="CA445" i="10"/>
  <c r="BZ400" i="10"/>
  <c r="AN256" i="10"/>
  <c r="BZ988" i="10"/>
  <c r="BZ439" i="10"/>
  <c r="BA935" i="10"/>
  <c r="BC935" i="10" s="1"/>
  <c r="AW935" i="10" s="1"/>
  <c r="EC930" i="10"/>
  <c r="BI810" i="10"/>
  <c r="BK810" i="10" s="1"/>
  <c r="AU1011" i="10"/>
  <c r="CI1011" i="10" s="1"/>
  <c r="BA881" i="10"/>
  <c r="BC881" i="10" s="1"/>
  <c r="BY1011" i="10"/>
  <c r="DU1011" i="10" s="1"/>
  <c r="BY895" i="10"/>
  <c r="DU895" i="10" s="1"/>
  <c r="BY709" i="10"/>
  <c r="DU709" i="10" s="1"/>
  <c r="BY703" i="10"/>
  <c r="DU703" i="10" s="1"/>
  <c r="BY697" i="10"/>
  <c r="DU697" i="10" s="1"/>
  <c r="BY289" i="10"/>
  <c r="DU289" i="10" s="1"/>
  <c r="BZ703" i="10"/>
  <c r="AN720" i="10"/>
  <c r="BZ631" i="10"/>
  <c r="CA725" i="10"/>
  <c r="CA274" i="10"/>
  <c r="BZ281" i="10"/>
  <c r="BZ696" i="10"/>
  <c r="AN777" i="10"/>
  <c r="AN946" i="10"/>
  <c r="AW530" i="10"/>
  <c r="BA930" i="10"/>
  <c r="BC930" i="10" s="1"/>
  <c r="BM953" i="10"/>
  <c r="BV953" i="10" s="1"/>
  <c r="BZ953" i="10" s="1"/>
  <c r="AU895" i="10"/>
  <c r="AU875" i="10"/>
  <c r="CI875" i="10" s="1"/>
  <c r="CA584" i="10"/>
  <c r="AQ273" i="10"/>
  <c r="BX174" i="10"/>
  <c r="BX636" i="10"/>
  <c r="BX746" i="10"/>
  <c r="BX922" i="10"/>
  <c r="DN922" i="10" s="1"/>
  <c r="BP922" i="10" s="1"/>
  <c r="DO922" i="10" s="1"/>
  <c r="BX932" i="10"/>
  <c r="DN932" i="10" s="1"/>
  <c r="BP932" i="10" s="1"/>
  <c r="DO932" i="10" s="1"/>
  <c r="BX986" i="10"/>
  <c r="CA382" i="10"/>
  <c r="AW955" i="10"/>
  <c r="AU851" i="10"/>
  <c r="CA536" i="10"/>
  <c r="AW967" i="10"/>
  <c r="BY306" i="10"/>
  <c r="DU306" i="10" s="1"/>
  <c r="BX898" i="10"/>
  <c r="DN898" i="10" s="1"/>
  <c r="BP898" i="10" s="1"/>
  <c r="DO898" i="10" s="1"/>
  <c r="BX947" i="10"/>
  <c r="BX997" i="10"/>
  <c r="BX1009" i="10"/>
  <c r="BZ640" i="10"/>
  <c r="BZ646" i="10"/>
  <c r="BZ604" i="10"/>
  <c r="CA910" i="10"/>
  <c r="BZ643" i="10"/>
  <c r="BZ766" i="10"/>
  <c r="CA784" i="10"/>
  <c r="AU971" i="10"/>
  <c r="CA971" i="10" s="1"/>
  <c r="BZ573" i="10"/>
  <c r="BN681" i="10"/>
  <c r="BW681" i="10" s="1"/>
  <c r="AU863" i="10"/>
  <c r="AQ959" i="10"/>
  <c r="BN915" i="10"/>
  <c r="BW915" i="10" s="1"/>
  <c r="AQ1002" i="10"/>
  <c r="EC935" i="10"/>
  <c r="AQ896" i="10"/>
  <c r="CA595" i="10"/>
  <c r="BY939" i="10"/>
  <c r="DU939" i="10" s="1"/>
  <c r="BX584" i="10"/>
  <c r="DT584" i="10" s="1"/>
  <c r="BX913" i="10"/>
  <c r="BX923" i="10"/>
  <c r="DN923" i="10" s="1"/>
  <c r="BP923" i="10" s="1"/>
  <c r="BZ626" i="10"/>
  <c r="BZ606" i="10"/>
  <c r="CA696" i="10"/>
  <c r="AN891" i="10"/>
  <c r="BZ271" i="10"/>
  <c r="BZ755" i="10"/>
  <c r="BI1005" i="10"/>
  <c r="BK1005" i="10" s="1"/>
  <c r="AQ1005" i="10" s="1"/>
  <c r="BZ889" i="10"/>
  <c r="AW978" i="10"/>
  <c r="BA944" i="10"/>
  <c r="BC944" i="10" s="1"/>
  <c r="BZ972" i="10"/>
  <c r="AN969" i="10"/>
  <c r="BY905" i="10"/>
  <c r="DU905" i="10" s="1"/>
  <c r="BY875" i="10"/>
  <c r="DU875" i="10" s="1"/>
  <c r="BY869" i="10"/>
  <c r="DU869" i="10" s="1"/>
  <c r="BY863" i="10"/>
  <c r="DU863" i="10" s="1"/>
  <c r="BY857" i="10"/>
  <c r="DU857" i="10" s="1"/>
  <c r="BY851" i="10"/>
  <c r="DU851" i="10" s="1"/>
  <c r="BY839" i="10"/>
  <c r="DU839" i="10" s="1"/>
  <c r="BY833" i="10"/>
  <c r="DU833" i="10" s="1"/>
  <c r="BY827" i="10"/>
  <c r="DU827" i="10" s="1"/>
  <c r="BY821" i="10"/>
  <c r="DU821" i="10" s="1"/>
  <c r="BY815" i="10"/>
  <c r="DU815" i="10" s="1"/>
  <c r="BY809" i="10"/>
  <c r="DU809" i="10" s="1"/>
  <c r="BY803" i="10"/>
  <c r="DU803" i="10" s="1"/>
  <c r="BY791" i="10"/>
  <c r="DU791" i="10" s="1"/>
  <c r="BY779" i="10"/>
  <c r="DU779" i="10" s="1"/>
  <c r="BY767" i="10"/>
  <c r="DU767" i="10" s="1"/>
  <c r="BY755" i="10"/>
  <c r="DU755" i="10" s="1"/>
  <c r="BY749" i="10"/>
  <c r="DU749" i="10" s="1"/>
  <c r="BY443" i="10"/>
  <c r="DU443" i="10" s="1"/>
  <c r="BY431" i="10"/>
  <c r="DU431" i="10" s="1"/>
  <c r="BY419" i="10"/>
  <c r="DU419" i="10" s="1"/>
  <c r="BY311" i="10"/>
  <c r="DU311" i="10" s="1"/>
  <c r="BY239" i="10"/>
  <c r="DU239" i="10" s="1"/>
  <c r="BY137" i="10"/>
  <c r="DU137" i="10" s="1"/>
  <c r="BZ618" i="10"/>
  <c r="BZ944" i="10"/>
  <c r="CA573" i="10"/>
  <c r="CA345" i="10"/>
  <c r="BZ568" i="10"/>
  <c r="CA755" i="10"/>
  <c r="AY970" i="10"/>
  <c r="CL970" i="10" s="1"/>
  <c r="CA933" i="10"/>
  <c r="BM906" i="10"/>
  <c r="BV906" i="10" s="1"/>
  <c r="BZ906" i="10" s="1"/>
  <c r="EC944" i="10"/>
  <c r="AU939" i="10"/>
  <c r="CA736" i="10"/>
  <c r="BZ735" i="10"/>
  <c r="AQ705" i="10"/>
  <c r="BY910" i="10"/>
  <c r="DU910" i="10" s="1"/>
  <c r="BX72" i="10"/>
  <c r="BX904" i="10"/>
  <c r="DN904" i="10" s="1"/>
  <c r="BP904" i="10" s="1"/>
  <c r="DO904" i="10" s="1"/>
  <c r="BX914" i="10"/>
  <c r="DN914" i="10" s="1"/>
  <c r="BP914" i="10" s="1"/>
  <c r="BX929" i="10"/>
  <c r="DN929" i="10" s="1"/>
  <c r="BP929" i="10" s="1"/>
  <c r="DO929" i="10" s="1"/>
  <c r="BX943" i="10"/>
  <c r="BX953" i="10"/>
  <c r="CA379" i="10"/>
  <c r="BZ423" i="10"/>
  <c r="AQ377" i="10"/>
  <c r="BY610" i="10"/>
  <c r="DU610" i="10" s="1"/>
  <c r="BY604" i="10"/>
  <c r="DU604" i="10" s="1"/>
  <c r="BY598" i="10"/>
  <c r="DU598" i="10" s="1"/>
  <c r="BY586" i="10"/>
  <c r="DU586" i="10" s="1"/>
  <c r="BY358" i="10"/>
  <c r="DU358" i="10" s="1"/>
  <c r="BY154" i="10"/>
  <c r="DU154" i="10" s="1"/>
  <c r="BX233" i="10"/>
  <c r="BX272" i="10"/>
  <c r="BX284" i="10"/>
  <c r="BX289" i="10"/>
  <c r="BX323" i="10"/>
  <c r="BX346" i="10"/>
  <c r="BX738" i="10"/>
  <c r="BX895" i="10"/>
  <c r="BX959" i="10"/>
  <c r="DT959" i="10" s="1"/>
  <c r="BX1011" i="10"/>
  <c r="CI47" i="10"/>
  <c r="CG19" i="10"/>
  <c r="CG43" i="10"/>
  <c r="CB67" i="10"/>
  <c r="CF67" i="10" s="1"/>
  <c r="CB49" i="10"/>
  <c r="CF49" i="10" s="1"/>
  <c r="BN29" i="10"/>
  <c r="BW29" i="10" s="1"/>
  <c r="CA29" i="10" s="1"/>
  <c r="AU55" i="10"/>
  <c r="CI55" i="10" s="1"/>
  <c r="CI62" i="10"/>
  <c r="CI58" i="10"/>
  <c r="CG67" i="10"/>
  <c r="CD47" i="10"/>
  <c r="CH47" i="10" s="1"/>
  <c r="CG49" i="10"/>
  <c r="CB37" i="10"/>
  <c r="CF37" i="10" s="1"/>
  <c r="AU37" i="10"/>
  <c r="AY37" i="10" s="1"/>
  <c r="CL37" i="10" s="1"/>
  <c r="CG37" i="10"/>
  <c r="CB55" i="10"/>
  <c r="CF55" i="10" s="1"/>
  <c r="AU43" i="10"/>
  <c r="CA43" i="10" s="1"/>
  <c r="CG25" i="10"/>
  <c r="CG55" i="10"/>
  <c r="BB39" i="10"/>
  <c r="BD39" i="10" s="1"/>
  <c r="CB31" i="10"/>
  <c r="CF31" i="10" s="1"/>
  <c r="AU31" i="10"/>
  <c r="CG31" i="10"/>
  <c r="AU49" i="10"/>
  <c r="CA34" i="10"/>
  <c r="BJ34" i="10"/>
  <c r="BL34" i="10" s="1"/>
  <c r="BB63" i="10"/>
  <c r="BD63" i="10" s="1"/>
  <c r="BB57" i="10"/>
  <c r="BD57" i="10" s="1"/>
  <c r="BB45" i="10"/>
  <c r="BD45" i="10" s="1"/>
  <c r="DY50" i="10"/>
  <c r="BA85" i="10"/>
  <c r="BC85" i="10" s="1"/>
  <c r="BJ39" i="10"/>
  <c r="BL39" i="10" s="1"/>
  <c r="BI20" i="10"/>
  <c r="BK20" i="10" s="1"/>
  <c r="AQ20" i="10" s="1"/>
  <c r="BI81" i="10"/>
  <c r="BK81" i="10" s="1"/>
  <c r="BN25" i="10"/>
  <c r="BW25" i="10" s="1"/>
  <c r="EC85" i="10"/>
  <c r="BB81" i="10"/>
  <c r="BD81" i="10" s="1"/>
  <c r="BN48" i="10"/>
  <c r="BW48" i="10" s="1"/>
  <c r="CA48" i="10" s="1"/>
  <c r="BI35" i="10"/>
  <c r="BK35" i="10" s="1"/>
  <c r="BB51" i="10"/>
  <c r="BD51" i="10" s="1"/>
  <c r="BM91" i="10"/>
  <c r="BV91" i="10" s="1"/>
  <c r="BN76" i="10"/>
  <c r="BW76" i="10" s="1"/>
  <c r="CA76" i="10" s="1"/>
  <c r="BB75" i="10"/>
  <c r="BD75" i="10" s="1"/>
  <c r="BB69" i="10"/>
  <c r="BD69" i="10" s="1"/>
  <c r="BB33" i="10"/>
  <c r="BD33" i="10" s="1"/>
  <c r="BN20" i="10"/>
  <c r="BW20" i="10" s="1"/>
  <c r="BN95" i="10"/>
  <c r="BW95" i="10" s="1"/>
  <c r="CA95" i="10" s="1"/>
  <c r="EC103" i="10"/>
  <c r="BA103" i="10"/>
  <c r="BC103" i="10" s="1"/>
  <c r="BJ61" i="10"/>
  <c r="BL61" i="10" s="1"/>
  <c r="AQ61" i="10" s="1"/>
  <c r="BB93" i="10"/>
  <c r="BD93" i="10" s="1"/>
  <c r="BB87" i="10"/>
  <c r="BD87" i="10" s="1"/>
  <c r="BB99" i="10"/>
  <c r="BD99" i="10" s="1"/>
  <c r="CL58" i="10"/>
  <c r="AU67" i="10"/>
  <c r="AU44" i="10"/>
  <c r="AU61" i="10"/>
  <c r="CI61" i="10" s="1"/>
  <c r="CI41" i="10"/>
  <c r="CI102" i="10"/>
  <c r="CL91" i="10"/>
  <c r="AY103" i="10"/>
  <c r="CD95" i="10"/>
  <c r="CH95" i="10" s="1"/>
  <c r="CI81" i="10"/>
  <c r="CI103" i="10"/>
  <c r="CG20" i="10"/>
  <c r="CL40" i="10"/>
  <c r="CD66" i="10"/>
  <c r="CH66" i="10" s="1"/>
  <c r="CD53" i="10"/>
  <c r="CH53" i="10" s="1"/>
  <c r="CB73" i="10"/>
  <c r="CF73" i="10" s="1"/>
  <c r="DY81" i="10"/>
  <c r="DY87" i="10"/>
  <c r="DY93" i="10"/>
  <c r="DY105" i="10"/>
  <c r="CI109" i="10"/>
  <c r="CB61" i="10"/>
  <c r="CF61" i="10" s="1"/>
  <c r="CA81" i="10"/>
  <c r="AU26" i="10"/>
  <c r="CI26" i="10" s="1"/>
  <c r="DY17" i="10"/>
  <c r="EA17" i="10" s="1"/>
  <c r="DY23" i="10"/>
  <c r="EA23" i="10" s="1"/>
  <c r="BZ53" i="10"/>
  <c r="CI60" i="10"/>
  <c r="AU73" i="10"/>
  <c r="CI66" i="10"/>
  <c r="CG44" i="10"/>
  <c r="CI40" i="10"/>
  <c r="AU32" i="10"/>
  <c r="CG61" i="10"/>
  <c r="CG32" i="10"/>
  <c r="AU20" i="10"/>
  <c r="CI92" i="10"/>
  <c r="CG26" i="10"/>
  <c r="CD102" i="10"/>
  <c r="CH102" i="10" s="1"/>
  <c r="CB38" i="10"/>
  <c r="CF38" i="10" s="1"/>
  <c r="CB44" i="10"/>
  <c r="CF44" i="10" s="1"/>
  <c r="AU38" i="10"/>
  <c r="CD634" i="10"/>
  <c r="CH634" i="10" s="1"/>
  <c r="CL634" i="10"/>
  <c r="CD962" i="10"/>
  <c r="CH962" i="10" s="1"/>
  <c r="CL962" i="10"/>
  <c r="CJ216" i="10"/>
  <c r="CB216" i="10"/>
  <c r="CF216" i="10" s="1"/>
  <c r="CJ346" i="10"/>
  <c r="CB346" i="10"/>
  <c r="BE503" i="10"/>
  <c r="BT503" i="10" s="1"/>
  <c r="EC503" i="10"/>
  <c r="BA503" i="10"/>
  <c r="BC503" i="10" s="1"/>
  <c r="CJ910" i="10"/>
  <c r="CB910" i="10"/>
  <c r="CD733" i="10"/>
  <c r="CH733" i="10" s="1"/>
  <c r="AY541" i="10"/>
  <c r="CI541" i="10"/>
  <c r="CA677" i="10"/>
  <c r="CI677" i="10"/>
  <c r="AY677" i="10"/>
  <c r="BM795" i="10"/>
  <c r="BV795" i="10" s="1"/>
  <c r="BZ795" i="10" s="1"/>
  <c r="BI795" i="10"/>
  <c r="BK795" i="10" s="1"/>
  <c r="BJ494" i="10"/>
  <c r="BL494" i="10" s="1"/>
  <c r="BN494" i="10"/>
  <c r="BW494" i="10" s="1"/>
  <c r="BE144" i="10"/>
  <c r="BT144" i="10" s="1"/>
  <c r="DY144" i="10" s="1"/>
  <c r="EC144" i="10"/>
  <c r="BA144" i="10"/>
  <c r="BC144" i="10" s="1"/>
  <c r="BE155" i="10"/>
  <c r="BT155" i="10" s="1"/>
  <c r="DY155" i="10" s="1"/>
  <c r="EC155" i="10"/>
  <c r="BA155" i="10"/>
  <c r="BC155" i="10" s="1"/>
  <c r="AX166" i="10"/>
  <c r="BE438" i="10"/>
  <c r="BT438" i="10" s="1"/>
  <c r="BA438" i="10"/>
  <c r="BC438" i="10" s="1"/>
  <c r="EC438" i="10"/>
  <c r="AX449" i="10"/>
  <c r="AU449" i="10"/>
  <c r="AY449" i="10" s="1"/>
  <c r="AX455" i="10"/>
  <c r="CJ455" i="10" s="1"/>
  <c r="AU455" i="10"/>
  <c r="AY455" i="10" s="1"/>
  <c r="AX467" i="10"/>
  <c r="AU467" i="10"/>
  <c r="CI467" i="10" s="1"/>
  <c r="AX473" i="10"/>
  <c r="CJ473" i="10" s="1"/>
  <c r="AU473" i="10"/>
  <c r="CI473" i="10" s="1"/>
  <c r="AX479" i="10"/>
  <c r="AU479" i="10"/>
  <c r="CI479" i="10" s="1"/>
  <c r="AX497" i="10"/>
  <c r="AU497" i="10"/>
  <c r="CI497" i="10" s="1"/>
  <c r="CJ557" i="10"/>
  <c r="CB557" i="10"/>
  <c r="CF557" i="10" s="1"/>
  <c r="AX881" i="10"/>
  <c r="AU881" i="10"/>
  <c r="AY881" i="10" s="1"/>
  <c r="CJ940" i="10"/>
  <c r="CB940" i="10"/>
  <c r="CF940" i="10" s="1"/>
  <c r="AX1006" i="10"/>
  <c r="AU1006" i="10"/>
  <c r="CI1006" i="10" s="1"/>
  <c r="CI608" i="10"/>
  <c r="AY545" i="10"/>
  <c r="BZ545" i="10"/>
  <c r="CA545" i="10"/>
  <c r="CD616" i="10"/>
  <c r="CH616" i="10" s="1"/>
  <c r="CL616" i="10"/>
  <c r="BM922" i="10"/>
  <c r="BV922" i="10" s="1"/>
  <c r="BZ922" i="10" s="1"/>
  <c r="BI922" i="10"/>
  <c r="BK922" i="10" s="1"/>
  <c r="BM913" i="10"/>
  <c r="BV913" i="10" s="1"/>
  <c r="BZ913" i="10" s="1"/>
  <c r="BI913" i="10"/>
  <c r="BK913" i="10" s="1"/>
  <c r="AQ913" i="10" s="1"/>
  <c r="BJ912" i="10"/>
  <c r="BL912" i="10" s="1"/>
  <c r="AQ912" i="10" s="1"/>
  <c r="BN912" i="10"/>
  <c r="BW912" i="10" s="1"/>
  <c r="CA912" i="10" s="1"/>
  <c r="BM911" i="10"/>
  <c r="BV911" i="10" s="1"/>
  <c r="BZ911" i="10" s="1"/>
  <c r="BI911" i="10"/>
  <c r="BK911" i="10" s="1"/>
  <c r="AQ911" i="10" s="1"/>
  <c r="BJ846" i="10"/>
  <c r="BL846" i="10" s="1"/>
  <c r="BN846" i="10"/>
  <c r="BW846" i="10" s="1"/>
  <c r="BN831" i="10"/>
  <c r="BW831" i="10" s="1"/>
  <c r="CA831" i="10" s="1"/>
  <c r="BJ831" i="10"/>
  <c r="BL831" i="10" s="1"/>
  <c r="AQ831" i="10" s="1"/>
  <c r="BJ575" i="10"/>
  <c r="BL575" i="10" s="1"/>
  <c r="BN575" i="10"/>
  <c r="BW575" i="10" s="1"/>
  <c r="CL570" i="10"/>
  <c r="CD570" i="10"/>
  <c r="CH570" i="10" s="1"/>
  <c r="CD565" i="10"/>
  <c r="CH565" i="10" s="1"/>
  <c r="CL565" i="10"/>
  <c r="BN564" i="10"/>
  <c r="BW564" i="10" s="1"/>
  <c r="CA564" i="10" s="1"/>
  <c r="BJ564" i="10"/>
  <c r="BL564" i="10" s="1"/>
  <c r="BM538" i="10"/>
  <c r="BV538" i="10" s="1"/>
  <c r="BZ538" i="10" s="1"/>
  <c r="BI538" i="10"/>
  <c r="BK538" i="10" s="1"/>
  <c r="BI494" i="10"/>
  <c r="BK494" i="10" s="1"/>
  <c r="BM494" i="10"/>
  <c r="BV494" i="10" s="1"/>
  <c r="AY283" i="10"/>
  <c r="AY671" i="10"/>
  <c r="CA671" i="10"/>
  <c r="CL628" i="10"/>
  <c r="CD628" i="10"/>
  <c r="CH628" i="10" s="1"/>
  <c r="AY673" i="10"/>
  <c r="CI673" i="10"/>
  <c r="AY981" i="10"/>
  <c r="BZ981" i="10"/>
  <c r="AX171" i="10"/>
  <c r="CJ171" i="10" s="1"/>
  <c r="AU171" i="10"/>
  <c r="CJ341" i="10"/>
  <c r="CB341" i="10"/>
  <c r="CF341" i="10" s="1"/>
  <c r="AX352" i="10"/>
  <c r="AU352" i="10"/>
  <c r="AY352" i="10" s="1"/>
  <c r="CJ886" i="10"/>
  <c r="CB886" i="10"/>
  <c r="CJ915" i="10"/>
  <c r="CB915" i="10"/>
  <c r="CF915" i="10" s="1"/>
  <c r="CG171" i="10"/>
  <c r="CD588" i="10"/>
  <c r="CH588" i="10" s="1"/>
  <c r="CL588" i="10"/>
  <c r="CJ228" i="10"/>
  <c r="CB228" i="10"/>
  <c r="BE290" i="10"/>
  <c r="BT290" i="10" s="1"/>
  <c r="DY290" i="10" s="1"/>
  <c r="EC290" i="10"/>
  <c r="BA290" i="10"/>
  <c r="BC290" i="10" s="1"/>
  <c r="AX301" i="10"/>
  <c r="AU301" i="10"/>
  <c r="AY301" i="10" s="1"/>
  <c r="BE312" i="10"/>
  <c r="BT312" i="10" s="1"/>
  <c r="DY312" i="10" s="1"/>
  <c r="EC312" i="10"/>
  <c r="BA312" i="10"/>
  <c r="BC312" i="10" s="1"/>
  <c r="BE318" i="10"/>
  <c r="BT318" i="10" s="1"/>
  <c r="DY318" i="10" s="1"/>
  <c r="BA318" i="10"/>
  <c r="BC318" i="10" s="1"/>
  <c r="EC318" i="10"/>
  <c r="BE324" i="10"/>
  <c r="BT324" i="10" s="1"/>
  <c r="BA324" i="10"/>
  <c r="BC324" i="10" s="1"/>
  <c r="AN324" i="10" s="1"/>
  <c r="EC324" i="10"/>
  <c r="BE330" i="10"/>
  <c r="BT330" i="10" s="1"/>
  <c r="DY330" i="10" s="1"/>
  <c r="EC330" i="10"/>
  <c r="BA330" i="10"/>
  <c r="BC330" i="10" s="1"/>
  <c r="BE420" i="10"/>
  <c r="BT420" i="10" s="1"/>
  <c r="EC420" i="10"/>
  <c r="BA420" i="10"/>
  <c r="BC420" i="10" s="1"/>
  <c r="BE432" i="10"/>
  <c r="BT432" i="10" s="1"/>
  <c r="DY432" i="10" s="1"/>
  <c r="EC432" i="10"/>
  <c r="BA432" i="10"/>
  <c r="BC432" i="10" s="1"/>
  <c r="BE444" i="10"/>
  <c r="BT444" i="10" s="1"/>
  <c r="EC444" i="10"/>
  <c r="BA444" i="10"/>
  <c r="BC444" i="10" s="1"/>
  <c r="AX461" i="10"/>
  <c r="AU461" i="10"/>
  <c r="CG461" i="10"/>
  <c r="CJ485" i="10"/>
  <c r="CB485" i="10"/>
  <c r="CF485" i="10" s="1"/>
  <c r="CJ575" i="10"/>
  <c r="CB575" i="10"/>
  <c r="CF575" i="10" s="1"/>
  <c r="AX935" i="10"/>
  <c r="AU935" i="10"/>
  <c r="CJ1012" i="10"/>
  <c r="CB1012" i="10"/>
  <c r="CI669" i="10"/>
  <c r="CI283" i="10"/>
  <c r="CG497" i="10"/>
  <c r="CD636" i="10"/>
  <c r="CH636" i="10" s="1"/>
  <c r="BI796" i="10"/>
  <c r="BK796" i="10" s="1"/>
  <c r="AY1008" i="10"/>
  <c r="CA1008" i="10"/>
  <c r="BJ936" i="10"/>
  <c r="BL936" i="10" s="1"/>
  <c r="BN936" i="10"/>
  <c r="BW936" i="10" s="1"/>
  <c r="CA936" i="10" s="1"/>
  <c r="BM935" i="10"/>
  <c r="BV935" i="10" s="1"/>
  <c r="BI935" i="10"/>
  <c r="BK935" i="10" s="1"/>
  <c r="CD847" i="10"/>
  <c r="CH847" i="10" s="1"/>
  <c r="CL847" i="10"/>
  <c r="CI634" i="10"/>
  <c r="CI644" i="10"/>
  <c r="CL932" i="10"/>
  <c r="CD932" i="10"/>
  <c r="CH932" i="10" s="1"/>
  <c r="BJ960" i="10"/>
  <c r="BL960" i="10" s="1"/>
  <c r="BN960" i="10"/>
  <c r="BW960" i="10" s="1"/>
  <c r="CA960" i="10" s="1"/>
  <c r="CG935" i="10"/>
  <c r="CD669" i="10"/>
  <c r="CH669" i="10" s="1"/>
  <c r="AU166" i="10"/>
  <c r="CI166" i="10" s="1"/>
  <c r="CA948" i="10"/>
  <c r="AY948" i="10"/>
  <c r="AW898" i="10"/>
  <c r="AN898" i="10"/>
  <c r="CG166" i="10"/>
  <c r="CL666" i="10"/>
  <c r="CD666" i="10"/>
  <c r="CH666" i="10" s="1"/>
  <c r="AN926" i="10"/>
  <c r="AW926" i="10"/>
  <c r="CG149" i="10"/>
  <c r="CG467" i="10"/>
  <c r="CG455" i="10"/>
  <c r="CD630" i="10"/>
  <c r="CH630" i="10" s="1"/>
  <c r="CL679" i="10"/>
  <c r="AU149" i="10"/>
  <c r="BZ149" i="10" s="1"/>
  <c r="CI962" i="10"/>
  <c r="CG301" i="10"/>
  <c r="CB149" i="10"/>
  <c r="CF149" i="10" s="1"/>
  <c r="AN915" i="10"/>
  <c r="AY867" i="10"/>
  <c r="CA867" i="10"/>
  <c r="CI630" i="10"/>
  <c r="CI679" i="10"/>
  <c r="CG1006" i="10"/>
  <c r="CI981" i="10"/>
  <c r="AY354" i="10"/>
  <c r="CA354" i="10"/>
  <c r="AY603" i="10"/>
  <c r="CI671" i="10"/>
  <c r="CI628" i="10"/>
  <c r="CG479" i="10"/>
  <c r="CG352" i="10"/>
  <c r="CD772" i="10"/>
  <c r="CH772" i="10" s="1"/>
  <c r="CL772" i="10"/>
  <c r="CI485" i="10"/>
  <c r="CG881" i="10"/>
  <c r="CL644" i="10"/>
  <c r="CD395" i="10"/>
  <c r="CH395" i="10" s="1"/>
  <c r="CL395" i="10"/>
  <c r="AY268" i="10"/>
  <c r="CA268" i="10"/>
  <c r="CI268" i="10"/>
  <c r="AY296" i="10"/>
  <c r="CA296" i="10"/>
  <c r="CD542" i="10"/>
  <c r="CH542" i="10" s="1"/>
  <c r="CL542" i="10"/>
  <c r="BZ628" i="10"/>
  <c r="AY752" i="10"/>
  <c r="CA752" i="10"/>
  <c r="BI943" i="10"/>
  <c r="BK943" i="10" s="1"/>
  <c r="AQ943" i="10" s="1"/>
  <c r="BM943" i="10"/>
  <c r="BV943" i="10" s="1"/>
  <c r="BZ943" i="10" s="1"/>
  <c r="BM929" i="10"/>
  <c r="BV929" i="10" s="1"/>
  <c r="BZ929" i="10" s="1"/>
  <c r="BI929" i="10"/>
  <c r="BK929" i="10" s="1"/>
  <c r="BJ833" i="10"/>
  <c r="BL833" i="10" s="1"/>
  <c r="AQ833" i="10" s="1"/>
  <c r="BN833" i="10"/>
  <c r="BW833" i="10" s="1"/>
  <c r="CA833" i="10" s="1"/>
  <c r="BN583" i="10"/>
  <c r="BW583" i="10" s="1"/>
  <c r="BJ583" i="10"/>
  <c r="BL583" i="10" s="1"/>
  <c r="AQ583" i="10" s="1"/>
  <c r="BI575" i="10"/>
  <c r="BK575" i="10" s="1"/>
  <c r="BM575" i="10"/>
  <c r="BV575" i="10" s="1"/>
  <c r="BM504" i="10"/>
  <c r="BV504" i="10" s="1"/>
  <c r="BZ504" i="10" s="1"/>
  <c r="BI504" i="10"/>
  <c r="BK504" i="10" s="1"/>
  <c r="BE150" i="10"/>
  <c r="BT150" i="10" s="1"/>
  <c r="DY150" i="10" s="1"/>
  <c r="EC150" i="10"/>
  <c r="AX161" i="10"/>
  <c r="AY161" i="10"/>
  <c r="BE280" i="10"/>
  <c r="BT280" i="10" s="1"/>
  <c r="BX280" i="10" s="1"/>
  <c r="EC280" i="10"/>
  <c r="BA280" i="10"/>
  <c r="BC280" i="10" s="1"/>
  <c r="BE336" i="10"/>
  <c r="BT336" i="10" s="1"/>
  <c r="EC336" i="10"/>
  <c r="BA336" i="10"/>
  <c r="BC336" i="10" s="1"/>
  <c r="BE486" i="10"/>
  <c r="BT486" i="10" s="1"/>
  <c r="BX486" i="10" s="1"/>
  <c r="BA486" i="10"/>
  <c r="BC486" i="10" s="1"/>
  <c r="BE492" i="10"/>
  <c r="BT492" i="10" s="1"/>
  <c r="BA492" i="10"/>
  <c r="BC492" i="10" s="1"/>
  <c r="EC492" i="10"/>
  <c r="AX756" i="10"/>
  <c r="AU756" i="10"/>
  <c r="CA756" i="10" s="1"/>
  <c r="AX762" i="10"/>
  <c r="AU762" i="10"/>
  <c r="BZ762" i="10" s="1"/>
  <c r="AX768" i="10"/>
  <c r="AU768" i="10"/>
  <c r="AX774" i="10"/>
  <c r="AU774" i="10"/>
  <c r="AY774" i="10" s="1"/>
  <c r="AX780" i="10"/>
  <c r="AU780" i="10"/>
  <c r="AX786" i="10"/>
  <c r="AU786" i="10"/>
  <c r="AY786" i="10" s="1"/>
  <c r="AX792" i="10"/>
  <c r="AU792" i="10"/>
  <c r="CI792" i="10" s="1"/>
  <c r="AX798" i="10"/>
  <c r="AU798" i="10"/>
  <c r="CI798" i="10" s="1"/>
  <c r="AX804" i="10"/>
  <c r="AU804" i="10"/>
  <c r="AX810" i="10"/>
  <c r="AU810" i="10"/>
  <c r="CI810" i="10" s="1"/>
  <c r="AX816" i="10"/>
  <c r="AU816" i="10"/>
  <c r="AY816" i="10" s="1"/>
  <c r="AX840" i="10"/>
  <c r="AU840" i="10"/>
  <c r="CI840" i="10" s="1"/>
  <c r="AX846" i="10"/>
  <c r="AU846" i="10"/>
  <c r="AX852" i="10"/>
  <c r="AU852" i="10"/>
  <c r="AX858" i="10"/>
  <c r="AU858" i="10"/>
  <c r="BZ858" i="10" s="1"/>
  <c r="AX870" i="10"/>
  <c r="AU870" i="10"/>
  <c r="AY240" i="10"/>
  <c r="BZ240" i="10"/>
  <c r="AY855" i="10"/>
  <c r="BZ923" i="10"/>
  <c r="AY923" i="10"/>
  <c r="BI971" i="10"/>
  <c r="BK971" i="10" s="1"/>
  <c r="BM971" i="10"/>
  <c r="BV971" i="10" s="1"/>
  <c r="BZ971" i="10" s="1"/>
  <c r="BJ946" i="10"/>
  <c r="BL946" i="10" s="1"/>
  <c r="AQ946" i="10" s="1"/>
  <c r="BN946" i="10"/>
  <c r="BW946" i="10" s="1"/>
  <c r="BJ855" i="10"/>
  <c r="BL855" i="10" s="1"/>
  <c r="AQ855" i="10" s="1"/>
  <c r="BN855" i="10"/>
  <c r="BW855" i="10" s="1"/>
  <c r="CA855" i="10" s="1"/>
  <c r="BN839" i="10"/>
  <c r="BW839" i="10" s="1"/>
  <c r="BJ839" i="10"/>
  <c r="BL839" i="10" s="1"/>
  <c r="BJ673" i="10"/>
  <c r="BL673" i="10" s="1"/>
  <c r="BN673" i="10"/>
  <c r="BW673" i="10" s="1"/>
  <c r="CA673" i="10" s="1"/>
  <c r="BN667" i="10"/>
  <c r="BW667" i="10" s="1"/>
  <c r="CA667" i="10" s="1"/>
  <c r="BJ667" i="10"/>
  <c r="BL667" i="10" s="1"/>
  <c r="BJ627" i="10"/>
  <c r="BL627" i="10" s="1"/>
  <c r="BN627" i="10"/>
  <c r="BW627" i="10" s="1"/>
  <c r="BJ549" i="10"/>
  <c r="BL549" i="10" s="1"/>
  <c r="BN549" i="10"/>
  <c r="BW549" i="10" s="1"/>
  <c r="CA549" i="10" s="1"/>
  <c r="BN517" i="10"/>
  <c r="BW517" i="10" s="1"/>
  <c r="CA517" i="10" s="1"/>
  <c r="BJ517" i="10"/>
  <c r="BL517" i="10" s="1"/>
  <c r="AQ517" i="10" s="1"/>
  <c r="BJ511" i="10"/>
  <c r="BL511" i="10" s="1"/>
  <c r="BN511" i="10"/>
  <c r="BW511" i="10" s="1"/>
  <c r="CA511" i="10" s="1"/>
  <c r="BJ500" i="10"/>
  <c r="BL500" i="10" s="1"/>
  <c r="BN500" i="10"/>
  <c r="BW500" i="10" s="1"/>
  <c r="CA500" i="10" s="1"/>
  <c r="BI499" i="10"/>
  <c r="BK499" i="10" s="1"/>
  <c r="AQ499" i="10" s="1"/>
  <c r="BM499" i="10"/>
  <c r="BV499" i="10" s="1"/>
  <c r="BZ499" i="10" s="1"/>
  <c r="AX80" i="10"/>
  <c r="AU80" i="10"/>
  <c r="CI80" i="10" s="1"/>
  <c r="AX98" i="10"/>
  <c r="AU98" i="10"/>
  <c r="BE122" i="10"/>
  <c r="BT122" i="10" s="1"/>
  <c r="DY122" i="10" s="1"/>
  <c r="BA122" i="10"/>
  <c r="BC122" i="10" s="1"/>
  <c r="BE156" i="10"/>
  <c r="BT156" i="10" s="1"/>
  <c r="DY156" i="10" s="1"/>
  <c r="EC156" i="10"/>
  <c r="CA130" i="10"/>
  <c r="BZ207" i="10"/>
  <c r="AY380" i="10"/>
  <c r="CA380" i="10"/>
  <c r="AN922" i="10"/>
  <c r="AW922" i="10"/>
  <c r="CA732" i="10"/>
  <c r="AY732" i="10"/>
  <c r="BN856" i="10"/>
  <c r="BW856" i="10" s="1"/>
  <c r="BJ856" i="10"/>
  <c r="BL856" i="10" s="1"/>
  <c r="BM692" i="10"/>
  <c r="BV692" i="10" s="1"/>
  <c r="BZ692" i="10" s="1"/>
  <c r="BI692" i="10"/>
  <c r="BK692" i="10" s="1"/>
  <c r="BM650" i="10"/>
  <c r="BV650" i="10" s="1"/>
  <c r="BZ650" i="10" s="1"/>
  <c r="BI650" i="10"/>
  <c r="BK650" i="10" s="1"/>
  <c r="BM253" i="10"/>
  <c r="BV253" i="10" s="1"/>
  <c r="BZ253" i="10" s="1"/>
  <c r="BI253" i="10"/>
  <c r="BK253" i="10" s="1"/>
  <c r="AY249" i="10"/>
  <c r="BZ249" i="10"/>
  <c r="BI248" i="10"/>
  <c r="BK248" i="10" s="1"/>
  <c r="BM248" i="10"/>
  <c r="BV248" i="10" s="1"/>
  <c r="BF1010" i="10"/>
  <c r="BU1010" i="10" s="1"/>
  <c r="BB1010" i="10"/>
  <c r="BD1010" i="10" s="1"/>
  <c r="AW1010" i="10" s="1"/>
  <c r="BF1004" i="10"/>
  <c r="BU1004" i="10" s="1"/>
  <c r="BB1004" i="10"/>
  <c r="BD1004" i="10" s="1"/>
  <c r="BF998" i="10"/>
  <c r="BU998" i="10" s="1"/>
  <c r="BB998" i="10"/>
  <c r="BD998" i="10" s="1"/>
  <c r="AW998" i="10" s="1"/>
  <c r="BF992" i="10"/>
  <c r="BU992" i="10" s="1"/>
  <c r="BB992" i="10"/>
  <c r="BD992" i="10" s="1"/>
  <c r="BF986" i="10"/>
  <c r="BU986" i="10" s="1"/>
  <c r="BB986" i="10"/>
  <c r="BD986" i="10" s="1"/>
  <c r="AN986" i="10" s="1"/>
  <c r="BF980" i="10"/>
  <c r="BU980" i="10" s="1"/>
  <c r="BY980" i="10" s="1"/>
  <c r="DU980" i="10" s="1"/>
  <c r="BB980" i="10"/>
  <c r="BD980" i="10" s="1"/>
  <c r="BF974" i="10"/>
  <c r="BU974" i="10" s="1"/>
  <c r="BY974" i="10" s="1"/>
  <c r="DU974" i="10" s="1"/>
  <c r="BB974" i="10"/>
  <c r="BD974" i="10" s="1"/>
  <c r="BF968" i="10"/>
  <c r="BU968" i="10" s="1"/>
  <c r="BB968" i="10"/>
  <c r="BD968" i="10" s="1"/>
  <c r="AW968" i="10" s="1"/>
  <c r="BF962" i="10"/>
  <c r="BU962" i="10" s="1"/>
  <c r="BY962" i="10" s="1"/>
  <c r="DU962" i="10" s="1"/>
  <c r="BB962" i="10"/>
  <c r="BD962" i="10" s="1"/>
  <c r="BF956" i="10"/>
  <c r="BU956" i="10" s="1"/>
  <c r="BB956" i="10"/>
  <c r="BD956" i="10" s="1"/>
  <c r="AW956" i="10" s="1"/>
  <c r="CA112" i="10"/>
  <c r="BJ143" i="10"/>
  <c r="BL143" i="10" s="1"/>
  <c r="BN143" i="10"/>
  <c r="BW143" i="10" s="1"/>
  <c r="CA143" i="10" s="1"/>
  <c r="CA157" i="10"/>
  <c r="AY430" i="10"/>
  <c r="CL430" i="10" s="1"/>
  <c r="CA430" i="10"/>
  <c r="BN505" i="10"/>
  <c r="BW505" i="10" s="1"/>
  <c r="CA505" i="10" s="1"/>
  <c r="BI621" i="10"/>
  <c r="BK621" i="10" s="1"/>
  <c r="AQ621" i="10" s="1"/>
  <c r="BM704" i="10"/>
  <c r="BV704" i="10" s="1"/>
  <c r="BZ704" i="10" s="1"/>
  <c r="BI704" i="10"/>
  <c r="BK704" i="10" s="1"/>
  <c r="BI693" i="10"/>
  <c r="BK693" i="10" s="1"/>
  <c r="AQ693" i="10" s="1"/>
  <c r="BM693" i="10"/>
  <c r="BV693" i="10" s="1"/>
  <c r="BZ693" i="10" s="1"/>
  <c r="BN686" i="10"/>
  <c r="BW686" i="10" s="1"/>
  <c r="CA686" i="10" s="1"/>
  <c r="BJ686" i="10"/>
  <c r="BL686" i="10" s="1"/>
  <c r="BI283" i="10"/>
  <c r="BK283" i="10" s="1"/>
  <c r="AQ283" i="10" s="1"/>
  <c r="BM283" i="10"/>
  <c r="BV283" i="10" s="1"/>
  <c r="BZ283" i="10" s="1"/>
  <c r="BJ221" i="10"/>
  <c r="BL221" i="10" s="1"/>
  <c r="AQ221" i="10" s="1"/>
  <c r="BN221" i="10"/>
  <c r="BW221" i="10" s="1"/>
  <c r="CA221" i="10" s="1"/>
  <c r="BZ833" i="10"/>
  <c r="BI86" i="10"/>
  <c r="BK86" i="10" s="1"/>
  <c r="BM86" i="10"/>
  <c r="BV86" i="10" s="1"/>
  <c r="BJ138" i="10"/>
  <c r="BL138" i="10" s="1"/>
  <c r="BN138" i="10"/>
  <c r="BW138" i="10" s="1"/>
  <c r="CA138" i="10" s="1"/>
  <c r="BZ243" i="10"/>
  <c r="BM510" i="10"/>
  <c r="BV510" i="10" s="1"/>
  <c r="BZ510" i="10" s="1"/>
  <c r="AW958" i="10"/>
  <c r="AN958" i="10"/>
  <c r="AW903" i="10"/>
  <c r="AN903" i="10"/>
  <c r="BN998" i="10"/>
  <c r="BW998" i="10" s="1"/>
  <c r="CA998" i="10" s="1"/>
  <c r="BJ998" i="10"/>
  <c r="BL998" i="10" s="1"/>
  <c r="BI888" i="10"/>
  <c r="BK888" i="10" s="1"/>
  <c r="AQ888" i="10" s="1"/>
  <c r="BM888" i="10"/>
  <c r="BV888" i="10" s="1"/>
  <c r="BZ888" i="10" s="1"/>
  <c r="BM887" i="10"/>
  <c r="BV887" i="10" s="1"/>
  <c r="BZ887" i="10" s="1"/>
  <c r="BI887" i="10"/>
  <c r="BK887" i="10" s="1"/>
  <c r="AQ887" i="10" s="1"/>
  <c r="BN870" i="10"/>
  <c r="BW870" i="10" s="1"/>
  <c r="BJ870" i="10"/>
  <c r="BL870" i="10" s="1"/>
  <c r="BJ284" i="10"/>
  <c r="BL284" i="10" s="1"/>
  <c r="BN284" i="10"/>
  <c r="BW284" i="10" s="1"/>
  <c r="CA284" i="10" s="1"/>
  <c r="BM274" i="10"/>
  <c r="BV274" i="10" s="1"/>
  <c r="BZ274" i="10" s="1"/>
  <c r="BI274" i="10"/>
  <c r="BK274" i="10" s="1"/>
  <c r="BJ40" i="10"/>
  <c r="BL40" i="10" s="1"/>
  <c r="AQ40" i="10" s="1"/>
  <c r="BN40" i="10"/>
  <c r="BW40" i="10" s="1"/>
  <c r="BM832" i="10"/>
  <c r="BV832" i="10" s="1"/>
  <c r="BZ832" i="10" s="1"/>
  <c r="AY453" i="10"/>
  <c r="CA453" i="10"/>
  <c r="BZ453" i="10"/>
  <c r="BI998" i="10"/>
  <c r="BK998" i="10" s="1"/>
  <c r="BM998" i="10"/>
  <c r="BV998" i="10" s="1"/>
  <c r="BZ998" i="10" s="1"/>
  <c r="BI890" i="10"/>
  <c r="BK890" i="10" s="1"/>
  <c r="AQ890" i="10" s="1"/>
  <c r="BM890" i="10"/>
  <c r="BV890" i="10" s="1"/>
  <c r="BN878" i="10"/>
  <c r="BW878" i="10" s="1"/>
  <c r="CA878" i="10" s="1"/>
  <c r="BJ878" i="10"/>
  <c r="BL878" i="10" s="1"/>
  <c r="BN863" i="10"/>
  <c r="BW863" i="10" s="1"/>
  <c r="CA863" i="10" s="1"/>
  <c r="BJ863" i="10"/>
  <c r="BL863" i="10" s="1"/>
  <c r="BJ307" i="10"/>
  <c r="BL307" i="10" s="1"/>
  <c r="BN307" i="10"/>
  <c r="BW307" i="10" s="1"/>
  <c r="CA307" i="10" s="1"/>
  <c r="BM284" i="10"/>
  <c r="BV284" i="10" s="1"/>
  <c r="BZ284" i="10" s="1"/>
  <c r="BI284" i="10"/>
  <c r="BK284" i="10" s="1"/>
  <c r="BI92" i="10"/>
  <c r="BK92" i="10" s="1"/>
  <c r="BM92" i="10"/>
  <c r="BV92" i="10" s="1"/>
  <c r="BZ92" i="10" s="1"/>
  <c r="BN96" i="10"/>
  <c r="BW96" i="10" s="1"/>
  <c r="BJ96" i="10"/>
  <c r="BL96" i="10" s="1"/>
  <c r="BN499" i="10"/>
  <c r="BW499" i="10" s="1"/>
  <c r="CA499" i="10" s="1"/>
  <c r="AY930" i="10"/>
  <c r="CA930" i="10"/>
  <c r="BI898" i="10"/>
  <c r="BK898" i="10" s="1"/>
  <c r="AQ898" i="10" s="1"/>
  <c r="BM898" i="10"/>
  <c r="BV898" i="10" s="1"/>
  <c r="BZ898" i="10" s="1"/>
  <c r="BI780" i="10"/>
  <c r="BK780" i="10" s="1"/>
  <c r="BM780" i="10"/>
  <c r="BV780" i="10" s="1"/>
  <c r="BJ754" i="10"/>
  <c r="BL754" i="10" s="1"/>
  <c r="AQ754" i="10" s="1"/>
  <c r="BN754" i="10"/>
  <c r="BW754" i="10" s="1"/>
  <c r="BN344" i="10"/>
  <c r="BW344" i="10" s="1"/>
  <c r="CA344" i="10" s="1"/>
  <c r="BJ344" i="10"/>
  <c r="BL344" i="10" s="1"/>
  <c r="BJ49" i="10"/>
  <c r="BL49" i="10" s="1"/>
  <c r="BN49" i="10"/>
  <c r="BW49" i="10" s="1"/>
  <c r="BJ72" i="10"/>
  <c r="BL72" i="10" s="1"/>
  <c r="BN72" i="10"/>
  <c r="BW72" i="10" s="1"/>
  <c r="CA72" i="10" s="1"/>
  <c r="CA115" i="10"/>
  <c r="AY821" i="10"/>
  <c r="BZ821" i="10"/>
  <c r="AN967" i="10"/>
  <c r="AY515" i="10"/>
  <c r="BZ515" i="10"/>
  <c r="AY978" i="10"/>
  <c r="CA978" i="10"/>
  <c r="AN909" i="10"/>
  <c r="AW909" i="10"/>
  <c r="BJ788" i="10"/>
  <c r="BL788" i="10" s="1"/>
  <c r="BN788" i="10"/>
  <c r="BW788" i="10" s="1"/>
  <c r="CA788" i="10" s="1"/>
  <c r="BN781" i="10"/>
  <c r="BW781" i="10" s="1"/>
  <c r="CA781" i="10" s="1"/>
  <c r="BJ781" i="10"/>
  <c r="BL781" i="10" s="1"/>
  <c r="BI449" i="10"/>
  <c r="BK449" i="10" s="1"/>
  <c r="BM449" i="10"/>
  <c r="BV449" i="10" s="1"/>
  <c r="BI431" i="10"/>
  <c r="BK431" i="10" s="1"/>
  <c r="BM431" i="10"/>
  <c r="BV431" i="10" s="1"/>
  <c r="BN384" i="10"/>
  <c r="BW384" i="10" s="1"/>
  <c r="BJ384" i="10"/>
  <c r="BL384" i="10" s="1"/>
  <c r="BN352" i="10"/>
  <c r="BW352" i="10" s="1"/>
  <c r="BJ352" i="10"/>
  <c r="BL352" i="10" s="1"/>
  <c r="BN194" i="10"/>
  <c r="BW194" i="10" s="1"/>
  <c r="CA194" i="10" s="1"/>
  <c r="AY440" i="10"/>
  <c r="CA440" i="10"/>
  <c r="AY226" i="10"/>
  <c r="CA226" i="10"/>
  <c r="BN922" i="10"/>
  <c r="BW922" i="10" s="1"/>
  <c r="BJ922" i="10"/>
  <c r="BL922" i="10" s="1"/>
  <c r="BJ921" i="10"/>
  <c r="BL921" i="10" s="1"/>
  <c r="AQ921" i="10" s="1"/>
  <c r="BN921" i="10"/>
  <c r="BW921" i="10" s="1"/>
  <c r="CA921" i="10" s="1"/>
  <c r="BI920" i="10"/>
  <c r="BK920" i="10" s="1"/>
  <c r="AQ920" i="10" s="1"/>
  <c r="BM920" i="10"/>
  <c r="BV920" i="10" s="1"/>
  <c r="BI788" i="10"/>
  <c r="BK788" i="10" s="1"/>
  <c r="BM788" i="10"/>
  <c r="BV788" i="10" s="1"/>
  <c r="BZ788" i="10" s="1"/>
  <c r="BJ450" i="10"/>
  <c r="BL450" i="10" s="1"/>
  <c r="AQ450" i="10" s="1"/>
  <c r="BN450" i="10"/>
  <c r="BW450" i="10" s="1"/>
  <c r="CA450" i="10" s="1"/>
  <c r="BN432" i="10"/>
  <c r="BW432" i="10" s="1"/>
  <c r="BJ432" i="10"/>
  <c r="BL432" i="10" s="1"/>
  <c r="BN353" i="10"/>
  <c r="BW353" i="10" s="1"/>
  <c r="CA353" i="10" s="1"/>
  <c r="BJ353" i="10"/>
  <c r="BL353" i="10" s="1"/>
  <c r="BJ346" i="10"/>
  <c r="BL346" i="10" s="1"/>
  <c r="BN346" i="10"/>
  <c r="BW346" i="10" s="1"/>
  <c r="AY584" i="10"/>
  <c r="AN537" i="10"/>
  <c r="BZ892" i="10"/>
  <c r="CA892" i="10"/>
  <c r="AY811" i="10"/>
  <c r="BZ811" i="10"/>
  <c r="AN938" i="10"/>
  <c r="AW938" i="10"/>
  <c r="BM824" i="10"/>
  <c r="BV824" i="10" s="1"/>
  <c r="BZ824" i="10" s="1"/>
  <c r="BI824" i="10"/>
  <c r="BK824" i="10" s="1"/>
  <c r="BN818" i="10"/>
  <c r="BW818" i="10" s="1"/>
  <c r="BJ818" i="10"/>
  <c r="BL818" i="10" s="1"/>
  <c r="BJ796" i="10"/>
  <c r="BL796" i="10" s="1"/>
  <c r="BN796" i="10"/>
  <c r="BW796" i="10" s="1"/>
  <c r="CA796" i="10" s="1"/>
  <c r="BN795" i="10"/>
  <c r="BW795" i="10" s="1"/>
  <c r="BJ795" i="10"/>
  <c r="BL795" i="10" s="1"/>
  <c r="BN789" i="10"/>
  <c r="BW789" i="10" s="1"/>
  <c r="CA789" i="10" s="1"/>
  <c r="BJ789" i="10"/>
  <c r="BL789" i="10" s="1"/>
  <c r="BJ770" i="10"/>
  <c r="BL770" i="10" s="1"/>
  <c r="BN770" i="10"/>
  <c r="BW770" i="10" s="1"/>
  <c r="CA770" i="10" s="1"/>
  <c r="BI455" i="10"/>
  <c r="BK455" i="10" s="1"/>
  <c r="BM455" i="10"/>
  <c r="BV455" i="10" s="1"/>
  <c r="BM426" i="10"/>
  <c r="BV426" i="10" s="1"/>
  <c r="BI426" i="10"/>
  <c r="BK426" i="10" s="1"/>
  <c r="BN391" i="10"/>
  <c r="BW391" i="10" s="1"/>
  <c r="CA391" i="10" s="1"/>
  <c r="BJ391" i="10"/>
  <c r="BL391" i="10" s="1"/>
  <c r="AQ391" i="10" s="1"/>
  <c r="BE1001" i="10"/>
  <c r="BT1001" i="10" s="1"/>
  <c r="BX1001" i="10" s="1"/>
  <c r="BA1001" i="10"/>
  <c r="BC1001" i="10" s="1"/>
  <c r="BJ512" i="10"/>
  <c r="BL512" i="10" s="1"/>
  <c r="AQ512" i="10" s="1"/>
  <c r="BN512" i="10"/>
  <c r="BW512" i="10" s="1"/>
  <c r="CA512" i="10" s="1"/>
  <c r="BJ501" i="10"/>
  <c r="BL501" i="10" s="1"/>
  <c r="BN501" i="10"/>
  <c r="BW501" i="10" s="1"/>
  <c r="CA501" i="10" s="1"/>
  <c r="BN456" i="10"/>
  <c r="BW456" i="10" s="1"/>
  <c r="CA456" i="10" s="1"/>
  <c r="BJ456" i="10"/>
  <c r="BL456" i="10" s="1"/>
  <c r="BI259" i="10"/>
  <c r="BK259" i="10" s="1"/>
  <c r="BM259" i="10"/>
  <c r="BV259" i="10" s="1"/>
  <c r="BZ259" i="10" s="1"/>
  <c r="BJ236" i="10"/>
  <c r="BL236" i="10" s="1"/>
  <c r="AQ236" i="10" s="1"/>
  <c r="BN236" i="10"/>
  <c r="BW236" i="10" s="1"/>
  <c r="BF894" i="10"/>
  <c r="BU894" i="10" s="1"/>
  <c r="BB894" i="10"/>
  <c r="BD894" i="10" s="1"/>
  <c r="BY822" i="10"/>
  <c r="DU822" i="10" s="1"/>
  <c r="BF816" i="10"/>
  <c r="BU816" i="10" s="1"/>
  <c r="BY816" i="10" s="1"/>
  <c r="BB816" i="10"/>
  <c r="BD816" i="10" s="1"/>
  <c r="BY804" i="10"/>
  <c r="DU804" i="10" s="1"/>
  <c r="BY798" i="10"/>
  <c r="DU798" i="10" s="1"/>
  <c r="BY792" i="10"/>
  <c r="DU792" i="10" s="1"/>
  <c r="BY786" i="10"/>
  <c r="DU786" i="10" s="1"/>
  <c r="BY774" i="10"/>
  <c r="DU774" i="10" s="1"/>
  <c r="BF768" i="10"/>
  <c r="BU768" i="10" s="1"/>
  <c r="BB768" i="10"/>
  <c r="BD768" i="10" s="1"/>
  <c r="AN768" i="10" s="1"/>
  <c r="BY756" i="10"/>
  <c r="DU756" i="10" s="1"/>
  <c r="BF726" i="10"/>
  <c r="BU726" i="10" s="1"/>
  <c r="BY726" i="10" s="1"/>
  <c r="DU726" i="10" s="1"/>
  <c r="BB726" i="10"/>
  <c r="BD726" i="10" s="1"/>
  <c r="AN726" i="10" s="1"/>
  <c r="BF708" i="10"/>
  <c r="BU708" i="10" s="1"/>
  <c r="BB708" i="10"/>
  <c r="BD708" i="10" s="1"/>
  <c r="BF690" i="10"/>
  <c r="BU690" i="10" s="1"/>
  <c r="BB690" i="10"/>
  <c r="BD690" i="10" s="1"/>
  <c r="BF684" i="10"/>
  <c r="BU684" i="10" s="1"/>
  <c r="BB684" i="10"/>
  <c r="BD684" i="10" s="1"/>
  <c r="BF612" i="10"/>
  <c r="BU612" i="10" s="1"/>
  <c r="BB612" i="10"/>
  <c r="BD612" i="10" s="1"/>
  <c r="BF570" i="10"/>
  <c r="BU570" i="10" s="1"/>
  <c r="BB570" i="10"/>
  <c r="BD570" i="10" s="1"/>
  <c r="BF498" i="10"/>
  <c r="BU498" i="10" s="1"/>
  <c r="DY498" i="10" s="1"/>
  <c r="BB498" i="10"/>
  <c r="BD498" i="10" s="1"/>
  <c r="AN498" i="10" s="1"/>
  <c r="BF462" i="10"/>
  <c r="BU462" i="10" s="1"/>
  <c r="BB462" i="10"/>
  <c r="BD462" i="10" s="1"/>
  <c r="BF456" i="10"/>
  <c r="BU456" i="10" s="1"/>
  <c r="BB456" i="10"/>
  <c r="BD456" i="10" s="1"/>
  <c r="BF450" i="10"/>
  <c r="BU450" i="10" s="1"/>
  <c r="BB450" i="10"/>
  <c r="BD450" i="10" s="1"/>
  <c r="BF444" i="10"/>
  <c r="BU444" i="10" s="1"/>
  <c r="BY444" i="10" s="1"/>
  <c r="DU444" i="10" s="1"/>
  <c r="BB444" i="10"/>
  <c r="BD444" i="10" s="1"/>
  <c r="BF438" i="10"/>
  <c r="BU438" i="10" s="1"/>
  <c r="BB438" i="10"/>
  <c r="BD438" i="10" s="1"/>
  <c r="BF378" i="10"/>
  <c r="BU378" i="10" s="1"/>
  <c r="BY378" i="10" s="1"/>
  <c r="DU378" i="10" s="1"/>
  <c r="BB378" i="10"/>
  <c r="BD378" i="10" s="1"/>
  <c r="BF372" i="10"/>
  <c r="BU372" i="10" s="1"/>
  <c r="BY372" i="10" s="1"/>
  <c r="DU372" i="10" s="1"/>
  <c r="BB372" i="10"/>
  <c r="BD372" i="10" s="1"/>
  <c r="BF354" i="10"/>
  <c r="BU354" i="10" s="1"/>
  <c r="BY354" i="10" s="1"/>
  <c r="DU354" i="10" s="1"/>
  <c r="BB354" i="10"/>
  <c r="BD354" i="10" s="1"/>
  <c r="BF342" i="10"/>
  <c r="BU342" i="10" s="1"/>
  <c r="DY342" i="10" s="1"/>
  <c r="BB342" i="10"/>
  <c r="BD342" i="10" s="1"/>
  <c r="BF282" i="10"/>
  <c r="BU282" i="10" s="1"/>
  <c r="BY282" i="10" s="1"/>
  <c r="DU282" i="10" s="1"/>
  <c r="BB282" i="10"/>
  <c r="BD282" i="10" s="1"/>
  <c r="BF264" i="10"/>
  <c r="BU264" i="10" s="1"/>
  <c r="BB264" i="10"/>
  <c r="BD264" i="10" s="1"/>
  <c r="BF228" i="10"/>
  <c r="BU228" i="10" s="1"/>
  <c r="BB228" i="10"/>
  <c r="BD228" i="10" s="1"/>
  <c r="AW228" i="10" s="1"/>
  <c r="BE313" i="10"/>
  <c r="BT313" i="10" s="1"/>
  <c r="DY313" i="10" s="1"/>
  <c r="EC313" i="10"/>
  <c r="BE421" i="10"/>
  <c r="BT421" i="10" s="1"/>
  <c r="BX421" i="10" s="1"/>
  <c r="BA421" i="10"/>
  <c r="BC421" i="10" s="1"/>
  <c r="BE427" i="10"/>
  <c r="BT427" i="10" s="1"/>
  <c r="BA427" i="10"/>
  <c r="BC427" i="10" s="1"/>
  <c r="BE433" i="10"/>
  <c r="BT433" i="10" s="1"/>
  <c r="EC433" i="10"/>
  <c r="BE751" i="10"/>
  <c r="BT751" i="10" s="1"/>
  <c r="BA751" i="10"/>
  <c r="BC751" i="10" s="1"/>
  <c r="AN751" i="10" s="1"/>
  <c r="CA602" i="10"/>
  <c r="BZ308" i="10"/>
  <c r="BI651" i="10"/>
  <c r="BK651" i="10" s="1"/>
  <c r="CA730" i="10"/>
  <c r="CA249" i="10"/>
  <c r="CA280" i="10"/>
  <c r="CA797" i="10"/>
  <c r="BB882" i="10"/>
  <c r="BD882" i="10" s="1"/>
  <c r="AN882" i="10" s="1"/>
  <c r="BB576" i="10"/>
  <c r="BD576" i="10" s="1"/>
  <c r="AQ955" i="10"/>
  <c r="BN260" i="10"/>
  <c r="BW260" i="10" s="1"/>
  <c r="BJ260" i="10"/>
  <c r="BL260" i="10" s="1"/>
  <c r="BF921" i="10"/>
  <c r="BU921" i="10" s="1"/>
  <c r="AX257" i="10"/>
  <c r="AU257" i="10"/>
  <c r="CA257" i="10" s="1"/>
  <c r="BE275" i="10"/>
  <c r="BT275" i="10" s="1"/>
  <c r="EC275" i="10"/>
  <c r="BE281" i="10"/>
  <c r="BT281" i="10" s="1"/>
  <c r="DY281" i="10" s="1"/>
  <c r="BA281" i="10"/>
  <c r="BC281" i="10" s="1"/>
  <c r="AN281" i="10" s="1"/>
  <c r="BE394" i="10"/>
  <c r="BT394" i="10" s="1"/>
  <c r="DY394" i="10" s="1"/>
  <c r="BA394" i="10"/>
  <c r="BC394" i="10" s="1"/>
  <c r="EC394" i="10"/>
  <c r="AX682" i="10"/>
  <c r="AU682" i="10"/>
  <c r="CA682" i="10" s="1"/>
  <c r="AX705" i="10"/>
  <c r="AU705" i="10"/>
  <c r="AX990" i="10"/>
  <c r="AU990" i="10"/>
  <c r="CA197" i="10"/>
  <c r="BN325" i="10"/>
  <c r="BW325" i="10" s="1"/>
  <c r="CA325" i="10" s="1"/>
  <c r="CA334" i="10"/>
  <c r="AN640" i="10"/>
  <c r="BZ683" i="10"/>
  <c r="AW936" i="10"/>
  <c r="CA253" i="10"/>
  <c r="AQ312" i="10"/>
  <c r="AQ572" i="10"/>
  <c r="BZ485" i="10"/>
  <c r="AQ270" i="10"/>
  <c r="BB474" i="10"/>
  <c r="BD474" i="10" s="1"/>
  <c r="AQ942" i="10"/>
  <c r="BN777" i="10"/>
  <c r="BW777" i="10" s="1"/>
  <c r="BJ777" i="10"/>
  <c r="BL777" i="10" s="1"/>
  <c r="BN723" i="10"/>
  <c r="BW723" i="10" s="1"/>
  <c r="BJ723" i="10"/>
  <c r="BL723" i="10" s="1"/>
  <c r="AQ723" i="10" s="1"/>
  <c r="BI571" i="10"/>
  <c r="BK571" i="10" s="1"/>
  <c r="BM571" i="10"/>
  <c r="BV571" i="10" s="1"/>
  <c r="BZ571" i="10" s="1"/>
  <c r="BJ529" i="10"/>
  <c r="BL529" i="10" s="1"/>
  <c r="BN529" i="10"/>
  <c r="BW529" i="10" s="1"/>
  <c r="CA529" i="10" s="1"/>
  <c r="BM523" i="10"/>
  <c r="BV523" i="10" s="1"/>
  <c r="BZ523" i="10" s="1"/>
  <c r="BI523" i="10"/>
  <c r="BK523" i="10" s="1"/>
  <c r="BM260" i="10"/>
  <c r="BV260" i="10" s="1"/>
  <c r="BZ260" i="10" s="1"/>
  <c r="BI260" i="10"/>
  <c r="BK260" i="10" s="1"/>
  <c r="BF937" i="10"/>
  <c r="BU937" i="10" s="1"/>
  <c r="BY937" i="10" s="1"/>
  <c r="DU937" i="10" s="1"/>
  <c r="BB937" i="10"/>
  <c r="BD937" i="10" s="1"/>
  <c r="AN937" i="10" s="1"/>
  <c r="BY881" i="10"/>
  <c r="DU881" i="10" s="1"/>
  <c r="BF773" i="10"/>
  <c r="BU773" i="10" s="1"/>
  <c r="BY773" i="10" s="1"/>
  <c r="DU773" i="10" s="1"/>
  <c r="BB773" i="10"/>
  <c r="BD773" i="10" s="1"/>
  <c r="BF761" i="10"/>
  <c r="BU761" i="10" s="1"/>
  <c r="BY761" i="10" s="1"/>
  <c r="DU761" i="10" s="1"/>
  <c r="BB761" i="10"/>
  <c r="BD761" i="10" s="1"/>
  <c r="BF737" i="10"/>
  <c r="BU737" i="10" s="1"/>
  <c r="BY737" i="10" s="1"/>
  <c r="DU737" i="10" s="1"/>
  <c r="BB737" i="10"/>
  <c r="BD737" i="10" s="1"/>
  <c r="BF683" i="10"/>
  <c r="BU683" i="10" s="1"/>
  <c r="BB683" i="10"/>
  <c r="BD683" i="10" s="1"/>
  <c r="BF641" i="10"/>
  <c r="BU641" i="10" s="1"/>
  <c r="BB641" i="10"/>
  <c r="BD641" i="10" s="1"/>
  <c r="BF623" i="10"/>
  <c r="BU623" i="10" s="1"/>
  <c r="BB623" i="10"/>
  <c r="BD623" i="10" s="1"/>
  <c r="BF557" i="10"/>
  <c r="BU557" i="10" s="1"/>
  <c r="BY557" i="10" s="1"/>
  <c r="DU557" i="10" s="1"/>
  <c r="BB557" i="10"/>
  <c r="BD557" i="10" s="1"/>
  <c r="BF545" i="10"/>
  <c r="BU545" i="10" s="1"/>
  <c r="BB545" i="10"/>
  <c r="BD545" i="10" s="1"/>
  <c r="BF539" i="10"/>
  <c r="BU539" i="10" s="1"/>
  <c r="BY539" i="10" s="1"/>
  <c r="DU539" i="10" s="1"/>
  <c r="BB539" i="10"/>
  <c r="BD539" i="10" s="1"/>
  <c r="AW539" i="10" s="1"/>
  <c r="BF533" i="10"/>
  <c r="BU533" i="10" s="1"/>
  <c r="BY533" i="10" s="1"/>
  <c r="BB533" i="10"/>
  <c r="BD533" i="10" s="1"/>
  <c r="BF521" i="10"/>
  <c r="BU521" i="10" s="1"/>
  <c r="DY521" i="10" s="1"/>
  <c r="BB521" i="10"/>
  <c r="BD521" i="10" s="1"/>
  <c r="BF515" i="10"/>
  <c r="BU515" i="10" s="1"/>
  <c r="DY515" i="10" s="1"/>
  <c r="BB515" i="10"/>
  <c r="BD515" i="10" s="1"/>
  <c r="BF497" i="10"/>
  <c r="BU497" i="10" s="1"/>
  <c r="BY497" i="10" s="1"/>
  <c r="BB497" i="10"/>
  <c r="BD497" i="10" s="1"/>
  <c r="BF485" i="10"/>
  <c r="BU485" i="10" s="1"/>
  <c r="BY485" i="10" s="1"/>
  <c r="DU485" i="10" s="1"/>
  <c r="BB485" i="10"/>
  <c r="BD485" i="10" s="1"/>
  <c r="BY479" i="10"/>
  <c r="DU479" i="10" s="1"/>
  <c r="BY473" i="10"/>
  <c r="DU473" i="10" s="1"/>
  <c r="BY467" i="10"/>
  <c r="DU467" i="10" s="1"/>
  <c r="BY461" i="10"/>
  <c r="DU461" i="10" s="1"/>
  <c r="BY455" i="10"/>
  <c r="DU455" i="10" s="1"/>
  <c r="BF437" i="10"/>
  <c r="BU437" i="10" s="1"/>
  <c r="BB437" i="10"/>
  <c r="BD437" i="10" s="1"/>
  <c r="BF425" i="10"/>
  <c r="BU425" i="10" s="1"/>
  <c r="BB425" i="10"/>
  <c r="BD425" i="10" s="1"/>
  <c r="AW425" i="10" s="1"/>
  <c r="BF407" i="10"/>
  <c r="BU407" i="10" s="1"/>
  <c r="BY407" i="10" s="1"/>
  <c r="DU407" i="10" s="1"/>
  <c r="BB407" i="10"/>
  <c r="BD407" i="10" s="1"/>
  <c r="BF401" i="10"/>
  <c r="BU401" i="10" s="1"/>
  <c r="BB401" i="10"/>
  <c r="BD401" i="10" s="1"/>
  <c r="BF395" i="10"/>
  <c r="BU395" i="10" s="1"/>
  <c r="BY395" i="10" s="1"/>
  <c r="DU395" i="10" s="1"/>
  <c r="BB395" i="10"/>
  <c r="BD395" i="10" s="1"/>
  <c r="BF389" i="10"/>
  <c r="BU389" i="10" s="1"/>
  <c r="BY389" i="10" s="1"/>
  <c r="DU389" i="10" s="1"/>
  <c r="BB389" i="10"/>
  <c r="BD389" i="10" s="1"/>
  <c r="BF377" i="10"/>
  <c r="BU377" i="10" s="1"/>
  <c r="BB377" i="10"/>
  <c r="BD377" i="10" s="1"/>
  <c r="BF341" i="10"/>
  <c r="BU341" i="10" s="1"/>
  <c r="BB341" i="10"/>
  <c r="BD341" i="10" s="1"/>
  <c r="BF317" i="10"/>
  <c r="BU317" i="10" s="1"/>
  <c r="BB317" i="10"/>
  <c r="BD317" i="10" s="1"/>
  <c r="BF299" i="10"/>
  <c r="BU299" i="10" s="1"/>
  <c r="BB299" i="10"/>
  <c r="BD299" i="10" s="1"/>
  <c r="BF287" i="10"/>
  <c r="BU287" i="10" s="1"/>
  <c r="BY287" i="10" s="1"/>
  <c r="DU287" i="10" s="1"/>
  <c r="BB287" i="10"/>
  <c r="BD287" i="10" s="1"/>
  <c r="BF269" i="10"/>
  <c r="BU269" i="10" s="1"/>
  <c r="BB269" i="10"/>
  <c r="BD269" i="10" s="1"/>
  <c r="AN269" i="10" s="1"/>
  <c r="BF233" i="10"/>
  <c r="BU233" i="10" s="1"/>
  <c r="BB233" i="10"/>
  <c r="BD233" i="10" s="1"/>
  <c r="BY161" i="10"/>
  <c r="DU161" i="10" s="1"/>
  <c r="BY149" i="10"/>
  <c r="DU149" i="10" s="1"/>
  <c r="AX383" i="10"/>
  <c r="AU383" i="10"/>
  <c r="BE389" i="10"/>
  <c r="BT389" i="10" s="1"/>
  <c r="BX389" i="10" s="1"/>
  <c r="EC389" i="10"/>
  <c r="AX917" i="10"/>
  <c r="AU917" i="10"/>
  <c r="CA917" i="10" s="1"/>
  <c r="BE962" i="10"/>
  <c r="BT962" i="10" s="1"/>
  <c r="BA962" i="10"/>
  <c r="BC962" i="10" s="1"/>
  <c r="BE974" i="10"/>
  <c r="BT974" i="10" s="1"/>
  <c r="BA974" i="10"/>
  <c r="BC974" i="10" s="1"/>
  <c r="EC974" i="10"/>
  <c r="BE980" i="10"/>
  <c r="BT980" i="10" s="1"/>
  <c r="EC980" i="10"/>
  <c r="CA515" i="10"/>
  <c r="AQ648" i="10"/>
  <c r="AN964" i="10"/>
  <c r="CA313" i="10"/>
  <c r="BM379" i="10"/>
  <c r="BV379" i="10" s="1"/>
  <c r="BZ379" i="10" s="1"/>
  <c r="AQ486" i="10"/>
  <c r="AQ974" i="10"/>
  <c r="CA619" i="10"/>
  <c r="AW990" i="10"/>
  <c r="CA331" i="10"/>
  <c r="BB798" i="10"/>
  <c r="BD798" i="10" s="1"/>
  <c r="BJ985" i="10"/>
  <c r="BL985" i="10" s="1"/>
  <c r="AQ985" i="10" s="1"/>
  <c r="BN985" i="10"/>
  <c r="BW985" i="10" s="1"/>
  <c r="CA985" i="10" s="1"/>
  <c r="BM893" i="10"/>
  <c r="BV893" i="10" s="1"/>
  <c r="BZ893" i="10" s="1"/>
  <c r="BB732" i="10"/>
  <c r="BD732" i="10" s="1"/>
  <c r="BF1013" i="10"/>
  <c r="BU1013" i="10" s="1"/>
  <c r="BB1013" i="10"/>
  <c r="BD1013" i="10" s="1"/>
  <c r="AN1013" i="10" s="1"/>
  <c r="BF1001" i="10"/>
  <c r="BU1001" i="10" s="1"/>
  <c r="BY1001" i="10" s="1"/>
  <c r="DU1001" i="10" s="1"/>
  <c r="BB1001" i="10"/>
  <c r="BD1001" i="10" s="1"/>
  <c r="BF995" i="10"/>
  <c r="BU995" i="10" s="1"/>
  <c r="BB995" i="10"/>
  <c r="BD995" i="10" s="1"/>
  <c r="AW995" i="10" s="1"/>
  <c r="BF977" i="10"/>
  <c r="BU977" i="10" s="1"/>
  <c r="BB977" i="10"/>
  <c r="BD977" i="10" s="1"/>
  <c r="BF965" i="10"/>
  <c r="BU965" i="10" s="1"/>
  <c r="BB965" i="10"/>
  <c r="BD965" i="10" s="1"/>
  <c r="AW965" i="10" s="1"/>
  <c r="BF959" i="10"/>
  <c r="BU959" i="10" s="1"/>
  <c r="BB959" i="10"/>
  <c r="BD959" i="10" s="1"/>
  <c r="BF953" i="10"/>
  <c r="BU953" i="10" s="1"/>
  <c r="BB953" i="10"/>
  <c r="BD953" i="10" s="1"/>
  <c r="BF931" i="10"/>
  <c r="BU931" i="10" s="1"/>
  <c r="BB931" i="10"/>
  <c r="BD931" i="10" s="1"/>
  <c r="BE395" i="10"/>
  <c r="BT395" i="10" s="1"/>
  <c r="BA395" i="10"/>
  <c r="BC395" i="10" s="1"/>
  <c r="CA927" i="10"/>
  <c r="CA596" i="10"/>
  <c r="AN672" i="10"/>
  <c r="CA340" i="10"/>
  <c r="BN652" i="10"/>
  <c r="BW652" i="10" s="1"/>
  <c r="CA652" i="10" s="1"/>
  <c r="AW754" i="10"/>
  <c r="BZ876" i="10"/>
  <c r="BB564" i="10"/>
  <c r="BD564" i="10" s="1"/>
  <c r="BZ948" i="10"/>
  <c r="BI924" i="10"/>
  <c r="BK924" i="10" s="1"/>
  <c r="BM924" i="10"/>
  <c r="BV924" i="10" s="1"/>
  <c r="BZ924" i="10" s="1"/>
  <c r="BM835" i="10"/>
  <c r="BV835" i="10" s="1"/>
  <c r="BZ835" i="10" s="1"/>
  <c r="BI835" i="10"/>
  <c r="BK835" i="10" s="1"/>
  <c r="BJ816" i="10"/>
  <c r="BL816" i="10" s="1"/>
  <c r="BN816" i="10"/>
  <c r="BW816" i="10" s="1"/>
  <c r="BB756" i="10"/>
  <c r="BD756" i="10" s="1"/>
  <c r="AN756" i="10" s="1"/>
  <c r="BI744" i="10"/>
  <c r="BK744" i="10" s="1"/>
  <c r="AQ744" i="10" s="1"/>
  <c r="BM744" i="10"/>
  <c r="BV744" i="10" s="1"/>
  <c r="BZ744" i="10" s="1"/>
  <c r="BN733" i="10"/>
  <c r="BW733" i="10" s="1"/>
  <c r="BJ733" i="10"/>
  <c r="BL733" i="10" s="1"/>
  <c r="BM502" i="10"/>
  <c r="BV502" i="10" s="1"/>
  <c r="BZ502" i="10" s="1"/>
  <c r="BI502" i="10"/>
  <c r="BK502" i="10" s="1"/>
  <c r="BI315" i="10"/>
  <c r="BK315" i="10" s="1"/>
  <c r="BM315" i="10"/>
  <c r="BV315" i="10" s="1"/>
  <c r="AX560" i="10"/>
  <c r="AU560" i="10"/>
  <c r="CA560" i="10" s="1"/>
  <c r="BM333" i="10"/>
  <c r="BV333" i="10" s="1"/>
  <c r="BM391" i="10"/>
  <c r="BV391" i="10" s="1"/>
  <c r="BZ596" i="10"/>
  <c r="AQ340" i="10"/>
  <c r="BZ851" i="10"/>
  <c r="BB546" i="10"/>
  <c r="BD546" i="10" s="1"/>
  <c r="AW881" i="10"/>
  <c r="BI873" i="10"/>
  <c r="BK873" i="10" s="1"/>
  <c r="BM873" i="10"/>
  <c r="BV873" i="10" s="1"/>
  <c r="BZ873" i="10" s="1"/>
  <c r="BB828" i="10"/>
  <c r="BD828" i="10" s="1"/>
  <c r="BJ767" i="10"/>
  <c r="BL767" i="10" s="1"/>
  <c r="BN767" i="10"/>
  <c r="BW767" i="10" s="1"/>
  <c r="BB744" i="10"/>
  <c r="BD744" i="10" s="1"/>
  <c r="BM597" i="10"/>
  <c r="BV597" i="10" s="1"/>
  <c r="BZ597" i="10" s="1"/>
  <c r="BI597" i="10"/>
  <c r="BK597" i="10" s="1"/>
  <c r="BF1006" i="10"/>
  <c r="BU1006" i="10" s="1"/>
  <c r="BB1006" i="10"/>
  <c r="BD1006" i="10" s="1"/>
  <c r="BF1000" i="10"/>
  <c r="BU1000" i="10" s="1"/>
  <c r="BB1000" i="10"/>
  <c r="BD1000" i="10" s="1"/>
  <c r="AW1000" i="10" s="1"/>
  <c r="BF988" i="10"/>
  <c r="BU988" i="10" s="1"/>
  <c r="BB988" i="10"/>
  <c r="BD988" i="10" s="1"/>
  <c r="BF976" i="10"/>
  <c r="BU976" i="10" s="1"/>
  <c r="BB976" i="10"/>
  <c r="BD976" i="10" s="1"/>
  <c r="AN976" i="10" s="1"/>
  <c r="BF952" i="10"/>
  <c r="BU952" i="10" s="1"/>
  <c r="BB952" i="10"/>
  <c r="BD952" i="10" s="1"/>
  <c r="BE368" i="10"/>
  <c r="BT368" i="10" s="1"/>
  <c r="BX368" i="10" s="1"/>
  <c r="DT368" i="10" s="1"/>
  <c r="EC368" i="10"/>
  <c r="BZ962" i="10"/>
  <c r="BJ699" i="10"/>
  <c r="BL699" i="10" s="1"/>
  <c r="EC1001" i="10"/>
  <c r="CA691" i="10"/>
  <c r="CA714" i="10"/>
  <c r="AQ780" i="10"/>
  <c r="BB774" i="10"/>
  <c r="BD774" i="10" s="1"/>
  <c r="CA880" i="10"/>
  <c r="BB786" i="10"/>
  <c r="BD786" i="10" s="1"/>
  <c r="BM1013" i="10"/>
  <c r="BV1013" i="10" s="1"/>
  <c r="BZ1013" i="10" s="1"/>
  <c r="BI1013" i="10"/>
  <c r="BK1013" i="10" s="1"/>
  <c r="BJ690" i="10"/>
  <c r="BL690" i="10" s="1"/>
  <c r="AQ690" i="10" s="1"/>
  <c r="BN690" i="10"/>
  <c r="BW690" i="10" s="1"/>
  <c r="CA690" i="10" s="1"/>
  <c r="BI467" i="10"/>
  <c r="BK467" i="10" s="1"/>
  <c r="BM467" i="10"/>
  <c r="BV467" i="10" s="1"/>
  <c r="BF861" i="10"/>
  <c r="BU861" i="10" s="1"/>
  <c r="BB861" i="10"/>
  <c r="BD861" i="10" s="1"/>
  <c r="BF837" i="10"/>
  <c r="BU837" i="10" s="1"/>
  <c r="BB837" i="10"/>
  <c r="BD837" i="10" s="1"/>
  <c r="BF789" i="10"/>
  <c r="BU789" i="10" s="1"/>
  <c r="BB789" i="10"/>
  <c r="BD789" i="10" s="1"/>
  <c r="AW789" i="10" s="1"/>
  <c r="BE374" i="10"/>
  <c r="BT374" i="10" s="1"/>
  <c r="BA374" i="10"/>
  <c r="BC374" i="10" s="1"/>
  <c r="AX525" i="10"/>
  <c r="AU525" i="10"/>
  <c r="AX899" i="10"/>
  <c r="AU899" i="10"/>
  <c r="CA899" i="10" s="1"/>
  <c r="CA495" i="10"/>
  <c r="CA531" i="10"/>
  <c r="CA319" i="10"/>
  <c r="BZ730" i="10"/>
  <c r="AQ510" i="10"/>
  <c r="BZ808" i="10"/>
  <c r="BI511" i="10"/>
  <c r="BK511" i="10" s="1"/>
  <c r="BM716" i="10"/>
  <c r="BV716" i="10" s="1"/>
  <c r="BZ716" i="10" s="1"/>
  <c r="BZ880" i="10"/>
  <c r="BN979" i="10"/>
  <c r="BW979" i="10" s="1"/>
  <c r="BJ979" i="10"/>
  <c r="BL979" i="10" s="1"/>
  <c r="AQ979" i="10" s="1"/>
  <c r="BI967" i="10"/>
  <c r="BK967" i="10" s="1"/>
  <c r="AW925" i="10"/>
  <c r="BN903" i="10"/>
  <c r="BW903" i="10" s="1"/>
  <c r="CA903" i="10" s="1"/>
  <c r="BJ903" i="10"/>
  <c r="BL903" i="10" s="1"/>
  <c r="AQ903" i="10" s="1"/>
  <c r="BB804" i="10"/>
  <c r="BD804" i="10" s="1"/>
  <c r="BB792" i="10"/>
  <c r="BD792" i="10" s="1"/>
  <c r="BB468" i="10"/>
  <c r="BD468" i="10" s="1"/>
  <c r="BI383" i="10"/>
  <c r="BK383" i="10" s="1"/>
  <c r="BM383" i="10"/>
  <c r="BV383" i="10" s="1"/>
  <c r="BB366" i="10"/>
  <c r="BD366" i="10" s="1"/>
  <c r="BB336" i="10"/>
  <c r="BD336" i="10" s="1"/>
  <c r="BB330" i="10"/>
  <c r="BD330" i="10" s="1"/>
  <c r="BI277" i="10"/>
  <c r="BK277" i="10" s="1"/>
  <c r="BM277" i="10"/>
  <c r="BV277" i="10" s="1"/>
  <c r="BZ277" i="10" s="1"/>
  <c r="AX351" i="10"/>
  <c r="AU351" i="10"/>
  <c r="CA351" i="10" s="1"/>
  <c r="BZ30" i="10"/>
  <c r="BB534" i="10"/>
  <c r="BD534" i="10" s="1"/>
  <c r="AN534" i="10" s="1"/>
  <c r="AQ226" i="10"/>
  <c r="BB522" i="10"/>
  <c r="BD522" i="10" s="1"/>
  <c r="BM997" i="10"/>
  <c r="BV997" i="10" s="1"/>
  <c r="BZ997" i="10" s="1"/>
  <c r="BI997" i="10"/>
  <c r="BK997" i="10" s="1"/>
  <c r="AQ997" i="10" s="1"/>
  <c r="BB927" i="10"/>
  <c r="BD927" i="10" s="1"/>
  <c r="AW927" i="10" s="1"/>
  <c r="BM774" i="10"/>
  <c r="BV774" i="10" s="1"/>
  <c r="BI774" i="10"/>
  <c r="BK774" i="10" s="1"/>
  <c r="BI768" i="10"/>
  <c r="BK768" i="10" s="1"/>
  <c r="BM768" i="10"/>
  <c r="BV768" i="10" s="1"/>
  <c r="BB714" i="10"/>
  <c r="BD714" i="10" s="1"/>
  <c r="BI672" i="10"/>
  <c r="BK672" i="10" s="1"/>
  <c r="BM672" i="10"/>
  <c r="BV672" i="10" s="1"/>
  <c r="BZ672" i="10" s="1"/>
  <c r="BB666" i="10"/>
  <c r="BD666" i="10" s="1"/>
  <c r="BN656" i="10"/>
  <c r="BW656" i="10" s="1"/>
  <c r="BJ656" i="10"/>
  <c r="BL656" i="10" s="1"/>
  <c r="AQ656" i="10" s="1"/>
  <c r="BI582" i="10"/>
  <c r="BK582" i="10" s="1"/>
  <c r="BM582" i="10"/>
  <c r="BV582" i="10" s="1"/>
  <c r="BZ582" i="10" s="1"/>
  <c r="BN438" i="10"/>
  <c r="BW438" i="10" s="1"/>
  <c r="CA438" i="10" s="1"/>
  <c r="BJ438" i="10"/>
  <c r="BL438" i="10" s="1"/>
  <c r="AX890" i="10"/>
  <c r="AU890" i="10"/>
  <c r="CA890" i="10" s="1"/>
  <c r="BX252" i="10"/>
  <c r="BX263" i="10"/>
  <c r="DN263" i="10" s="1"/>
  <c r="BP263" i="10" s="1"/>
  <c r="BX341" i="10"/>
  <c r="BX468" i="10"/>
  <c r="DN468" i="10" s="1"/>
  <c r="BP468" i="10" s="1"/>
  <c r="BX497" i="10"/>
  <c r="BX936" i="10"/>
  <c r="DT936" i="10" s="1"/>
  <c r="AN910" i="10"/>
  <c r="BI917" i="10"/>
  <c r="BK917" i="10" s="1"/>
  <c r="AQ917" i="10" s="1"/>
  <c r="BI1009" i="10"/>
  <c r="BK1009" i="10" s="1"/>
  <c r="AQ1009" i="10" s="1"/>
  <c r="CA1014" i="10"/>
  <c r="CA763" i="10"/>
  <c r="BB699" i="10"/>
  <c r="BD699" i="10" s="1"/>
  <c r="AW699" i="10" s="1"/>
  <c r="EC384" i="10"/>
  <c r="BA260" i="10"/>
  <c r="BC260" i="10" s="1"/>
  <c r="BX183" i="10"/>
  <c r="BX253" i="10"/>
  <c r="BX286" i="10"/>
  <c r="BX353" i="10"/>
  <c r="DT353" i="10" s="1"/>
  <c r="BX545" i="10"/>
  <c r="BX992" i="10"/>
  <c r="AW889" i="10"/>
  <c r="AW901" i="10"/>
  <c r="AN897" i="10"/>
  <c r="CA740" i="10"/>
  <c r="BM682" i="10"/>
  <c r="BV682" i="10" s="1"/>
  <c r="BZ682" i="10" s="1"/>
  <c r="BZ896" i="10"/>
  <c r="BB519" i="10"/>
  <c r="BD519" i="10" s="1"/>
  <c r="BB639" i="10"/>
  <c r="BD639" i="10" s="1"/>
  <c r="BB591" i="10"/>
  <c r="BD591" i="10" s="1"/>
  <c r="AW591" i="10" s="1"/>
  <c r="CA577" i="10"/>
  <c r="BB219" i="10"/>
  <c r="BD219" i="10" s="1"/>
  <c r="BY688" i="10"/>
  <c r="DU688" i="10" s="1"/>
  <c r="BY682" i="10"/>
  <c r="DU682" i="10" s="1"/>
  <c r="BY514" i="10"/>
  <c r="DU514" i="10" s="1"/>
  <c r="BY508" i="10"/>
  <c r="DU508" i="10" s="1"/>
  <c r="BY502" i="10"/>
  <c r="DU502" i="10" s="1"/>
  <c r="BY400" i="10"/>
  <c r="DU400" i="10" s="1"/>
  <c r="BY394" i="10"/>
  <c r="DU394" i="10" s="1"/>
  <c r="BY370" i="10"/>
  <c r="DU370" i="10" s="1"/>
  <c r="BY346" i="10"/>
  <c r="DU346" i="10" s="1"/>
  <c r="BY298" i="10"/>
  <c r="DU298" i="10" s="1"/>
  <c r="BY292" i="10"/>
  <c r="DU292" i="10" s="1"/>
  <c r="BY274" i="10"/>
  <c r="DU274" i="10" s="1"/>
  <c r="BY268" i="10"/>
  <c r="DU268" i="10" s="1"/>
  <c r="BY262" i="10"/>
  <c r="DU262" i="10" s="1"/>
  <c r="BY244" i="10"/>
  <c r="DU244" i="10" s="1"/>
  <c r="BY214" i="10"/>
  <c r="DU214" i="10" s="1"/>
  <c r="BY196" i="10"/>
  <c r="DU196" i="10" s="1"/>
  <c r="BY190" i="10"/>
  <c r="DU190" i="10" s="1"/>
  <c r="BY166" i="10"/>
  <c r="DU166" i="10" s="1"/>
  <c r="BY118" i="10"/>
  <c r="DU118" i="10" s="1"/>
  <c r="BY40" i="10"/>
  <c r="DU40" i="10" s="1"/>
  <c r="BX937" i="10"/>
  <c r="DT937" i="10" s="1"/>
  <c r="BX941" i="10"/>
  <c r="DN941" i="10" s="1"/>
  <c r="BP941" i="10" s="1"/>
  <c r="DO941" i="10" s="1"/>
  <c r="AN927" i="10"/>
  <c r="BZ956" i="10"/>
  <c r="BZ868" i="10"/>
  <c r="BJ886" i="10"/>
  <c r="BL886" i="10" s="1"/>
  <c r="AQ886" i="10" s="1"/>
  <c r="BZ897" i="10"/>
  <c r="CA727" i="10"/>
  <c r="BZ726" i="10"/>
  <c r="AU357" i="10"/>
  <c r="BY935" i="10"/>
  <c r="DU935" i="10" s="1"/>
  <c r="BX412" i="10"/>
  <c r="BX510" i="10"/>
  <c r="DT510" i="10" s="1"/>
  <c r="BX516" i="10"/>
  <c r="BX534" i="10"/>
  <c r="DN534" i="10" s="1"/>
  <c r="BP534" i="10" s="1"/>
  <c r="DO534" i="10" s="1"/>
  <c r="BX714" i="10"/>
  <c r="DN714" i="10" s="1"/>
  <c r="BP714" i="10" s="1"/>
  <c r="BX883" i="10"/>
  <c r="DN883" i="10" s="1"/>
  <c r="BP883" i="10" s="1"/>
  <c r="BX892" i="10"/>
  <c r="BX901" i="10"/>
  <c r="DN901" i="10" s="1"/>
  <c r="BP901" i="10" s="1"/>
  <c r="DO901" i="10" s="1"/>
  <c r="BX910" i="10"/>
  <c r="BX919" i="10"/>
  <c r="DN919" i="10" s="1"/>
  <c r="BP919" i="10" s="1"/>
  <c r="BX928" i="10"/>
  <c r="BY705" i="10"/>
  <c r="DU705" i="10" s="1"/>
  <c r="BY699" i="10"/>
  <c r="DU699" i="10" s="1"/>
  <c r="BY543" i="10"/>
  <c r="DU543" i="10" s="1"/>
  <c r="BY537" i="10"/>
  <c r="DU537" i="10" s="1"/>
  <c r="BY519" i="10"/>
  <c r="DU519" i="10" s="1"/>
  <c r="BY171" i="10"/>
  <c r="DU171" i="10" s="1"/>
  <c r="BX998" i="10"/>
  <c r="AN919" i="10"/>
  <c r="CA974" i="10"/>
  <c r="BZ577" i="10"/>
  <c r="BZ990" i="10"/>
  <c r="AQ960" i="10"/>
  <c r="BB651" i="10"/>
  <c r="BD651" i="10" s="1"/>
  <c r="BY908" i="10"/>
  <c r="DU908" i="10" s="1"/>
  <c r="BX90" i="10"/>
  <c r="DT90" i="10" s="1"/>
  <c r="BX147" i="10"/>
  <c r="DN147" i="10" s="1"/>
  <c r="BP147" i="10" s="1"/>
  <c r="DO147" i="10" s="1"/>
  <c r="BX190" i="10"/>
  <c r="BX207" i="10"/>
  <c r="BX310" i="10"/>
  <c r="BX920" i="10"/>
  <c r="DT920" i="10" s="1"/>
  <c r="BY890" i="10"/>
  <c r="DU890" i="10" s="1"/>
  <c r="BY728" i="10"/>
  <c r="DU728" i="10" s="1"/>
  <c r="BY560" i="10"/>
  <c r="DU560" i="10" s="1"/>
  <c r="BY410" i="10"/>
  <c r="DU410" i="10" s="1"/>
  <c r="BY362" i="10"/>
  <c r="DU362" i="10" s="1"/>
  <c r="BY296" i="10"/>
  <c r="DU296" i="10" s="1"/>
  <c r="BY242" i="10"/>
  <c r="DU242" i="10" s="1"/>
  <c r="BY104" i="10"/>
  <c r="DU104" i="10" s="1"/>
  <c r="BY92" i="10"/>
  <c r="DU92" i="10" s="1"/>
  <c r="BX942" i="10"/>
  <c r="BX994" i="10"/>
  <c r="BZ1011" i="10"/>
  <c r="AQ949" i="10"/>
  <c r="BZ605" i="10"/>
  <c r="BX536" i="10"/>
  <c r="DN536" i="10" s="1"/>
  <c r="BP536" i="10" s="1"/>
  <c r="BX617" i="10"/>
  <c r="BB429" i="10"/>
  <c r="BD429" i="10" s="1"/>
  <c r="BY990" i="10"/>
  <c r="DU990" i="10" s="1"/>
  <c r="BY917" i="10"/>
  <c r="DU917" i="10" s="1"/>
  <c r="BY607" i="10"/>
  <c r="DU607" i="10" s="1"/>
  <c r="BY601" i="10"/>
  <c r="DU601" i="10" s="1"/>
  <c r="BY595" i="10"/>
  <c r="DU595" i="10" s="1"/>
  <c r="BY373" i="10"/>
  <c r="DU373" i="10" s="1"/>
  <c r="BY343" i="10"/>
  <c r="DU343" i="10" s="1"/>
  <c r="BY301" i="10"/>
  <c r="DU301" i="10" s="1"/>
  <c r="BY193" i="10"/>
  <c r="DU193" i="10" s="1"/>
  <c r="BZ902" i="10"/>
  <c r="AQ346" i="10"/>
  <c r="AN983" i="10"/>
  <c r="BZ661" i="10"/>
  <c r="BJ954" i="10"/>
  <c r="BL954" i="10" s="1"/>
  <c r="AQ954" i="10" s="1"/>
  <c r="CA967" i="10"/>
  <c r="CA843" i="10"/>
  <c r="AQ750" i="10"/>
  <c r="AQ716" i="10"/>
  <c r="BZ562" i="10"/>
  <c r="BZ403" i="10"/>
  <c r="BA341" i="10"/>
  <c r="BC341" i="10" s="1"/>
  <c r="AU265" i="10"/>
  <c r="BA258" i="10"/>
  <c r="BC258" i="10" s="1"/>
  <c r="BA252" i="10"/>
  <c r="BC252" i="10" s="1"/>
  <c r="BX28" i="10"/>
  <c r="BX138" i="10"/>
  <c r="DT138" i="10" s="1"/>
  <c r="BX268" i="10"/>
  <c r="BX935" i="10"/>
  <c r="BX948" i="10"/>
  <c r="BX990" i="10"/>
  <c r="CS31" i="10"/>
  <c r="CS54" i="10"/>
  <c r="CT34" i="10"/>
  <c r="CU34" i="10" s="1"/>
  <c r="CS42" i="10"/>
  <c r="CS30" i="10"/>
  <c r="CS103" i="10"/>
  <c r="CS91" i="10"/>
  <c r="CS102" i="10"/>
  <c r="CS79" i="10"/>
  <c r="CT55" i="10"/>
  <c r="CS90" i="10"/>
  <c r="CS67" i="10"/>
  <c r="CS78" i="10"/>
  <c r="CT70" i="10"/>
  <c r="CS55" i="10"/>
  <c r="CS56" i="10"/>
  <c r="CD111" i="10"/>
  <c r="CH111" i="10" s="1"/>
  <c r="CA111" i="10"/>
  <c r="BA58" i="10"/>
  <c r="BC58" i="10" s="1"/>
  <c r="EC87" i="10"/>
  <c r="EC29" i="10"/>
  <c r="EC52" i="10"/>
  <c r="BA52" i="10"/>
  <c r="BC52" i="10" s="1"/>
  <c r="BN97" i="10"/>
  <c r="BW97" i="10" s="1"/>
  <c r="BA23" i="10"/>
  <c r="BC23" i="10" s="1"/>
  <c r="BA99" i="10"/>
  <c r="BC99" i="10" s="1"/>
  <c r="DY77" i="10"/>
  <c r="BN28" i="10"/>
  <c r="BW28" i="10" s="1"/>
  <c r="CA28" i="10" s="1"/>
  <c r="EC93" i="10"/>
  <c r="EC58" i="10"/>
  <c r="BJ42" i="10"/>
  <c r="BL42" i="10" s="1"/>
  <c r="EC99" i="10"/>
  <c r="DY60" i="10"/>
  <c r="EC17" i="10"/>
  <c r="BN88" i="10"/>
  <c r="BW88" i="10" s="1"/>
  <c r="BA93" i="10"/>
  <c r="BC93" i="10" s="1"/>
  <c r="EC105" i="10"/>
  <c r="BA105" i="10"/>
  <c r="BC105" i="10" s="1"/>
  <c r="BA17" i="10"/>
  <c r="BC17" i="10" s="1"/>
  <c r="BJ18" i="10"/>
  <c r="BL18" i="10" s="1"/>
  <c r="BA81" i="10"/>
  <c r="BC81" i="10" s="1"/>
  <c r="EC81" i="10"/>
  <c r="EC35" i="10"/>
  <c r="BI59" i="10"/>
  <c r="BK59" i="10" s="1"/>
  <c r="CA106" i="10"/>
  <c r="BA35" i="10"/>
  <c r="BC35" i="10" s="1"/>
  <c r="EC23" i="10"/>
  <c r="CJ88" i="10"/>
  <c r="CB88" i="10"/>
  <c r="CF88" i="10" s="1"/>
  <c r="CJ106" i="10"/>
  <c r="CB106" i="10"/>
  <c r="CF106" i="10" s="1"/>
  <c r="CL86" i="10"/>
  <c r="CD86" i="10"/>
  <c r="CH86" i="10" s="1"/>
  <c r="CJ46" i="10"/>
  <c r="CB46" i="10"/>
  <c r="CF46" i="10" s="1"/>
  <c r="CJ52" i="10"/>
  <c r="CB52" i="10"/>
  <c r="CF52" i="10" s="1"/>
  <c r="CD74" i="10"/>
  <c r="CH74" i="10" s="1"/>
  <c r="CL74" i="10"/>
  <c r="CJ93" i="10"/>
  <c r="CB93" i="10"/>
  <c r="CF93" i="10" s="1"/>
  <c r="CD108" i="10"/>
  <c r="CH108" i="10" s="1"/>
  <c r="CL108" i="10"/>
  <c r="CJ57" i="10"/>
  <c r="CB57" i="10"/>
  <c r="CF57" i="10" s="1"/>
  <c r="CL85" i="10"/>
  <c r="CD92" i="10"/>
  <c r="CH92" i="10" s="1"/>
  <c r="CA85" i="10"/>
  <c r="AU71" i="10"/>
  <c r="CT106" i="10"/>
  <c r="CT91" i="10"/>
  <c r="CL28" i="10"/>
  <c r="DT28" i="10" s="1"/>
  <c r="BX40" i="10"/>
  <c r="CI82" i="10"/>
  <c r="CG33" i="10"/>
  <c r="CB105" i="10"/>
  <c r="CF105" i="10" s="1"/>
  <c r="AU65" i="10"/>
  <c r="AY44" i="10"/>
  <c r="AU88" i="10"/>
  <c r="CI88" i="10" s="1"/>
  <c r="CT26" i="10"/>
  <c r="CU26" i="10" s="1"/>
  <c r="CG71" i="10"/>
  <c r="CS68" i="10"/>
  <c r="DA101" i="10"/>
  <c r="DA89" i="10"/>
  <c r="DA77" i="10"/>
  <c r="DA65" i="10"/>
  <c r="DA53" i="10"/>
  <c r="DA41" i="10"/>
  <c r="DA29" i="10"/>
  <c r="BY88" i="10"/>
  <c r="DU88" i="10" s="1"/>
  <c r="BY22" i="10"/>
  <c r="DU22" i="10" s="1"/>
  <c r="AY34" i="10"/>
  <c r="AU105" i="10"/>
  <c r="CA73" i="10"/>
  <c r="CT97" i="10"/>
  <c r="CU97" i="10" s="1"/>
  <c r="BX108" i="10"/>
  <c r="CB33" i="10"/>
  <c r="CF33" i="10" s="1"/>
  <c r="AU33" i="10"/>
  <c r="CI33" i="10" s="1"/>
  <c r="CG65" i="10"/>
  <c r="BX48" i="10"/>
  <c r="CT19" i="10"/>
  <c r="CT22" i="10"/>
  <c r="CG105" i="10"/>
  <c r="CG88" i="10"/>
  <c r="CB65" i="10"/>
  <c r="CF65" i="10" s="1"/>
  <c r="CS104" i="10"/>
  <c r="CI85" i="10"/>
  <c r="CS19" i="10"/>
  <c r="DA21" i="10"/>
  <c r="CS25" i="10"/>
  <c r="CB71" i="10"/>
  <c r="CF71" i="10" s="1"/>
  <c r="BX88" i="10"/>
  <c r="CS17" i="10"/>
  <c r="CS15" i="10"/>
  <c r="AU16" i="10"/>
  <c r="DY16" i="10"/>
  <c r="EA16" i="10" s="1"/>
  <c r="CS16" i="10"/>
  <c r="BF900" i="10"/>
  <c r="BU900" i="10" s="1"/>
  <c r="BB900" i="10"/>
  <c r="BD900" i="10" s="1"/>
  <c r="CL398" i="10"/>
  <c r="CD398" i="10"/>
  <c r="CH398" i="10" s="1"/>
  <c r="AY534" i="10"/>
  <c r="BZ534" i="10"/>
  <c r="CD714" i="10"/>
  <c r="CH714" i="10" s="1"/>
  <c r="CL714" i="10"/>
  <c r="AW945" i="10"/>
  <c r="AN945" i="10"/>
  <c r="CL485" i="10"/>
  <c r="CD485" i="10"/>
  <c r="CH485" i="10" s="1"/>
  <c r="AX295" i="10"/>
  <c r="AU295" i="10"/>
  <c r="BE335" i="10"/>
  <c r="BT335" i="10" s="1"/>
  <c r="EC335" i="10"/>
  <c r="CB455" i="10"/>
  <c r="CF455" i="10" s="1"/>
  <c r="AX566" i="10"/>
  <c r="AU566" i="10"/>
  <c r="AY566" i="10" s="1"/>
  <c r="AX572" i="10"/>
  <c r="AU572" i="10"/>
  <c r="BE578" i="10"/>
  <c r="BT578" i="10" s="1"/>
  <c r="BX578" i="10" s="1"/>
  <c r="DT578" i="10" s="1"/>
  <c r="BA578" i="10"/>
  <c r="BC578" i="10" s="1"/>
  <c r="AW578" i="10" s="1"/>
  <c r="EC578" i="10"/>
  <c r="AX583" i="10"/>
  <c r="AU583" i="10"/>
  <c r="CA583" i="10" s="1"/>
  <c r="AX589" i="10"/>
  <c r="AU589" i="10"/>
  <c r="CI589" i="10" s="1"/>
  <c r="CI219" i="10"/>
  <c r="CD264" i="10"/>
  <c r="CH264" i="10" s="1"/>
  <c r="CL219" i="10"/>
  <c r="CL41" i="10"/>
  <c r="CD41" i="10"/>
  <c r="CH41" i="10" s="1"/>
  <c r="CD69" i="10"/>
  <c r="CH69" i="10" s="1"/>
  <c r="CL69" i="10"/>
  <c r="AW954" i="10"/>
  <c r="AN954" i="10"/>
  <c r="AN943" i="10"/>
  <c r="AW943" i="10"/>
  <c r="AX39" i="10"/>
  <c r="AU39" i="10"/>
  <c r="CI39" i="10" s="1"/>
  <c r="BE45" i="10"/>
  <c r="BT45" i="10" s="1"/>
  <c r="DY45" i="10" s="1"/>
  <c r="BA45" i="10"/>
  <c r="BC45" i="10" s="1"/>
  <c r="EC45" i="10"/>
  <c r="BE116" i="10"/>
  <c r="BT116" i="10" s="1"/>
  <c r="DY116" i="10" s="1"/>
  <c r="EC116" i="10"/>
  <c r="BA116" i="10"/>
  <c r="BC116" i="10" s="1"/>
  <c r="CJ138" i="10"/>
  <c r="CB138" i="10"/>
  <c r="BE161" i="10"/>
  <c r="BT161" i="10" s="1"/>
  <c r="DY161" i="10" s="1"/>
  <c r="EC161" i="10"/>
  <c r="BA161" i="10"/>
  <c r="BC161" i="10" s="1"/>
  <c r="BE166" i="10"/>
  <c r="BT166" i="10" s="1"/>
  <c r="BA166" i="10"/>
  <c r="BC166" i="10" s="1"/>
  <c r="EC166" i="10"/>
  <c r="AX241" i="10"/>
  <c r="AU241" i="10"/>
  <c r="CJ301" i="10"/>
  <c r="CB301" i="10"/>
  <c r="BE410" i="10"/>
  <c r="BT410" i="10" s="1"/>
  <c r="DY410" i="10" s="1"/>
  <c r="EC410" i="10"/>
  <c r="BA410" i="10"/>
  <c r="BC410" i="10" s="1"/>
  <c r="CJ956" i="10"/>
  <c r="CB956" i="10"/>
  <c r="CL498" i="10"/>
  <c r="CD498" i="10"/>
  <c r="CH498" i="10" s="1"/>
  <c r="BI184" i="10"/>
  <c r="BK184" i="10" s="1"/>
  <c r="BM184" i="10"/>
  <c r="BV184" i="10" s="1"/>
  <c r="BZ184" i="10" s="1"/>
  <c r="BI190" i="10"/>
  <c r="BK190" i="10" s="1"/>
  <c r="BM190" i="10"/>
  <c r="BV190" i="10" s="1"/>
  <c r="BI203" i="10"/>
  <c r="BK203" i="10" s="1"/>
  <c r="AQ203" i="10" s="1"/>
  <c r="BM203" i="10"/>
  <c r="BV203" i="10" s="1"/>
  <c r="BZ203" i="10" s="1"/>
  <c r="CL268" i="10"/>
  <c r="CD268" i="10"/>
  <c r="CH268" i="10" s="1"/>
  <c r="CD447" i="10"/>
  <c r="CH447" i="10" s="1"/>
  <c r="CL447" i="10"/>
  <c r="CL608" i="10"/>
  <c r="CD608" i="10"/>
  <c r="CH608" i="10" s="1"/>
  <c r="AN888" i="10"/>
  <c r="AW888" i="10"/>
  <c r="CD766" i="10"/>
  <c r="CH766" i="10" s="1"/>
  <c r="CL766" i="10"/>
  <c r="CL843" i="10"/>
  <c r="CD843" i="10"/>
  <c r="CH843" i="10" s="1"/>
  <c r="BN404" i="10"/>
  <c r="BW404" i="10" s="1"/>
  <c r="CA404" i="10" s="1"/>
  <c r="BJ404" i="10"/>
  <c r="BL404" i="10" s="1"/>
  <c r="AQ404" i="10" s="1"/>
  <c r="CJ132" i="10"/>
  <c r="CB132" i="10"/>
  <c r="CF132" i="10" s="1"/>
  <c r="BE236" i="10"/>
  <c r="BT236" i="10" s="1"/>
  <c r="DY236" i="10" s="1"/>
  <c r="EC236" i="10"/>
  <c r="AX246" i="10"/>
  <c r="AU246" i="10"/>
  <c r="CJ405" i="10"/>
  <c r="CB405" i="10"/>
  <c r="CF405" i="10" s="1"/>
  <c r="CJ948" i="10"/>
  <c r="CB948" i="10"/>
  <c r="DY948" i="10"/>
  <c r="CG589" i="10"/>
  <c r="CD524" i="10"/>
  <c r="CH524" i="10" s="1"/>
  <c r="CL524" i="10"/>
  <c r="BJ58" i="10"/>
  <c r="BL58" i="10" s="1"/>
  <c r="AQ58" i="10" s="1"/>
  <c r="BN58" i="10"/>
  <c r="BW58" i="10" s="1"/>
  <c r="CA58" i="10" s="1"/>
  <c r="BM78" i="10"/>
  <c r="BV78" i="10" s="1"/>
  <c r="BZ78" i="10" s="1"/>
  <c r="BI78" i="10"/>
  <c r="BK78" i="10" s="1"/>
  <c r="BM93" i="10"/>
  <c r="BV93" i="10" s="1"/>
  <c r="BZ93" i="10" s="1"/>
  <c r="BI93" i="10"/>
  <c r="BK93" i="10" s="1"/>
  <c r="AQ93" i="10" s="1"/>
  <c r="BI106" i="10"/>
  <c r="BK106" i="10" s="1"/>
  <c r="BM106" i="10"/>
  <c r="BV106" i="10" s="1"/>
  <c r="BZ106" i="10" s="1"/>
  <c r="BI111" i="10"/>
  <c r="BK111" i="10" s="1"/>
  <c r="BM111" i="10"/>
  <c r="BV111" i="10" s="1"/>
  <c r="BZ111" i="10" s="1"/>
  <c r="BM115" i="10"/>
  <c r="BV115" i="10" s="1"/>
  <c r="BI115" i="10"/>
  <c r="BK115" i="10" s="1"/>
  <c r="BI120" i="10"/>
  <c r="BK120" i="10" s="1"/>
  <c r="BM120" i="10"/>
  <c r="BV120" i="10" s="1"/>
  <c r="BI125" i="10"/>
  <c r="BK125" i="10" s="1"/>
  <c r="BM125" i="10"/>
  <c r="BV125" i="10" s="1"/>
  <c r="BZ125" i="10" s="1"/>
  <c r="BN129" i="10"/>
  <c r="BW129" i="10" s="1"/>
  <c r="CA129" i="10" s="1"/>
  <c r="BJ129" i="10"/>
  <c r="BL129" i="10" s="1"/>
  <c r="BI139" i="10"/>
  <c r="BK139" i="10" s="1"/>
  <c r="BM139" i="10"/>
  <c r="BV139" i="10" s="1"/>
  <c r="BZ139" i="10" s="1"/>
  <c r="BM157" i="10"/>
  <c r="BV157" i="10" s="1"/>
  <c r="BI157" i="10"/>
  <c r="BK157" i="10" s="1"/>
  <c r="CA466" i="10"/>
  <c r="AY466" i="10"/>
  <c r="BZ482" i="10"/>
  <c r="AY482" i="10"/>
  <c r="CD675" i="10"/>
  <c r="CH675" i="10" s="1"/>
  <c r="CL675" i="10"/>
  <c r="CL998" i="10"/>
  <c r="CD998" i="10"/>
  <c r="CH998" i="10" s="1"/>
  <c r="AN917" i="10"/>
  <c r="AW917" i="10"/>
  <c r="CL203" i="10"/>
  <c r="CD203" i="10"/>
  <c r="CH203" i="10" s="1"/>
  <c r="BJ50" i="10"/>
  <c r="BL50" i="10" s="1"/>
  <c r="AQ50" i="10" s="1"/>
  <c r="BN50" i="10"/>
  <c r="BW50" i="10" s="1"/>
  <c r="CA50" i="10" s="1"/>
  <c r="AY291" i="10"/>
  <c r="BZ291" i="10"/>
  <c r="CL687" i="10"/>
  <c r="CD687" i="10"/>
  <c r="CH687" i="10" s="1"/>
  <c r="CD918" i="10"/>
  <c r="CH918" i="10" s="1"/>
  <c r="CL918" i="10"/>
  <c r="BZ1005" i="10"/>
  <c r="CA1005" i="10"/>
  <c r="AY1005" i="10"/>
  <c r="CD802" i="10"/>
  <c r="CH802" i="10" s="1"/>
  <c r="CL802" i="10"/>
  <c r="AY368" i="10"/>
  <c r="CA368" i="10"/>
  <c r="AN934" i="10"/>
  <c r="AW934" i="10"/>
  <c r="AY954" i="10"/>
  <c r="CA954" i="10"/>
  <c r="BZ954" i="10"/>
  <c r="BM895" i="10"/>
  <c r="BV895" i="10" s="1"/>
  <c r="BI895" i="10"/>
  <c r="BK895" i="10" s="1"/>
  <c r="AQ895" i="10" s="1"/>
  <c r="BI857" i="10"/>
  <c r="BK857" i="10" s="1"/>
  <c r="BM857" i="10"/>
  <c r="BV857" i="10" s="1"/>
  <c r="BI753" i="10"/>
  <c r="BK753" i="10" s="1"/>
  <c r="BM753" i="10"/>
  <c r="BV753" i="10" s="1"/>
  <c r="BZ753" i="10" s="1"/>
  <c r="CL708" i="10"/>
  <c r="CD708" i="10"/>
  <c r="CH708" i="10" s="1"/>
  <c r="CG572" i="10"/>
  <c r="CB111" i="10"/>
  <c r="CF111" i="10" s="1"/>
  <c r="CL50" i="10"/>
  <c r="AY163" i="10"/>
  <c r="CD163" i="10" s="1"/>
  <c r="CH163" i="10" s="1"/>
  <c r="CA163" i="10"/>
  <c r="BJ37" i="10"/>
  <c r="BL37" i="10" s="1"/>
  <c r="BN37" i="10"/>
  <c r="BW37" i="10" s="1"/>
  <c r="AY275" i="10"/>
  <c r="CA275" i="10"/>
  <c r="AY642" i="10"/>
  <c r="CA219" i="10"/>
  <c r="CD452" i="10"/>
  <c r="CH452" i="10" s="1"/>
  <c r="CL452" i="10"/>
  <c r="AY322" i="10"/>
  <c r="CA322" i="10"/>
  <c r="BN19" i="10"/>
  <c r="BW19" i="10" s="1"/>
  <c r="BJ19" i="10"/>
  <c r="BL19" i="10" s="1"/>
  <c r="AQ19" i="10" s="1"/>
  <c r="BM33" i="10"/>
  <c r="BV33" i="10" s="1"/>
  <c r="BI33" i="10"/>
  <c r="BK33" i="10" s="1"/>
  <c r="AY893" i="10"/>
  <c r="CA893" i="10"/>
  <c r="AW921" i="10"/>
  <c r="AN921" i="10"/>
  <c r="CD606" i="10"/>
  <c r="CH606" i="10" s="1"/>
  <c r="CL606" i="10"/>
  <c r="CD429" i="10"/>
  <c r="CH429" i="10" s="1"/>
  <c r="CL429" i="10"/>
  <c r="CB268" i="10"/>
  <c r="CD236" i="10"/>
  <c r="CH236" i="10" s="1"/>
  <c r="CL236" i="10"/>
  <c r="CD732" i="10"/>
  <c r="CH732" i="10" s="1"/>
  <c r="CL732" i="10"/>
  <c r="CL699" i="10"/>
  <c r="CD699" i="10"/>
  <c r="CH699" i="10" s="1"/>
  <c r="CL741" i="10"/>
  <c r="CD741" i="10"/>
  <c r="CH741" i="10" s="1"/>
  <c r="AN899" i="10"/>
  <c r="AW899" i="10"/>
  <c r="AN992" i="10"/>
  <c r="AW992" i="10"/>
  <c r="BM980" i="10"/>
  <c r="BV980" i="10" s="1"/>
  <c r="BZ980" i="10" s="1"/>
  <c r="BI980" i="10"/>
  <c r="BK980" i="10" s="1"/>
  <c r="AQ980" i="10" s="1"/>
  <c r="BM978" i="10"/>
  <c r="BV978" i="10" s="1"/>
  <c r="BZ978" i="10" s="1"/>
  <c r="BI978" i="10"/>
  <c r="BK978" i="10" s="1"/>
  <c r="AQ978" i="10" s="1"/>
  <c r="BI937" i="10"/>
  <c r="BK937" i="10" s="1"/>
  <c r="BM937" i="10"/>
  <c r="BV937" i="10" s="1"/>
  <c r="BZ937" i="10" s="1"/>
  <c r="AN936" i="10"/>
  <c r="CG295" i="10"/>
  <c r="CL225" i="10"/>
  <c r="CD225" i="10"/>
  <c r="CH225" i="10" s="1"/>
  <c r="CD418" i="10"/>
  <c r="CH418" i="10" s="1"/>
  <c r="CL418" i="10"/>
  <c r="AY575" i="10"/>
  <c r="BZ575" i="10"/>
  <c r="CD691" i="10"/>
  <c r="CH691" i="10" s="1"/>
  <c r="CL691" i="10"/>
  <c r="AN895" i="10"/>
  <c r="AW895" i="10"/>
  <c r="CL836" i="10"/>
  <c r="CD836" i="10"/>
  <c r="CH836" i="10" s="1"/>
  <c r="CL657" i="10"/>
  <c r="CD657" i="10"/>
  <c r="CH657" i="10" s="1"/>
  <c r="AY810" i="10"/>
  <c r="BZ810" i="10"/>
  <c r="CA396" i="10"/>
  <c r="AY396" i="10"/>
  <c r="CL1010" i="10"/>
  <c r="CD1010" i="10"/>
  <c r="CH1010" i="10" s="1"/>
  <c r="CG583" i="10"/>
  <c r="CG566" i="10"/>
  <c r="CG241" i="10"/>
  <c r="CL491" i="10"/>
  <c r="CD491" i="10"/>
  <c r="CH491" i="10" s="1"/>
  <c r="CL175" i="10"/>
  <c r="CD175" i="10"/>
  <c r="CH175" i="10" s="1"/>
  <c r="AY45" i="10"/>
  <c r="CA45" i="10"/>
  <c r="AY238" i="10"/>
  <c r="CL238" i="10" s="1"/>
  <c r="AY406" i="10"/>
  <c r="CA406" i="10"/>
  <c r="CD793" i="10"/>
  <c r="CH793" i="10" s="1"/>
  <c r="CL793" i="10"/>
  <c r="AN972" i="10"/>
  <c r="AW972" i="10"/>
  <c r="AN987" i="10"/>
  <c r="AW987" i="10"/>
  <c r="CI322" i="10"/>
  <c r="DY906" i="10"/>
  <c r="CL941" i="10"/>
  <c r="CD941" i="10"/>
  <c r="CH941" i="10" s="1"/>
  <c r="CD350" i="10"/>
  <c r="CH350" i="10" s="1"/>
  <c r="CL350" i="10"/>
  <c r="CD885" i="10"/>
  <c r="CH885" i="10" s="1"/>
  <c r="CL885" i="10"/>
  <c r="CD339" i="10"/>
  <c r="CH339" i="10" s="1"/>
  <c r="CL339" i="10"/>
  <c r="BA236" i="10"/>
  <c r="BC236" i="10" s="1"/>
  <c r="AW236" i="10" s="1"/>
  <c r="AQ324" i="10"/>
  <c r="AW880" i="10"/>
  <c r="BI759" i="10"/>
  <c r="BK759" i="10" s="1"/>
  <c r="BM759" i="10"/>
  <c r="BV759" i="10" s="1"/>
  <c r="BN707" i="10"/>
  <c r="BW707" i="10" s="1"/>
  <c r="CA707" i="10" s="1"/>
  <c r="BJ707" i="10"/>
  <c r="BL707" i="10" s="1"/>
  <c r="AQ707" i="10" s="1"/>
  <c r="BJ410" i="10"/>
  <c r="BL410" i="10" s="1"/>
  <c r="BN410" i="10"/>
  <c r="BW410" i="10" s="1"/>
  <c r="BE220" i="10"/>
  <c r="BT220" i="10" s="1"/>
  <c r="BA220" i="10"/>
  <c r="BC220" i="10" s="1"/>
  <c r="EC220" i="10"/>
  <c r="AU230" i="10"/>
  <c r="CA230" i="10" s="1"/>
  <c r="AX230" i="10"/>
  <c r="BE242" i="10"/>
  <c r="BT242" i="10" s="1"/>
  <c r="DY242" i="10" s="1"/>
  <c r="BA242" i="10"/>
  <c r="BC242" i="10" s="1"/>
  <c r="EC242" i="10"/>
  <c r="AX290" i="10"/>
  <c r="AU290" i="10"/>
  <c r="AX330" i="10"/>
  <c r="AU330" i="10"/>
  <c r="AX335" i="10"/>
  <c r="AU335" i="10"/>
  <c r="CA335" i="10" s="1"/>
  <c r="BE400" i="10"/>
  <c r="BT400" i="10" s="1"/>
  <c r="DY400" i="10" s="1"/>
  <c r="EC400" i="10"/>
  <c r="BE405" i="10"/>
  <c r="BT405" i="10" s="1"/>
  <c r="EC405" i="10"/>
  <c r="BJ83" i="10"/>
  <c r="BL83" i="10" s="1"/>
  <c r="AY154" i="10"/>
  <c r="BN167" i="10"/>
  <c r="BW167" i="10" s="1"/>
  <c r="CA167" i="10" s="1"/>
  <c r="AW1008" i="10"/>
  <c r="AW537" i="10"/>
  <c r="AN880" i="10"/>
  <c r="BJ120" i="10"/>
  <c r="BL120" i="10" s="1"/>
  <c r="BN474" i="10"/>
  <c r="BW474" i="10" s="1"/>
  <c r="BJ939" i="10"/>
  <c r="BL939" i="10" s="1"/>
  <c r="BN939" i="10"/>
  <c r="BW939" i="10" s="1"/>
  <c r="CA939" i="10" s="1"/>
  <c r="BI928" i="10"/>
  <c r="BK928" i="10" s="1"/>
  <c r="AQ928" i="10" s="1"/>
  <c r="BM928" i="10"/>
  <c r="BV928" i="10" s="1"/>
  <c r="BZ928" i="10" s="1"/>
  <c r="AQ882" i="10"/>
  <c r="BJ874" i="10"/>
  <c r="BL874" i="10" s="1"/>
  <c r="BN874" i="10"/>
  <c r="BW874" i="10" s="1"/>
  <c r="CA874" i="10" s="1"/>
  <c r="BJ866" i="10"/>
  <c r="BL866" i="10" s="1"/>
  <c r="BN866" i="10"/>
  <c r="BW866" i="10" s="1"/>
  <c r="CA866" i="10" s="1"/>
  <c r="BI818" i="10"/>
  <c r="BK818" i="10" s="1"/>
  <c r="BM818" i="10"/>
  <c r="BV818" i="10" s="1"/>
  <c r="BZ818" i="10" s="1"/>
  <c r="BN765" i="10"/>
  <c r="BW765" i="10" s="1"/>
  <c r="CA765" i="10" s="1"/>
  <c r="BJ765" i="10"/>
  <c r="BL765" i="10" s="1"/>
  <c r="BI712" i="10"/>
  <c r="BK712" i="10" s="1"/>
  <c r="BM712" i="10"/>
  <c r="BV712" i="10" s="1"/>
  <c r="BZ712" i="10" s="1"/>
  <c r="BN576" i="10"/>
  <c r="BW576" i="10" s="1"/>
  <c r="CA576" i="10" s="1"/>
  <c r="BJ576" i="10"/>
  <c r="BL576" i="10" s="1"/>
  <c r="BN415" i="10"/>
  <c r="BW415" i="10" s="1"/>
  <c r="CA415" i="10" s="1"/>
  <c r="BJ415" i="10"/>
  <c r="BL415" i="10" s="1"/>
  <c r="BM410" i="10"/>
  <c r="BV410" i="10" s="1"/>
  <c r="BI410" i="10"/>
  <c r="BK410" i="10" s="1"/>
  <c r="BN308" i="10"/>
  <c r="BW308" i="10" s="1"/>
  <c r="CA308" i="10" s="1"/>
  <c r="BJ308" i="10"/>
  <c r="BL308" i="10" s="1"/>
  <c r="AQ308" i="10" s="1"/>
  <c r="BN290" i="10"/>
  <c r="BW290" i="10" s="1"/>
  <c r="BJ290" i="10"/>
  <c r="BL290" i="10" s="1"/>
  <c r="BM289" i="10"/>
  <c r="BV289" i="10" s="1"/>
  <c r="BZ289" i="10" s="1"/>
  <c r="BI289" i="10"/>
  <c r="BK289" i="10" s="1"/>
  <c r="CA195" i="10"/>
  <c r="BJ157" i="10"/>
  <c r="BL157" i="10" s="1"/>
  <c r="BI130" i="10"/>
  <c r="BK130" i="10" s="1"/>
  <c r="CA378" i="10"/>
  <c r="AQ224" i="10"/>
  <c r="CA526" i="10"/>
  <c r="CA687" i="10"/>
  <c r="BZ900" i="10"/>
  <c r="BJ484" i="10"/>
  <c r="BL484" i="10" s="1"/>
  <c r="BI964" i="10"/>
  <c r="BK964" i="10" s="1"/>
  <c r="AQ964" i="10" s="1"/>
  <c r="BM964" i="10"/>
  <c r="BV964" i="10" s="1"/>
  <c r="BZ964" i="10" s="1"/>
  <c r="BI963" i="10"/>
  <c r="BK963" i="10" s="1"/>
  <c r="BM963" i="10"/>
  <c r="BV963" i="10" s="1"/>
  <c r="BZ963" i="10" s="1"/>
  <c r="BM874" i="10"/>
  <c r="BV874" i="10" s="1"/>
  <c r="BZ874" i="10" s="1"/>
  <c r="BI874" i="10"/>
  <c r="BK874" i="10" s="1"/>
  <c r="BI866" i="10"/>
  <c r="BK866" i="10" s="1"/>
  <c r="BM866" i="10"/>
  <c r="BV866" i="10" s="1"/>
  <c r="BZ866" i="10" s="1"/>
  <c r="BM765" i="10"/>
  <c r="BV765" i="10" s="1"/>
  <c r="BI765" i="10"/>
  <c r="BK765" i="10" s="1"/>
  <c r="BM760" i="10"/>
  <c r="BV760" i="10" s="1"/>
  <c r="BZ760" i="10" s="1"/>
  <c r="BI760" i="10"/>
  <c r="BK760" i="10" s="1"/>
  <c r="CA720" i="10"/>
  <c r="BI714" i="10"/>
  <c r="BK714" i="10" s="1"/>
  <c r="AQ714" i="10" s="1"/>
  <c r="BM714" i="10"/>
  <c r="BV714" i="10" s="1"/>
  <c r="BZ714" i="10" s="1"/>
  <c r="BJ713" i="10"/>
  <c r="BL713" i="10" s="1"/>
  <c r="AQ713" i="10" s="1"/>
  <c r="BN713" i="10"/>
  <c r="BW713" i="10" s="1"/>
  <c r="CA713" i="10" s="1"/>
  <c r="BN641" i="10"/>
  <c r="BW641" i="10" s="1"/>
  <c r="CA641" i="10" s="1"/>
  <c r="BJ641" i="10"/>
  <c r="BL641" i="10" s="1"/>
  <c r="BJ634" i="10"/>
  <c r="BL634" i="10" s="1"/>
  <c r="BN634" i="10"/>
  <c r="BW634" i="10" s="1"/>
  <c r="BJ585" i="10"/>
  <c r="BL585" i="10" s="1"/>
  <c r="BN585" i="10"/>
  <c r="BW585" i="10" s="1"/>
  <c r="CA585" i="10" s="1"/>
  <c r="BI506" i="10"/>
  <c r="BK506" i="10" s="1"/>
  <c r="BM506" i="10"/>
  <c r="BV506" i="10" s="1"/>
  <c r="BZ506" i="10" s="1"/>
  <c r="BM501" i="10"/>
  <c r="BV501" i="10" s="1"/>
  <c r="BZ501" i="10" s="1"/>
  <c r="BI501" i="10"/>
  <c r="BK501" i="10" s="1"/>
  <c r="AQ501" i="10" s="1"/>
  <c r="BM425" i="10"/>
  <c r="BV425" i="10" s="1"/>
  <c r="BI425" i="10"/>
  <c r="BK425" i="10" s="1"/>
  <c r="AQ425" i="10" s="1"/>
  <c r="BI419" i="10"/>
  <c r="BK419" i="10" s="1"/>
  <c r="BM419" i="10"/>
  <c r="BV419" i="10" s="1"/>
  <c r="BZ419" i="10" s="1"/>
  <c r="CA30" i="10"/>
  <c r="CA94" i="10"/>
  <c r="BN46" i="10"/>
  <c r="BW46" i="10" s="1"/>
  <c r="CA46" i="10" s="1"/>
  <c r="AY75" i="10"/>
  <c r="BI207" i="10"/>
  <c r="BK207" i="10" s="1"/>
  <c r="CA506" i="10"/>
  <c r="BN24" i="10"/>
  <c r="BW24" i="10" s="1"/>
  <c r="BJ59" i="10"/>
  <c r="BL59" i="10" s="1"/>
  <c r="BJ134" i="10"/>
  <c r="BL134" i="10" s="1"/>
  <c r="BM181" i="10"/>
  <c r="BV181" i="10" s="1"/>
  <c r="BZ181" i="10" s="1"/>
  <c r="BZ98" i="10"/>
  <c r="BZ331" i="10"/>
  <c r="CA983" i="10"/>
  <c r="BI564" i="10"/>
  <c r="BK564" i="10" s="1"/>
  <c r="BM1010" i="10"/>
  <c r="BV1010" i="10" s="1"/>
  <c r="BZ1010" i="10" s="1"/>
  <c r="BI1010" i="10"/>
  <c r="BK1010" i="10" s="1"/>
  <c r="BM940" i="10"/>
  <c r="BV940" i="10" s="1"/>
  <c r="BZ940" i="10" s="1"/>
  <c r="BI940" i="10"/>
  <c r="BK940" i="10" s="1"/>
  <c r="CA922" i="10"/>
  <c r="BN875" i="10"/>
  <c r="BW875" i="10" s="1"/>
  <c r="CA875" i="10" s="1"/>
  <c r="BJ875" i="10"/>
  <c r="BL875" i="10" s="1"/>
  <c r="BN826" i="10"/>
  <c r="BW826" i="10" s="1"/>
  <c r="CA826" i="10" s="1"/>
  <c r="BJ826" i="10"/>
  <c r="BL826" i="10" s="1"/>
  <c r="BJ801" i="10"/>
  <c r="BL801" i="10" s="1"/>
  <c r="BN801" i="10"/>
  <c r="BW801" i="10" s="1"/>
  <c r="CA801" i="10" s="1"/>
  <c r="BJ646" i="10"/>
  <c r="BL646" i="10" s="1"/>
  <c r="BN646" i="10"/>
  <c r="BW646" i="10" s="1"/>
  <c r="CA646" i="10" s="1"/>
  <c r="BI585" i="10"/>
  <c r="BK585" i="10" s="1"/>
  <c r="BM585" i="10"/>
  <c r="BV585" i="10" s="1"/>
  <c r="BZ585" i="10" s="1"/>
  <c r="BN203" i="10"/>
  <c r="BW203" i="10" s="1"/>
  <c r="CA203" i="10" s="1"/>
  <c r="CA175" i="10"/>
  <c r="CA777" i="10"/>
  <c r="BZ579" i="10"/>
  <c r="BZ817" i="10"/>
  <c r="BZ69" i="10"/>
  <c r="BJ199" i="10"/>
  <c r="BL199" i="10" s="1"/>
  <c r="AN990" i="10"/>
  <c r="BZ644" i="10"/>
  <c r="BZ612" i="10"/>
  <c r="AQ918" i="10"/>
  <c r="BN973" i="10"/>
  <c r="BW973" i="10" s="1"/>
  <c r="CA973" i="10" s="1"/>
  <c r="BJ973" i="10"/>
  <c r="BL973" i="10" s="1"/>
  <c r="BN941" i="10"/>
  <c r="BW941" i="10" s="1"/>
  <c r="CA941" i="10" s="1"/>
  <c r="BJ941" i="10"/>
  <c r="BL941" i="10" s="1"/>
  <c r="BJ814" i="10"/>
  <c r="BL814" i="10" s="1"/>
  <c r="BN814" i="10"/>
  <c r="BW814" i="10" s="1"/>
  <c r="CA814" i="10" s="1"/>
  <c r="BM813" i="10"/>
  <c r="BV813" i="10" s="1"/>
  <c r="BI813" i="10"/>
  <c r="BK813" i="10" s="1"/>
  <c r="BJ808" i="10"/>
  <c r="BL808" i="10" s="1"/>
  <c r="BN808" i="10"/>
  <c r="BW808" i="10" s="1"/>
  <c r="CA808" i="10" s="1"/>
  <c r="BJ653" i="10"/>
  <c r="BL653" i="10" s="1"/>
  <c r="BN653" i="10"/>
  <c r="BW653" i="10" s="1"/>
  <c r="CA653" i="10" s="1"/>
  <c r="BM598" i="10"/>
  <c r="BV598" i="10" s="1"/>
  <c r="BI598" i="10"/>
  <c r="BK598" i="10" s="1"/>
  <c r="AQ598" i="10" s="1"/>
  <c r="BJ514" i="10"/>
  <c r="BL514" i="10" s="1"/>
  <c r="BN514" i="10"/>
  <c r="BW514" i="10" s="1"/>
  <c r="BJ435" i="10"/>
  <c r="BL435" i="10" s="1"/>
  <c r="BN435" i="10"/>
  <c r="BW435" i="10" s="1"/>
  <c r="CA435" i="10" s="1"/>
  <c r="BN347" i="10"/>
  <c r="BW347" i="10" s="1"/>
  <c r="BJ347" i="10"/>
  <c r="BL347" i="10" s="1"/>
  <c r="AQ347" i="10" s="1"/>
  <c r="BJ339" i="10"/>
  <c r="BL339" i="10" s="1"/>
  <c r="BN339" i="10"/>
  <c r="BW339" i="10" s="1"/>
  <c r="CA339" i="10" s="1"/>
  <c r="BN333" i="10"/>
  <c r="BW333" i="10" s="1"/>
  <c r="CA333" i="10" s="1"/>
  <c r="BJ333" i="10"/>
  <c r="BL333" i="10" s="1"/>
  <c r="AQ333" i="10" s="1"/>
  <c r="BZ112" i="10"/>
  <c r="CA68" i="10"/>
  <c r="BZ777" i="10"/>
  <c r="AW904" i="10"/>
  <c r="CA470" i="10"/>
  <c r="CA442" i="10"/>
  <c r="BI64" i="10"/>
  <c r="BK64" i="10" s="1"/>
  <c r="AQ64" i="10" s="1"/>
  <c r="BJ68" i="10"/>
  <c r="BL68" i="10" s="1"/>
  <c r="AQ885" i="10"/>
  <c r="AN473" i="10"/>
  <c r="BI941" i="10"/>
  <c r="BK941" i="10" s="1"/>
  <c r="BM941" i="10"/>
  <c r="BV941" i="10" s="1"/>
  <c r="BZ941" i="10" s="1"/>
  <c r="BJ932" i="10"/>
  <c r="BL932" i="10" s="1"/>
  <c r="AQ932" i="10" s="1"/>
  <c r="BN932" i="10"/>
  <c r="BW932" i="10" s="1"/>
  <c r="CA932" i="10" s="1"/>
  <c r="BN844" i="10"/>
  <c r="BW844" i="10" s="1"/>
  <c r="CA844" i="10" s="1"/>
  <c r="BJ844" i="10"/>
  <c r="BL844" i="10" s="1"/>
  <c r="BI834" i="10"/>
  <c r="BK834" i="10" s="1"/>
  <c r="BM834" i="10"/>
  <c r="BV834" i="10" s="1"/>
  <c r="BJ665" i="10"/>
  <c r="BL665" i="10" s="1"/>
  <c r="BN665" i="10"/>
  <c r="BW665" i="10" s="1"/>
  <c r="CA665" i="10" s="1"/>
  <c r="BI531" i="10"/>
  <c r="BK531" i="10" s="1"/>
  <c r="AQ531" i="10" s="1"/>
  <c r="BM531" i="10"/>
  <c r="BV531" i="10" s="1"/>
  <c r="BZ531" i="10" s="1"/>
  <c r="BM519" i="10"/>
  <c r="BV519" i="10" s="1"/>
  <c r="BI519" i="10"/>
  <c r="BK519" i="10" s="1"/>
  <c r="CA114" i="10"/>
  <c r="BZ115" i="10"/>
  <c r="BZ191" i="10"/>
  <c r="BM132" i="10"/>
  <c r="BV132" i="10" s="1"/>
  <c r="BM55" i="10"/>
  <c r="BV55" i="10" s="1"/>
  <c r="BZ55" i="10" s="1"/>
  <c r="AY974" i="10"/>
  <c r="CA128" i="10"/>
  <c r="AW117" i="10"/>
  <c r="BZ578" i="10"/>
  <c r="BZ708" i="10"/>
  <c r="CA900" i="10"/>
  <c r="BM931" i="10"/>
  <c r="BV931" i="10" s="1"/>
  <c r="BZ931" i="10" s="1"/>
  <c r="BI931" i="10"/>
  <c r="BK931" i="10" s="1"/>
  <c r="AQ931" i="10" s="1"/>
  <c r="BJ739" i="10"/>
  <c r="BL739" i="10" s="1"/>
  <c r="AQ739" i="10" s="1"/>
  <c r="BN739" i="10"/>
  <c r="BW739" i="10" s="1"/>
  <c r="CA739" i="10" s="1"/>
  <c r="BN672" i="10"/>
  <c r="BW672" i="10" s="1"/>
  <c r="CA672" i="10" s="1"/>
  <c r="BJ672" i="10"/>
  <c r="BL672" i="10" s="1"/>
  <c r="BJ666" i="10"/>
  <c r="BL666" i="10" s="1"/>
  <c r="AQ666" i="10" s="1"/>
  <c r="BN666" i="10"/>
  <c r="BW666" i="10" s="1"/>
  <c r="CA666" i="10" s="1"/>
  <c r="BI665" i="10"/>
  <c r="BK665" i="10" s="1"/>
  <c r="BM665" i="10"/>
  <c r="BV665" i="10" s="1"/>
  <c r="BZ665" i="10" s="1"/>
  <c r="BI539" i="10"/>
  <c r="BK539" i="10" s="1"/>
  <c r="AQ539" i="10" s="1"/>
  <c r="BM539" i="10"/>
  <c r="BV539" i="10" s="1"/>
  <c r="BZ539" i="10" s="1"/>
  <c r="BI450" i="10"/>
  <c r="BK450" i="10" s="1"/>
  <c r="BM450" i="10"/>
  <c r="BV450" i="10" s="1"/>
  <c r="BZ450" i="10" s="1"/>
  <c r="BM380" i="10"/>
  <c r="BV380" i="10" s="1"/>
  <c r="BZ380" i="10" s="1"/>
  <c r="BI380" i="10"/>
  <c r="BK380" i="10" s="1"/>
  <c r="BN373" i="10"/>
  <c r="BW373" i="10" s="1"/>
  <c r="BJ373" i="10"/>
  <c r="BL373" i="10" s="1"/>
  <c r="AQ373" i="10" s="1"/>
  <c r="CA56" i="10"/>
  <c r="CA82" i="10"/>
  <c r="BJ73" i="10"/>
  <c r="BL73" i="10" s="1"/>
  <c r="AQ73" i="10" s="1"/>
  <c r="BZ205" i="10"/>
  <c r="BZ477" i="10"/>
  <c r="CA578" i="10"/>
  <c r="AN881" i="10"/>
  <c r="BJ934" i="10"/>
  <c r="BL934" i="10" s="1"/>
  <c r="AQ934" i="10" s="1"/>
  <c r="BN934" i="10"/>
  <c r="BW934" i="10" s="1"/>
  <c r="CA934" i="10" s="1"/>
  <c r="BN854" i="10"/>
  <c r="BW854" i="10" s="1"/>
  <c r="BJ854" i="10"/>
  <c r="BL854" i="10" s="1"/>
  <c r="BJ822" i="10"/>
  <c r="BL822" i="10" s="1"/>
  <c r="AQ822" i="10" s="1"/>
  <c r="BN822" i="10"/>
  <c r="BW822" i="10" s="1"/>
  <c r="CA822" i="10" s="1"/>
  <c r="BN746" i="10"/>
  <c r="BW746" i="10" s="1"/>
  <c r="CA746" i="10" s="1"/>
  <c r="BJ746" i="10"/>
  <c r="BL746" i="10" s="1"/>
  <c r="BJ540" i="10"/>
  <c r="BL540" i="10" s="1"/>
  <c r="AQ540" i="10" s="1"/>
  <c r="BN540" i="10"/>
  <c r="BW540" i="10" s="1"/>
  <c r="CA540" i="10" s="1"/>
  <c r="BM457" i="10"/>
  <c r="BV457" i="10" s="1"/>
  <c r="BZ457" i="10" s="1"/>
  <c r="BI457" i="10"/>
  <c r="BK457" i="10" s="1"/>
  <c r="AQ457" i="10" s="1"/>
  <c r="BJ451" i="10"/>
  <c r="BL451" i="10" s="1"/>
  <c r="AQ451" i="10" s="1"/>
  <c r="BN451" i="10"/>
  <c r="BW451" i="10" s="1"/>
  <c r="CA451" i="10" s="1"/>
  <c r="BI388" i="10"/>
  <c r="BK388" i="10" s="1"/>
  <c r="BM388" i="10"/>
  <c r="BV388" i="10" s="1"/>
  <c r="BJ381" i="10"/>
  <c r="BL381" i="10" s="1"/>
  <c r="AQ381" i="10" s="1"/>
  <c r="BN381" i="10"/>
  <c r="BW381" i="10" s="1"/>
  <c r="CA381" i="10" s="1"/>
  <c r="BZ202" i="10"/>
  <c r="CA618" i="10"/>
  <c r="BZ28" i="10"/>
  <c r="BZ45" i="10"/>
  <c r="BZ177" i="10"/>
  <c r="AN1001" i="10"/>
  <c r="AW1001" i="10"/>
  <c r="BJ944" i="10"/>
  <c r="BL944" i="10" s="1"/>
  <c r="AQ944" i="10" s="1"/>
  <c r="BN944" i="10"/>
  <c r="BW944" i="10" s="1"/>
  <c r="CA944" i="10" s="1"/>
  <c r="BN837" i="10"/>
  <c r="BW837" i="10" s="1"/>
  <c r="CA837" i="10" s="1"/>
  <c r="BJ837" i="10"/>
  <c r="BL837" i="10" s="1"/>
  <c r="BI836" i="10"/>
  <c r="BK836" i="10" s="1"/>
  <c r="BM836" i="10"/>
  <c r="BV836" i="10" s="1"/>
  <c r="BZ836" i="10" s="1"/>
  <c r="BM746" i="10"/>
  <c r="BV746" i="10" s="1"/>
  <c r="BI746" i="10"/>
  <c r="BK746" i="10" s="1"/>
  <c r="BN614" i="10"/>
  <c r="BW614" i="10" s="1"/>
  <c r="CA614" i="10" s="1"/>
  <c r="BJ614" i="10"/>
  <c r="BL614" i="10" s="1"/>
  <c r="BN546" i="10"/>
  <c r="BW546" i="10" s="1"/>
  <c r="CA546" i="10" s="1"/>
  <c r="BJ546" i="10"/>
  <c r="BL546" i="10" s="1"/>
  <c r="BJ458" i="10"/>
  <c r="BL458" i="10" s="1"/>
  <c r="BN458" i="10"/>
  <c r="BW458" i="10" s="1"/>
  <c r="CA458" i="10" s="1"/>
  <c r="CA142" i="10"/>
  <c r="AY67" i="10"/>
  <c r="BJ106" i="10"/>
  <c r="BL106" i="10" s="1"/>
  <c r="AQ106" i="10" s="1"/>
  <c r="AY618" i="10"/>
  <c r="BM162" i="10"/>
  <c r="BV162" i="10" s="1"/>
  <c r="BZ162" i="10" s="1"/>
  <c r="BZ178" i="10"/>
  <c r="BZ402" i="10"/>
  <c r="AW937" i="10"/>
  <c r="BZ241" i="10"/>
  <c r="BZ673" i="10"/>
  <c r="BZ564" i="10"/>
  <c r="AW977" i="10"/>
  <c r="CA758" i="10"/>
  <c r="BJ620" i="10"/>
  <c r="BL620" i="10" s="1"/>
  <c r="AQ620" i="10" s="1"/>
  <c r="BN620" i="10"/>
  <c r="BW620" i="10" s="1"/>
  <c r="CA620" i="10" s="1"/>
  <c r="BN608" i="10"/>
  <c r="BW608" i="10" s="1"/>
  <c r="BJ608" i="10"/>
  <c r="BL608" i="10" s="1"/>
  <c r="BM552" i="10"/>
  <c r="BV552" i="10" s="1"/>
  <c r="BZ552" i="10" s="1"/>
  <c r="BI552" i="10"/>
  <c r="BK552" i="10" s="1"/>
  <c r="BM551" i="10"/>
  <c r="BV551" i="10" s="1"/>
  <c r="BZ551" i="10" s="1"/>
  <c r="BI551" i="10"/>
  <c r="BK551" i="10" s="1"/>
  <c r="BI546" i="10"/>
  <c r="BK546" i="10" s="1"/>
  <c r="BM546" i="10"/>
  <c r="BV546" i="10" s="1"/>
  <c r="BZ546" i="10" s="1"/>
  <c r="BM458" i="10"/>
  <c r="BV458" i="10" s="1"/>
  <c r="BZ458" i="10" s="1"/>
  <c r="BI458" i="10"/>
  <c r="BK458" i="10" s="1"/>
  <c r="BJ403" i="10"/>
  <c r="BL403" i="10" s="1"/>
  <c r="BN403" i="10"/>
  <c r="BW403" i="10" s="1"/>
  <c r="CA403" i="10" s="1"/>
  <c r="BJ195" i="10"/>
  <c r="BL195" i="10" s="1"/>
  <c r="BN190" i="10"/>
  <c r="BW190" i="10" s="1"/>
  <c r="CA190" i="10" s="1"/>
  <c r="AN968" i="10"/>
  <c r="BZ411" i="10"/>
  <c r="BZ853" i="10"/>
  <c r="AY1011" i="10"/>
  <c r="AQ424" i="10"/>
  <c r="AQ938" i="10"/>
  <c r="BM1007" i="10"/>
  <c r="BV1007" i="10" s="1"/>
  <c r="BZ1007" i="10" s="1"/>
  <c r="BI1007" i="10"/>
  <c r="BK1007" i="10" s="1"/>
  <c r="BM1006" i="10"/>
  <c r="BV1006" i="10" s="1"/>
  <c r="BZ1006" i="10" s="1"/>
  <c r="BI1006" i="10"/>
  <c r="BK1006" i="10" s="1"/>
  <c r="BM947" i="10"/>
  <c r="BV947" i="10" s="1"/>
  <c r="BZ947" i="10" s="1"/>
  <c r="BI947" i="10"/>
  <c r="BK947" i="10" s="1"/>
  <c r="AQ947" i="10" s="1"/>
  <c r="BJ865" i="10"/>
  <c r="BL865" i="10" s="1"/>
  <c r="BN865" i="10"/>
  <c r="BW865" i="10" s="1"/>
  <c r="CA865" i="10" s="1"/>
  <c r="BJ864" i="10"/>
  <c r="BL864" i="10" s="1"/>
  <c r="BN864" i="10"/>
  <c r="BW864" i="10" s="1"/>
  <c r="CA864" i="10" s="1"/>
  <c r="BJ753" i="10"/>
  <c r="BL753" i="10" s="1"/>
  <c r="BN753" i="10"/>
  <c r="BW753" i="10" s="1"/>
  <c r="CA753" i="10" s="1"/>
  <c r="BJ700" i="10"/>
  <c r="BL700" i="10" s="1"/>
  <c r="BN700" i="10"/>
  <c r="BW700" i="10" s="1"/>
  <c r="CA700" i="10" s="1"/>
  <c r="BJ468" i="10"/>
  <c r="BL468" i="10" s="1"/>
  <c r="BN468" i="10"/>
  <c r="BW468" i="10" s="1"/>
  <c r="CA468" i="10" s="1"/>
  <c r="BN398" i="10"/>
  <c r="BW398" i="10" s="1"/>
  <c r="CA398" i="10" s="1"/>
  <c r="BJ398" i="10"/>
  <c r="BL398" i="10" s="1"/>
  <c r="BZ437" i="10"/>
  <c r="CA708" i="10"/>
  <c r="BZ609" i="10"/>
  <c r="BZ297" i="10"/>
  <c r="AQ515" i="10"/>
  <c r="BN669" i="10"/>
  <c r="BW669" i="10" s="1"/>
  <c r="CA669" i="10" s="1"/>
  <c r="BZ794" i="10"/>
  <c r="AN999" i="10"/>
  <c r="BM804" i="10"/>
  <c r="BV804" i="10" s="1"/>
  <c r="BJ455" i="10"/>
  <c r="BL455" i="10" s="1"/>
  <c r="AQ455" i="10" s="1"/>
  <c r="BJ676" i="10"/>
  <c r="BL676" i="10" s="1"/>
  <c r="AQ676" i="10" s="1"/>
  <c r="AQ493" i="10"/>
  <c r="BZ847" i="10"/>
  <c r="BJ727" i="10"/>
  <c r="BL727" i="10" s="1"/>
  <c r="AQ727" i="10" s="1"/>
  <c r="CA830" i="10"/>
  <c r="BJ655" i="10"/>
  <c r="BL655" i="10" s="1"/>
  <c r="AQ655" i="10" s="1"/>
  <c r="BI654" i="10"/>
  <c r="BK654" i="10" s="1"/>
  <c r="AQ532" i="10"/>
  <c r="BE215" i="10"/>
  <c r="BT215" i="10" s="1"/>
  <c r="DY215" i="10" s="1"/>
  <c r="EC215" i="10"/>
  <c r="AQ883" i="10"/>
  <c r="AQ953" i="10"/>
  <c r="CA459" i="10"/>
  <c r="AQ925" i="10"/>
  <c r="BZ822" i="10"/>
  <c r="BZ904" i="10"/>
  <c r="BN907" i="10"/>
  <c r="BW907" i="10" s="1"/>
  <c r="CA907" i="10" s="1"/>
  <c r="BX498" i="10"/>
  <c r="CA896" i="10"/>
  <c r="AN223" i="10"/>
  <c r="BM583" i="10"/>
  <c r="BV583" i="10" s="1"/>
  <c r="CA847" i="10"/>
  <c r="BZ987" i="10"/>
  <c r="BZ983" i="10"/>
  <c r="AQ231" i="10"/>
  <c r="CA894" i="10"/>
  <c r="BJ605" i="10"/>
  <c r="BL605" i="10" s="1"/>
  <c r="AQ605" i="10" s="1"/>
  <c r="BZ784" i="10"/>
  <c r="CA815" i="10"/>
  <c r="CA904" i="10"/>
  <c r="BJ728" i="10"/>
  <c r="BL728" i="10" s="1"/>
  <c r="BN920" i="10"/>
  <c r="BW920" i="10" s="1"/>
  <c r="CA920" i="10" s="1"/>
  <c r="AN995" i="10"/>
  <c r="CA497" i="10"/>
  <c r="BF412" i="10"/>
  <c r="BU412" i="10" s="1"/>
  <c r="BB412" i="10"/>
  <c r="BD412" i="10" s="1"/>
  <c r="BF406" i="10"/>
  <c r="BU406" i="10" s="1"/>
  <c r="BB406" i="10"/>
  <c r="BD406" i="10" s="1"/>
  <c r="BF310" i="10"/>
  <c r="BU310" i="10" s="1"/>
  <c r="BB310" i="10"/>
  <c r="BD310" i="10" s="1"/>
  <c r="BF280" i="10"/>
  <c r="BU280" i="10" s="1"/>
  <c r="BB280" i="10"/>
  <c r="BD280" i="10" s="1"/>
  <c r="BF232" i="10"/>
  <c r="BU232" i="10" s="1"/>
  <c r="DY232" i="10" s="1"/>
  <c r="BB232" i="10"/>
  <c r="BD232" i="10" s="1"/>
  <c r="AN232" i="10" s="1"/>
  <c r="BX702" i="10"/>
  <c r="BZ391" i="10"/>
  <c r="BJ1014" i="10"/>
  <c r="BL1014" i="10" s="1"/>
  <c r="AQ1014" i="10" s="1"/>
  <c r="BZ758" i="10"/>
  <c r="CA229" i="10"/>
  <c r="CA303" i="10"/>
  <c r="AQ314" i="10"/>
  <c r="CA436" i="10"/>
  <c r="BZ474" i="10"/>
  <c r="CA530" i="10"/>
  <c r="AQ610" i="10"/>
  <c r="CA628" i="10"/>
  <c r="AQ668" i="10"/>
  <c r="BZ910" i="10"/>
  <c r="CA848" i="10"/>
  <c r="AW979" i="10"/>
  <c r="BN923" i="10"/>
  <c r="BW923" i="10" s="1"/>
  <c r="CA923" i="10" s="1"/>
  <c r="BI933" i="10"/>
  <c r="BK933" i="10" s="1"/>
  <c r="AQ933" i="10" s="1"/>
  <c r="AN950" i="10"/>
  <c r="BJ1001" i="10"/>
  <c r="BL1001" i="10" s="1"/>
  <c r="BE304" i="10"/>
  <c r="BT304" i="10" s="1"/>
  <c r="DY304" i="10" s="1"/>
  <c r="BA304" i="10"/>
  <c r="BC304" i="10" s="1"/>
  <c r="AW304" i="10" s="1"/>
  <c r="AQ367" i="10"/>
  <c r="CA485" i="10"/>
  <c r="BZ635" i="10"/>
  <c r="BZ522" i="10"/>
  <c r="BJ737" i="10"/>
  <c r="BL737" i="10" s="1"/>
  <c r="BZ743" i="10"/>
  <c r="AQ930" i="10"/>
  <c r="BN705" i="10"/>
  <c r="BW705" i="10" s="1"/>
  <c r="AQ770" i="10"/>
  <c r="AW969" i="10"/>
  <c r="AQ241" i="10"/>
  <c r="CA437" i="10"/>
  <c r="CA633" i="10"/>
  <c r="BZ621" i="10"/>
  <c r="BJ568" i="10"/>
  <c r="BL568" i="10" s="1"/>
  <c r="CA341" i="10"/>
  <c r="BJ845" i="10"/>
  <c r="BL845" i="10" s="1"/>
  <c r="BJ799" i="10"/>
  <c r="BL799" i="10" s="1"/>
  <c r="BM826" i="10"/>
  <c r="BV826" i="10" s="1"/>
  <c r="BZ826" i="10" s="1"/>
  <c r="BJ418" i="10"/>
  <c r="BL418" i="10" s="1"/>
  <c r="AQ418" i="10" s="1"/>
  <c r="BN1007" i="10"/>
  <c r="BW1007" i="10" s="1"/>
  <c r="CA1007" i="10" s="1"/>
  <c r="AQ257" i="10"/>
  <c r="BE299" i="10"/>
  <c r="BT299" i="10" s="1"/>
  <c r="BX299" i="10" s="1"/>
  <c r="EC299" i="10"/>
  <c r="BZ547" i="10"/>
  <c r="BZ920" i="10"/>
  <c r="BZ325" i="10"/>
  <c r="BZ655" i="10"/>
  <c r="CA625" i="10"/>
  <c r="BZ781" i="10"/>
  <c r="BJ518" i="10"/>
  <c r="BL518" i="10" s="1"/>
  <c r="AQ518" i="10" s="1"/>
  <c r="AW466" i="10"/>
  <c r="AQ936" i="10"/>
  <c r="BZ459" i="10"/>
  <c r="AQ694" i="10"/>
  <c r="BZ848" i="10"/>
  <c r="BJ835" i="10"/>
  <c r="BL835" i="10" s="1"/>
  <c r="AU299" i="10"/>
  <c r="AX299" i="10"/>
  <c r="BE361" i="10"/>
  <c r="BT361" i="10" s="1"/>
  <c r="BX361" i="10" s="1"/>
  <c r="EC361" i="10"/>
  <c r="BE256" i="10"/>
  <c r="BT256" i="10" s="1"/>
  <c r="DY256" i="10" s="1"/>
  <c r="EC256" i="10"/>
  <c r="AU261" i="10"/>
  <c r="CA261" i="10" s="1"/>
  <c r="AX261" i="10"/>
  <c r="AQ987" i="10"/>
  <c r="CA1011" i="10"/>
  <c r="BX251" i="10"/>
  <c r="BE340" i="10"/>
  <c r="BT340" i="10" s="1"/>
  <c r="DY340" i="10" s="1"/>
  <c r="EC340" i="10"/>
  <c r="CA348" i="10"/>
  <c r="CA566" i="10"/>
  <c r="BZ565" i="10"/>
  <c r="CA987" i="10"/>
  <c r="CA349" i="10"/>
  <c r="CA600" i="10"/>
  <c r="CA420" i="10"/>
  <c r="BJ1013" i="10"/>
  <c r="BL1013" i="10" s="1"/>
  <c r="AQ1013" i="10" s="1"/>
  <c r="CA979" i="10"/>
  <c r="AW973" i="10"/>
  <c r="AQ678" i="10"/>
  <c r="CA372" i="10"/>
  <c r="AX251" i="10"/>
  <c r="AY251" i="10"/>
  <c r="BX572" i="10"/>
  <c r="BY713" i="10"/>
  <c r="DU713" i="10" s="1"/>
  <c r="BY623" i="10"/>
  <c r="DU623" i="10" s="1"/>
  <c r="BY521" i="10"/>
  <c r="DU521" i="10" s="1"/>
  <c r="BY365" i="10"/>
  <c r="DU365" i="10" s="1"/>
  <c r="BY335" i="10"/>
  <c r="DU335" i="10" s="1"/>
  <c r="BY299" i="10"/>
  <c r="DU299" i="10" s="1"/>
  <c r="BY281" i="10"/>
  <c r="DU281" i="10" s="1"/>
  <c r="BY251" i="10"/>
  <c r="DU251" i="10" s="1"/>
  <c r="BY155" i="10"/>
  <c r="DU155" i="10" s="1"/>
  <c r="BY143" i="10"/>
  <c r="DU143" i="10" s="1"/>
  <c r="BY131" i="10"/>
  <c r="DU131" i="10" s="1"/>
  <c r="BY101" i="10"/>
  <c r="DU101" i="10" s="1"/>
  <c r="BY95" i="10"/>
  <c r="DU95" i="10" s="1"/>
  <c r="BY65" i="10"/>
  <c r="DU65" i="10" s="1"/>
  <c r="BX145" i="10"/>
  <c r="BX184" i="10"/>
  <c r="BX276" i="10"/>
  <c r="BX365" i="10"/>
  <c r="BX370" i="10"/>
  <c r="DN370" i="10" s="1"/>
  <c r="BP370" i="10" s="1"/>
  <c r="BX882" i="10"/>
  <c r="DN882" i="10" s="1"/>
  <c r="BP882" i="10" s="1"/>
  <c r="BX891" i="10"/>
  <c r="BX900" i="10"/>
  <c r="BX909" i="10"/>
  <c r="DT909" i="10" s="1"/>
  <c r="BX918" i="10"/>
  <c r="DT918" i="10" s="1"/>
  <c r="BX927" i="10"/>
  <c r="DN927" i="10" s="1"/>
  <c r="BP927" i="10" s="1"/>
  <c r="DO927" i="10" s="1"/>
  <c r="BX939" i="10"/>
  <c r="DN939" i="10" s="1"/>
  <c r="BP939" i="10" s="1"/>
  <c r="BX952" i="10"/>
  <c r="BX987" i="10"/>
  <c r="BX996" i="10"/>
  <c r="BX1003" i="10"/>
  <c r="DN1003" i="10" s="1"/>
  <c r="BP1003" i="10" s="1"/>
  <c r="BX866" i="10"/>
  <c r="BX887" i="10"/>
  <c r="DN887" i="10" s="1"/>
  <c r="BP887" i="10" s="1"/>
  <c r="DO887" i="10" s="1"/>
  <c r="BX896" i="10"/>
  <c r="BX905" i="10"/>
  <c r="DN905" i="10" s="1"/>
  <c r="BP905" i="10" s="1"/>
  <c r="DO905" i="10" s="1"/>
  <c r="BX1000" i="10"/>
  <c r="DT1000" i="10" s="1"/>
  <c r="BX55" i="10"/>
  <c r="DT55" i="10" s="1"/>
  <c r="BX946" i="10"/>
  <c r="BX956" i="10"/>
  <c r="BX967" i="10"/>
  <c r="DN967" i="10" s="1"/>
  <c r="BP967" i="10" s="1"/>
  <c r="BX977" i="10"/>
  <c r="BX983" i="10"/>
  <c r="BX988" i="10"/>
  <c r="BY651" i="10"/>
  <c r="DU651" i="10" s="1"/>
  <c r="BY645" i="10"/>
  <c r="DU645" i="10" s="1"/>
  <c r="BY639" i="10"/>
  <c r="DU639" i="10" s="1"/>
  <c r="BY561" i="10"/>
  <c r="DU561" i="10" s="1"/>
  <c r="BY549" i="10"/>
  <c r="DU549" i="10" s="1"/>
  <c r="BY375" i="10"/>
  <c r="DU375" i="10" s="1"/>
  <c r="BY117" i="10"/>
  <c r="DU117" i="10" s="1"/>
  <c r="BX720" i="10"/>
  <c r="BX46" i="10"/>
  <c r="BX879" i="10"/>
  <c r="BX888" i="10"/>
  <c r="DN888" i="10" s="1"/>
  <c r="BP888" i="10" s="1"/>
  <c r="BX897" i="10"/>
  <c r="DT897" i="10" s="1"/>
  <c r="BX906" i="10"/>
  <c r="DN906" i="10" s="1"/>
  <c r="BP906" i="10" s="1"/>
  <c r="DO906" i="10" s="1"/>
  <c r="BX915" i="10"/>
  <c r="BX924" i="10"/>
  <c r="BX933" i="10"/>
  <c r="DN933" i="10" s="1"/>
  <c r="BP933" i="10" s="1"/>
  <c r="DO933" i="10" s="1"/>
  <c r="BX940" i="10"/>
  <c r="BX950" i="10"/>
  <c r="DN950" i="10" s="1"/>
  <c r="BP950" i="10" s="1"/>
  <c r="DO950" i="10" s="1"/>
  <c r="BX978" i="10"/>
  <c r="BX984" i="10"/>
  <c r="BX993" i="10"/>
  <c r="DN993" i="10" s="1"/>
  <c r="BP993" i="10" s="1"/>
  <c r="BX1004" i="10"/>
  <c r="BY470" i="10"/>
  <c r="DU470" i="10" s="1"/>
  <c r="BY464" i="10"/>
  <c r="DU464" i="10" s="1"/>
  <c r="BY350" i="10"/>
  <c r="DU350" i="10" s="1"/>
  <c r="BY320" i="10"/>
  <c r="DU320" i="10" s="1"/>
  <c r="BY314" i="10"/>
  <c r="DU314" i="10" s="1"/>
  <c r="BY290" i="10"/>
  <c r="DU290" i="10" s="1"/>
  <c r="BY236" i="10"/>
  <c r="DU236" i="10" s="1"/>
  <c r="BY230" i="10"/>
  <c r="DU230" i="10" s="1"/>
  <c r="BY206" i="10"/>
  <c r="DU206" i="10" s="1"/>
  <c r="BY200" i="10"/>
  <c r="DU200" i="10" s="1"/>
  <c r="BY182" i="10"/>
  <c r="DU182" i="10" s="1"/>
  <c r="BY176" i="10"/>
  <c r="DU176" i="10" s="1"/>
  <c r="BY170" i="10"/>
  <c r="DU170" i="10" s="1"/>
  <c r="BY158" i="10"/>
  <c r="DU158" i="10" s="1"/>
  <c r="BY146" i="10"/>
  <c r="DU146" i="10" s="1"/>
  <c r="BY140" i="10"/>
  <c r="DU140" i="10" s="1"/>
  <c r="BY128" i="10"/>
  <c r="DU128" i="10" s="1"/>
  <c r="BY122" i="10"/>
  <c r="DU122" i="10" s="1"/>
  <c r="BY116" i="10"/>
  <c r="DU116" i="10" s="1"/>
  <c r="BY110" i="10"/>
  <c r="DU110" i="10" s="1"/>
  <c r="BY98" i="10"/>
  <c r="DU98" i="10" s="1"/>
  <c r="BY86" i="10"/>
  <c r="DU86" i="10" s="1"/>
  <c r="BY74" i="10"/>
  <c r="DU74" i="10" s="1"/>
  <c r="BY68" i="10"/>
  <c r="DU68" i="10" s="1"/>
  <c r="BY38" i="10"/>
  <c r="DU38" i="10" s="1"/>
  <c r="BX36" i="10"/>
  <c r="BX66" i="10"/>
  <c r="BX82" i="10"/>
  <c r="BX117" i="10"/>
  <c r="DT117" i="10" s="1"/>
  <c r="BX292" i="10"/>
  <c r="DN292" i="10" s="1"/>
  <c r="BP292" i="10" s="1"/>
  <c r="BX301" i="10"/>
  <c r="DT301" i="10" s="1"/>
  <c r="BX382" i="10"/>
  <c r="BX552" i="10"/>
  <c r="BX563" i="10"/>
  <c r="DN563" i="10" s="1"/>
  <c r="BP563" i="10" s="1"/>
  <c r="DO563" i="10" s="1"/>
  <c r="BX732" i="10"/>
  <c r="DN732" i="10" s="1"/>
  <c r="BP732" i="10" s="1"/>
  <c r="DO732" i="10" s="1"/>
  <c r="BX832" i="10"/>
  <c r="BX838" i="10"/>
  <c r="DT838" i="10" s="1"/>
  <c r="BX844" i="10"/>
  <c r="BX850" i="10"/>
  <c r="BX856" i="10"/>
  <c r="DN856" i="10" s="1"/>
  <c r="BP856" i="10" s="1"/>
  <c r="BX862" i="10"/>
  <c r="DT862" i="10" s="1"/>
  <c r="BX868" i="10"/>
  <c r="DN868" i="10" s="1"/>
  <c r="BP868" i="10" s="1"/>
  <c r="BX874" i="10"/>
  <c r="DT874" i="10" s="1"/>
  <c r="BX884" i="10"/>
  <c r="BX893" i="10"/>
  <c r="DN893" i="10" s="1"/>
  <c r="BP893" i="10" s="1"/>
  <c r="DO893" i="10" s="1"/>
  <c r="BX902" i="10"/>
  <c r="DN902" i="10" s="1"/>
  <c r="BP902" i="10" s="1"/>
  <c r="DO902" i="10" s="1"/>
  <c r="BX911" i="10"/>
  <c r="DN911" i="10" s="1"/>
  <c r="BP911" i="10" s="1"/>
  <c r="DO911" i="10" s="1"/>
  <c r="BX989" i="10"/>
  <c r="BX944" i="10"/>
  <c r="BX957" i="10"/>
  <c r="DN957" i="10" s="1"/>
  <c r="BP957" i="10" s="1"/>
  <c r="DO957" i="10" s="1"/>
  <c r="BX964" i="10"/>
  <c r="DN964" i="10" s="1"/>
  <c r="BP964" i="10" s="1"/>
  <c r="BX973" i="10"/>
  <c r="BY781" i="10"/>
  <c r="DU781" i="10" s="1"/>
  <c r="BY775" i="10"/>
  <c r="DU775" i="10" s="1"/>
  <c r="BY769" i="10"/>
  <c r="DU769" i="10" s="1"/>
  <c r="BY757" i="10"/>
  <c r="DU757" i="10" s="1"/>
  <c r="BY685" i="10"/>
  <c r="DU685" i="10" s="1"/>
  <c r="BY679" i="10"/>
  <c r="DU679" i="10" s="1"/>
  <c r="BY475" i="10"/>
  <c r="DU475" i="10" s="1"/>
  <c r="BY325" i="10"/>
  <c r="DU325" i="10" s="1"/>
  <c r="BY295" i="10"/>
  <c r="DU295" i="10" s="1"/>
  <c r="BY265" i="10"/>
  <c r="DU265" i="10" s="1"/>
  <c r="BX660" i="10"/>
  <c r="BX722" i="10"/>
  <c r="BX885" i="10"/>
  <c r="DT885" i="10" s="1"/>
  <c r="BX894" i="10"/>
  <c r="BX903" i="10"/>
  <c r="BX912" i="10"/>
  <c r="BX921" i="10"/>
  <c r="BX930" i="10"/>
  <c r="DN930" i="10" s="1"/>
  <c r="BP930" i="10" s="1"/>
  <c r="DO930" i="10" s="1"/>
  <c r="BX938" i="10"/>
  <c r="BX951" i="10"/>
  <c r="DN951" i="10" s="1"/>
  <c r="BP951" i="10" s="1"/>
  <c r="AQ278" i="10"/>
  <c r="BY708" i="10"/>
  <c r="DU708" i="10" s="1"/>
  <c r="BY498" i="10"/>
  <c r="DU498" i="10" s="1"/>
  <c r="BY414" i="10"/>
  <c r="DU414" i="10" s="1"/>
  <c r="BY342" i="10"/>
  <c r="DU342" i="10" s="1"/>
  <c r="BY276" i="10"/>
  <c r="DU276" i="10" s="1"/>
  <c r="BY156" i="10"/>
  <c r="DU156" i="10" s="1"/>
  <c r="BY138" i="10"/>
  <c r="DU138" i="10" s="1"/>
  <c r="BY132" i="10"/>
  <c r="DU132" i="10" s="1"/>
  <c r="BY108" i="10"/>
  <c r="BY84" i="10"/>
  <c r="DU84" i="10" s="1"/>
  <c r="BY72" i="10"/>
  <c r="DU72" i="10" s="1"/>
  <c r="BY66" i="10"/>
  <c r="DU66" i="10" s="1"/>
  <c r="BY48" i="10"/>
  <c r="DU48" i="10" s="1"/>
  <c r="BY36" i="10"/>
  <c r="DU36" i="10" s="1"/>
  <c r="BX159" i="10"/>
  <c r="BX178" i="10"/>
  <c r="BX199" i="10"/>
  <c r="BX294" i="10"/>
  <c r="BX298" i="10"/>
  <c r="BX374" i="10"/>
  <c r="BX457" i="10"/>
  <c r="BX734" i="10"/>
  <c r="BX816" i="10"/>
  <c r="BX822" i="10"/>
  <c r="DT822" i="10" s="1"/>
  <c r="BX828" i="10"/>
  <c r="BX834" i="10"/>
  <c r="BX840" i="10"/>
  <c r="BX846" i="10"/>
  <c r="BX852" i="10"/>
  <c r="BX864" i="10"/>
  <c r="DT864" i="10" s="1"/>
  <c r="BX876" i="10"/>
  <c r="BX881" i="10"/>
  <c r="BX890" i="10"/>
  <c r="BX899" i="10"/>
  <c r="BX908" i="10"/>
  <c r="DN908" i="10" s="1"/>
  <c r="BP908" i="10" s="1"/>
  <c r="DO908" i="10" s="1"/>
  <c r="BX917" i="10"/>
  <c r="BX926" i="10"/>
  <c r="BX995" i="10"/>
  <c r="BX1002" i="10"/>
  <c r="BX945" i="10"/>
  <c r="DN945" i="10" s="1"/>
  <c r="BP945" i="10" s="1"/>
  <c r="DO945" i="10" s="1"/>
  <c r="BX958" i="10"/>
  <c r="DN958" i="10" s="1"/>
  <c r="BP958" i="10" s="1"/>
  <c r="DO958" i="10" s="1"/>
  <c r="BX970" i="10"/>
  <c r="DN970" i="10" s="1"/>
  <c r="BP970" i="10" s="1"/>
  <c r="DO970" i="10" s="1"/>
  <c r="BX975" i="10"/>
  <c r="DN975" i="10" s="1"/>
  <c r="BP975" i="10" s="1"/>
  <c r="BX981" i="10"/>
  <c r="DN981" i="10" s="1"/>
  <c r="BP981" i="10" s="1"/>
  <c r="DO981" i="10" s="1"/>
  <c r="BX991" i="10"/>
  <c r="BX999" i="10"/>
  <c r="DN999" i="10" s="1"/>
  <c r="BP999" i="10" s="1"/>
  <c r="DO999" i="10" s="1"/>
  <c r="BX1006" i="10"/>
  <c r="ED972" i="10"/>
  <c r="EA972" i="10"/>
  <c r="EA908" i="10"/>
  <c r="ED908" i="10"/>
  <c r="EA958" i="10"/>
  <c r="ED958" i="10"/>
  <c r="CD614" i="10"/>
  <c r="CH614" i="10" s="1"/>
  <c r="CL614" i="10"/>
  <c r="CL982" i="10"/>
  <c r="ED996" i="10"/>
  <c r="EA996" i="10"/>
  <c r="EA991" i="10"/>
  <c r="ED991" i="10"/>
  <c r="EA984" i="10"/>
  <c r="ED984" i="10"/>
  <c r="EA975" i="10"/>
  <c r="ED975" i="10"/>
  <c r="EA912" i="10"/>
  <c r="ED912" i="10"/>
  <c r="ED1005" i="10"/>
  <c r="EA1005" i="10"/>
  <c r="EA914" i="10"/>
  <c r="ED914" i="10"/>
  <c r="ED990" i="10"/>
  <c r="EA990" i="10"/>
  <c r="EA994" i="10"/>
  <c r="ED994" i="10"/>
  <c r="CF892" i="10"/>
  <c r="CD190" i="10"/>
  <c r="CH190" i="10" s="1"/>
  <c r="CA59" i="10"/>
  <c r="AY59" i="10"/>
  <c r="CL510" i="10"/>
  <c r="CD510" i="10"/>
  <c r="CH510" i="10" s="1"/>
  <c r="BN41" i="10"/>
  <c r="BW41" i="10" s="1"/>
  <c r="BJ41" i="10"/>
  <c r="BL41" i="10" s="1"/>
  <c r="BI49" i="10"/>
  <c r="BK49" i="10" s="1"/>
  <c r="BM49" i="10"/>
  <c r="BV49" i="10" s="1"/>
  <c r="BJ53" i="10"/>
  <c r="BL53" i="10" s="1"/>
  <c r="BN53" i="10"/>
  <c r="BW53" i="10" s="1"/>
  <c r="CA53" i="10" s="1"/>
  <c r="BJ57" i="10"/>
  <c r="BL57" i="10" s="1"/>
  <c r="BN57" i="10"/>
  <c r="BW57" i="10" s="1"/>
  <c r="CA57" i="10" s="1"/>
  <c r="BI62" i="10"/>
  <c r="BK62" i="10" s="1"/>
  <c r="BM62" i="10"/>
  <c r="BV62" i="10" s="1"/>
  <c r="BZ62" i="10" s="1"/>
  <c r="BI67" i="10"/>
  <c r="BK67" i="10" s="1"/>
  <c r="AQ67" i="10" s="1"/>
  <c r="BM67" i="10"/>
  <c r="BV67" i="10" s="1"/>
  <c r="BZ67" i="10" s="1"/>
  <c r="BM77" i="10"/>
  <c r="BV77" i="10" s="1"/>
  <c r="BZ77" i="10" s="1"/>
  <c r="BI77" i="10"/>
  <c r="BK77" i="10" s="1"/>
  <c r="BM82" i="10"/>
  <c r="BV82" i="10" s="1"/>
  <c r="BZ82" i="10" s="1"/>
  <c r="BI82" i="10"/>
  <c r="BK82" i="10" s="1"/>
  <c r="BJ86" i="10"/>
  <c r="BL86" i="10" s="1"/>
  <c r="BN86" i="10"/>
  <c r="BW86" i="10" s="1"/>
  <c r="CA86" i="10" s="1"/>
  <c r="BI96" i="10"/>
  <c r="BK96" i="10" s="1"/>
  <c r="BM96" i="10"/>
  <c r="BV96" i="10" s="1"/>
  <c r="BZ96" i="10" s="1"/>
  <c r="BJ99" i="10"/>
  <c r="BL99" i="10" s="1"/>
  <c r="BN99" i="10"/>
  <c r="BW99" i="10" s="1"/>
  <c r="CA99" i="10" s="1"/>
  <c r="BI114" i="10"/>
  <c r="BK114" i="10" s="1"/>
  <c r="AQ114" i="10" s="1"/>
  <c r="BM114" i="10"/>
  <c r="BV114" i="10" s="1"/>
  <c r="BZ114" i="10" s="1"/>
  <c r="BJ118" i="10"/>
  <c r="BL118" i="10" s="1"/>
  <c r="BN118" i="10"/>
  <c r="BW118" i="10" s="1"/>
  <c r="CA118" i="10" s="1"/>
  <c r="BI124" i="10"/>
  <c r="BK124" i="10" s="1"/>
  <c r="BM124" i="10"/>
  <c r="BV124" i="10" s="1"/>
  <c r="BI133" i="10"/>
  <c r="BK133" i="10" s="1"/>
  <c r="BM133" i="10"/>
  <c r="BV133" i="10" s="1"/>
  <c r="BI143" i="10"/>
  <c r="BK143" i="10" s="1"/>
  <c r="BM143" i="10"/>
  <c r="BV143" i="10" s="1"/>
  <c r="BZ143" i="10" s="1"/>
  <c r="BJ151" i="10"/>
  <c r="BL151" i="10" s="1"/>
  <c r="AQ151" i="10" s="1"/>
  <c r="BN151" i="10"/>
  <c r="BW151" i="10" s="1"/>
  <c r="CA151" i="10" s="1"/>
  <c r="BJ171" i="10"/>
  <c r="BL171" i="10" s="1"/>
  <c r="AQ171" i="10" s="1"/>
  <c r="BN171" i="10"/>
  <c r="BW171" i="10" s="1"/>
  <c r="BJ182" i="10"/>
  <c r="BL182" i="10" s="1"/>
  <c r="BN182" i="10"/>
  <c r="BW182" i="10" s="1"/>
  <c r="BJ188" i="10"/>
  <c r="BL188" i="10" s="1"/>
  <c r="BN188" i="10"/>
  <c r="BW188" i="10" s="1"/>
  <c r="CL287" i="10"/>
  <c r="CD287" i="10"/>
  <c r="CH287" i="10" s="1"/>
  <c r="CD638" i="10"/>
  <c r="CH638" i="10" s="1"/>
  <c r="CL638" i="10"/>
  <c r="CL877" i="10"/>
  <c r="CD877" i="10"/>
  <c r="CH877" i="10" s="1"/>
  <c r="CD749" i="10"/>
  <c r="CH749" i="10" s="1"/>
  <c r="CL749" i="10"/>
  <c r="AW923" i="10"/>
  <c r="AN923" i="10"/>
  <c r="AY949" i="10"/>
  <c r="BZ949" i="10"/>
  <c r="CL865" i="10"/>
  <c r="CD865" i="10"/>
  <c r="CH865" i="10" s="1"/>
  <c r="CL652" i="10"/>
  <c r="CD652" i="10"/>
  <c r="CH652" i="10" s="1"/>
  <c r="BJ209" i="10"/>
  <c r="BL209" i="10" s="1"/>
  <c r="BN209" i="10"/>
  <c r="BW209" i="10" s="1"/>
  <c r="CA209" i="10" s="1"/>
  <c r="AY518" i="10"/>
  <c r="CA518" i="10"/>
  <c r="BJ889" i="10"/>
  <c r="BL889" i="10" s="1"/>
  <c r="AQ889" i="10" s="1"/>
  <c r="BN889" i="10"/>
  <c r="BW889" i="10" s="1"/>
  <c r="CA889" i="10" s="1"/>
  <c r="ED906" i="10"/>
  <c r="EA906" i="10"/>
  <c r="EA987" i="10"/>
  <c r="ED987" i="10"/>
  <c r="EA993" i="10"/>
  <c r="ED993" i="10"/>
  <c r="EA881" i="10"/>
  <c r="ED881" i="10"/>
  <c r="EA970" i="10"/>
  <c r="ED970" i="10"/>
  <c r="AY212" i="10"/>
  <c r="CA212" i="10"/>
  <c r="CD29" i="10"/>
  <c r="CH29" i="10" s="1"/>
  <c r="CL29" i="10"/>
  <c r="CD296" i="10"/>
  <c r="CH296" i="10" s="1"/>
  <c r="CL296" i="10"/>
  <c r="CD648" i="10"/>
  <c r="CH648" i="10" s="1"/>
  <c r="CL648" i="10"/>
  <c r="AY723" i="10"/>
  <c r="CA723" i="10"/>
  <c r="CD829" i="10"/>
  <c r="CH829" i="10" s="1"/>
  <c r="CL829" i="10"/>
  <c r="CL769" i="10"/>
  <c r="CD769" i="10"/>
  <c r="CH769" i="10" s="1"/>
  <c r="AN971" i="10"/>
  <c r="AW971" i="10"/>
  <c r="CL859" i="10"/>
  <c r="CD859" i="10"/>
  <c r="CH859" i="10" s="1"/>
  <c r="CL1009" i="10"/>
  <c r="CD1009" i="10"/>
  <c r="CH1009" i="10" s="1"/>
  <c r="ED967" i="10"/>
  <c r="EA967" i="10"/>
  <c r="EA1014" i="10"/>
  <c r="ED1014" i="10"/>
  <c r="CD99" i="10"/>
  <c r="CH99" i="10" s="1"/>
  <c r="CL99" i="10"/>
  <c r="AN948" i="10"/>
  <c r="AW948" i="10"/>
  <c r="CL811" i="10"/>
  <c r="CD811" i="10"/>
  <c r="CH811" i="10" s="1"/>
  <c r="EA1008" i="10"/>
  <c r="ED1008" i="10"/>
  <c r="EA888" i="10"/>
  <c r="ED888" i="10"/>
  <c r="EA940" i="10"/>
  <c r="ED940" i="10"/>
  <c r="EA924" i="10"/>
  <c r="ED924" i="10"/>
  <c r="ED969" i="10"/>
  <c r="EA969" i="10"/>
  <c r="EA930" i="10"/>
  <c r="ED930" i="10"/>
  <c r="CF515" i="10"/>
  <c r="CL783" i="10"/>
  <c r="CD207" i="10"/>
  <c r="CH207" i="10" s="1"/>
  <c r="CL207" i="10"/>
  <c r="CL526" i="10"/>
  <c r="CD526" i="10"/>
  <c r="CH526" i="10" s="1"/>
  <c r="AN896" i="10"/>
  <c r="AW896" i="10"/>
  <c r="AY869" i="10"/>
  <c r="CA869" i="10"/>
  <c r="BI975" i="10"/>
  <c r="BK975" i="10" s="1"/>
  <c r="AQ975" i="10" s="1"/>
  <c r="BM975" i="10"/>
  <c r="BV975" i="10" s="1"/>
  <c r="EA966" i="10"/>
  <c r="ED966" i="10"/>
  <c r="CD817" i="10"/>
  <c r="CH817" i="10" s="1"/>
  <c r="CL817" i="10"/>
  <c r="EA936" i="10"/>
  <c r="ED936" i="10"/>
  <c r="CD953" i="10"/>
  <c r="CH953" i="10" s="1"/>
  <c r="CL953" i="10"/>
  <c r="ED960" i="10"/>
  <c r="EA960" i="10"/>
  <c r="EA944" i="10"/>
  <c r="ED944" i="10"/>
  <c r="EA907" i="10"/>
  <c r="ED907" i="10"/>
  <c r="ED999" i="10"/>
  <c r="EA999" i="10"/>
  <c r="EA889" i="10"/>
  <c r="ED889" i="10"/>
  <c r="EA927" i="10"/>
  <c r="ED927" i="10"/>
  <c r="EA898" i="10"/>
  <c r="ED898" i="10"/>
  <c r="ED890" i="10"/>
  <c r="EA890" i="10"/>
  <c r="CD824" i="10"/>
  <c r="CH824" i="10" s="1"/>
  <c r="CL62" i="10"/>
  <c r="CD62" i="10"/>
  <c r="CH62" i="10" s="1"/>
  <c r="CD238" i="10"/>
  <c r="CH238" i="10" s="1"/>
  <c r="AY300" i="10"/>
  <c r="CL310" i="10"/>
  <c r="CD310" i="10"/>
  <c r="CH310" i="10" s="1"/>
  <c r="CL327" i="10"/>
  <c r="CD327" i="10"/>
  <c r="CH327" i="10" s="1"/>
  <c r="CL623" i="10"/>
  <c r="CD623" i="10"/>
  <c r="CH623" i="10" s="1"/>
  <c r="CA701" i="10"/>
  <c r="AY701" i="10"/>
  <c r="CD930" i="10"/>
  <c r="CH930" i="10" s="1"/>
  <c r="CL930" i="10"/>
  <c r="AN890" i="10"/>
  <c r="AW890" i="10"/>
  <c r="AN996" i="10"/>
  <c r="AW996" i="10"/>
  <c r="CD919" i="10"/>
  <c r="CH919" i="10" s="1"/>
  <c r="CL919" i="10"/>
  <c r="CL508" i="10"/>
  <c r="CD508" i="10"/>
  <c r="CH508" i="10" s="1"/>
  <c r="EA880" i="10"/>
  <c r="ED880" i="10"/>
  <c r="CL313" i="10"/>
  <c r="CD313" i="10"/>
  <c r="CH313" i="10" s="1"/>
  <c r="BN201" i="10"/>
  <c r="BW201" i="10" s="1"/>
  <c r="CA201" i="10" s="1"/>
  <c r="BJ201" i="10"/>
  <c r="BL201" i="10" s="1"/>
  <c r="AY477" i="10"/>
  <c r="CA477" i="10"/>
  <c r="CD853" i="10"/>
  <c r="CH853" i="10" s="1"/>
  <c r="CL853" i="10"/>
  <c r="EA929" i="10"/>
  <c r="ED929" i="10"/>
  <c r="EA1011" i="10"/>
  <c r="ED1011" i="10"/>
  <c r="EA893" i="10"/>
  <c r="ED893" i="10"/>
  <c r="EA913" i="10"/>
  <c r="ED913" i="10"/>
  <c r="EA989" i="10"/>
  <c r="ED989" i="10"/>
  <c r="ED928" i="10"/>
  <c r="EA928" i="10"/>
  <c r="EA886" i="10"/>
  <c r="ED886" i="10"/>
  <c r="ED1002" i="10"/>
  <c r="EA1002" i="10"/>
  <c r="CL626" i="10"/>
  <c r="CD626" i="10"/>
  <c r="CH626" i="10" s="1"/>
  <c r="CD994" i="10"/>
  <c r="CH994" i="10" s="1"/>
  <c r="CL994" i="10"/>
  <c r="CD189" i="10"/>
  <c r="CH189" i="10" s="1"/>
  <c r="CL189" i="10"/>
  <c r="CL213" i="10"/>
  <c r="CD213" i="10"/>
  <c r="CH213" i="10" s="1"/>
  <c r="CD926" i="10"/>
  <c r="CH926" i="10" s="1"/>
  <c r="CL926" i="10"/>
  <c r="CL897" i="10"/>
  <c r="CD897" i="10"/>
  <c r="CH897" i="10" s="1"/>
  <c r="AN980" i="10"/>
  <c r="AW980" i="10"/>
  <c r="AN959" i="10"/>
  <c r="AW959" i="10"/>
  <c r="BN981" i="10"/>
  <c r="BW981" i="10" s="1"/>
  <c r="CA981" i="10" s="1"/>
  <c r="BJ981" i="10"/>
  <c r="BL981" i="10" s="1"/>
  <c r="ED902" i="10"/>
  <c r="EA955" i="10"/>
  <c r="ED955" i="10"/>
  <c r="EA978" i="10"/>
  <c r="ED978" i="10"/>
  <c r="BJ193" i="10"/>
  <c r="BL193" i="10" s="1"/>
  <c r="AQ193" i="10" s="1"/>
  <c r="BN193" i="10"/>
  <c r="BW193" i="10" s="1"/>
  <c r="CA193" i="10" s="1"/>
  <c r="CL493" i="10"/>
  <c r="CD493" i="10"/>
  <c r="CH493" i="10" s="1"/>
  <c r="AY486" i="10"/>
  <c r="BZ486" i="10"/>
  <c r="AY556" i="10"/>
  <c r="BZ556" i="10"/>
  <c r="BM970" i="10"/>
  <c r="BV970" i="10" s="1"/>
  <c r="BZ970" i="10" s="1"/>
  <c r="BI970" i="10"/>
  <c r="BK970" i="10" s="1"/>
  <c r="CI477" i="10"/>
  <c r="CI99" i="10"/>
  <c r="ED887" i="10"/>
  <c r="EA887" i="10"/>
  <c r="EA948" i="10"/>
  <c r="ED948" i="10"/>
  <c r="EA901" i="10"/>
  <c r="ED901" i="10"/>
  <c r="EA949" i="10"/>
  <c r="ED949" i="10"/>
  <c r="EA981" i="10"/>
  <c r="ED981" i="10"/>
  <c r="EA943" i="10"/>
  <c r="ED943" i="10"/>
  <c r="EA934" i="10"/>
  <c r="ED934" i="10"/>
  <c r="CD979" i="10"/>
  <c r="CH979" i="10" s="1"/>
  <c r="CL979" i="10"/>
  <c r="CL161" i="10"/>
  <c r="CD161" i="10"/>
  <c r="CH161" i="10" s="1"/>
  <c r="AY80" i="10"/>
  <c r="CA279" i="10"/>
  <c r="CL342" i="10"/>
  <c r="CD342" i="10"/>
  <c r="CH342" i="10" s="1"/>
  <c r="CL382" i="10"/>
  <c r="CD382" i="10"/>
  <c r="CH382" i="10" s="1"/>
  <c r="AN933" i="10"/>
  <c r="AW933" i="10"/>
  <c r="AN963" i="10"/>
  <c r="AW963" i="10"/>
  <c r="CD981" i="10"/>
  <c r="CH981" i="10" s="1"/>
  <c r="CL981" i="10"/>
  <c r="AY947" i="10"/>
  <c r="BN982" i="10"/>
  <c r="BW982" i="10" s="1"/>
  <c r="CA982" i="10" s="1"/>
  <c r="BJ982" i="10"/>
  <c r="BL982" i="10" s="1"/>
  <c r="ED957" i="10"/>
  <c r="EA957" i="10"/>
  <c r="EA1003" i="10"/>
  <c r="ED1003" i="10"/>
  <c r="ED997" i="10"/>
  <c r="EA997" i="10"/>
  <c r="ED1009" i="10"/>
  <c r="EA1009" i="10"/>
  <c r="EA910" i="10"/>
  <c r="ED910" i="10"/>
  <c r="EA918" i="10"/>
  <c r="ED918" i="10"/>
  <c r="CL131" i="10"/>
  <c r="CD673" i="10"/>
  <c r="CH673" i="10" s="1"/>
  <c r="CL673" i="10"/>
  <c r="CD830" i="10"/>
  <c r="CH830" i="10" s="1"/>
  <c r="CL830" i="10"/>
  <c r="AY263" i="10"/>
  <c r="CD545" i="10"/>
  <c r="CH545" i="10" s="1"/>
  <c r="CL545" i="10"/>
  <c r="CA654" i="10"/>
  <c r="AY654" i="10"/>
  <c r="CL681" i="10"/>
  <c r="CD681" i="10"/>
  <c r="CH681" i="10" s="1"/>
  <c r="AN714" i="10"/>
  <c r="AW714" i="10"/>
  <c r="CD683" i="10"/>
  <c r="CH683" i="10" s="1"/>
  <c r="CL683" i="10"/>
  <c r="CL713" i="10"/>
  <c r="CD713" i="10"/>
  <c r="CH713" i="10" s="1"/>
  <c r="CL902" i="10"/>
  <c r="CD902" i="10"/>
  <c r="CH902" i="10" s="1"/>
  <c r="CD707" i="10"/>
  <c r="CH707" i="10" s="1"/>
  <c r="CL707" i="10"/>
  <c r="CL893" i="10"/>
  <c r="CD893" i="10"/>
  <c r="CH893" i="10" s="1"/>
  <c r="AY773" i="10"/>
  <c r="BZ773" i="10"/>
  <c r="CD805" i="10"/>
  <c r="CH805" i="10" s="1"/>
  <c r="CL805" i="10"/>
  <c r="CD753" i="10"/>
  <c r="CH753" i="10" s="1"/>
  <c r="CL753" i="10"/>
  <c r="CL965" i="10"/>
  <c r="CD965" i="10"/>
  <c r="CH965" i="10" s="1"/>
  <c r="CL1001" i="10"/>
  <c r="CD1001" i="10"/>
  <c r="CH1001" i="10" s="1"/>
  <c r="AW929" i="10"/>
  <c r="AN929" i="10"/>
  <c r="AQ927" i="10"/>
  <c r="CD446" i="10"/>
  <c r="CH446" i="10" s="1"/>
  <c r="CL446" i="10"/>
  <c r="CD492" i="10"/>
  <c r="CH492" i="10" s="1"/>
  <c r="CL492" i="10"/>
  <c r="CL557" i="10"/>
  <c r="CD557" i="10"/>
  <c r="CH557" i="10" s="1"/>
  <c r="CL684" i="10"/>
  <c r="CD684" i="10"/>
  <c r="CH684" i="10" s="1"/>
  <c r="CL814" i="10"/>
  <c r="CD814" i="10"/>
  <c r="CH814" i="10" s="1"/>
  <c r="AN984" i="10"/>
  <c r="AW984" i="10"/>
  <c r="EA961" i="10"/>
  <c r="ED883" i="10"/>
  <c r="EA883" i="10"/>
  <c r="EA923" i="10"/>
  <c r="ED923" i="10"/>
  <c r="CL868" i="10"/>
  <c r="CD868" i="10"/>
  <c r="CH868" i="10" s="1"/>
  <c r="CL522" i="10"/>
  <c r="CD522" i="10"/>
  <c r="CH522" i="10" s="1"/>
  <c r="AY521" i="10"/>
  <c r="CA521" i="10"/>
  <c r="BZ521" i="10"/>
  <c r="CD909" i="10"/>
  <c r="CH909" i="10" s="1"/>
  <c r="CL909" i="10"/>
  <c r="AN988" i="10"/>
  <c r="AW988" i="10"/>
  <c r="EA933" i="10"/>
  <c r="ED933" i="10"/>
  <c r="EA917" i="10"/>
  <c r="ED917" i="10"/>
  <c r="EA964" i="10"/>
  <c r="ED964" i="10"/>
  <c r="EA911" i="10"/>
  <c r="ED911" i="10"/>
  <c r="ED925" i="10"/>
  <c r="EA925" i="10"/>
  <c r="ED904" i="10"/>
  <c r="EA904" i="10"/>
  <c r="EA882" i="10"/>
  <c r="ED882" i="10"/>
  <c r="EA939" i="10"/>
  <c r="ED939" i="10"/>
  <c r="EA922" i="10"/>
  <c r="ED922" i="10"/>
  <c r="CD45" i="10"/>
  <c r="CH45" i="10" s="1"/>
  <c r="CL45" i="10"/>
  <c r="AY145" i="10"/>
  <c r="AY248" i="10"/>
  <c r="BZ248" i="10"/>
  <c r="AY711" i="10"/>
  <c r="CA711" i="10"/>
  <c r="CL685" i="10"/>
  <c r="CD685" i="10"/>
  <c r="CH685" i="10" s="1"/>
  <c r="AN912" i="10"/>
  <c r="AW912" i="10"/>
  <c r="CL913" i="10"/>
  <c r="CD913" i="10"/>
  <c r="CH913" i="10" s="1"/>
  <c r="CA975" i="10"/>
  <c r="AY975" i="10"/>
  <c r="BZ975" i="10"/>
  <c r="EA979" i="10"/>
  <c r="ED979" i="10"/>
  <c r="ED17" i="10"/>
  <c r="ED895" i="10"/>
  <c r="EA895" i="10"/>
  <c r="EA1012" i="10"/>
  <c r="ED1012" i="10"/>
  <c r="EA945" i="10"/>
  <c r="ED945" i="10"/>
  <c r="EA932" i="10"/>
  <c r="ED932" i="10"/>
  <c r="EA896" i="10"/>
  <c r="ED896" i="10"/>
  <c r="ED892" i="10"/>
  <c r="EA892" i="10"/>
  <c r="EA951" i="10"/>
  <c r="ED951" i="10"/>
  <c r="EA899" i="10"/>
  <c r="ED899" i="10"/>
  <c r="EA985" i="10"/>
  <c r="ED985" i="10"/>
  <c r="EA938" i="10"/>
  <c r="ED938" i="10"/>
  <c r="EA919" i="10"/>
  <c r="ED919" i="10"/>
  <c r="EA963" i="10"/>
  <c r="ED963" i="10"/>
  <c r="AY35" i="10"/>
  <c r="BZ35" i="10"/>
  <c r="CL188" i="10"/>
  <c r="CD188" i="10"/>
  <c r="CH188" i="10" s="1"/>
  <c r="CL48" i="10"/>
  <c r="CD48" i="10"/>
  <c r="CH48" i="10" s="1"/>
  <c r="AY228" i="10"/>
  <c r="CD719" i="10"/>
  <c r="CH719" i="10" s="1"/>
  <c r="CL719" i="10"/>
  <c r="AN965" i="10"/>
  <c r="AN911" i="10"/>
  <c r="AW911" i="10"/>
  <c r="CD908" i="10"/>
  <c r="CH908" i="10" s="1"/>
  <c r="CL908" i="10"/>
  <c r="CL969" i="10"/>
  <c r="CD969" i="10"/>
  <c r="CH969" i="10" s="1"/>
  <c r="AY946" i="10"/>
  <c r="CA946" i="10"/>
  <c r="BZ946" i="10"/>
  <c r="CI946" i="10"/>
  <c r="CI518" i="10"/>
  <c r="EA941" i="10"/>
  <c r="ED941" i="10"/>
  <c r="EA884" i="10"/>
  <c r="ED884" i="10"/>
  <c r="ED916" i="10"/>
  <c r="EA916" i="10"/>
  <c r="EA982" i="10"/>
  <c r="ED982" i="10"/>
  <c r="EA973" i="10"/>
  <c r="ED973" i="10"/>
  <c r="EA905" i="10"/>
  <c r="ED905" i="10"/>
  <c r="EA950" i="10"/>
  <c r="ED950" i="10"/>
  <c r="EA946" i="10"/>
  <c r="ED946" i="10"/>
  <c r="EA935" i="10"/>
  <c r="ED935" i="10"/>
  <c r="ED954" i="10"/>
  <c r="EA954" i="10"/>
  <c r="ED942" i="10"/>
  <c r="EA942" i="10"/>
  <c r="CD394" i="10"/>
  <c r="CH394" i="10" s="1"/>
  <c r="CL394" i="10"/>
  <c r="CL810" i="10"/>
  <c r="CD810" i="10"/>
  <c r="CH810" i="10" s="1"/>
  <c r="CL157" i="10"/>
  <c r="CD157" i="10"/>
  <c r="CH157" i="10" s="1"/>
  <c r="AY244" i="10"/>
  <c r="CA244" i="10"/>
  <c r="BZ244" i="10"/>
  <c r="CL558" i="10"/>
  <c r="CD558" i="10"/>
  <c r="CH558" i="10" s="1"/>
  <c r="AY599" i="10"/>
  <c r="CA599" i="10"/>
  <c r="CL825" i="10"/>
  <c r="CD825" i="10"/>
  <c r="CH825" i="10" s="1"/>
  <c r="CD958" i="10"/>
  <c r="CH958" i="10" s="1"/>
  <c r="CL958" i="10"/>
  <c r="BZ869" i="10"/>
  <c r="AN907" i="10"/>
  <c r="AW907" i="10"/>
  <c r="BN990" i="10"/>
  <c r="BW990" i="10" s="1"/>
  <c r="CA990" i="10" s="1"/>
  <c r="BJ990" i="10"/>
  <c r="BL990" i="10" s="1"/>
  <c r="AQ990" i="10" s="1"/>
  <c r="BM875" i="10"/>
  <c r="BV875" i="10" s="1"/>
  <c r="BZ875" i="10" s="1"/>
  <c r="BI875" i="10"/>
  <c r="BK875" i="10" s="1"/>
  <c r="AY831" i="10"/>
  <c r="BN823" i="10"/>
  <c r="BW823" i="10" s="1"/>
  <c r="BJ823" i="10"/>
  <c r="BL823" i="10" s="1"/>
  <c r="AQ823" i="10" s="1"/>
  <c r="AY795" i="10"/>
  <c r="BN794" i="10"/>
  <c r="BW794" i="10" s="1"/>
  <c r="CA794" i="10" s="1"/>
  <c r="BJ794" i="10"/>
  <c r="BL794" i="10" s="1"/>
  <c r="AQ794" i="10" s="1"/>
  <c r="CA120" i="10"/>
  <c r="BZ66" i="10"/>
  <c r="CA235" i="10"/>
  <c r="CA660" i="10"/>
  <c r="CA248" i="10"/>
  <c r="AN973" i="10"/>
  <c r="BN1010" i="10"/>
  <c r="BW1010" i="10" s="1"/>
  <c r="CA1010" i="10" s="1"/>
  <c r="BJ1010" i="10"/>
  <c r="BL1010" i="10" s="1"/>
  <c r="AQ1010" i="10" s="1"/>
  <c r="BI982" i="10"/>
  <c r="BK982" i="10" s="1"/>
  <c r="BM982" i="10"/>
  <c r="BV982" i="10" s="1"/>
  <c r="BZ982" i="10" s="1"/>
  <c r="AN974" i="10"/>
  <c r="BN647" i="10"/>
  <c r="BW647" i="10" s="1"/>
  <c r="CA647" i="10" s="1"/>
  <c r="BJ647" i="10"/>
  <c r="BL647" i="10" s="1"/>
  <c r="BI600" i="10"/>
  <c r="BK600" i="10" s="1"/>
  <c r="AQ600" i="10" s="1"/>
  <c r="BM600" i="10"/>
  <c r="BV600" i="10" s="1"/>
  <c r="BZ600" i="10" s="1"/>
  <c r="BI298" i="10"/>
  <c r="BK298" i="10" s="1"/>
  <c r="AQ298" i="10" s="1"/>
  <c r="BM298" i="10"/>
  <c r="BV298" i="10" s="1"/>
  <c r="BZ298" i="10" s="1"/>
  <c r="CA110" i="10"/>
  <c r="BZ120" i="10"/>
  <c r="CA92" i="10"/>
  <c r="BZ632" i="10"/>
  <c r="BN776" i="10"/>
  <c r="BW776" i="10" s="1"/>
  <c r="CA776" i="10" s="1"/>
  <c r="AQ967" i="10"/>
  <c r="BN965" i="10"/>
  <c r="BW965" i="10" s="1"/>
  <c r="CA965" i="10" s="1"/>
  <c r="BJ965" i="10"/>
  <c r="BL965" i="10" s="1"/>
  <c r="AQ965" i="10" s="1"/>
  <c r="BN810" i="10"/>
  <c r="BW810" i="10" s="1"/>
  <c r="CA810" i="10" s="1"/>
  <c r="BJ810" i="10"/>
  <c r="BL810" i="10" s="1"/>
  <c r="CA169" i="10"/>
  <c r="AW365" i="10"/>
  <c r="AQ935" i="10"/>
  <c r="AN956" i="10"/>
  <c r="CA337" i="10"/>
  <c r="BZ595" i="10"/>
  <c r="CA575" i="10"/>
  <c r="BI735" i="10"/>
  <c r="BK735" i="10" s="1"/>
  <c r="AQ735" i="10" s="1"/>
  <c r="BN1006" i="10"/>
  <c r="BW1006" i="10" s="1"/>
  <c r="CA1006" i="10" s="1"/>
  <c r="BJ1006" i="10"/>
  <c r="BL1006" i="10" s="1"/>
  <c r="AQ1006" i="10" s="1"/>
  <c r="BN1004" i="10"/>
  <c r="BW1004" i="10" s="1"/>
  <c r="CA1004" i="10" s="1"/>
  <c r="BJ1004" i="10"/>
  <c r="BL1004" i="10" s="1"/>
  <c r="AQ1004" i="10" s="1"/>
  <c r="AQ1003" i="10"/>
  <c r="BM861" i="10"/>
  <c r="BV861" i="10" s="1"/>
  <c r="BI861" i="10"/>
  <c r="BK861" i="10" s="1"/>
  <c r="BJ824" i="10"/>
  <c r="BL824" i="10" s="1"/>
  <c r="BN824" i="10"/>
  <c r="BW824" i="10" s="1"/>
  <c r="CA824" i="10" s="1"/>
  <c r="BJ817" i="10"/>
  <c r="BL817" i="10" s="1"/>
  <c r="BN817" i="10"/>
  <c r="BW817" i="10" s="1"/>
  <c r="CA817" i="10" s="1"/>
  <c r="CA83" i="10"/>
  <c r="BZ130" i="10"/>
  <c r="AQ683" i="10"/>
  <c r="BZ642" i="10"/>
  <c r="BN966" i="10"/>
  <c r="BW966" i="10" s="1"/>
  <c r="CA966" i="10" s="1"/>
  <c r="BJ966" i="10"/>
  <c r="BL966" i="10" s="1"/>
  <c r="AQ966" i="10" s="1"/>
  <c r="BJ929" i="10"/>
  <c r="BL929" i="10" s="1"/>
  <c r="AQ929" i="10" s="1"/>
  <c r="BN929" i="10"/>
  <c r="BW929" i="10" s="1"/>
  <c r="CA929" i="10" s="1"/>
  <c r="BZ135" i="10"/>
  <c r="AW500" i="10"/>
  <c r="BJ782" i="10"/>
  <c r="BL782" i="10" s="1"/>
  <c r="BZ599" i="10"/>
  <c r="BM905" i="10"/>
  <c r="BV905" i="10" s="1"/>
  <c r="BZ905" i="10" s="1"/>
  <c r="BI905" i="10"/>
  <c r="BK905" i="10" s="1"/>
  <c r="AQ905" i="10" s="1"/>
  <c r="BZ123" i="10"/>
  <c r="CA213" i="10"/>
  <c r="CA69" i="10"/>
  <c r="BZ218" i="10"/>
  <c r="BZ225" i="10"/>
  <c r="BZ867" i="10"/>
  <c r="BI574" i="10"/>
  <c r="BK574" i="10" s="1"/>
  <c r="AQ574" i="10" s="1"/>
  <c r="BJ937" i="10"/>
  <c r="BL937" i="10" s="1"/>
  <c r="AQ937" i="10" s="1"/>
  <c r="BN937" i="10"/>
  <c r="BW937" i="10" s="1"/>
  <c r="CA937" i="10" s="1"/>
  <c r="AQ762" i="10"/>
  <c r="AQ441" i="10"/>
  <c r="CA236" i="10"/>
  <c r="AQ752" i="10"/>
  <c r="BJ996" i="10"/>
  <c r="BL996" i="10" s="1"/>
  <c r="AQ996" i="10" s="1"/>
  <c r="BN996" i="10"/>
  <c r="BW996" i="10" s="1"/>
  <c r="CA996" i="10" s="1"/>
  <c r="BI736" i="10"/>
  <c r="BK736" i="10" s="1"/>
  <c r="AQ736" i="10" s="1"/>
  <c r="BM736" i="10"/>
  <c r="BV736" i="10" s="1"/>
  <c r="BZ736" i="10" s="1"/>
  <c r="BI433" i="10"/>
  <c r="BK433" i="10" s="1"/>
  <c r="AQ433" i="10" s="1"/>
  <c r="BM433" i="10"/>
  <c r="BV433" i="10" s="1"/>
  <c r="BZ433" i="10" s="1"/>
  <c r="AN977" i="10"/>
  <c r="AN1003" i="10"/>
  <c r="CA534" i="10"/>
  <c r="CA722" i="10"/>
  <c r="AQ923" i="10"/>
  <c r="BJ1012" i="10"/>
  <c r="BL1012" i="10" s="1"/>
  <c r="AQ1012" i="10" s="1"/>
  <c r="BN1012" i="10"/>
  <c r="BW1012" i="10" s="1"/>
  <c r="CA1012" i="10" s="1"/>
  <c r="BM1000" i="10"/>
  <c r="BV1000" i="10" s="1"/>
  <c r="BZ1000" i="10" s="1"/>
  <c r="BI1000" i="10"/>
  <c r="BK1000" i="10" s="1"/>
  <c r="AQ1000" i="10" s="1"/>
  <c r="BJ995" i="10"/>
  <c r="BL995" i="10" s="1"/>
  <c r="AQ995" i="10" s="1"/>
  <c r="BN995" i="10"/>
  <c r="BW995" i="10" s="1"/>
  <c r="CA995" i="10" s="1"/>
  <c r="BJ956" i="10"/>
  <c r="BL956" i="10" s="1"/>
  <c r="AQ956" i="10" s="1"/>
  <c r="BN956" i="10"/>
  <c r="BW956" i="10" s="1"/>
  <c r="CA956" i="10" s="1"/>
  <c r="BN950" i="10"/>
  <c r="BW950" i="10" s="1"/>
  <c r="CA950" i="10" s="1"/>
  <c r="BJ950" i="10"/>
  <c r="BL950" i="10" s="1"/>
  <c r="AQ950" i="10" s="1"/>
  <c r="BM939" i="10"/>
  <c r="BV939" i="10" s="1"/>
  <c r="BZ939" i="10" s="1"/>
  <c r="BI939" i="10"/>
  <c r="BK939" i="10" s="1"/>
  <c r="BI854" i="10"/>
  <c r="BK854" i="10" s="1"/>
  <c r="AQ854" i="10" s="1"/>
  <c r="BM854" i="10"/>
  <c r="BV854" i="10" s="1"/>
  <c r="BZ854" i="10" s="1"/>
  <c r="CA845" i="10"/>
  <c r="BJ791" i="10"/>
  <c r="BL791" i="10" s="1"/>
  <c r="BN791" i="10"/>
  <c r="BW791" i="10" s="1"/>
  <c r="CA791" i="10" s="1"/>
  <c r="BZ121" i="10"/>
  <c r="BZ91" i="10"/>
  <c r="CA191" i="10"/>
  <c r="BJ112" i="10"/>
  <c r="BL112" i="10" s="1"/>
  <c r="AQ112" i="10" s="1"/>
  <c r="BZ197" i="10"/>
  <c r="CA658" i="10"/>
  <c r="CA490" i="10"/>
  <c r="AQ998" i="10"/>
  <c r="BJ989" i="10"/>
  <c r="BL989" i="10" s="1"/>
  <c r="AQ989" i="10" s="1"/>
  <c r="BZ137" i="10"/>
  <c r="CA119" i="10"/>
  <c r="AQ191" i="10"/>
  <c r="BZ333" i="10"/>
  <c r="CA685" i="10"/>
  <c r="BN1000" i="10"/>
  <c r="BW1000" i="10" s="1"/>
  <c r="CA1000" i="10" s="1"/>
  <c r="BN977" i="10"/>
  <c r="BW977" i="10" s="1"/>
  <c r="CA977" i="10" s="1"/>
  <c r="BJ977" i="10"/>
  <c r="BL977" i="10" s="1"/>
  <c r="BN976" i="10"/>
  <c r="BW976" i="10" s="1"/>
  <c r="CA976" i="10" s="1"/>
  <c r="BJ976" i="10"/>
  <c r="BL976" i="10" s="1"/>
  <c r="AQ976" i="10" s="1"/>
  <c r="CA80" i="10"/>
  <c r="BZ711" i="10"/>
  <c r="BI948" i="10"/>
  <c r="BK948" i="10" s="1"/>
  <c r="AQ948" i="10" s="1"/>
  <c r="BJ952" i="10"/>
  <c r="BL952" i="10" s="1"/>
  <c r="AQ952" i="10" s="1"/>
  <c r="BZ554" i="10"/>
  <c r="BZ991" i="10"/>
  <c r="BM973" i="10"/>
  <c r="BV973" i="10" s="1"/>
  <c r="BZ973" i="10" s="1"/>
  <c r="BI973" i="10"/>
  <c r="BK973" i="10" s="1"/>
  <c r="BJ626" i="10"/>
  <c r="BL626" i="10" s="1"/>
  <c r="AQ626" i="10" s="1"/>
  <c r="BN626" i="10"/>
  <c r="BW626" i="10" s="1"/>
  <c r="CA626" i="10" s="1"/>
  <c r="BJ557" i="10"/>
  <c r="BL557" i="10" s="1"/>
  <c r="AQ557" i="10" s="1"/>
  <c r="BN557" i="10"/>
  <c r="BW557" i="10" s="1"/>
  <c r="CA557" i="10" s="1"/>
  <c r="BZ527" i="10"/>
  <c r="AQ720" i="10"/>
  <c r="BZ834" i="10"/>
  <c r="CA680" i="10"/>
  <c r="BZ226" i="10"/>
  <c r="AQ635" i="10"/>
  <c r="CA370" i="10"/>
  <c r="AQ860" i="10"/>
  <c r="CA385" i="10"/>
  <c r="CA405" i="10"/>
  <c r="BZ994" i="10"/>
  <c r="AQ981" i="10"/>
  <c r="AQ963" i="10"/>
  <c r="BZ859" i="10"/>
  <c r="AQ902" i="10"/>
  <c r="BZ1003" i="10"/>
  <c r="AW994" i="10"/>
  <c r="BZ630" i="10"/>
  <c r="AQ461" i="10"/>
  <c r="BZ633" i="10"/>
  <c r="BZ786" i="10"/>
  <c r="AQ325" i="10"/>
  <c r="AW1007" i="10"/>
  <c r="AQ497" i="10"/>
  <c r="BI977" i="10"/>
  <c r="BK977" i="10" s="1"/>
  <c r="BZ381" i="10"/>
  <c r="CA668" i="10"/>
  <c r="BZ884" i="10"/>
  <c r="AQ564" i="10"/>
  <c r="CA754" i="10"/>
  <c r="AW882" i="10"/>
  <c r="BZ273" i="10"/>
  <c r="BZ338" i="10"/>
  <c r="CA563" i="10"/>
  <c r="BJ216" i="10"/>
  <c r="BL216" i="10" s="1"/>
  <c r="AQ216" i="10" s="1"/>
  <c r="AN993" i="10"/>
  <c r="BZ984" i="10"/>
  <c r="CA644" i="10"/>
  <c r="CA627" i="10"/>
  <c r="BJ380" i="10"/>
  <c r="BL380" i="10" s="1"/>
  <c r="AQ380" i="10" s="1"/>
  <c r="CA805" i="10"/>
  <c r="AQ914" i="10"/>
  <c r="BN242" i="10"/>
  <c r="BW242" i="10" s="1"/>
  <c r="CA242" i="10" s="1"/>
  <c r="CA304" i="10"/>
  <c r="AW1002" i="10"/>
  <c r="AQ969" i="10"/>
  <c r="BZ959" i="10"/>
  <c r="CA556" i="10"/>
  <c r="BZ518" i="10"/>
  <c r="BM445" i="10"/>
  <c r="BV445" i="10" s="1"/>
  <c r="BZ445" i="10" s="1"/>
  <c r="AN951" i="10"/>
  <c r="BZ637" i="10"/>
  <c r="AQ1007" i="10"/>
  <c r="BZ315" i="10"/>
  <c r="CA991" i="10"/>
  <c r="BI983" i="10"/>
  <c r="BK983" i="10" s="1"/>
  <c r="AQ983" i="10" s="1"/>
  <c r="BZ974" i="10"/>
  <c r="BN467" i="10"/>
  <c r="BW467" i="10" s="1"/>
  <c r="AQ795" i="10"/>
  <c r="BN300" i="10"/>
  <c r="BW300" i="10" s="1"/>
  <c r="CA300" i="10" s="1"/>
  <c r="BI420" i="10"/>
  <c r="BK420" i="10" s="1"/>
  <c r="AQ420" i="10" s="1"/>
  <c r="CA800" i="10"/>
  <c r="AW947" i="10"/>
  <c r="CA771" i="10"/>
  <c r="AN902" i="10"/>
  <c r="AN1014" i="10"/>
  <c r="AQ961" i="10"/>
  <c r="CA321" i="10"/>
  <c r="AQ322" i="10"/>
  <c r="CA310" i="10"/>
  <c r="BZ495" i="10"/>
  <c r="BM526" i="10"/>
  <c r="BV526" i="10" s="1"/>
  <c r="BZ526" i="10" s="1"/>
  <c r="AQ839" i="10"/>
  <c r="BZ530" i="10"/>
  <c r="BZ800" i="10"/>
  <c r="CA790" i="10"/>
  <c r="BZ374" i="10"/>
  <c r="CA972" i="10"/>
  <c r="BZ410" i="10"/>
  <c r="BZ686" i="10"/>
  <c r="BZ471" i="10"/>
  <c r="AQ445" i="10"/>
  <c r="AQ338" i="10"/>
  <c r="BZ258" i="10"/>
  <c r="CT1014" i="10"/>
  <c r="CU1014" i="10" s="1"/>
  <c r="CT1011" i="10"/>
  <c r="CU1011" i="10" s="1"/>
  <c r="CT1008" i="10"/>
  <c r="CU1008" i="10" s="1"/>
  <c r="CT1005" i="10"/>
  <c r="CU1005" i="10" s="1"/>
  <c r="CT1002" i="10"/>
  <c r="CU1002" i="10" s="1"/>
  <c r="CT999" i="10"/>
  <c r="CU999" i="10" s="1"/>
  <c r="CT996" i="10"/>
  <c r="CU996" i="10" s="1"/>
  <c r="CT993" i="10"/>
  <c r="CU993" i="10" s="1"/>
  <c r="CT990" i="10"/>
  <c r="CU990" i="10" s="1"/>
  <c r="CT987" i="10"/>
  <c r="CU987" i="10" s="1"/>
  <c r="CT984" i="10"/>
  <c r="CU984" i="10" s="1"/>
  <c r="CT981" i="10"/>
  <c r="CU981" i="10" s="1"/>
  <c r="CT978" i="10"/>
  <c r="CU978" i="10" s="1"/>
  <c r="CT975" i="10"/>
  <c r="CU975" i="10" s="1"/>
  <c r="CT972" i="10"/>
  <c r="CU972" i="10" s="1"/>
  <c r="CT969" i="10"/>
  <c r="CU969" i="10" s="1"/>
  <c r="CT966" i="10"/>
  <c r="CU966" i="10" s="1"/>
  <c r="CT963" i="10"/>
  <c r="CU963" i="10" s="1"/>
  <c r="CT960" i="10"/>
  <c r="CU960" i="10" s="1"/>
  <c r="CT957" i="10"/>
  <c r="CU957" i="10" s="1"/>
  <c r="CT954" i="10"/>
  <c r="CU954" i="10" s="1"/>
  <c r="CT951" i="10"/>
  <c r="CU951" i="10" s="1"/>
  <c r="CT948" i="10"/>
  <c r="CU948" i="10" s="1"/>
  <c r="CT945" i="10"/>
  <c r="CU945" i="10" s="1"/>
  <c r="CT942" i="10"/>
  <c r="CU942" i="10" s="1"/>
  <c r="CT939" i="10"/>
  <c r="CU939" i="10" s="1"/>
  <c r="CT936" i="10"/>
  <c r="CU936" i="10" s="1"/>
  <c r="CT933" i="10"/>
  <c r="CU933" i="10" s="1"/>
  <c r="CT930" i="10"/>
  <c r="CU930" i="10" s="1"/>
  <c r="CT927" i="10"/>
  <c r="CU927" i="10" s="1"/>
  <c r="CT924" i="10"/>
  <c r="CU924" i="10" s="1"/>
  <c r="CT921" i="10"/>
  <c r="CU921" i="10" s="1"/>
  <c r="CT918" i="10"/>
  <c r="CU918" i="10" s="1"/>
  <c r="CT915" i="10"/>
  <c r="CU915" i="10" s="1"/>
  <c r="CA376" i="10"/>
  <c r="BZ731" i="10"/>
  <c r="BZ680" i="10"/>
  <c r="CA712" i="10"/>
  <c r="CU1013" i="10"/>
  <c r="CU1010" i="10"/>
  <c r="CU1004" i="10"/>
  <c r="CU1001" i="10"/>
  <c r="CU998" i="10"/>
  <c r="CU995" i="10"/>
  <c r="CU992" i="10"/>
  <c r="CU989" i="10"/>
  <c r="CU986" i="10"/>
  <c r="CU983" i="10"/>
  <c r="CU980" i="10"/>
  <c r="CU977" i="10"/>
  <c r="CU974" i="10"/>
  <c r="CU968" i="10"/>
  <c r="CU965" i="10"/>
  <c r="CU962" i="10"/>
  <c r="CU959" i="10"/>
  <c r="CU956" i="10"/>
  <c r="CU953" i="10"/>
  <c r="AN905" i="10"/>
  <c r="BZ751" i="10"/>
  <c r="CA655" i="10"/>
  <c r="BZ245" i="10"/>
  <c r="CA871" i="10"/>
  <c r="CA813" i="10"/>
  <c r="CA744" i="10"/>
  <c r="BZ667" i="10"/>
  <c r="CA661" i="10"/>
  <c r="CA656" i="10"/>
  <c r="CA611" i="10"/>
  <c r="AQ708" i="10"/>
  <c r="CA662" i="10"/>
  <c r="AQ526" i="10"/>
  <c r="BZ442" i="10"/>
  <c r="BZ310" i="10"/>
  <c r="CU1012" i="10"/>
  <c r="CU1009" i="10"/>
  <c r="CU1006" i="10"/>
  <c r="CU1003" i="10"/>
  <c r="CU1000" i="10"/>
  <c r="CU997" i="10"/>
  <c r="CU994" i="10"/>
  <c r="CU991" i="10"/>
  <c r="CU988" i="10"/>
  <c r="CU985" i="10"/>
  <c r="CU982" i="10"/>
  <c r="CU979" i="10"/>
  <c r="CU976" i="10"/>
  <c r="CU973" i="10"/>
  <c r="CU970" i="10"/>
  <c r="CU967" i="10"/>
  <c r="CU964" i="10"/>
  <c r="CU961" i="10"/>
  <c r="CU958" i="10"/>
  <c r="CU955" i="10"/>
  <c r="CU952" i="10"/>
  <c r="CU949" i="10"/>
  <c r="BZ349" i="10"/>
  <c r="BZ286" i="10"/>
  <c r="CU284" i="10"/>
  <c r="CT299" i="10"/>
  <c r="CU299" i="10" s="1"/>
  <c r="CT269" i="10"/>
  <c r="CT245" i="10"/>
  <c r="CU245" i="10" s="1"/>
  <c r="CU221" i="10"/>
  <c r="CT218" i="10"/>
  <c r="CT187" i="10"/>
  <c r="DB1011" i="10"/>
  <c r="DB1007" i="10"/>
  <c r="DC1007" i="10" s="1"/>
  <c r="DB1003" i="10"/>
  <c r="DC1003" i="10" s="1"/>
  <c r="DB999" i="10"/>
  <c r="DC999" i="10" s="1"/>
  <c r="DB995" i="10"/>
  <c r="DC995" i="10" s="1"/>
  <c r="DB991" i="10"/>
  <c r="DC991" i="10" s="1"/>
  <c r="DB987" i="10"/>
  <c r="DC987" i="10" s="1"/>
  <c r="DB983" i="10"/>
  <c r="DC983" i="10" s="1"/>
  <c r="DB979" i="10"/>
  <c r="DC979" i="10" s="1"/>
  <c r="DB975" i="10"/>
  <c r="DC975" i="10" s="1"/>
  <c r="DB971" i="10"/>
  <c r="DC971" i="10" s="1"/>
  <c r="DB967" i="10"/>
  <c r="DC967" i="10" s="1"/>
  <c r="DB963" i="10"/>
  <c r="DB959" i="10"/>
  <c r="DC959" i="10" s="1"/>
  <c r="DB955" i="10"/>
  <c r="DC955" i="10" s="1"/>
  <c r="DB951" i="10"/>
  <c r="DC951" i="10" s="1"/>
  <c r="DB947" i="10"/>
  <c r="DC947" i="10" s="1"/>
  <c r="CT912" i="10"/>
  <c r="CU912" i="10" s="1"/>
  <c r="CT909" i="10"/>
  <c r="CU909" i="10" s="1"/>
  <c r="CT906" i="10"/>
  <c r="CU906" i="10" s="1"/>
  <c r="CT903" i="10"/>
  <c r="CU903" i="10" s="1"/>
  <c r="CT900" i="10"/>
  <c r="CU900" i="10" s="1"/>
  <c r="CT897" i="10"/>
  <c r="CU897" i="10" s="1"/>
  <c r="CT894" i="10"/>
  <c r="CU894" i="10" s="1"/>
  <c r="CT891" i="10"/>
  <c r="CU891" i="10" s="1"/>
  <c r="CT888" i="10"/>
  <c r="CU888" i="10" s="1"/>
  <c r="CT885" i="10"/>
  <c r="CU885" i="10" s="1"/>
  <c r="CT882" i="10"/>
  <c r="CU882" i="10" s="1"/>
  <c r="CT879" i="10"/>
  <c r="CU879" i="10" s="1"/>
  <c r="CT429" i="10"/>
  <c r="CU429" i="10" s="1"/>
  <c r="CT426" i="10"/>
  <c r="CU426" i="10" s="1"/>
  <c r="CT423" i="10"/>
  <c r="CU423" i="10" s="1"/>
  <c r="CT329" i="10"/>
  <c r="CT302" i="10"/>
  <c r="CT292" i="10"/>
  <c r="CT275" i="10"/>
  <c r="CT248" i="10"/>
  <c r="CU248" i="10" s="1"/>
  <c r="CU200" i="10"/>
  <c r="CT197" i="10"/>
  <c r="CU197" i="10" s="1"/>
  <c r="CU179" i="10"/>
  <c r="DC1011" i="10"/>
  <c r="DC963" i="10"/>
  <c r="CT335" i="10"/>
  <c r="CU335" i="10" s="1"/>
  <c r="CT305" i="10"/>
  <c r="CT298" i="10"/>
  <c r="CT244" i="10"/>
  <c r="CT203" i="10"/>
  <c r="CU203" i="10" s="1"/>
  <c r="DB1014" i="10"/>
  <c r="DC1014" i="10" s="1"/>
  <c r="DB1010" i="10"/>
  <c r="DC1010" i="10" s="1"/>
  <c r="DB1006" i="10"/>
  <c r="DC1006" i="10" s="1"/>
  <c r="DB1002" i="10"/>
  <c r="DC1002" i="10" s="1"/>
  <c r="DB998" i="10"/>
  <c r="DC998" i="10" s="1"/>
  <c r="DB994" i="10"/>
  <c r="DC994" i="10" s="1"/>
  <c r="DB990" i="10"/>
  <c r="DC990" i="10" s="1"/>
  <c r="DB986" i="10"/>
  <c r="DC986" i="10" s="1"/>
  <c r="DB982" i="10"/>
  <c r="DC982" i="10" s="1"/>
  <c r="DB978" i="10"/>
  <c r="DC978" i="10" s="1"/>
  <c r="DB974" i="10"/>
  <c r="DC974" i="10" s="1"/>
  <c r="DB970" i="10"/>
  <c r="DC970" i="10" s="1"/>
  <c r="DB966" i="10"/>
  <c r="DC966" i="10" s="1"/>
  <c r="DB962" i="10"/>
  <c r="DC962" i="10" s="1"/>
  <c r="DB958" i="10"/>
  <c r="DC958" i="10" s="1"/>
  <c r="DB954" i="10"/>
  <c r="DC954" i="10" s="1"/>
  <c r="DB950" i="10"/>
  <c r="DC950" i="10" s="1"/>
  <c r="DB946" i="10"/>
  <c r="DC946" i="10" s="1"/>
  <c r="DB942" i="10"/>
  <c r="DC942" i="10" s="1"/>
  <c r="DB938" i="10"/>
  <c r="DC938" i="10" s="1"/>
  <c r="DB934" i="10"/>
  <c r="DC934" i="10" s="1"/>
  <c r="DB930" i="10"/>
  <c r="DC930" i="10" s="1"/>
  <c r="DB926" i="10"/>
  <c r="DC926" i="10" s="1"/>
  <c r="DB922" i="10"/>
  <c r="DC922" i="10" s="1"/>
  <c r="DB918" i="10"/>
  <c r="DC918" i="10" s="1"/>
  <c r="DB914" i="10"/>
  <c r="DC914" i="10" s="1"/>
  <c r="DB910" i="10"/>
  <c r="DC910" i="10" s="1"/>
  <c r="DB906" i="10"/>
  <c r="DC906" i="10" s="1"/>
  <c r="DB902" i="10"/>
  <c r="DC902" i="10" s="1"/>
  <c r="DB898" i="10"/>
  <c r="DC898" i="10" s="1"/>
  <c r="DB894" i="10"/>
  <c r="DC894" i="10" s="1"/>
  <c r="DB890" i="10"/>
  <c r="DC890" i="10" s="1"/>
  <c r="DB886" i="10"/>
  <c r="DC886" i="10" s="1"/>
  <c r="DB882" i="10"/>
  <c r="DC882" i="10" s="1"/>
  <c r="DB878" i="10"/>
  <c r="DB874" i="10"/>
  <c r="DB870" i="10"/>
  <c r="DB866" i="10"/>
  <c r="DB862" i="10"/>
  <c r="DB858" i="10"/>
  <c r="DC858" i="10" s="1"/>
  <c r="DB854" i="10"/>
  <c r="DB850" i="10"/>
  <c r="DC850" i="10" s="1"/>
  <c r="DB846" i="10"/>
  <c r="DB842" i="10"/>
  <c r="DB838" i="10"/>
  <c r="DC838" i="10" s="1"/>
  <c r="DB834" i="10"/>
  <c r="DC834" i="10" s="1"/>
  <c r="DB830" i="10"/>
  <c r="DB826" i="10"/>
  <c r="DB822" i="10"/>
  <c r="DB818" i="10"/>
  <c r="DB814" i="10"/>
  <c r="CU950" i="10"/>
  <c r="CU947" i="10"/>
  <c r="CU944" i="10"/>
  <c r="CU941" i="10"/>
  <c r="CU938" i="10"/>
  <c r="CU932" i="10"/>
  <c r="CU929" i="10"/>
  <c r="CU926" i="10"/>
  <c r="CU923" i="10"/>
  <c r="CU920" i="10"/>
  <c r="CU917" i="10"/>
  <c r="CU914" i="10"/>
  <c r="CU911" i="10"/>
  <c r="CU908" i="10"/>
  <c r="CU905" i="10"/>
  <c r="CU902" i="10"/>
  <c r="CU896" i="10"/>
  <c r="CU893" i="10"/>
  <c r="CU890" i="10"/>
  <c r="CU887" i="10"/>
  <c r="CU884" i="10"/>
  <c r="CU881" i="10"/>
  <c r="CT325" i="10"/>
  <c r="CU325" i="10" s="1"/>
  <c r="CT308" i="10"/>
  <c r="CU308" i="10" s="1"/>
  <c r="CT271" i="10"/>
  <c r="CU271" i="10" s="1"/>
  <c r="CT254" i="10"/>
  <c r="CU254" i="10" s="1"/>
  <c r="CT230" i="10"/>
  <c r="CU230" i="10" s="1"/>
  <c r="CT220" i="10"/>
  <c r="CT196" i="10"/>
  <c r="CT154" i="10"/>
  <c r="CT334" i="10"/>
  <c r="CT317" i="10"/>
  <c r="CU317" i="10" s="1"/>
  <c r="CT280" i="10"/>
  <c r="CT263" i="10"/>
  <c r="CU263" i="10" s="1"/>
  <c r="CT233" i="10"/>
  <c r="CU233" i="10" s="1"/>
  <c r="CT212" i="10"/>
  <c r="CU212" i="10" s="1"/>
  <c r="CU209" i="10"/>
  <c r="CT157" i="10"/>
  <c r="CU946" i="10"/>
  <c r="CU943" i="10"/>
  <c r="CU940" i="10"/>
  <c r="CU937" i="10"/>
  <c r="CU934" i="10"/>
  <c r="CU931" i="10"/>
  <c r="CU928" i="10"/>
  <c r="CU925" i="10"/>
  <c r="CU922" i="10"/>
  <c r="CU919" i="10"/>
  <c r="CU916" i="10"/>
  <c r="CU913" i="10"/>
  <c r="CU910" i="10"/>
  <c r="CU907" i="10"/>
  <c r="CU904" i="10"/>
  <c r="CU901" i="10"/>
  <c r="CU898" i="10"/>
  <c r="CU895" i="10"/>
  <c r="CU892" i="10"/>
  <c r="CU889" i="10"/>
  <c r="CU886" i="10"/>
  <c r="CU883" i="10"/>
  <c r="CU880" i="10"/>
  <c r="CU320" i="10"/>
  <c r="CT290" i="10"/>
  <c r="CU290" i="10" s="1"/>
  <c r="CT253" i="10"/>
  <c r="CT236" i="10"/>
  <c r="CU236" i="10" s="1"/>
  <c r="CT205" i="10"/>
  <c r="CU164" i="10"/>
  <c r="CT37" i="10"/>
  <c r="CU37" i="10" s="1"/>
  <c r="CT313" i="10"/>
  <c r="CT286" i="10"/>
  <c r="CT259" i="10"/>
  <c r="CT232" i="10"/>
  <c r="CT194" i="10"/>
  <c r="CU194" i="10" s="1"/>
  <c r="CT170" i="10"/>
  <c r="CU170" i="10" s="1"/>
  <c r="CT127" i="10"/>
  <c r="CT46" i="10"/>
  <c r="CU46" i="10" s="1"/>
  <c r="DC1008" i="10"/>
  <c r="DC1000" i="10"/>
  <c r="DC996" i="10"/>
  <c r="DC992" i="10"/>
  <c r="DC988" i="10"/>
  <c r="DC984" i="10"/>
  <c r="DC980" i="10"/>
  <c r="DC976" i="10"/>
  <c r="DC972" i="10"/>
  <c r="DC968" i="10"/>
  <c r="DC964" i="10"/>
  <c r="DC960" i="10"/>
  <c r="DC948" i="10"/>
  <c r="DC940" i="10"/>
  <c r="DC936" i="10"/>
  <c r="DC932" i="10"/>
  <c r="DC928" i="10"/>
  <c r="DC924" i="10"/>
  <c r="DC920" i="10"/>
  <c r="DC916" i="10"/>
  <c r="DC912" i="10"/>
  <c r="DC900" i="10"/>
  <c r="DC892" i="10"/>
  <c r="DC888" i="10"/>
  <c r="DC884" i="10"/>
  <c r="DC880" i="10"/>
  <c r="DB943" i="10"/>
  <c r="DC943" i="10" s="1"/>
  <c r="DB939" i="10"/>
  <c r="DC939" i="10" s="1"/>
  <c r="DB935" i="10"/>
  <c r="DC935" i="10" s="1"/>
  <c r="DB931" i="10"/>
  <c r="DC931" i="10" s="1"/>
  <c r="DB927" i="10"/>
  <c r="DC927" i="10" s="1"/>
  <c r="DB923" i="10"/>
  <c r="DC923" i="10" s="1"/>
  <c r="DB919" i="10"/>
  <c r="DC919" i="10" s="1"/>
  <c r="DB915" i="10"/>
  <c r="DC915" i="10" s="1"/>
  <c r="DB911" i="10"/>
  <c r="DC911" i="10" s="1"/>
  <c r="DB907" i="10"/>
  <c r="DC907" i="10" s="1"/>
  <c r="DB903" i="10"/>
  <c r="DC903" i="10" s="1"/>
  <c r="DB899" i="10"/>
  <c r="DC899" i="10" s="1"/>
  <c r="DB895" i="10"/>
  <c r="DC895" i="10" s="1"/>
  <c r="DB891" i="10"/>
  <c r="DB887" i="10"/>
  <c r="DC887" i="10" s="1"/>
  <c r="DB883" i="10"/>
  <c r="DC883" i="10" s="1"/>
  <c r="DB879" i="10"/>
  <c r="DB875" i="10"/>
  <c r="DB871" i="10"/>
  <c r="DB867" i="10"/>
  <c r="DB863" i="10"/>
  <c r="DB859" i="10"/>
  <c r="DB855" i="10"/>
  <c r="DB851" i="10"/>
  <c r="DB847" i="10"/>
  <c r="DB843" i="10"/>
  <c r="DC843" i="10" s="1"/>
  <c r="DB839" i="10"/>
  <c r="DC839" i="10" s="1"/>
  <c r="DB835" i="10"/>
  <c r="DC835" i="10" s="1"/>
  <c r="DB831" i="10"/>
  <c r="DB827" i="10"/>
  <c r="DB823" i="10"/>
  <c r="DB819" i="10"/>
  <c r="DB815" i="10"/>
  <c r="DB811" i="10"/>
  <c r="DB807" i="10"/>
  <c r="DB803" i="10"/>
  <c r="DB799" i="10"/>
  <c r="DB795" i="10"/>
  <c r="DC795" i="10" s="1"/>
  <c r="DB791" i="10"/>
  <c r="DC791" i="10" s="1"/>
  <c r="DB787" i="10"/>
  <c r="DC787" i="10" s="1"/>
  <c r="DB783" i="10"/>
  <c r="DB779" i="10"/>
  <c r="DB775" i="10"/>
  <c r="DB771" i="10"/>
  <c r="DB767" i="10"/>
  <c r="DB763" i="10"/>
  <c r="DB759" i="10"/>
  <c r="DB755" i="10"/>
  <c r="DB751" i="10"/>
  <c r="DB747" i="10"/>
  <c r="DB743" i="10"/>
  <c r="DB739" i="10"/>
  <c r="DC739" i="10" s="1"/>
  <c r="DB735" i="10"/>
  <c r="DB731" i="10"/>
  <c r="DB727" i="10"/>
  <c r="DB723" i="10"/>
  <c r="DB719" i="10"/>
  <c r="DB715" i="10"/>
  <c r="DB711" i="10"/>
  <c r="DB707" i="10"/>
  <c r="DB703" i="10"/>
  <c r="DB699" i="10"/>
  <c r="DB695" i="10"/>
  <c r="DC695" i="10" s="1"/>
  <c r="DB691" i="10"/>
  <c r="DC691" i="10" s="1"/>
  <c r="DB687" i="10"/>
  <c r="DB683" i="10"/>
  <c r="DB679" i="10"/>
  <c r="DB675" i="10"/>
  <c r="DB671" i="10"/>
  <c r="DB667" i="10"/>
  <c r="DB663" i="10"/>
  <c r="DB659" i="10"/>
  <c r="DB655" i="10"/>
  <c r="DB651" i="10"/>
  <c r="DB647" i="10"/>
  <c r="DC647" i="10" s="1"/>
  <c r="DB643" i="10"/>
  <c r="DC643" i="10" s="1"/>
  <c r="DB639" i="10"/>
  <c r="DB635" i="10"/>
  <c r="DB631" i="10"/>
  <c r="DB627" i="10"/>
  <c r="DB623" i="10"/>
  <c r="DB619" i="10"/>
  <c r="DB615" i="10"/>
  <c r="DB611" i="10"/>
  <c r="DB607" i="10"/>
  <c r="CT376" i="10"/>
  <c r="CU376" i="10" s="1"/>
  <c r="CT373" i="10"/>
  <c r="CT370" i="10"/>
  <c r="CU370" i="10" s="1"/>
  <c r="CT367" i="10"/>
  <c r="CT364" i="10"/>
  <c r="CT361" i="10"/>
  <c r="CT358" i="10"/>
  <c r="CT355" i="10"/>
  <c r="CT352" i="10"/>
  <c r="CT349" i="10"/>
  <c r="CT346" i="10"/>
  <c r="CU346" i="10" s="1"/>
  <c r="CT343" i="10"/>
  <c r="CT340" i="10"/>
  <c r="CU340" i="10" s="1"/>
  <c r="CT337" i="10"/>
  <c r="CT314" i="10"/>
  <c r="CU314" i="10" s="1"/>
  <c r="CT301" i="10"/>
  <c r="CT278" i="10"/>
  <c r="CU278" i="10" s="1"/>
  <c r="CT265" i="10"/>
  <c r="CT242" i="10"/>
  <c r="CU242" i="10" s="1"/>
  <c r="CT229" i="10"/>
  <c r="CT206" i="10"/>
  <c r="CU206" i="10" s="1"/>
  <c r="CT193" i="10"/>
  <c r="CT176" i="10"/>
  <c r="CU176" i="10" s="1"/>
  <c r="CT163" i="10"/>
  <c r="CT133" i="10"/>
  <c r="CU133" i="10" s="1"/>
  <c r="CT85" i="10"/>
  <c r="CT64" i="10"/>
  <c r="CU64" i="10" s="1"/>
  <c r="CT49" i="10"/>
  <c r="DA711" i="10"/>
  <c r="DA699" i="10"/>
  <c r="DA687" i="10"/>
  <c r="DA675" i="10"/>
  <c r="DA663" i="10"/>
  <c r="DA651" i="10"/>
  <c r="DA639" i="10"/>
  <c r="DA627" i="10"/>
  <c r="DA615" i="10"/>
  <c r="DA603" i="10"/>
  <c r="DA591" i="10"/>
  <c r="DA579" i="10"/>
  <c r="DA567" i="10"/>
  <c r="DA555" i="10"/>
  <c r="DA543" i="10"/>
  <c r="DA531" i="10"/>
  <c r="DA519" i="10"/>
  <c r="DA507" i="10"/>
  <c r="DA495" i="10"/>
  <c r="DA483" i="10"/>
  <c r="DA471" i="10"/>
  <c r="DA459" i="10"/>
  <c r="DA447" i="10"/>
  <c r="DA435" i="10"/>
  <c r="DA423" i="10"/>
  <c r="DA411" i="10"/>
  <c r="DA399" i="10"/>
  <c r="DA387" i="10"/>
  <c r="DA375" i="10"/>
  <c r="DA363" i="10"/>
  <c r="DA351" i="10"/>
  <c r="DA339" i="10"/>
  <c r="DA327" i="10"/>
  <c r="DA315" i="10"/>
  <c r="DA303" i="10"/>
  <c r="DA291" i="10"/>
  <c r="DA279" i="10"/>
  <c r="DA267" i="10"/>
  <c r="DB810" i="10"/>
  <c r="DB806" i="10"/>
  <c r="DB802" i="10"/>
  <c r="DB798" i="10"/>
  <c r="DB794" i="10"/>
  <c r="DB790" i="10"/>
  <c r="DC790" i="10" s="1"/>
  <c r="DB786" i="10"/>
  <c r="DC786" i="10" s="1"/>
  <c r="DB782" i="10"/>
  <c r="DC782" i="10" s="1"/>
  <c r="DB778" i="10"/>
  <c r="DB774" i="10"/>
  <c r="DB770" i="10"/>
  <c r="DB766" i="10"/>
  <c r="DB762" i="10"/>
  <c r="DB758" i="10"/>
  <c r="DB754" i="10"/>
  <c r="DB750" i="10"/>
  <c r="DB746" i="10"/>
  <c r="DB742" i="10"/>
  <c r="DC742" i="10" s="1"/>
  <c r="DB738" i="10"/>
  <c r="DB734" i="10"/>
  <c r="DC734" i="10" s="1"/>
  <c r="DB730" i="10"/>
  <c r="DB726" i="10"/>
  <c r="DB722" i="10"/>
  <c r="DB718" i="10"/>
  <c r="DB714" i="10"/>
  <c r="DB710" i="10"/>
  <c r="DB706" i="10"/>
  <c r="DB702" i="10"/>
  <c r="DB698" i="10"/>
  <c r="DB694" i="10"/>
  <c r="DC694" i="10" s="1"/>
  <c r="DB690" i="10"/>
  <c r="DC690" i="10" s="1"/>
  <c r="DB686" i="10"/>
  <c r="DC686" i="10" s="1"/>
  <c r="DB682" i="10"/>
  <c r="DB678" i="10"/>
  <c r="DB674" i="10"/>
  <c r="DB670" i="10"/>
  <c r="DB666" i="10"/>
  <c r="DB662" i="10"/>
  <c r="DB658" i="10"/>
  <c r="DB654" i="10"/>
  <c r="DB650" i="10"/>
  <c r="DB646" i="10"/>
  <c r="DC646" i="10" s="1"/>
  <c r="DB642" i="10"/>
  <c r="DC642" i="10" s="1"/>
  <c r="DB638" i="10"/>
  <c r="DC638" i="10" s="1"/>
  <c r="DB634" i="10"/>
  <c r="DB630" i="10"/>
  <c r="DB626" i="10"/>
  <c r="DB622" i="10"/>
  <c r="DB618" i="10"/>
  <c r="DB614" i="10"/>
  <c r="DB610" i="10"/>
  <c r="DB606" i="10"/>
  <c r="DB602" i="10"/>
  <c r="DB598" i="10"/>
  <c r="DC598" i="10" s="1"/>
  <c r="DB594" i="10"/>
  <c r="DC594" i="10" s="1"/>
  <c r="DB590" i="10"/>
  <c r="DC590" i="10" s="1"/>
  <c r="DB586" i="10"/>
  <c r="DB582" i="10"/>
  <c r="DB578" i="10"/>
  <c r="DB574" i="10"/>
  <c r="DB570" i="10"/>
  <c r="DB566" i="10"/>
  <c r="DB562" i="10"/>
  <c r="DB558" i="10"/>
  <c r="DB554" i="10"/>
  <c r="DB550" i="10"/>
  <c r="DC550" i="10" s="1"/>
  <c r="DB546" i="10"/>
  <c r="DC546" i="10" s="1"/>
  <c r="DB542" i="10"/>
  <c r="DC542" i="10" s="1"/>
  <c r="DB538" i="10"/>
  <c r="DB534" i="10"/>
  <c r="DB530" i="10"/>
  <c r="DB526" i="10"/>
  <c r="DB522" i="10"/>
  <c r="DB518" i="10"/>
  <c r="DB514" i="10"/>
  <c r="DB510" i="10"/>
  <c r="DB506" i="10"/>
  <c r="DB502" i="10"/>
  <c r="DC502" i="10" s="1"/>
  <c r="DB498" i="10"/>
  <c r="DC498" i="10" s="1"/>
  <c r="DB494" i="10"/>
  <c r="DC494" i="10" s="1"/>
  <c r="DB490" i="10"/>
  <c r="DB486" i="10"/>
  <c r="DB482" i="10"/>
  <c r="DB478" i="10"/>
  <c r="DB474" i="10"/>
  <c r="CU326" i="10"/>
  <c r="CT323" i="10"/>
  <c r="CT310" i="10"/>
  <c r="CT287" i="10"/>
  <c r="CU287" i="10" s="1"/>
  <c r="CT274" i="10"/>
  <c r="CT251" i="10"/>
  <c r="CT238" i="10"/>
  <c r="CU218" i="10"/>
  <c r="CT215" i="10"/>
  <c r="CU215" i="10" s="1"/>
  <c r="CT202" i="10"/>
  <c r="CU185" i="10"/>
  <c r="CT182" i="10"/>
  <c r="CU182" i="10" s="1"/>
  <c r="CT172" i="10"/>
  <c r="CT142" i="10"/>
  <c r="CT109" i="10"/>
  <c r="CU109" i="10" s="1"/>
  <c r="CT332" i="10"/>
  <c r="CU332" i="10" s="1"/>
  <c r="CT319" i="10"/>
  <c r="CU319" i="10" s="1"/>
  <c r="CT296" i="10"/>
  <c r="CU296" i="10" s="1"/>
  <c r="CT283" i="10"/>
  <c r="CT260" i="10"/>
  <c r="CU260" i="10" s="1"/>
  <c r="CT247" i="10"/>
  <c r="CT224" i="10"/>
  <c r="CU224" i="10" s="1"/>
  <c r="CT211" i="10"/>
  <c r="CT191" i="10"/>
  <c r="CU191" i="10" s="1"/>
  <c r="CT148" i="10"/>
  <c r="CT118" i="10"/>
  <c r="CT227" i="10"/>
  <c r="CU227" i="10" s="1"/>
  <c r="CT214" i="10"/>
  <c r="CT181" i="10"/>
  <c r="CU181" i="10" s="1"/>
  <c r="CT151" i="10"/>
  <c r="DC1009" i="10"/>
  <c r="DC1005" i="10"/>
  <c r="DC1001" i="10"/>
  <c r="DC997" i="10"/>
  <c r="DC993" i="10"/>
  <c r="DC989" i="10"/>
  <c r="DC985" i="10"/>
  <c r="DC981" i="10"/>
  <c r="DC969" i="10"/>
  <c r="DC961" i="10"/>
  <c r="DC957" i="10"/>
  <c r="DC953" i="10"/>
  <c r="DC949" i="10"/>
  <c r="DC945" i="10"/>
  <c r="DC941" i="10"/>
  <c r="DC937" i="10"/>
  <c r="DC933" i="10"/>
  <c r="DC921" i="10"/>
  <c r="DC913" i="10"/>
  <c r="DC909" i="10"/>
  <c r="DC905" i="10"/>
  <c r="DC901" i="10"/>
  <c r="DC897" i="10"/>
  <c r="DC893" i="10"/>
  <c r="DC889" i="10"/>
  <c r="DC885" i="10"/>
  <c r="CT124" i="10"/>
  <c r="CU124" i="10" s="1"/>
  <c r="DB470" i="10"/>
  <c r="DB466" i="10"/>
  <c r="DB462" i="10"/>
  <c r="DB458" i="10"/>
  <c r="DB454" i="10"/>
  <c r="DB450" i="10"/>
  <c r="DB446" i="10"/>
  <c r="DB442" i="10"/>
  <c r="DB438" i="10"/>
  <c r="DB434" i="10"/>
  <c r="DC434" i="10" s="1"/>
  <c r="DB430" i="10"/>
  <c r="DB426" i="10"/>
  <c r="DC426" i="10" s="1"/>
  <c r="DB422" i="10"/>
  <c r="DB418" i="10"/>
  <c r="DB414" i="10"/>
  <c r="DC414" i="10" s="1"/>
  <c r="DB410" i="10"/>
  <c r="DC410" i="10" s="1"/>
  <c r="DB406" i="10"/>
  <c r="DB402" i="10"/>
  <c r="DB398" i="10"/>
  <c r="DB394" i="10"/>
  <c r="DB390" i="10"/>
  <c r="DB386" i="10"/>
  <c r="DC386" i="10" s="1"/>
  <c r="DB382" i="10"/>
  <c r="DB378" i="10"/>
  <c r="DC378" i="10" s="1"/>
  <c r="DB374" i="10"/>
  <c r="DB370" i="10"/>
  <c r="DB366" i="10"/>
  <c r="DB362" i="10"/>
  <c r="DB358" i="10"/>
  <c r="DB354" i="10"/>
  <c r="DB350" i="10"/>
  <c r="DB346" i="10"/>
  <c r="DB342" i="10"/>
  <c r="DB338" i="10"/>
  <c r="DC338" i="10" s="1"/>
  <c r="DB334" i="10"/>
  <c r="DB330" i="10"/>
  <c r="DC330" i="10" s="1"/>
  <c r="DB326" i="10"/>
  <c r="DB322" i="10"/>
  <c r="DB318" i="10"/>
  <c r="DC318" i="10" s="1"/>
  <c r="DB314" i="10"/>
  <c r="DC314" i="10" s="1"/>
  <c r="DB310" i="10"/>
  <c r="DB306" i="10"/>
  <c r="DB302" i="10"/>
  <c r="DB298" i="10"/>
  <c r="DB294" i="10"/>
  <c r="DB290" i="10"/>
  <c r="DC290" i="10" s="1"/>
  <c r="DB286" i="10"/>
  <c r="DB282" i="10"/>
  <c r="DC282" i="10" s="1"/>
  <c r="DB278" i="10"/>
  <c r="DB274" i="10"/>
  <c r="DB270" i="10"/>
  <c r="DC270" i="10" s="1"/>
  <c r="DB266" i="10"/>
  <c r="DC266" i="10" s="1"/>
  <c r="DB262" i="10"/>
  <c r="DB258" i="10"/>
  <c r="DB254" i="10"/>
  <c r="DB250" i="10"/>
  <c r="DB246" i="10"/>
  <c r="DB242" i="10"/>
  <c r="DC242" i="10" s="1"/>
  <c r="DB238" i="10"/>
  <c r="DB234" i="10"/>
  <c r="DC234" i="10" s="1"/>
  <c r="DB230" i="10"/>
  <c r="DB226" i="10"/>
  <c r="DB222" i="10"/>
  <c r="DC222" i="10" s="1"/>
  <c r="DB218" i="10"/>
  <c r="DC218" i="10" s="1"/>
  <c r="DB214" i="10"/>
  <c r="DB210" i="10"/>
  <c r="DB206" i="10"/>
  <c r="DB202" i="10"/>
  <c r="DB198" i="10"/>
  <c r="DB194" i="10"/>
  <c r="DC194" i="10" s="1"/>
  <c r="DB190" i="10"/>
  <c r="DB186" i="10"/>
  <c r="DC186" i="10" s="1"/>
  <c r="DB182" i="10"/>
  <c r="DB178" i="10"/>
  <c r="DB174" i="10"/>
  <c r="DC174" i="10" s="1"/>
  <c r="DB170" i="10"/>
  <c r="DC170" i="10" s="1"/>
  <c r="DB166" i="10"/>
  <c r="DB162" i="10"/>
  <c r="DB158" i="10"/>
  <c r="DB154" i="10"/>
  <c r="DB150" i="10"/>
  <c r="DB146" i="10"/>
  <c r="DC146" i="10" s="1"/>
  <c r="DB142" i="10"/>
  <c r="DB138" i="10"/>
  <c r="DC138" i="10" s="1"/>
  <c r="DB134" i="10"/>
  <c r="DB541" i="10"/>
  <c r="DB537" i="10"/>
  <c r="DB533" i="10"/>
  <c r="DC533" i="10" s="1"/>
  <c r="DB529" i="10"/>
  <c r="DB525" i="10"/>
  <c r="DB521" i="10"/>
  <c r="DB517" i="10"/>
  <c r="DB513" i="10"/>
  <c r="DB509" i="10"/>
  <c r="DC509" i="10" s="1"/>
  <c r="DB505" i="10"/>
  <c r="DB501" i="10"/>
  <c r="DC501" i="10" s="1"/>
  <c r="DB497" i="10"/>
  <c r="DB493" i="10"/>
  <c r="DB489" i="10"/>
  <c r="DC489" i="10" s="1"/>
  <c r="DB485" i="10"/>
  <c r="DC485" i="10" s="1"/>
  <c r="DB481" i="10"/>
  <c r="DB477" i="10"/>
  <c r="DB473" i="10"/>
  <c r="DB469" i="10"/>
  <c r="DB465" i="10"/>
  <c r="DB461" i="10"/>
  <c r="DC461" i="10" s="1"/>
  <c r="DB457" i="10"/>
  <c r="DB453" i="10"/>
  <c r="DC453" i="10" s="1"/>
  <c r="DB449" i="10"/>
  <c r="DB445" i="10"/>
  <c r="DB441" i="10"/>
  <c r="DC441" i="10" s="1"/>
  <c r="DB437" i="10"/>
  <c r="DC437" i="10" s="1"/>
  <c r="DB433" i="10"/>
  <c r="DB429" i="10"/>
  <c r="DB425" i="10"/>
  <c r="DB421" i="10"/>
  <c r="DB417" i="10"/>
  <c r="DB413" i="10"/>
  <c r="DC413" i="10" s="1"/>
  <c r="DB409" i="10"/>
  <c r="DB405" i="10"/>
  <c r="DC405" i="10" s="1"/>
  <c r="DB401" i="10"/>
  <c r="DB397" i="10"/>
  <c r="DB393" i="10"/>
  <c r="DC393" i="10" s="1"/>
  <c r="DB389" i="10"/>
  <c r="DC389" i="10" s="1"/>
  <c r="DB385" i="10"/>
  <c r="DB381" i="10"/>
  <c r="DB377" i="10"/>
  <c r="DB373" i="10"/>
  <c r="DB369" i="10"/>
  <c r="DB365" i="10"/>
  <c r="DC365" i="10" s="1"/>
  <c r="DB361" i="10"/>
  <c r="DB357" i="10"/>
  <c r="DB353" i="10"/>
  <c r="DB349" i="10"/>
  <c r="DB345" i="10"/>
  <c r="DC345" i="10" s="1"/>
  <c r="DB341" i="10"/>
  <c r="DC341" i="10" s="1"/>
  <c r="DB337" i="10"/>
  <c r="DB333" i="10"/>
  <c r="DB329" i="10"/>
  <c r="DB325" i="10"/>
  <c r="CT188" i="10"/>
  <c r="CU188" i="10" s="1"/>
  <c r="CT175" i="10"/>
  <c r="CU175" i="10" s="1"/>
  <c r="CT139" i="10"/>
  <c r="CT103" i="10"/>
  <c r="CU103" i="10" s="1"/>
  <c r="CT61" i="10"/>
  <c r="DB284" i="10"/>
  <c r="DB280" i="10"/>
  <c r="DB276" i="10"/>
  <c r="DB272" i="10"/>
  <c r="DB268" i="10"/>
  <c r="DB264" i="10"/>
  <c r="DB260" i="10"/>
  <c r="DB256" i="10"/>
  <c r="DB252" i="10"/>
  <c r="DC252" i="10" s="1"/>
  <c r="DB248" i="10"/>
  <c r="DB244" i="10"/>
  <c r="DC244" i="10" s="1"/>
  <c r="DB240" i="10"/>
  <c r="DB236" i="10"/>
  <c r="DB232" i="10"/>
  <c r="DC232" i="10" s="1"/>
  <c r="DB228" i="10"/>
  <c r="DC228" i="10" s="1"/>
  <c r="DB224" i="10"/>
  <c r="DB220" i="10"/>
  <c r="DB216" i="10"/>
  <c r="DB212" i="10"/>
  <c r="DB208" i="10"/>
  <c r="DB204" i="10"/>
  <c r="DC204" i="10" s="1"/>
  <c r="DB200" i="10"/>
  <c r="DB196" i="10"/>
  <c r="DC196" i="10" s="1"/>
  <c r="DB192" i="10"/>
  <c r="DB188" i="10"/>
  <c r="DB184" i="10"/>
  <c r="DC184" i="10" s="1"/>
  <c r="DB180" i="10"/>
  <c r="DC180" i="10" s="1"/>
  <c r="DB176" i="10"/>
  <c r="DB172" i="10"/>
  <c r="DB168" i="10"/>
  <c r="DB164" i="10"/>
  <c r="DB160" i="10"/>
  <c r="DB156" i="10"/>
  <c r="DC156" i="10" s="1"/>
  <c r="DB152" i="10"/>
  <c r="DB148" i="10"/>
  <c r="DC148" i="10" s="1"/>
  <c r="DB144" i="10"/>
  <c r="DB603" i="10"/>
  <c r="DB599" i="10"/>
  <c r="DC599" i="10" s="1"/>
  <c r="DB595" i="10"/>
  <c r="DC595" i="10" s="1"/>
  <c r="DB591" i="10"/>
  <c r="DB587" i="10"/>
  <c r="DB583" i="10"/>
  <c r="DB579" i="10"/>
  <c r="DB575" i="10"/>
  <c r="DB571" i="10"/>
  <c r="DC571" i="10" s="1"/>
  <c r="DB567" i="10"/>
  <c r="DB563" i="10"/>
  <c r="DC563" i="10" s="1"/>
  <c r="DB559" i="10"/>
  <c r="DB555" i="10"/>
  <c r="DB551" i="10"/>
  <c r="DB547" i="10"/>
  <c r="DC547" i="10" s="1"/>
  <c r="DB543" i="10"/>
  <c r="DB539" i="10"/>
  <c r="DB535" i="10"/>
  <c r="DB531" i="10"/>
  <c r="DB527" i="10"/>
  <c r="DB523" i="10"/>
  <c r="DC523" i="10" s="1"/>
  <c r="DB519" i="10"/>
  <c r="DB515" i="10"/>
  <c r="DC515" i="10" s="1"/>
  <c r="DB511" i="10"/>
  <c r="DB507" i="10"/>
  <c r="DB503" i="10"/>
  <c r="DC503" i="10" s="1"/>
  <c r="DB499" i="10"/>
  <c r="DC499" i="10" s="1"/>
  <c r="DB495" i="10"/>
  <c r="DB491" i="10"/>
  <c r="DB487" i="10"/>
  <c r="DB483" i="10"/>
  <c r="DB479" i="10"/>
  <c r="DB475" i="10"/>
  <c r="DC475" i="10" s="1"/>
  <c r="DB471" i="10"/>
  <c r="DB467" i="10"/>
  <c r="DC467" i="10" s="1"/>
  <c r="DB463" i="10"/>
  <c r="DB459" i="10"/>
  <c r="DB455" i="10"/>
  <c r="DC455" i="10" s="1"/>
  <c r="DB451" i="10"/>
  <c r="DC451" i="10" s="1"/>
  <c r="DB447" i="10"/>
  <c r="CT121" i="10"/>
  <c r="CT73" i="10"/>
  <c r="CU73" i="10" s="1"/>
  <c r="DA255" i="10"/>
  <c r="DA243" i="10"/>
  <c r="DA231" i="10"/>
  <c r="DA219" i="10"/>
  <c r="DA207" i="10"/>
  <c r="DA195" i="10"/>
  <c r="DA183" i="10"/>
  <c r="DB321" i="10"/>
  <c r="DC321" i="10" s="1"/>
  <c r="DB317" i="10"/>
  <c r="DC317" i="10" s="1"/>
  <c r="BY631" i="10"/>
  <c r="DU631" i="10" s="1"/>
  <c r="BY241" i="10"/>
  <c r="DU241" i="10" s="1"/>
  <c r="BY211" i="10"/>
  <c r="DU211" i="10" s="1"/>
  <c r="BY187" i="10"/>
  <c r="DU187" i="10" s="1"/>
  <c r="BX317" i="10"/>
  <c r="BX329" i="10"/>
  <c r="BX337" i="10"/>
  <c r="DT337" i="10" s="1"/>
  <c r="BX349" i="10"/>
  <c r="BX377" i="10"/>
  <c r="BX385" i="10"/>
  <c r="BX406" i="10"/>
  <c r="BX455" i="10"/>
  <c r="BX84" i="10"/>
  <c r="BX177" i="10"/>
  <c r="DN177" i="10" s="1"/>
  <c r="BP177" i="10" s="1"/>
  <c r="BX186" i="10"/>
  <c r="BX381" i="10"/>
  <c r="DT381" i="10" s="1"/>
  <c r="BX433" i="10"/>
  <c r="BX467" i="10"/>
  <c r="BX489" i="10"/>
  <c r="BY963" i="10"/>
  <c r="DU963" i="10" s="1"/>
  <c r="BY576" i="10"/>
  <c r="DU576" i="10" s="1"/>
  <c r="BY504" i="10"/>
  <c r="DU504" i="10" s="1"/>
  <c r="BY450" i="10"/>
  <c r="DU450" i="10" s="1"/>
  <c r="BY402" i="10"/>
  <c r="DU402" i="10" s="1"/>
  <c r="BY360" i="10"/>
  <c r="DU360" i="10" s="1"/>
  <c r="BY288" i="10"/>
  <c r="DU288" i="10" s="1"/>
  <c r="BY234" i="10"/>
  <c r="DU234" i="10" s="1"/>
  <c r="BY192" i="10"/>
  <c r="DU192" i="10" s="1"/>
  <c r="BY180" i="10"/>
  <c r="DU180" i="10" s="1"/>
  <c r="BY150" i="10"/>
  <c r="DU150" i="10" s="1"/>
  <c r="BY126" i="10"/>
  <c r="DU126" i="10" s="1"/>
  <c r="BY120" i="10"/>
  <c r="DU120" i="10" s="1"/>
  <c r="BY114" i="10"/>
  <c r="DU114" i="10" s="1"/>
  <c r="BY54" i="10"/>
  <c r="DU54" i="10" s="1"/>
  <c r="BY30" i="10"/>
  <c r="DU30" i="10" s="1"/>
  <c r="BY24" i="10"/>
  <c r="BX70" i="10"/>
  <c r="BX94" i="10"/>
  <c r="BX160" i="10"/>
  <c r="BX165" i="10"/>
  <c r="BX208" i="10"/>
  <c r="BX225" i="10"/>
  <c r="BX229" i="10"/>
  <c r="BX264" i="10"/>
  <c r="BX277" i="10"/>
  <c r="BX281" i="10"/>
  <c r="DN281" i="10" s="1"/>
  <c r="BP281" i="10" s="1"/>
  <c r="BX293" i="10"/>
  <c r="DN293" i="10" s="1"/>
  <c r="BP293" i="10" s="1"/>
  <c r="BX322" i="10"/>
  <c r="DN322" i="10" s="1"/>
  <c r="BP322" i="10" s="1"/>
  <c r="DO322" i="10" s="1"/>
  <c r="BX326" i="10"/>
  <c r="DN326" i="10" s="1"/>
  <c r="BP326" i="10" s="1"/>
  <c r="DO326" i="10" s="1"/>
  <c r="BX330" i="10"/>
  <c r="BX403" i="10"/>
  <c r="DB140" i="10"/>
  <c r="DC140" i="10" s="1"/>
  <c r="DB136" i="10"/>
  <c r="DB132" i="10"/>
  <c r="DB128" i="10"/>
  <c r="DB124" i="10"/>
  <c r="DB120" i="10"/>
  <c r="DC120" i="10" s="1"/>
  <c r="DB116" i="10"/>
  <c r="DB112" i="10"/>
  <c r="DB108" i="10"/>
  <c r="DC108" i="10" s="1"/>
  <c r="DB104" i="10"/>
  <c r="DB100" i="10"/>
  <c r="DB96" i="10"/>
  <c r="DC96" i="10" s="1"/>
  <c r="DB92" i="10"/>
  <c r="DB88" i="10"/>
  <c r="DB84" i="10"/>
  <c r="DC84" i="10" s="1"/>
  <c r="DB80" i="10"/>
  <c r="DB76" i="10"/>
  <c r="DB72" i="10"/>
  <c r="DC72" i="10" s="1"/>
  <c r="DB68" i="10"/>
  <c r="DB64" i="10"/>
  <c r="DB60" i="10"/>
  <c r="DC60" i="10" s="1"/>
  <c r="DB56" i="10"/>
  <c r="DB52" i="10"/>
  <c r="DB48" i="10"/>
  <c r="DB44" i="10"/>
  <c r="DB40" i="10"/>
  <c r="DB36" i="10"/>
  <c r="DC36" i="10" s="1"/>
  <c r="DB32" i="10"/>
  <c r="DB28" i="10"/>
  <c r="BX37" i="10"/>
  <c r="DT37" i="10" s="1"/>
  <c r="BX126" i="10"/>
  <c r="BX135" i="10"/>
  <c r="BX148" i="10"/>
  <c r="BX195" i="10"/>
  <c r="DT195" i="10" s="1"/>
  <c r="BX204" i="10"/>
  <c r="DT204" i="10" s="1"/>
  <c r="BX217" i="10"/>
  <c r="BX234" i="10"/>
  <c r="BX256" i="10"/>
  <c r="BX273" i="10"/>
  <c r="BX306" i="10"/>
  <c r="BX318" i="10"/>
  <c r="DN318" i="10" s="1"/>
  <c r="BP318" i="10" s="1"/>
  <c r="BX338" i="10"/>
  <c r="BX342" i="10"/>
  <c r="BX350" i="10"/>
  <c r="DN350" i="10" s="1"/>
  <c r="BP350" i="10" s="1"/>
  <c r="DO350" i="10" s="1"/>
  <c r="BX358" i="10"/>
  <c r="BX386" i="10"/>
  <c r="DN386" i="10" s="1"/>
  <c r="BP386" i="10" s="1"/>
  <c r="DO386" i="10" s="1"/>
  <c r="BX394" i="10"/>
  <c r="DN394" i="10" s="1"/>
  <c r="BP394" i="10" s="1"/>
  <c r="BX443" i="10"/>
  <c r="BX462" i="10"/>
  <c r="DT462" i="10" s="1"/>
  <c r="BY725" i="10"/>
  <c r="DU725" i="10" s="1"/>
  <c r="BY653" i="10"/>
  <c r="DU653" i="10" s="1"/>
  <c r="BY587" i="10"/>
  <c r="DU587" i="10" s="1"/>
  <c r="BY515" i="10"/>
  <c r="DU515" i="10" s="1"/>
  <c r="BY509" i="10"/>
  <c r="DU509" i="10" s="1"/>
  <c r="BY437" i="10"/>
  <c r="DU437" i="10" s="1"/>
  <c r="BY245" i="10"/>
  <c r="BY215" i="10"/>
  <c r="DU215" i="10" s="1"/>
  <c r="BY185" i="10"/>
  <c r="DU185" i="10" s="1"/>
  <c r="BY107" i="10"/>
  <c r="DU107" i="10" s="1"/>
  <c r="BY83" i="10"/>
  <c r="DU83" i="10" s="1"/>
  <c r="DA128" i="10"/>
  <c r="DA124" i="10"/>
  <c r="DA116" i="10"/>
  <c r="DA112" i="10"/>
  <c r="DA104" i="10"/>
  <c r="DA100" i="10"/>
  <c r="DA92" i="10"/>
  <c r="DA88" i="10"/>
  <c r="DA80" i="10"/>
  <c r="DA76" i="10"/>
  <c r="DA68" i="10"/>
  <c r="DA64" i="10"/>
  <c r="DA56" i="10"/>
  <c r="DA52" i="10"/>
  <c r="DA44" i="10"/>
  <c r="DA40" i="10"/>
  <c r="DA32" i="10"/>
  <c r="DA28" i="10"/>
  <c r="BX52" i="10"/>
  <c r="DT52" i="10" s="1"/>
  <c r="BX76" i="10"/>
  <c r="BX114" i="10"/>
  <c r="BX153" i="10"/>
  <c r="BX166" i="10"/>
  <c r="BX213" i="10"/>
  <c r="DT213" i="10" s="1"/>
  <c r="BX226" i="10"/>
  <c r="DT226" i="10" s="1"/>
  <c r="BX239" i="10"/>
  <c r="BX261" i="10"/>
  <c r="BX265" i="10"/>
  <c r="BX395" i="10"/>
  <c r="BX463" i="10"/>
  <c r="BX612" i="10"/>
  <c r="BY526" i="10"/>
  <c r="DU526" i="10" s="1"/>
  <c r="BY460" i="10"/>
  <c r="DU460" i="10" s="1"/>
  <c r="BY364" i="10"/>
  <c r="DU364" i="10" s="1"/>
  <c r="BY352" i="10"/>
  <c r="DU352" i="10" s="1"/>
  <c r="BY232" i="10"/>
  <c r="DU232" i="10" s="1"/>
  <c r="BY172" i="10"/>
  <c r="DU172" i="10" s="1"/>
  <c r="BX91" i="10"/>
  <c r="BX287" i="10"/>
  <c r="BX335" i="10"/>
  <c r="BX430" i="10"/>
  <c r="DT430" i="10" s="1"/>
  <c r="BX524" i="10"/>
  <c r="DN524" i="10" s="1"/>
  <c r="BP524" i="10" s="1"/>
  <c r="DA171" i="10"/>
  <c r="DA159" i="10"/>
  <c r="DA147" i="10"/>
  <c r="DA135" i="10"/>
  <c r="DA123" i="10"/>
  <c r="DA111" i="10"/>
  <c r="DA99" i="10"/>
  <c r="DA87" i="10"/>
  <c r="DA75" i="10"/>
  <c r="DA63" i="10"/>
  <c r="DA51" i="10"/>
  <c r="DA39" i="10"/>
  <c r="BY972" i="10"/>
  <c r="DU972" i="10" s="1"/>
  <c r="BY747" i="10"/>
  <c r="DU747" i="10" s="1"/>
  <c r="BY423" i="10"/>
  <c r="DU423" i="10" s="1"/>
  <c r="BY189" i="10"/>
  <c r="DU189" i="10" s="1"/>
  <c r="BY153" i="10"/>
  <c r="DU153" i="10" s="1"/>
  <c r="BY141" i="10"/>
  <c r="DU141" i="10" s="1"/>
  <c r="BY135" i="10"/>
  <c r="DU135" i="10" s="1"/>
  <c r="BY129" i="10"/>
  <c r="DU129" i="10" s="1"/>
  <c r="BX34" i="10"/>
  <c r="BX58" i="10"/>
  <c r="BX210" i="10"/>
  <c r="DT210" i="10" s="1"/>
  <c r="BX214" i="10"/>
  <c r="BX227" i="10"/>
  <c r="BX258" i="10"/>
  <c r="BX262" i="10"/>
  <c r="BX279" i="10"/>
  <c r="BX283" i="10"/>
  <c r="BX291" i="10"/>
  <c r="DT291" i="10" s="1"/>
  <c r="BX332" i="10"/>
  <c r="BX340" i="10"/>
  <c r="BX401" i="10"/>
  <c r="BX431" i="10"/>
  <c r="BX459" i="10"/>
  <c r="DT459" i="10" s="1"/>
  <c r="BX492" i="10"/>
  <c r="BX564" i="10"/>
  <c r="DN564" i="10" s="1"/>
  <c r="BP564" i="10" s="1"/>
  <c r="DB130" i="10"/>
  <c r="DC130" i="10" s="1"/>
  <c r="DB126" i="10"/>
  <c r="DB122" i="10"/>
  <c r="DB118" i="10"/>
  <c r="DC118" i="10" s="1"/>
  <c r="DB114" i="10"/>
  <c r="DB110" i="10"/>
  <c r="DC110" i="10" s="1"/>
  <c r="DB106" i="10"/>
  <c r="DC106" i="10" s="1"/>
  <c r="DB102" i="10"/>
  <c r="DC102" i="10" s="1"/>
  <c r="DB98" i="10"/>
  <c r="DC98" i="10" s="1"/>
  <c r="DB94" i="10"/>
  <c r="DC94" i="10" s="1"/>
  <c r="DB90" i="10"/>
  <c r="DB86" i="10"/>
  <c r="DC86" i="10" s="1"/>
  <c r="DB82" i="10"/>
  <c r="DC82" i="10" s="1"/>
  <c r="DB78" i="10"/>
  <c r="DC78" i="10" s="1"/>
  <c r="DB74" i="10"/>
  <c r="DC74" i="10" s="1"/>
  <c r="DB70" i="10"/>
  <c r="DB66" i="10"/>
  <c r="DC66" i="10" s="1"/>
  <c r="DB62" i="10"/>
  <c r="DC62" i="10" s="1"/>
  <c r="DB58" i="10"/>
  <c r="DC58" i="10" s="1"/>
  <c r="DB54" i="10"/>
  <c r="DC54" i="10" s="1"/>
  <c r="DB50" i="10"/>
  <c r="DC50" i="10" s="1"/>
  <c r="DB46" i="10"/>
  <c r="DC46" i="10" s="1"/>
  <c r="DB42" i="10"/>
  <c r="DC42" i="10" s="1"/>
  <c r="DB38" i="10"/>
  <c r="DC38" i="10" s="1"/>
  <c r="DB34" i="10"/>
  <c r="DC34" i="10" s="1"/>
  <c r="DB30" i="10"/>
  <c r="DC30" i="10" s="1"/>
  <c r="BX73" i="10"/>
  <c r="DT73" i="10" s="1"/>
  <c r="BX141" i="10"/>
  <c r="DT141" i="10" s="1"/>
  <c r="BX150" i="10"/>
  <c r="BX163" i="10"/>
  <c r="BX180" i="10"/>
  <c r="BX189" i="10"/>
  <c r="BX236" i="10"/>
  <c r="BX271" i="10"/>
  <c r="BX275" i="10"/>
  <c r="BX304" i="10"/>
  <c r="DN304" i="10" s="1"/>
  <c r="BP304" i="10" s="1"/>
  <c r="DO304" i="10" s="1"/>
  <c r="BX312" i="10"/>
  <c r="DN312" i="10" s="1"/>
  <c r="BP312" i="10" s="1"/>
  <c r="DO312" i="10" s="1"/>
  <c r="BX316" i="10"/>
  <c r="BX320" i="10"/>
  <c r="BX328" i="10"/>
  <c r="BX344" i="10"/>
  <c r="BX384" i="10"/>
  <c r="BX454" i="10"/>
  <c r="DN454" i="10" s="1"/>
  <c r="BP454" i="10" s="1"/>
  <c r="DO454" i="10" s="1"/>
  <c r="BX465" i="10"/>
  <c r="BX570" i="10"/>
  <c r="DT570" i="10" s="1"/>
  <c r="BY626" i="10"/>
  <c r="DU626" i="10" s="1"/>
  <c r="BY482" i="10"/>
  <c r="DU482" i="10" s="1"/>
  <c r="BY446" i="10"/>
  <c r="DU446" i="10" s="1"/>
  <c r="BY356" i="10"/>
  <c r="DU356" i="10" s="1"/>
  <c r="BY224" i="10"/>
  <c r="DU224" i="10" s="1"/>
  <c r="BX54" i="10"/>
  <c r="DT54" i="10" s="1"/>
  <c r="BX64" i="10"/>
  <c r="BX102" i="10"/>
  <c r="BX129" i="10"/>
  <c r="BX232" i="10"/>
  <c r="BX245" i="10"/>
  <c r="BX352" i="10"/>
  <c r="BX356" i="10"/>
  <c r="BX364" i="10"/>
  <c r="DT364" i="10" s="1"/>
  <c r="BX380" i="10"/>
  <c r="DT380" i="10" s="1"/>
  <c r="BX388" i="10"/>
  <c r="BX392" i="10"/>
  <c r="BX427" i="10"/>
  <c r="BX515" i="10"/>
  <c r="BX548" i="10"/>
  <c r="DT548" i="10" s="1"/>
  <c r="BX666" i="10"/>
  <c r="DT666" i="10" s="1"/>
  <c r="BX725" i="10"/>
  <c r="BX735" i="10"/>
  <c r="DN735" i="10" s="1"/>
  <c r="BP735" i="10" s="1"/>
  <c r="DO735" i="10" s="1"/>
  <c r="BX756" i="10"/>
  <c r="BX762" i="10"/>
  <c r="BX768" i="10"/>
  <c r="BX774" i="10"/>
  <c r="BX780" i="10"/>
  <c r="BX786" i="10"/>
  <c r="BX792" i="10"/>
  <c r="BX798" i="10"/>
  <c r="BX804" i="10"/>
  <c r="BX810" i="10"/>
  <c r="DA17" i="10"/>
  <c r="DB16" i="10"/>
  <c r="CS21" i="10"/>
  <c r="CU21" i="10" s="1"/>
  <c r="CS24" i="10"/>
  <c r="BX500" i="10"/>
  <c r="BX522" i="10"/>
  <c r="DN522" i="10" s="1"/>
  <c r="BP522" i="10" s="1"/>
  <c r="DO522" i="10" s="1"/>
  <c r="BX560" i="10"/>
  <c r="BX608" i="10"/>
  <c r="BX624" i="10"/>
  <c r="DT624" i="10" s="1"/>
  <c r="BX731" i="10"/>
  <c r="DN731" i="10" s="1"/>
  <c r="BP731" i="10" s="1"/>
  <c r="BX741" i="10"/>
  <c r="BX757" i="10"/>
  <c r="BX763" i="10"/>
  <c r="DT763" i="10" s="1"/>
  <c r="BX769" i="10"/>
  <c r="BX775" i="10"/>
  <c r="DN775" i="10" s="1"/>
  <c r="BP775" i="10" s="1"/>
  <c r="DO775" i="10" s="1"/>
  <c r="BX781" i="10"/>
  <c r="DN781" i="10" s="1"/>
  <c r="BP781" i="10" s="1"/>
  <c r="DO781" i="10" s="1"/>
  <c r="BX787" i="10"/>
  <c r="BX793" i="10"/>
  <c r="BX799" i="10"/>
  <c r="BX805" i="10"/>
  <c r="BX811" i="10"/>
  <c r="DT811" i="10" s="1"/>
  <c r="BX817" i="10"/>
  <c r="DN817" i="10" s="1"/>
  <c r="BP817" i="10" s="1"/>
  <c r="BX823" i="10"/>
  <c r="DN823" i="10" s="1"/>
  <c r="BP823" i="10" s="1"/>
  <c r="BX829" i="10"/>
  <c r="DN829" i="10" s="1"/>
  <c r="BP829" i="10" s="1"/>
  <c r="DO829" i="10" s="1"/>
  <c r="BX835" i="10"/>
  <c r="BX841" i="10"/>
  <c r="BX847" i="10"/>
  <c r="BX853" i="10"/>
  <c r="BX865" i="10"/>
  <c r="DN865" i="10" s="1"/>
  <c r="BP865" i="10" s="1"/>
  <c r="BX871" i="10"/>
  <c r="DN871" i="10" s="1"/>
  <c r="BP871" i="10" s="1"/>
  <c r="DO871" i="10" s="1"/>
  <c r="BX976" i="10"/>
  <c r="DT976" i="10" s="1"/>
  <c r="BX979" i="10"/>
  <c r="BX982" i="10"/>
  <c r="DN982" i="10" s="1"/>
  <c r="BP982" i="10" s="1"/>
  <c r="DO982" i="10" s="1"/>
  <c r="BX985" i="10"/>
  <c r="DN985" i="10" s="1"/>
  <c r="BP985" i="10" s="1"/>
  <c r="DO985" i="10" s="1"/>
  <c r="BX1008" i="10"/>
  <c r="DB22" i="10"/>
  <c r="DB25" i="10"/>
  <c r="BX588" i="10"/>
  <c r="DN588" i="10" s="1"/>
  <c r="BP588" i="10" s="1"/>
  <c r="BX830" i="10"/>
  <c r="DT830" i="10" s="1"/>
  <c r="BX962" i="10"/>
  <c r="DN962" i="10" s="1"/>
  <c r="BP962" i="10" s="1"/>
  <c r="CT16" i="10"/>
  <c r="CU16" i="10" s="1"/>
  <c r="DA22" i="10"/>
  <c r="BX513" i="10"/>
  <c r="DT513" i="10" s="1"/>
  <c r="BX518" i="10"/>
  <c r="DT518" i="10" s="1"/>
  <c r="BX594" i="10"/>
  <c r="BX620" i="10"/>
  <c r="DT620" i="10" s="1"/>
  <c r="BX696" i="10"/>
  <c r="DT696" i="10" s="1"/>
  <c r="BX717" i="10"/>
  <c r="BX743" i="10"/>
  <c r="DT743" i="10" s="1"/>
  <c r="BX753" i="10"/>
  <c r="BX759" i="10"/>
  <c r="BX765" i="10"/>
  <c r="BX771" i="10"/>
  <c r="DT771" i="10" s="1"/>
  <c r="BX777" i="10"/>
  <c r="DT777" i="10" s="1"/>
  <c r="BX783" i="10"/>
  <c r="DT783" i="10" s="1"/>
  <c r="BX789" i="10"/>
  <c r="BX795" i="10"/>
  <c r="DN795" i="10" s="1"/>
  <c r="BP795" i="10" s="1"/>
  <c r="BX801" i="10"/>
  <c r="DT801" i="10" s="1"/>
  <c r="BX807" i="10"/>
  <c r="BX813" i="10"/>
  <c r="BX819" i="10"/>
  <c r="DN819" i="10" s="1"/>
  <c r="BP819" i="10" s="1"/>
  <c r="DO819" i="10" s="1"/>
  <c r="BX825" i="10"/>
  <c r="BX831" i="10"/>
  <c r="DN831" i="10" s="1"/>
  <c r="BP831" i="10" s="1"/>
  <c r="DO831" i="10" s="1"/>
  <c r="BX837" i="10"/>
  <c r="BX843" i="10"/>
  <c r="DN843" i="10" s="1"/>
  <c r="BP843" i="10" s="1"/>
  <c r="DO843" i="10" s="1"/>
  <c r="BX849" i="10"/>
  <c r="DT849" i="10" s="1"/>
  <c r="BX855" i="10"/>
  <c r="DT855" i="10" s="1"/>
  <c r="BX861" i="10"/>
  <c r="DT861" i="10" s="1"/>
  <c r="BX873" i="10"/>
  <c r="BX965" i="10"/>
  <c r="BX968" i="10"/>
  <c r="BX971" i="10"/>
  <c r="DT971" i="10" s="1"/>
  <c r="BX600" i="10"/>
  <c r="DT600" i="10" s="1"/>
  <c r="BX632" i="10"/>
  <c r="BX648" i="10"/>
  <c r="BX713" i="10"/>
  <c r="BX749" i="10"/>
  <c r="DN749" i="10" s="1"/>
  <c r="BP749" i="10" s="1"/>
  <c r="DO749" i="10" s="1"/>
  <c r="BX754" i="10"/>
  <c r="DT754" i="10" s="1"/>
  <c r="BX760" i="10"/>
  <c r="DN760" i="10" s="1"/>
  <c r="BP760" i="10" s="1"/>
  <c r="DO760" i="10" s="1"/>
  <c r="BX766" i="10"/>
  <c r="DT766" i="10" s="1"/>
  <c r="BX772" i="10"/>
  <c r="BX778" i="10"/>
  <c r="BX784" i="10"/>
  <c r="DT784" i="10" s="1"/>
  <c r="BX790" i="10"/>
  <c r="DN790" i="10" s="1"/>
  <c r="BP790" i="10" s="1"/>
  <c r="BX796" i="10"/>
  <c r="DN796" i="10" s="1"/>
  <c r="BP796" i="10" s="1"/>
  <c r="DO796" i="10" s="1"/>
  <c r="BX802" i="10"/>
  <c r="BX808" i="10"/>
  <c r="BX814" i="10"/>
  <c r="BX820" i="10"/>
  <c r="DT820" i="10" s="1"/>
  <c r="BX826" i="10"/>
  <c r="DA18" i="10"/>
  <c r="CS22" i="10"/>
  <c r="CU22" i="10" s="1"/>
  <c r="CU19" i="10"/>
  <c r="BX504" i="10"/>
  <c r="BX531" i="10"/>
  <c r="BX558" i="10"/>
  <c r="BX606" i="10"/>
  <c r="DT606" i="10" s="1"/>
  <c r="BX633" i="10"/>
  <c r="BX654" i="10"/>
  <c r="BX719" i="10"/>
  <c r="DN719" i="10" s="1"/>
  <c r="BP719" i="10" s="1"/>
  <c r="DO719" i="10" s="1"/>
  <c r="BX833" i="10"/>
  <c r="BX839" i="10"/>
  <c r="BX845" i="10"/>
  <c r="DT845" i="10" s="1"/>
  <c r="BX851" i="10"/>
  <c r="DT851" i="10" s="1"/>
  <c r="BX857" i="10"/>
  <c r="DN857" i="10" s="1"/>
  <c r="BP857" i="10" s="1"/>
  <c r="DO857" i="10" s="1"/>
  <c r="BX863" i="10"/>
  <c r="BX875" i="10"/>
  <c r="DN875" i="10" s="1"/>
  <c r="BP875" i="10" s="1"/>
  <c r="DO875" i="10" s="1"/>
  <c r="BX963" i="10"/>
  <c r="BX966" i="10"/>
  <c r="BX969" i="10"/>
  <c r="DN969" i="10" s="1"/>
  <c r="BP969" i="10" s="1"/>
  <c r="BX972" i="10"/>
  <c r="DT972" i="10" s="1"/>
  <c r="DB17" i="10"/>
  <c r="CT18" i="10"/>
  <c r="DO1003" i="10"/>
  <c r="DO883" i="10"/>
  <c r="AN433" i="10"/>
  <c r="AW433" i="10"/>
  <c r="DO882" i="10"/>
  <c r="BJ108" i="10"/>
  <c r="BL108" i="10" s="1"/>
  <c r="AQ108" i="10" s="1"/>
  <c r="BJ163" i="10"/>
  <c r="BL163" i="10" s="1"/>
  <c r="BI98" i="10"/>
  <c r="BK98" i="10" s="1"/>
  <c r="AQ98" i="10" s="1"/>
  <c r="BJ154" i="10"/>
  <c r="BL154" i="10" s="1"/>
  <c r="AN982" i="10"/>
  <c r="AW982" i="10"/>
  <c r="AQ971" i="10"/>
  <c r="DO939" i="10"/>
  <c r="CA132" i="10"/>
  <c r="BN131" i="10"/>
  <c r="BW131" i="10" s="1"/>
  <c r="CA131" i="10" s="1"/>
  <c r="BM200" i="10"/>
  <c r="BV200" i="10" s="1"/>
  <c r="BZ200" i="10" s="1"/>
  <c r="BI26" i="10"/>
  <c r="BK26" i="10" s="1"/>
  <c r="AQ26" i="10" s="1"/>
  <c r="BN31" i="10"/>
  <c r="BW31" i="10" s="1"/>
  <c r="BJ116" i="10"/>
  <c r="BL116" i="10" s="1"/>
  <c r="BN70" i="10"/>
  <c r="BW70" i="10" s="1"/>
  <c r="CA70" i="10" s="1"/>
  <c r="BN140" i="10"/>
  <c r="BW140" i="10" s="1"/>
  <c r="BN124" i="10"/>
  <c r="BW124" i="10" s="1"/>
  <c r="CA124" i="10" s="1"/>
  <c r="AW975" i="10"/>
  <c r="AQ986" i="10"/>
  <c r="CA16" i="10"/>
  <c r="BM99" i="10"/>
  <c r="BV99" i="10" s="1"/>
  <c r="BZ99" i="10" s="1"/>
  <c r="BN62" i="10"/>
  <c r="BW62" i="10" s="1"/>
  <c r="BM204" i="10"/>
  <c r="BV204" i="10" s="1"/>
  <c r="BM180" i="10"/>
  <c r="BV180" i="10" s="1"/>
  <c r="BM163" i="10"/>
  <c r="BV163" i="10" s="1"/>
  <c r="BZ163" i="10" s="1"/>
  <c r="BJ180" i="10"/>
  <c r="BL180" i="10" s="1"/>
  <c r="AQ180" i="10" s="1"/>
  <c r="BN184" i="10"/>
  <c r="BW184" i="10" s="1"/>
  <c r="CA184" i="10" s="1"/>
  <c r="BJ184" i="10"/>
  <c r="BL184" i="10" s="1"/>
  <c r="AQ184" i="10" s="1"/>
  <c r="AW1013" i="10"/>
  <c r="BN71" i="10"/>
  <c r="BW71" i="10" s="1"/>
  <c r="BN127" i="10"/>
  <c r="BW127" i="10" s="1"/>
  <c r="CA127" i="10" s="1"/>
  <c r="BM61" i="10"/>
  <c r="BV61" i="10" s="1"/>
  <c r="BN104" i="10"/>
  <c r="BW104" i="10" s="1"/>
  <c r="BI213" i="10"/>
  <c r="BK213" i="10" s="1"/>
  <c r="AW986" i="10"/>
  <c r="AN985" i="10"/>
  <c r="AW985" i="10"/>
  <c r="BI94" i="10"/>
  <c r="BK94" i="10" s="1"/>
  <c r="BM94" i="10"/>
  <c r="BV94" i="10" s="1"/>
  <c r="BZ94" i="10" s="1"/>
  <c r="AN998" i="10"/>
  <c r="AN970" i="10"/>
  <c r="AW970" i="10"/>
  <c r="AQ127" i="10"/>
  <c r="AW915" i="10"/>
  <c r="AQ1001" i="10"/>
  <c r="AQ962" i="10"/>
  <c r="AN1009" i="10"/>
  <c r="AW1009" i="10"/>
  <c r="AW920" i="10"/>
  <c r="AN962" i="10"/>
  <c r="AW962" i="10"/>
  <c r="AQ853" i="10"/>
  <c r="BM1008" i="10"/>
  <c r="BV1008" i="10" s="1"/>
  <c r="BZ1008" i="10" s="1"/>
  <c r="AQ426" i="10"/>
  <c r="BI968" i="10"/>
  <c r="BK968" i="10" s="1"/>
  <c r="AQ968" i="10" s="1"/>
  <c r="AQ530" i="10"/>
  <c r="AQ867" i="10"/>
  <c r="AQ408" i="10"/>
  <c r="AQ375" i="10"/>
  <c r="BM969" i="10"/>
  <c r="BV969" i="10" s="1"/>
  <c r="BZ969" i="10" s="1"/>
  <c r="BI972" i="10"/>
  <c r="BK972" i="10" s="1"/>
  <c r="AQ972" i="10" s="1"/>
  <c r="BI992" i="10"/>
  <c r="BK992" i="10" s="1"/>
  <c r="AQ992" i="10" s="1"/>
  <c r="AQ808" i="10"/>
  <c r="AQ437" i="10"/>
  <c r="AQ743" i="10"/>
  <c r="BI999" i="10"/>
  <c r="BK999" i="10" s="1"/>
  <c r="AQ475" i="10"/>
  <c r="AQ643" i="10"/>
  <c r="BN773" i="10"/>
  <c r="BW773" i="10" s="1"/>
  <c r="CA773" i="10" s="1"/>
  <c r="AW757" i="10"/>
  <c r="AQ351" i="10"/>
  <c r="BI686" i="10"/>
  <c r="BK686" i="10" s="1"/>
  <c r="BI442" i="10"/>
  <c r="BK442" i="10" s="1"/>
  <c r="DY24" i="10"/>
  <c r="EA24" i="10" s="1"/>
  <c r="DY43" i="10"/>
  <c r="DY86" i="10"/>
  <c r="DY149" i="10"/>
  <c r="DY175" i="10"/>
  <c r="DT882" i="10"/>
  <c r="DT894" i="10"/>
  <c r="DT906" i="10"/>
  <c r="DT942" i="10"/>
  <c r="DT954" i="10"/>
  <c r="DT978" i="10"/>
  <c r="DT1002" i="10"/>
  <c r="DT1014" i="10"/>
  <c r="DY53" i="10"/>
  <c r="DY464" i="10"/>
  <c r="DT889" i="10"/>
  <c r="DT913" i="10"/>
  <c r="DT925" i="10"/>
  <c r="DT949" i="10"/>
  <c r="DT961" i="10"/>
  <c r="DT997" i="10"/>
  <c r="DT1009" i="10"/>
  <c r="DT884" i="10"/>
  <c r="DT896" i="10"/>
  <c r="DT908" i="10"/>
  <c r="DT944" i="10"/>
  <c r="DT956" i="10"/>
  <c r="DT992" i="10"/>
  <c r="DT891" i="10"/>
  <c r="DT903" i="10"/>
  <c r="DT915" i="10"/>
  <c r="DT927" i="10"/>
  <c r="DT939" i="10"/>
  <c r="DT951" i="10"/>
  <c r="DT987" i="10"/>
  <c r="DT999" i="10"/>
  <c r="DT1011" i="10"/>
  <c r="DT898" i="10"/>
  <c r="DT910" i="10"/>
  <c r="DT922" i="10"/>
  <c r="DT934" i="10"/>
  <c r="DT946" i="10"/>
  <c r="DT994" i="10"/>
  <c r="DT905" i="10"/>
  <c r="DT941" i="10"/>
  <c r="DT953" i="10"/>
  <c r="DT977" i="10"/>
  <c r="DT989" i="10"/>
  <c r="DT1013" i="10"/>
  <c r="DT888" i="10"/>
  <c r="DT900" i="10"/>
  <c r="DT924" i="10"/>
  <c r="DT960" i="10"/>
  <c r="DT883" i="10"/>
  <c r="DT895" i="10"/>
  <c r="DT907" i="10"/>
  <c r="DT931" i="10"/>
  <c r="DT943" i="10"/>
  <c r="DT955" i="10"/>
  <c r="DT1003" i="10"/>
  <c r="DT902" i="10"/>
  <c r="DT914" i="10"/>
  <c r="DT926" i="10"/>
  <c r="DT938" i="10"/>
  <c r="DT986" i="10"/>
  <c r="DT998" i="10"/>
  <c r="DT1010" i="10"/>
  <c r="DT921" i="10"/>
  <c r="DT957" i="10"/>
  <c r="DT981" i="10"/>
  <c r="DT993" i="10"/>
  <c r="DT1005" i="10"/>
  <c r="DT880" i="10"/>
  <c r="DT892" i="10"/>
  <c r="DT916" i="10"/>
  <c r="DT928" i="10"/>
  <c r="DT940" i="10"/>
  <c r="DT964" i="10"/>
  <c r="DT988" i="10"/>
  <c r="DT1012" i="10"/>
  <c r="DT887" i="10"/>
  <c r="DT923" i="10"/>
  <c r="DT947" i="10"/>
  <c r="DT995" i="10"/>
  <c r="DT1007" i="10"/>
  <c r="BM653" i="10"/>
  <c r="BV653" i="10" s="1"/>
  <c r="BI653" i="10"/>
  <c r="BK653" i="10" s="1"/>
  <c r="BI645" i="10"/>
  <c r="BK645" i="10" s="1"/>
  <c r="AQ645" i="10" s="1"/>
  <c r="BM645" i="10"/>
  <c r="BV645" i="10" s="1"/>
  <c r="BZ645" i="10" s="1"/>
  <c r="BJ631" i="10"/>
  <c r="BL631" i="10" s="1"/>
  <c r="BN631" i="10"/>
  <c r="BW631" i="10" s="1"/>
  <c r="CA631" i="10" s="1"/>
  <c r="BM478" i="10"/>
  <c r="BV478" i="10" s="1"/>
  <c r="BZ478" i="10" s="1"/>
  <c r="BI478" i="10"/>
  <c r="BK478" i="10" s="1"/>
  <c r="BF226" i="10"/>
  <c r="BU226" i="10" s="1"/>
  <c r="BB226" i="10"/>
  <c r="BD226" i="10" s="1"/>
  <c r="BF106" i="10"/>
  <c r="BU106" i="10" s="1"/>
  <c r="BY106" i="10" s="1"/>
  <c r="DU106" i="10" s="1"/>
  <c r="BB106" i="10"/>
  <c r="BD106" i="10" s="1"/>
  <c r="BE426" i="10"/>
  <c r="BT426" i="10" s="1"/>
  <c r="DY426" i="10" s="1"/>
  <c r="BA426" i="10"/>
  <c r="BC426" i="10" s="1"/>
  <c r="DY430" i="10"/>
  <c r="BB148" i="10"/>
  <c r="BD148" i="10" s="1"/>
  <c r="BA149" i="10"/>
  <c r="BC149" i="10" s="1"/>
  <c r="BJ113" i="10"/>
  <c r="BL113" i="10" s="1"/>
  <c r="BN113" i="10"/>
  <c r="BW113" i="10" s="1"/>
  <c r="CA113" i="10" s="1"/>
  <c r="BJ122" i="10"/>
  <c r="BL122" i="10" s="1"/>
  <c r="BN122" i="10"/>
  <c r="BW122" i="10" s="1"/>
  <c r="BM272" i="10"/>
  <c r="BV272" i="10" s="1"/>
  <c r="BZ272" i="10" s="1"/>
  <c r="BI272" i="10"/>
  <c r="BK272" i="10" s="1"/>
  <c r="BE171" i="10"/>
  <c r="BT171" i="10" s="1"/>
  <c r="BA171" i="10"/>
  <c r="BC171" i="10" s="1"/>
  <c r="BE206" i="10"/>
  <c r="BT206" i="10" s="1"/>
  <c r="BA206" i="10"/>
  <c r="BC206" i="10" s="1"/>
  <c r="BE295" i="10"/>
  <c r="BT295" i="10" s="1"/>
  <c r="BA295" i="10"/>
  <c r="BC295" i="10" s="1"/>
  <c r="BE347" i="10"/>
  <c r="BT347" i="10" s="1"/>
  <c r="BA347" i="10"/>
  <c r="BC347" i="10" s="1"/>
  <c r="BE440" i="10"/>
  <c r="BT440" i="10" s="1"/>
  <c r="BX440" i="10" s="1"/>
  <c r="BA440" i="10"/>
  <c r="BC440" i="10" s="1"/>
  <c r="BE614" i="10"/>
  <c r="BT614" i="10" s="1"/>
  <c r="BA614" i="10"/>
  <c r="BC614" i="10" s="1"/>
  <c r="BE836" i="10"/>
  <c r="BT836" i="10" s="1"/>
  <c r="BX836" i="10" s="1"/>
  <c r="BA836" i="10"/>
  <c r="BC836" i="10" s="1"/>
  <c r="ED23" i="10"/>
  <c r="BA19" i="10"/>
  <c r="BC19" i="10" s="1"/>
  <c r="BB118" i="10"/>
  <c r="BD118" i="10" s="1"/>
  <c r="BA253" i="10"/>
  <c r="BC253" i="10" s="1"/>
  <c r="AW253" i="10" s="1"/>
  <c r="BJ548" i="10"/>
  <c r="BL548" i="10" s="1"/>
  <c r="BN548" i="10"/>
  <c r="BW548" i="10" s="1"/>
  <c r="CA548" i="10" s="1"/>
  <c r="BJ542" i="10"/>
  <c r="BL542" i="10" s="1"/>
  <c r="BN542" i="10"/>
  <c r="BW542" i="10" s="1"/>
  <c r="BI541" i="10"/>
  <c r="BK541" i="10" s="1"/>
  <c r="BM541" i="10"/>
  <c r="BV541" i="10" s="1"/>
  <c r="BZ541" i="10" s="1"/>
  <c r="BI508" i="10"/>
  <c r="BK508" i="10" s="1"/>
  <c r="AQ508" i="10" s="1"/>
  <c r="BM508" i="10"/>
  <c r="BV508" i="10" s="1"/>
  <c r="BZ508" i="10" s="1"/>
  <c r="BI503" i="10"/>
  <c r="BK503" i="10" s="1"/>
  <c r="AQ503" i="10" s="1"/>
  <c r="BM503" i="10"/>
  <c r="BV503" i="10" s="1"/>
  <c r="BZ503" i="10" s="1"/>
  <c r="BM496" i="10"/>
  <c r="BV496" i="10" s="1"/>
  <c r="BZ496" i="10" s="1"/>
  <c r="BI496" i="10"/>
  <c r="BK496" i="10" s="1"/>
  <c r="AQ496" i="10" s="1"/>
  <c r="BN400" i="10"/>
  <c r="BW400" i="10" s="1"/>
  <c r="CA400" i="10" s="1"/>
  <c r="BJ400" i="10"/>
  <c r="BL400" i="10" s="1"/>
  <c r="AQ400" i="10" s="1"/>
  <c r="BM399" i="10"/>
  <c r="BV399" i="10" s="1"/>
  <c r="BI399" i="10"/>
  <c r="BK399" i="10" s="1"/>
  <c r="BA287" i="10"/>
  <c r="BC287" i="10" s="1"/>
  <c r="BJ282" i="10"/>
  <c r="BL282" i="10" s="1"/>
  <c r="BN282" i="10"/>
  <c r="BW282" i="10" s="1"/>
  <c r="BN281" i="10"/>
  <c r="BW281" i="10" s="1"/>
  <c r="CA281" i="10" s="1"/>
  <c r="BJ281" i="10"/>
  <c r="BL281" i="10" s="1"/>
  <c r="AQ281" i="10" s="1"/>
  <c r="BF531" i="10"/>
  <c r="BU531" i="10" s="1"/>
  <c r="BB531" i="10"/>
  <c r="BD531" i="10" s="1"/>
  <c r="BF525" i="10"/>
  <c r="BU525" i="10" s="1"/>
  <c r="BB525" i="10"/>
  <c r="BD525" i="10" s="1"/>
  <c r="AW525" i="10" s="1"/>
  <c r="BF513" i="10"/>
  <c r="BU513" i="10" s="1"/>
  <c r="BB513" i="10"/>
  <c r="BD513" i="10" s="1"/>
  <c r="BF507" i="10"/>
  <c r="BU507" i="10" s="1"/>
  <c r="BY507" i="10" s="1"/>
  <c r="DU507" i="10" s="1"/>
  <c r="BB507" i="10"/>
  <c r="BD507" i="10" s="1"/>
  <c r="BF495" i="10"/>
  <c r="BU495" i="10" s="1"/>
  <c r="BB495" i="10"/>
  <c r="BD495" i="10" s="1"/>
  <c r="BF489" i="10"/>
  <c r="BU489" i="10" s="1"/>
  <c r="BB489" i="10"/>
  <c r="BD489" i="10" s="1"/>
  <c r="BF483" i="10"/>
  <c r="BU483" i="10" s="1"/>
  <c r="BY483" i="10" s="1"/>
  <c r="DU483" i="10" s="1"/>
  <c r="BB483" i="10"/>
  <c r="BD483" i="10" s="1"/>
  <c r="BF477" i="10"/>
  <c r="BU477" i="10" s="1"/>
  <c r="BY477" i="10" s="1"/>
  <c r="DU477" i="10" s="1"/>
  <c r="BB477" i="10"/>
  <c r="BD477" i="10" s="1"/>
  <c r="BF471" i="10"/>
  <c r="BU471" i="10" s="1"/>
  <c r="BY471" i="10" s="1"/>
  <c r="BB471" i="10"/>
  <c r="BD471" i="10" s="1"/>
  <c r="BF465" i="10"/>
  <c r="BU465" i="10" s="1"/>
  <c r="BB465" i="10"/>
  <c r="BD465" i="10" s="1"/>
  <c r="BF459" i="10"/>
  <c r="BU459" i="10" s="1"/>
  <c r="BB459" i="10"/>
  <c r="BD459" i="10" s="1"/>
  <c r="BF453" i="10"/>
  <c r="BU453" i="10" s="1"/>
  <c r="BB453" i="10"/>
  <c r="BD453" i="10" s="1"/>
  <c r="BF435" i="10"/>
  <c r="BU435" i="10" s="1"/>
  <c r="BB435" i="10"/>
  <c r="BD435" i="10" s="1"/>
  <c r="BF417" i="10"/>
  <c r="BU417" i="10" s="1"/>
  <c r="BB417" i="10"/>
  <c r="BD417" i="10" s="1"/>
  <c r="AN417" i="10" s="1"/>
  <c r="BF411" i="10"/>
  <c r="BU411" i="10" s="1"/>
  <c r="BB411" i="10"/>
  <c r="BD411" i="10" s="1"/>
  <c r="BF405" i="10"/>
  <c r="BU405" i="10" s="1"/>
  <c r="BB405" i="10"/>
  <c r="BD405" i="10" s="1"/>
  <c r="BF399" i="10"/>
  <c r="BU399" i="10" s="1"/>
  <c r="BB399" i="10"/>
  <c r="BD399" i="10" s="1"/>
  <c r="BF387" i="10"/>
  <c r="BU387" i="10" s="1"/>
  <c r="BY387" i="10" s="1"/>
  <c r="DU387" i="10" s="1"/>
  <c r="BB387" i="10"/>
  <c r="BD387" i="10" s="1"/>
  <c r="AN381" i="10"/>
  <c r="AW381" i="10"/>
  <c r="BF369" i="10"/>
  <c r="BU369" i="10" s="1"/>
  <c r="BY369" i="10" s="1"/>
  <c r="DU369" i="10" s="1"/>
  <c r="BB369" i="10"/>
  <c r="BD369" i="10" s="1"/>
  <c r="BF363" i="10"/>
  <c r="BU363" i="10" s="1"/>
  <c r="BY363" i="10" s="1"/>
  <c r="DU363" i="10" s="1"/>
  <c r="BB363" i="10"/>
  <c r="BD363" i="10" s="1"/>
  <c r="BF357" i="10"/>
  <c r="BU357" i="10" s="1"/>
  <c r="BY357" i="10" s="1"/>
  <c r="DU357" i="10" s="1"/>
  <c r="BB357" i="10"/>
  <c r="BD357" i="10" s="1"/>
  <c r="BF351" i="10"/>
  <c r="BU351" i="10" s="1"/>
  <c r="BY351" i="10" s="1"/>
  <c r="DU351" i="10" s="1"/>
  <c r="BB351" i="10"/>
  <c r="BD351" i="10" s="1"/>
  <c r="BF345" i="10"/>
  <c r="BU345" i="10" s="1"/>
  <c r="BY345" i="10" s="1"/>
  <c r="DU345" i="10" s="1"/>
  <c r="BB345" i="10"/>
  <c r="BD345" i="10" s="1"/>
  <c r="BF339" i="10"/>
  <c r="BU339" i="10" s="1"/>
  <c r="BB339" i="10"/>
  <c r="BD339" i="10" s="1"/>
  <c r="BF333" i="10"/>
  <c r="BU333" i="10" s="1"/>
  <c r="BY333" i="10" s="1"/>
  <c r="DU333" i="10" s="1"/>
  <c r="BB333" i="10"/>
  <c r="BD333" i="10" s="1"/>
  <c r="AN333" i="10" s="1"/>
  <c r="BF327" i="10"/>
  <c r="BU327" i="10" s="1"/>
  <c r="BY327" i="10" s="1"/>
  <c r="DU327" i="10" s="1"/>
  <c r="BB327" i="10"/>
  <c r="BD327" i="10" s="1"/>
  <c r="BF321" i="10"/>
  <c r="BU321" i="10" s="1"/>
  <c r="BY321" i="10" s="1"/>
  <c r="DU321" i="10" s="1"/>
  <c r="BB321" i="10"/>
  <c r="BD321" i="10" s="1"/>
  <c r="AN321" i="10" s="1"/>
  <c r="BF315" i="10"/>
  <c r="BU315" i="10" s="1"/>
  <c r="BB315" i="10"/>
  <c r="BD315" i="10" s="1"/>
  <c r="BF309" i="10"/>
  <c r="BU309" i="10" s="1"/>
  <c r="BY309" i="10" s="1"/>
  <c r="DU309" i="10" s="1"/>
  <c r="BB309" i="10"/>
  <c r="BD309" i="10" s="1"/>
  <c r="BF291" i="10"/>
  <c r="BU291" i="10" s="1"/>
  <c r="BY291" i="10" s="1"/>
  <c r="DU291" i="10" s="1"/>
  <c r="BB291" i="10"/>
  <c r="BD291" i="10" s="1"/>
  <c r="AW291" i="10" s="1"/>
  <c r="BF279" i="10"/>
  <c r="BU279" i="10" s="1"/>
  <c r="BB279" i="10"/>
  <c r="BD279" i="10" s="1"/>
  <c r="AW279" i="10" s="1"/>
  <c r="BF273" i="10"/>
  <c r="BU273" i="10" s="1"/>
  <c r="BB273" i="10"/>
  <c r="BD273" i="10" s="1"/>
  <c r="BF267" i="10"/>
  <c r="BU267" i="10" s="1"/>
  <c r="BB267" i="10"/>
  <c r="BD267" i="10" s="1"/>
  <c r="BF261" i="10"/>
  <c r="BU261" i="10" s="1"/>
  <c r="BB261" i="10"/>
  <c r="BD261" i="10" s="1"/>
  <c r="BF255" i="10"/>
  <c r="BU255" i="10" s="1"/>
  <c r="BB255" i="10"/>
  <c r="BD255" i="10" s="1"/>
  <c r="BF249" i="10"/>
  <c r="BU249" i="10" s="1"/>
  <c r="BB249" i="10"/>
  <c r="BD249" i="10" s="1"/>
  <c r="BF243" i="10"/>
  <c r="BU243" i="10" s="1"/>
  <c r="BY243" i="10" s="1"/>
  <c r="DU243" i="10" s="1"/>
  <c r="BB243" i="10"/>
  <c r="BD243" i="10" s="1"/>
  <c r="BF237" i="10"/>
  <c r="BU237" i="10" s="1"/>
  <c r="BY237" i="10" s="1"/>
  <c r="BB237" i="10"/>
  <c r="BD237" i="10" s="1"/>
  <c r="BJ873" i="10"/>
  <c r="BL873" i="10" s="1"/>
  <c r="BN873" i="10"/>
  <c r="BW873" i="10" s="1"/>
  <c r="CA873" i="10" s="1"/>
  <c r="BJ640" i="10"/>
  <c r="BL640" i="10" s="1"/>
  <c r="AQ640" i="10" s="1"/>
  <c r="BN640" i="10"/>
  <c r="BW640" i="10" s="1"/>
  <c r="BJ389" i="10"/>
  <c r="BL389" i="10" s="1"/>
  <c r="BN389" i="10"/>
  <c r="BW389" i="10" s="1"/>
  <c r="CA389" i="10" s="1"/>
  <c r="BF202" i="10"/>
  <c r="BU202" i="10" s="1"/>
  <c r="BY202" i="10" s="1"/>
  <c r="DU202" i="10" s="1"/>
  <c r="BB202" i="10"/>
  <c r="BD202" i="10" s="1"/>
  <c r="BF124" i="10"/>
  <c r="BU124" i="10" s="1"/>
  <c r="BY124" i="10" s="1"/>
  <c r="DU124" i="10" s="1"/>
  <c r="BB124" i="10"/>
  <c r="BD124" i="10" s="1"/>
  <c r="BF100" i="10"/>
  <c r="BU100" i="10" s="1"/>
  <c r="BY100" i="10" s="1"/>
  <c r="DU100" i="10" s="1"/>
  <c r="BB100" i="10"/>
  <c r="BD100" i="10" s="1"/>
  <c r="BB160" i="10"/>
  <c r="BD160" i="10" s="1"/>
  <c r="BN117" i="10"/>
  <c r="BW117" i="10" s="1"/>
  <c r="CA117" i="10" s="1"/>
  <c r="BJ117" i="10"/>
  <c r="BL117" i="10" s="1"/>
  <c r="AW643" i="10"/>
  <c r="BI279" i="10"/>
  <c r="BK279" i="10" s="1"/>
  <c r="AQ279" i="10" s="1"/>
  <c r="BM279" i="10"/>
  <c r="BV279" i="10" s="1"/>
  <c r="BE63" i="10"/>
  <c r="BT63" i="10" s="1"/>
  <c r="BA63" i="10"/>
  <c r="BC63" i="10" s="1"/>
  <c r="BE101" i="10"/>
  <c r="BT101" i="10" s="1"/>
  <c r="DY101" i="10" s="1"/>
  <c r="EA101" i="10" s="1"/>
  <c r="BA101" i="10"/>
  <c r="BC101" i="10" s="1"/>
  <c r="AN101" i="10" s="1"/>
  <c r="BE128" i="10"/>
  <c r="BT128" i="10" s="1"/>
  <c r="DY128" i="10" s="1"/>
  <c r="BA128" i="10"/>
  <c r="BC128" i="10" s="1"/>
  <c r="BE244" i="10"/>
  <c r="BT244" i="10" s="1"/>
  <c r="BA244" i="10"/>
  <c r="BC244" i="10" s="1"/>
  <c r="BE266" i="10"/>
  <c r="BT266" i="10" s="1"/>
  <c r="BA266" i="10"/>
  <c r="BC266" i="10" s="1"/>
  <c r="BE355" i="10"/>
  <c r="BT355" i="10" s="1"/>
  <c r="BA355" i="10"/>
  <c r="BC355" i="10" s="1"/>
  <c r="BE371" i="10"/>
  <c r="BT371" i="10" s="1"/>
  <c r="BA371" i="10"/>
  <c r="BC371" i="10" s="1"/>
  <c r="BE391" i="10"/>
  <c r="BT391" i="10" s="1"/>
  <c r="BA391" i="10"/>
  <c r="BC391" i="10" s="1"/>
  <c r="AN391" i="10" s="1"/>
  <c r="BE561" i="10"/>
  <c r="BT561" i="10" s="1"/>
  <c r="DY561" i="10" s="1"/>
  <c r="BA561" i="10"/>
  <c r="BC561" i="10" s="1"/>
  <c r="BE842" i="10"/>
  <c r="BT842" i="10" s="1"/>
  <c r="BA842" i="10"/>
  <c r="BC842" i="10" s="1"/>
  <c r="BA48" i="10"/>
  <c r="BC48" i="10" s="1"/>
  <c r="BA91" i="10"/>
  <c r="BC91" i="10" s="1"/>
  <c r="BB172" i="10"/>
  <c r="BD172" i="10" s="1"/>
  <c r="BM127" i="10"/>
  <c r="BV127" i="10" s="1"/>
  <c r="AQ388" i="10"/>
  <c r="BM872" i="10"/>
  <c r="BV872" i="10" s="1"/>
  <c r="BZ872" i="10" s="1"/>
  <c r="BA866" i="10"/>
  <c r="BC866" i="10" s="1"/>
  <c r="AN866" i="10" s="1"/>
  <c r="BI684" i="10"/>
  <c r="BK684" i="10" s="1"/>
  <c r="AQ684" i="10" s="1"/>
  <c r="BM684" i="10"/>
  <c r="BV684" i="10" s="1"/>
  <c r="BZ684" i="10" s="1"/>
  <c r="BI675" i="10"/>
  <c r="BK675" i="10" s="1"/>
  <c r="AQ675" i="10" s="1"/>
  <c r="BM675" i="10"/>
  <c r="BV675" i="10" s="1"/>
  <c r="BZ675" i="10" s="1"/>
  <c r="BI674" i="10"/>
  <c r="BK674" i="10" s="1"/>
  <c r="AQ674" i="10" s="1"/>
  <c r="BM674" i="10"/>
  <c r="BV674" i="10" s="1"/>
  <c r="BZ674" i="10" s="1"/>
  <c r="BI548" i="10"/>
  <c r="BK548" i="10" s="1"/>
  <c r="BM548" i="10"/>
  <c r="BV548" i="10" s="1"/>
  <c r="BZ548" i="10" s="1"/>
  <c r="BI542" i="10"/>
  <c r="BK542" i="10" s="1"/>
  <c r="BM542" i="10"/>
  <c r="BV542" i="10" s="1"/>
  <c r="BZ542" i="10" s="1"/>
  <c r="BJ525" i="10"/>
  <c r="BL525" i="10" s="1"/>
  <c r="AQ525" i="10" s="1"/>
  <c r="BN525" i="10"/>
  <c r="BW525" i="10" s="1"/>
  <c r="BJ519" i="10"/>
  <c r="BL519" i="10" s="1"/>
  <c r="AQ519" i="10" s="1"/>
  <c r="BN519" i="10"/>
  <c r="BW519" i="10" s="1"/>
  <c r="BI304" i="10"/>
  <c r="BK304" i="10" s="1"/>
  <c r="AQ304" i="10" s="1"/>
  <c r="BM304" i="10"/>
  <c r="BV304" i="10" s="1"/>
  <c r="BZ304" i="10" s="1"/>
  <c r="BM296" i="10"/>
  <c r="BV296" i="10" s="1"/>
  <c r="BI296" i="10"/>
  <c r="BK296" i="10" s="1"/>
  <c r="AQ296" i="10" s="1"/>
  <c r="BJ289" i="10"/>
  <c r="BL289" i="10" s="1"/>
  <c r="AQ289" i="10" s="1"/>
  <c r="BN289" i="10"/>
  <c r="BW289" i="10" s="1"/>
  <c r="CA289" i="10" s="1"/>
  <c r="BI219" i="10"/>
  <c r="BK219" i="10" s="1"/>
  <c r="AQ219" i="10" s="1"/>
  <c r="BM219" i="10"/>
  <c r="BV219" i="10" s="1"/>
  <c r="BZ219" i="10" s="1"/>
  <c r="BF878" i="10"/>
  <c r="BU878" i="10" s="1"/>
  <c r="BY878" i="10" s="1"/>
  <c r="BB878" i="10"/>
  <c r="BD878" i="10" s="1"/>
  <c r="BF872" i="10"/>
  <c r="BU872" i="10" s="1"/>
  <c r="BY872" i="10" s="1"/>
  <c r="DU872" i="10" s="1"/>
  <c r="BB872" i="10"/>
  <c r="BD872" i="10" s="1"/>
  <c r="BF866" i="10"/>
  <c r="BU866" i="10" s="1"/>
  <c r="BY866" i="10" s="1"/>
  <c r="DU866" i="10" s="1"/>
  <c r="BB866" i="10"/>
  <c r="BD866" i="10" s="1"/>
  <c r="BF860" i="10"/>
  <c r="BU860" i="10" s="1"/>
  <c r="BY860" i="10" s="1"/>
  <c r="DU860" i="10" s="1"/>
  <c r="BB860" i="10"/>
  <c r="BD860" i="10" s="1"/>
  <c r="BF854" i="10"/>
  <c r="BU854" i="10" s="1"/>
  <c r="BY854" i="10" s="1"/>
  <c r="DU854" i="10" s="1"/>
  <c r="BB854" i="10"/>
  <c r="BD854" i="10" s="1"/>
  <c r="BF842" i="10"/>
  <c r="BU842" i="10" s="1"/>
  <c r="BY842" i="10" s="1"/>
  <c r="DU842" i="10" s="1"/>
  <c r="BB842" i="10"/>
  <c r="BD842" i="10" s="1"/>
  <c r="BF818" i="10"/>
  <c r="BU818" i="10" s="1"/>
  <c r="BY818" i="10" s="1"/>
  <c r="DU818" i="10" s="1"/>
  <c r="BB818" i="10"/>
  <c r="BD818" i="10" s="1"/>
  <c r="BF812" i="10"/>
  <c r="BU812" i="10" s="1"/>
  <c r="BY812" i="10" s="1"/>
  <c r="DU812" i="10" s="1"/>
  <c r="BB812" i="10"/>
  <c r="BD812" i="10" s="1"/>
  <c r="BF776" i="10"/>
  <c r="BU776" i="10" s="1"/>
  <c r="BY776" i="10" s="1"/>
  <c r="DU776" i="10" s="1"/>
  <c r="BB776" i="10"/>
  <c r="BD776" i="10" s="1"/>
  <c r="BF770" i="10"/>
  <c r="BU770" i="10" s="1"/>
  <c r="BY770" i="10" s="1"/>
  <c r="DU770" i="10" s="1"/>
  <c r="BB770" i="10"/>
  <c r="BD770" i="10" s="1"/>
  <c r="BF758" i="10"/>
  <c r="BU758" i="10" s="1"/>
  <c r="BY758" i="10" s="1"/>
  <c r="DU758" i="10" s="1"/>
  <c r="BB758" i="10"/>
  <c r="BD758" i="10" s="1"/>
  <c r="BF752" i="10"/>
  <c r="BU752" i="10" s="1"/>
  <c r="BY752" i="10" s="1"/>
  <c r="DU752" i="10" s="1"/>
  <c r="BB752" i="10"/>
  <c r="BD752" i="10" s="1"/>
  <c r="BF746" i="10"/>
  <c r="BU746" i="10" s="1"/>
  <c r="BB746" i="10"/>
  <c r="BD746" i="10" s="1"/>
  <c r="AW746" i="10" s="1"/>
  <c r="BF734" i="10"/>
  <c r="BU734" i="10" s="1"/>
  <c r="BB734" i="10"/>
  <c r="BD734" i="10" s="1"/>
  <c r="BF716" i="10"/>
  <c r="BU716" i="10" s="1"/>
  <c r="BY716" i="10" s="1"/>
  <c r="DU716" i="10" s="1"/>
  <c r="BB716" i="10"/>
  <c r="BD716" i="10" s="1"/>
  <c r="BF704" i="10"/>
  <c r="BU704" i="10" s="1"/>
  <c r="BB704" i="10"/>
  <c r="BD704" i="10" s="1"/>
  <c r="AN704" i="10" s="1"/>
  <c r="BF698" i="10"/>
  <c r="BU698" i="10" s="1"/>
  <c r="BB698" i="10"/>
  <c r="BD698" i="10" s="1"/>
  <c r="BF692" i="10"/>
  <c r="BU692" i="10" s="1"/>
  <c r="BY692" i="10" s="1"/>
  <c r="DU692" i="10" s="1"/>
  <c r="BB692" i="10"/>
  <c r="BD692" i="10" s="1"/>
  <c r="BF674" i="10"/>
  <c r="BU674" i="10" s="1"/>
  <c r="BY674" i="10" s="1"/>
  <c r="DU674" i="10" s="1"/>
  <c r="BB674" i="10"/>
  <c r="BD674" i="10" s="1"/>
  <c r="BF668" i="10"/>
  <c r="BU668" i="10" s="1"/>
  <c r="DY668" i="10" s="1"/>
  <c r="BB668" i="10"/>
  <c r="BD668" i="10" s="1"/>
  <c r="BF656" i="10"/>
  <c r="BU656" i="10" s="1"/>
  <c r="BY656" i="10" s="1"/>
  <c r="DU656" i="10" s="1"/>
  <c r="BB656" i="10"/>
  <c r="BD656" i="10" s="1"/>
  <c r="BF650" i="10"/>
  <c r="BU650" i="10" s="1"/>
  <c r="BY650" i="10" s="1"/>
  <c r="DU650" i="10" s="1"/>
  <c r="BB650" i="10"/>
  <c r="BD650" i="10" s="1"/>
  <c r="BF644" i="10"/>
  <c r="BU644" i="10" s="1"/>
  <c r="BB644" i="10"/>
  <c r="BD644" i="10" s="1"/>
  <c r="BF632" i="10"/>
  <c r="BU632" i="10" s="1"/>
  <c r="BB632" i="10"/>
  <c r="BD632" i="10" s="1"/>
  <c r="AW632" i="10" s="1"/>
  <c r="BF620" i="10"/>
  <c r="BU620" i="10" s="1"/>
  <c r="BB620" i="10"/>
  <c r="BD620" i="10" s="1"/>
  <c r="AN620" i="10" s="1"/>
  <c r="BF614" i="10"/>
  <c r="BU614" i="10" s="1"/>
  <c r="BY614" i="10" s="1"/>
  <c r="DU614" i="10" s="1"/>
  <c r="BB614" i="10"/>
  <c r="BD614" i="10" s="1"/>
  <c r="BF608" i="10"/>
  <c r="BU608" i="10" s="1"/>
  <c r="BB608" i="10"/>
  <c r="BD608" i="10" s="1"/>
  <c r="BF602" i="10"/>
  <c r="BU602" i="10" s="1"/>
  <c r="BB602" i="10"/>
  <c r="BD602" i="10" s="1"/>
  <c r="BF590" i="10"/>
  <c r="BU590" i="10" s="1"/>
  <c r="BY590" i="10" s="1"/>
  <c r="DU590" i="10" s="1"/>
  <c r="BB590" i="10"/>
  <c r="BD590" i="10" s="1"/>
  <c r="BF584" i="10"/>
  <c r="BU584" i="10" s="1"/>
  <c r="BB584" i="10"/>
  <c r="BD584" i="10" s="1"/>
  <c r="AW584" i="10" s="1"/>
  <c r="BF566" i="10"/>
  <c r="BU566" i="10" s="1"/>
  <c r="BY566" i="10" s="1"/>
  <c r="DU566" i="10" s="1"/>
  <c r="BB566" i="10"/>
  <c r="BD566" i="10" s="1"/>
  <c r="AN566" i="10" s="1"/>
  <c r="BF554" i="10"/>
  <c r="BU554" i="10" s="1"/>
  <c r="BY554" i="10" s="1"/>
  <c r="DU554" i="10" s="1"/>
  <c r="BB554" i="10"/>
  <c r="BD554" i="10" s="1"/>
  <c r="BF548" i="10"/>
  <c r="BU548" i="10" s="1"/>
  <c r="BB548" i="10"/>
  <c r="BD548" i="10" s="1"/>
  <c r="AW588" i="10"/>
  <c r="AN588" i="10"/>
  <c r="BN630" i="10"/>
  <c r="BW630" i="10" s="1"/>
  <c r="CA630" i="10" s="1"/>
  <c r="BJ630" i="10"/>
  <c r="BL630" i="10" s="1"/>
  <c r="BI623" i="10"/>
  <c r="BK623" i="10" s="1"/>
  <c r="BM623" i="10"/>
  <c r="BV623" i="10" s="1"/>
  <c r="BZ623" i="10" s="1"/>
  <c r="BI398" i="10"/>
  <c r="BK398" i="10" s="1"/>
  <c r="BM398" i="10"/>
  <c r="BV398" i="10" s="1"/>
  <c r="BZ398" i="10" s="1"/>
  <c r="BI369" i="10"/>
  <c r="BK369" i="10" s="1"/>
  <c r="BM369" i="10"/>
  <c r="BV369" i="10" s="1"/>
  <c r="BZ369" i="10" s="1"/>
  <c r="BJ272" i="10"/>
  <c r="BL272" i="10" s="1"/>
  <c r="BN272" i="10"/>
  <c r="BW272" i="10" s="1"/>
  <c r="CA272" i="10" s="1"/>
  <c r="BJ264" i="10"/>
  <c r="BL264" i="10" s="1"/>
  <c r="AQ264" i="10" s="1"/>
  <c r="BN264" i="10"/>
  <c r="BW264" i="10" s="1"/>
  <c r="CA264" i="10" s="1"/>
  <c r="BF220" i="10"/>
  <c r="BU220" i="10" s="1"/>
  <c r="BB220" i="10"/>
  <c r="BD220" i="10" s="1"/>
  <c r="BF208" i="10"/>
  <c r="BU208" i="10" s="1"/>
  <c r="BB208" i="10"/>
  <c r="BD208" i="10" s="1"/>
  <c r="AN208" i="10" s="1"/>
  <c r="BF112" i="10"/>
  <c r="BU112" i="10" s="1"/>
  <c r="BY112" i="10" s="1"/>
  <c r="DU112" i="10" s="1"/>
  <c r="BB112" i="10"/>
  <c r="BD112" i="10" s="1"/>
  <c r="BF94" i="10"/>
  <c r="BU94" i="10" s="1"/>
  <c r="BB94" i="10"/>
  <c r="BD94" i="10" s="1"/>
  <c r="AW94" i="10" s="1"/>
  <c r="BF82" i="10"/>
  <c r="BU82" i="10" s="1"/>
  <c r="BY82" i="10" s="1"/>
  <c r="DU82" i="10" s="1"/>
  <c r="BB82" i="10"/>
  <c r="BD82" i="10" s="1"/>
  <c r="BF76" i="10"/>
  <c r="BU76" i="10" s="1"/>
  <c r="BB76" i="10"/>
  <c r="BD76" i="10" s="1"/>
  <c r="BF64" i="10"/>
  <c r="BU64" i="10" s="1"/>
  <c r="BB64" i="10"/>
  <c r="BD64" i="10" s="1"/>
  <c r="BF58" i="10"/>
  <c r="BU58" i="10" s="1"/>
  <c r="BB58" i="10"/>
  <c r="BD58" i="10" s="1"/>
  <c r="AN58" i="10" s="1"/>
  <c r="BF52" i="10"/>
  <c r="BU52" i="10" s="1"/>
  <c r="BB52" i="10"/>
  <c r="BD52" i="10" s="1"/>
  <c r="AW52" i="10" s="1"/>
  <c r="BF46" i="10"/>
  <c r="BU46" i="10" s="1"/>
  <c r="BB46" i="10"/>
  <c r="BD46" i="10" s="1"/>
  <c r="BF34" i="10"/>
  <c r="BU34" i="10" s="1"/>
  <c r="BB34" i="10"/>
  <c r="BD34" i="10" s="1"/>
  <c r="BF28" i="10"/>
  <c r="BU28" i="10" s="1"/>
  <c r="BB28" i="10"/>
  <c r="BD28" i="10" s="1"/>
  <c r="BE67" i="10"/>
  <c r="BT67" i="10" s="1"/>
  <c r="BX67" i="10" s="1"/>
  <c r="DT67" i="10" s="1"/>
  <c r="BA67" i="10"/>
  <c r="BC67" i="10" s="1"/>
  <c r="BE192" i="10"/>
  <c r="BT192" i="10" s="1"/>
  <c r="BA192" i="10"/>
  <c r="BC192" i="10" s="1"/>
  <c r="AW192" i="10" s="1"/>
  <c r="BE196" i="10"/>
  <c r="BT196" i="10" s="1"/>
  <c r="BA196" i="10"/>
  <c r="BC196" i="10" s="1"/>
  <c r="BE201" i="10"/>
  <c r="BT201" i="10" s="1"/>
  <c r="BA201" i="10"/>
  <c r="BC201" i="10" s="1"/>
  <c r="BE235" i="10"/>
  <c r="BT235" i="10" s="1"/>
  <c r="BX235" i="10" s="1"/>
  <c r="BA235" i="10"/>
  <c r="BC235" i="10" s="1"/>
  <c r="BE248" i="10"/>
  <c r="BT248" i="10" s="1"/>
  <c r="DY248" i="10" s="1"/>
  <c r="BA248" i="10"/>
  <c r="BC248" i="10" s="1"/>
  <c r="BE257" i="10"/>
  <c r="BT257" i="10" s="1"/>
  <c r="BA257" i="10"/>
  <c r="BC257" i="10" s="1"/>
  <c r="BE270" i="10"/>
  <c r="BT270" i="10" s="1"/>
  <c r="BA270" i="10"/>
  <c r="BC270" i="10" s="1"/>
  <c r="BE274" i="10"/>
  <c r="BT274" i="10" s="1"/>
  <c r="BA274" i="10"/>
  <c r="BC274" i="10" s="1"/>
  <c r="AW274" i="10" s="1"/>
  <c r="BE303" i="10"/>
  <c r="BT303" i="10" s="1"/>
  <c r="DY303" i="10" s="1"/>
  <c r="BA303" i="10"/>
  <c r="BC303" i="10" s="1"/>
  <c r="BE307" i="10"/>
  <c r="BT307" i="10" s="1"/>
  <c r="BX307" i="10" s="1"/>
  <c r="BA307" i="10"/>
  <c r="BC307" i="10" s="1"/>
  <c r="AW307" i="10" s="1"/>
  <c r="BE315" i="10"/>
  <c r="BT315" i="10" s="1"/>
  <c r="BX315" i="10" s="1"/>
  <c r="BA315" i="10"/>
  <c r="BC315" i="10" s="1"/>
  <c r="BE319" i="10"/>
  <c r="BT319" i="10" s="1"/>
  <c r="BA319" i="10"/>
  <c r="BC319" i="10" s="1"/>
  <c r="BE327" i="10"/>
  <c r="BT327" i="10" s="1"/>
  <c r="BA327" i="10"/>
  <c r="BC327" i="10" s="1"/>
  <c r="BE343" i="10"/>
  <c r="BT343" i="10" s="1"/>
  <c r="BA343" i="10"/>
  <c r="BC343" i="10" s="1"/>
  <c r="AN343" i="10" s="1"/>
  <c r="BE367" i="10"/>
  <c r="BT367" i="10" s="1"/>
  <c r="BA367" i="10"/>
  <c r="BC367" i="10" s="1"/>
  <c r="AN367" i="10" s="1"/>
  <c r="BE449" i="10"/>
  <c r="BT449" i="10" s="1"/>
  <c r="BX449" i="10" s="1"/>
  <c r="BA449" i="10"/>
  <c r="BC449" i="10" s="1"/>
  <c r="AN449" i="10" s="1"/>
  <c r="BE453" i="10"/>
  <c r="BT453" i="10" s="1"/>
  <c r="BA453" i="10"/>
  <c r="BC453" i="10" s="1"/>
  <c r="BE458" i="10"/>
  <c r="BT458" i="10" s="1"/>
  <c r="BA458" i="10"/>
  <c r="BC458" i="10" s="1"/>
  <c r="BE474" i="10"/>
  <c r="BT474" i="10" s="1"/>
  <c r="BA474" i="10"/>
  <c r="BC474" i="10" s="1"/>
  <c r="AW474" i="10" s="1"/>
  <c r="BE528" i="10"/>
  <c r="BT528" i="10" s="1"/>
  <c r="BA528" i="10"/>
  <c r="BC528" i="10" s="1"/>
  <c r="AW528" i="10" s="1"/>
  <c r="BE533" i="10"/>
  <c r="BT533" i="10" s="1"/>
  <c r="BX533" i="10" s="1"/>
  <c r="DT533" i="10" s="1"/>
  <c r="BA533" i="10"/>
  <c r="BC533" i="10" s="1"/>
  <c r="BE555" i="10"/>
  <c r="BT555" i="10" s="1"/>
  <c r="DY555" i="10" s="1"/>
  <c r="ED555" i="10" s="1"/>
  <c r="BA555" i="10"/>
  <c r="BC555" i="10" s="1"/>
  <c r="BE571" i="10"/>
  <c r="BT571" i="10" s="1"/>
  <c r="BA571" i="10"/>
  <c r="BC571" i="10" s="1"/>
  <c r="BE582" i="10"/>
  <c r="BT582" i="10" s="1"/>
  <c r="BA582" i="10"/>
  <c r="BC582" i="10" s="1"/>
  <c r="BE598" i="10"/>
  <c r="BT598" i="10" s="1"/>
  <c r="DY598" i="10" s="1"/>
  <c r="BA598" i="10"/>
  <c r="BC598" i="10" s="1"/>
  <c r="AN598" i="10" s="1"/>
  <c r="BE603" i="10"/>
  <c r="BT603" i="10" s="1"/>
  <c r="DY603" i="10" s="1"/>
  <c r="BA603" i="10"/>
  <c r="BC603" i="10" s="1"/>
  <c r="AN603" i="10" s="1"/>
  <c r="BE635" i="10"/>
  <c r="BT635" i="10" s="1"/>
  <c r="BX635" i="10" s="1"/>
  <c r="DT635" i="10" s="1"/>
  <c r="BA635" i="10"/>
  <c r="BC635" i="10" s="1"/>
  <c r="BE651" i="10"/>
  <c r="BT651" i="10" s="1"/>
  <c r="DY651" i="10" s="1"/>
  <c r="BA651" i="10"/>
  <c r="BC651" i="10" s="1"/>
  <c r="BE667" i="10"/>
  <c r="BT667" i="10" s="1"/>
  <c r="DY667" i="10" s="1"/>
  <c r="EA667" i="10" s="1"/>
  <c r="BA667" i="10"/>
  <c r="BC667" i="10" s="1"/>
  <c r="BE673" i="10"/>
  <c r="BT673" i="10" s="1"/>
  <c r="BA673" i="10"/>
  <c r="BC673" i="10" s="1"/>
  <c r="BE678" i="10"/>
  <c r="BT678" i="10" s="1"/>
  <c r="BA678" i="10"/>
  <c r="BC678" i="10" s="1"/>
  <c r="BE689" i="10"/>
  <c r="BT689" i="10" s="1"/>
  <c r="DY689" i="10" s="1"/>
  <c r="BA689" i="10"/>
  <c r="BC689" i="10" s="1"/>
  <c r="AN689" i="10" s="1"/>
  <c r="BE726" i="10"/>
  <c r="BT726" i="10" s="1"/>
  <c r="BA726" i="10"/>
  <c r="BC726" i="10" s="1"/>
  <c r="BJ399" i="10"/>
  <c r="BL399" i="10" s="1"/>
  <c r="BN399" i="10"/>
  <c r="BW399" i="10" s="1"/>
  <c r="CA399" i="10" s="1"/>
  <c r="BI280" i="10"/>
  <c r="BK280" i="10" s="1"/>
  <c r="AQ280" i="10" s="1"/>
  <c r="BM280" i="10"/>
  <c r="BV280" i="10" s="1"/>
  <c r="BZ280" i="10" s="1"/>
  <c r="BE123" i="10"/>
  <c r="BT123" i="10" s="1"/>
  <c r="BA123" i="10"/>
  <c r="BC123" i="10" s="1"/>
  <c r="BE132" i="10"/>
  <c r="BT132" i="10" s="1"/>
  <c r="BA132" i="10"/>
  <c r="BC132" i="10" s="1"/>
  <c r="AN132" i="10" s="1"/>
  <c r="BE162" i="10"/>
  <c r="BT162" i="10" s="1"/>
  <c r="BA162" i="10"/>
  <c r="BC162" i="10" s="1"/>
  <c r="AN162" i="10" s="1"/>
  <c r="BE231" i="10"/>
  <c r="BT231" i="10" s="1"/>
  <c r="BX231" i="10" s="1"/>
  <c r="BA231" i="10"/>
  <c r="BC231" i="10" s="1"/>
  <c r="BE240" i="10"/>
  <c r="BT240" i="10" s="1"/>
  <c r="DY240" i="10" s="1"/>
  <c r="EA240" i="10" s="1"/>
  <c r="BA240" i="10"/>
  <c r="BC240" i="10" s="1"/>
  <c r="BE383" i="10"/>
  <c r="BT383" i="10" s="1"/>
  <c r="BX383" i="10" s="1"/>
  <c r="BA383" i="10"/>
  <c r="BC383" i="10" s="1"/>
  <c r="BE409" i="10"/>
  <c r="BT409" i="10" s="1"/>
  <c r="BX409" i="10" s="1"/>
  <c r="BA409" i="10"/>
  <c r="BC409" i="10" s="1"/>
  <c r="BE469" i="10"/>
  <c r="BT469" i="10" s="1"/>
  <c r="BA469" i="10"/>
  <c r="BC469" i="10" s="1"/>
  <c r="AN469" i="10" s="1"/>
  <c r="BE512" i="10"/>
  <c r="BT512" i="10" s="1"/>
  <c r="BA512" i="10"/>
  <c r="BC512" i="10" s="1"/>
  <c r="AN512" i="10" s="1"/>
  <c r="BE539" i="10"/>
  <c r="BT539" i="10" s="1"/>
  <c r="BA539" i="10"/>
  <c r="BC539" i="10" s="1"/>
  <c r="BE550" i="10"/>
  <c r="BT550" i="10" s="1"/>
  <c r="DY550" i="10" s="1"/>
  <c r="BA550" i="10"/>
  <c r="BC550" i="10" s="1"/>
  <c r="BE566" i="10"/>
  <c r="BT566" i="10" s="1"/>
  <c r="BA566" i="10"/>
  <c r="BC566" i="10" s="1"/>
  <c r="BE577" i="10"/>
  <c r="BT577" i="10" s="1"/>
  <c r="BA577" i="10"/>
  <c r="BC577" i="10" s="1"/>
  <c r="BE609" i="10"/>
  <c r="BT609" i="10" s="1"/>
  <c r="BX609" i="10" s="1"/>
  <c r="BA609" i="10"/>
  <c r="BC609" i="10" s="1"/>
  <c r="BE619" i="10"/>
  <c r="BT619" i="10" s="1"/>
  <c r="DY619" i="10" s="1"/>
  <c r="BA619" i="10"/>
  <c r="BC619" i="10" s="1"/>
  <c r="AN619" i="10" s="1"/>
  <c r="BE630" i="10"/>
  <c r="BT630" i="10" s="1"/>
  <c r="BA630" i="10"/>
  <c r="BC630" i="10" s="1"/>
  <c r="BE646" i="10"/>
  <c r="BT646" i="10" s="1"/>
  <c r="BA646" i="10"/>
  <c r="BC646" i="10" s="1"/>
  <c r="BE657" i="10"/>
  <c r="BT657" i="10" s="1"/>
  <c r="BX657" i="10" s="1"/>
  <c r="BA657" i="10"/>
  <c r="BC657" i="10" s="1"/>
  <c r="BE662" i="10"/>
  <c r="BT662" i="10" s="1"/>
  <c r="BX662" i="10" s="1"/>
  <c r="DT662" i="10" s="1"/>
  <c r="BA662" i="10"/>
  <c r="BC662" i="10" s="1"/>
  <c r="BE684" i="10"/>
  <c r="BT684" i="10" s="1"/>
  <c r="BX684" i="10" s="1"/>
  <c r="BA684" i="10"/>
  <c r="BC684" i="10" s="1"/>
  <c r="AW684" i="10" s="1"/>
  <c r="BE695" i="10"/>
  <c r="BT695" i="10" s="1"/>
  <c r="DY695" i="10" s="1"/>
  <c r="ED695" i="10" s="1"/>
  <c r="BA695" i="10"/>
  <c r="BC695" i="10" s="1"/>
  <c r="AN695" i="10" s="1"/>
  <c r="BE742" i="10"/>
  <c r="BT742" i="10" s="1"/>
  <c r="BX742" i="10" s="1"/>
  <c r="DN742" i="10" s="1"/>
  <c r="BP742" i="10" s="1"/>
  <c r="BA742" i="10"/>
  <c r="BC742" i="10" s="1"/>
  <c r="BE848" i="10"/>
  <c r="BT848" i="10" s="1"/>
  <c r="BX848" i="10" s="1"/>
  <c r="BA848" i="10"/>
  <c r="BC848" i="10" s="1"/>
  <c r="BE854" i="10"/>
  <c r="BT854" i="10" s="1"/>
  <c r="BA854" i="10"/>
  <c r="BC854" i="10" s="1"/>
  <c r="BE860" i="10"/>
  <c r="BT860" i="10" s="1"/>
  <c r="BA860" i="10"/>
  <c r="BC860" i="10" s="1"/>
  <c r="BE872" i="10"/>
  <c r="BT872" i="10" s="1"/>
  <c r="BA872" i="10"/>
  <c r="BC872" i="10" s="1"/>
  <c r="BE878" i="10"/>
  <c r="BT878" i="10" s="1"/>
  <c r="BX878" i="10" s="1"/>
  <c r="DT878" i="10" s="1"/>
  <c r="BA878" i="10"/>
  <c r="BC878" i="10" s="1"/>
  <c r="AN878" i="10" s="1"/>
  <c r="BA72" i="10"/>
  <c r="BC72" i="10" s="1"/>
  <c r="AN72" i="10" s="1"/>
  <c r="BA82" i="10"/>
  <c r="BC82" i="10" s="1"/>
  <c r="BI105" i="10"/>
  <c r="BK105" i="10" s="1"/>
  <c r="BM105" i="10"/>
  <c r="BV105" i="10" s="1"/>
  <c r="BZ105" i="10" s="1"/>
  <c r="BN388" i="10"/>
  <c r="BW388" i="10" s="1"/>
  <c r="CA388" i="10" s="1"/>
  <c r="BI701" i="10"/>
  <c r="BK701" i="10" s="1"/>
  <c r="AQ701" i="10" s="1"/>
  <c r="BM701" i="10"/>
  <c r="BV701" i="10" s="1"/>
  <c r="BZ701" i="10" s="1"/>
  <c r="BJ695" i="10"/>
  <c r="BL695" i="10" s="1"/>
  <c r="BN695" i="10"/>
  <c r="BW695" i="10" s="1"/>
  <c r="CA695" i="10" s="1"/>
  <c r="BI685" i="10"/>
  <c r="BK685" i="10" s="1"/>
  <c r="AQ685" i="10" s="1"/>
  <c r="BM685" i="10"/>
  <c r="BV685" i="10" s="1"/>
  <c r="BZ685" i="10" s="1"/>
  <c r="BM430" i="10"/>
  <c r="BV430" i="10" s="1"/>
  <c r="BZ430" i="10" s="1"/>
  <c r="BI430" i="10"/>
  <c r="BK430" i="10" s="1"/>
  <c r="AQ430" i="10" s="1"/>
  <c r="BJ422" i="10"/>
  <c r="BL422" i="10" s="1"/>
  <c r="BN422" i="10"/>
  <c r="BW422" i="10" s="1"/>
  <c r="BM421" i="10"/>
  <c r="BV421" i="10" s="1"/>
  <c r="BZ421" i="10" s="1"/>
  <c r="BI421" i="10"/>
  <c r="BK421" i="10" s="1"/>
  <c r="AQ421" i="10" s="1"/>
  <c r="BJ306" i="10"/>
  <c r="BL306" i="10" s="1"/>
  <c r="BN306" i="10"/>
  <c r="BW306" i="10" s="1"/>
  <c r="CA306" i="10" s="1"/>
  <c r="BI238" i="10"/>
  <c r="BK238" i="10" s="1"/>
  <c r="BM238" i="10"/>
  <c r="BV238" i="10" s="1"/>
  <c r="BZ238" i="10" s="1"/>
  <c r="BJ232" i="10"/>
  <c r="BL232" i="10" s="1"/>
  <c r="BN232" i="10"/>
  <c r="BW232" i="10" s="1"/>
  <c r="CA232" i="10" s="1"/>
  <c r="BJ220" i="10"/>
  <c r="BL220" i="10" s="1"/>
  <c r="AQ220" i="10" s="1"/>
  <c r="BN220" i="10"/>
  <c r="BW220" i="10" s="1"/>
  <c r="CA220" i="10" s="1"/>
  <c r="DY335" i="10"/>
  <c r="BA24" i="10"/>
  <c r="BC24" i="10" s="1"/>
  <c r="BA96" i="10"/>
  <c r="BC96" i="10" s="1"/>
  <c r="BB178" i="10"/>
  <c r="BD178" i="10" s="1"/>
  <c r="BA175" i="10"/>
  <c r="BC175" i="10" s="1"/>
  <c r="BB88" i="10"/>
  <c r="BD88" i="10" s="1"/>
  <c r="BM208" i="10"/>
  <c r="BV208" i="10" s="1"/>
  <c r="BZ208" i="10" s="1"/>
  <c r="BI208" i="10"/>
  <c r="BK208" i="10" s="1"/>
  <c r="BA430" i="10"/>
  <c r="BC430" i="10" s="1"/>
  <c r="BJ729" i="10"/>
  <c r="BL729" i="10" s="1"/>
  <c r="BN729" i="10"/>
  <c r="BW729" i="10" s="1"/>
  <c r="CA729" i="10" s="1"/>
  <c r="BJ718" i="10"/>
  <c r="BL718" i="10" s="1"/>
  <c r="BN718" i="10"/>
  <c r="BW718" i="10" s="1"/>
  <c r="CA718" i="10" s="1"/>
  <c r="BI717" i="10"/>
  <c r="BK717" i="10" s="1"/>
  <c r="BM717" i="10"/>
  <c r="BV717" i="10" s="1"/>
  <c r="BZ717" i="10" s="1"/>
  <c r="BN703" i="10"/>
  <c r="BW703" i="10" s="1"/>
  <c r="CA703" i="10" s="1"/>
  <c r="BJ703" i="10"/>
  <c r="BL703" i="10" s="1"/>
  <c r="BI702" i="10"/>
  <c r="BK702" i="10" s="1"/>
  <c r="AQ702" i="10" s="1"/>
  <c r="BM702" i="10"/>
  <c r="BV702" i="10" s="1"/>
  <c r="BZ702" i="10" s="1"/>
  <c r="BI695" i="10"/>
  <c r="BK695" i="10" s="1"/>
  <c r="BM695" i="10"/>
  <c r="BV695" i="10" s="1"/>
  <c r="BZ695" i="10" s="1"/>
  <c r="BJ570" i="10"/>
  <c r="BL570" i="10" s="1"/>
  <c r="BN570" i="10"/>
  <c r="BW570" i="10" s="1"/>
  <c r="CA570" i="10" s="1"/>
  <c r="BJ443" i="10"/>
  <c r="BL443" i="10" s="1"/>
  <c r="BN443" i="10"/>
  <c r="BW443" i="10" s="1"/>
  <c r="BJ423" i="10"/>
  <c r="BL423" i="10" s="1"/>
  <c r="AQ423" i="10" s="1"/>
  <c r="BN423" i="10"/>
  <c r="BW423" i="10" s="1"/>
  <c r="CA423" i="10" s="1"/>
  <c r="BI422" i="10"/>
  <c r="BK422" i="10" s="1"/>
  <c r="BM422" i="10"/>
  <c r="BV422" i="10" s="1"/>
  <c r="BZ422" i="10" s="1"/>
  <c r="BN417" i="10"/>
  <c r="BW417" i="10" s="1"/>
  <c r="CA417" i="10" s="1"/>
  <c r="BJ417" i="10"/>
  <c r="BL417" i="10" s="1"/>
  <c r="AQ417" i="10" s="1"/>
  <c r="BN227" i="10"/>
  <c r="BW227" i="10" s="1"/>
  <c r="CA227" i="10" s="1"/>
  <c r="BJ227" i="10"/>
  <c r="BL227" i="10" s="1"/>
  <c r="AQ227" i="10" s="1"/>
  <c r="DY48" i="10"/>
  <c r="EA48" i="10" s="1"/>
  <c r="DY166" i="10"/>
  <c r="EA166" i="10" s="1"/>
  <c r="DY831" i="10"/>
  <c r="BA43" i="10"/>
  <c r="BC43" i="10" s="1"/>
  <c r="AW43" i="10" s="1"/>
  <c r="BA179" i="10"/>
  <c r="BC179" i="10" s="1"/>
  <c r="BM47" i="10"/>
  <c r="BV47" i="10" s="1"/>
  <c r="BZ47" i="10" s="1"/>
  <c r="BI47" i="10"/>
  <c r="BK47" i="10" s="1"/>
  <c r="AQ47" i="10" s="1"/>
  <c r="BJ208" i="10"/>
  <c r="BL208" i="10" s="1"/>
  <c r="BN208" i="10"/>
  <c r="BW208" i="10" s="1"/>
  <c r="CA208" i="10" s="1"/>
  <c r="BN496" i="10"/>
  <c r="BW496" i="10" s="1"/>
  <c r="CA496" i="10" s="1"/>
  <c r="BN508" i="10"/>
  <c r="BW508" i="10" s="1"/>
  <c r="CA508" i="10" s="1"/>
  <c r="BJ748" i="10"/>
  <c r="BL748" i="10" s="1"/>
  <c r="BN748" i="10"/>
  <c r="BW748" i="10" s="1"/>
  <c r="CA748" i="10" s="1"/>
  <c r="BJ719" i="10"/>
  <c r="BL719" i="10" s="1"/>
  <c r="BN719" i="10"/>
  <c r="BW719" i="10" s="1"/>
  <c r="BI718" i="10"/>
  <c r="BK718" i="10" s="1"/>
  <c r="BM718" i="10"/>
  <c r="BV718" i="10" s="1"/>
  <c r="BZ718" i="10" s="1"/>
  <c r="BI710" i="10"/>
  <c r="BK710" i="10" s="1"/>
  <c r="AQ710" i="10" s="1"/>
  <c r="BM710" i="10"/>
  <c r="BV710" i="10" s="1"/>
  <c r="BZ710" i="10" s="1"/>
  <c r="BJ704" i="10"/>
  <c r="BL704" i="10" s="1"/>
  <c r="BN704" i="10"/>
  <c r="BW704" i="10" s="1"/>
  <c r="CA704" i="10" s="1"/>
  <c r="BJ589" i="10"/>
  <c r="BL589" i="10" s="1"/>
  <c r="BN589" i="10"/>
  <c r="BW589" i="10" s="1"/>
  <c r="CA589" i="10" s="1"/>
  <c r="BJ581" i="10"/>
  <c r="BL581" i="10" s="1"/>
  <c r="BN581" i="10"/>
  <c r="BW581" i="10" s="1"/>
  <c r="CA581" i="10" s="1"/>
  <c r="BJ580" i="10"/>
  <c r="BL580" i="10" s="1"/>
  <c r="BN580" i="10"/>
  <c r="BW580" i="10" s="1"/>
  <c r="CA580" i="10" s="1"/>
  <c r="BN571" i="10"/>
  <c r="BW571" i="10" s="1"/>
  <c r="CA571" i="10" s="1"/>
  <c r="BJ571" i="10"/>
  <c r="BL571" i="10" s="1"/>
  <c r="AQ571" i="10" s="1"/>
  <c r="BJ444" i="10"/>
  <c r="BL444" i="10" s="1"/>
  <c r="BN444" i="10"/>
  <c r="BW444" i="10" s="1"/>
  <c r="CA444" i="10" s="1"/>
  <c r="BI443" i="10"/>
  <c r="BK443" i="10" s="1"/>
  <c r="BM443" i="10"/>
  <c r="BV443" i="10" s="1"/>
  <c r="BJ318" i="10"/>
  <c r="BL318" i="10" s="1"/>
  <c r="BN318" i="10"/>
  <c r="BW318" i="10" s="1"/>
  <c r="CA318" i="10" s="1"/>
  <c r="BI239" i="10"/>
  <c r="BK239" i="10" s="1"/>
  <c r="AQ239" i="10" s="1"/>
  <c r="BM239" i="10"/>
  <c r="BV239" i="10" s="1"/>
  <c r="BZ239" i="10" s="1"/>
  <c r="DY72" i="10"/>
  <c r="EA72" i="10" s="1"/>
  <c r="EA110" i="10"/>
  <c r="ED110" i="10"/>
  <c r="BB154" i="10"/>
  <c r="BD154" i="10" s="1"/>
  <c r="BB196" i="10"/>
  <c r="BD196" i="10" s="1"/>
  <c r="BM52" i="10"/>
  <c r="BV52" i="10" s="1"/>
  <c r="BI52" i="10"/>
  <c r="BK52" i="10" s="1"/>
  <c r="AQ52" i="10" s="1"/>
  <c r="BB70" i="10"/>
  <c r="BD70" i="10" s="1"/>
  <c r="AN70" i="10" s="1"/>
  <c r="BN503" i="10"/>
  <c r="BW503" i="10" s="1"/>
  <c r="CA503" i="10" s="1"/>
  <c r="BA501" i="10"/>
  <c r="BC501" i="10" s="1"/>
  <c r="BJ772" i="10"/>
  <c r="BL772" i="10" s="1"/>
  <c r="AQ772" i="10" s="1"/>
  <c r="BN772" i="10"/>
  <c r="BW772" i="10" s="1"/>
  <c r="CA772" i="10" s="1"/>
  <c r="BM771" i="10"/>
  <c r="BV771" i="10" s="1"/>
  <c r="BZ771" i="10" s="1"/>
  <c r="BI771" i="10"/>
  <c r="BK771" i="10" s="1"/>
  <c r="AQ771" i="10" s="1"/>
  <c r="BJ764" i="10"/>
  <c r="BL764" i="10" s="1"/>
  <c r="BN764" i="10"/>
  <c r="BW764" i="10" s="1"/>
  <c r="CA764" i="10" s="1"/>
  <c r="BM763" i="10"/>
  <c r="BV763" i="10" s="1"/>
  <c r="BZ763" i="10" s="1"/>
  <c r="BI763" i="10"/>
  <c r="BK763" i="10" s="1"/>
  <c r="BM757" i="10"/>
  <c r="BV757" i="10" s="1"/>
  <c r="BZ757" i="10" s="1"/>
  <c r="BI757" i="10"/>
  <c r="BK757" i="10" s="1"/>
  <c r="AQ757" i="10" s="1"/>
  <c r="BM748" i="10"/>
  <c r="BV748" i="10" s="1"/>
  <c r="BZ748" i="10" s="1"/>
  <c r="BI748" i="10"/>
  <c r="BK748" i="10" s="1"/>
  <c r="BJ741" i="10"/>
  <c r="BL741" i="10" s="1"/>
  <c r="BN741" i="10"/>
  <c r="BW741" i="10" s="1"/>
  <c r="CA741" i="10" s="1"/>
  <c r="BM740" i="10"/>
  <c r="BV740" i="10" s="1"/>
  <c r="BZ740" i="10" s="1"/>
  <c r="BI740" i="10"/>
  <c r="BK740" i="10" s="1"/>
  <c r="AQ740" i="10" s="1"/>
  <c r="BJ597" i="10"/>
  <c r="BL597" i="10" s="1"/>
  <c r="BN597" i="10"/>
  <c r="BW597" i="10" s="1"/>
  <c r="CA597" i="10" s="1"/>
  <c r="BJ591" i="10"/>
  <c r="BL591" i="10" s="1"/>
  <c r="BN591" i="10"/>
  <c r="BW591" i="10" s="1"/>
  <c r="BI589" i="10"/>
  <c r="BK589" i="10" s="1"/>
  <c r="BM589" i="10"/>
  <c r="BV589" i="10" s="1"/>
  <c r="BZ589" i="10" s="1"/>
  <c r="BJ582" i="10"/>
  <c r="BL582" i="10" s="1"/>
  <c r="AQ582" i="10" s="1"/>
  <c r="BN582" i="10"/>
  <c r="BW582" i="10" s="1"/>
  <c r="CA582" i="10" s="1"/>
  <c r="BI581" i="10"/>
  <c r="BK581" i="10" s="1"/>
  <c r="AQ581" i="10" s="1"/>
  <c r="BM581" i="10"/>
  <c r="BV581" i="10" s="1"/>
  <c r="BZ581" i="10" s="1"/>
  <c r="BN452" i="10"/>
  <c r="BW452" i="10" s="1"/>
  <c r="CA452" i="10" s="1"/>
  <c r="BJ452" i="10"/>
  <c r="BL452" i="10" s="1"/>
  <c r="BI336" i="10"/>
  <c r="BK336" i="10" s="1"/>
  <c r="BM336" i="10"/>
  <c r="BV336" i="10" s="1"/>
  <c r="BZ336" i="10" s="1"/>
  <c r="BM335" i="10"/>
  <c r="BV335" i="10" s="1"/>
  <c r="BZ335" i="10" s="1"/>
  <c r="BI335" i="10"/>
  <c r="BK335" i="10" s="1"/>
  <c r="AQ335" i="10" s="1"/>
  <c r="BJ329" i="10"/>
  <c r="BL329" i="10" s="1"/>
  <c r="BN329" i="10"/>
  <c r="BW329" i="10" s="1"/>
  <c r="BI328" i="10"/>
  <c r="BK328" i="10" s="1"/>
  <c r="AQ328" i="10" s="1"/>
  <c r="BM328" i="10"/>
  <c r="BV328" i="10" s="1"/>
  <c r="BZ328" i="10" s="1"/>
  <c r="BI318" i="10"/>
  <c r="BK318" i="10" s="1"/>
  <c r="BM318" i="10"/>
  <c r="BV318" i="10" s="1"/>
  <c r="BZ318" i="10" s="1"/>
  <c r="BN240" i="10"/>
  <c r="BW240" i="10" s="1"/>
  <c r="CA240" i="10" s="1"/>
  <c r="BJ240" i="10"/>
  <c r="BL240" i="10" s="1"/>
  <c r="AQ240" i="10" s="1"/>
  <c r="DY88" i="10"/>
  <c r="DY91" i="10"/>
  <c r="BA29" i="10"/>
  <c r="BC29" i="10" s="1"/>
  <c r="BB190" i="10"/>
  <c r="BD190" i="10" s="1"/>
  <c r="BI198" i="10"/>
  <c r="BK198" i="10" s="1"/>
  <c r="BM198" i="10"/>
  <c r="BV198" i="10" s="1"/>
  <c r="BZ198" i="10" s="1"/>
  <c r="BM201" i="10"/>
  <c r="BV201" i="10" s="1"/>
  <c r="BZ201" i="10" s="1"/>
  <c r="BI201" i="10"/>
  <c r="BK201" i="10" s="1"/>
  <c r="AN736" i="10"/>
  <c r="AW736" i="10"/>
  <c r="BJ804" i="10"/>
  <c r="BL804" i="10" s="1"/>
  <c r="AQ804" i="10" s="1"/>
  <c r="BN804" i="10"/>
  <c r="BW804" i="10" s="1"/>
  <c r="BM803" i="10"/>
  <c r="BV803" i="10" s="1"/>
  <c r="BZ803" i="10" s="1"/>
  <c r="BI803" i="10"/>
  <c r="BK803" i="10" s="1"/>
  <c r="AQ803" i="10" s="1"/>
  <c r="BM797" i="10"/>
  <c r="BV797" i="10" s="1"/>
  <c r="BZ797" i="10" s="1"/>
  <c r="BI797" i="10"/>
  <c r="BK797" i="10" s="1"/>
  <c r="BN787" i="10"/>
  <c r="BW787" i="10" s="1"/>
  <c r="CA787" i="10" s="1"/>
  <c r="BJ787" i="10"/>
  <c r="BL787" i="10" s="1"/>
  <c r="BN779" i="10"/>
  <c r="BW779" i="10" s="1"/>
  <c r="CA779" i="10" s="1"/>
  <c r="BJ779" i="10"/>
  <c r="BL779" i="10" s="1"/>
  <c r="BM772" i="10"/>
  <c r="BV772" i="10" s="1"/>
  <c r="BZ772" i="10" s="1"/>
  <c r="BI772" i="10"/>
  <c r="BK772" i="10" s="1"/>
  <c r="BM764" i="10"/>
  <c r="BV764" i="10" s="1"/>
  <c r="BZ764" i="10" s="1"/>
  <c r="BI764" i="10"/>
  <c r="BK764" i="10" s="1"/>
  <c r="BI591" i="10"/>
  <c r="BK591" i="10" s="1"/>
  <c r="BM591" i="10"/>
  <c r="BV591" i="10" s="1"/>
  <c r="BZ591" i="10" s="1"/>
  <c r="BJ590" i="10"/>
  <c r="BL590" i="10" s="1"/>
  <c r="BN590" i="10"/>
  <c r="BW590" i="10" s="1"/>
  <c r="CA590" i="10" s="1"/>
  <c r="BN350" i="10"/>
  <c r="BW350" i="10" s="1"/>
  <c r="BJ350" i="10"/>
  <c r="BL350" i="10" s="1"/>
  <c r="BI348" i="10"/>
  <c r="BK348" i="10" s="1"/>
  <c r="AQ348" i="10" s="1"/>
  <c r="BM348" i="10"/>
  <c r="BV348" i="10" s="1"/>
  <c r="BZ348" i="10" s="1"/>
  <c r="BI337" i="10"/>
  <c r="BK337" i="10" s="1"/>
  <c r="AQ337" i="10" s="1"/>
  <c r="BM337" i="10"/>
  <c r="BV337" i="10" s="1"/>
  <c r="BA335" i="10"/>
  <c r="BC335" i="10" s="1"/>
  <c r="AN335" i="10" s="1"/>
  <c r="BN330" i="10"/>
  <c r="BW330" i="10" s="1"/>
  <c r="CA330" i="10" s="1"/>
  <c r="BJ330" i="10"/>
  <c r="BL330" i="10" s="1"/>
  <c r="AQ330" i="10" s="1"/>
  <c r="ED200" i="10"/>
  <c r="EA200" i="10"/>
  <c r="DY178" i="10"/>
  <c r="DY70" i="10"/>
  <c r="BB16" i="10"/>
  <c r="BD16" i="10" s="1"/>
  <c r="AN16" i="10" s="1"/>
  <c r="BB22" i="10"/>
  <c r="BD22" i="10" s="1"/>
  <c r="BA53" i="10"/>
  <c r="BC53" i="10" s="1"/>
  <c r="BB184" i="10"/>
  <c r="BD184" i="10" s="1"/>
  <c r="BB130" i="10"/>
  <c r="BD130" i="10" s="1"/>
  <c r="BN21" i="10"/>
  <c r="BW21" i="10" s="1"/>
  <c r="BJ21" i="10"/>
  <c r="BL21" i="10" s="1"/>
  <c r="BN35" i="10"/>
  <c r="BW35" i="10" s="1"/>
  <c r="CA35" i="10" s="1"/>
  <c r="BJ35" i="10"/>
  <c r="BL35" i="10" s="1"/>
  <c r="BM40" i="10"/>
  <c r="BV40" i="10" s="1"/>
  <c r="BZ40" i="10" s="1"/>
  <c r="BI40" i="10"/>
  <c r="BK40" i="10" s="1"/>
  <c r="BM152" i="10"/>
  <c r="BV152" i="10" s="1"/>
  <c r="BZ152" i="10" s="1"/>
  <c r="BI152" i="10"/>
  <c r="BK152" i="10" s="1"/>
  <c r="BN166" i="10"/>
  <c r="BW166" i="10" s="1"/>
  <c r="CA166" i="10" s="1"/>
  <c r="BJ166" i="10"/>
  <c r="BL166" i="10" s="1"/>
  <c r="BJ172" i="10"/>
  <c r="BL172" i="10" s="1"/>
  <c r="AQ172" i="10" s="1"/>
  <c r="BN172" i="10"/>
  <c r="BW172" i="10" s="1"/>
  <c r="CA172" i="10" s="1"/>
  <c r="BJ183" i="10"/>
  <c r="BL183" i="10" s="1"/>
  <c r="BN183" i="10"/>
  <c r="BW183" i="10" s="1"/>
  <c r="CA183" i="10" s="1"/>
  <c r="AN460" i="10"/>
  <c r="AW460" i="10"/>
  <c r="AN559" i="10"/>
  <c r="AW559" i="10"/>
  <c r="BJ376" i="10"/>
  <c r="BL376" i="10" s="1"/>
  <c r="AQ376" i="10" s="1"/>
  <c r="BJ850" i="10"/>
  <c r="BL850" i="10" s="1"/>
  <c r="BN850" i="10"/>
  <c r="BW850" i="10" s="1"/>
  <c r="CA850" i="10" s="1"/>
  <c r="BM837" i="10"/>
  <c r="BV837" i="10" s="1"/>
  <c r="BZ837" i="10" s="1"/>
  <c r="BI837" i="10"/>
  <c r="BK837" i="10" s="1"/>
  <c r="AQ837" i="10" s="1"/>
  <c r="BJ829" i="10"/>
  <c r="BL829" i="10" s="1"/>
  <c r="BN829" i="10"/>
  <c r="BW829" i="10" s="1"/>
  <c r="CA829" i="10" s="1"/>
  <c r="BI828" i="10"/>
  <c r="BK828" i="10" s="1"/>
  <c r="BM828" i="10"/>
  <c r="BV828" i="10" s="1"/>
  <c r="BZ828" i="10" s="1"/>
  <c r="BN827" i="10"/>
  <c r="BW827" i="10" s="1"/>
  <c r="BJ827" i="10"/>
  <c r="BL827" i="10" s="1"/>
  <c r="BI820" i="10"/>
  <c r="BK820" i="10" s="1"/>
  <c r="AQ820" i="10" s="1"/>
  <c r="BM820" i="10"/>
  <c r="BV820" i="10" s="1"/>
  <c r="BZ820" i="10" s="1"/>
  <c r="BI819" i="10"/>
  <c r="BK819" i="10" s="1"/>
  <c r="BM819" i="10"/>
  <c r="BV819" i="10" s="1"/>
  <c r="BZ819" i="10" s="1"/>
  <c r="BJ812" i="10"/>
  <c r="BL812" i="10" s="1"/>
  <c r="BN812" i="10"/>
  <c r="BW812" i="10" s="1"/>
  <c r="CA812" i="10" s="1"/>
  <c r="BM779" i="10"/>
  <c r="BV779" i="10" s="1"/>
  <c r="BI779" i="10"/>
  <c r="BK779" i="10" s="1"/>
  <c r="BM607" i="10"/>
  <c r="BV607" i="10" s="1"/>
  <c r="BZ607" i="10" s="1"/>
  <c r="BI607" i="10"/>
  <c r="BK607" i="10" s="1"/>
  <c r="BJ463" i="10"/>
  <c r="BL463" i="10" s="1"/>
  <c r="BN463" i="10"/>
  <c r="BW463" i="10" s="1"/>
  <c r="CA463" i="10" s="1"/>
  <c r="BI350" i="10"/>
  <c r="BK350" i="10" s="1"/>
  <c r="BM350" i="10"/>
  <c r="BV350" i="10" s="1"/>
  <c r="BZ350" i="10" s="1"/>
  <c r="BN254" i="10"/>
  <c r="BW254" i="10" s="1"/>
  <c r="CA254" i="10" s="1"/>
  <c r="BJ254" i="10"/>
  <c r="BL254" i="10" s="1"/>
  <c r="BM247" i="10"/>
  <c r="BV247" i="10" s="1"/>
  <c r="BZ247" i="10" s="1"/>
  <c r="BI247" i="10"/>
  <c r="BK247" i="10" s="1"/>
  <c r="AQ247" i="10" s="1"/>
  <c r="ED170" i="10"/>
  <c r="EA170" i="10"/>
  <c r="DY588" i="10"/>
  <c r="BB40" i="10"/>
  <c r="BD40" i="10" s="1"/>
  <c r="BA119" i="10"/>
  <c r="BC119" i="10" s="1"/>
  <c r="BM31" i="10"/>
  <c r="BV31" i="10" s="1"/>
  <c r="BI31" i="10"/>
  <c r="BK31" i="10" s="1"/>
  <c r="BA145" i="10"/>
  <c r="BC145" i="10" s="1"/>
  <c r="AN145" i="10" s="1"/>
  <c r="BJ148" i="10"/>
  <c r="BL148" i="10" s="1"/>
  <c r="AQ148" i="10" s="1"/>
  <c r="BN148" i="10"/>
  <c r="BW148" i="10" s="1"/>
  <c r="CA148" i="10" s="1"/>
  <c r="BJ152" i="10"/>
  <c r="BL152" i="10" s="1"/>
  <c r="BN152" i="10"/>
  <c r="BW152" i="10" s="1"/>
  <c r="CA152" i="10" s="1"/>
  <c r="BN161" i="10"/>
  <c r="BW161" i="10" s="1"/>
  <c r="CA161" i="10" s="1"/>
  <c r="BJ161" i="10"/>
  <c r="BL161" i="10" s="1"/>
  <c r="BI167" i="10"/>
  <c r="BK167" i="10" s="1"/>
  <c r="AQ167" i="10" s="1"/>
  <c r="BM167" i="10"/>
  <c r="BV167" i="10" s="1"/>
  <c r="BZ167" i="10" s="1"/>
  <c r="BN178" i="10"/>
  <c r="BW178" i="10" s="1"/>
  <c r="CA178" i="10" s="1"/>
  <c r="BJ178" i="10"/>
  <c r="BL178" i="10" s="1"/>
  <c r="AQ178" i="10" s="1"/>
  <c r="BA184" i="10"/>
  <c r="BC184" i="10" s="1"/>
  <c r="BJ189" i="10"/>
  <c r="BL189" i="10" s="1"/>
  <c r="AQ189" i="10" s="1"/>
  <c r="BN189" i="10"/>
  <c r="BW189" i="10" s="1"/>
  <c r="CA189" i="10" s="1"/>
  <c r="BA299" i="10"/>
  <c r="BC299" i="10" s="1"/>
  <c r="BA464" i="10"/>
  <c r="BC464" i="10" s="1"/>
  <c r="AN464" i="10" s="1"/>
  <c r="BM484" i="10"/>
  <c r="BV484" i="10" s="1"/>
  <c r="BZ484" i="10" s="1"/>
  <c r="AN224" i="10"/>
  <c r="AW224" i="10"/>
  <c r="BM862" i="10"/>
  <c r="BV862" i="10" s="1"/>
  <c r="BI862" i="10"/>
  <c r="BK862" i="10" s="1"/>
  <c r="AQ862" i="10" s="1"/>
  <c r="BN851" i="10"/>
  <c r="BW851" i="10" s="1"/>
  <c r="CA851" i="10" s="1"/>
  <c r="BJ851" i="10"/>
  <c r="BL851" i="10" s="1"/>
  <c r="AQ851" i="10" s="1"/>
  <c r="BI850" i="10"/>
  <c r="BK850" i="10" s="1"/>
  <c r="BM850" i="10"/>
  <c r="BV850" i="10" s="1"/>
  <c r="BZ850" i="10" s="1"/>
  <c r="BM829" i="10"/>
  <c r="BV829" i="10" s="1"/>
  <c r="BZ829" i="10" s="1"/>
  <c r="BI829" i="10"/>
  <c r="BK829" i="10" s="1"/>
  <c r="BM827" i="10"/>
  <c r="BV827" i="10" s="1"/>
  <c r="BI827" i="10"/>
  <c r="BK827" i="10" s="1"/>
  <c r="BN821" i="10"/>
  <c r="BW821" i="10" s="1"/>
  <c r="CA821" i="10" s="1"/>
  <c r="BJ821" i="10"/>
  <c r="BL821" i="10" s="1"/>
  <c r="AQ821" i="10" s="1"/>
  <c r="BI812" i="10"/>
  <c r="BK812" i="10" s="1"/>
  <c r="BM812" i="10"/>
  <c r="BV812" i="10" s="1"/>
  <c r="BZ812" i="10" s="1"/>
  <c r="BJ616" i="10"/>
  <c r="BL616" i="10" s="1"/>
  <c r="BN616" i="10"/>
  <c r="BW616" i="10" s="1"/>
  <c r="CA616" i="10" s="1"/>
  <c r="AN607" i="10"/>
  <c r="AW607" i="10"/>
  <c r="BM472" i="10"/>
  <c r="BV472" i="10" s="1"/>
  <c r="BZ472" i="10" s="1"/>
  <c r="BI472" i="10"/>
  <c r="BK472" i="10" s="1"/>
  <c r="AQ472" i="10" s="1"/>
  <c r="BI361" i="10"/>
  <c r="BK361" i="10" s="1"/>
  <c r="AQ361" i="10" s="1"/>
  <c r="BM361" i="10"/>
  <c r="BV361" i="10" s="1"/>
  <c r="BZ361" i="10" s="1"/>
  <c r="BM360" i="10"/>
  <c r="BV360" i="10" s="1"/>
  <c r="BZ360" i="10" s="1"/>
  <c r="BI360" i="10"/>
  <c r="BK360" i="10" s="1"/>
  <c r="AQ360" i="10" s="1"/>
  <c r="BN263" i="10"/>
  <c r="BW263" i="10" s="1"/>
  <c r="CA263" i="10" s="1"/>
  <c r="BJ263" i="10"/>
  <c r="BL263" i="10" s="1"/>
  <c r="BI254" i="10"/>
  <c r="BK254" i="10" s="1"/>
  <c r="BM254" i="10"/>
  <c r="BV254" i="10" s="1"/>
  <c r="BZ254" i="10" s="1"/>
  <c r="DY190" i="10"/>
  <c r="DY40" i="10"/>
  <c r="DY214" i="10"/>
  <c r="BA86" i="10"/>
  <c r="BC86" i="10" s="1"/>
  <c r="BB166" i="10"/>
  <c r="BD166" i="10" s="1"/>
  <c r="BA158" i="10"/>
  <c r="BC158" i="10" s="1"/>
  <c r="BN135" i="10"/>
  <c r="BW135" i="10" s="1"/>
  <c r="CA135" i="10" s="1"/>
  <c r="BJ135" i="10"/>
  <c r="BL135" i="10" s="1"/>
  <c r="AQ135" i="10" s="1"/>
  <c r="BM145" i="10"/>
  <c r="BV145" i="10" s="1"/>
  <c r="BZ145" i="10" s="1"/>
  <c r="BI145" i="10"/>
  <c r="BK145" i="10" s="1"/>
  <c r="AN401" i="10"/>
  <c r="AW401" i="10"/>
  <c r="BA517" i="10"/>
  <c r="BC517" i="10" s="1"/>
  <c r="AN804" i="10"/>
  <c r="AW804" i="10"/>
  <c r="BN872" i="10"/>
  <c r="BW872" i="10" s="1"/>
  <c r="CA872" i="10" s="1"/>
  <c r="BJ872" i="10"/>
  <c r="BL872" i="10" s="1"/>
  <c r="AQ872" i="10" s="1"/>
  <c r="BI639" i="10"/>
  <c r="BK639" i="10" s="1"/>
  <c r="BM639" i="10"/>
  <c r="BV639" i="10" s="1"/>
  <c r="BZ639" i="10" s="1"/>
  <c r="BM629" i="10"/>
  <c r="BV629" i="10" s="1"/>
  <c r="BZ629" i="10" s="1"/>
  <c r="BI629" i="10"/>
  <c r="BK629" i="10" s="1"/>
  <c r="AQ629" i="10" s="1"/>
  <c r="BJ623" i="10"/>
  <c r="BL623" i="10" s="1"/>
  <c r="BN623" i="10"/>
  <c r="BW623" i="10" s="1"/>
  <c r="CA623" i="10" s="1"/>
  <c r="BI616" i="10"/>
  <c r="BK616" i="10" s="1"/>
  <c r="BM616" i="10"/>
  <c r="BV616" i="10" s="1"/>
  <c r="BZ616" i="10" s="1"/>
  <c r="BJ478" i="10"/>
  <c r="BL478" i="10" s="1"/>
  <c r="BN478" i="10"/>
  <c r="BW478" i="10" s="1"/>
  <c r="CA478" i="10" s="1"/>
  <c r="BI473" i="10"/>
  <c r="BK473" i="10" s="1"/>
  <c r="AQ473" i="10" s="1"/>
  <c r="BM473" i="10"/>
  <c r="BV473" i="10" s="1"/>
  <c r="BJ387" i="10"/>
  <c r="BL387" i="10" s="1"/>
  <c r="BN387" i="10"/>
  <c r="BW387" i="10" s="1"/>
  <c r="CA387" i="10" s="1"/>
  <c r="AN385" i="10"/>
  <c r="AW385" i="10"/>
  <c r="BJ369" i="10"/>
  <c r="BL369" i="10" s="1"/>
  <c r="BN369" i="10"/>
  <c r="BW369" i="10" s="1"/>
  <c r="CA369" i="10" s="1"/>
  <c r="BJ362" i="10"/>
  <c r="BL362" i="10" s="1"/>
  <c r="AQ362" i="10" s="1"/>
  <c r="BN362" i="10"/>
  <c r="BW362" i="10" s="1"/>
  <c r="CA362" i="10" s="1"/>
  <c r="AQ42" i="10"/>
  <c r="BM101" i="10"/>
  <c r="BV101" i="10" s="1"/>
  <c r="BZ101" i="10" s="1"/>
  <c r="AN289" i="10"/>
  <c r="AQ604" i="10"/>
  <c r="AQ301" i="10"/>
  <c r="AW739" i="10"/>
  <c r="AQ410" i="10"/>
  <c r="AW462" i="10"/>
  <c r="AW513" i="10"/>
  <c r="AQ658" i="10"/>
  <c r="AW795" i="10"/>
  <c r="AQ578" i="10"/>
  <c r="AW386" i="10"/>
  <c r="AW451" i="10"/>
  <c r="AN757" i="10"/>
  <c r="CA74" i="10"/>
  <c r="AQ522" i="10"/>
  <c r="AQ788" i="10"/>
  <c r="AQ483" i="10"/>
  <c r="BM43" i="10"/>
  <c r="BV43" i="10" s="1"/>
  <c r="BZ43" i="10" s="1"/>
  <c r="AQ556" i="10"/>
  <c r="AQ773" i="10"/>
  <c r="AW867" i="10"/>
  <c r="AQ294" i="10"/>
  <c r="AQ649" i="10"/>
  <c r="AQ568" i="10"/>
  <c r="CT876" i="10"/>
  <c r="CU876" i="10" s="1"/>
  <c r="CT873" i="10"/>
  <c r="CU873" i="10" s="1"/>
  <c r="CT870" i="10"/>
  <c r="CU870" i="10" s="1"/>
  <c r="CT867" i="10"/>
  <c r="CU867" i="10" s="1"/>
  <c r="CT864" i="10"/>
  <c r="CU864" i="10" s="1"/>
  <c r="CU878" i="10"/>
  <c r="CU875" i="10"/>
  <c r="CU872" i="10"/>
  <c r="CU869" i="10"/>
  <c r="CU866" i="10"/>
  <c r="CU860" i="10"/>
  <c r="CU857" i="10"/>
  <c r="CU854" i="10"/>
  <c r="CU851" i="10"/>
  <c r="CU848" i="10"/>
  <c r="CU845" i="10"/>
  <c r="CU842" i="10"/>
  <c r="CU839" i="10"/>
  <c r="CU836" i="10"/>
  <c r="CU833" i="10"/>
  <c r="CU830" i="10"/>
  <c r="CU824" i="10"/>
  <c r="CU821" i="10"/>
  <c r="CU818" i="10"/>
  <c r="CU877" i="10"/>
  <c r="CU874" i="10"/>
  <c r="CU871" i="10"/>
  <c r="CU868" i="10"/>
  <c r="CU865" i="10"/>
  <c r="CU862" i="10"/>
  <c r="CU859" i="10"/>
  <c r="CU856" i="10"/>
  <c r="CU853" i="10"/>
  <c r="CU850" i="10"/>
  <c r="CU847" i="10"/>
  <c r="CU844" i="10"/>
  <c r="CU841" i="10"/>
  <c r="CU838" i="10"/>
  <c r="CU835" i="10"/>
  <c r="CU832" i="10"/>
  <c r="CU829" i="10"/>
  <c r="CU826" i="10"/>
  <c r="CU823" i="10"/>
  <c r="CU820" i="10"/>
  <c r="CU817" i="10"/>
  <c r="CU814" i="10"/>
  <c r="CU811" i="10"/>
  <c r="CU808" i="10"/>
  <c r="CU805" i="10"/>
  <c r="CU802" i="10"/>
  <c r="CU799" i="10"/>
  <c r="CU796" i="10"/>
  <c r="CU793" i="10"/>
  <c r="CU790" i="10"/>
  <c r="CU787" i="10"/>
  <c r="CU784" i="10"/>
  <c r="CU781" i="10"/>
  <c r="CU778" i="10"/>
  <c r="CU775" i="10"/>
  <c r="CU772" i="10"/>
  <c r="CU769" i="10"/>
  <c r="CU766" i="10"/>
  <c r="CT861" i="10"/>
  <c r="CU861" i="10" s="1"/>
  <c r="CT858" i="10"/>
  <c r="CU858" i="10" s="1"/>
  <c r="CT855" i="10"/>
  <c r="CU855" i="10" s="1"/>
  <c r="CT852" i="10"/>
  <c r="CU852" i="10" s="1"/>
  <c r="CT849" i="10"/>
  <c r="CU849" i="10" s="1"/>
  <c r="CT846" i="10"/>
  <c r="CU846" i="10" s="1"/>
  <c r="CT843" i="10"/>
  <c r="CU843" i="10" s="1"/>
  <c r="CT840" i="10"/>
  <c r="CU840" i="10" s="1"/>
  <c r="CT837" i="10"/>
  <c r="CU837" i="10" s="1"/>
  <c r="CT834" i="10"/>
  <c r="CU834" i="10" s="1"/>
  <c r="CT831" i="10"/>
  <c r="CU831" i="10" s="1"/>
  <c r="CT828" i="10"/>
  <c r="CU828" i="10" s="1"/>
  <c r="CT825" i="10"/>
  <c r="CU825" i="10" s="1"/>
  <c r="CT822" i="10"/>
  <c r="CU822" i="10" s="1"/>
  <c r="CT819" i="10"/>
  <c r="CU819" i="10" s="1"/>
  <c r="CT816" i="10"/>
  <c r="CU816" i="10" s="1"/>
  <c r="CT813" i="10"/>
  <c r="CU813" i="10" s="1"/>
  <c r="CT810" i="10"/>
  <c r="CU810" i="10" s="1"/>
  <c r="CT807" i="10"/>
  <c r="CU807" i="10" s="1"/>
  <c r="CT804" i="10"/>
  <c r="CU804" i="10" s="1"/>
  <c r="CT801" i="10"/>
  <c r="CU801" i="10" s="1"/>
  <c r="CT798" i="10"/>
  <c r="CU798" i="10" s="1"/>
  <c r="CT795" i="10"/>
  <c r="CU795" i="10" s="1"/>
  <c r="CT792" i="10"/>
  <c r="CU792" i="10" s="1"/>
  <c r="CT789" i="10"/>
  <c r="CU789" i="10" s="1"/>
  <c r="CT786" i="10"/>
  <c r="CU786" i="10" s="1"/>
  <c r="CT783" i="10"/>
  <c r="CU783" i="10" s="1"/>
  <c r="CT780" i="10"/>
  <c r="CU780" i="10" s="1"/>
  <c r="CT777" i="10"/>
  <c r="CU777" i="10" s="1"/>
  <c r="CT774" i="10"/>
  <c r="CU774" i="10" s="1"/>
  <c r="CT771" i="10"/>
  <c r="CU771" i="10" s="1"/>
  <c r="CT768" i="10"/>
  <c r="CU768" i="10" s="1"/>
  <c r="CT765" i="10"/>
  <c r="CU765" i="10" s="1"/>
  <c r="CT762" i="10"/>
  <c r="CU762" i="10" s="1"/>
  <c r="CT759" i="10"/>
  <c r="CU759" i="10" s="1"/>
  <c r="CT756" i="10"/>
  <c r="CU756" i="10" s="1"/>
  <c r="CT753" i="10"/>
  <c r="CU753" i="10" s="1"/>
  <c r="CT750" i="10"/>
  <c r="CT747" i="10"/>
  <c r="CT744" i="10"/>
  <c r="CU744" i="10" s="1"/>
  <c r="CT741" i="10"/>
  <c r="CU741" i="10" s="1"/>
  <c r="CT738" i="10"/>
  <c r="CU738" i="10" s="1"/>
  <c r="CT735" i="10"/>
  <c r="CU735" i="10" s="1"/>
  <c r="CT732" i="10"/>
  <c r="CU732" i="10" s="1"/>
  <c r="CT729" i="10"/>
  <c r="CU729" i="10" s="1"/>
  <c r="CT726" i="10"/>
  <c r="CU726" i="10" s="1"/>
  <c r="CT723" i="10"/>
  <c r="CU723" i="10" s="1"/>
  <c r="CT720" i="10"/>
  <c r="CU720" i="10" s="1"/>
  <c r="CT717" i="10"/>
  <c r="CU717" i="10" s="1"/>
  <c r="CT714" i="10"/>
  <c r="CU714" i="10" s="1"/>
  <c r="CT711" i="10"/>
  <c r="CU711" i="10" s="1"/>
  <c r="CT708" i="10"/>
  <c r="CU708" i="10" s="1"/>
  <c r="CT705" i="10"/>
  <c r="CU705" i="10" s="1"/>
  <c r="CT702" i="10"/>
  <c r="CU702" i="10" s="1"/>
  <c r="CT699" i="10"/>
  <c r="CU699" i="10" s="1"/>
  <c r="CT696" i="10"/>
  <c r="CU696" i="10" s="1"/>
  <c r="CT693" i="10"/>
  <c r="CU693" i="10" s="1"/>
  <c r="CT690" i="10"/>
  <c r="CU690" i="10" s="1"/>
  <c r="CT687" i="10"/>
  <c r="CU687" i="10" s="1"/>
  <c r="CT684" i="10"/>
  <c r="CT681" i="10"/>
  <c r="CU681" i="10" s="1"/>
  <c r="CT678" i="10"/>
  <c r="CT675" i="10"/>
  <c r="CU675" i="10" s="1"/>
  <c r="CT672" i="10"/>
  <c r="CU672" i="10" s="1"/>
  <c r="CT669" i="10"/>
  <c r="CU669" i="10" s="1"/>
  <c r="CT666" i="10"/>
  <c r="CU666" i="10" s="1"/>
  <c r="CT663" i="10"/>
  <c r="CU663" i="10" s="1"/>
  <c r="CT660" i="10"/>
  <c r="CU660" i="10" s="1"/>
  <c r="CT657" i="10"/>
  <c r="CU657" i="10" s="1"/>
  <c r="CT654" i="10"/>
  <c r="CU654" i="10" s="1"/>
  <c r="CT651" i="10"/>
  <c r="CT648" i="10"/>
  <c r="CT645" i="10"/>
  <c r="CU645" i="10" s="1"/>
  <c r="CT642" i="10"/>
  <c r="CT639" i="10"/>
  <c r="CU639" i="10" s="1"/>
  <c r="CT636" i="10"/>
  <c r="CU636" i="10" s="1"/>
  <c r="CT633" i="10"/>
  <c r="CU633" i="10" s="1"/>
  <c r="CT630" i="10"/>
  <c r="CU630" i="10" s="1"/>
  <c r="CT627" i="10"/>
  <c r="CU627" i="10" s="1"/>
  <c r="CT624" i="10"/>
  <c r="CU624" i="10" s="1"/>
  <c r="CT621" i="10"/>
  <c r="CU621" i="10" s="1"/>
  <c r="CT618" i="10"/>
  <c r="CU618" i="10" s="1"/>
  <c r="CT615" i="10"/>
  <c r="CU615" i="10" s="1"/>
  <c r="CT612" i="10"/>
  <c r="CU612" i="10" s="1"/>
  <c r="CT609" i="10"/>
  <c r="CU609" i="10" s="1"/>
  <c r="CU815" i="10"/>
  <c r="CU812" i="10"/>
  <c r="CU809" i="10"/>
  <c r="CU806" i="10"/>
  <c r="CU803" i="10"/>
  <c r="CU800" i="10"/>
  <c r="CU797" i="10"/>
  <c r="CU794" i="10"/>
  <c r="CU791" i="10"/>
  <c r="CU788" i="10"/>
  <c r="CU785" i="10"/>
  <c r="CU782" i="10"/>
  <c r="CU779" i="10"/>
  <c r="CU776" i="10"/>
  <c r="CU773" i="10"/>
  <c r="CU770" i="10"/>
  <c r="CU767" i="10"/>
  <c r="CU764" i="10"/>
  <c r="CU761" i="10"/>
  <c r="CU758" i="10"/>
  <c r="CU755" i="10"/>
  <c r="CU752" i="10"/>
  <c r="CU749" i="10"/>
  <c r="CU746" i="10"/>
  <c r="CU743" i="10"/>
  <c r="CU740" i="10"/>
  <c r="CU737" i="10"/>
  <c r="CU734" i="10"/>
  <c r="CU731" i="10"/>
  <c r="CU728" i="10"/>
  <c r="CU725" i="10"/>
  <c r="CU722" i="10"/>
  <c r="CU719" i="10"/>
  <c r="CU716" i="10"/>
  <c r="CU713" i="10"/>
  <c r="CU710" i="10"/>
  <c r="CU707" i="10"/>
  <c r="CU704" i="10"/>
  <c r="CU701" i="10"/>
  <c r="CU698" i="10"/>
  <c r="CU695" i="10"/>
  <c r="CU692" i="10"/>
  <c r="CU689" i="10"/>
  <c r="CU686" i="10"/>
  <c r="CU683" i="10"/>
  <c r="CU680" i="10"/>
  <c r="CU677" i="10"/>
  <c r="CU674" i="10"/>
  <c r="CU671" i="10"/>
  <c r="CU668" i="10"/>
  <c r="CU665" i="10"/>
  <c r="CU662" i="10"/>
  <c r="CU659" i="10"/>
  <c r="CU656" i="10"/>
  <c r="CU653" i="10"/>
  <c r="CU650" i="10"/>
  <c r="CU647" i="10"/>
  <c r="CU644" i="10"/>
  <c r="CU641" i="10"/>
  <c r="CU638" i="10"/>
  <c r="CU635" i="10"/>
  <c r="CU632" i="10"/>
  <c r="CU629" i="10"/>
  <c r="CU626" i="10"/>
  <c r="CU623" i="10"/>
  <c r="CU620" i="10"/>
  <c r="CU617" i="10"/>
  <c r="CU614" i="10"/>
  <c r="CU611" i="10"/>
  <c r="CU608" i="10"/>
  <c r="CU605" i="10"/>
  <c r="CU602" i="10"/>
  <c r="CU599" i="10"/>
  <c r="CU596" i="10"/>
  <c r="CU590" i="10"/>
  <c r="CU587" i="10"/>
  <c r="CU584" i="10"/>
  <c r="CU581" i="10"/>
  <c r="CU578" i="10"/>
  <c r="CU575" i="10"/>
  <c r="CU572" i="10"/>
  <c r="CU569" i="10"/>
  <c r="CU566" i="10"/>
  <c r="CU563" i="10"/>
  <c r="CU560" i="10"/>
  <c r="CU557" i="10"/>
  <c r="CU554" i="10"/>
  <c r="CU551" i="10"/>
  <c r="CU548" i="10"/>
  <c r="CU545" i="10"/>
  <c r="CU542" i="10"/>
  <c r="CU539" i="10"/>
  <c r="CU530" i="10"/>
  <c r="CU527" i="10"/>
  <c r="CU524" i="10"/>
  <c r="CU521" i="10"/>
  <c r="CU518" i="10"/>
  <c r="CU512" i="10"/>
  <c r="CU509" i="10"/>
  <c r="CU506" i="10"/>
  <c r="CU503" i="10"/>
  <c r="CU500" i="10"/>
  <c r="CU497" i="10"/>
  <c r="CU494" i="10"/>
  <c r="CU491" i="10"/>
  <c r="CU488" i="10"/>
  <c r="CU482" i="10"/>
  <c r="CU479" i="10"/>
  <c r="CU476" i="10"/>
  <c r="CU473" i="10"/>
  <c r="CU470" i="10"/>
  <c r="CU467" i="10"/>
  <c r="CU464" i="10"/>
  <c r="CU461" i="10"/>
  <c r="CU458" i="10"/>
  <c r="CU455" i="10"/>
  <c r="CU452" i="10"/>
  <c r="CU449" i="10"/>
  <c r="CU446" i="10"/>
  <c r="CU443" i="10"/>
  <c r="CU440" i="10"/>
  <c r="CU437" i="10"/>
  <c r="CU434" i="10"/>
  <c r="CU431" i="10"/>
  <c r="CU428" i="10"/>
  <c r="CU425" i="10"/>
  <c r="CU419" i="10"/>
  <c r="CU416" i="10"/>
  <c r="CU413" i="10"/>
  <c r="CU410" i="10"/>
  <c r="CU407" i="10"/>
  <c r="CU404" i="10"/>
  <c r="CU401" i="10"/>
  <c r="CU398" i="10"/>
  <c r="CU395" i="10"/>
  <c r="CU392" i="10"/>
  <c r="CU389" i="10"/>
  <c r="CU386" i="10"/>
  <c r="CU383" i="10"/>
  <c r="CU374" i="10"/>
  <c r="CU371" i="10"/>
  <c r="CU368" i="10"/>
  <c r="CU365" i="10"/>
  <c r="CU362" i="10"/>
  <c r="CU359" i="10"/>
  <c r="CU356" i="10"/>
  <c r="CU353" i="10"/>
  <c r="CU350" i="10"/>
  <c r="CU347" i="10"/>
  <c r="CU344" i="10"/>
  <c r="CU341" i="10"/>
  <c r="CU338" i="10"/>
  <c r="CU302" i="10"/>
  <c r="CU266" i="10"/>
  <c r="CU305" i="10"/>
  <c r="CU269" i="10"/>
  <c r="CU272" i="10"/>
  <c r="CU275" i="10"/>
  <c r="CU239" i="10"/>
  <c r="CU763" i="10"/>
  <c r="CU760" i="10"/>
  <c r="CU757" i="10"/>
  <c r="CU754" i="10"/>
  <c r="CU751" i="10"/>
  <c r="CU748" i="10"/>
  <c r="CU745" i="10"/>
  <c r="CU742" i="10"/>
  <c r="CU739" i="10"/>
  <c r="CU736" i="10"/>
  <c r="CU733" i="10"/>
  <c r="CU730" i="10"/>
  <c r="CU727" i="10"/>
  <c r="CU724" i="10"/>
  <c r="CU721" i="10"/>
  <c r="CU718" i="10"/>
  <c r="CU715" i="10"/>
  <c r="CU712" i="10"/>
  <c r="CU709" i="10"/>
  <c r="CU706" i="10"/>
  <c r="CU703" i="10"/>
  <c r="CU700" i="10"/>
  <c r="CU697" i="10"/>
  <c r="CU694" i="10"/>
  <c r="CU688" i="10"/>
  <c r="CU685" i="10"/>
  <c r="CU682" i="10"/>
  <c r="CU679" i="10"/>
  <c r="CU676" i="10"/>
  <c r="CU673" i="10"/>
  <c r="CU670" i="10"/>
  <c r="CU667" i="10"/>
  <c r="CU664" i="10"/>
  <c r="CU661" i="10"/>
  <c r="CU658" i="10"/>
  <c r="CU655" i="10"/>
  <c r="CU652" i="10"/>
  <c r="CU649" i="10"/>
  <c r="CU646" i="10"/>
  <c r="CU643" i="10"/>
  <c r="CU640" i="10"/>
  <c r="CU637" i="10"/>
  <c r="CU634" i="10"/>
  <c r="CU631" i="10"/>
  <c r="CU628" i="10"/>
  <c r="CU625" i="10"/>
  <c r="CU619" i="10"/>
  <c r="CU616" i="10"/>
  <c r="CU613" i="10"/>
  <c r="CU610" i="10"/>
  <c r="CU607" i="10"/>
  <c r="CU604" i="10"/>
  <c r="CU601" i="10"/>
  <c r="CU598" i="10"/>
  <c r="CU595" i="10"/>
  <c r="CU592" i="10"/>
  <c r="CU589" i="10"/>
  <c r="CU583" i="10"/>
  <c r="CU580" i="10"/>
  <c r="CU577" i="10"/>
  <c r="CU574" i="10"/>
  <c r="CU571" i="10"/>
  <c r="CU568" i="10"/>
  <c r="CU562" i="10"/>
  <c r="CU559" i="10"/>
  <c r="CU556" i="10"/>
  <c r="CU553" i="10"/>
  <c r="CU550" i="10"/>
  <c r="CU547" i="10"/>
  <c r="CU544" i="10"/>
  <c r="CU541" i="10"/>
  <c r="CU538" i="10"/>
  <c r="CU535" i="10"/>
  <c r="CU532" i="10"/>
  <c r="CU526" i="10"/>
  <c r="CU523" i="10"/>
  <c r="CU520" i="10"/>
  <c r="CU517" i="10"/>
  <c r="CU514" i="10"/>
  <c r="CU511" i="10"/>
  <c r="CU508" i="10"/>
  <c r="CU505" i="10"/>
  <c r="CU502" i="10"/>
  <c r="CU499" i="10"/>
  <c r="CU496" i="10"/>
  <c r="CU490" i="10"/>
  <c r="CU487" i="10"/>
  <c r="CU484" i="10"/>
  <c r="CU481" i="10"/>
  <c r="CU478" i="10"/>
  <c r="CU475" i="10"/>
  <c r="CU472" i="10"/>
  <c r="CU469" i="10"/>
  <c r="CU466" i="10"/>
  <c r="CU463" i="10"/>
  <c r="CU460" i="10"/>
  <c r="CU457" i="10"/>
  <c r="CU454" i="10"/>
  <c r="CU451" i="10"/>
  <c r="CU448" i="10"/>
  <c r="CU445" i="10"/>
  <c r="CU442" i="10"/>
  <c r="CU439" i="10"/>
  <c r="CU436" i="10"/>
  <c r="CU433" i="10"/>
  <c r="CU430" i="10"/>
  <c r="CU427" i="10"/>
  <c r="CU424" i="10"/>
  <c r="CU421" i="10"/>
  <c r="CU418" i="10"/>
  <c r="CU415" i="10"/>
  <c r="CU412" i="10"/>
  <c r="CU409" i="10"/>
  <c r="CU406" i="10"/>
  <c r="CU403" i="10"/>
  <c r="CU400" i="10"/>
  <c r="CU397" i="10"/>
  <c r="CU394" i="10"/>
  <c r="CU391" i="10"/>
  <c r="CU388" i="10"/>
  <c r="CU385" i="10"/>
  <c r="CU382" i="10"/>
  <c r="CU373" i="10"/>
  <c r="CU367" i="10"/>
  <c r="CU364" i="10"/>
  <c r="CU361" i="10"/>
  <c r="CU358" i="10"/>
  <c r="CU323" i="10"/>
  <c r="CU251" i="10"/>
  <c r="CU750" i="10"/>
  <c r="CU747" i="10"/>
  <c r="CU684" i="10"/>
  <c r="CU678" i="10"/>
  <c r="CU651" i="10"/>
  <c r="CU648" i="10"/>
  <c r="CU642" i="10"/>
  <c r="CT606" i="10"/>
  <c r="CU606" i="10" s="1"/>
  <c r="CT603" i="10"/>
  <c r="CU603" i="10" s="1"/>
  <c r="CT600" i="10"/>
  <c r="CU600" i="10" s="1"/>
  <c r="CT597" i="10"/>
  <c r="CU597" i="10" s="1"/>
  <c r="CT594" i="10"/>
  <c r="CU594" i="10" s="1"/>
  <c r="CT591" i="10"/>
  <c r="CU591" i="10" s="1"/>
  <c r="CT588" i="10"/>
  <c r="CU588" i="10" s="1"/>
  <c r="CT585" i="10"/>
  <c r="CU585" i="10" s="1"/>
  <c r="CT582" i="10"/>
  <c r="CU582" i="10" s="1"/>
  <c r="CT579" i="10"/>
  <c r="CU579" i="10" s="1"/>
  <c r="CT576" i="10"/>
  <c r="CU576" i="10" s="1"/>
  <c r="CT573" i="10"/>
  <c r="CU573" i="10" s="1"/>
  <c r="CT570" i="10"/>
  <c r="CU570" i="10" s="1"/>
  <c r="CT567" i="10"/>
  <c r="CU567" i="10" s="1"/>
  <c r="CT564" i="10"/>
  <c r="CU564" i="10" s="1"/>
  <c r="CT561" i="10"/>
  <c r="CU561" i="10" s="1"/>
  <c r="CT558" i="10"/>
  <c r="CU558" i="10" s="1"/>
  <c r="CT555" i="10"/>
  <c r="CU555" i="10" s="1"/>
  <c r="CT552" i="10"/>
  <c r="CU552" i="10" s="1"/>
  <c r="CT549" i="10"/>
  <c r="CU549" i="10" s="1"/>
  <c r="CT546" i="10"/>
  <c r="CU546" i="10" s="1"/>
  <c r="CT543" i="10"/>
  <c r="CU543" i="10" s="1"/>
  <c r="CT540" i="10"/>
  <c r="CU540" i="10" s="1"/>
  <c r="CT537" i="10"/>
  <c r="CU537" i="10" s="1"/>
  <c r="CT534" i="10"/>
  <c r="CU534" i="10" s="1"/>
  <c r="CT531" i="10"/>
  <c r="CU531" i="10" s="1"/>
  <c r="CT528" i="10"/>
  <c r="CU528" i="10" s="1"/>
  <c r="CT525" i="10"/>
  <c r="CU525" i="10" s="1"/>
  <c r="CT522" i="10"/>
  <c r="CU522" i="10" s="1"/>
  <c r="CT519" i="10"/>
  <c r="CU519" i="10" s="1"/>
  <c r="CT516" i="10"/>
  <c r="CU516" i="10" s="1"/>
  <c r="CT513" i="10"/>
  <c r="CU513" i="10" s="1"/>
  <c r="CT510" i="10"/>
  <c r="CU510" i="10" s="1"/>
  <c r="CT507" i="10"/>
  <c r="CU507" i="10" s="1"/>
  <c r="CT504" i="10"/>
  <c r="CU504" i="10" s="1"/>
  <c r="CT501" i="10"/>
  <c r="CU501" i="10" s="1"/>
  <c r="CT498" i="10"/>
  <c r="CU498" i="10" s="1"/>
  <c r="CT495" i="10"/>
  <c r="CU495" i="10" s="1"/>
  <c r="CT492" i="10"/>
  <c r="CU492" i="10" s="1"/>
  <c r="CT489" i="10"/>
  <c r="CU489" i="10" s="1"/>
  <c r="CT486" i="10"/>
  <c r="CU486" i="10" s="1"/>
  <c r="CT483" i="10"/>
  <c r="CU483" i="10" s="1"/>
  <c r="CT480" i="10"/>
  <c r="CU480" i="10" s="1"/>
  <c r="CT477" i="10"/>
  <c r="CU477" i="10" s="1"/>
  <c r="CT474" i="10"/>
  <c r="CU474" i="10" s="1"/>
  <c r="CT471" i="10"/>
  <c r="CU471" i="10" s="1"/>
  <c r="CT468" i="10"/>
  <c r="CU468" i="10" s="1"/>
  <c r="CT465" i="10"/>
  <c r="CU465" i="10" s="1"/>
  <c r="CT462" i="10"/>
  <c r="CU462" i="10" s="1"/>
  <c r="CT459" i="10"/>
  <c r="CU459" i="10" s="1"/>
  <c r="CT456" i="10"/>
  <c r="CU456" i="10" s="1"/>
  <c r="CT453" i="10"/>
  <c r="CU453" i="10" s="1"/>
  <c r="CT450" i="10"/>
  <c r="CU450" i="10" s="1"/>
  <c r="CT447" i="10"/>
  <c r="CU447" i="10" s="1"/>
  <c r="CT444" i="10"/>
  <c r="CU444" i="10" s="1"/>
  <c r="CT441" i="10"/>
  <c r="CU441" i="10" s="1"/>
  <c r="CT438" i="10"/>
  <c r="CU438" i="10" s="1"/>
  <c r="CT435" i="10"/>
  <c r="CU435" i="10" s="1"/>
  <c r="CT432" i="10"/>
  <c r="CU432" i="10" s="1"/>
  <c r="CU329" i="10"/>
  <c r="CU293" i="10"/>
  <c r="CU257" i="10"/>
  <c r="CT161" i="10"/>
  <c r="CU161" i="10" s="1"/>
  <c r="CT158" i="10"/>
  <c r="CU158" i="10" s="1"/>
  <c r="CT155" i="10"/>
  <c r="CU155" i="10" s="1"/>
  <c r="CT152" i="10"/>
  <c r="CU152" i="10" s="1"/>
  <c r="CT149" i="10"/>
  <c r="CU149" i="10" s="1"/>
  <c r="CT146" i="10"/>
  <c r="CU146" i="10" s="1"/>
  <c r="CT143" i="10"/>
  <c r="CU143" i="10" s="1"/>
  <c r="CT140" i="10"/>
  <c r="CU140" i="10" s="1"/>
  <c r="CT137" i="10"/>
  <c r="CU137" i="10" s="1"/>
  <c r="CT134" i="10"/>
  <c r="CU134" i="10" s="1"/>
  <c r="CT131" i="10"/>
  <c r="CU131" i="10" s="1"/>
  <c r="CT128" i="10"/>
  <c r="CU128" i="10" s="1"/>
  <c r="CT125" i="10"/>
  <c r="CU125" i="10" s="1"/>
  <c r="CT122" i="10"/>
  <c r="CU122" i="10" s="1"/>
  <c r="CT119" i="10"/>
  <c r="CU119" i="10" s="1"/>
  <c r="CT116" i="10"/>
  <c r="CU116" i="10" s="1"/>
  <c r="CT113" i="10"/>
  <c r="CU113" i="10" s="1"/>
  <c r="CT110" i="10"/>
  <c r="CU110" i="10" s="1"/>
  <c r="CT107" i="10"/>
  <c r="CU107" i="10" s="1"/>
  <c r="CT104" i="10"/>
  <c r="CT88" i="10"/>
  <c r="CU88" i="10" s="1"/>
  <c r="CU82" i="10"/>
  <c r="CT52" i="10"/>
  <c r="CU52" i="10" s="1"/>
  <c r="CU85" i="10"/>
  <c r="CU49" i="10"/>
  <c r="CT94" i="10"/>
  <c r="CU94" i="10" s="1"/>
  <c r="CT58" i="10"/>
  <c r="CU58" i="10" s="1"/>
  <c r="CU355" i="10"/>
  <c r="CU352" i="10"/>
  <c r="CU349" i="10"/>
  <c r="CU343" i="10"/>
  <c r="CU337" i="10"/>
  <c r="CU334" i="10"/>
  <c r="CU331" i="10"/>
  <c r="CU328" i="10"/>
  <c r="CU322" i="10"/>
  <c r="CU316" i="10"/>
  <c r="CU313" i="10"/>
  <c r="CU310" i="10"/>
  <c r="CU307" i="10"/>
  <c r="CU304" i="10"/>
  <c r="CU301" i="10"/>
  <c r="CU298" i="10"/>
  <c r="CU295" i="10"/>
  <c r="CU292" i="10"/>
  <c r="CU289" i="10"/>
  <c r="CU286" i="10"/>
  <c r="CU283" i="10"/>
  <c r="CU280" i="10"/>
  <c r="CU277" i="10"/>
  <c r="CU274" i="10"/>
  <c r="CU268" i="10"/>
  <c r="CU265" i="10"/>
  <c r="CU262" i="10"/>
  <c r="CU259" i="10"/>
  <c r="CU253" i="10"/>
  <c r="CU250" i="10"/>
  <c r="CU247" i="10"/>
  <c r="CU244" i="10"/>
  <c r="CU241" i="10"/>
  <c r="CU238" i="10"/>
  <c r="CU235" i="10"/>
  <c r="CU232" i="10"/>
  <c r="CU229" i="10"/>
  <c r="CU226" i="10"/>
  <c r="CU223" i="10"/>
  <c r="CU220" i="10"/>
  <c r="CU217" i="10"/>
  <c r="CU214" i="10"/>
  <c r="CU211" i="10"/>
  <c r="CU208" i="10"/>
  <c r="CU205" i="10"/>
  <c r="CU202" i="10"/>
  <c r="CU199" i="10"/>
  <c r="CU196" i="10"/>
  <c r="CU193" i="10"/>
  <c r="CU190" i="10"/>
  <c r="CU187" i="10"/>
  <c r="CU184" i="10"/>
  <c r="CU178" i="10"/>
  <c r="CU172" i="10"/>
  <c r="CU169" i="10"/>
  <c r="CU166" i="10"/>
  <c r="CU163" i="10"/>
  <c r="CU157" i="10"/>
  <c r="CU154" i="10"/>
  <c r="CU151" i="10"/>
  <c r="CU148" i="10"/>
  <c r="CU145" i="10"/>
  <c r="CU142" i="10"/>
  <c r="CU139" i="10"/>
  <c r="CU136" i="10"/>
  <c r="CU130" i="10"/>
  <c r="CU127" i="10"/>
  <c r="CU121" i="10"/>
  <c r="CU118" i="10"/>
  <c r="CU115" i="10"/>
  <c r="CU112" i="10"/>
  <c r="CU106" i="10"/>
  <c r="CU100" i="10"/>
  <c r="CU91" i="10"/>
  <c r="CT67" i="10"/>
  <c r="CU61" i="10"/>
  <c r="CT31" i="10"/>
  <c r="CU31" i="10" s="1"/>
  <c r="CU28" i="10"/>
  <c r="DC875" i="10"/>
  <c r="CT420" i="10"/>
  <c r="CU420" i="10" s="1"/>
  <c r="CT417" i="10"/>
  <c r="CU417" i="10" s="1"/>
  <c r="CT414" i="10"/>
  <c r="CU414" i="10" s="1"/>
  <c r="CT411" i="10"/>
  <c r="CU411" i="10" s="1"/>
  <c r="CT408" i="10"/>
  <c r="CU408" i="10" s="1"/>
  <c r="CT405" i="10"/>
  <c r="CU405" i="10" s="1"/>
  <c r="CT402" i="10"/>
  <c r="CU402" i="10" s="1"/>
  <c r="CT399" i="10"/>
  <c r="CU399" i="10" s="1"/>
  <c r="CT396" i="10"/>
  <c r="CU396" i="10" s="1"/>
  <c r="CT393" i="10"/>
  <c r="CU393" i="10" s="1"/>
  <c r="CT390" i="10"/>
  <c r="CU390" i="10" s="1"/>
  <c r="CT387" i="10"/>
  <c r="CU387" i="10" s="1"/>
  <c r="CT384" i="10"/>
  <c r="CU384" i="10" s="1"/>
  <c r="CT381" i="10"/>
  <c r="CU381" i="10" s="1"/>
  <c r="CT378" i="10"/>
  <c r="CU378" i="10" s="1"/>
  <c r="CT375" i="10"/>
  <c r="CU375" i="10" s="1"/>
  <c r="CT372" i="10"/>
  <c r="CU372" i="10" s="1"/>
  <c r="CT369" i="10"/>
  <c r="CU369" i="10" s="1"/>
  <c r="CT366" i="10"/>
  <c r="CU366" i="10" s="1"/>
  <c r="CT363" i="10"/>
  <c r="CU363" i="10" s="1"/>
  <c r="CT360" i="10"/>
  <c r="CU360" i="10" s="1"/>
  <c r="CT357" i="10"/>
  <c r="CU357" i="10" s="1"/>
  <c r="CT354" i="10"/>
  <c r="CU354" i="10" s="1"/>
  <c r="CT351" i="10"/>
  <c r="CU351" i="10" s="1"/>
  <c r="CT348" i="10"/>
  <c r="CU348" i="10" s="1"/>
  <c r="CT345" i="10"/>
  <c r="CU345" i="10" s="1"/>
  <c r="CT342" i="10"/>
  <c r="CU342" i="10" s="1"/>
  <c r="CT339" i="10"/>
  <c r="CU339" i="10" s="1"/>
  <c r="CT336" i="10"/>
  <c r="CU336" i="10" s="1"/>
  <c r="CT333" i="10"/>
  <c r="CU333" i="10" s="1"/>
  <c r="CT330" i="10"/>
  <c r="CU330" i="10" s="1"/>
  <c r="CT327" i="10"/>
  <c r="CU327" i="10" s="1"/>
  <c r="CT324" i="10"/>
  <c r="CU324" i="10" s="1"/>
  <c r="CT321" i="10"/>
  <c r="CU321" i="10" s="1"/>
  <c r="CT318" i="10"/>
  <c r="CU318" i="10" s="1"/>
  <c r="CT315" i="10"/>
  <c r="CU315" i="10" s="1"/>
  <c r="CT312" i="10"/>
  <c r="CU312" i="10" s="1"/>
  <c r="CT309" i="10"/>
  <c r="CU309" i="10" s="1"/>
  <c r="CT306" i="10"/>
  <c r="CU306" i="10" s="1"/>
  <c r="CT76" i="10"/>
  <c r="CU76" i="10" s="1"/>
  <c r="CU70" i="10"/>
  <c r="CT40" i="10"/>
  <c r="CU40" i="10" s="1"/>
  <c r="CT79" i="10"/>
  <c r="CU79" i="10" s="1"/>
  <c r="CT43" i="10"/>
  <c r="CU43" i="10" s="1"/>
  <c r="CT101" i="10"/>
  <c r="CU101" i="10" s="1"/>
  <c r="CT98" i="10"/>
  <c r="CU98" i="10" s="1"/>
  <c r="CT95" i="10"/>
  <c r="CU95" i="10" s="1"/>
  <c r="CT92" i="10"/>
  <c r="CU92" i="10" s="1"/>
  <c r="CT89" i="10"/>
  <c r="CU89" i="10" s="1"/>
  <c r="CT86" i="10"/>
  <c r="CU86" i="10" s="1"/>
  <c r="CT83" i="10"/>
  <c r="CU83" i="10" s="1"/>
  <c r="CT80" i="10"/>
  <c r="CU80" i="10" s="1"/>
  <c r="CT77" i="10"/>
  <c r="CU77" i="10" s="1"/>
  <c r="CT74" i="10"/>
  <c r="CU74" i="10" s="1"/>
  <c r="CT71" i="10"/>
  <c r="CU71" i="10" s="1"/>
  <c r="CT68" i="10"/>
  <c r="CU68" i="10" s="1"/>
  <c r="CT65" i="10"/>
  <c r="CU65" i="10" s="1"/>
  <c r="CT62" i="10"/>
  <c r="CU62" i="10" s="1"/>
  <c r="CT59" i="10"/>
  <c r="CU59" i="10" s="1"/>
  <c r="CT56" i="10"/>
  <c r="CU56" i="10" s="1"/>
  <c r="CT53" i="10"/>
  <c r="CU53" i="10" s="1"/>
  <c r="CT50" i="10"/>
  <c r="CU50" i="10" s="1"/>
  <c r="CT47" i="10"/>
  <c r="CU47" i="10" s="1"/>
  <c r="CT44" i="10"/>
  <c r="CU44" i="10" s="1"/>
  <c r="CT41" i="10"/>
  <c r="CU41" i="10" s="1"/>
  <c r="CT38" i="10"/>
  <c r="CU38" i="10" s="1"/>
  <c r="CT35" i="10"/>
  <c r="CU35" i="10" s="1"/>
  <c r="CT32" i="10"/>
  <c r="CU32" i="10" s="1"/>
  <c r="CT29" i="10"/>
  <c r="CU29" i="10" s="1"/>
  <c r="DA877" i="10"/>
  <c r="DC877" i="10" s="1"/>
  <c r="DC873" i="10"/>
  <c r="DA865" i="10"/>
  <c r="DC865" i="10" s="1"/>
  <c r="DC861" i="10"/>
  <c r="DC857" i="10"/>
  <c r="DA853" i="10"/>
  <c r="DC853" i="10" s="1"/>
  <c r="DC849" i="10"/>
  <c r="DC845" i="10"/>
  <c r="DA841" i="10"/>
  <c r="DC841" i="10" s="1"/>
  <c r="DC837" i="10"/>
  <c r="DA829" i="10"/>
  <c r="DC825" i="10"/>
  <c r="DA817" i="10"/>
  <c r="DC817" i="10" s="1"/>
  <c r="DC813" i="10"/>
  <c r="DC809" i="10"/>
  <c r="DA805" i="10"/>
  <c r="DC801" i="10"/>
  <c r="DA793" i="10"/>
  <c r="DC793" i="10" s="1"/>
  <c r="DC789" i="10"/>
  <c r="DC785" i="10"/>
  <c r="DA781" i="10"/>
  <c r="DC781" i="10" s="1"/>
  <c r="DC777" i="10"/>
  <c r="DC773" i="10"/>
  <c r="DA769" i="10"/>
  <c r="DC769" i="10" s="1"/>
  <c r="DC765" i="10"/>
  <c r="DA757" i="10"/>
  <c r="DC753" i="10"/>
  <c r="DA745" i="10"/>
  <c r="DC745" i="10" s="1"/>
  <c r="DC741" i="10"/>
  <c r="DC737" i="10"/>
  <c r="DA733" i="10"/>
  <c r="DC733" i="10" s="1"/>
  <c r="DC729" i="10"/>
  <c r="DC725" i="10"/>
  <c r="DA721" i="10"/>
  <c r="DC721" i="10" s="1"/>
  <c r="DC717" i="10"/>
  <c r="DC876" i="10"/>
  <c r="DC872" i="10"/>
  <c r="DC868" i="10"/>
  <c r="DC864" i="10"/>
  <c r="DC852" i="10"/>
  <c r="DC844" i="10"/>
  <c r="DC840" i="10"/>
  <c r="DC836" i="10"/>
  <c r="DC832" i="10"/>
  <c r="DC828" i="10"/>
  <c r="DC824" i="10"/>
  <c r="DC820" i="10"/>
  <c r="DC816" i="10"/>
  <c r="DC804" i="10"/>
  <c r="DC796" i="10"/>
  <c r="DC792" i="10"/>
  <c r="DC788" i="10"/>
  <c r="DV788" i="10" s="1"/>
  <c r="DC784" i="10"/>
  <c r="DC780" i="10"/>
  <c r="DC776" i="10"/>
  <c r="DC772" i="10"/>
  <c r="DC768" i="10"/>
  <c r="DC756" i="10"/>
  <c r="DC744" i="10"/>
  <c r="DC740" i="10"/>
  <c r="DC732" i="10"/>
  <c r="DC728" i="10"/>
  <c r="DC724" i="10"/>
  <c r="DC720" i="10"/>
  <c r="DC708" i="10"/>
  <c r="DC700" i="10"/>
  <c r="DC696" i="10"/>
  <c r="DC692" i="10"/>
  <c r="DC688" i="10"/>
  <c r="DC684" i="10"/>
  <c r="DC680" i="10"/>
  <c r="DC676" i="10"/>
  <c r="DC672" i="10"/>
  <c r="DC660" i="10"/>
  <c r="DC652" i="10"/>
  <c r="DC648" i="10"/>
  <c r="DC644" i="10"/>
  <c r="DC640" i="10"/>
  <c r="DC636" i="10"/>
  <c r="DC871" i="10"/>
  <c r="DC867" i="10"/>
  <c r="DC863" i="10"/>
  <c r="DC859" i="10"/>
  <c r="DC855" i="10"/>
  <c r="DC851" i="10"/>
  <c r="DC847" i="10"/>
  <c r="DC831" i="10"/>
  <c r="DC827" i="10"/>
  <c r="DC823" i="10"/>
  <c r="DC819" i="10"/>
  <c r="DC815" i="10"/>
  <c r="DC811" i="10"/>
  <c r="DC807" i="10"/>
  <c r="DC803" i="10"/>
  <c r="DC799" i="10"/>
  <c r="DC783" i="10"/>
  <c r="DC779" i="10"/>
  <c r="DC775" i="10"/>
  <c r="DC771" i="10"/>
  <c r="DC767" i="10"/>
  <c r="DC763" i="10"/>
  <c r="DC759" i="10"/>
  <c r="DC755" i="10"/>
  <c r="DC751" i="10"/>
  <c r="DC743" i="10"/>
  <c r="DV743" i="10" s="1"/>
  <c r="DC731" i="10"/>
  <c r="DC727" i="10"/>
  <c r="DC723" i="10"/>
  <c r="DC719" i="10"/>
  <c r="DC715" i="10"/>
  <c r="DC711" i="10"/>
  <c r="DC707" i="10"/>
  <c r="DC703" i="10"/>
  <c r="DC687" i="10"/>
  <c r="DC683" i="10"/>
  <c r="DC679" i="10"/>
  <c r="DC675" i="10"/>
  <c r="DC671" i="10"/>
  <c r="DV671" i="10" s="1"/>
  <c r="DC667" i="10"/>
  <c r="DC663" i="10"/>
  <c r="DC659" i="10"/>
  <c r="DC655" i="10"/>
  <c r="DC639" i="10"/>
  <c r="DC635" i="10"/>
  <c r="DC631" i="10"/>
  <c r="DC627" i="10"/>
  <c r="DC623" i="10"/>
  <c r="DC619" i="10"/>
  <c r="DC611" i="10"/>
  <c r="DC607" i="10"/>
  <c r="DC587" i="10"/>
  <c r="DC583" i="10"/>
  <c r="DC579" i="10"/>
  <c r="DC575" i="10"/>
  <c r="DC567" i="10"/>
  <c r="CT303" i="10"/>
  <c r="CU303" i="10" s="1"/>
  <c r="CT300" i="10"/>
  <c r="CU300" i="10" s="1"/>
  <c r="CT297" i="10"/>
  <c r="CU297" i="10" s="1"/>
  <c r="CT294" i="10"/>
  <c r="CU294" i="10" s="1"/>
  <c r="CT291" i="10"/>
  <c r="CU291" i="10" s="1"/>
  <c r="CT288" i="10"/>
  <c r="CU288" i="10" s="1"/>
  <c r="CT285" i="10"/>
  <c r="CU285" i="10" s="1"/>
  <c r="CT282" i="10"/>
  <c r="CU282" i="10" s="1"/>
  <c r="CT279" i="10"/>
  <c r="CU279" i="10" s="1"/>
  <c r="CT276" i="10"/>
  <c r="CU276" i="10" s="1"/>
  <c r="CT273" i="10"/>
  <c r="CU273" i="10" s="1"/>
  <c r="CT270" i="10"/>
  <c r="CU270" i="10" s="1"/>
  <c r="CT267" i="10"/>
  <c r="CU267" i="10" s="1"/>
  <c r="CT264" i="10"/>
  <c r="CU264" i="10" s="1"/>
  <c r="CT261" i="10"/>
  <c r="CU261" i="10" s="1"/>
  <c r="CT258" i="10"/>
  <c r="CU258" i="10" s="1"/>
  <c r="CT255" i="10"/>
  <c r="CU255" i="10" s="1"/>
  <c r="CT252" i="10"/>
  <c r="CU252" i="10" s="1"/>
  <c r="CT249" i="10"/>
  <c r="CU249" i="10" s="1"/>
  <c r="CT246" i="10"/>
  <c r="CU246" i="10" s="1"/>
  <c r="CT243" i="10"/>
  <c r="CU243" i="10" s="1"/>
  <c r="CT240" i="10"/>
  <c r="CU240" i="10" s="1"/>
  <c r="CT237" i="10"/>
  <c r="CU237" i="10" s="1"/>
  <c r="CT234" i="10"/>
  <c r="CU234" i="10" s="1"/>
  <c r="CT231" i="10"/>
  <c r="CU231" i="10" s="1"/>
  <c r="CT228" i="10"/>
  <c r="CU228" i="10" s="1"/>
  <c r="CT225" i="10"/>
  <c r="CU225" i="10" s="1"/>
  <c r="CT222" i="10"/>
  <c r="CU222" i="10" s="1"/>
  <c r="CT219" i="10"/>
  <c r="CU219" i="10" s="1"/>
  <c r="CT216" i="10"/>
  <c r="CU216" i="10" s="1"/>
  <c r="CT213" i="10"/>
  <c r="CU213" i="10" s="1"/>
  <c r="CT210" i="10"/>
  <c r="CU210" i="10" s="1"/>
  <c r="CT207" i="10"/>
  <c r="CU207" i="10" s="1"/>
  <c r="CT204" i="10"/>
  <c r="CU204" i="10" s="1"/>
  <c r="CT201" i="10"/>
  <c r="CU201" i="10" s="1"/>
  <c r="CT198" i="10"/>
  <c r="CU198" i="10" s="1"/>
  <c r="CT195" i="10"/>
  <c r="CU195" i="10" s="1"/>
  <c r="CT192" i="10"/>
  <c r="CU192" i="10" s="1"/>
  <c r="CT189" i="10"/>
  <c r="CU189" i="10" s="1"/>
  <c r="CT186" i="10"/>
  <c r="CU186" i="10" s="1"/>
  <c r="CT183" i="10"/>
  <c r="CU183" i="10" s="1"/>
  <c r="CT180" i="10"/>
  <c r="CU180" i="10" s="1"/>
  <c r="CT177" i="10"/>
  <c r="CU177" i="10" s="1"/>
  <c r="CT174" i="10"/>
  <c r="CU174" i="10" s="1"/>
  <c r="CT171" i="10"/>
  <c r="CU171" i="10" s="1"/>
  <c r="CT168" i="10"/>
  <c r="CU168" i="10" s="1"/>
  <c r="CT165" i="10"/>
  <c r="CU165" i="10" s="1"/>
  <c r="CT162" i="10"/>
  <c r="CU162" i="10" s="1"/>
  <c r="CT159" i="10"/>
  <c r="CU159" i="10" s="1"/>
  <c r="CT156" i="10"/>
  <c r="CU156" i="10" s="1"/>
  <c r="CT153" i="10"/>
  <c r="CU153" i="10" s="1"/>
  <c r="CT150" i="10"/>
  <c r="CU150" i="10" s="1"/>
  <c r="DC878" i="10"/>
  <c r="DV878" i="10" s="1"/>
  <c r="DC874" i="10"/>
  <c r="DC870" i="10"/>
  <c r="DC866" i="10"/>
  <c r="DC862" i="10"/>
  <c r="DC854" i="10"/>
  <c r="DC846" i="10"/>
  <c r="DC842" i="10"/>
  <c r="DC830" i="10"/>
  <c r="DC826" i="10"/>
  <c r="DC822" i="10"/>
  <c r="DC818" i="10"/>
  <c r="DC814" i="10"/>
  <c r="DC810" i="10"/>
  <c r="DC806" i="10"/>
  <c r="DC802" i="10"/>
  <c r="DC798" i="10"/>
  <c r="DC794" i="10"/>
  <c r="DC778" i="10"/>
  <c r="DC774" i="10"/>
  <c r="DC770" i="10"/>
  <c r="DC766" i="10"/>
  <c r="DC762" i="10"/>
  <c r="DC758" i="10"/>
  <c r="DC754" i="10"/>
  <c r="DC750" i="10"/>
  <c r="DC746" i="10"/>
  <c r="DC738" i="10"/>
  <c r="DC730" i="10"/>
  <c r="DC726" i="10"/>
  <c r="DC722" i="10"/>
  <c r="DC718" i="10"/>
  <c r="DC714" i="10"/>
  <c r="DC710" i="10"/>
  <c r="DC706" i="10"/>
  <c r="DC702" i="10"/>
  <c r="DC698" i="10"/>
  <c r="DC682" i="10"/>
  <c r="DC678" i="10"/>
  <c r="DC674" i="10"/>
  <c r="DC670" i="10"/>
  <c r="DC666" i="10"/>
  <c r="DC662" i="10"/>
  <c r="DC658" i="10"/>
  <c r="DC654" i="10"/>
  <c r="DC650" i="10"/>
  <c r="DC634" i="10"/>
  <c r="DA709" i="10"/>
  <c r="DC705" i="10"/>
  <c r="DA697" i="10"/>
  <c r="DC697" i="10" s="1"/>
  <c r="DC693" i="10"/>
  <c r="DC689" i="10"/>
  <c r="DA685" i="10"/>
  <c r="DC685" i="10" s="1"/>
  <c r="DC681" i="10"/>
  <c r="DC677" i="10"/>
  <c r="DA673" i="10"/>
  <c r="DC673" i="10" s="1"/>
  <c r="DC669" i="10"/>
  <c r="DA661" i="10"/>
  <c r="DC657" i="10"/>
  <c r="DA649" i="10"/>
  <c r="DC649" i="10" s="1"/>
  <c r="DC645" i="10"/>
  <c r="DC641" i="10"/>
  <c r="DA637" i="10"/>
  <c r="DC637" i="10" s="1"/>
  <c r="DC633" i="10"/>
  <c r="DC629" i="10"/>
  <c r="DA625" i="10"/>
  <c r="DC625" i="10" s="1"/>
  <c r="DC621" i="10"/>
  <c r="DA613" i="10"/>
  <c r="DC609" i="10"/>
  <c r="DA601" i="10"/>
  <c r="DC601" i="10" s="1"/>
  <c r="DC597" i="10"/>
  <c r="DC593" i="10"/>
  <c r="DA589" i="10"/>
  <c r="DC589" i="10" s="1"/>
  <c r="DC585" i="10"/>
  <c r="DC581" i="10"/>
  <c r="DA577" i="10"/>
  <c r="DC577" i="10" s="1"/>
  <c r="DC573" i="10"/>
  <c r="DA565" i="10"/>
  <c r="DC561" i="10"/>
  <c r="DA553" i="10"/>
  <c r="DC553" i="10" s="1"/>
  <c r="DC549" i="10"/>
  <c r="DC545" i="10"/>
  <c r="DA541" i="10"/>
  <c r="DC541" i="10" s="1"/>
  <c r="DC537" i="10"/>
  <c r="DA529" i="10"/>
  <c r="DC529" i="10" s="1"/>
  <c r="DC525" i="10"/>
  <c r="DC521" i="10"/>
  <c r="DA517" i="10"/>
  <c r="DC517" i="10" s="1"/>
  <c r="DC513" i="10"/>
  <c r="DA505" i="10"/>
  <c r="DC505" i="10" s="1"/>
  <c r="DC497" i="10"/>
  <c r="DA493" i="10"/>
  <c r="DC493" i="10" s="1"/>
  <c r="DA481" i="10"/>
  <c r="DC481" i="10" s="1"/>
  <c r="DC477" i="10"/>
  <c r="DC473" i="10"/>
  <c r="DA469" i="10"/>
  <c r="DC469" i="10" s="1"/>
  <c r="DC465" i="10"/>
  <c r="DA457" i="10"/>
  <c r="DC457" i="10" s="1"/>
  <c r="DC449" i="10"/>
  <c r="DA445" i="10"/>
  <c r="DC445" i="10" s="1"/>
  <c r="DA433" i="10"/>
  <c r="DC433" i="10" s="1"/>
  <c r="DC429" i="10"/>
  <c r="DC425" i="10"/>
  <c r="DA421" i="10"/>
  <c r="DC421" i="10" s="1"/>
  <c r="DC417" i="10"/>
  <c r="DA409" i="10"/>
  <c r="DC409" i="10" s="1"/>
  <c r="DC401" i="10"/>
  <c r="DA397" i="10"/>
  <c r="DC397" i="10" s="1"/>
  <c r="DC632" i="10"/>
  <c r="DC628" i="10"/>
  <c r="DC624" i="10"/>
  <c r="DC616" i="10"/>
  <c r="DV616" i="10" s="1"/>
  <c r="DC612" i="10"/>
  <c r="DC608" i="10"/>
  <c r="DC600" i="10"/>
  <c r="DC596" i="10"/>
  <c r="DC588" i="10"/>
  <c r="DC576" i="10"/>
  <c r="DC564" i="10"/>
  <c r="DC560" i="10"/>
  <c r="DC556" i="10"/>
  <c r="DC552" i="10"/>
  <c r="DC548" i="10"/>
  <c r="DC544" i="10"/>
  <c r="DC540" i="10"/>
  <c r="DC528" i="10"/>
  <c r="DC520" i="10"/>
  <c r="DC516" i="10"/>
  <c r="DC512" i="10"/>
  <c r="DC508" i="10"/>
  <c r="DC504" i="10"/>
  <c r="DC500" i="10"/>
  <c r="DC496" i="10"/>
  <c r="DC492" i="10"/>
  <c r="DC480" i="10"/>
  <c r="DC472" i="10"/>
  <c r="DC468" i="10"/>
  <c r="DC464" i="10"/>
  <c r="DC456" i="10"/>
  <c r="DC452" i="10"/>
  <c r="DC444" i="10"/>
  <c r="DC432" i="10"/>
  <c r="DC420" i="10"/>
  <c r="DC416" i="10"/>
  <c r="DC412" i="10"/>
  <c r="DC408" i="10"/>
  <c r="DC404" i="10"/>
  <c r="DC400" i="10"/>
  <c r="DC396" i="10"/>
  <c r="DB443" i="10"/>
  <c r="DC443" i="10" s="1"/>
  <c r="DB439" i="10"/>
  <c r="DC439" i="10" s="1"/>
  <c r="DB435" i="10"/>
  <c r="DB431" i="10"/>
  <c r="DB427" i="10"/>
  <c r="DC427" i="10" s="1"/>
  <c r="DB423" i="10"/>
  <c r="DB419" i="10"/>
  <c r="DC419" i="10" s="1"/>
  <c r="DB415" i="10"/>
  <c r="DC415" i="10" s="1"/>
  <c r="DB411" i="10"/>
  <c r="DC411" i="10" s="1"/>
  <c r="DB407" i="10"/>
  <c r="DC407" i="10" s="1"/>
  <c r="DB403" i="10"/>
  <c r="DC403" i="10" s="1"/>
  <c r="DV403" i="10" s="1"/>
  <c r="DB399" i="10"/>
  <c r="DC399" i="10" s="1"/>
  <c r="DB395" i="10"/>
  <c r="DC395" i="10" s="1"/>
  <c r="DB391" i="10"/>
  <c r="DC391" i="10" s="1"/>
  <c r="DB387" i="10"/>
  <c r="DC387" i="10" s="1"/>
  <c r="DB383" i="10"/>
  <c r="DC383" i="10" s="1"/>
  <c r="DB379" i="10"/>
  <c r="DC379" i="10" s="1"/>
  <c r="DB375" i="10"/>
  <c r="DC375" i="10" s="1"/>
  <c r="DB371" i="10"/>
  <c r="DC371" i="10" s="1"/>
  <c r="DB367" i="10"/>
  <c r="DC367" i="10" s="1"/>
  <c r="DB363" i="10"/>
  <c r="DC363" i="10" s="1"/>
  <c r="DB359" i="10"/>
  <c r="DC359" i="10" s="1"/>
  <c r="DB355" i="10"/>
  <c r="DC355" i="10" s="1"/>
  <c r="DB351" i="10"/>
  <c r="DC351" i="10" s="1"/>
  <c r="DB347" i="10"/>
  <c r="DC347" i="10" s="1"/>
  <c r="DB343" i="10"/>
  <c r="DC343" i="10" s="1"/>
  <c r="DB339" i="10"/>
  <c r="DB335" i="10"/>
  <c r="DC335" i="10" s="1"/>
  <c r="DB331" i="10"/>
  <c r="DC331" i="10" s="1"/>
  <c r="DB327" i="10"/>
  <c r="DB323" i="10"/>
  <c r="DC559" i="10"/>
  <c r="DC555" i="10"/>
  <c r="DC551" i="10"/>
  <c r="DC543" i="10"/>
  <c r="DC539" i="10"/>
  <c r="DC535" i="10"/>
  <c r="DC531" i="10"/>
  <c r="DC527" i="10"/>
  <c r="DC519" i="10"/>
  <c r="DC511" i="10"/>
  <c r="DC507" i="10"/>
  <c r="DC495" i="10"/>
  <c r="DC491" i="10"/>
  <c r="DC487" i="10"/>
  <c r="DC483" i="10"/>
  <c r="DC479" i="10"/>
  <c r="DC463" i="10"/>
  <c r="DC435" i="10"/>
  <c r="DC431" i="10"/>
  <c r="DC423" i="10"/>
  <c r="DC323" i="10"/>
  <c r="CT147" i="10"/>
  <c r="CU147" i="10" s="1"/>
  <c r="CT144" i="10"/>
  <c r="CU144" i="10" s="1"/>
  <c r="CT141" i="10"/>
  <c r="CU141" i="10" s="1"/>
  <c r="CT138" i="10"/>
  <c r="CU138" i="10" s="1"/>
  <c r="CT135" i="10"/>
  <c r="CU135" i="10" s="1"/>
  <c r="CT132" i="10"/>
  <c r="CU132" i="10" s="1"/>
  <c r="CT129" i="10"/>
  <c r="CU129" i="10" s="1"/>
  <c r="CT126" i="10"/>
  <c r="CU126" i="10" s="1"/>
  <c r="CT123" i="10"/>
  <c r="CU123" i="10" s="1"/>
  <c r="CT120" i="10"/>
  <c r="CU120" i="10" s="1"/>
  <c r="CT117" i="10"/>
  <c r="CU117" i="10" s="1"/>
  <c r="CT114" i="10"/>
  <c r="CU114" i="10" s="1"/>
  <c r="CT111" i="10"/>
  <c r="CU111" i="10" s="1"/>
  <c r="CT108" i="10"/>
  <c r="CU108" i="10" s="1"/>
  <c r="CT105" i="10"/>
  <c r="CU105" i="10" s="1"/>
  <c r="CT102" i="10"/>
  <c r="CU102" i="10" s="1"/>
  <c r="CT99" i="10"/>
  <c r="CU99" i="10" s="1"/>
  <c r="CT96" i="10"/>
  <c r="CU96" i="10" s="1"/>
  <c r="CT93" i="10"/>
  <c r="CU93" i="10" s="1"/>
  <c r="CT90" i="10"/>
  <c r="CU90" i="10" s="1"/>
  <c r="CT87" i="10"/>
  <c r="CU87" i="10" s="1"/>
  <c r="CT84" i="10"/>
  <c r="CU84" i="10" s="1"/>
  <c r="CT81" i="10"/>
  <c r="CU81" i="10" s="1"/>
  <c r="CT78" i="10"/>
  <c r="CU78" i="10" s="1"/>
  <c r="CT75" i="10"/>
  <c r="CU75" i="10" s="1"/>
  <c r="CT72" i="10"/>
  <c r="CU72" i="10" s="1"/>
  <c r="CT69" i="10"/>
  <c r="CU69" i="10" s="1"/>
  <c r="CT66" i="10"/>
  <c r="CU66" i="10" s="1"/>
  <c r="CT63" i="10"/>
  <c r="CU63" i="10" s="1"/>
  <c r="CT60" i="10"/>
  <c r="CU60" i="10" s="1"/>
  <c r="CT57" i="10"/>
  <c r="CU57" i="10" s="1"/>
  <c r="CT54" i="10"/>
  <c r="CU54" i="10" s="1"/>
  <c r="CT51" i="10"/>
  <c r="CU51" i="10" s="1"/>
  <c r="CT48" i="10"/>
  <c r="CU48" i="10" s="1"/>
  <c r="CT45" i="10"/>
  <c r="CU45" i="10" s="1"/>
  <c r="CT42" i="10"/>
  <c r="CU42" i="10" s="1"/>
  <c r="CT39" i="10"/>
  <c r="CU39" i="10" s="1"/>
  <c r="CT36" i="10"/>
  <c r="CU36" i="10" s="1"/>
  <c r="CT33" i="10"/>
  <c r="CU33" i="10" s="1"/>
  <c r="CT30" i="10"/>
  <c r="CU30" i="10" s="1"/>
  <c r="DC630" i="10"/>
  <c r="DC626" i="10"/>
  <c r="DC622" i="10"/>
  <c r="DC618" i="10"/>
  <c r="DC614" i="10"/>
  <c r="DC610" i="10"/>
  <c r="DC606" i="10"/>
  <c r="DC602" i="10"/>
  <c r="DC586" i="10"/>
  <c r="DC582" i="10"/>
  <c r="DC578" i="10"/>
  <c r="DC574" i="10"/>
  <c r="DC570" i="10"/>
  <c r="DC566" i="10"/>
  <c r="DC562" i="10"/>
  <c r="DC558" i="10"/>
  <c r="DC554" i="10"/>
  <c r="DC538" i="10"/>
  <c r="DC534" i="10"/>
  <c r="DC530" i="10"/>
  <c r="DC526" i="10"/>
  <c r="DC522" i="10"/>
  <c r="DC518" i="10"/>
  <c r="DC514" i="10"/>
  <c r="DV514" i="10" s="1"/>
  <c r="DC510" i="10"/>
  <c r="DC506" i="10"/>
  <c r="DC490" i="10"/>
  <c r="DC486" i="10"/>
  <c r="DC482" i="10"/>
  <c r="DC478" i="10"/>
  <c r="DC474" i="10"/>
  <c r="DC470" i="10"/>
  <c r="DC466" i="10"/>
  <c r="DC462" i="10"/>
  <c r="DC458" i="10"/>
  <c r="DC454" i="10"/>
  <c r="DC450" i="10"/>
  <c r="DC446" i="10"/>
  <c r="DC442" i="10"/>
  <c r="DC438" i="10"/>
  <c r="DC430" i="10"/>
  <c r="DC422" i="10"/>
  <c r="DC418" i="10"/>
  <c r="DB19" i="10"/>
  <c r="DA20" i="10"/>
  <c r="DB26" i="10"/>
  <c r="DA27" i="10"/>
  <c r="DC406" i="10"/>
  <c r="DC402" i="10"/>
  <c r="DC398" i="10"/>
  <c r="DC394" i="10"/>
  <c r="DC390" i="10"/>
  <c r="DC382" i="10"/>
  <c r="DC374" i="10"/>
  <c r="DC370" i="10"/>
  <c r="DC366" i="10"/>
  <c r="DC362" i="10"/>
  <c r="DC358" i="10"/>
  <c r="DC354" i="10"/>
  <c r="DC350" i="10"/>
  <c r="DC346" i="10"/>
  <c r="DC342" i="10"/>
  <c r="DC334" i="10"/>
  <c r="DC326" i="10"/>
  <c r="DC322" i="10"/>
  <c r="DC310" i="10"/>
  <c r="DC306" i="10"/>
  <c r="DC302" i="10"/>
  <c r="DC298" i="10"/>
  <c r="DC294" i="10"/>
  <c r="DC286" i="10"/>
  <c r="DC278" i="10"/>
  <c r="DC274" i="10"/>
  <c r="DC262" i="10"/>
  <c r="DC258" i="10"/>
  <c r="DC254" i="10"/>
  <c r="DC250" i="10"/>
  <c r="DC246" i="10"/>
  <c r="DC238" i="10"/>
  <c r="DC230" i="10"/>
  <c r="DC226" i="10"/>
  <c r="DC214" i="10"/>
  <c r="DC210" i="10"/>
  <c r="DC206" i="10"/>
  <c r="DC202" i="10"/>
  <c r="DC198" i="10"/>
  <c r="DC190" i="10"/>
  <c r="DC182" i="10"/>
  <c r="DC178" i="10"/>
  <c r="DC166" i="10"/>
  <c r="DC162" i="10"/>
  <c r="DC158" i="10"/>
  <c r="DC154" i="10"/>
  <c r="DC150" i="10"/>
  <c r="DC142" i="10"/>
  <c r="DC134" i="10"/>
  <c r="DC126" i="10"/>
  <c r="DC122" i="10"/>
  <c r="DC114" i="10"/>
  <c r="DC90" i="10"/>
  <c r="DC70" i="10"/>
  <c r="DB18" i="10"/>
  <c r="DC18" i="10" s="1"/>
  <c r="DA19" i="10"/>
  <c r="CT20" i="10"/>
  <c r="CU20" i="10" s="1"/>
  <c r="DA26" i="10"/>
  <c r="CT27" i="10"/>
  <c r="CU27" i="10" s="1"/>
  <c r="DB313" i="10"/>
  <c r="DB309" i="10"/>
  <c r="DC309" i="10" s="1"/>
  <c r="DB305" i="10"/>
  <c r="DC305" i="10" s="1"/>
  <c r="DB301" i="10"/>
  <c r="DB297" i="10"/>
  <c r="DC297" i="10" s="1"/>
  <c r="DB293" i="10"/>
  <c r="DC293" i="10" s="1"/>
  <c r="DB289" i="10"/>
  <c r="DB285" i="10"/>
  <c r="DC285" i="10" s="1"/>
  <c r="DB281" i="10"/>
  <c r="DC281" i="10" s="1"/>
  <c r="DB277" i="10"/>
  <c r="DB273" i="10"/>
  <c r="DC273" i="10" s="1"/>
  <c r="DB269" i="10"/>
  <c r="DC269" i="10" s="1"/>
  <c r="DB265" i="10"/>
  <c r="DB261" i="10"/>
  <c r="DC261" i="10" s="1"/>
  <c r="DB257" i="10"/>
  <c r="DC257" i="10" s="1"/>
  <c r="DB253" i="10"/>
  <c r="DB249" i="10"/>
  <c r="DC249" i="10" s="1"/>
  <c r="DB245" i="10"/>
  <c r="DC245" i="10" s="1"/>
  <c r="DB241" i="10"/>
  <c r="DB237" i="10"/>
  <c r="DC237" i="10" s="1"/>
  <c r="DB233" i="10"/>
  <c r="DC233" i="10" s="1"/>
  <c r="DB229" i="10"/>
  <c r="DB225" i="10"/>
  <c r="DC225" i="10" s="1"/>
  <c r="DB221" i="10"/>
  <c r="DC221" i="10" s="1"/>
  <c r="DB217" i="10"/>
  <c r="DB213" i="10"/>
  <c r="DC213" i="10" s="1"/>
  <c r="DB209" i="10"/>
  <c r="DC209" i="10" s="1"/>
  <c r="DV209" i="10" s="1"/>
  <c r="DB205" i="10"/>
  <c r="DB201" i="10"/>
  <c r="DC201" i="10" s="1"/>
  <c r="DB197" i="10"/>
  <c r="DC197" i="10" s="1"/>
  <c r="DB193" i="10"/>
  <c r="DB189" i="10"/>
  <c r="DC189" i="10" s="1"/>
  <c r="DB185" i="10"/>
  <c r="DC185" i="10" s="1"/>
  <c r="DB181" i="10"/>
  <c r="DB177" i="10"/>
  <c r="DC177" i="10" s="1"/>
  <c r="DB173" i="10"/>
  <c r="DC173" i="10" s="1"/>
  <c r="DB169" i="10"/>
  <c r="DB165" i="10"/>
  <c r="DC165" i="10" s="1"/>
  <c r="DB161" i="10"/>
  <c r="DC161" i="10" s="1"/>
  <c r="DB157" i="10"/>
  <c r="DB153" i="10"/>
  <c r="DC153" i="10" s="1"/>
  <c r="DB149" i="10"/>
  <c r="DC149" i="10" s="1"/>
  <c r="DB145" i="10"/>
  <c r="DB141" i="10"/>
  <c r="DC141" i="10" s="1"/>
  <c r="DB137" i="10"/>
  <c r="DC137" i="10" s="1"/>
  <c r="DB133" i="10"/>
  <c r="DB129" i="10"/>
  <c r="DC129" i="10" s="1"/>
  <c r="DB125" i="10"/>
  <c r="DC125" i="10" s="1"/>
  <c r="DB121" i="10"/>
  <c r="DB117" i="10"/>
  <c r="DC117" i="10" s="1"/>
  <c r="DB113" i="10"/>
  <c r="DC113" i="10" s="1"/>
  <c r="DB109" i="10"/>
  <c r="DB105" i="10"/>
  <c r="DC105" i="10" s="1"/>
  <c r="DB101" i="10"/>
  <c r="DB97" i="10"/>
  <c r="DB93" i="10"/>
  <c r="DC93" i="10" s="1"/>
  <c r="DB89" i="10"/>
  <c r="DC89" i="10" s="1"/>
  <c r="DB85" i="10"/>
  <c r="DB81" i="10"/>
  <c r="DC81" i="10" s="1"/>
  <c r="DB77" i="10"/>
  <c r="DC77" i="10" s="1"/>
  <c r="DB73" i="10"/>
  <c r="DB69" i="10"/>
  <c r="DC69" i="10" s="1"/>
  <c r="DB65" i="10"/>
  <c r="DC65" i="10" s="1"/>
  <c r="DB61" i="10"/>
  <c r="DB57" i="10"/>
  <c r="DC57" i="10" s="1"/>
  <c r="DB53" i="10"/>
  <c r="DC53" i="10" s="1"/>
  <c r="DB49" i="10"/>
  <c r="DB45" i="10"/>
  <c r="DC45" i="10" s="1"/>
  <c r="DB41" i="10"/>
  <c r="DC41" i="10" s="1"/>
  <c r="DB37" i="10"/>
  <c r="DB33" i="10"/>
  <c r="DC33" i="10" s="1"/>
  <c r="DB29" i="10"/>
  <c r="DB24" i="10"/>
  <c r="DA25" i="10"/>
  <c r="DC25" i="10" s="1"/>
  <c r="DA385" i="10"/>
  <c r="DC385" i="10" s="1"/>
  <c r="DC381" i="10"/>
  <c r="DC377" i="10"/>
  <c r="DA373" i="10"/>
  <c r="DC373" i="10" s="1"/>
  <c r="DC369" i="10"/>
  <c r="DA361" i="10"/>
  <c r="DC361" i="10" s="1"/>
  <c r="DC357" i="10"/>
  <c r="DC353" i="10"/>
  <c r="DA349" i="10"/>
  <c r="DC349" i="10" s="1"/>
  <c r="DA337" i="10"/>
  <c r="DC337" i="10" s="1"/>
  <c r="DC333" i="10"/>
  <c r="DC329" i="10"/>
  <c r="DA325" i="10"/>
  <c r="DC325" i="10" s="1"/>
  <c r="DA313" i="10"/>
  <c r="DC313" i="10" s="1"/>
  <c r="DA301" i="10"/>
  <c r="DA289" i="10"/>
  <c r="DC289" i="10" s="1"/>
  <c r="DA277" i="10"/>
  <c r="DA265" i="10"/>
  <c r="DA253" i="10"/>
  <c r="DA241" i="10"/>
  <c r="DA229" i="10"/>
  <c r="DA217" i="10"/>
  <c r="DA205" i="10"/>
  <c r="DA193" i="10"/>
  <c r="DC193" i="10" s="1"/>
  <c r="DA181" i="10"/>
  <c r="DA169" i="10"/>
  <c r="DA157" i="10"/>
  <c r="DA145" i="10"/>
  <c r="DA133" i="10"/>
  <c r="DA121" i="10"/>
  <c r="DA109" i="10"/>
  <c r="DA97" i="10"/>
  <c r="DA85" i="10"/>
  <c r="DA73" i="10"/>
  <c r="DA61" i="10"/>
  <c r="DA49" i="10"/>
  <c r="DC49" i="10" s="1"/>
  <c r="DA37" i="10"/>
  <c r="DB23" i="10"/>
  <c r="DA24" i="10"/>
  <c r="CT25" i="10"/>
  <c r="CU18" i="10"/>
  <c r="DA23" i="10"/>
  <c r="CT24" i="10"/>
  <c r="CU24" i="10" s="1"/>
  <c r="DC384" i="10"/>
  <c r="DC376" i="10"/>
  <c r="DC372" i="10"/>
  <c r="DC368" i="10"/>
  <c r="DV368" i="10" s="1"/>
  <c r="DC364" i="10"/>
  <c r="DV364" i="10" s="1"/>
  <c r="DC360" i="10"/>
  <c r="DC356" i="10"/>
  <c r="DC352" i="10"/>
  <c r="DC348" i="10"/>
  <c r="DC336" i="10"/>
  <c r="DC328" i="10"/>
  <c r="DC324" i="10"/>
  <c r="DC320" i="10"/>
  <c r="DC312" i="10"/>
  <c r="DC308" i="10"/>
  <c r="DC300" i="10"/>
  <c r="DC288" i="10"/>
  <c r="DC284" i="10"/>
  <c r="DC276" i="10"/>
  <c r="DC272" i="10"/>
  <c r="DC268" i="10"/>
  <c r="DC264" i="10"/>
  <c r="DC260" i="10"/>
  <c r="DC256" i="10"/>
  <c r="DC248" i="10"/>
  <c r="DC240" i="10"/>
  <c r="DC236" i="10"/>
  <c r="DC224" i="10"/>
  <c r="DC220" i="10"/>
  <c r="DC216" i="10"/>
  <c r="DC212" i="10"/>
  <c r="DC208" i="10"/>
  <c r="DC200" i="10"/>
  <c r="DC192" i="10"/>
  <c r="DC188" i="10"/>
  <c r="DC176" i="10"/>
  <c r="DC168" i="10"/>
  <c r="DC164" i="10"/>
  <c r="DV164" i="10" s="1"/>
  <c r="DC152" i="10"/>
  <c r="DC144" i="10"/>
  <c r="DC132" i="10"/>
  <c r="DC128" i="10"/>
  <c r="DC80" i="10"/>
  <c r="DC48" i="10"/>
  <c r="DA16" i="10"/>
  <c r="DC16" i="10" s="1"/>
  <c r="CT17" i="10"/>
  <c r="CU17" i="10" s="1"/>
  <c r="DB319" i="10"/>
  <c r="DC319" i="10" s="1"/>
  <c r="DB315" i="10"/>
  <c r="DB311" i="10"/>
  <c r="DC311" i="10" s="1"/>
  <c r="DB307" i="10"/>
  <c r="DC307" i="10" s="1"/>
  <c r="DB303" i="10"/>
  <c r="DC303" i="10" s="1"/>
  <c r="DB299" i="10"/>
  <c r="DC299" i="10" s="1"/>
  <c r="DB295" i="10"/>
  <c r="DC295" i="10" s="1"/>
  <c r="DB291" i="10"/>
  <c r="DC291" i="10" s="1"/>
  <c r="DB287" i="10"/>
  <c r="DC287" i="10" s="1"/>
  <c r="DB283" i="10"/>
  <c r="DC283" i="10" s="1"/>
  <c r="DB279" i="10"/>
  <c r="DC279" i="10" s="1"/>
  <c r="DB275" i="10"/>
  <c r="DC275" i="10" s="1"/>
  <c r="DB271" i="10"/>
  <c r="DC271" i="10" s="1"/>
  <c r="DB267" i="10"/>
  <c r="DC267" i="10" s="1"/>
  <c r="DB263" i="10"/>
  <c r="DC263" i="10" s="1"/>
  <c r="DB259" i="10"/>
  <c r="DC259" i="10" s="1"/>
  <c r="DB255" i="10"/>
  <c r="DC255" i="10" s="1"/>
  <c r="DB251" i="10"/>
  <c r="DC251" i="10" s="1"/>
  <c r="DB247" i="10"/>
  <c r="DC247" i="10" s="1"/>
  <c r="DB243" i="10"/>
  <c r="DC243" i="10" s="1"/>
  <c r="DB239" i="10"/>
  <c r="DC239" i="10" s="1"/>
  <c r="DB235" i="10"/>
  <c r="DC235" i="10" s="1"/>
  <c r="DB231" i="10"/>
  <c r="DB227" i="10"/>
  <c r="DC227" i="10" s="1"/>
  <c r="DB223" i="10"/>
  <c r="DC223" i="10" s="1"/>
  <c r="DB219" i="10"/>
  <c r="DC219" i="10" s="1"/>
  <c r="DB215" i="10"/>
  <c r="DC215" i="10" s="1"/>
  <c r="DB211" i="10"/>
  <c r="DC211" i="10" s="1"/>
  <c r="DB207" i="10"/>
  <c r="DC207" i="10" s="1"/>
  <c r="DB203" i="10"/>
  <c r="DC203" i="10" s="1"/>
  <c r="DB199" i="10"/>
  <c r="DC199" i="10" s="1"/>
  <c r="DB195" i="10"/>
  <c r="DC195" i="10" s="1"/>
  <c r="DB191" i="10"/>
  <c r="DC191" i="10" s="1"/>
  <c r="DV191" i="10" s="1"/>
  <c r="DB187" i="10"/>
  <c r="DC187" i="10" s="1"/>
  <c r="DB183" i="10"/>
  <c r="DC183" i="10" s="1"/>
  <c r="DB179" i="10"/>
  <c r="DC179" i="10" s="1"/>
  <c r="DB175" i="10"/>
  <c r="DC175" i="10" s="1"/>
  <c r="DB171" i="10"/>
  <c r="DC171" i="10" s="1"/>
  <c r="DB167" i="10"/>
  <c r="DC167" i="10" s="1"/>
  <c r="DB163" i="10"/>
  <c r="DC163" i="10" s="1"/>
  <c r="DB159" i="10"/>
  <c r="DC159" i="10" s="1"/>
  <c r="DB155" i="10"/>
  <c r="DC155" i="10" s="1"/>
  <c r="DB151" i="10"/>
  <c r="DC151" i="10" s="1"/>
  <c r="DB147" i="10"/>
  <c r="DC147" i="10" s="1"/>
  <c r="DB143" i="10"/>
  <c r="DC143" i="10" s="1"/>
  <c r="DB139" i="10"/>
  <c r="DC139" i="10" s="1"/>
  <c r="DB135" i="10"/>
  <c r="DC135" i="10" s="1"/>
  <c r="DB131" i="10"/>
  <c r="DC131" i="10" s="1"/>
  <c r="DB127" i="10"/>
  <c r="DC127" i="10" s="1"/>
  <c r="DB123" i="10"/>
  <c r="DC123" i="10" s="1"/>
  <c r="DB119" i="10"/>
  <c r="DC119" i="10" s="1"/>
  <c r="DB115" i="10"/>
  <c r="DC115" i="10" s="1"/>
  <c r="DB111" i="10"/>
  <c r="DC111" i="10" s="1"/>
  <c r="DB107" i="10"/>
  <c r="DC107" i="10" s="1"/>
  <c r="DB103" i="10"/>
  <c r="DC103" i="10" s="1"/>
  <c r="DB99" i="10"/>
  <c r="DC99" i="10" s="1"/>
  <c r="DB95" i="10"/>
  <c r="DC95" i="10" s="1"/>
  <c r="DB91" i="10"/>
  <c r="DC91" i="10" s="1"/>
  <c r="DB87" i="10"/>
  <c r="DB83" i="10"/>
  <c r="DC83" i="10" s="1"/>
  <c r="DB79" i="10"/>
  <c r="DC79" i="10" s="1"/>
  <c r="DB75" i="10"/>
  <c r="DB71" i="10"/>
  <c r="DC71" i="10" s="1"/>
  <c r="DB67" i="10"/>
  <c r="DC67" i="10" s="1"/>
  <c r="DB63" i="10"/>
  <c r="DB59" i="10"/>
  <c r="DC59" i="10" s="1"/>
  <c r="DB55" i="10"/>
  <c r="DC55" i="10" s="1"/>
  <c r="DB51" i="10"/>
  <c r="DC51" i="10" s="1"/>
  <c r="DB47" i="10"/>
  <c r="DC47" i="10" s="1"/>
  <c r="DB43" i="10"/>
  <c r="DC43" i="10" s="1"/>
  <c r="DB39" i="10"/>
  <c r="DC39" i="10" s="1"/>
  <c r="DB35" i="10"/>
  <c r="DC35" i="10" s="1"/>
  <c r="DB31" i="10"/>
  <c r="DC31" i="10" s="1"/>
  <c r="DB21" i="10"/>
  <c r="DC21" i="10" s="1"/>
  <c r="CT23" i="10"/>
  <c r="CU23" i="10" s="1"/>
  <c r="DB20" i="10"/>
  <c r="DB27" i="10"/>
  <c r="ED18" i="10"/>
  <c r="EA18" i="10"/>
  <c r="EA143" i="10"/>
  <c r="ED143" i="10"/>
  <c r="EA45" i="10"/>
  <c r="ED45" i="10"/>
  <c r="EA59" i="10"/>
  <c r="ED59" i="10"/>
  <c r="EA65" i="10"/>
  <c r="ED65" i="10"/>
  <c r="EA116" i="10"/>
  <c r="ED116" i="10"/>
  <c r="ED468" i="10"/>
  <c r="EA468" i="10"/>
  <c r="ED508" i="10"/>
  <c r="EA508" i="10"/>
  <c r="EA107" i="10"/>
  <c r="ED107" i="10"/>
  <c r="EA875" i="10"/>
  <c r="ED875" i="10"/>
  <c r="EA131" i="10"/>
  <c r="ED131" i="10"/>
  <c r="EA561" i="10"/>
  <c r="ED561" i="10"/>
  <c r="EA262" i="10"/>
  <c r="ED262" i="10"/>
  <c r="EA537" i="10"/>
  <c r="ED537" i="10"/>
  <c r="EA835" i="10"/>
  <c r="ED835" i="10"/>
  <c r="EA414" i="10"/>
  <c r="ED414" i="10"/>
  <c r="CI17" i="10"/>
  <c r="AY17" i="10"/>
  <c r="CD17" i="10" s="1"/>
  <c r="CH17" i="10" s="1"/>
  <c r="EA187" i="10"/>
  <c r="ED187" i="10"/>
  <c r="EA66" i="10"/>
  <c r="ED66" i="10"/>
  <c r="EA851" i="10"/>
  <c r="ED851" i="10"/>
  <c r="EA655" i="10"/>
  <c r="ED655" i="10"/>
  <c r="EA303" i="10"/>
  <c r="ED303" i="10"/>
  <c r="EA460" i="10"/>
  <c r="ED460" i="10"/>
  <c r="CF574" i="10"/>
  <c r="ED586" i="10"/>
  <c r="EA586" i="10"/>
  <c r="CL19" i="10"/>
  <c r="CD19" i="10"/>
  <c r="CH19" i="10" s="1"/>
  <c r="CF769" i="10"/>
  <c r="ED16" i="10"/>
  <c r="EA177" i="10"/>
  <c r="ED177" i="10"/>
  <c r="EA183" i="10"/>
  <c r="ED183" i="10"/>
  <c r="EA335" i="10"/>
  <c r="ED335" i="10"/>
  <c r="CL52" i="10"/>
  <c r="CD52" i="10"/>
  <c r="CH52" i="10" s="1"/>
  <c r="CD81" i="10"/>
  <c r="CH81" i="10" s="1"/>
  <c r="CL81" i="10"/>
  <c r="EA138" i="10"/>
  <c r="ED138" i="10"/>
  <c r="EA163" i="10"/>
  <c r="ED163" i="10"/>
  <c r="EA33" i="10"/>
  <c r="ED33" i="10"/>
  <c r="ED314" i="10"/>
  <c r="EA314" i="10"/>
  <c r="EA735" i="10"/>
  <c r="ED735" i="10"/>
  <c r="ED225" i="10"/>
  <c r="EA225" i="10"/>
  <c r="CF226" i="10"/>
  <c r="CI147" i="10"/>
  <c r="AY147" i="10"/>
  <c r="EA193" i="10"/>
  <c r="ED193" i="10"/>
  <c r="EA150" i="10"/>
  <c r="ED150" i="10"/>
  <c r="ED60" i="10"/>
  <c r="EA60" i="10"/>
  <c r="ED68" i="10"/>
  <c r="EA68" i="10"/>
  <c r="EA69" i="10"/>
  <c r="ED69" i="10"/>
  <c r="EA831" i="10"/>
  <c r="ED831" i="10"/>
  <c r="EA661" i="10"/>
  <c r="ED661" i="10"/>
  <c r="ED581" i="10"/>
  <c r="EA581" i="10"/>
  <c r="CF138" i="10"/>
  <c r="CD206" i="10"/>
  <c r="CH206" i="10" s="1"/>
  <c r="CL206" i="10"/>
  <c r="EA161" i="10"/>
  <c r="ED161" i="10"/>
  <c r="ED101" i="10"/>
  <c r="EA775" i="10"/>
  <c r="ED775" i="10"/>
  <c r="EA725" i="10"/>
  <c r="ED725" i="10"/>
  <c r="ED804" i="10"/>
  <c r="EA804" i="10"/>
  <c r="EA610" i="10"/>
  <c r="ED610" i="10"/>
  <c r="EA149" i="10"/>
  <c r="ED149" i="10"/>
  <c r="EA93" i="10"/>
  <c r="ED93" i="10"/>
  <c r="EA111" i="10"/>
  <c r="ED111" i="10"/>
  <c r="EA141" i="10"/>
  <c r="ED141" i="10"/>
  <c r="EA224" i="10"/>
  <c r="ED224" i="10"/>
  <c r="EA649" i="10"/>
  <c r="ED649" i="10"/>
  <c r="ED654" i="10"/>
  <c r="EA654" i="10"/>
  <c r="ED790" i="10"/>
  <c r="EA790" i="10"/>
  <c r="EA223" i="10"/>
  <c r="ED223" i="10"/>
  <c r="CF561" i="10"/>
  <c r="ED304" i="10"/>
  <c r="EA304" i="10"/>
  <c r="ED505" i="10"/>
  <c r="EA505" i="10"/>
  <c r="ED679" i="10"/>
  <c r="EA679" i="10"/>
  <c r="EA563" i="10"/>
  <c r="ED563" i="10"/>
  <c r="EA603" i="10"/>
  <c r="ED603" i="10"/>
  <c r="ED693" i="10"/>
  <c r="EA693" i="10"/>
  <c r="EA256" i="10"/>
  <c r="ED256" i="10"/>
  <c r="EA330" i="10"/>
  <c r="ED330" i="10"/>
  <c r="CF147" i="10"/>
  <c r="CF452" i="10"/>
  <c r="AY144" i="10"/>
  <c r="CA144" i="10"/>
  <c r="CI144" i="10"/>
  <c r="EA74" i="10"/>
  <c r="ED74" i="10"/>
  <c r="EA50" i="10"/>
  <c r="ED50" i="10"/>
  <c r="EA122" i="10"/>
  <c r="ED122" i="10"/>
  <c r="EA643" i="10"/>
  <c r="ED643" i="10"/>
  <c r="EA642" i="10"/>
  <c r="ED642" i="10"/>
  <c r="ED811" i="10"/>
  <c r="EA811" i="10"/>
  <c r="EA454" i="10"/>
  <c r="ED454" i="10"/>
  <c r="CI16" i="10"/>
  <c r="EA204" i="10"/>
  <c r="ED204" i="10"/>
  <c r="EA509" i="10"/>
  <c r="ED509" i="10"/>
  <c r="ED258" i="10"/>
  <c r="EA258" i="10"/>
  <c r="EA796" i="10"/>
  <c r="ED796" i="10"/>
  <c r="EA519" i="10"/>
  <c r="ED519" i="10"/>
  <c r="EA346" i="10"/>
  <c r="ED346" i="10"/>
  <c r="ED394" i="10"/>
  <c r="EA394" i="10"/>
  <c r="EA595" i="10"/>
  <c r="ED595" i="10"/>
  <c r="ED769" i="10"/>
  <c r="EA769" i="10"/>
  <c r="ED457" i="10"/>
  <c r="EA457" i="10"/>
  <c r="EA289" i="10"/>
  <c r="ED289" i="10"/>
  <c r="CL116" i="10"/>
  <c r="CD116" i="10"/>
  <c r="CH116" i="10" s="1"/>
  <c r="ED159" i="10"/>
  <c r="EA159" i="10"/>
  <c r="EA847" i="10"/>
  <c r="ED847" i="10"/>
  <c r="EA252" i="10"/>
  <c r="ED252" i="10"/>
  <c r="EA248" i="10"/>
  <c r="ED248" i="10"/>
  <c r="EA689" i="10"/>
  <c r="ED689" i="10"/>
  <c r="EA504" i="10"/>
  <c r="ED504" i="10"/>
  <c r="ED240" i="10"/>
  <c r="EA745" i="10"/>
  <c r="ED745" i="10"/>
  <c r="ED271" i="10"/>
  <c r="EA271" i="10"/>
  <c r="EA526" i="10"/>
  <c r="ED526" i="10"/>
  <c r="ED786" i="10"/>
  <c r="EA786" i="10"/>
  <c r="ED798" i="10"/>
  <c r="EA798" i="10"/>
  <c r="ED731" i="10"/>
  <c r="EA731" i="10"/>
  <c r="EA522" i="10"/>
  <c r="ED522" i="10"/>
  <c r="CF822" i="10"/>
  <c r="CF155" i="10"/>
  <c r="CD134" i="10"/>
  <c r="CH134" i="10" s="1"/>
  <c r="CL134" i="10"/>
  <c r="CL812" i="10"/>
  <c r="CD812" i="10"/>
  <c r="CH812" i="10" s="1"/>
  <c r="EA556" i="10"/>
  <c r="ED556" i="10"/>
  <c r="EA260" i="10"/>
  <c r="ED260" i="10"/>
  <c r="ED402" i="10"/>
  <c r="EA402" i="10"/>
  <c r="ED386" i="10"/>
  <c r="EA386" i="10"/>
  <c r="EA853" i="10"/>
  <c r="ED853" i="10"/>
  <c r="EA320" i="10"/>
  <c r="ED320" i="10"/>
  <c r="EA560" i="10"/>
  <c r="ED560" i="10"/>
  <c r="CL664" i="10"/>
  <c r="CD664" i="10"/>
  <c r="CH664" i="10" s="1"/>
  <c r="ED207" i="10"/>
  <c r="EA207" i="10"/>
  <c r="EA84" i="10"/>
  <c r="ED84" i="10"/>
  <c r="ED87" i="10"/>
  <c r="EA87" i="10"/>
  <c r="EA145" i="10"/>
  <c r="ED145" i="10"/>
  <c r="ED77" i="10"/>
  <c r="EA77" i="10"/>
  <c r="EA126" i="10"/>
  <c r="ED126" i="10"/>
  <c r="EA863" i="10"/>
  <c r="ED863" i="10"/>
  <c r="EA544" i="10"/>
  <c r="ED544" i="10"/>
  <c r="ED713" i="10"/>
  <c r="EA713" i="10"/>
  <c r="ED574" i="10"/>
  <c r="EA574" i="10"/>
  <c r="EA352" i="10"/>
  <c r="ED352" i="10"/>
  <c r="EA639" i="10"/>
  <c r="ED639" i="10"/>
  <c r="EA529" i="10"/>
  <c r="ED529" i="10"/>
  <c r="ED701" i="10"/>
  <c r="EA701" i="10"/>
  <c r="EA607" i="10"/>
  <c r="ED607" i="10"/>
  <c r="EA217" i="10"/>
  <c r="ED217" i="10"/>
  <c r="EA530" i="10"/>
  <c r="ED530" i="10"/>
  <c r="ED350" i="10"/>
  <c r="EA350" i="10"/>
  <c r="EA434" i="10"/>
  <c r="ED434" i="10"/>
  <c r="ED364" i="10"/>
  <c r="EA364" i="10"/>
  <c r="EA822" i="10"/>
  <c r="ED822" i="10"/>
  <c r="CF585" i="10"/>
  <c r="CL109" i="10"/>
  <c r="CD109" i="10"/>
  <c r="CH109" i="10" s="1"/>
  <c r="CA199" i="10"/>
  <c r="AY199" i="10"/>
  <c r="CI199" i="10"/>
  <c r="BM18" i="10"/>
  <c r="BV18" i="10" s="1"/>
  <c r="BZ18" i="10" s="1"/>
  <c r="BI18" i="10"/>
  <c r="BK18" i="10" s="1"/>
  <c r="CL328" i="10"/>
  <c r="CD328" i="10"/>
  <c r="CH328" i="10" s="1"/>
  <c r="CL438" i="10"/>
  <c r="CD438" i="10"/>
  <c r="CH438" i="10" s="1"/>
  <c r="EA173" i="10"/>
  <c r="ED173" i="10"/>
  <c r="ED176" i="10"/>
  <c r="EA176" i="10"/>
  <c r="EA194" i="10"/>
  <c r="ED194" i="10"/>
  <c r="ED42" i="10"/>
  <c r="EA42" i="10"/>
  <c r="EA104" i="10"/>
  <c r="ED104" i="10"/>
  <c r="EA49" i="10"/>
  <c r="ED49" i="10"/>
  <c r="EA31" i="10"/>
  <c r="ED31" i="10"/>
  <c r="EA135" i="10"/>
  <c r="ED135" i="10"/>
  <c r="EA146" i="10"/>
  <c r="ED146" i="10"/>
  <c r="EA62" i="10"/>
  <c r="ED62" i="10"/>
  <c r="EA651" i="10"/>
  <c r="ED651" i="10"/>
  <c r="EA553" i="10"/>
  <c r="ED553" i="10"/>
  <c r="EA239" i="10"/>
  <c r="ED239" i="10"/>
  <c r="ED429" i="10"/>
  <c r="EA429" i="10"/>
  <c r="EA843" i="10"/>
  <c r="ED843" i="10"/>
  <c r="EA385" i="10"/>
  <c r="ED385" i="10"/>
  <c r="EA467" i="10"/>
  <c r="ED467" i="10"/>
  <c r="EA306" i="10"/>
  <c r="ED306" i="10"/>
  <c r="EA384" i="10"/>
  <c r="ED384" i="10"/>
  <c r="ED242" i="10"/>
  <c r="EA242" i="10"/>
  <c r="EA272" i="10"/>
  <c r="ED272" i="10"/>
  <c r="EA430" i="10"/>
  <c r="ED430" i="10"/>
  <c r="EA265" i="10"/>
  <c r="ED265" i="10"/>
  <c r="CI18" i="10"/>
  <c r="AY18" i="10"/>
  <c r="CD18" i="10" s="1"/>
  <c r="CH18" i="10" s="1"/>
  <c r="AY42" i="10"/>
  <c r="CA42" i="10"/>
  <c r="CI42" i="10"/>
  <c r="CA18" i="10"/>
  <c r="BJ186" i="10"/>
  <c r="BL186" i="10" s="1"/>
  <c r="AQ186" i="10" s="1"/>
  <c r="BN186" i="10"/>
  <c r="BW186" i="10" s="1"/>
  <c r="CA186" i="10" s="1"/>
  <c r="BI192" i="10"/>
  <c r="BK192" i="10" s="1"/>
  <c r="BM192" i="10"/>
  <c r="BV192" i="10" s="1"/>
  <c r="BZ192" i="10" s="1"/>
  <c r="BJ196" i="10"/>
  <c r="BL196" i="10" s="1"/>
  <c r="BN196" i="10"/>
  <c r="BW196" i="10" s="1"/>
  <c r="AY451" i="10"/>
  <c r="BZ451" i="10"/>
  <c r="AY610" i="10"/>
  <c r="CA610" i="10"/>
  <c r="BJ215" i="10"/>
  <c r="BL215" i="10" s="1"/>
  <c r="AQ215" i="10" s="1"/>
  <c r="BN215" i="10"/>
  <c r="BW215" i="10" s="1"/>
  <c r="CA215" i="10" s="1"/>
  <c r="BF876" i="10"/>
  <c r="BU876" i="10" s="1"/>
  <c r="BB876" i="10"/>
  <c r="BD876" i="10" s="1"/>
  <c r="AN876" i="10" s="1"/>
  <c r="BF870" i="10"/>
  <c r="BU870" i="10" s="1"/>
  <c r="BY870" i="10" s="1"/>
  <c r="DU870" i="10" s="1"/>
  <c r="BB870" i="10"/>
  <c r="BD870" i="10" s="1"/>
  <c r="BF858" i="10"/>
  <c r="BU858" i="10" s="1"/>
  <c r="BY858" i="10" s="1"/>
  <c r="DU858" i="10" s="1"/>
  <c r="BB858" i="10"/>
  <c r="BD858" i="10" s="1"/>
  <c r="AN858" i="10" s="1"/>
  <c r="BF852" i="10"/>
  <c r="BU852" i="10" s="1"/>
  <c r="BB852" i="10"/>
  <c r="BD852" i="10" s="1"/>
  <c r="BF846" i="10"/>
  <c r="BU846" i="10" s="1"/>
  <c r="BB846" i="10"/>
  <c r="BD846" i="10" s="1"/>
  <c r="BF834" i="10"/>
  <c r="BU834" i="10" s="1"/>
  <c r="BB834" i="10"/>
  <c r="BD834" i="10" s="1"/>
  <c r="AW834" i="10" s="1"/>
  <c r="BF427" i="10"/>
  <c r="BU427" i="10" s="1"/>
  <c r="BB427" i="10"/>
  <c r="BD427" i="10" s="1"/>
  <c r="AN427" i="10" s="1"/>
  <c r="BF421" i="10"/>
  <c r="BU421" i="10" s="1"/>
  <c r="BY421" i="10" s="1"/>
  <c r="BB421" i="10"/>
  <c r="BD421" i="10" s="1"/>
  <c r="BF415" i="10"/>
  <c r="BU415" i="10" s="1"/>
  <c r="BY415" i="10" s="1"/>
  <c r="DU415" i="10" s="1"/>
  <c r="BB415" i="10"/>
  <c r="BD415" i="10" s="1"/>
  <c r="BF409" i="10"/>
  <c r="BU409" i="10" s="1"/>
  <c r="BB409" i="10"/>
  <c r="BD409" i="10" s="1"/>
  <c r="BE172" i="10"/>
  <c r="BT172" i="10" s="1"/>
  <c r="BA172" i="10"/>
  <c r="BC172" i="10" s="1"/>
  <c r="AW172" i="10" s="1"/>
  <c r="BE728" i="10"/>
  <c r="BT728" i="10" s="1"/>
  <c r="BA728" i="10"/>
  <c r="BC728" i="10" s="1"/>
  <c r="AN728" i="10" s="1"/>
  <c r="BE733" i="10"/>
  <c r="BT733" i="10" s="1"/>
  <c r="BX733" i="10" s="1"/>
  <c r="DT733" i="10" s="1"/>
  <c r="BA733" i="10"/>
  <c r="BC733" i="10" s="1"/>
  <c r="ED43" i="10"/>
  <c r="EA43" i="10"/>
  <c r="ED871" i="10"/>
  <c r="EA871" i="10"/>
  <c r="EA298" i="10"/>
  <c r="ED298" i="10"/>
  <c r="EA732" i="10"/>
  <c r="ED732" i="10"/>
  <c r="ED370" i="10"/>
  <c r="EA370" i="10"/>
  <c r="ED514" i="10"/>
  <c r="EA514" i="10"/>
  <c r="EA671" i="10"/>
  <c r="ED671" i="10"/>
  <c r="EA278" i="10"/>
  <c r="ED278" i="10"/>
  <c r="EA857" i="10"/>
  <c r="ED857" i="10"/>
  <c r="ED645" i="10"/>
  <c r="EA645" i="10"/>
  <c r="EA342" i="10"/>
  <c r="ED342" i="10"/>
  <c r="EA301" i="10"/>
  <c r="ED301" i="10"/>
  <c r="EA326" i="10"/>
  <c r="ED326" i="10"/>
  <c r="EA479" i="10"/>
  <c r="ED479" i="10"/>
  <c r="EA826" i="10"/>
  <c r="ED826" i="10"/>
  <c r="AY64" i="10"/>
  <c r="CA64" i="10"/>
  <c r="ED166" i="10"/>
  <c r="BJ147" i="10"/>
  <c r="BL147" i="10" s="1"/>
  <c r="BN147" i="10"/>
  <c r="BW147" i="10" s="1"/>
  <c r="CA147" i="10" s="1"/>
  <c r="BI155" i="10"/>
  <c r="BK155" i="10" s="1"/>
  <c r="BM155" i="10"/>
  <c r="BV155" i="10" s="1"/>
  <c r="BZ155" i="10" s="1"/>
  <c r="BJ159" i="10"/>
  <c r="BL159" i="10" s="1"/>
  <c r="BN159" i="10"/>
  <c r="BW159" i="10" s="1"/>
  <c r="CA159" i="10" s="1"/>
  <c r="ED72" i="10"/>
  <c r="ED24" i="10"/>
  <c r="EA175" i="10"/>
  <c r="ED175" i="10"/>
  <c r="EA71" i="10"/>
  <c r="ED71" i="10"/>
  <c r="EA180" i="10"/>
  <c r="ED180" i="10"/>
  <c r="EA99" i="10"/>
  <c r="ED99" i="10"/>
  <c r="EA199" i="10"/>
  <c r="ED199" i="10"/>
  <c r="EA78" i="10"/>
  <c r="ED78" i="10"/>
  <c r="EA198" i="10"/>
  <c r="ED198" i="10"/>
  <c r="EA57" i="10"/>
  <c r="ED57" i="10"/>
  <c r="EA88" i="10"/>
  <c r="ED88" i="10"/>
  <c r="EA839" i="10"/>
  <c r="ED839" i="10"/>
  <c r="ED446" i="10"/>
  <c r="EA446" i="10"/>
  <c r="ED365" i="10"/>
  <c r="EA365" i="10"/>
  <c r="ED318" i="10"/>
  <c r="EA318" i="10"/>
  <c r="EA536" i="10"/>
  <c r="ED536" i="10"/>
  <c r="EA245" i="10"/>
  <c r="ED245" i="10"/>
  <c r="ED286" i="10"/>
  <c r="EA286" i="10"/>
  <c r="ED524" i="10"/>
  <c r="EA524" i="10"/>
  <c r="ED290" i="10"/>
  <c r="EA290" i="10"/>
  <c r="ED575" i="10"/>
  <c r="EA575" i="10"/>
  <c r="EA665" i="10"/>
  <c r="ED665" i="10"/>
  <c r="EA793" i="10"/>
  <c r="ED793" i="10"/>
  <c r="EA292" i="10"/>
  <c r="ED292" i="10"/>
  <c r="EA287" i="10"/>
  <c r="ED287" i="10"/>
  <c r="EA312" i="10"/>
  <c r="ED312" i="10"/>
  <c r="EA515" i="10"/>
  <c r="ED515" i="10"/>
  <c r="EA672" i="10"/>
  <c r="ED672" i="10"/>
  <c r="EA534" i="10"/>
  <c r="ED534" i="10"/>
  <c r="ED134" i="10"/>
  <c r="EA147" i="10"/>
  <c r="ED147" i="10"/>
  <c r="CI19" i="10"/>
  <c r="ED182" i="10"/>
  <c r="EA182" i="10"/>
  <c r="EA167" i="10"/>
  <c r="ED167" i="10"/>
  <c r="EA210" i="10"/>
  <c r="ED210" i="10"/>
  <c r="EA178" i="10"/>
  <c r="ED178" i="10"/>
  <c r="EA54" i="10"/>
  <c r="ED54" i="10"/>
  <c r="EA70" i="10"/>
  <c r="ED70" i="10"/>
  <c r="EA856" i="10"/>
  <c r="ED856" i="10"/>
  <c r="EA808" i="10"/>
  <c r="ED808" i="10"/>
  <c r="EA756" i="10"/>
  <c r="ED756" i="10"/>
  <c r="ED410" i="10"/>
  <c r="EA410" i="10"/>
  <c r="EA234" i="10"/>
  <c r="ED234" i="10"/>
  <c r="ED823" i="10"/>
  <c r="EA823" i="10"/>
  <c r="ED464" i="10"/>
  <c r="EA464" i="10"/>
  <c r="ED719" i="10"/>
  <c r="EA719" i="10"/>
  <c r="ED877" i="10"/>
  <c r="EA877" i="10"/>
  <c r="EA322" i="10"/>
  <c r="ED322" i="10"/>
  <c r="ED658" i="10"/>
  <c r="EA658" i="10"/>
  <c r="ED660" i="10"/>
  <c r="EA660" i="10"/>
  <c r="EA591" i="10"/>
  <c r="ED591" i="10"/>
  <c r="EA431" i="10"/>
  <c r="ED431" i="10"/>
  <c r="ED344" i="10"/>
  <c r="EA344" i="10"/>
  <c r="ED523" i="10"/>
  <c r="EA523" i="10"/>
  <c r="BZ19" i="10"/>
  <c r="AY68" i="10"/>
  <c r="EA81" i="10"/>
  <c r="ED81" i="10"/>
  <c r="EA98" i="10"/>
  <c r="ED98" i="10"/>
  <c r="ED263" i="10"/>
  <c r="EA263" i="10"/>
  <c r="ED328" i="10"/>
  <c r="EA328" i="10"/>
  <c r="EA75" i="10"/>
  <c r="ED75" i="10"/>
  <c r="EA190" i="10"/>
  <c r="ED190" i="10"/>
  <c r="EA40" i="10"/>
  <c r="ED40" i="10"/>
  <c r="EA164" i="10"/>
  <c r="ED164" i="10"/>
  <c r="EA209" i="10"/>
  <c r="ED209" i="10"/>
  <c r="EA105" i="10"/>
  <c r="ED105" i="10"/>
  <c r="EA117" i="10"/>
  <c r="ED117" i="10"/>
  <c r="EA55" i="10"/>
  <c r="ED55" i="10"/>
  <c r="EA108" i="10"/>
  <c r="ED108" i="10"/>
  <c r="EA868" i="10"/>
  <c r="ED868" i="10"/>
  <c r="ED340" i="10"/>
  <c r="EA340" i="10"/>
  <c r="EA795" i="10"/>
  <c r="ED795" i="10"/>
  <c r="EA251" i="10"/>
  <c r="ED251" i="10"/>
  <c r="EA799" i="10"/>
  <c r="ED799" i="10"/>
  <c r="EA520" i="10"/>
  <c r="ED520" i="10"/>
  <c r="EA356" i="10"/>
  <c r="ED356" i="10"/>
  <c r="EA293" i="10"/>
  <c r="ED293" i="10"/>
  <c r="EA749" i="10"/>
  <c r="ED749" i="10"/>
  <c r="EA817" i="10"/>
  <c r="ED817" i="10"/>
  <c r="ED829" i="10"/>
  <c r="EA829" i="10"/>
  <c r="EA510" i="10"/>
  <c r="ED510" i="10"/>
  <c r="EA624" i="10"/>
  <c r="ED624" i="10"/>
  <c r="ED720" i="10"/>
  <c r="EA720" i="10"/>
  <c r="ED814" i="10"/>
  <c r="EA814" i="10"/>
  <c r="EA580" i="10"/>
  <c r="ED580" i="10"/>
  <c r="ED604" i="10"/>
  <c r="EA604" i="10"/>
  <c r="CA19" i="10"/>
  <c r="BZ64" i="10"/>
  <c r="AY128" i="10"/>
  <c r="AY106" i="10"/>
  <c r="BI113" i="10"/>
  <c r="BK113" i="10" s="1"/>
  <c r="BM113" i="10"/>
  <c r="BV113" i="10" s="1"/>
  <c r="BZ113" i="10" s="1"/>
  <c r="BI117" i="10"/>
  <c r="BK117" i="10" s="1"/>
  <c r="AQ117" i="10" s="1"/>
  <c r="BM117" i="10"/>
  <c r="BV117" i="10" s="1"/>
  <c r="BZ117" i="10" s="1"/>
  <c r="BI122" i="10"/>
  <c r="BK122" i="10" s="1"/>
  <c r="AQ122" i="10" s="1"/>
  <c r="BM122" i="10"/>
  <c r="BV122" i="10" s="1"/>
  <c r="BZ122" i="10" s="1"/>
  <c r="BZ519" i="10"/>
  <c r="EA155" i="10"/>
  <c r="ED155" i="10"/>
  <c r="ED400" i="10"/>
  <c r="EA400" i="10"/>
  <c r="EA772" i="10"/>
  <c r="ED772" i="10"/>
  <c r="EA626" i="10"/>
  <c r="ED626" i="10"/>
  <c r="EA185" i="10"/>
  <c r="ED185" i="10"/>
  <c r="EA151" i="10"/>
  <c r="ED151" i="10"/>
  <c r="EA197" i="10"/>
  <c r="ED197" i="10"/>
  <c r="EA211" i="10"/>
  <c r="ED211" i="10"/>
  <c r="EA214" i="10"/>
  <c r="ED214" i="10"/>
  <c r="EA129" i="10"/>
  <c r="ED129" i="10"/>
  <c r="EA677" i="10"/>
  <c r="ED677" i="10"/>
  <c r="EA760" i="10"/>
  <c r="ED760" i="10"/>
  <c r="EA247" i="10"/>
  <c r="ED247" i="10"/>
  <c r="EA819" i="10"/>
  <c r="ED819" i="10"/>
  <c r="ED631" i="10"/>
  <c r="EA631" i="10"/>
  <c r="ED833" i="10"/>
  <c r="EA833" i="10"/>
  <c r="ED616" i="10"/>
  <c r="EA616" i="10"/>
  <c r="ED473" i="10"/>
  <c r="EA473" i="10"/>
  <c r="EA284" i="10"/>
  <c r="ED284" i="10"/>
  <c r="EA714" i="10"/>
  <c r="ED714" i="10"/>
  <c r="ED296" i="10"/>
  <c r="EA296" i="10"/>
  <c r="ED448" i="10"/>
  <c r="EA448" i="10"/>
  <c r="EA564" i="10"/>
  <c r="ED564" i="10"/>
  <c r="ED498" i="10"/>
  <c r="EA498" i="10"/>
  <c r="EA452" i="10"/>
  <c r="ED452" i="10"/>
  <c r="CA40" i="10"/>
  <c r="CA329" i="10"/>
  <c r="BJ55" i="10"/>
  <c r="BL55" i="10" s="1"/>
  <c r="AQ55" i="10" s="1"/>
  <c r="BN55" i="10"/>
  <c r="BW55" i="10" s="1"/>
  <c r="CA55" i="10" s="1"/>
  <c r="BI79" i="10"/>
  <c r="BK79" i="10" s="1"/>
  <c r="AQ79" i="10" s="1"/>
  <c r="BM79" i="10"/>
  <c r="BV79" i="10" s="1"/>
  <c r="BZ79" i="10" s="1"/>
  <c r="BN109" i="10"/>
  <c r="BW109" i="10" s="1"/>
  <c r="CA109" i="10" s="1"/>
  <c r="BJ109" i="10"/>
  <c r="BL109" i="10" s="1"/>
  <c r="AQ109" i="10" s="1"/>
  <c r="AY252" i="10"/>
  <c r="BZ252" i="10"/>
  <c r="CA252" i="10"/>
  <c r="EA500" i="10"/>
  <c r="ED500" i="10"/>
  <c r="EA865" i="10"/>
  <c r="ED865" i="10"/>
  <c r="EA218" i="10"/>
  <c r="ED218" i="10"/>
  <c r="ED841" i="10"/>
  <c r="EA841" i="10"/>
  <c r="EA707" i="10"/>
  <c r="ED707" i="10"/>
  <c r="EA691" i="10"/>
  <c r="ED691" i="10"/>
  <c r="EA502" i="10"/>
  <c r="ED502" i="10"/>
  <c r="AY362" i="10"/>
  <c r="AY494" i="10"/>
  <c r="BZ494" i="10"/>
  <c r="CA494" i="10"/>
  <c r="BZ138" i="10"/>
  <c r="ED114" i="10"/>
  <c r="EA36" i="10"/>
  <c r="ED36" i="10"/>
  <c r="EA189" i="10"/>
  <c r="ED189" i="10"/>
  <c r="EA39" i="10"/>
  <c r="ED39" i="10"/>
  <c r="EA153" i="10"/>
  <c r="ED153" i="10"/>
  <c r="EA137" i="10"/>
  <c r="ED137" i="10"/>
  <c r="EA35" i="10"/>
  <c r="ED35" i="10"/>
  <c r="ED792" i="10"/>
  <c r="EA792" i="10"/>
  <c r="EA86" i="10"/>
  <c r="ED86" i="10"/>
  <c r="EA682" i="10"/>
  <c r="ED682" i="10"/>
  <c r="EA605" i="10"/>
  <c r="ED605" i="10"/>
  <c r="ED281" i="10"/>
  <c r="EA281" i="10"/>
  <c r="EA636" i="10"/>
  <c r="ED636" i="10"/>
  <c r="EA283" i="10"/>
  <c r="ED283" i="10"/>
  <c r="EA695" i="10"/>
  <c r="EA647" i="10"/>
  <c r="ED647" i="10"/>
  <c r="EA781" i="10"/>
  <c r="ED781" i="10"/>
  <c r="ED313" i="10"/>
  <c r="EA313" i="10"/>
  <c r="EA236" i="10"/>
  <c r="ED236" i="10"/>
  <c r="EA516" i="10"/>
  <c r="ED516" i="10"/>
  <c r="EA451" i="10"/>
  <c r="ED451" i="10"/>
  <c r="EA774" i="10"/>
  <c r="ED774" i="10"/>
  <c r="EA802" i="10"/>
  <c r="ED802" i="10"/>
  <c r="EA558" i="10"/>
  <c r="ED558" i="10"/>
  <c r="EA443" i="10"/>
  <c r="ED443" i="10"/>
  <c r="ED482" i="10"/>
  <c r="EA482" i="10"/>
  <c r="EA455" i="10"/>
  <c r="ED455" i="10"/>
  <c r="CA133" i="10"/>
  <c r="CA174" i="10"/>
  <c r="AY174" i="10"/>
  <c r="AY861" i="10"/>
  <c r="BZ861" i="10"/>
  <c r="CA861" i="10"/>
  <c r="BZ407" i="10"/>
  <c r="AY407" i="10"/>
  <c r="EA165" i="10"/>
  <c r="ED48" i="10"/>
  <c r="EA156" i="10"/>
  <c r="ED156" i="10"/>
  <c r="EA186" i="10"/>
  <c r="ED186" i="10"/>
  <c r="EA169" i="10"/>
  <c r="ED169" i="10"/>
  <c r="EA51" i="10"/>
  <c r="ED51" i="10"/>
  <c r="EA128" i="10"/>
  <c r="ED128" i="10"/>
  <c r="EA685" i="10"/>
  <c r="ED685" i="10"/>
  <c r="EA80" i="10"/>
  <c r="ED80" i="10"/>
  <c r="EA844" i="10"/>
  <c r="ED844" i="10"/>
  <c r="EA541" i="10"/>
  <c r="ED541" i="10"/>
  <c r="EA555" i="10"/>
  <c r="EA521" i="10"/>
  <c r="ED521" i="10"/>
  <c r="EA432" i="10"/>
  <c r="ED432" i="10"/>
  <c r="EA532" i="10"/>
  <c r="ED532" i="10"/>
  <c r="EA598" i="10"/>
  <c r="ED598" i="10"/>
  <c r="EA542" i="10"/>
  <c r="ED542" i="10"/>
  <c r="EA268" i="10"/>
  <c r="ED268" i="10"/>
  <c r="ED358" i="10"/>
  <c r="EA358" i="10"/>
  <c r="ED426" i="10"/>
  <c r="EA426" i="10"/>
  <c r="EA757" i="10"/>
  <c r="ED757" i="10"/>
  <c r="EA232" i="10"/>
  <c r="ED232" i="10"/>
  <c r="ED215" i="10"/>
  <c r="EA215" i="10"/>
  <c r="EA276" i="10"/>
  <c r="ED276" i="10"/>
  <c r="EA550" i="10"/>
  <c r="ED550" i="10"/>
  <c r="EA778" i="10"/>
  <c r="ED778" i="10"/>
  <c r="EA588" i="10"/>
  <c r="ED588" i="10"/>
  <c r="EA699" i="10"/>
  <c r="ED699" i="10"/>
  <c r="AY117" i="10"/>
  <c r="AY90" i="10"/>
  <c r="BZ90" i="10"/>
  <c r="EA212" i="10"/>
  <c r="BI214" i="10"/>
  <c r="BK214" i="10" s="1"/>
  <c r="AQ214" i="10" s="1"/>
  <c r="BM214" i="10"/>
  <c r="BV214" i="10" s="1"/>
  <c r="BZ214" i="10" s="1"/>
  <c r="BZ41" i="10"/>
  <c r="CA47" i="10"/>
  <c r="BJ792" i="10"/>
  <c r="BL792" i="10" s="1"/>
  <c r="BN792" i="10"/>
  <c r="BW792" i="10" s="1"/>
  <c r="CA41" i="10"/>
  <c r="BZ110" i="10"/>
  <c r="BZ211" i="10"/>
  <c r="BM809" i="10"/>
  <c r="BV809" i="10" s="1"/>
  <c r="BZ809" i="10" s="1"/>
  <c r="BI809" i="10"/>
  <c r="BK809" i="10" s="1"/>
  <c r="AQ809" i="10" s="1"/>
  <c r="BI700" i="10"/>
  <c r="BK700" i="10" s="1"/>
  <c r="AQ700" i="10" s="1"/>
  <c r="BM700" i="10"/>
  <c r="BV700" i="10" s="1"/>
  <c r="BZ700" i="10" s="1"/>
  <c r="CA134" i="10"/>
  <c r="BZ127" i="10"/>
  <c r="BZ60" i="10"/>
  <c r="CA145" i="10"/>
  <c r="BZ169" i="10"/>
  <c r="BZ58" i="10"/>
  <c r="CA62" i="10"/>
  <c r="BJ74" i="10"/>
  <c r="BL74" i="10" s="1"/>
  <c r="AQ74" i="10" s="1"/>
  <c r="BZ193" i="10"/>
  <c r="AQ200" i="10"/>
  <c r="BZ455" i="10"/>
  <c r="BZ671" i="10"/>
  <c r="CA462" i="10"/>
  <c r="BI871" i="10"/>
  <c r="BK871" i="10" s="1"/>
  <c r="BM871" i="10"/>
  <c r="BV871" i="10" s="1"/>
  <c r="BZ871" i="10" s="1"/>
  <c r="CA90" i="10"/>
  <c r="AN148" i="10"/>
  <c r="CA75" i="10"/>
  <c r="BZ141" i="10"/>
  <c r="CA24" i="10"/>
  <c r="BZ86" i="10"/>
  <c r="BI45" i="10"/>
  <c r="BK45" i="10" s="1"/>
  <c r="AQ45" i="10" s="1"/>
  <c r="CA177" i="10"/>
  <c r="BZ183" i="10"/>
  <c r="CA422" i="10"/>
  <c r="BM825" i="10"/>
  <c r="BV825" i="10" s="1"/>
  <c r="BZ825" i="10" s="1"/>
  <c r="BI825" i="10"/>
  <c r="BK825" i="10" s="1"/>
  <c r="AQ825" i="10" s="1"/>
  <c r="AY479" i="10"/>
  <c r="CA65" i="10"/>
  <c r="CA205" i="10"/>
  <c r="BZ107" i="10"/>
  <c r="BI140" i="10"/>
  <c r="BK140" i="10" s="1"/>
  <c r="AQ140" i="10" s="1"/>
  <c r="CA146" i="10"/>
  <c r="BZ57" i="10"/>
  <c r="BZ81" i="10"/>
  <c r="BZ119" i="10"/>
  <c r="BZ157" i="10"/>
  <c r="BZ189" i="10"/>
  <c r="CA204" i="10"/>
  <c r="BZ362" i="10"/>
  <c r="CA394" i="10"/>
  <c r="BI878" i="10"/>
  <c r="BK878" i="10" s="1"/>
  <c r="AQ878" i="10" s="1"/>
  <c r="BM878" i="10"/>
  <c r="BV878" i="10" s="1"/>
  <c r="BZ878" i="10" s="1"/>
  <c r="BN768" i="10"/>
  <c r="BW768" i="10" s="1"/>
  <c r="CA768" i="10" s="1"/>
  <c r="BJ768" i="10"/>
  <c r="BL768" i="10" s="1"/>
  <c r="AQ768" i="10" s="1"/>
  <c r="BN760" i="10"/>
  <c r="BW760" i="10" s="1"/>
  <c r="CA760" i="10" s="1"/>
  <c r="BJ760" i="10"/>
  <c r="BL760" i="10" s="1"/>
  <c r="AQ760" i="10" s="1"/>
  <c r="BN759" i="10"/>
  <c r="BW759" i="10" s="1"/>
  <c r="CA759" i="10" s="1"/>
  <c r="BJ759" i="10"/>
  <c r="BL759" i="10" s="1"/>
  <c r="AQ759" i="10" s="1"/>
  <c r="AY107" i="10"/>
  <c r="BI211" i="10"/>
  <c r="BK211" i="10" s="1"/>
  <c r="AQ211" i="10" s="1"/>
  <c r="BZ212" i="10"/>
  <c r="BN93" i="10"/>
  <c r="BW93" i="10" s="1"/>
  <c r="CA93" i="10" s="1"/>
  <c r="CA122" i="10"/>
  <c r="BN176" i="10"/>
  <c r="BW176" i="10" s="1"/>
  <c r="CA176" i="10" s="1"/>
  <c r="BZ34" i="10"/>
  <c r="CA98" i="10"/>
  <c r="CA102" i="10"/>
  <c r="CA198" i="10"/>
  <c r="AQ212" i="10"/>
  <c r="BZ52" i="10"/>
  <c r="CA136" i="10"/>
  <c r="CA141" i="10"/>
  <c r="CA97" i="10"/>
  <c r="BN32" i="10"/>
  <c r="BW32" i="10" s="1"/>
  <c r="CA181" i="10"/>
  <c r="CA101" i="10"/>
  <c r="BI110" i="10"/>
  <c r="BK110" i="10" s="1"/>
  <c r="AQ110" i="10" s="1"/>
  <c r="CA182" i="10"/>
  <c r="CA188" i="10"/>
  <c r="BJ144" i="10"/>
  <c r="BL144" i="10" s="1"/>
  <c r="BZ54" i="10"/>
  <c r="BZ95" i="10"/>
  <c r="BZ142" i="10"/>
  <c r="BZ223" i="10"/>
  <c r="CA266" i="10"/>
  <c r="BZ275" i="10"/>
  <c r="CA538" i="10"/>
  <c r="BI864" i="10"/>
  <c r="BK864" i="10" s="1"/>
  <c r="AQ864" i="10" s="1"/>
  <c r="BM864" i="10"/>
  <c r="BV864" i="10" s="1"/>
  <c r="BZ864" i="10" s="1"/>
  <c r="CA854" i="10"/>
  <c r="AY854" i="10"/>
  <c r="BJ819" i="10"/>
  <c r="BL819" i="10" s="1"/>
  <c r="BN819" i="10"/>
  <c r="BW819" i="10" s="1"/>
  <c r="CA819" i="10" s="1"/>
  <c r="CA77" i="10"/>
  <c r="CA54" i="10"/>
  <c r="CA137" i="10"/>
  <c r="BZ36" i="10"/>
  <c r="CA185" i="10"/>
  <c r="CA168" i="10"/>
  <c r="BZ174" i="10"/>
  <c r="BZ195" i="10"/>
  <c r="BZ624" i="10"/>
  <c r="AW720" i="10"/>
  <c r="BZ124" i="10"/>
  <c r="BZ133" i="10"/>
  <c r="BZ102" i="10"/>
  <c r="BZ186" i="10"/>
  <c r="CA149" i="10"/>
  <c r="BZ180" i="10"/>
  <c r="BI75" i="10"/>
  <c r="BK75" i="10" s="1"/>
  <c r="AQ75" i="10" s="1"/>
  <c r="CA103" i="10"/>
  <c r="CA108" i="10"/>
  <c r="BZ185" i="10"/>
  <c r="BZ213" i="10"/>
  <c r="CA482" i="10"/>
  <c r="CA541" i="10"/>
  <c r="BJ371" i="10"/>
  <c r="BL371" i="10" s="1"/>
  <c r="AQ371" i="10" s="1"/>
  <c r="BN371" i="10"/>
  <c r="BW371" i="10" s="1"/>
  <c r="CA371" i="10" s="1"/>
  <c r="BI41" i="10"/>
  <c r="BK41" i="10" s="1"/>
  <c r="BZ50" i="10"/>
  <c r="BZ204" i="10"/>
  <c r="BZ22" i="10"/>
  <c r="BZ59" i="10"/>
  <c r="CA116" i="10"/>
  <c r="CA180" i="10"/>
  <c r="BZ206" i="10"/>
  <c r="CA681" i="10"/>
  <c r="BZ108" i="10"/>
  <c r="BZ190" i="10"/>
  <c r="CA125" i="10"/>
  <c r="BZ159" i="10"/>
  <c r="BZ132" i="10"/>
  <c r="CA71" i="10"/>
  <c r="BN187" i="10"/>
  <c r="BW187" i="10" s="1"/>
  <c r="CA187" i="10" s="1"/>
  <c r="CA104" i="10"/>
  <c r="CA78" i="10"/>
  <c r="BZ83" i="10"/>
  <c r="CA96" i="10"/>
  <c r="BN607" i="10"/>
  <c r="BW607" i="10" s="1"/>
  <c r="CA607" i="10" s="1"/>
  <c r="BJ607" i="10"/>
  <c r="BL607" i="10" s="1"/>
  <c r="BM435" i="10"/>
  <c r="BV435" i="10" s="1"/>
  <c r="BZ435" i="10" s="1"/>
  <c r="BI435" i="10"/>
  <c r="BK435" i="10" s="1"/>
  <c r="AQ435" i="10" s="1"/>
  <c r="BZ126" i="10"/>
  <c r="CA150" i="10"/>
  <c r="BZ170" i="10"/>
  <c r="CA448" i="10"/>
  <c r="BZ558" i="10"/>
  <c r="BZ620" i="10"/>
  <c r="BZ707" i="10"/>
  <c r="BZ220" i="10"/>
  <c r="AQ336" i="10"/>
  <c r="BZ295" i="10"/>
  <c r="CA542" i="10"/>
  <c r="CA520" i="10"/>
  <c r="BZ813" i="10"/>
  <c r="CA757" i="10"/>
  <c r="CA277" i="10"/>
  <c r="AQ434" i="10"/>
  <c r="AQ786" i="10"/>
  <c r="CA591" i="10"/>
  <c r="BZ370" i="10"/>
  <c r="BZ229" i="10"/>
  <c r="BZ855" i="10"/>
  <c r="BZ653" i="10"/>
  <c r="BZ697" i="10"/>
  <c r="AQ766" i="10"/>
  <c r="BZ388" i="10"/>
  <c r="BZ622" i="10"/>
  <c r="BZ856" i="10"/>
  <c r="CA361" i="10"/>
  <c r="BZ634" i="10"/>
  <c r="CA434" i="10"/>
  <c r="BZ654" i="10"/>
  <c r="BZ723" i="10"/>
  <c r="BZ540" i="10"/>
  <c r="AQ502" i="10"/>
  <c r="BZ520" i="10"/>
  <c r="CA594" i="10"/>
  <c r="BZ720" i="10"/>
  <c r="CA447" i="10"/>
  <c r="BZ144" i="10"/>
  <c r="BZ324" i="10"/>
  <c r="BZ572" i="10"/>
  <c r="CA689" i="10"/>
  <c r="AQ631" i="10"/>
  <c r="AQ627" i="10"/>
  <c r="CA719" i="10"/>
  <c r="BZ659" i="10"/>
  <c r="BZ727" i="10"/>
  <c r="CA271" i="10"/>
  <c r="CA410" i="10"/>
  <c r="AQ782" i="10"/>
  <c r="CA258" i="10"/>
  <c r="BZ418" i="10"/>
  <c r="BZ417" i="10"/>
  <c r="AQ436" i="10"/>
  <c r="BZ441" i="10"/>
  <c r="BZ373" i="10"/>
  <c r="CA250" i="10"/>
  <c r="AQ721" i="10"/>
  <c r="CA285" i="10"/>
  <c r="CA634" i="10"/>
  <c r="AQ456" i="10"/>
  <c r="BZ830" i="10"/>
  <c r="CA519" i="10"/>
  <c r="CA432" i="10"/>
  <c r="CA510" i="10"/>
  <c r="CA395" i="10"/>
  <c r="BZ709" i="10"/>
  <c r="CA823" i="10"/>
  <c r="CA460" i="10"/>
  <c r="BZ775" i="10"/>
  <c r="CA609" i="10"/>
  <c r="BZ311" i="10"/>
  <c r="CA292" i="10"/>
  <c r="CA374" i="10"/>
  <c r="CA366" i="10"/>
  <c r="BZ739" i="10"/>
  <c r="AQ321" i="10"/>
  <c r="AQ558" i="10"/>
  <c r="CA636" i="10"/>
  <c r="BZ563" i="10"/>
  <c r="BZ759" i="10"/>
  <c r="CA228" i="10"/>
  <c r="BZ365" i="10"/>
  <c r="CA479" i="10"/>
  <c r="BZ337" i="10"/>
  <c r="AQ845" i="10"/>
  <c r="CA876" i="10"/>
  <c r="CA486" i="10"/>
  <c r="AQ618" i="10"/>
  <c r="BZ689" i="10"/>
  <c r="CA441" i="10"/>
  <c r="CA572" i="10"/>
  <c r="AQ633" i="10"/>
  <c r="CA514" i="10"/>
  <c r="AQ262" i="10"/>
  <c r="CA543" i="10"/>
  <c r="CA239" i="10"/>
  <c r="CA283" i="10"/>
  <c r="CA367" i="10"/>
  <c r="CA683" i="10"/>
  <c r="AQ565" i="10"/>
  <c r="BZ341" i="10"/>
  <c r="CA632" i="10"/>
  <c r="AQ843" i="10"/>
  <c r="BZ235" i="10"/>
  <c r="CA838" i="10"/>
  <c r="BZ432" i="10"/>
  <c r="CA320" i="10"/>
  <c r="BZ681" i="10"/>
  <c r="BZ761" i="10"/>
  <c r="CA365" i="10"/>
  <c r="CA350" i="10"/>
  <c r="AQ415" i="10"/>
  <c r="CA579" i="10"/>
  <c r="CA608" i="10"/>
  <c r="BZ857" i="10"/>
  <c r="CA407" i="10"/>
  <c r="BZ816" i="10"/>
  <c r="AQ253" i="10"/>
  <c r="BZ334" i="10"/>
  <c r="AQ320" i="10"/>
  <c r="AQ384" i="10"/>
  <c r="CA809" i="10"/>
  <c r="BZ317" i="10"/>
  <c r="BZ296" i="10"/>
  <c r="CA640" i="10"/>
  <c r="CA775" i="10"/>
  <c r="AQ394" i="10"/>
  <c r="CA474" i="10"/>
  <c r="CA273" i="10"/>
  <c r="CA774" i="10"/>
  <c r="AY432" i="10"/>
  <c r="AX432" i="10"/>
  <c r="AX535" i="10"/>
  <c r="AU535" i="10"/>
  <c r="CA856" i="10"/>
  <c r="CA818" i="10"/>
  <c r="CA674" i="10"/>
  <c r="CA795" i="10"/>
  <c r="CA778" i="10"/>
  <c r="BZ746" i="10"/>
  <c r="AQ709" i="10"/>
  <c r="CA697" i="10"/>
  <c r="CA688" i="10"/>
  <c r="AQ597" i="10"/>
  <c r="BZ779" i="10"/>
  <c r="CA728" i="10"/>
  <c r="CA694" i="10"/>
  <c r="BZ862" i="10"/>
  <c r="BZ668" i="10"/>
  <c r="CA733" i="10"/>
  <c r="BZ649" i="10"/>
  <c r="CA799" i="10"/>
  <c r="BZ648" i="10"/>
  <c r="BZ765" i="10"/>
  <c r="BZ752" i="10"/>
  <c r="CA737" i="10"/>
  <c r="BZ732" i="10"/>
  <c r="AQ646" i="10"/>
  <c r="CA613" i="10"/>
  <c r="BZ603" i="10"/>
  <c r="CA569" i="10"/>
  <c r="BZ452" i="10"/>
  <c r="CA568" i="10"/>
  <c r="BZ429" i="10"/>
  <c r="BZ375" i="10"/>
  <c r="AQ277" i="10"/>
  <c r="BF246" i="10"/>
  <c r="BU246" i="10" s="1"/>
  <c r="BY246" i="10" s="1"/>
  <c r="DU246" i="10" s="1"/>
  <c r="BB246" i="10"/>
  <c r="BD246" i="10" s="1"/>
  <c r="BZ426" i="10"/>
  <c r="AX269" i="10"/>
  <c r="AU269" i="10"/>
  <c r="CI269" i="10" s="1"/>
  <c r="BF424" i="10"/>
  <c r="BU424" i="10" s="1"/>
  <c r="BY424" i="10" s="1"/>
  <c r="BB424" i="10"/>
  <c r="BD424" i="10" s="1"/>
  <c r="AN424" i="10" s="1"/>
  <c r="BZ505" i="10"/>
  <c r="CA471" i="10"/>
  <c r="CA561" i="10"/>
  <c r="BF231" i="10"/>
  <c r="BU231" i="10" s="1"/>
  <c r="BB231" i="10"/>
  <c r="BD231" i="10" s="1"/>
  <c r="BZ415" i="10"/>
  <c r="BZ613" i="10"/>
  <c r="BZ588" i="10"/>
  <c r="CA347" i="10"/>
  <c r="BF332" i="10"/>
  <c r="BU332" i="10" s="1"/>
  <c r="BB332" i="10"/>
  <c r="BD332" i="10" s="1"/>
  <c r="BY78" i="10"/>
  <c r="DU78" i="10" s="1"/>
  <c r="BY60" i="10"/>
  <c r="DU60" i="10" s="1"/>
  <c r="BY42" i="10"/>
  <c r="DU42" i="10" s="1"/>
  <c r="BY18" i="10"/>
  <c r="DU18" i="10" s="1"/>
  <c r="BY530" i="10"/>
  <c r="DU530" i="10" s="1"/>
  <c r="BZ408" i="10"/>
  <c r="CA373" i="10"/>
  <c r="AQ315" i="10"/>
  <c r="BY89" i="10"/>
  <c r="DU89" i="10" s="1"/>
  <c r="BY77" i="10"/>
  <c r="DU77" i="10" s="1"/>
  <c r="BY71" i="10"/>
  <c r="DU71" i="10" s="1"/>
  <c r="BY59" i="10"/>
  <c r="DU59" i="10" s="1"/>
  <c r="BY53" i="10"/>
  <c r="DU53" i="10" s="1"/>
  <c r="BY47" i="10"/>
  <c r="DU47" i="10" s="1"/>
  <c r="BY41" i="10"/>
  <c r="DU41" i="10" s="1"/>
  <c r="BY35" i="10"/>
  <c r="DU35" i="10" s="1"/>
  <c r="BY29" i="10"/>
  <c r="DU29" i="10" s="1"/>
  <c r="BY23" i="10"/>
  <c r="BX81" i="10"/>
  <c r="BX99" i="10"/>
  <c r="BX237" i="10"/>
  <c r="BZ237" i="10"/>
  <c r="BY535" i="10"/>
  <c r="DU535" i="10" s="1"/>
  <c r="BX31" i="10"/>
  <c r="DT31" i="10" s="1"/>
  <c r="BX49" i="10"/>
  <c r="BX85" i="10"/>
  <c r="BX175" i="10"/>
  <c r="DT175" i="10" s="1"/>
  <c r="BX193" i="10"/>
  <c r="BX211" i="10"/>
  <c r="BX452" i="10"/>
  <c r="DN452" i="10" s="1"/>
  <c r="BP452" i="10" s="1"/>
  <c r="BY16" i="10"/>
  <c r="DU16" i="10" s="1"/>
  <c r="BX42" i="10"/>
  <c r="BX60" i="10"/>
  <c r="BX78" i="10"/>
  <c r="BX96" i="10"/>
  <c r="DT96" i="10" s="1"/>
  <c r="CA419" i="10"/>
  <c r="CA357" i="10"/>
  <c r="BZ313" i="10"/>
  <c r="BZ300" i="10"/>
  <c r="BY111" i="10"/>
  <c r="DU111" i="10" s="1"/>
  <c r="BY105" i="10"/>
  <c r="DU105" i="10" s="1"/>
  <c r="BY99" i="10"/>
  <c r="DU99" i="10" s="1"/>
  <c r="BY93" i="10"/>
  <c r="DU93" i="10" s="1"/>
  <c r="BY87" i="10"/>
  <c r="DU87" i="10" s="1"/>
  <c r="BY81" i="10"/>
  <c r="DU81" i="10" s="1"/>
  <c r="BY75" i="10"/>
  <c r="DU75" i="10" s="1"/>
  <c r="BY69" i="10"/>
  <c r="DU69" i="10" s="1"/>
  <c r="BY63" i="10"/>
  <c r="DU63" i="10" s="1"/>
  <c r="BY57" i="10"/>
  <c r="DU57" i="10" s="1"/>
  <c r="BY51" i="10"/>
  <c r="DU51" i="10" s="1"/>
  <c r="BY45" i="10"/>
  <c r="DU45" i="10" s="1"/>
  <c r="BY39" i="10"/>
  <c r="DU39" i="10" s="1"/>
  <c r="BY33" i="10"/>
  <c r="DU33" i="10" s="1"/>
  <c r="BX39" i="10"/>
  <c r="BX57" i="10"/>
  <c r="BX75" i="10"/>
  <c r="BX93" i="10"/>
  <c r="BX111" i="10"/>
  <c r="BZ368" i="10"/>
  <c r="BY248" i="10"/>
  <c r="DU248" i="10" s="1"/>
  <c r="BX43" i="10"/>
  <c r="DT43" i="10" s="1"/>
  <c r="BX61" i="10"/>
  <c r="BX79" i="10"/>
  <c r="BX151" i="10"/>
  <c r="BX169" i="10"/>
  <c r="BX187" i="10"/>
  <c r="BX205" i="10"/>
  <c r="BX223" i="10"/>
  <c r="BX255" i="10"/>
  <c r="BX566" i="10"/>
  <c r="CA260" i="10"/>
  <c r="BY80" i="10"/>
  <c r="DU80" i="10" s="1"/>
  <c r="BY62" i="10"/>
  <c r="DU62" i="10" s="1"/>
  <c r="BY44" i="10"/>
  <c r="DU44" i="10" s="1"/>
  <c r="CA251" i="10"/>
  <c r="BY330" i="10"/>
  <c r="BX220" i="10"/>
  <c r="BZ427" i="10"/>
  <c r="CA305" i="10"/>
  <c r="AQ269" i="10"/>
  <c r="BY217" i="10"/>
  <c r="BY199" i="10"/>
  <c r="BY175" i="10"/>
  <c r="DU175" i="10" s="1"/>
  <c r="BY169" i="10"/>
  <c r="DU169" i="10" s="1"/>
  <c r="BY163" i="10"/>
  <c r="DU163" i="10" s="1"/>
  <c r="BY157" i="10"/>
  <c r="DU157" i="10" s="1"/>
  <c r="BY151" i="10"/>
  <c r="DU151" i="10" s="1"/>
  <c r="BY145" i="10"/>
  <c r="BY139" i="10"/>
  <c r="DU139" i="10" s="1"/>
  <c r="BY133" i="10"/>
  <c r="DU133" i="10" s="1"/>
  <c r="BY127" i="10"/>
  <c r="DU127" i="10" s="1"/>
  <c r="BY121" i="10"/>
  <c r="DU121" i="10" s="1"/>
  <c r="BY109" i="10"/>
  <c r="DU109" i="10" s="1"/>
  <c r="BY103" i="10"/>
  <c r="DU103" i="10" s="1"/>
  <c r="BY97" i="10"/>
  <c r="DU97" i="10" s="1"/>
  <c r="BY91" i="10"/>
  <c r="BX33" i="10"/>
  <c r="DT33" i="10" s="1"/>
  <c r="BX51" i="10"/>
  <c r="DT51" i="10" s="1"/>
  <c r="BX69" i="10"/>
  <c r="BX87" i="10"/>
  <c r="BX105" i="10"/>
  <c r="DT105" i="10" s="1"/>
  <c r="BX240" i="10"/>
  <c r="BX248" i="10"/>
  <c r="BX269" i="10"/>
  <c r="BY55" i="10"/>
  <c r="BY49" i="10"/>
  <c r="DU49" i="10" s="1"/>
  <c r="BY43" i="10"/>
  <c r="DU43" i="10" s="1"/>
  <c r="BY31" i="10"/>
  <c r="DU31" i="10" s="1"/>
  <c r="BY305" i="10"/>
  <c r="DU305" i="10" s="1"/>
  <c r="BY222" i="10"/>
  <c r="DU222" i="10" s="1"/>
  <c r="BY216" i="10"/>
  <c r="DU216" i="10" s="1"/>
  <c r="BY210" i="10"/>
  <c r="BY204" i="10"/>
  <c r="BY198" i="10"/>
  <c r="BX35" i="10"/>
  <c r="BX50" i="10"/>
  <c r="BX53" i="10"/>
  <c r="BX59" i="10"/>
  <c r="DT59" i="10" s="1"/>
  <c r="BX62" i="10"/>
  <c r="BX65" i="10"/>
  <c r="DN65" i="10" s="1"/>
  <c r="BP65" i="10" s="1"/>
  <c r="BX68" i="10"/>
  <c r="DN68" i="10" s="1"/>
  <c r="BP68" i="10" s="1"/>
  <c r="DO68" i="10" s="1"/>
  <c r="BX71" i="10"/>
  <c r="DT71" i="10" s="1"/>
  <c r="BX74" i="10"/>
  <c r="DT74" i="10" s="1"/>
  <c r="BX77" i="10"/>
  <c r="BX80" i="10"/>
  <c r="BX86" i="10"/>
  <c r="DT86" i="10" s="1"/>
  <c r="BX98" i="10"/>
  <c r="BX104" i="10"/>
  <c r="BX107" i="10"/>
  <c r="DT107" i="10" s="1"/>
  <c r="BX110" i="10"/>
  <c r="BX113" i="10"/>
  <c r="BX119" i="10"/>
  <c r="DT119" i="10" s="1"/>
  <c r="BX122" i="10"/>
  <c r="BX125" i="10"/>
  <c r="DT125" i="10" s="1"/>
  <c r="BX131" i="10"/>
  <c r="DN131" i="10" s="1"/>
  <c r="BP131" i="10" s="1"/>
  <c r="DO131" i="10" s="1"/>
  <c r="BX134" i="10"/>
  <c r="BX137" i="10"/>
  <c r="DN137" i="10" s="1"/>
  <c r="BP137" i="10" s="1"/>
  <c r="DO137" i="10" s="1"/>
  <c r="BX143" i="10"/>
  <c r="BX146" i="10"/>
  <c r="BX149" i="10"/>
  <c r="BX152" i="10"/>
  <c r="DT152" i="10" s="1"/>
  <c r="BX155" i="10"/>
  <c r="DN155" i="10" s="1"/>
  <c r="BP155" i="10" s="1"/>
  <c r="BX158" i="10"/>
  <c r="BX161" i="10"/>
  <c r="BX164" i="10"/>
  <c r="DN164" i="10" s="1"/>
  <c r="BP164" i="10" s="1"/>
  <c r="BX167" i="10"/>
  <c r="DN167" i="10" s="1"/>
  <c r="BP167" i="10" s="1"/>
  <c r="DO167" i="10" s="1"/>
  <c r="BX170" i="10"/>
  <c r="DN170" i="10" s="1"/>
  <c r="BP170" i="10" s="1"/>
  <c r="DO170" i="10" s="1"/>
  <c r="BX173" i="10"/>
  <c r="DN173" i="10" s="1"/>
  <c r="BP173" i="10" s="1"/>
  <c r="DO173" i="10" s="1"/>
  <c r="BX176" i="10"/>
  <c r="BX179" i="10"/>
  <c r="DT179" i="10" s="1"/>
  <c r="BX182" i="10"/>
  <c r="BX185" i="10"/>
  <c r="BX194" i="10"/>
  <c r="DN194" i="10" s="1"/>
  <c r="BP194" i="10" s="1"/>
  <c r="DO194" i="10" s="1"/>
  <c r="BX197" i="10"/>
  <c r="DN197" i="10" s="1"/>
  <c r="BP197" i="10" s="1"/>
  <c r="BX200" i="10"/>
  <c r="DT200" i="10" s="1"/>
  <c r="BX203" i="10"/>
  <c r="DT203" i="10" s="1"/>
  <c r="BX209" i="10"/>
  <c r="DN209" i="10" s="1"/>
  <c r="BP209" i="10" s="1"/>
  <c r="DO209" i="10" s="1"/>
  <c r="BX212" i="10"/>
  <c r="BX215" i="10"/>
  <c r="DN215" i="10" s="1"/>
  <c r="BP215" i="10" s="1"/>
  <c r="DO215" i="10" s="1"/>
  <c r="BX218" i="10"/>
  <c r="BX221" i="10"/>
  <c r="BX224" i="10"/>
  <c r="BX397" i="10"/>
  <c r="DT397" i="10" s="1"/>
  <c r="BX521" i="10"/>
  <c r="DN521" i="10" s="1"/>
  <c r="BP521" i="10" s="1"/>
  <c r="BX537" i="10"/>
  <c r="BX542" i="10"/>
  <c r="BX249" i="10"/>
  <c r="BX260" i="10"/>
  <c r="BX267" i="10"/>
  <c r="DT267" i="10" s="1"/>
  <c r="BX278" i="10"/>
  <c r="BX296" i="10"/>
  <c r="DN296" i="10" s="1"/>
  <c r="BP296" i="10" s="1"/>
  <c r="BX314" i="10"/>
  <c r="BX464" i="10"/>
  <c r="BX569" i="10"/>
  <c r="DT569" i="10" s="1"/>
  <c r="BX585" i="10"/>
  <c r="DT585" i="10" s="1"/>
  <c r="BY432" i="10"/>
  <c r="DU432" i="10" s="1"/>
  <c r="BY302" i="10"/>
  <c r="DU302" i="10" s="1"/>
  <c r="BY225" i="10"/>
  <c r="BY219" i="10"/>
  <c r="DU219" i="10" s="1"/>
  <c r="BY207" i="10"/>
  <c r="BY201" i="10"/>
  <c r="BX448" i="10"/>
  <c r="DN448" i="10" s="1"/>
  <c r="BP448" i="10" s="1"/>
  <c r="BX555" i="10"/>
  <c r="BX410" i="10"/>
  <c r="DT410" i="10" s="1"/>
  <c r="BX436" i="10"/>
  <c r="DT436" i="10" s="1"/>
  <c r="BX446" i="10"/>
  <c r="DT446" i="10" s="1"/>
  <c r="BX460" i="10"/>
  <c r="BX479" i="10"/>
  <c r="BX503" i="10"/>
  <c r="DT503" i="10" s="1"/>
  <c r="BX551" i="10"/>
  <c r="DT551" i="10" s="1"/>
  <c r="BX575" i="10"/>
  <c r="BX437" i="10"/>
  <c r="BX466" i="10"/>
  <c r="DN466" i="10" s="1"/>
  <c r="BP466" i="10" s="1"/>
  <c r="BX509" i="10"/>
  <c r="DT509" i="10" s="1"/>
  <c r="BX581" i="10"/>
  <c r="BX605" i="10"/>
  <c r="DN605" i="10" s="1"/>
  <c r="BP605" i="10" s="1"/>
  <c r="BX629" i="10"/>
  <c r="DT629" i="10" s="1"/>
  <c r="BX398" i="10"/>
  <c r="BX424" i="10"/>
  <c r="BX434" i="10"/>
  <c r="DN434" i="10" s="1"/>
  <c r="BP434" i="10" s="1"/>
  <c r="DO434" i="10" s="1"/>
  <c r="BX471" i="10"/>
  <c r="DT471" i="10" s="1"/>
  <c r="BX476" i="10"/>
  <c r="DT476" i="10" s="1"/>
  <c r="BX495" i="10"/>
  <c r="DT495" i="10" s="1"/>
  <c r="BX519" i="10"/>
  <c r="DN519" i="10" s="1"/>
  <c r="BP519" i="10" s="1"/>
  <c r="BX567" i="10"/>
  <c r="DT567" i="10" s="1"/>
  <c r="BX425" i="10"/>
  <c r="BX451" i="10"/>
  <c r="BX482" i="10"/>
  <c r="BX501" i="10"/>
  <c r="DT501" i="10" s="1"/>
  <c r="BX525" i="10"/>
  <c r="BX530" i="10"/>
  <c r="DT530" i="10" s="1"/>
  <c r="BX597" i="10"/>
  <c r="DT597" i="10" s="1"/>
  <c r="BX602" i="10"/>
  <c r="BX626" i="10"/>
  <c r="DN626" i="10" s="1"/>
  <c r="BP626" i="10" s="1"/>
  <c r="DO626" i="10" s="1"/>
  <c r="BX645" i="10"/>
  <c r="DN645" i="10" s="1"/>
  <c r="BP645" i="10" s="1"/>
  <c r="BX669" i="10"/>
  <c r="BX693" i="10"/>
  <c r="BX591" i="10"/>
  <c r="DN591" i="10" s="1"/>
  <c r="BP591" i="10" s="1"/>
  <c r="DO591" i="10" s="1"/>
  <c r="BX611" i="10"/>
  <c r="BX627" i="10"/>
  <c r="DT627" i="10" s="1"/>
  <c r="BX639" i="10"/>
  <c r="DN639" i="10" s="1"/>
  <c r="BP639" i="10" s="1"/>
  <c r="DO639" i="10" s="1"/>
  <c r="BX651" i="10"/>
  <c r="BX663" i="10"/>
  <c r="DT663" i="10" s="1"/>
  <c r="BX675" i="10"/>
  <c r="BX687" i="10"/>
  <c r="DT687" i="10" s="1"/>
  <c r="BX699" i="10"/>
  <c r="DN699" i="10" s="1"/>
  <c r="BP699" i="10" s="1"/>
  <c r="DO699" i="10" s="1"/>
  <c r="BX396" i="10"/>
  <c r="DT396" i="10" s="1"/>
  <c r="BX399" i="10"/>
  <c r="BX402" i="10"/>
  <c r="BX405" i="10"/>
  <c r="BX408" i="10"/>
  <c r="DT408" i="10" s="1"/>
  <c r="BX411" i="10"/>
  <c r="BX414" i="10"/>
  <c r="DN414" i="10" s="1"/>
  <c r="BP414" i="10" s="1"/>
  <c r="DO414" i="10" s="1"/>
  <c r="BX417" i="10"/>
  <c r="DT417" i="10" s="1"/>
  <c r="BX420" i="10"/>
  <c r="DT420" i="10" s="1"/>
  <c r="BX426" i="10"/>
  <c r="DN426" i="10" s="1"/>
  <c r="BP426" i="10" s="1"/>
  <c r="DO426" i="10" s="1"/>
  <c r="BX429" i="10"/>
  <c r="DN429" i="10" s="1"/>
  <c r="BP429" i="10" s="1"/>
  <c r="DO429" i="10" s="1"/>
  <c r="BX432" i="10"/>
  <c r="BX435" i="10"/>
  <c r="DT435" i="10" s="1"/>
  <c r="BX438" i="10"/>
  <c r="BX441" i="10"/>
  <c r="BX444" i="10"/>
  <c r="DN444" i="10" s="1"/>
  <c r="BP444" i="10" s="1"/>
  <c r="BX453" i="10"/>
  <c r="DT453" i="10" s="1"/>
  <c r="BX456" i="10"/>
  <c r="DT456" i="10" s="1"/>
  <c r="BX644" i="10"/>
  <c r="BX647" i="10"/>
  <c r="DN647" i="10" s="1"/>
  <c r="BP647" i="10" s="1"/>
  <c r="BX665" i="10"/>
  <c r="DN665" i="10" s="1"/>
  <c r="BP665" i="10" s="1"/>
  <c r="DO665" i="10" s="1"/>
  <c r="BX668" i="10"/>
  <c r="BX671" i="10"/>
  <c r="BX677" i="10"/>
  <c r="DN677" i="10" s="1"/>
  <c r="BP677" i="10" s="1"/>
  <c r="DO677" i="10" s="1"/>
  <c r="BX680" i="10"/>
  <c r="BX683" i="10"/>
  <c r="BX686" i="10"/>
  <c r="BX698" i="10"/>
  <c r="BX701" i="10"/>
  <c r="DN701" i="10" s="1"/>
  <c r="BP701" i="10" s="1"/>
  <c r="BX704" i="10"/>
  <c r="DT704" i="10" s="1"/>
  <c r="BX707" i="10"/>
  <c r="DN707" i="10" s="1"/>
  <c r="BP707" i="10" s="1"/>
  <c r="DO707" i="10" s="1"/>
  <c r="BX710" i="10"/>
  <c r="DT710" i="10" s="1"/>
  <c r="BX502" i="10"/>
  <c r="BX505" i="10"/>
  <c r="BX508" i="10"/>
  <c r="BX511" i="10"/>
  <c r="BX514" i="10"/>
  <c r="DN514" i="10" s="1"/>
  <c r="BP514" i="10" s="1"/>
  <c r="DO514" i="10" s="1"/>
  <c r="BX517" i="10"/>
  <c r="BX520" i="10"/>
  <c r="DN520" i="10" s="1"/>
  <c r="BP520" i="10" s="1"/>
  <c r="BX523" i="10"/>
  <c r="BX526" i="10"/>
  <c r="DT526" i="10" s="1"/>
  <c r="BX529" i="10"/>
  <c r="BX532" i="10"/>
  <c r="DN532" i="10" s="1"/>
  <c r="BP532" i="10" s="1"/>
  <c r="BX541" i="10"/>
  <c r="BX544" i="10"/>
  <c r="BX547" i="10"/>
  <c r="BX550" i="10"/>
  <c r="BX553" i="10"/>
  <c r="BX556" i="10"/>
  <c r="DT556" i="10" s="1"/>
  <c r="BX574" i="10"/>
  <c r="DT574" i="10" s="1"/>
  <c r="BX580" i="10"/>
  <c r="BX583" i="10"/>
  <c r="BX586" i="10"/>
  <c r="BX589" i="10"/>
  <c r="BX592" i="10"/>
  <c r="BX595" i="10"/>
  <c r="BX598" i="10"/>
  <c r="BX604" i="10"/>
  <c r="DN604" i="10" s="1"/>
  <c r="BP604" i="10" s="1"/>
  <c r="DO604" i="10" s="1"/>
  <c r="BX607" i="10"/>
  <c r="BX610" i="10"/>
  <c r="BX613" i="10"/>
  <c r="BX622" i="10"/>
  <c r="BX628" i="10"/>
  <c r="BX631" i="10"/>
  <c r="BX640" i="10"/>
  <c r="DT640" i="10" s="1"/>
  <c r="BX643" i="10"/>
  <c r="BX646" i="10"/>
  <c r="BX649" i="10"/>
  <c r="BX652" i="10"/>
  <c r="DT652" i="10" s="1"/>
  <c r="BX655" i="10"/>
  <c r="BX658" i="10"/>
  <c r="DN658" i="10" s="1"/>
  <c r="BP658" i="10" s="1"/>
  <c r="BX661" i="10"/>
  <c r="BX664" i="10"/>
  <c r="DT664" i="10" s="1"/>
  <c r="BX667" i="10"/>
  <c r="BX670" i="10"/>
  <c r="BX676" i="10"/>
  <c r="BX679" i="10"/>
  <c r="DT679" i="10" s="1"/>
  <c r="BX682" i="10"/>
  <c r="BX685" i="10"/>
  <c r="DN685" i="10" s="1"/>
  <c r="BP685" i="10" s="1"/>
  <c r="DO685" i="10" s="1"/>
  <c r="BX691" i="10"/>
  <c r="DV464" i="10"/>
  <c r="DV608" i="10"/>
  <c r="DV728" i="10"/>
  <c r="AY15" i="10"/>
  <c r="BY828" i="10"/>
  <c r="DY828" i="10"/>
  <c r="BY203" i="10"/>
  <c r="DY203" i="10"/>
  <c r="BY684" i="10"/>
  <c r="DY684" i="10"/>
  <c r="BY148" i="10"/>
  <c r="DY148" i="10"/>
  <c r="BY492" i="10"/>
  <c r="DY492" i="10"/>
  <c r="BY456" i="10"/>
  <c r="DY456" i="10"/>
  <c r="BY438" i="10"/>
  <c r="DY438" i="10"/>
  <c r="BY361" i="10"/>
  <c r="DY361" i="10"/>
  <c r="BY789" i="10"/>
  <c r="DY789" i="10"/>
  <c r="BY425" i="10"/>
  <c r="DY425" i="10"/>
  <c r="BY235" i="10"/>
  <c r="DY235" i="10"/>
  <c r="AQ305" i="10"/>
  <c r="AQ734" i="10"/>
  <c r="AQ76" i="10"/>
  <c r="AQ276" i="10"/>
  <c r="AQ523" i="10"/>
  <c r="AQ559" i="10"/>
  <c r="AQ463" i="10"/>
  <c r="BF463" i="10"/>
  <c r="BU463" i="10" s="1"/>
  <c r="AQ120" i="10"/>
  <c r="AQ48" i="10"/>
  <c r="AQ302" i="10"/>
  <c r="AQ119" i="10"/>
  <c r="AQ667" i="10"/>
  <c r="BJ44" i="10"/>
  <c r="BL44" i="10" s="1"/>
  <c r="AQ15" i="10"/>
  <c r="AQ124" i="10"/>
  <c r="AQ165" i="10"/>
  <c r="AQ90" i="10"/>
  <c r="BN121" i="10"/>
  <c r="BW121" i="10" s="1"/>
  <c r="CA121" i="10" s="1"/>
  <c r="BJ164" i="10"/>
  <c r="BL164" i="10" s="1"/>
  <c r="AQ164" i="10" s="1"/>
  <c r="AQ628" i="10"/>
  <c r="AQ538" i="10"/>
  <c r="AQ840" i="10"/>
  <c r="BJ838" i="10"/>
  <c r="BL838" i="10" s="1"/>
  <c r="AQ72" i="10"/>
  <c r="AQ758" i="10"/>
  <c r="AQ836" i="10"/>
  <c r="AQ259" i="10"/>
  <c r="AQ732" i="10"/>
  <c r="AQ817" i="10"/>
  <c r="AQ865" i="10"/>
  <c r="AQ343" i="10"/>
  <c r="AQ797" i="10"/>
  <c r="AQ755" i="10"/>
  <c r="AQ300" i="10"/>
  <c r="AQ440" i="10"/>
  <c r="AQ876" i="10"/>
  <c r="BJ830" i="10"/>
  <c r="BL830" i="10" s="1"/>
  <c r="AQ830" i="10" s="1"/>
  <c r="AQ46" i="10"/>
  <c r="BN126" i="10"/>
  <c r="BW126" i="10" s="1"/>
  <c r="CA126" i="10" s="1"/>
  <c r="AQ636" i="10"/>
  <c r="AQ664" i="10"/>
  <c r="AQ282" i="10"/>
  <c r="AQ774" i="10"/>
  <c r="AQ644" i="10"/>
  <c r="AQ446" i="10"/>
  <c r="AQ310" i="10"/>
  <c r="AQ852" i="10"/>
  <c r="AQ332" i="10"/>
  <c r="AQ353" i="10"/>
  <c r="AQ726" i="10"/>
  <c r="AQ382" i="10"/>
  <c r="AQ728" i="10"/>
  <c r="AQ487" i="10"/>
  <c r="AQ181" i="10"/>
  <c r="AQ443" i="10"/>
  <c r="AQ673" i="10"/>
  <c r="AQ190" i="10"/>
  <c r="AQ660" i="10"/>
  <c r="AQ805" i="10"/>
  <c r="AQ431" i="10"/>
  <c r="AQ225" i="10"/>
  <c r="AQ699" i="10"/>
  <c r="AQ704" i="10"/>
  <c r="AQ777" i="10"/>
  <c r="AQ319" i="10"/>
  <c r="AQ659" i="10"/>
  <c r="AQ514" i="10"/>
  <c r="AQ168" i="10"/>
  <c r="AQ652" i="10"/>
  <c r="AQ228" i="10"/>
  <c r="AQ449" i="10"/>
  <c r="BF381" i="10"/>
  <c r="BU381" i="10" s="1"/>
  <c r="DO292" i="10"/>
  <c r="AQ91" i="10"/>
  <c r="BN33" i="10"/>
  <c r="BW33" i="10" s="1"/>
  <c r="BJ78" i="10"/>
  <c r="BL78" i="10" s="1"/>
  <c r="BJ115" i="10"/>
  <c r="BL115" i="10" s="1"/>
  <c r="AQ115" i="10" s="1"/>
  <c r="BJ150" i="10"/>
  <c r="BL150" i="10" s="1"/>
  <c r="BN170" i="10"/>
  <c r="BW170" i="10" s="1"/>
  <c r="CA170" i="10" s="1"/>
  <c r="AQ57" i="10"/>
  <c r="AQ177" i="10"/>
  <c r="AQ33" i="10"/>
  <c r="AQ207" i="10"/>
  <c r="AQ97" i="10"/>
  <c r="BN158" i="10"/>
  <c r="BW158" i="10" s="1"/>
  <c r="CA158" i="10" s="1"/>
  <c r="BJ192" i="10"/>
  <c r="BL192" i="10" s="1"/>
  <c r="BN192" i="10"/>
  <c r="BW192" i="10" s="1"/>
  <c r="CA192" i="10" s="1"/>
  <c r="BN91" i="10"/>
  <c r="BW91" i="10" s="1"/>
  <c r="CA91" i="10" s="1"/>
  <c r="BN60" i="10"/>
  <c r="BW60" i="10" s="1"/>
  <c r="CA60" i="10" s="1"/>
  <c r="BJ133" i="10"/>
  <c r="BL133" i="10" s="1"/>
  <c r="AQ133" i="10" s="1"/>
  <c r="BJ155" i="10"/>
  <c r="BL155" i="10" s="1"/>
  <c r="BN155" i="10"/>
  <c r="BW155" i="10" s="1"/>
  <c r="CA155" i="10" s="1"/>
  <c r="AQ81" i="10"/>
  <c r="AQ143" i="10"/>
  <c r="AQ213" i="10"/>
  <c r="AQ111" i="10"/>
  <c r="BJ202" i="10"/>
  <c r="BL202" i="10" s="1"/>
  <c r="AQ202" i="10" s="1"/>
  <c r="AQ145" i="10"/>
  <c r="BN38" i="10"/>
  <c r="BW38" i="10" s="1"/>
  <c r="CA38" i="10" s="1"/>
  <c r="BJ69" i="10"/>
  <c r="BL69" i="10" s="1"/>
  <c r="AQ69" i="10" s="1"/>
  <c r="BJ100" i="10"/>
  <c r="BL100" i="10" s="1"/>
  <c r="AQ100" i="10" s="1"/>
  <c r="BJ139" i="10"/>
  <c r="BL139" i="10" s="1"/>
  <c r="AQ139" i="10" s="1"/>
  <c r="BN139" i="10"/>
  <c r="BW139" i="10" s="1"/>
  <c r="CA139" i="10" s="1"/>
  <c r="AQ128" i="10"/>
  <c r="AQ157" i="10"/>
  <c r="BN66" i="10"/>
  <c r="BW66" i="10" s="1"/>
  <c r="CA66" i="10" s="1"/>
  <c r="BJ66" i="10"/>
  <c r="BL66" i="10" s="1"/>
  <c r="AQ66" i="10" s="1"/>
  <c r="BJ173" i="10"/>
  <c r="BL173" i="10" s="1"/>
  <c r="BN173" i="10"/>
  <c r="BW173" i="10" s="1"/>
  <c r="CA173" i="10" s="1"/>
  <c r="AQ82" i="10"/>
  <c r="BN160" i="10"/>
  <c r="BW160" i="10" s="1"/>
  <c r="CA160" i="10" s="1"/>
  <c r="BJ160" i="10"/>
  <c r="BL160" i="10" s="1"/>
  <c r="AQ198" i="10"/>
  <c r="BN51" i="10"/>
  <c r="BW51" i="10" s="1"/>
  <c r="CA51" i="10" s="1"/>
  <c r="BN63" i="10"/>
  <c r="BW63" i="10" s="1"/>
  <c r="CA63" i="10" s="1"/>
  <c r="AN799" i="10"/>
  <c r="BN105" i="10"/>
  <c r="BW105" i="10" s="1"/>
  <c r="CA105" i="10" s="1"/>
  <c r="BJ105" i="10"/>
  <c r="BL105" i="10" s="1"/>
  <c r="AQ105" i="10" s="1"/>
  <c r="AQ118" i="10"/>
  <c r="BJ849" i="10"/>
  <c r="BL849" i="10" s="1"/>
  <c r="AQ849" i="10" s="1"/>
  <c r="BN849" i="10"/>
  <c r="BW849" i="10" s="1"/>
  <c r="CA849" i="10" s="1"/>
  <c r="BN222" i="10"/>
  <c r="BW222" i="10" s="1"/>
  <c r="CA222" i="10" s="1"/>
  <c r="BJ222" i="10"/>
  <c r="BL222" i="10" s="1"/>
  <c r="AQ222" i="10" s="1"/>
  <c r="AQ201" i="10"/>
  <c r="AQ101" i="10"/>
  <c r="AQ116" i="10"/>
  <c r="AQ129" i="10"/>
  <c r="AQ162" i="10"/>
  <c r="AQ205" i="10"/>
  <c r="BJ413" i="10"/>
  <c r="BL413" i="10" s="1"/>
  <c r="AQ413" i="10" s="1"/>
  <c r="BN413" i="10"/>
  <c r="BW413" i="10" s="1"/>
  <c r="CA413" i="10" s="1"/>
  <c r="AQ87" i="10"/>
  <c r="AQ96" i="10"/>
  <c r="AQ104" i="10"/>
  <c r="AQ132" i="10"/>
  <c r="AQ612" i="10"/>
  <c r="BN243" i="10"/>
  <c r="BW243" i="10" s="1"/>
  <c r="CA243" i="10" s="1"/>
  <c r="AQ651" i="10"/>
  <c r="AQ261" i="10"/>
  <c r="BN679" i="10"/>
  <c r="BW679" i="10" s="1"/>
  <c r="CA679" i="10" s="1"/>
  <c r="BJ679" i="10"/>
  <c r="BL679" i="10" s="1"/>
  <c r="AQ35" i="10"/>
  <c r="AQ32" i="10"/>
  <c r="AQ194" i="10"/>
  <c r="AQ396" i="10"/>
  <c r="AQ403" i="10"/>
  <c r="BN769" i="10"/>
  <c r="BW769" i="10" s="1"/>
  <c r="CA769" i="10" s="1"/>
  <c r="BJ769" i="10"/>
  <c r="BL769" i="10" s="1"/>
  <c r="AQ62" i="10"/>
  <c r="AQ125" i="10"/>
  <c r="AQ147" i="10"/>
  <c r="AQ199" i="10"/>
  <c r="AQ243" i="10"/>
  <c r="AQ53" i="10"/>
  <c r="AQ65" i="10"/>
  <c r="AQ99" i="10"/>
  <c r="AQ107" i="10"/>
  <c r="AQ163" i="10"/>
  <c r="AQ344" i="10"/>
  <c r="AQ43" i="10"/>
  <c r="AQ176" i="10"/>
  <c r="AQ761" i="10"/>
  <c r="AQ31" i="10"/>
  <c r="AQ204" i="10"/>
  <c r="AQ149" i="10"/>
  <c r="AQ63" i="10"/>
  <c r="AQ94" i="10"/>
  <c r="AW585" i="10"/>
  <c r="AQ812" i="10"/>
  <c r="AQ170" i="10"/>
  <c r="AQ126" i="10"/>
  <c r="AQ138" i="10"/>
  <c r="AQ51" i="10"/>
  <c r="AQ60" i="10"/>
  <c r="AQ86" i="10"/>
  <c r="BF397" i="10"/>
  <c r="BU397" i="10" s="1"/>
  <c r="BB397" i="10"/>
  <c r="BD397" i="10" s="1"/>
  <c r="AW397" i="10" s="1"/>
  <c r="AQ813" i="10"/>
  <c r="AW367" i="10"/>
  <c r="AQ546" i="10"/>
  <c r="BN803" i="10"/>
  <c r="BW803" i="10" s="1"/>
  <c r="CA803" i="10" s="1"/>
  <c r="BB722" i="10"/>
  <c r="BD722" i="10" s="1"/>
  <c r="AW722" i="10" s="1"/>
  <c r="BF722" i="10"/>
  <c r="BU722" i="10" s="1"/>
  <c r="BF420" i="10"/>
  <c r="BU420" i="10" s="1"/>
  <c r="BB420" i="10"/>
  <c r="BD420" i="10" s="1"/>
  <c r="AN420" i="10" s="1"/>
  <c r="BF300" i="10"/>
  <c r="BU300" i="10" s="1"/>
  <c r="BY300" i="10" s="1"/>
  <c r="DU300" i="10" s="1"/>
  <c r="BB300" i="10"/>
  <c r="BD300" i="10" s="1"/>
  <c r="BF294" i="10"/>
  <c r="BU294" i="10" s="1"/>
  <c r="BB294" i="10"/>
  <c r="BD294" i="10" s="1"/>
  <c r="AQ724" i="10"/>
  <c r="AQ561" i="10"/>
  <c r="AQ749" i="10"/>
  <c r="BN841" i="10"/>
  <c r="BW841" i="10" s="1"/>
  <c r="CA841" i="10" s="1"/>
  <c r="BF733" i="10"/>
  <c r="BU733" i="10" s="1"/>
  <c r="BB733" i="10"/>
  <c r="BD733" i="10" s="1"/>
  <c r="BF738" i="10"/>
  <c r="BU738" i="10" s="1"/>
  <c r="BB738" i="10"/>
  <c r="BD738" i="10" s="1"/>
  <c r="AQ471" i="10"/>
  <c r="AQ829" i="10"/>
  <c r="AQ712" i="10"/>
  <c r="AN600" i="10"/>
  <c r="BF848" i="10"/>
  <c r="BU848" i="10" s="1"/>
  <c r="BB848" i="10"/>
  <c r="BD848" i="10" s="1"/>
  <c r="AW848" i="10" s="1"/>
  <c r="BF836" i="10"/>
  <c r="BU836" i="10" s="1"/>
  <c r="BB836" i="10"/>
  <c r="BD836" i="10" s="1"/>
  <c r="AN836" i="10" s="1"/>
  <c r="AQ504" i="10"/>
  <c r="AW223" i="10"/>
  <c r="AQ873" i="10"/>
  <c r="BJ624" i="10"/>
  <c r="BL624" i="10" s="1"/>
  <c r="AQ624" i="10" s="1"/>
  <c r="BN624" i="10"/>
  <c r="BW624" i="10" s="1"/>
  <c r="CA624" i="10" s="1"/>
  <c r="AQ569" i="10"/>
  <c r="AQ596" i="10"/>
  <c r="AQ359" i="10"/>
  <c r="AQ641" i="10"/>
  <c r="BN807" i="10"/>
  <c r="BW807" i="10" s="1"/>
  <c r="CA807" i="10" s="1"/>
  <c r="BJ807" i="10"/>
  <c r="BL807" i="10" s="1"/>
  <c r="BJ731" i="10"/>
  <c r="BL731" i="10" s="1"/>
  <c r="AQ731" i="10" s="1"/>
  <c r="BN731" i="10"/>
  <c r="BW731" i="10" s="1"/>
  <c r="CA731" i="10" s="1"/>
  <c r="AQ875" i="10"/>
  <c r="BJ834" i="10"/>
  <c r="BL834" i="10" s="1"/>
  <c r="AQ834" i="10" s="1"/>
  <c r="BN834" i="10"/>
  <c r="BW834" i="10" s="1"/>
  <c r="CA834" i="10" s="1"/>
  <c r="AQ233" i="10"/>
  <c r="AQ368" i="10"/>
  <c r="AQ848" i="10"/>
  <c r="AQ234" i="10"/>
  <c r="AQ733" i="10"/>
  <c r="AQ650" i="10"/>
  <c r="AQ871" i="10"/>
  <c r="AQ484" i="10"/>
  <c r="AQ513" i="10"/>
  <c r="AQ698" i="10"/>
  <c r="BN798" i="10"/>
  <c r="BW798" i="10" s="1"/>
  <c r="BJ798" i="10"/>
  <c r="BL798" i="10" s="1"/>
  <c r="AQ798" i="10" s="1"/>
  <c r="BJ552" i="10"/>
  <c r="BL552" i="10" s="1"/>
  <c r="BN552" i="10"/>
  <c r="BW552" i="10" s="1"/>
  <c r="CA552" i="10" s="1"/>
  <c r="AQ802" i="10"/>
  <c r="AQ464" i="10"/>
  <c r="AQ586" i="10"/>
  <c r="AQ500" i="10"/>
  <c r="AQ763" i="10"/>
  <c r="AQ249" i="10"/>
  <c r="AQ861" i="10"/>
  <c r="AQ874" i="10"/>
  <c r="AQ856" i="10"/>
  <c r="AQ671" i="10"/>
  <c r="BF629" i="10"/>
  <c r="BU629" i="10" s="1"/>
  <c r="BB629" i="10"/>
  <c r="BD629" i="10" s="1"/>
  <c r="BF611" i="10"/>
  <c r="BU611" i="10" s="1"/>
  <c r="BB611" i="10"/>
  <c r="BD611" i="10" s="1"/>
  <c r="BF441" i="10"/>
  <c r="BU441" i="10" s="1"/>
  <c r="BB441" i="10"/>
  <c r="BD441" i="10" s="1"/>
  <c r="AN441" i="10" s="1"/>
  <c r="AQ467" i="10"/>
  <c r="BB864" i="10"/>
  <c r="BD864" i="10" s="1"/>
  <c r="AN864" i="10" s="1"/>
  <c r="BF680" i="10"/>
  <c r="BU680" i="10" s="1"/>
  <c r="BB680" i="10"/>
  <c r="BD680" i="10" s="1"/>
  <c r="AW680" i="10" s="1"/>
  <c r="BF316" i="10"/>
  <c r="BU316" i="10" s="1"/>
  <c r="BB316" i="10"/>
  <c r="BD316" i="10" s="1"/>
  <c r="AN316" i="10" s="1"/>
  <c r="AQ389" i="10"/>
  <c r="AQ859" i="10"/>
  <c r="AQ647" i="10"/>
  <c r="AQ545" i="10"/>
  <c r="AQ810" i="10"/>
  <c r="AQ832" i="10"/>
  <c r="AQ828" i="10"/>
  <c r="AQ818" i="10"/>
  <c r="AQ814" i="10"/>
  <c r="BF764" i="10"/>
  <c r="BU764" i="10" s="1"/>
  <c r="BY764" i="10" s="1"/>
  <c r="DU764" i="10" s="1"/>
  <c r="BB764" i="10"/>
  <c r="BD764" i="10" s="1"/>
  <c r="BF702" i="10"/>
  <c r="BU702" i="10" s="1"/>
  <c r="BB702" i="10"/>
  <c r="BD702" i="10" s="1"/>
  <c r="BF501" i="10"/>
  <c r="BU501" i="10" s="1"/>
  <c r="BB501" i="10"/>
  <c r="BD501" i="10" s="1"/>
  <c r="AW501" i="10" s="1"/>
  <c r="AQ242" i="10"/>
  <c r="AQ692" i="10"/>
  <c r="AQ775" i="10"/>
  <c r="AQ630" i="10"/>
  <c r="BF696" i="10"/>
  <c r="BU696" i="10" s="1"/>
  <c r="BY696" i="10" s="1"/>
  <c r="BB696" i="10"/>
  <c r="BD696" i="10" s="1"/>
  <c r="BF517" i="10"/>
  <c r="BU517" i="10" s="1"/>
  <c r="BB517" i="10"/>
  <c r="BD517" i="10" s="1"/>
  <c r="BF337" i="10"/>
  <c r="BU337" i="10" s="1"/>
  <c r="DY337" i="10" s="1"/>
  <c r="BB337" i="10"/>
  <c r="BD337" i="10" s="1"/>
  <c r="AN337" i="10" s="1"/>
  <c r="AQ274" i="10"/>
  <c r="AQ256" i="10"/>
  <c r="AQ551" i="10"/>
  <c r="AQ811" i="10"/>
  <c r="AQ866" i="10"/>
  <c r="BF562" i="10"/>
  <c r="BU562" i="10" s="1"/>
  <c r="BY562" i="10" s="1"/>
  <c r="DU562" i="10" s="1"/>
  <c r="BB562" i="10"/>
  <c r="BD562" i="10" s="1"/>
  <c r="AQ826" i="10"/>
  <c r="AQ799" i="10"/>
  <c r="AW264" i="10"/>
  <c r="AQ229" i="10"/>
  <c r="AQ746" i="10"/>
  <c r="AQ824" i="10"/>
  <c r="BF578" i="10"/>
  <c r="BU578" i="10" s="1"/>
  <c r="BB578" i="10"/>
  <c r="BD578" i="10" s="1"/>
  <c r="BF567" i="10"/>
  <c r="BU567" i="10" s="1"/>
  <c r="BB567" i="10"/>
  <c r="BD567" i="10" s="1"/>
  <c r="AN567" i="10" s="1"/>
  <c r="AQ520" i="10"/>
  <c r="AQ857" i="10"/>
  <c r="BF583" i="10"/>
  <c r="BU583" i="10" s="1"/>
  <c r="BY583" i="10" s="1"/>
  <c r="BB583" i="10"/>
  <c r="BD583" i="10" s="1"/>
  <c r="AW583" i="10" s="1"/>
  <c r="AQ419" i="10"/>
  <c r="AQ287" i="10"/>
  <c r="AQ718" i="10"/>
  <c r="AQ639" i="10"/>
  <c r="AQ599" i="10"/>
  <c r="AQ479" i="10"/>
  <c r="AQ251" i="10"/>
  <c r="AQ703" i="10"/>
  <c r="AQ432" i="10"/>
  <c r="AQ383" i="10"/>
  <c r="AQ341" i="10"/>
  <c r="AQ317" i="10"/>
  <c r="AQ238" i="10"/>
  <c r="AQ778" i="10"/>
  <c r="AQ717" i="10"/>
  <c r="AQ697" i="10"/>
  <c r="AQ634" i="10"/>
  <c r="AQ619" i="10"/>
  <c r="AQ611" i="10"/>
  <c r="AQ386" i="10"/>
  <c r="AQ248" i="10"/>
  <c r="AQ696" i="10"/>
  <c r="AQ654" i="10"/>
  <c r="AQ638" i="10"/>
  <c r="AQ567" i="10"/>
  <c r="AQ482" i="10"/>
  <c r="AQ365" i="10"/>
  <c r="AQ267" i="10"/>
  <c r="AQ606" i="10"/>
  <c r="AQ542" i="10"/>
  <c r="AQ439" i="10"/>
  <c r="AQ401" i="10"/>
  <c r="AQ791" i="10"/>
  <c r="AQ738" i="10"/>
  <c r="AQ711" i="10"/>
  <c r="AQ541" i="10"/>
  <c r="AQ370" i="10"/>
  <c r="AQ363" i="10"/>
  <c r="AQ297" i="10"/>
  <c r="AQ271" i="10"/>
  <c r="AQ747" i="10"/>
  <c r="AQ686" i="10"/>
  <c r="AQ585" i="10"/>
  <c r="AQ506" i="10"/>
  <c r="AQ474" i="10"/>
  <c r="AQ756" i="10"/>
  <c r="AQ595" i="10"/>
  <c r="AQ480" i="10"/>
  <c r="AQ469" i="10"/>
  <c r="AQ453" i="10"/>
  <c r="AQ438" i="10"/>
  <c r="AQ395" i="10"/>
  <c r="AQ334" i="10"/>
  <c r="BI134" i="10"/>
  <c r="BK134" i="10" s="1"/>
  <c r="BM134" i="10"/>
  <c r="BV134" i="10" s="1"/>
  <c r="BZ134" i="10" s="1"/>
  <c r="BM789" i="10"/>
  <c r="BV789" i="10" s="1"/>
  <c r="BZ789" i="10" s="1"/>
  <c r="BI789" i="10"/>
  <c r="BK789" i="10" s="1"/>
  <c r="AQ789" i="10" s="1"/>
  <c r="BI745" i="10"/>
  <c r="BK745" i="10" s="1"/>
  <c r="AQ745" i="10" s="1"/>
  <c r="BM745" i="10"/>
  <c r="BV745" i="10" s="1"/>
  <c r="BZ745" i="10" s="1"/>
  <c r="BM741" i="10"/>
  <c r="BV741" i="10" s="1"/>
  <c r="BZ741" i="10" s="1"/>
  <c r="BI741" i="10"/>
  <c r="BK741" i="10" s="1"/>
  <c r="AQ741" i="10" s="1"/>
  <c r="BM594" i="10"/>
  <c r="BV594" i="10" s="1"/>
  <c r="BZ594" i="10" s="1"/>
  <c r="BI594" i="10"/>
  <c r="BK594" i="10" s="1"/>
  <c r="AQ594" i="10" s="1"/>
  <c r="BM593" i="10"/>
  <c r="BV593" i="10" s="1"/>
  <c r="BZ593" i="10" s="1"/>
  <c r="BI593" i="10"/>
  <c r="BK593" i="10" s="1"/>
  <c r="AQ593" i="10" s="1"/>
  <c r="BI580" i="10"/>
  <c r="BK580" i="10" s="1"/>
  <c r="BM580" i="10"/>
  <c r="BV580" i="10" s="1"/>
  <c r="BZ580" i="10" s="1"/>
  <c r="BI570" i="10"/>
  <c r="BK570" i="10" s="1"/>
  <c r="AQ570" i="10" s="1"/>
  <c r="BM570" i="10"/>
  <c r="BV570" i="10" s="1"/>
  <c r="BZ570" i="10" s="1"/>
  <c r="BM156" i="10"/>
  <c r="BV156" i="10" s="1"/>
  <c r="BZ156" i="10" s="1"/>
  <c r="BI156" i="10"/>
  <c r="BK156" i="10" s="1"/>
  <c r="AQ156" i="10" s="1"/>
  <c r="AN389" i="10"/>
  <c r="AW389" i="10"/>
  <c r="BI776" i="10"/>
  <c r="BK776" i="10" s="1"/>
  <c r="AQ776" i="10" s="1"/>
  <c r="BM776" i="10"/>
  <c r="BV776" i="10" s="1"/>
  <c r="BZ776" i="10" s="1"/>
  <c r="BM550" i="10"/>
  <c r="BV550" i="10" s="1"/>
  <c r="BZ550" i="10" s="1"/>
  <c r="BI550" i="10"/>
  <c r="BK550" i="10" s="1"/>
  <c r="AW350" i="10"/>
  <c r="AN350" i="10"/>
  <c r="BI793" i="10"/>
  <c r="BK793" i="10" s="1"/>
  <c r="AQ793" i="10" s="1"/>
  <c r="BM793" i="10"/>
  <c r="BV793" i="10" s="1"/>
  <c r="BZ793" i="10" s="1"/>
  <c r="BM769" i="10"/>
  <c r="BV769" i="10" s="1"/>
  <c r="BZ769" i="10" s="1"/>
  <c r="BI769" i="10"/>
  <c r="BK769" i="10" s="1"/>
  <c r="BM80" i="10"/>
  <c r="BV80" i="10" s="1"/>
  <c r="BZ80" i="10" s="1"/>
  <c r="BI80" i="10"/>
  <c r="BK80" i="10" s="1"/>
  <c r="AQ80" i="10" s="1"/>
  <c r="BM88" i="10"/>
  <c r="BV88" i="10" s="1"/>
  <c r="BZ88" i="10" s="1"/>
  <c r="BI88" i="10"/>
  <c r="BK88" i="10" s="1"/>
  <c r="AQ88" i="10" s="1"/>
  <c r="BI175" i="10"/>
  <c r="BK175" i="10" s="1"/>
  <c r="AQ175" i="10" s="1"/>
  <c r="BM175" i="10"/>
  <c r="BV175" i="10" s="1"/>
  <c r="BZ175" i="10" s="1"/>
  <c r="BI188" i="10"/>
  <c r="BK188" i="10" s="1"/>
  <c r="AQ188" i="10" s="1"/>
  <c r="BM188" i="10"/>
  <c r="BV188" i="10" s="1"/>
  <c r="BZ188" i="10" s="1"/>
  <c r="BM307" i="10"/>
  <c r="BV307" i="10" s="1"/>
  <c r="BZ307" i="10" s="1"/>
  <c r="BI307" i="10"/>
  <c r="BK307" i="10" s="1"/>
  <c r="AQ307" i="10" s="1"/>
  <c r="BM196" i="10"/>
  <c r="BV196" i="10" s="1"/>
  <c r="BI196" i="10"/>
  <c r="BK196" i="10" s="1"/>
  <c r="BI807" i="10"/>
  <c r="BK807" i="10" s="1"/>
  <c r="BM807" i="10"/>
  <c r="BV807" i="10" s="1"/>
  <c r="BZ807" i="10" s="1"/>
  <c r="BM792" i="10"/>
  <c r="BV792" i="10" s="1"/>
  <c r="BI792" i="10"/>
  <c r="BK792" i="10" s="1"/>
  <c r="AQ792" i="10" s="1"/>
  <c r="BM153" i="10"/>
  <c r="BV153" i="10" s="1"/>
  <c r="BZ153" i="10" s="1"/>
  <c r="BI153" i="10"/>
  <c r="BK153" i="10" s="1"/>
  <c r="AQ153" i="10" s="1"/>
  <c r="AN760" i="10"/>
  <c r="AW760" i="10"/>
  <c r="AN177" i="10"/>
  <c r="BI68" i="10"/>
  <c r="BK68" i="10" s="1"/>
  <c r="BM68" i="10"/>
  <c r="BV68" i="10" s="1"/>
  <c r="BZ68" i="10" s="1"/>
  <c r="AN651" i="10"/>
  <c r="AW651" i="10"/>
  <c r="BI245" i="10"/>
  <c r="BK245" i="10" s="1"/>
  <c r="AQ245" i="10" s="1"/>
  <c r="AN444" i="10"/>
  <c r="AW444" i="10"/>
  <c r="BM841" i="10"/>
  <c r="BV841" i="10" s="1"/>
  <c r="BZ841" i="10" s="1"/>
  <c r="BI841" i="10"/>
  <c r="BK841" i="10" s="1"/>
  <c r="AQ841" i="10" s="1"/>
  <c r="BM838" i="10"/>
  <c r="BV838" i="10" s="1"/>
  <c r="BZ838" i="10" s="1"/>
  <c r="BI838" i="10"/>
  <c r="BK838" i="10" s="1"/>
  <c r="BI355" i="10"/>
  <c r="BK355" i="10" s="1"/>
  <c r="AQ355" i="10" s="1"/>
  <c r="BM355" i="10"/>
  <c r="BV355" i="10" s="1"/>
  <c r="BZ355" i="10" s="1"/>
  <c r="BM352" i="10"/>
  <c r="BV352" i="10" s="1"/>
  <c r="BZ352" i="10" s="1"/>
  <c r="BI352" i="10"/>
  <c r="BK352" i="10" s="1"/>
  <c r="AQ352" i="10" s="1"/>
  <c r="BI327" i="10"/>
  <c r="BK327" i="10" s="1"/>
  <c r="AQ327" i="10" s="1"/>
  <c r="BM327" i="10"/>
  <c r="BV327" i="10" s="1"/>
  <c r="BZ327" i="10" s="1"/>
  <c r="BM56" i="10"/>
  <c r="BV56" i="10" s="1"/>
  <c r="BI56" i="10"/>
  <c r="BK56" i="10" s="1"/>
  <c r="AQ56" i="10" s="1"/>
  <c r="BM85" i="10"/>
  <c r="BV85" i="10" s="1"/>
  <c r="BZ85" i="10" s="1"/>
  <c r="BI85" i="10"/>
  <c r="BK85" i="10" s="1"/>
  <c r="AQ85" i="10" s="1"/>
  <c r="BI89" i="10"/>
  <c r="BK89" i="10" s="1"/>
  <c r="AQ89" i="10" s="1"/>
  <c r="BM89" i="10"/>
  <c r="BV89" i="10" s="1"/>
  <c r="BZ89" i="10" s="1"/>
  <c r="BI166" i="10"/>
  <c r="BK166" i="10" s="1"/>
  <c r="AQ166" i="10" s="1"/>
  <c r="BM166" i="10"/>
  <c r="BV166" i="10" s="1"/>
  <c r="BZ166" i="10" s="1"/>
  <c r="BM179" i="10"/>
  <c r="BV179" i="10" s="1"/>
  <c r="BZ179" i="10" s="1"/>
  <c r="BI179" i="10"/>
  <c r="BK179" i="10" s="1"/>
  <c r="AQ179" i="10" s="1"/>
  <c r="BI206" i="10"/>
  <c r="BK206" i="10" s="1"/>
  <c r="AQ206" i="10" s="1"/>
  <c r="BI397" i="10"/>
  <c r="BK397" i="10" s="1"/>
  <c r="AQ397" i="10" s="1"/>
  <c r="BM397" i="10"/>
  <c r="BV397" i="10" s="1"/>
  <c r="BZ397" i="10" s="1"/>
  <c r="BI393" i="10"/>
  <c r="BK393" i="10" s="1"/>
  <c r="AQ393" i="10" s="1"/>
  <c r="BM393" i="10"/>
  <c r="BV393" i="10" s="1"/>
  <c r="BZ393" i="10" s="1"/>
  <c r="BI387" i="10"/>
  <c r="BK387" i="10" s="1"/>
  <c r="BM387" i="10"/>
  <c r="BV387" i="10" s="1"/>
  <c r="BZ387" i="10" s="1"/>
  <c r="BM378" i="10"/>
  <c r="BV378" i="10" s="1"/>
  <c r="BZ378" i="10" s="1"/>
  <c r="BI378" i="10"/>
  <c r="BK378" i="10" s="1"/>
  <c r="AQ378" i="10" s="1"/>
  <c r="BI372" i="10"/>
  <c r="BK372" i="10" s="1"/>
  <c r="AQ372" i="10" s="1"/>
  <c r="BM372" i="10"/>
  <c r="BV372" i="10" s="1"/>
  <c r="BZ372" i="10" s="1"/>
  <c r="BI36" i="10"/>
  <c r="BK36" i="10" s="1"/>
  <c r="AQ36" i="10" s="1"/>
  <c r="BI38" i="10"/>
  <c r="BK38" i="10" s="1"/>
  <c r="AQ38" i="10" s="1"/>
  <c r="BM38" i="10"/>
  <c r="BV38" i="10" s="1"/>
  <c r="BZ38" i="10" s="1"/>
  <c r="BI160" i="10"/>
  <c r="BK160" i="10" s="1"/>
  <c r="BM160" i="10"/>
  <c r="BV160" i="10" s="1"/>
  <c r="BZ160" i="10" s="1"/>
  <c r="BI173" i="10"/>
  <c r="BK173" i="10" s="1"/>
  <c r="BM173" i="10"/>
  <c r="BV173" i="10" s="1"/>
  <c r="BZ173" i="10" s="1"/>
  <c r="AN290" i="10"/>
  <c r="AW290" i="10"/>
  <c r="BM863" i="10"/>
  <c r="BV863" i="10" s="1"/>
  <c r="BZ863" i="10" s="1"/>
  <c r="BI863" i="10"/>
  <c r="BK863" i="10" s="1"/>
  <c r="AQ863" i="10" s="1"/>
  <c r="BM815" i="10"/>
  <c r="BV815" i="10" s="1"/>
  <c r="BZ815" i="10" s="1"/>
  <c r="BI815" i="10"/>
  <c r="BK815" i="10" s="1"/>
  <c r="AQ815" i="10" s="1"/>
  <c r="BI687" i="10"/>
  <c r="BK687" i="10" s="1"/>
  <c r="AQ687" i="10" s="1"/>
  <c r="BM687" i="10"/>
  <c r="BV687" i="10" s="1"/>
  <c r="BZ687" i="10" s="1"/>
  <c r="BI669" i="10"/>
  <c r="BK669" i="10" s="1"/>
  <c r="AQ669" i="10" s="1"/>
  <c r="BM669" i="10"/>
  <c r="BV669" i="10" s="1"/>
  <c r="BZ669" i="10" s="1"/>
  <c r="BI416" i="10"/>
  <c r="BK416" i="10" s="1"/>
  <c r="AQ416" i="10" s="1"/>
  <c r="BM416" i="10"/>
  <c r="BV416" i="10" s="1"/>
  <c r="BZ416" i="10" s="1"/>
  <c r="BM24" i="10"/>
  <c r="BV24" i="10" s="1"/>
  <c r="BZ24" i="10" s="1"/>
  <c r="BI24" i="10"/>
  <c r="BK24" i="10" s="1"/>
  <c r="AQ24" i="10" s="1"/>
  <c r="BM44" i="10"/>
  <c r="BV44" i="10" s="1"/>
  <c r="BZ44" i="10" s="1"/>
  <c r="BI44" i="10"/>
  <c r="BK44" i="10" s="1"/>
  <c r="BI71" i="10"/>
  <c r="BK71" i="10" s="1"/>
  <c r="AQ71" i="10" s="1"/>
  <c r="BM71" i="10"/>
  <c r="BV71" i="10" s="1"/>
  <c r="BZ71" i="10" s="1"/>
  <c r="BI844" i="10"/>
  <c r="BK844" i="10" s="1"/>
  <c r="AQ844" i="10" s="1"/>
  <c r="BM844" i="10"/>
  <c r="BV844" i="10" s="1"/>
  <c r="BZ844" i="10" s="1"/>
  <c r="BI729" i="10"/>
  <c r="BK729" i="10" s="1"/>
  <c r="AQ729" i="10" s="1"/>
  <c r="BM729" i="10"/>
  <c r="BV729" i="10" s="1"/>
  <c r="BZ729" i="10" s="1"/>
  <c r="BI725" i="10"/>
  <c r="BK725" i="10" s="1"/>
  <c r="AQ725" i="10" s="1"/>
  <c r="BM725" i="10"/>
  <c r="BV725" i="10" s="1"/>
  <c r="BZ725" i="10" s="1"/>
  <c r="BM465" i="10"/>
  <c r="BV465" i="10" s="1"/>
  <c r="BZ465" i="10" s="1"/>
  <c r="BI465" i="10"/>
  <c r="BK465" i="10" s="1"/>
  <c r="AQ465" i="10" s="1"/>
  <c r="BI462" i="10"/>
  <c r="BK462" i="10" s="1"/>
  <c r="AQ462" i="10" s="1"/>
  <c r="BM462" i="10"/>
  <c r="BV462" i="10" s="1"/>
  <c r="BZ462" i="10" s="1"/>
  <c r="BI454" i="10"/>
  <c r="BK454" i="10" s="1"/>
  <c r="AQ454" i="10" s="1"/>
  <c r="BM454" i="10"/>
  <c r="BV454" i="10" s="1"/>
  <c r="BZ454" i="10" s="1"/>
  <c r="BI444" i="10"/>
  <c r="BK444" i="10" s="1"/>
  <c r="BM444" i="10"/>
  <c r="BV444" i="10" s="1"/>
  <c r="BZ444" i="10" s="1"/>
  <c r="BM136" i="10"/>
  <c r="BV136" i="10" s="1"/>
  <c r="BZ136" i="10" s="1"/>
  <c r="BI136" i="10"/>
  <c r="BK136" i="10" s="1"/>
  <c r="AQ136" i="10" s="1"/>
  <c r="BM150" i="10"/>
  <c r="BV150" i="10" s="1"/>
  <c r="BZ150" i="10" s="1"/>
  <c r="BI150" i="10"/>
  <c r="BK150" i="10" s="1"/>
  <c r="BI158" i="10"/>
  <c r="BK158" i="10" s="1"/>
  <c r="AQ158" i="10" s="1"/>
  <c r="BM158" i="10"/>
  <c r="BV158" i="10" s="1"/>
  <c r="BZ158" i="10" s="1"/>
  <c r="BI131" i="10"/>
  <c r="BK131" i="10" s="1"/>
  <c r="AQ131" i="10" s="1"/>
  <c r="BM131" i="10"/>
  <c r="BV131" i="10" s="1"/>
  <c r="BZ131" i="10" s="1"/>
  <c r="BM209" i="10"/>
  <c r="BV209" i="10" s="1"/>
  <c r="BZ209" i="10" s="1"/>
  <c r="BI209" i="10"/>
  <c r="BK209" i="10" s="1"/>
  <c r="AQ209" i="10" s="1"/>
  <c r="AW377" i="10"/>
  <c r="BI706" i="10"/>
  <c r="BK706" i="10" s="1"/>
  <c r="AQ706" i="10" s="1"/>
  <c r="BM706" i="10"/>
  <c r="BV706" i="10" s="1"/>
  <c r="BZ706" i="10" s="1"/>
  <c r="BM524" i="10"/>
  <c r="BV524" i="10" s="1"/>
  <c r="BZ524" i="10" s="1"/>
  <c r="BI524" i="10"/>
  <c r="BK524" i="10" s="1"/>
  <c r="AQ524" i="10" s="1"/>
  <c r="BM507" i="10"/>
  <c r="BV507" i="10" s="1"/>
  <c r="BZ507" i="10" s="1"/>
  <c r="BI507" i="10"/>
  <c r="BK507" i="10" s="1"/>
  <c r="AQ507" i="10" s="1"/>
  <c r="BM29" i="10"/>
  <c r="BV29" i="10" s="1"/>
  <c r="BZ29" i="10" s="1"/>
  <c r="BI29" i="10"/>
  <c r="BK29" i="10" s="1"/>
  <c r="AQ29" i="10" s="1"/>
  <c r="BI39" i="10"/>
  <c r="BK39" i="10" s="1"/>
  <c r="AQ39" i="10" s="1"/>
  <c r="BM39" i="10"/>
  <c r="BV39" i="10" s="1"/>
  <c r="BZ39" i="10" s="1"/>
  <c r="BI187" i="10"/>
  <c r="BK187" i="10" s="1"/>
  <c r="AQ187" i="10" s="1"/>
  <c r="BM187" i="10"/>
  <c r="BV187" i="10" s="1"/>
  <c r="BZ187" i="10" s="1"/>
  <c r="BM877" i="10"/>
  <c r="BV877" i="10" s="1"/>
  <c r="BZ877" i="10" s="1"/>
  <c r="BI877" i="10"/>
  <c r="BK877" i="10" s="1"/>
  <c r="AQ877" i="10" s="1"/>
  <c r="BM719" i="10"/>
  <c r="BV719" i="10" s="1"/>
  <c r="BZ719" i="10" s="1"/>
  <c r="BI719" i="10"/>
  <c r="BK719" i="10" s="1"/>
  <c r="BM230" i="10"/>
  <c r="BV230" i="10" s="1"/>
  <c r="BZ230" i="10" s="1"/>
  <c r="BI230" i="10"/>
  <c r="BK230" i="10" s="1"/>
  <c r="AQ230" i="10" s="1"/>
  <c r="BI185" i="10"/>
  <c r="BK185" i="10" s="1"/>
  <c r="AQ185" i="10" s="1"/>
  <c r="AW320" i="10"/>
  <c r="BI505" i="10"/>
  <c r="BK505" i="10" s="1"/>
  <c r="AQ505" i="10" s="1"/>
  <c r="BI460" i="10"/>
  <c r="BK460" i="10" s="1"/>
  <c r="AQ460" i="10" s="1"/>
  <c r="BI290" i="10"/>
  <c r="BK290" i="10" s="1"/>
  <c r="AN526" i="10"/>
  <c r="BM638" i="10"/>
  <c r="BV638" i="10" s="1"/>
  <c r="BZ638" i="10" s="1"/>
  <c r="BI562" i="10"/>
  <c r="BK562" i="10" s="1"/>
  <c r="AQ562" i="10" s="1"/>
  <c r="BI354" i="10"/>
  <c r="BK354" i="10" s="1"/>
  <c r="AQ354" i="10" s="1"/>
  <c r="BI603" i="10"/>
  <c r="BK603" i="10" s="1"/>
  <c r="AQ603" i="10" s="1"/>
  <c r="BM129" i="10"/>
  <c r="BV129" i="10" s="1"/>
  <c r="BZ129" i="10" s="1"/>
  <c r="BI54" i="10"/>
  <c r="BK54" i="10" s="1"/>
  <c r="AQ54" i="10" s="1"/>
  <c r="AN322" i="10"/>
  <c r="BM371" i="10"/>
  <c r="BV371" i="10" s="1"/>
  <c r="BZ371" i="10" s="1"/>
  <c r="BM469" i="10"/>
  <c r="BV469" i="10" s="1"/>
  <c r="BZ469" i="10" s="1"/>
  <c r="BM97" i="10"/>
  <c r="BV97" i="10" s="1"/>
  <c r="BZ97" i="10" s="1"/>
  <c r="AW561" i="10"/>
  <c r="BM512" i="10"/>
  <c r="BV512" i="10" s="1"/>
  <c r="BZ512" i="10" s="1"/>
  <c r="BM611" i="10"/>
  <c r="BV611" i="10" s="1"/>
  <c r="BZ611" i="10" s="1"/>
  <c r="BM21" i="10"/>
  <c r="BV21" i="10" s="1"/>
  <c r="BZ21" i="10" s="1"/>
  <c r="BM677" i="10"/>
  <c r="BV677" i="10" s="1"/>
  <c r="BZ677" i="10" s="1"/>
  <c r="BM46" i="10"/>
  <c r="BV46" i="10" s="1"/>
  <c r="BZ46" i="10" s="1"/>
  <c r="BM63" i="10"/>
  <c r="BV63" i="10" s="1"/>
  <c r="BZ63" i="10" s="1"/>
  <c r="AW581" i="10"/>
  <c r="BI468" i="10"/>
  <c r="BK468" i="10" s="1"/>
  <c r="AQ468" i="10" s="1"/>
  <c r="AW193" i="10"/>
  <c r="AW579" i="10"/>
  <c r="BI409" i="10"/>
  <c r="BK409" i="10" s="1"/>
  <c r="AQ409" i="10" s="1"/>
  <c r="BM385" i="10"/>
  <c r="BV385" i="10" s="1"/>
  <c r="BZ385" i="10" s="1"/>
  <c r="BM104" i="10"/>
  <c r="BV104" i="10" s="1"/>
  <c r="BZ104" i="10" s="1"/>
  <c r="BI103" i="10"/>
  <c r="BK103" i="10" s="1"/>
  <c r="AQ103" i="10" s="1"/>
  <c r="BM172" i="10"/>
  <c r="BV172" i="10" s="1"/>
  <c r="BZ172" i="10" s="1"/>
  <c r="BM569" i="10"/>
  <c r="BV569" i="10" s="1"/>
  <c r="BZ569" i="10" s="1"/>
  <c r="BI549" i="10"/>
  <c r="BK549" i="10" s="1"/>
  <c r="AQ549" i="10" s="1"/>
  <c r="BM480" i="10"/>
  <c r="BV480" i="10" s="1"/>
  <c r="BZ480" i="10" s="1"/>
  <c r="BM438" i="10"/>
  <c r="BV438" i="10" s="1"/>
  <c r="BZ438" i="10" s="1"/>
  <c r="BI405" i="10"/>
  <c r="BK405" i="10" s="1"/>
  <c r="AQ405" i="10" s="1"/>
  <c r="AW214" i="10"/>
  <c r="BI588" i="10"/>
  <c r="BK588" i="10" s="1"/>
  <c r="AQ588" i="10" s="1"/>
  <c r="AN264" i="10"/>
  <c r="BI452" i="10"/>
  <c r="BK452" i="10" s="1"/>
  <c r="AQ452" i="10" s="1"/>
  <c r="AW186" i="10"/>
  <c r="BM870" i="10"/>
  <c r="BV870" i="10" s="1"/>
  <c r="BZ870" i="10" s="1"/>
  <c r="BI870" i="10"/>
  <c r="BK870" i="10" s="1"/>
  <c r="AQ870" i="10" s="1"/>
  <c r="BM806" i="10"/>
  <c r="BV806" i="10" s="1"/>
  <c r="BZ806" i="10" s="1"/>
  <c r="BI806" i="10"/>
  <c r="BK806" i="10" s="1"/>
  <c r="AQ806" i="10" s="1"/>
  <c r="BM592" i="10"/>
  <c r="BV592" i="10" s="1"/>
  <c r="BI592" i="10"/>
  <c r="BK592" i="10" s="1"/>
  <c r="AQ592" i="10" s="1"/>
  <c r="BI323" i="10"/>
  <c r="BK323" i="10" s="1"/>
  <c r="AQ323" i="10" s="1"/>
  <c r="BM323" i="10"/>
  <c r="BV323" i="10" s="1"/>
  <c r="BZ323" i="10" s="1"/>
  <c r="BI263" i="10"/>
  <c r="BK263" i="10" s="1"/>
  <c r="AQ263" i="10" s="1"/>
  <c r="BM263" i="10"/>
  <c r="BV263" i="10" s="1"/>
  <c r="BZ263" i="10" s="1"/>
  <c r="BI533" i="10"/>
  <c r="BK533" i="10" s="1"/>
  <c r="AQ533" i="10" s="1"/>
  <c r="BM533" i="10"/>
  <c r="BV533" i="10" s="1"/>
  <c r="BZ533" i="10" s="1"/>
  <c r="BI329" i="10"/>
  <c r="BK329" i="10" s="1"/>
  <c r="AQ329" i="10" s="1"/>
  <c r="BM329" i="10"/>
  <c r="BV329" i="10" s="1"/>
  <c r="BZ329" i="10" s="1"/>
  <c r="BI326" i="10"/>
  <c r="BK326" i="10" s="1"/>
  <c r="AQ326" i="10" s="1"/>
  <c r="BM326" i="10"/>
  <c r="BV326" i="10" s="1"/>
  <c r="BZ326" i="10" s="1"/>
  <c r="BM268" i="10"/>
  <c r="BV268" i="10" s="1"/>
  <c r="BZ268" i="10" s="1"/>
  <c r="BI268" i="10"/>
  <c r="BK268" i="10" s="1"/>
  <c r="AQ268" i="10" s="1"/>
  <c r="BI306" i="10"/>
  <c r="BK306" i="10" s="1"/>
  <c r="AQ306" i="10" s="1"/>
  <c r="BM306" i="10"/>
  <c r="BV306" i="10" s="1"/>
  <c r="BZ306" i="10" s="1"/>
  <c r="BI22" i="10"/>
  <c r="BK22" i="10" s="1"/>
  <c r="AQ22" i="10" s="1"/>
  <c r="BM662" i="10"/>
  <c r="BV662" i="10" s="1"/>
  <c r="BZ662" i="10" s="1"/>
  <c r="BI662" i="10"/>
  <c r="BK662" i="10" s="1"/>
  <c r="AQ662" i="10" s="1"/>
  <c r="BM657" i="10"/>
  <c r="BV657" i="10" s="1"/>
  <c r="BZ657" i="10" s="1"/>
  <c r="BI657" i="10"/>
  <c r="BK657" i="10" s="1"/>
  <c r="AQ657" i="10" s="1"/>
  <c r="BI339" i="10"/>
  <c r="BK339" i="10" s="1"/>
  <c r="AQ339" i="10" s="1"/>
  <c r="BM339" i="10"/>
  <c r="BV339" i="10" s="1"/>
  <c r="BZ339" i="10" s="1"/>
  <c r="AW473" i="10"/>
  <c r="BM544" i="10"/>
  <c r="BV544" i="10" s="1"/>
  <c r="BZ544" i="10" s="1"/>
  <c r="BI544" i="10"/>
  <c r="BK544" i="10" s="1"/>
  <c r="BM543" i="10"/>
  <c r="BV543" i="10" s="1"/>
  <c r="BZ543" i="10" s="1"/>
  <c r="BI543" i="10"/>
  <c r="BK543" i="10" s="1"/>
  <c r="AQ543" i="10" s="1"/>
  <c r="BM217" i="10"/>
  <c r="BV217" i="10" s="1"/>
  <c r="BZ217" i="10" s="1"/>
  <c r="BI217" i="10"/>
  <c r="BK217" i="10" s="1"/>
  <c r="AQ217" i="10" s="1"/>
  <c r="AW159" i="10"/>
  <c r="BM787" i="10"/>
  <c r="BV787" i="10" s="1"/>
  <c r="BZ787" i="10" s="1"/>
  <c r="BI787" i="10"/>
  <c r="BK787" i="10" s="1"/>
  <c r="BI602" i="10"/>
  <c r="BK602" i="10" s="1"/>
  <c r="AQ602" i="10" s="1"/>
  <c r="BM602" i="10"/>
  <c r="BV602" i="10" s="1"/>
  <c r="BZ602" i="10" s="1"/>
  <c r="BI154" i="10"/>
  <c r="BK154" i="10" s="1"/>
  <c r="AQ154" i="10" s="1"/>
  <c r="BM154" i="10"/>
  <c r="BV154" i="10" s="1"/>
  <c r="BZ154" i="10" s="1"/>
  <c r="BI722" i="10"/>
  <c r="BK722" i="10" s="1"/>
  <c r="AQ722" i="10" s="1"/>
  <c r="BM722" i="10"/>
  <c r="BV722" i="10" s="1"/>
  <c r="BZ722" i="10" s="1"/>
  <c r="BM560" i="10"/>
  <c r="BV560" i="10" s="1"/>
  <c r="BI560" i="10"/>
  <c r="BK560" i="10" s="1"/>
  <c r="AQ560" i="10" s="1"/>
  <c r="BI516" i="10"/>
  <c r="BK516" i="10" s="1"/>
  <c r="AQ516" i="10" s="1"/>
  <c r="BM516" i="10"/>
  <c r="BV516" i="10" s="1"/>
  <c r="BZ516" i="10" s="1"/>
  <c r="AW150" i="10"/>
  <c r="AW50" i="10"/>
  <c r="BI70" i="10"/>
  <c r="BK70" i="10" s="1"/>
  <c r="AQ70" i="10" s="1"/>
  <c r="BM70" i="10"/>
  <c r="BV70" i="10" s="1"/>
  <c r="BZ70" i="10" s="1"/>
  <c r="BI842" i="10"/>
  <c r="BK842" i="10" s="1"/>
  <c r="AQ842" i="10" s="1"/>
  <c r="BM842" i="10"/>
  <c r="BV842" i="10" s="1"/>
  <c r="BZ842" i="10" s="1"/>
  <c r="BI608" i="10"/>
  <c r="BK608" i="10" s="1"/>
  <c r="AQ608" i="10" s="1"/>
  <c r="BM608" i="10"/>
  <c r="BV608" i="10" s="1"/>
  <c r="BZ608" i="10" s="1"/>
  <c r="BM406" i="10"/>
  <c r="BV406" i="10" s="1"/>
  <c r="BZ406" i="10" s="1"/>
  <c r="BI406" i="10"/>
  <c r="BK406" i="10" s="1"/>
  <c r="AQ406" i="10" s="1"/>
  <c r="BM288" i="10"/>
  <c r="BV288" i="10" s="1"/>
  <c r="BZ288" i="10" s="1"/>
  <c r="BI288" i="10"/>
  <c r="BK288" i="10" s="1"/>
  <c r="AQ288" i="10" s="1"/>
  <c r="BI232" i="10"/>
  <c r="BK232" i="10" s="1"/>
  <c r="BM232" i="10"/>
  <c r="BV232" i="10" s="1"/>
  <c r="BZ232" i="10" s="1"/>
  <c r="BI751" i="10"/>
  <c r="BK751" i="10" s="1"/>
  <c r="AQ751" i="10" s="1"/>
  <c r="AW668" i="10"/>
  <c r="AN668" i="10"/>
  <c r="BI846" i="10"/>
  <c r="BK846" i="10" s="1"/>
  <c r="AQ846" i="10" s="1"/>
  <c r="BM846" i="10"/>
  <c r="BV846" i="10" s="1"/>
  <c r="BZ846" i="10" s="1"/>
  <c r="BI679" i="10"/>
  <c r="BK679" i="10" s="1"/>
  <c r="BM679" i="10"/>
  <c r="BV679" i="10" s="1"/>
  <c r="BZ679" i="10" s="1"/>
  <c r="BM615" i="10"/>
  <c r="BV615" i="10" s="1"/>
  <c r="BZ615" i="10" s="1"/>
  <c r="BI615" i="10"/>
  <c r="BK615" i="10" s="1"/>
  <c r="AQ615" i="10" s="1"/>
  <c r="BI614" i="10"/>
  <c r="BK614" i="10" s="1"/>
  <c r="AQ614" i="10" s="1"/>
  <c r="BM614" i="10"/>
  <c r="BV614" i="10" s="1"/>
  <c r="BZ614" i="10" s="1"/>
  <c r="BI576" i="10"/>
  <c r="BK576" i="10" s="1"/>
  <c r="AQ576" i="10" s="1"/>
  <c r="BM576" i="10"/>
  <c r="BV576" i="10" s="1"/>
  <c r="BZ576" i="10" s="1"/>
  <c r="BI412" i="10"/>
  <c r="BK412" i="10" s="1"/>
  <c r="AQ412" i="10" s="1"/>
  <c r="BM412" i="10"/>
  <c r="BV412" i="10" s="1"/>
  <c r="BZ412" i="10" s="1"/>
  <c r="BM42" i="10"/>
  <c r="BV42" i="10" s="1"/>
  <c r="BZ42" i="10" s="1"/>
  <c r="BM688" i="10"/>
  <c r="BV688" i="10" s="1"/>
  <c r="BZ688" i="10" s="1"/>
  <c r="BI688" i="10"/>
  <c r="BK688" i="10" s="1"/>
  <c r="AQ688" i="10" s="1"/>
  <c r="BI470" i="10"/>
  <c r="BK470" i="10" s="1"/>
  <c r="AQ470" i="10" s="1"/>
  <c r="BM470" i="10"/>
  <c r="BV470" i="10" s="1"/>
  <c r="BZ470" i="10" s="1"/>
  <c r="BM246" i="10"/>
  <c r="BV246" i="10" s="1"/>
  <c r="BI246" i="10"/>
  <c r="BK246" i="10" s="1"/>
  <c r="AQ246" i="10" s="1"/>
  <c r="BM584" i="10"/>
  <c r="BV584" i="10" s="1"/>
  <c r="BZ584" i="10" s="1"/>
  <c r="BI584" i="10"/>
  <c r="BK584" i="10" s="1"/>
  <c r="AQ584" i="10" s="1"/>
  <c r="BM490" i="10"/>
  <c r="BV490" i="10" s="1"/>
  <c r="BZ490" i="10" s="1"/>
  <c r="BI490" i="10"/>
  <c r="BK490" i="10" s="1"/>
  <c r="AQ490" i="10" s="1"/>
  <c r="BM489" i="10"/>
  <c r="BV489" i="10" s="1"/>
  <c r="BZ489" i="10" s="1"/>
  <c r="BI489" i="10"/>
  <c r="BK489" i="10" s="1"/>
  <c r="AQ489" i="10" s="1"/>
  <c r="BI742" i="10"/>
  <c r="BK742" i="10" s="1"/>
  <c r="AQ742" i="10" s="1"/>
  <c r="BM742" i="10"/>
  <c r="BV742" i="10" s="1"/>
  <c r="BZ742" i="10" s="1"/>
  <c r="AN494" i="10"/>
  <c r="AW597" i="10"/>
  <c r="AW220" i="10"/>
  <c r="AN292" i="10"/>
  <c r="BI83" i="10"/>
  <c r="BK83" i="10" s="1"/>
  <c r="AQ83" i="10" s="1"/>
  <c r="BI183" i="10"/>
  <c r="BK183" i="10" s="1"/>
  <c r="AW256" i="10"/>
  <c r="AW482" i="10"/>
  <c r="AW551" i="10"/>
  <c r="AN551" i="10"/>
  <c r="AW187" i="10"/>
  <c r="BM65" i="10"/>
  <c r="BV65" i="10" s="1"/>
  <c r="BZ65" i="10" s="1"/>
  <c r="BI28" i="10"/>
  <c r="BK28" i="10" s="1"/>
  <c r="AQ28" i="10" s="1"/>
  <c r="BM118" i="10"/>
  <c r="BV118" i="10" s="1"/>
  <c r="BZ118" i="10" s="1"/>
  <c r="BI95" i="10"/>
  <c r="BK95" i="10" s="1"/>
  <c r="AQ95" i="10" s="1"/>
  <c r="AW68" i="10"/>
  <c r="BI84" i="10"/>
  <c r="BK84" i="10" s="1"/>
  <c r="AQ84" i="10" s="1"/>
  <c r="BM116" i="10"/>
  <c r="BV116" i="10" s="1"/>
  <c r="BZ116" i="10" s="1"/>
  <c r="AW164" i="10"/>
  <c r="DO318" i="10"/>
  <c r="BM147" i="10"/>
  <c r="BV147" i="10" s="1"/>
  <c r="BZ147" i="10" s="1"/>
  <c r="BI34" i="10"/>
  <c r="BK34" i="10" s="1"/>
  <c r="AQ34" i="10" s="1"/>
  <c r="BM146" i="10"/>
  <c r="BV146" i="10" s="1"/>
  <c r="BZ146" i="10" s="1"/>
  <c r="BI146" i="10"/>
  <c r="BK146" i="10" s="1"/>
  <c r="AQ146" i="10" s="1"/>
  <c r="BM32" i="10"/>
  <c r="BV32" i="10" s="1"/>
  <c r="BM74" i="10"/>
  <c r="BV74" i="10" s="1"/>
  <c r="BZ74" i="10" s="1"/>
  <c r="BM109" i="10"/>
  <c r="BV109" i="10" s="1"/>
  <c r="BZ109" i="10" s="1"/>
  <c r="BI30" i="10"/>
  <c r="BK30" i="10" s="1"/>
  <c r="AQ30" i="10" s="1"/>
  <c r="BM48" i="10"/>
  <c r="BV48" i="10" s="1"/>
  <c r="BZ48" i="10" s="1"/>
  <c r="BI142" i="10"/>
  <c r="BK142" i="10" s="1"/>
  <c r="AQ142" i="10" s="1"/>
  <c r="BI144" i="10"/>
  <c r="BK144" i="10" s="1"/>
  <c r="BI182" i="10"/>
  <c r="BK182" i="10" s="1"/>
  <c r="AQ182" i="10" s="1"/>
  <c r="BM182" i="10"/>
  <c r="BV182" i="10" s="1"/>
  <c r="BZ182" i="10" s="1"/>
  <c r="BI195" i="10"/>
  <c r="BK195" i="10" s="1"/>
  <c r="AQ195" i="10" s="1"/>
  <c r="AW17" i="10"/>
  <c r="BI37" i="10"/>
  <c r="BK37" i="10" s="1"/>
  <c r="AQ37" i="10" s="1"/>
  <c r="BM37" i="10"/>
  <c r="BV37" i="10" s="1"/>
  <c r="BZ37" i="10" s="1"/>
  <c r="BM51" i="10"/>
  <c r="BV51" i="10" s="1"/>
  <c r="BZ51" i="10" s="1"/>
  <c r="BM161" i="10"/>
  <c r="BV161" i="10" s="1"/>
  <c r="BZ161" i="10" s="1"/>
  <c r="BI161" i="10"/>
  <c r="BK161" i="10" s="1"/>
  <c r="AN181" i="10"/>
  <c r="DO263" i="10"/>
  <c r="BM168" i="10"/>
  <c r="BV168" i="10" s="1"/>
  <c r="BZ168" i="10" s="1"/>
  <c r="BI27" i="10"/>
  <c r="BK27" i="10" s="1"/>
  <c r="AQ27" i="10" s="1"/>
  <c r="BM27" i="10"/>
  <c r="BV27" i="10" s="1"/>
  <c r="BZ27" i="10" s="1"/>
  <c r="BM73" i="10"/>
  <c r="BV73" i="10" s="1"/>
  <c r="BZ73" i="10" s="1"/>
  <c r="BM76" i="10"/>
  <c r="BV76" i="10" s="1"/>
  <c r="BZ76" i="10" s="1"/>
  <c r="AN671" i="10"/>
  <c r="AW731" i="10"/>
  <c r="AW775" i="10"/>
  <c r="AN513" i="10"/>
  <c r="AW464" i="10"/>
  <c r="BM199" i="10"/>
  <c r="BV199" i="10" s="1"/>
  <c r="BZ199" i="10" s="1"/>
  <c r="AW688" i="10"/>
  <c r="AW396" i="10"/>
  <c r="AW432" i="10"/>
  <c r="AN548" i="10"/>
  <c r="AN843" i="10"/>
  <c r="AN707" i="10"/>
  <c r="AW605" i="10"/>
  <c r="AN370" i="10"/>
  <c r="AW452" i="10"/>
  <c r="AW265" i="10"/>
  <c r="AN267" i="10"/>
  <c r="AN723" i="10"/>
  <c r="AW763" i="10"/>
  <c r="AN549" i="10"/>
  <c r="AW277" i="10"/>
  <c r="AW382" i="10"/>
  <c r="AW46" i="10"/>
  <c r="AW56" i="10"/>
  <c r="AN82" i="10"/>
  <c r="AW217" i="10"/>
  <c r="AN698" i="10"/>
  <c r="AN239" i="10"/>
  <c r="AN643" i="10"/>
  <c r="AN271" i="10"/>
  <c r="AN518" i="10"/>
  <c r="AW233" i="10"/>
  <c r="AW563" i="10"/>
  <c r="AW574" i="10"/>
  <c r="AW313" i="10"/>
  <c r="AN784" i="10"/>
  <c r="AW283" i="10"/>
  <c r="AN649" i="10"/>
  <c r="AW522" i="10"/>
  <c r="AN786" i="10"/>
  <c r="AW336" i="10"/>
  <c r="AW398" i="10"/>
  <c r="BY855" i="10"/>
  <c r="DY855" i="10"/>
  <c r="AN190" i="10"/>
  <c r="AW190" i="10"/>
  <c r="AN560" i="10"/>
  <c r="AW560" i="10"/>
  <c r="AN816" i="10"/>
  <c r="AW816" i="10"/>
  <c r="BY838" i="10"/>
  <c r="DY838" i="10"/>
  <c r="BF806" i="10"/>
  <c r="BU806" i="10" s="1"/>
  <c r="BY806" i="10" s="1"/>
  <c r="DU806" i="10" s="1"/>
  <c r="BB806" i="10"/>
  <c r="BD806" i="10" s="1"/>
  <c r="BF800" i="10"/>
  <c r="BU800" i="10" s="1"/>
  <c r="BY800" i="10" s="1"/>
  <c r="DU800" i="10" s="1"/>
  <c r="BB800" i="10"/>
  <c r="BD800" i="10" s="1"/>
  <c r="BF794" i="10"/>
  <c r="BU794" i="10" s="1"/>
  <c r="BY794" i="10" s="1"/>
  <c r="DU794" i="10" s="1"/>
  <c r="BB794" i="10"/>
  <c r="BD794" i="10" s="1"/>
  <c r="BF686" i="10"/>
  <c r="BU686" i="10" s="1"/>
  <c r="BB686" i="10"/>
  <c r="BD686" i="10" s="1"/>
  <c r="AW686" i="10" s="1"/>
  <c r="BF681" i="10"/>
  <c r="BU681" i="10" s="1"/>
  <c r="BY681" i="10" s="1"/>
  <c r="DU681" i="10" s="1"/>
  <c r="BB681" i="10"/>
  <c r="BD681" i="10" s="1"/>
  <c r="BY676" i="10"/>
  <c r="DY676" i="10"/>
  <c r="BY619" i="10"/>
  <c r="BY569" i="10"/>
  <c r="DY569" i="10"/>
  <c r="BF552" i="10"/>
  <c r="BU552" i="10" s="1"/>
  <c r="BY552" i="10" s="1"/>
  <c r="DU552" i="10" s="1"/>
  <c r="BB552" i="10"/>
  <c r="BD552" i="10" s="1"/>
  <c r="AW552" i="10" s="1"/>
  <c r="BY503" i="10"/>
  <c r="DY503" i="10"/>
  <c r="BF481" i="10"/>
  <c r="BU481" i="10" s="1"/>
  <c r="BY481" i="10" s="1"/>
  <c r="DU481" i="10" s="1"/>
  <c r="BB481" i="10"/>
  <c r="BD481" i="10" s="1"/>
  <c r="BY849" i="10"/>
  <c r="DY849" i="10"/>
  <c r="BY783" i="10"/>
  <c r="DY783" i="10"/>
  <c r="BY777" i="10"/>
  <c r="DY777" i="10"/>
  <c r="BY739" i="10"/>
  <c r="DY739" i="10"/>
  <c r="BY664" i="10"/>
  <c r="DY664" i="10"/>
  <c r="DU497" i="10"/>
  <c r="BY449" i="10"/>
  <c r="DY449" i="10"/>
  <c r="BF388" i="10"/>
  <c r="BU388" i="10" s="1"/>
  <c r="BB388" i="10"/>
  <c r="BD388" i="10" s="1"/>
  <c r="AN388" i="10" s="1"/>
  <c r="BY323" i="10"/>
  <c r="DU323" i="10" s="1"/>
  <c r="DY323" i="10"/>
  <c r="BY229" i="10"/>
  <c r="DY229" i="10"/>
  <c r="BY195" i="10"/>
  <c r="DY195" i="10"/>
  <c r="BF32" i="10"/>
  <c r="BU32" i="10" s="1"/>
  <c r="BY32" i="10" s="1"/>
  <c r="DU32" i="10" s="1"/>
  <c r="BB32" i="10"/>
  <c r="BD32" i="10" s="1"/>
  <c r="BF26" i="10"/>
  <c r="BU26" i="10" s="1"/>
  <c r="BB26" i="10"/>
  <c r="BD26" i="10" s="1"/>
  <c r="AW26" i="10" s="1"/>
  <c r="BF20" i="10"/>
  <c r="BU20" i="10" s="1"/>
  <c r="BB20" i="10"/>
  <c r="BD20" i="10" s="1"/>
  <c r="AW20" i="10" s="1"/>
  <c r="BY864" i="10"/>
  <c r="DY864" i="10"/>
  <c r="BF810" i="10"/>
  <c r="BU810" i="10" s="1"/>
  <c r="BB810" i="10"/>
  <c r="BD810" i="10" s="1"/>
  <c r="AN810" i="10" s="1"/>
  <c r="DU754" i="10"/>
  <c r="BY648" i="10"/>
  <c r="DY648" i="10"/>
  <c r="DU642" i="10"/>
  <c r="DN642" i="10"/>
  <c r="BP642" i="10" s="1"/>
  <c r="DO642" i="10" s="1"/>
  <c r="BF568" i="10"/>
  <c r="BU568" i="10" s="1"/>
  <c r="BY568" i="10" s="1"/>
  <c r="DU568" i="10" s="1"/>
  <c r="BB568" i="10"/>
  <c r="BD568" i="10" s="1"/>
  <c r="BY551" i="10"/>
  <c r="DY551" i="10"/>
  <c r="BF491" i="10"/>
  <c r="BU491" i="10" s="1"/>
  <c r="BY491" i="10" s="1"/>
  <c r="DU491" i="10" s="1"/>
  <c r="BB491" i="10"/>
  <c r="BD491" i="10" s="1"/>
  <c r="BF393" i="10"/>
  <c r="BU393" i="10" s="1"/>
  <c r="BY393" i="10" s="1"/>
  <c r="DU393" i="10" s="1"/>
  <c r="BB393" i="10"/>
  <c r="BD393" i="10" s="1"/>
  <c r="BY382" i="10"/>
  <c r="DY382" i="10"/>
  <c r="BY377" i="10"/>
  <c r="DY377" i="10"/>
  <c r="BY349" i="10"/>
  <c r="DY349" i="10"/>
  <c r="BY144" i="10"/>
  <c r="BY85" i="10"/>
  <c r="DY85" i="10"/>
  <c r="BF79" i="10"/>
  <c r="BU79" i="10" s="1"/>
  <c r="BB79" i="10"/>
  <c r="BD79" i="10" s="1"/>
  <c r="AN79" i="10" s="1"/>
  <c r="BF73" i="10"/>
  <c r="BU73" i="10" s="1"/>
  <c r="BB73" i="10"/>
  <c r="BD73" i="10" s="1"/>
  <c r="AN73" i="10" s="1"/>
  <c r="BF67" i="10"/>
  <c r="BU67" i="10" s="1"/>
  <c r="BB67" i="10"/>
  <c r="BD67" i="10" s="1"/>
  <c r="BF61" i="10"/>
  <c r="BU61" i="10" s="1"/>
  <c r="BY61" i="10" s="1"/>
  <c r="DU61" i="10" s="1"/>
  <c r="BB61" i="10"/>
  <c r="BD61" i="10" s="1"/>
  <c r="AW61" i="10" s="1"/>
  <c r="BY670" i="10"/>
  <c r="DY670" i="10"/>
  <c r="AN245" i="10"/>
  <c r="AW245" i="10"/>
  <c r="AW541" i="10"/>
  <c r="AN541" i="10"/>
  <c r="AN287" i="10"/>
  <c r="AW287" i="10"/>
  <c r="BF874" i="10"/>
  <c r="BU874" i="10" s="1"/>
  <c r="BB874" i="10"/>
  <c r="BD874" i="10" s="1"/>
  <c r="AN874" i="10" s="1"/>
  <c r="BF820" i="10"/>
  <c r="BU820" i="10" s="1"/>
  <c r="BB820" i="10"/>
  <c r="BD820" i="10" s="1"/>
  <c r="AN820" i="10" s="1"/>
  <c r="BF606" i="10"/>
  <c r="BU606" i="10" s="1"/>
  <c r="BB606" i="10"/>
  <c r="BD606" i="10" s="1"/>
  <c r="AW606" i="10" s="1"/>
  <c r="BY589" i="10"/>
  <c r="DY589" i="10"/>
  <c r="BY518" i="10"/>
  <c r="DY518" i="10"/>
  <c r="BF496" i="10"/>
  <c r="BU496" i="10" s="1"/>
  <c r="BY496" i="10" s="1"/>
  <c r="DU496" i="10" s="1"/>
  <c r="BB496" i="10"/>
  <c r="BD496" i="10" s="1"/>
  <c r="BF442" i="10"/>
  <c r="BU442" i="10" s="1"/>
  <c r="BY442" i="10" s="1"/>
  <c r="DU442" i="10" s="1"/>
  <c r="BB442" i="10"/>
  <c r="BD442" i="10" s="1"/>
  <c r="BY398" i="10"/>
  <c r="DY398" i="10"/>
  <c r="BF338" i="10"/>
  <c r="BU338" i="10" s="1"/>
  <c r="BB338" i="10"/>
  <c r="BD338" i="10" s="1"/>
  <c r="AN338" i="10" s="1"/>
  <c r="DU245" i="10"/>
  <c r="BY37" i="10"/>
  <c r="DY37" i="10"/>
  <c r="AW175" i="10"/>
  <c r="AN175" i="10"/>
  <c r="AW177" i="10"/>
  <c r="AN323" i="10"/>
  <c r="AW323" i="10"/>
  <c r="BY743" i="10"/>
  <c r="DY743" i="10"/>
  <c r="BY717" i="10"/>
  <c r="DY717" i="10"/>
  <c r="BY690" i="10"/>
  <c r="DY690" i="10"/>
  <c r="BF617" i="10"/>
  <c r="BU617" i="10" s="1"/>
  <c r="BB617" i="10"/>
  <c r="BD617" i="10" s="1"/>
  <c r="AN617" i="10" s="1"/>
  <c r="BY600" i="10"/>
  <c r="DY600" i="10"/>
  <c r="BY453" i="10"/>
  <c r="DY453" i="10"/>
  <c r="BY436" i="10"/>
  <c r="DY436" i="10"/>
  <c r="BY392" i="10"/>
  <c r="DY392" i="10"/>
  <c r="BY205" i="10"/>
  <c r="DY205" i="10"/>
  <c r="BY160" i="10"/>
  <c r="DY160" i="10"/>
  <c r="BF102" i="10"/>
  <c r="BU102" i="10" s="1"/>
  <c r="BB102" i="10"/>
  <c r="BD102" i="10" s="1"/>
  <c r="AN102" i="10" s="1"/>
  <c r="BY96" i="10"/>
  <c r="DY96" i="10"/>
  <c r="BF90" i="10"/>
  <c r="BU90" i="10" s="1"/>
  <c r="BB90" i="10"/>
  <c r="BD90" i="10" s="1"/>
  <c r="AN90" i="10" s="1"/>
  <c r="AN280" i="10"/>
  <c r="AW280" i="10"/>
  <c r="BF825" i="10"/>
  <c r="BU825" i="10" s="1"/>
  <c r="BB825" i="10"/>
  <c r="BD825" i="10" s="1"/>
  <c r="BY753" i="10"/>
  <c r="DY753" i="10"/>
  <c r="BY668" i="10"/>
  <c r="BF662" i="10"/>
  <c r="BU662" i="10" s="1"/>
  <c r="BB662" i="10"/>
  <c r="BD662" i="10" s="1"/>
  <c r="AW662" i="10" s="1"/>
  <c r="BF657" i="10"/>
  <c r="BU657" i="10" s="1"/>
  <c r="BY657" i="10" s="1"/>
  <c r="DU657" i="10" s="1"/>
  <c r="BB657" i="10"/>
  <c r="BD657" i="10" s="1"/>
  <c r="BY652" i="10"/>
  <c r="DY652" i="10"/>
  <c r="BY577" i="10"/>
  <c r="BY458" i="10"/>
  <c r="BF447" i="10"/>
  <c r="BU447" i="10" s="1"/>
  <c r="BY447" i="10" s="1"/>
  <c r="DU447" i="10" s="1"/>
  <c r="BB447" i="10"/>
  <c r="BD447" i="10" s="1"/>
  <c r="BY408" i="10"/>
  <c r="DY408" i="10"/>
  <c r="BF403" i="10"/>
  <c r="BU403" i="10" s="1"/>
  <c r="BB403" i="10"/>
  <c r="BD403" i="10" s="1"/>
  <c r="AW403" i="10" s="1"/>
  <c r="BY353" i="10"/>
  <c r="DY353" i="10"/>
  <c r="BY261" i="10"/>
  <c r="DY261" i="10"/>
  <c r="BY227" i="10"/>
  <c r="DU227" i="10" s="1"/>
  <c r="DY227" i="10"/>
  <c r="BF125" i="10"/>
  <c r="BU125" i="10" s="1"/>
  <c r="BB125" i="10"/>
  <c r="BD125" i="10" s="1"/>
  <c r="AN125" i="10" s="1"/>
  <c r="BF119" i="10"/>
  <c r="BU119" i="10" s="1"/>
  <c r="BB119" i="10"/>
  <c r="BD119" i="10" s="1"/>
  <c r="BF113" i="10"/>
  <c r="BU113" i="10" s="1"/>
  <c r="BB113" i="10"/>
  <c r="BD113" i="10" s="1"/>
  <c r="AW113" i="10" s="1"/>
  <c r="AW293" i="10"/>
  <c r="AN293" i="10"/>
  <c r="BF830" i="10"/>
  <c r="BU830" i="10" s="1"/>
  <c r="BB830" i="10"/>
  <c r="BD830" i="10" s="1"/>
  <c r="BY763" i="10"/>
  <c r="DY763" i="10"/>
  <c r="BY646" i="10"/>
  <c r="DY646" i="10"/>
  <c r="BY640" i="10"/>
  <c r="DY640" i="10"/>
  <c r="BY622" i="10"/>
  <c r="DY622" i="10"/>
  <c r="BF572" i="10"/>
  <c r="BU572" i="10" s="1"/>
  <c r="BB572" i="10"/>
  <c r="BD572" i="10" s="1"/>
  <c r="AW572" i="10" s="1"/>
  <c r="BY511" i="10"/>
  <c r="DY511" i="10"/>
  <c r="BF506" i="10"/>
  <c r="BU506" i="10" s="1"/>
  <c r="BY506" i="10" s="1"/>
  <c r="DU506" i="10" s="1"/>
  <c r="BB506" i="10"/>
  <c r="BD506" i="10" s="1"/>
  <c r="AW506" i="10" s="1"/>
  <c r="BF413" i="10"/>
  <c r="BU413" i="10" s="1"/>
  <c r="BY413" i="10" s="1"/>
  <c r="DU413" i="10" s="1"/>
  <c r="BB413" i="10"/>
  <c r="BD413" i="10" s="1"/>
  <c r="BY221" i="10"/>
  <c r="DY221" i="10"/>
  <c r="BF142" i="10"/>
  <c r="BU142" i="10" s="1"/>
  <c r="BY142" i="10" s="1"/>
  <c r="DU142" i="10" s="1"/>
  <c r="BB142" i="10"/>
  <c r="BD142" i="10" s="1"/>
  <c r="BF136" i="10"/>
  <c r="BU136" i="10" s="1"/>
  <c r="BY136" i="10" s="1"/>
  <c r="DU136" i="10" s="1"/>
  <c r="BB136" i="10"/>
  <c r="BD136" i="10" s="1"/>
  <c r="AN306" i="10"/>
  <c r="AW306" i="10"/>
  <c r="BY862" i="10"/>
  <c r="DY862" i="10"/>
  <c r="BF780" i="10"/>
  <c r="BU780" i="10" s="1"/>
  <c r="BY780" i="10" s="1"/>
  <c r="DU780" i="10" s="1"/>
  <c r="BB780" i="10"/>
  <c r="BD780" i="10" s="1"/>
  <c r="BF710" i="10"/>
  <c r="BU710" i="10" s="1"/>
  <c r="BB710" i="10"/>
  <c r="BD710" i="10" s="1"/>
  <c r="AN710" i="10" s="1"/>
  <c r="BY440" i="10"/>
  <c r="DY440" i="10"/>
  <c r="BY396" i="10"/>
  <c r="DY396" i="10"/>
  <c r="BY380" i="10"/>
  <c r="DY380" i="10"/>
  <c r="BY315" i="10"/>
  <c r="DY315" i="10"/>
  <c r="BY277" i="10"/>
  <c r="DY277" i="10"/>
  <c r="BY181" i="10"/>
  <c r="DY181" i="10"/>
  <c r="AW446" i="10"/>
  <c r="AN446" i="10"/>
  <c r="AN361" i="10"/>
  <c r="AW361" i="10"/>
  <c r="BY768" i="10"/>
  <c r="DY768" i="10"/>
  <c r="BY633" i="10"/>
  <c r="DY633" i="10"/>
  <c r="BF627" i="10"/>
  <c r="BU627" i="10" s="1"/>
  <c r="BB627" i="10"/>
  <c r="BD627" i="10" s="1"/>
  <c r="AN627" i="10" s="1"/>
  <c r="BF418" i="10"/>
  <c r="BU418" i="10" s="1"/>
  <c r="BY418" i="10" s="1"/>
  <c r="DU418" i="10" s="1"/>
  <c r="BB418" i="10"/>
  <c r="BD418" i="10" s="1"/>
  <c r="BY412" i="10"/>
  <c r="DY412" i="10"/>
  <c r="BY341" i="10"/>
  <c r="DY341" i="10"/>
  <c r="BY465" i="10"/>
  <c r="DY465" i="10"/>
  <c r="AN448" i="10"/>
  <c r="AW448" i="10"/>
  <c r="BY845" i="10"/>
  <c r="DY845" i="10"/>
  <c r="BF785" i="10"/>
  <c r="BU785" i="10" s="1"/>
  <c r="BY785" i="10" s="1"/>
  <c r="DU785" i="10" s="1"/>
  <c r="BB785" i="10"/>
  <c r="BD785" i="10" s="1"/>
  <c r="BF730" i="10"/>
  <c r="BU730" i="10" s="1"/>
  <c r="BY730" i="10" s="1"/>
  <c r="DU730" i="10" s="1"/>
  <c r="BB730" i="10"/>
  <c r="BD730" i="10" s="1"/>
  <c r="AN730" i="10" s="1"/>
  <c r="BY666" i="10"/>
  <c r="DY666" i="10"/>
  <c r="BF592" i="10"/>
  <c r="BU592" i="10" s="1"/>
  <c r="BB592" i="10"/>
  <c r="BD592" i="10" s="1"/>
  <c r="AN592" i="10" s="1"/>
  <c r="BY401" i="10"/>
  <c r="DU401" i="10" s="1"/>
  <c r="DY401" i="10"/>
  <c r="BF374" i="10"/>
  <c r="BU374" i="10" s="1"/>
  <c r="BB374" i="10"/>
  <c r="BD374" i="10" s="1"/>
  <c r="BF368" i="10"/>
  <c r="BU368" i="10" s="1"/>
  <c r="BY368" i="10" s="1"/>
  <c r="DU368" i="10" s="1"/>
  <c r="BB368" i="10"/>
  <c r="BD368" i="10" s="1"/>
  <c r="AW368" i="10" s="1"/>
  <c r="BY259" i="10"/>
  <c r="DU259" i="10" s="1"/>
  <c r="DY259" i="10"/>
  <c r="BY152" i="10"/>
  <c r="DY152" i="10"/>
  <c r="DY497" i="10"/>
  <c r="BB486" i="10"/>
  <c r="BD486" i="10" s="1"/>
  <c r="AW486" i="10" s="1"/>
  <c r="BF638" i="10"/>
  <c r="BU638" i="10" s="1"/>
  <c r="BY638" i="10" s="1"/>
  <c r="DU638" i="10" s="1"/>
  <c r="BB638" i="10"/>
  <c r="BD638" i="10" s="1"/>
  <c r="AW638" i="10" s="1"/>
  <c r="BY597" i="10"/>
  <c r="DY597" i="10"/>
  <c r="BY570" i="10"/>
  <c r="DY570" i="10"/>
  <c r="BF547" i="10"/>
  <c r="BU547" i="10" s="1"/>
  <c r="BB547" i="10"/>
  <c r="BD547" i="10" s="1"/>
  <c r="BY253" i="10"/>
  <c r="DY253" i="10"/>
  <c r="BF174" i="10"/>
  <c r="BU174" i="10" s="1"/>
  <c r="BB174" i="10"/>
  <c r="BD174" i="10" s="1"/>
  <c r="AN174" i="10" s="1"/>
  <c r="AN429" i="10"/>
  <c r="AW429" i="10"/>
  <c r="BY784" i="10"/>
  <c r="DY784" i="10"/>
  <c r="BF740" i="10"/>
  <c r="BU740" i="10" s="1"/>
  <c r="BY740" i="10" s="1"/>
  <c r="DU740" i="10" s="1"/>
  <c r="BB740" i="10"/>
  <c r="BD740" i="10" s="1"/>
  <c r="AN740" i="10" s="1"/>
  <c r="BF476" i="10"/>
  <c r="BU476" i="10" s="1"/>
  <c r="BY476" i="10" s="1"/>
  <c r="DU476" i="10" s="1"/>
  <c r="BB476" i="10"/>
  <c r="BD476" i="10" s="1"/>
  <c r="BY433" i="10"/>
  <c r="DY433" i="10"/>
  <c r="BY275" i="10"/>
  <c r="DU275" i="10" s="1"/>
  <c r="DY275" i="10"/>
  <c r="BY213" i="10"/>
  <c r="DY213" i="10"/>
  <c r="BY179" i="10"/>
  <c r="DY179" i="10"/>
  <c r="BF383" i="10"/>
  <c r="BU383" i="10" s="1"/>
  <c r="BY383" i="10" s="1"/>
  <c r="DU383" i="10" s="1"/>
  <c r="BB383" i="10"/>
  <c r="BD383" i="10" s="1"/>
  <c r="BY329" i="10"/>
  <c r="DY329" i="10"/>
  <c r="BY307" i="10"/>
  <c r="DU307" i="10" s="1"/>
  <c r="DY307" i="10"/>
  <c r="DY291" i="10"/>
  <c r="BY269" i="10"/>
  <c r="DY269" i="10"/>
  <c r="BY184" i="10"/>
  <c r="DY184" i="10"/>
  <c r="AN50" i="10"/>
  <c r="AN844" i="10"/>
  <c r="AN398" i="10"/>
  <c r="AN18" i="10"/>
  <c r="AW649" i="10"/>
  <c r="AN574" i="10"/>
  <c r="AN563" i="10"/>
  <c r="AN863" i="10"/>
  <c r="AW863" i="10"/>
  <c r="AW166" i="10"/>
  <c r="AN166" i="10"/>
  <c r="AW197" i="10"/>
  <c r="AN197" i="10"/>
  <c r="AN356" i="10"/>
  <c r="AW356" i="10"/>
  <c r="AN153" i="10"/>
  <c r="AW153" i="10"/>
  <c r="AN298" i="10"/>
  <c r="AW298" i="10"/>
  <c r="AN318" i="10"/>
  <c r="AW318" i="10"/>
  <c r="AN440" i="10"/>
  <c r="AW440" i="10"/>
  <c r="AN436" i="10"/>
  <c r="AW436" i="10"/>
  <c r="AN252" i="10"/>
  <c r="AW252" i="10"/>
  <c r="AN561" i="10"/>
  <c r="DY759" i="10"/>
  <c r="AW370" i="10"/>
  <c r="BF715" i="10"/>
  <c r="BU715" i="10" s="1"/>
  <c r="BY715" i="10" s="1"/>
  <c r="DU715" i="10" s="1"/>
  <c r="BB715" i="10"/>
  <c r="BD715" i="10" s="1"/>
  <c r="DY158" i="10"/>
  <c r="AN722" i="10"/>
  <c r="BF824" i="10"/>
  <c r="BU824" i="10" s="1"/>
  <c r="BY824" i="10" s="1"/>
  <c r="DU824" i="10" s="1"/>
  <c r="BB824" i="10"/>
  <c r="BD824" i="10" s="1"/>
  <c r="BF805" i="10"/>
  <c r="BU805" i="10" s="1"/>
  <c r="BB805" i="10"/>
  <c r="BD805" i="10" s="1"/>
  <c r="AN805" i="10" s="1"/>
  <c r="DN759" i="10"/>
  <c r="BP759" i="10" s="1"/>
  <c r="DO759" i="10" s="1"/>
  <c r="AN382" i="10"/>
  <c r="DO293" i="10"/>
  <c r="AW698" i="10"/>
  <c r="AW556" i="10"/>
  <c r="BF832" i="10"/>
  <c r="BU832" i="10" s="1"/>
  <c r="BB832" i="10"/>
  <c r="BD832" i="10" s="1"/>
  <c r="AN832" i="10" s="1"/>
  <c r="BF762" i="10"/>
  <c r="BU762" i="10" s="1"/>
  <c r="BB762" i="10"/>
  <c r="BD762" i="10" s="1"/>
  <c r="AW762" i="10" s="1"/>
  <c r="BB609" i="10"/>
  <c r="BD609" i="10" s="1"/>
  <c r="BF609" i="10"/>
  <c r="BU609" i="10" s="1"/>
  <c r="BF594" i="10"/>
  <c r="BU594" i="10" s="1"/>
  <c r="BB594" i="10"/>
  <c r="BD594" i="10" s="1"/>
  <c r="AN24" i="10"/>
  <c r="AW843" i="10"/>
  <c r="AN320" i="10"/>
  <c r="BF797" i="10"/>
  <c r="BU797" i="10" s="1"/>
  <c r="BY797" i="10" s="1"/>
  <c r="DU797" i="10" s="1"/>
  <c r="BB797" i="10"/>
  <c r="BD797" i="10" s="1"/>
  <c r="BF635" i="10"/>
  <c r="BU635" i="10" s="1"/>
  <c r="BB635" i="10"/>
  <c r="BD635" i="10" s="1"/>
  <c r="DN850" i="10"/>
  <c r="BP850" i="10" s="1"/>
  <c r="DO850" i="10" s="1"/>
  <c r="AN189" i="10"/>
  <c r="DY850" i="10"/>
  <c r="DY437" i="10"/>
  <c r="DY754" i="10"/>
  <c r="AN53" i="10"/>
  <c r="AW207" i="10"/>
  <c r="AW322" i="10"/>
  <c r="BF782" i="10"/>
  <c r="BU782" i="10" s="1"/>
  <c r="BY782" i="10" s="1"/>
  <c r="DU782" i="10" s="1"/>
  <c r="BB782" i="10"/>
  <c r="BD782" i="10" s="1"/>
  <c r="BB766" i="10"/>
  <c r="BD766" i="10" s="1"/>
  <c r="AW766" i="10" s="1"/>
  <c r="BF766" i="10"/>
  <c r="BU766" i="10" s="1"/>
  <c r="AN46" i="10"/>
  <c r="AW449" i="10"/>
  <c r="AW723" i="10"/>
  <c r="AN217" i="10"/>
  <c r="BF628" i="10"/>
  <c r="BU628" i="10" s="1"/>
  <c r="BB628" i="10"/>
  <c r="BD628" i="10" s="1"/>
  <c r="AN628" i="10" s="1"/>
  <c r="BF613" i="10"/>
  <c r="BU613" i="10" s="1"/>
  <c r="BB613" i="10"/>
  <c r="BD613" i="10" s="1"/>
  <c r="AN613" i="10" s="1"/>
  <c r="AN336" i="10"/>
  <c r="BB801" i="10"/>
  <c r="BD801" i="10" s="1"/>
  <c r="AN801" i="10" s="1"/>
  <c r="BF801" i="10"/>
  <c r="BU801" i="10" s="1"/>
  <c r="DY466" i="10"/>
  <c r="AN186" i="10"/>
  <c r="AN283" i="10"/>
  <c r="BF840" i="10"/>
  <c r="BU840" i="10" s="1"/>
  <c r="BB840" i="10"/>
  <c r="BD840" i="10" s="1"/>
  <c r="AW840" i="10" s="1"/>
  <c r="AN850" i="10"/>
  <c r="AW518" i="10"/>
  <c r="AN789" i="10"/>
  <c r="AN626" i="10"/>
  <c r="AW626" i="10"/>
  <c r="AW251" i="10"/>
  <c r="AN251" i="10"/>
  <c r="AN661" i="10"/>
  <c r="AW661" i="10"/>
  <c r="AN242" i="10"/>
  <c r="AW242" i="10"/>
  <c r="AN823" i="10"/>
  <c r="AW823" i="10"/>
  <c r="AN128" i="10"/>
  <c r="AW128" i="10"/>
  <c r="AN520" i="10"/>
  <c r="AW520" i="10"/>
  <c r="AW215" i="10"/>
  <c r="AN215" i="10"/>
  <c r="AW443" i="10"/>
  <c r="AN443" i="10"/>
  <c r="AN519" i="10"/>
  <c r="AW519" i="10"/>
  <c r="AN595" i="10"/>
  <c r="AW595" i="10"/>
  <c r="AN828" i="10"/>
  <c r="AW828" i="10"/>
  <c r="AN140" i="10"/>
  <c r="AW140" i="10"/>
  <c r="AN201" i="10"/>
  <c r="AW201" i="10"/>
  <c r="AN258" i="10"/>
  <c r="AW258" i="10"/>
  <c r="AN856" i="10"/>
  <c r="AW856" i="10"/>
  <c r="AW188" i="10"/>
  <c r="AN188" i="10"/>
  <c r="AN544" i="10"/>
  <c r="AW544" i="10"/>
  <c r="AN247" i="10"/>
  <c r="AW247" i="10"/>
  <c r="AW553" i="10"/>
  <c r="AN553" i="10"/>
  <c r="AW235" i="10"/>
  <c r="AN235" i="10"/>
  <c r="AW261" i="10"/>
  <c r="AN261" i="10"/>
  <c r="DO524" i="10"/>
  <c r="AW669" i="10"/>
  <c r="AN669" i="10"/>
  <c r="AW288" i="10"/>
  <c r="AN288" i="10"/>
  <c r="AW655" i="10"/>
  <c r="AN655" i="10"/>
  <c r="AN508" i="10"/>
  <c r="AW508" i="10"/>
  <c r="AN340" i="10"/>
  <c r="AW340" i="10"/>
  <c r="AW670" i="10"/>
  <c r="AN670" i="10"/>
  <c r="AW352" i="10"/>
  <c r="AN352" i="10"/>
  <c r="AN380" i="10"/>
  <c r="AW380" i="10"/>
  <c r="AW275" i="10"/>
  <c r="AN275" i="10"/>
  <c r="AN296" i="10"/>
  <c r="AW296" i="10"/>
  <c r="AW249" i="10"/>
  <c r="AN249" i="10"/>
  <c r="AN42" i="10"/>
  <c r="AW42" i="10"/>
  <c r="AN226" i="10"/>
  <c r="AW226" i="10"/>
  <c r="AW392" i="10"/>
  <c r="AN392" i="10"/>
  <c r="AN610" i="10"/>
  <c r="AW610" i="10"/>
  <c r="AN646" i="10"/>
  <c r="AW646" i="10"/>
  <c r="AN503" i="10"/>
  <c r="AW503" i="10"/>
  <c r="AN792" i="10"/>
  <c r="AW792" i="10"/>
  <c r="AN641" i="10"/>
  <c r="AW641" i="10"/>
  <c r="AN187" i="10"/>
  <c r="AW225" i="10"/>
  <c r="AW221" i="10"/>
  <c r="AN775" i="10"/>
  <c r="AN739" i="10"/>
  <c r="AN159" i="10"/>
  <c r="AN31" i="10"/>
  <c r="AW181" i="10"/>
  <c r="AN220" i="10"/>
  <c r="AN56" i="10"/>
  <c r="AW267" i="10"/>
  <c r="AN396" i="10"/>
  <c r="AN522" i="10"/>
  <c r="AN859" i="10"/>
  <c r="AW751" i="10"/>
  <c r="AW292" i="10"/>
  <c r="AN452" i="10"/>
  <c r="AN875" i="10"/>
  <c r="AW55" i="10"/>
  <c r="AN164" i="10"/>
  <c r="AN68" i="10"/>
  <c r="AN184" i="10"/>
  <c r="AW548" i="10"/>
  <c r="AN597" i="10"/>
  <c r="AN605" i="10"/>
  <c r="AN581" i="10"/>
  <c r="AW526" i="10"/>
  <c r="AN191" i="10"/>
  <c r="AN107" i="10"/>
  <c r="AN432" i="10"/>
  <c r="AW289" i="10"/>
  <c r="AN849" i="10"/>
  <c r="AN233" i="10"/>
  <c r="AN265" i="10"/>
  <c r="AW549" i="10"/>
  <c r="AW784" i="10"/>
  <c r="AN277" i="10"/>
  <c r="AN851" i="10"/>
  <c r="AW671" i="10"/>
  <c r="AN69" i="10"/>
  <c r="AN33" i="10"/>
  <c r="AN117" i="10"/>
  <c r="AN193" i="10"/>
  <c r="AN731" i="10"/>
  <c r="AW271" i="10"/>
  <c r="AN867" i="10"/>
  <c r="AW147" i="10"/>
  <c r="AW205" i="10"/>
  <c r="AN105" i="10"/>
  <c r="AN214" i="10"/>
  <c r="AN763" i="10"/>
  <c r="AN313" i="10"/>
  <c r="AN865" i="10"/>
  <c r="AW148" i="10"/>
  <c r="AN35" i="10"/>
  <c r="AN168" i="10"/>
  <c r="AW707" i="10"/>
  <c r="AW494" i="10"/>
  <c r="AW534" i="10"/>
  <c r="AN409" i="10"/>
  <c r="AN873" i="10"/>
  <c r="AN45" i="10"/>
  <c r="AW137" i="10"/>
  <c r="AW239" i="10"/>
  <c r="AW786" i="10"/>
  <c r="AN150" i="10"/>
  <c r="AN171" i="10"/>
  <c r="AN365" i="10"/>
  <c r="AN585" i="10"/>
  <c r="AN711" i="10"/>
  <c r="AW83" i="10"/>
  <c r="AW211" i="10"/>
  <c r="AN500" i="10"/>
  <c r="AN795" i="10"/>
  <c r="AW817" i="10"/>
  <c r="AW624" i="10"/>
  <c r="AW281" i="10"/>
  <c r="AW750" i="10"/>
  <c r="AN687" i="10"/>
  <c r="AN530" i="10"/>
  <c r="AN291" i="10"/>
  <c r="AN725" i="10"/>
  <c r="AN307" i="10"/>
  <c r="AW719" i="10"/>
  <c r="AW675" i="10"/>
  <c r="AW640" i="10"/>
  <c r="AW457" i="10"/>
  <c r="AN654" i="10"/>
  <c r="AN462" i="10"/>
  <c r="AN451" i="10"/>
  <c r="AN482" i="10"/>
  <c r="AN386" i="10"/>
  <c r="AN466" i="10"/>
  <c r="AN754" i="10"/>
  <c r="AW600" i="10"/>
  <c r="AN38" i="10"/>
  <c r="AN149" i="10"/>
  <c r="AW149" i="10"/>
  <c r="AW103" i="10"/>
  <c r="AN103" i="10"/>
  <c r="AW711" i="10"/>
  <c r="AW138" i="10"/>
  <c r="AN138" i="10"/>
  <c r="AW872" i="10"/>
  <c r="AW704" i="10"/>
  <c r="AW589" i="10"/>
  <c r="AN589" i="10"/>
  <c r="BE97" i="10"/>
  <c r="BT97" i="10" s="1"/>
  <c r="EC97" i="10"/>
  <c r="BE100" i="10"/>
  <c r="BT100" i="10" s="1"/>
  <c r="BA100" i="10"/>
  <c r="BC100" i="10" s="1"/>
  <c r="EC100" i="10"/>
  <c r="BX103" i="10"/>
  <c r="DT103" i="10" s="1"/>
  <c r="DY103" i="10"/>
  <c r="BE106" i="10"/>
  <c r="BT106" i="10" s="1"/>
  <c r="EC106" i="10"/>
  <c r="BA106" i="10"/>
  <c r="BC106" i="10" s="1"/>
  <c r="AW106" i="10" s="1"/>
  <c r="BE109" i="10"/>
  <c r="BT109" i="10" s="1"/>
  <c r="BA109" i="10"/>
  <c r="BC109" i="10" s="1"/>
  <c r="EC109" i="10"/>
  <c r="BE112" i="10"/>
  <c r="BT112" i="10" s="1"/>
  <c r="EC112" i="10"/>
  <c r="BA112" i="10"/>
  <c r="BC112" i="10" s="1"/>
  <c r="BE115" i="10"/>
  <c r="BT115" i="10" s="1"/>
  <c r="BA115" i="10"/>
  <c r="BC115" i="10" s="1"/>
  <c r="EC115" i="10"/>
  <c r="BE118" i="10"/>
  <c r="BT118" i="10" s="1"/>
  <c r="EC118" i="10"/>
  <c r="BA118" i="10"/>
  <c r="BC118" i="10" s="1"/>
  <c r="BX121" i="10"/>
  <c r="DY121" i="10"/>
  <c r="BE124" i="10"/>
  <c r="BT124" i="10" s="1"/>
  <c r="EC124" i="10"/>
  <c r="BA124" i="10"/>
  <c r="BC124" i="10" s="1"/>
  <c r="BE127" i="10"/>
  <c r="BT127" i="10" s="1"/>
  <c r="BA127" i="10"/>
  <c r="BC127" i="10" s="1"/>
  <c r="EC127" i="10"/>
  <c r="BE130" i="10"/>
  <c r="BT130" i="10" s="1"/>
  <c r="BA130" i="10"/>
  <c r="BC130" i="10" s="1"/>
  <c r="AN130" i="10" s="1"/>
  <c r="EC130" i="10"/>
  <c r="BE133" i="10"/>
  <c r="BT133" i="10" s="1"/>
  <c r="BA133" i="10"/>
  <c r="BC133" i="10" s="1"/>
  <c r="BE136" i="10"/>
  <c r="BT136" i="10" s="1"/>
  <c r="BA136" i="10"/>
  <c r="BC136" i="10" s="1"/>
  <c r="BE139" i="10"/>
  <c r="BT139" i="10" s="1"/>
  <c r="BA139" i="10"/>
  <c r="BC139" i="10" s="1"/>
  <c r="EC139" i="10"/>
  <c r="BE142" i="10"/>
  <c r="BT142" i="10" s="1"/>
  <c r="BA142" i="10"/>
  <c r="BC142" i="10" s="1"/>
  <c r="EC142" i="10"/>
  <c r="BE869" i="10"/>
  <c r="BT869" i="10" s="1"/>
  <c r="BX869" i="10" s="1"/>
  <c r="EC869" i="10"/>
  <c r="BA869" i="10"/>
  <c r="BC869" i="10" s="1"/>
  <c r="DO856" i="10"/>
  <c r="AN84" i="10"/>
  <c r="AW84" i="10"/>
  <c r="AN408" i="10"/>
  <c r="AW408" i="10"/>
  <c r="AW822" i="10"/>
  <c r="AN822" i="10"/>
  <c r="BE472" i="10"/>
  <c r="BT472" i="10" s="1"/>
  <c r="EC472" i="10"/>
  <c r="BA472" i="10"/>
  <c r="BC472" i="10" s="1"/>
  <c r="BE475" i="10"/>
  <c r="BT475" i="10" s="1"/>
  <c r="EC475" i="10"/>
  <c r="BA475" i="10"/>
  <c r="BC475" i="10" s="1"/>
  <c r="AW475" i="10" s="1"/>
  <c r="BE478" i="10"/>
  <c r="BT478" i="10" s="1"/>
  <c r="EC478" i="10"/>
  <c r="BA478" i="10"/>
  <c r="BC478" i="10" s="1"/>
  <c r="BE481" i="10"/>
  <c r="BT481" i="10" s="1"/>
  <c r="EC481" i="10"/>
  <c r="BA481" i="10"/>
  <c r="BC481" i="10" s="1"/>
  <c r="BE484" i="10"/>
  <c r="BT484" i="10" s="1"/>
  <c r="BA484" i="10"/>
  <c r="BC484" i="10" s="1"/>
  <c r="EC484" i="10"/>
  <c r="BE487" i="10"/>
  <c r="BT487" i="10" s="1"/>
  <c r="EC487" i="10"/>
  <c r="BA487" i="10"/>
  <c r="BC487" i="10" s="1"/>
  <c r="BE490" i="10"/>
  <c r="BT490" i="10" s="1"/>
  <c r="BA490" i="10"/>
  <c r="BC490" i="10" s="1"/>
  <c r="EC490" i="10"/>
  <c r="BE493" i="10"/>
  <c r="BT493" i="10" s="1"/>
  <c r="BA493" i="10"/>
  <c r="BC493" i="10" s="1"/>
  <c r="EC493" i="10"/>
  <c r="BX538" i="10"/>
  <c r="DN538" i="10" s="1"/>
  <c r="BP538" i="10" s="1"/>
  <c r="DO538" i="10" s="1"/>
  <c r="DY538" i="10"/>
  <c r="AW218" i="10"/>
  <c r="AN218" i="10"/>
  <c r="AN317" i="10"/>
  <c r="AW317" i="10"/>
  <c r="BX579" i="10"/>
  <c r="DY579" i="10"/>
  <c r="DO745" i="10"/>
  <c r="AN286" i="10"/>
  <c r="AW286" i="10"/>
  <c r="AN314" i="10"/>
  <c r="AW314" i="10"/>
  <c r="AN349" i="10"/>
  <c r="AW349" i="10"/>
  <c r="AN546" i="10"/>
  <c r="AW546" i="10"/>
  <c r="AN406" i="10"/>
  <c r="AW406" i="10"/>
  <c r="BX559" i="10"/>
  <c r="DY559" i="10"/>
  <c r="BX601" i="10"/>
  <c r="DY601" i="10"/>
  <c r="BX723" i="10"/>
  <c r="DN723" i="10" s="1"/>
  <c r="BP723" i="10" s="1"/>
  <c r="DO723" i="10" s="1"/>
  <c r="DY723" i="10"/>
  <c r="AN203" i="10"/>
  <c r="AW203" i="10"/>
  <c r="AN227" i="10"/>
  <c r="AW227" i="10"/>
  <c r="AN263" i="10"/>
  <c r="AW263" i="10"/>
  <c r="AN276" i="10"/>
  <c r="AW276" i="10"/>
  <c r="AN703" i="10"/>
  <c r="AW703" i="10"/>
  <c r="AW229" i="10"/>
  <c r="AN229" i="10"/>
  <c r="BX29" i="10"/>
  <c r="DY29" i="10"/>
  <c r="BE32" i="10"/>
  <c r="BT32" i="10" s="1"/>
  <c r="EC32" i="10"/>
  <c r="BA32" i="10"/>
  <c r="BC32" i="10" s="1"/>
  <c r="BE41" i="10"/>
  <c r="BT41" i="10" s="1"/>
  <c r="EC41" i="10"/>
  <c r="BA41" i="10"/>
  <c r="BC41" i="10" s="1"/>
  <c r="AW41" i="10" s="1"/>
  <c r="BE44" i="10"/>
  <c r="BT44" i="10" s="1"/>
  <c r="DY44" i="10" s="1"/>
  <c r="BA44" i="10"/>
  <c r="BC44" i="10" s="1"/>
  <c r="AW44" i="10" s="1"/>
  <c r="EC44" i="10"/>
  <c r="BX47" i="10"/>
  <c r="DY47" i="10"/>
  <c r="BE625" i="10"/>
  <c r="BT625" i="10" s="1"/>
  <c r="EC625" i="10"/>
  <c r="BX637" i="10"/>
  <c r="DN637" i="10" s="1"/>
  <c r="BP637" i="10" s="1"/>
  <c r="DY637" i="10"/>
  <c r="BE744" i="10"/>
  <c r="BT744" i="10" s="1"/>
  <c r="BA744" i="10"/>
  <c r="BC744" i="10" s="1"/>
  <c r="EC744" i="10"/>
  <c r="AW189" i="10"/>
  <c r="AN85" i="10"/>
  <c r="AW85" i="10"/>
  <c r="AN183" i="10"/>
  <c r="AW183" i="10"/>
  <c r="AN735" i="10"/>
  <c r="AW735" i="10"/>
  <c r="AN677" i="10"/>
  <c r="AW677" i="10"/>
  <c r="BX56" i="10"/>
  <c r="DY56" i="10"/>
  <c r="BX83" i="10"/>
  <c r="DY83" i="10"/>
  <c r="BX191" i="10"/>
  <c r="DY191" i="10"/>
  <c r="BX867" i="10"/>
  <c r="DY867" i="10"/>
  <c r="BX870" i="10"/>
  <c r="DY870" i="10"/>
  <c r="DO296" i="10"/>
  <c r="AW144" i="10"/>
  <c r="AN144" i="10"/>
  <c r="AN176" i="10"/>
  <c r="AW176" i="10"/>
  <c r="AN456" i="10"/>
  <c r="AW456" i="10"/>
  <c r="AN495" i="10"/>
  <c r="AW495" i="10"/>
  <c r="AW835" i="10"/>
  <c r="AN835" i="10"/>
  <c r="AW344" i="10"/>
  <c r="AN344" i="10"/>
  <c r="AW273" i="10"/>
  <c r="AN273" i="10"/>
  <c r="BE413" i="10"/>
  <c r="BT413" i="10" s="1"/>
  <c r="EC413" i="10"/>
  <c r="BA413" i="10"/>
  <c r="BC413" i="10" s="1"/>
  <c r="BE416" i="10"/>
  <c r="BT416" i="10" s="1"/>
  <c r="BA416" i="10"/>
  <c r="BC416" i="10" s="1"/>
  <c r="EC416" i="10"/>
  <c r="BE419" i="10"/>
  <c r="BT419" i="10" s="1"/>
  <c r="EC419" i="10"/>
  <c r="BA419" i="10"/>
  <c r="BC419" i="10" s="1"/>
  <c r="AN419" i="10" s="1"/>
  <c r="BE422" i="10"/>
  <c r="BT422" i="10" s="1"/>
  <c r="BA422" i="10"/>
  <c r="BC422" i="10" s="1"/>
  <c r="AN422" i="10" s="1"/>
  <c r="EC422" i="10"/>
  <c r="BX461" i="10"/>
  <c r="DY461" i="10"/>
  <c r="BX470" i="10"/>
  <c r="DN470" i="10" s="1"/>
  <c r="BP470" i="10" s="1"/>
  <c r="DY470" i="10"/>
  <c r="BX494" i="10"/>
  <c r="BX506" i="10"/>
  <c r="AW426" i="10"/>
  <c r="AN426" i="10"/>
  <c r="AN855" i="10"/>
  <c r="AW855" i="10"/>
  <c r="AW862" i="10"/>
  <c r="AN862" i="10"/>
  <c r="BX587" i="10"/>
  <c r="DN587" i="10" s="1"/>
  <c r="BP587" i="10" s="1"/>
  <c r="DY587" i="10"/>
  <c r="BE590" i="10"/>
  <c r="BT590" i="10" s="1"/>
  <c r="EC590" i="10"/>
  <c r="BE593" i="10"/>
  <c r="BT593" i="10" s="1"/>
  <c r="BA593" i="10"/>
  <c r="BC593" i="10" s="1"/>
  <c r="AN593" i="10" s="1"/>
  <c r="EC593" i="10"/>
  <c r="BE596" i="10"/>
  <c r="BT596" i="10" s="1"/>
  <c r="BA596" i="10"/>
  <c r="BC596" i="10" s="1"/>
  <c r="AN596" i="10" s="1"/>
  <c r="EC596" i="10"/>
  <c r="BE599" i="10"/>
  <c r="BT599" i="10" s="1"/>
  <c r="BA599" i="10"/>
  <c r="BC599" i="10" s="1"/>
  <c r="AN599" i="10" s="1"/>
  <c r="BX688" i="10"/>
  <c r="DN688" i="10" s="1"/>
  <c r="BP688" i="10" s="1"/>
  <c r="DY688" i="10"/>
  <c r="BE694" i="10"/>
  <c r="BT694" i="10" s="1"/>
  <c r="BA694" i="10"/>
  <c r="BC694" i="10" s="1"/>
  <c r="EC694" i="10"/>
  <c r="BE697" i="10"/>
  <c r="BT697" i="10" s="1"/>
  <c r="EC697" i="10"/>
  <c r="BA697" i="10"/>
  <c r="BC697" i="10" s="1"/>
  <c r="BE703" i="10"/>
  <c r="BT703" i="10" s="1"/>
  <c r="EC703" i="10"/>
  <c r="BE706" i="10"/>
  <c r="BT706" i="10" s="1"/>
  <c r="EC706" i="10"/>
  <c r="BA706" i="10"/>
  <c r="BC706" i="10" s="1"/>
  <c r="BE709" i="10"/>
  <c r="BT709" i="10" s="1"/>
  <c r="BA709" i="10"/>
  <c r="BC709" i="10" s="1"/>
  <c r="EC709" i="10"/>
  <c r="BE712" i="10"/>
  <c r="BT712" i="10" s="1"/>
  <c r="EC712" i="10"/>
  <c r="BA712" i="10"/>
  <c r="BC712" i="10" s="1"/>
  <c r="BE715" i="10"/>
  <c r="BT715" i="10" s="1"/>
  <c r="BA715" i="10"/>
  <c r="BC715" i="10" s="1"/>
  <c r="EC715" i="10"/>
  <c r="BE718" i="10"/>
  <c r="BT718" i="10" s="1"/>
  <c r="BA718" i="10"/>
  <c r="BC718" i="10" s="1"/>
  <c r="EC718" i="10"/>
  <c r="BE721" i="10"/>
  <c r="BT721" i="10" s="1"/>
  <c r="EC721" i="10"/>
  <c r="BA721" i="10"/>
  <c r="BC721" i="10" s="1"/>
  <c r="AW114" i="10"/>
  <c r="AN114" i="10"/>
  <c r="AN129" i="10"/>
  <c r="AW129" i="10"/>
  <c r="AN666" i="10"/>
  <c r="AW666" i="10"/>
  <c r="AN852" i="10"/>
  <c r="AW852" i="10"/>
  <c r="AN787" i="10"/>
  <c r="AW787" i="10"/>
  <c r="BX638" i="10"/>
  <c r="DT638" i="10" s="1"/>
  <c r="BX748" i="10"/>
  <c r="DN748" i="10" s="1"/>
  <c r="BP748" i="10" s="1"/>
  <c r="DY748" i="10"/>
  <c r="BX859" i="10"/>
  <c r="DN859" i="10" s="1"/>
  <c r="BP859" i="10" s="1"/>
  <c r="DY859" i="10"/>
  <c r="AN173" i="10"/>
  <c r="AW173" i="10"/>
  <c r="AN122" i="10"/>
  <c r="AW122" i="10"/>
  <c r="AW234" i="10"/>
  <c r="AN234" i="10"/>
  <c r="BX288" i="10"/>
  <c r="DY288" i="10"/>
  <c r="BE348" i="10"/>
  <c r="BT348" i="10" s="1"/>
  <c r="BX348" i="10" s="1"/>
  <c r="EC348" i="10"/>
  <c r="BA348" i="10"/>
  <c r="BC348" i="10" s="1"/>
  <c r="BE351" i="10"/>
  <c r="BT351" i="10" s="1"/>
  <c r="EC351" i="10"/>
  <c r="BA351" i="10"/>
  <c r="BC351" i="10" s="1"/>
  <c r="AN351" i="10" s="1"/>
  <c r="BE354" i="10"/>
  <c r="BT354" i="10" s="1"/>
  <c r="BA354" i="10"/>
  <c r="BC354" i="10" s="1"/>
  <c r="BE357" i="10"/>
  <c r="BT357" i="10" s="1"/>
  <c r="EC357" i="10"/>
  <c r="BA357" i="10"/>
  <c r="BC357" i="10" s="1"/>
  <c r="BE360" i="10"/>
  <c r="BT360" i="10" s="1"/>
  <c r="DY360" i="10" s="1"/>
  <c r="BA360" i="10"/>
  <c r="BC360" i="10" s="1"/>
  <c r="EC360" i="10"/>
  <c r="BE363" i="10"/>
  <c r="BT363" i="10" s="1"/>
  <c r="BX363" i="10" s="1"/>
  <c r="EC363" i="10"/>
  <c r="BA363" i="10"/>
  <c r="BC363" i="10" s="1"/>
  <c r="AN363" i="10" s="1"/>
  <c r="BE366" i="10"/>
  <c r="BT366" i="10" s="1"/>
  <c r="EC366" i="10"/>
  <c r="BA366" i="10"/>
  <c r="BC366" i="10" s="1"/>
  <c r="BE369" i="10"/>
  <c r="BT369" i="10" s="1"/>
  <c r="EC369" i="10"/>
  <c r="BA369" i="10"/>
  <c r="BC369" i="10" s="1"/>
  <c r="BE372" i="10"/>
  <c r="BT372" i="10" s="1"/>
  <c r="EC372" i="10"/>
  <c r="BA372" i="10"/>
  <c r="BC372" i="10" s="1"/>
  <c r="BE375" i="10"/>
  <c r="BT375" i="10" s="1"/>
  <c r="BA375" i="10"/>
  <c r="BC375" i="10" s="1"/>
  <c r="AN375" i="10" s="1"/>
  <c r="EC375" i="10"/>
  <c r="BE378" i="10"/>
  <c r="BT378" i="10" s="1"/>
  <c r="BA378" i="10"/>
  <c r="BC378" i="10" s="1"/>
  <c r="EC378" i="10"/>
  <c r="BX659" i="10"/>
  <c r="DN659" i="10" s="1"/>
  <c r="BP659" i="10" s="1"/>
  <c r="DY659" i="10"/>
  <c r="BE674" i="10"/>
  <c r="BT674" i="10" s="1"/>
  <c r="EC674" i="10"/>
  <c r="BA674" i="10"/>
  <c r="BC674" i="10" s="1"/>
  <c r="AW194" i="10"/>
  <c r="AN194" i="10"/>
  <c r="AN665" i="10"/>
  <c r="AW665" i="10"/>
  <c r="AN458" i="10"/>
  <c r="AW458" i="10"/>
  <c r="AN570" i="10"/>
  <c r="AW570" i="10"/>
  <c r="AN284" i="10"/>
  <c r="AW284" i="10"/>
  <c r="AW877" i="10"/>
  <c r="AN877" i="10"/>
  <c r="BX423" i="10"/>
  <c r="DY423" i="10"/>
  <c r="BX507" i="10"/>
  <c r="DN507" i="10" s="1"/>
  <c r="BP507" i="10" s="1"/>
  <c r="DO507" i="10" s="1"/>
  <c r="DY507" i="10"/>
  <c r="BE540" i="10"/>
  <c r="BT540" i="10" s="1"/>
  <c r="BA540" i="10"/>
  <c r="BC540" i="10" s="1"/>
  <c r="EC540" i="10"/>
  <c r="BE543" i="10"/>
  <c r="BT543" i="10" s="1"/>
  <c r="EC543" i="10"/>
  <c r="BA543" i="10"/>
  <c r="BC543" i="10" s="1"/>
  <c r="BE546" i="10"/>
  <c r="BT546" i="10" s="1"/>
  <c r="EC546" i="10"/>
  <c r="BX549" i="10"/>
  <c r="DN549" i="10" s="1"/>
  <c r="BP549" i="10" s="1"/>
  <c r="DY549" i="10"/>
  <c r="AW171" i="10"/>
  <c r="AN205" i="10"/>
  <c r="AW51" i="10"/>
  <c r="AN51" i="10"/>
  <c r="AN86" i="10"/>
  <c r="AW86" i="10"/>
  <c r="AW121" i="10"/>
  <c r="AN121" i="10"/>
  <c r="AW319" i="10"/>
  <c r="AN319" i="10"/>
  <c r="AN332" i="10"/>
  <c r="AW332" i="10"/>
  <c r="AW759" i="10"/>
  <c r="AN759" i="10"/>
  <c r="BX700" i="10"/>
  <c r="DN700" i="10" s="1"/>
  <c r="BP700" i="10" s="1"/>
  <c r="DY700" i="10"/>
  <c r="BE747" i="10"/>
  <c r="BT747" i="10" s="1"/>
  <c r="EC747" i="10"/>
  <c r="BA747" i="10"/>
  <c r="BC747" i="10" s="1"/>
  <c r="AW747" i="10" s="1"/>
  <c r="AW157" i="10"/>
  <c r="AN157" i="10"/>
  <c r="AN143" i="10"/>
  <c r="AW143" i="10"/>
  <c r="BE154" i="10"/>
  <c r="BT154" i="10" s="1"/>
  <c r="EC154" i="10"/>
  <c r="BA154" i="10"/>
  <c r="BC154" i="10" s="1"/>
  <c r="BE157" i="10"/>
  <c r="BT157" i="10" s="1"/>
  <c r="EC157" i="10"/>
  <c r="BX393" i="10"/>
  <c r="DT393" i="10" s="1"/>
  <c r="BA724" i="10"/>
  <c r="BC724" i="10" s="1"/>
  <c r="BE724" i="10"/>
  <c r="BT724" i="10" s="1"/>
  <c r="BX727" i="10"/>
  <c r="DN727" i="10" s="1"/>
  <c r="BP727" i="10" s="1"/>
  <c r="BX730" i="10"/>
  <c r="BX736" i="10"/>
  <c r="DN736" i="10" s="1"/>
  <c r="BP736" i="10" s="1"/>
  <c r="DY736" i="10"/>
  <c r="BX750" i="10"/>
  <c r="DN750" i="10" s="1"/>
  <c r="BP750" i="10" s="1"/>
  <c r="DY750" i="10"/>
  <c r="BX858" i="10"/>
  <c r="DY858" i="10"/>
  <c r="BX872" i="10"/>
  <c r="BE89" i="10"/>
  <c r="BT89" i="10" s="1"/>
  <c r="EC89" i="10"/>
  <c r="BA89" i="10"/>
  <c r="BC89" i="10" s="1"/>
  <c r="AW89" i="10" s="1"/>
  <c r="BE92" i="10"/>
  <c r="BT92" i="10" s="1"/>
  <c r="BX576" i="10"/>
  <c r="DY576" i="10"/>
  <c r="AW63" i="10"/>
  <c r="AN63" i="10"/>
  <c r="AW631" i="10"/>
  <c r="AN631" i="10"/>
  <c r="AN431" i="10"/>
  <c r="AW431" i="10"/>
  <c r="AN268" i="10"/>
  <c r="AW268" i="10"/>
  <c r="AN222" i="10"/>
  <c r="AW222" i="10"/>
  <c r="BE22" i="10"/>
  <c r="BT22" i="10" s="1"/>
  <c r="DY22" i="10" s="1"/>
  <c r="EC22" i="10"/>
  <c r="BA22" i="10"/>
  <c r="BC22" i="10" s="1"/>
  <c r="BE27" i="10"/>
  <c r="BT27" i="10" s="1"/>
  <c r="BX27" i="10" s="1"/>
  <c r="BA27" i="10"/>
  <c r="BC27" i="10" s="1"/>
  <c r="EC27" i="10"/>
  <c r="BE30" i="10"/>
  <c r="BT30" i="10" s="1"/>
  <c r="BA30" i="10"/>
  <c r="BC30" i="10" s="1"/>
  <c r="EC30" i="10"/>
  <c r="BX95" i="10"/>
  <c r="DY95" i="10"/>
  <c r="BE692" i="10"/>
  <c r="BT692" i="10" s="1"/>
  <c r="BA692" i="10"/>
  <c r="BC692" i="10" s="1"/>
  <c r="AN54" i="10"/>
  <c r="AW54" i="10"/>
  <c r="AN92" i="10"/>
  <c r="AW92" i="10"/>
  <c r="AN93" i="10"/>
  <c r="AW93" i="10"/>
  <c r="AN80" i="10"/>
  <c r="AW80" i="10"/>
  <c r="AW111" i="10"/>
  <c r="AN111" i="10"/>
  <c r="AN483" i="10"/>
  <c r="AW483" i="10"/>
  <c r="AW837" i="10"/>
  <c r="AN837" i="10"/>
  <c r="AN741" i="10"/>
  <c r="AW741" i="10"/>
  <c r="BX488" i="10"/>
  <c r="DN488" i="10" s="1"/>
  <c r="BP488" i="10" s="1"/>
  <c r="DY488" i="10"/>
  <c r="DO605" i="10"/>
  <c r="AN94" i="10"/>
  <c r="AN55" i="10"/>
  <c r="AN98" i="10"/>
  <c r="AW98" i="10"/>
  <c r="AW160" i="10"/>
  <c r="AN160" i="10"/>
  <c r="AN808" i="10"/>
  <c r="AW808" i="10"/>
  <c r="AN743" i="10"/>
  <c r="AW743" i="10"/>
  <c r="AN564" i="10"/>
  <c r="AW564" i="10"/>
  <c r="AN185" i="10"/>
  <c r="AW185" i="10"/>
  <c r="AN165" i="10"/>
  <c r="AW165" i="10"/>
  <c r="AN868" i="10"/>
  <c r="AW868" i="10"/>
  <c r="AN732" i="10"/>
  <c r="AW732" i="10"/>
  <c r="AW748" i="10"/>
  <c r="AN748" i="10"/>
  <c r="BX571" i="10"/>
  <c r="BE615" i="10"/>
  <c r="BT615" i="10" s="1"/>
  <c r="BA615" i="10"/>
  <c r="BC615" i="10" s="1"/>
  <c r="EC615" i="10"/>
  <c r="BE618" i="10"/>
  <c r="BT618" i="10" s="1"/>
  <c r="EC618" i="10"/>
  <c r="BA618" i="10"/>
  <c r="BC618" i="10" s="1"/>
  <c r="BX621" i="10"/>
  <c r="DN621" i="10" s="1"/>
  <c r="BP621" i="10" s="1"/>
  <c r="DY621" i="10"/>
  <c r="BX681" i="10"/>
  <c r="AW161" i="10"/>
  <c r="AN161" i="10"/>
  <c r="AN586" i="10"/>
  <c r="AW586" i="10"/>
  <c r="AN297" i="10"/>
  <c r="AW297" i="10"/>
  <c r="AN826" i="10"/>
  <c r="AW826" i="10"/>
  <c r="BE527" i="10"/>
  <c r="BT527" i="10" s="1"/>
  <c r="EC527" i="10"/>
  <c r="BA527" i="10"/>
  <c r="BC527" i="10" s="1"/>
  <c r="AN95" i="10"/>
  <c r="AW95" i="10"/>
  <c r="AN155" i="10"/>
  <c r="AW155" i="10"/>
  <c r="AN146" i="10"/>
  <c r="AW146" i="10"/>
  <c r="BX483" i="10"/>
  <c r="DT483" i="10" s="1"/>
  <c r="DY483" i="10"/>
  <c r="AW742" i="10"/>
  <c r="AN742" i="10"/>
  <c r="BX285" i="10"/>
  <c r="DY285" i="10"/>
  <c r="BE439" i="10"/>
  <c r="BT439" i="10" s="1"/>
  <c r="BA439" i="10"/>
  <c r="BC439" i="10" s="1"/>
  <c r="EC439" i="10"/>
  <c r="BE442" i="10"/>
  <c r="BT442" i="10" s="1"/>
  <c r="EC442" i="10"/>
  <c r="BA442" i="10"/>
  <c r="BC442" i="10" s="1"/>
  <c r="BE445" i="10"/>
  <c r="BT445" i="10" s="1"/>
  <c r="EC445" i="10"/>
  <c r="BA445" i="10"/>
  <c r="BC445" i="10" s="1"/>
  <c r="AW180" i="10"/>
  <c r="AN180" i="10"/>
  <c r="AW182" i="10"/>
  <c r="AN182" i="10"/>
  <c r="AN400" i="10"/>
  <c r="AW400" i="10"/>
  <c r="BX297" i="10"/>
  <c r="DN297" i="10" s="1"/>
  <c r="BP297" i="10" s="1"/>
  <c r="DY297" i="10"/>
  <c r="BX300" i="10"/>
  <c r="DN300" i="10" s="1"/>
  <c r="BP300" i="10" s="1"/>
  <c r="DO300" i="10" s="1"/>
  <c r="DY300" i="10"/>
  <c r="BX309" i="10"/>
  <c r="DN309" i="10" s="1"/>
  <c r="BP309" i="10" s="1"/>
  <c r="DY309" i="10"/>
  <c r="BX321" i="10"/>
  <c r="DY321" i="10"/>
  <c r="BX324" i="10"/>
  <c r="DN324" i="10" s="1"/>
  <c r="BP324" i="10" s="1"/>
  <c r="DY324" i="10"/>
  <c r="BX333" i="10"/>
  <c r="DN333" i="10" s="1"/>
  <c r="BP333" i="10" s="1"/>
  <c r="DY333" i="10"/>
  <c r="BX336" i="10"/>
  <c r="DN336" i="10" s="1"/>
  <c r="BP336" i="10" s="1"/>
  <c r="DO336" i="10" s="1"/>
  <c r="DY336" i="10"/>
  <c r="BX339" i="10"/>
  <c r="DT339" i="10" s="1"/>
  <c r="BE345" i="10"/>
  <c r="BT345" i="10" s="1"/>
  <c r="EC345" i="10"/>
  <c r="BA345" i="10"/>
  <c r="BC345" i="10" s="1"/>
  <c r="BE404" i="10"/>
  <c r="BT404" i="10" s="1"/>
  <c r="EC404" i="10"/>
  <c r="BA404" i="10"/>
  <c r="BC404" i="10" s="1"/>
  <c r="BE407" i="10"/>
  <c r="BT407" i="10" s="1"/>
  <c r="EC407" i="10"/>
  <c r="BA407" i="10"/>
  <c r="BC407" i="10" s="1"/>
  <c r="AW38" i="10"/>
  <c r="AW191" i="10"/>
  <c r="AN83" i="10"/>
  <c r="AW312" i="10"/>
  <c r="AN312" i="10"/>
  <c r="AN371" i="10"/>
  <c r="AW371" i="10"/>
  <c r="AW622" i="10"/>
  <c r="AN622" i="10"/>
  <c r="AW461" i="10"/>
  <c r="AN461" i="10"/>
  <c r="AW604" i="10"/>
  <c r="AN604" i="10"/>
  <c r="BE140" i="10"/>
  <c r="BT140" i="10" s="1"/>
  <c r="BE202" i="10"/>
  <c r="BT202" i="10" s="1"/>
  <c r="EC202" i="10"/>
  <c r="BE238" i="10"/>
  <c r="BT238" i="10" s="1"/>
  <c r="BA238" i="10"/>
  <c r="BC238" i="10" s="1"/>
  <c r="EC238" i="10"/>
  <c r="BE241" i="10"/>
  <c r="BT241" i="10" s="1"/>
  <c r="BA241" i="10"/>
  <c r="BC241" i="10" s="1"/>
  <c r="EC241" i="10"/>
  <c r="BE387" i="10"/>
  <c r="BT387" i="10" s="1"/>
  <c r="EC387" i="10"/>
  <c r="BA387" i="10"/>
  <c r="BC387" i="10" s="1"/>
  <c r="BE390" i="10"/>
  <c r="BT390" i="10" s="1"/>
  <c r="BA390" i="10"/>
  <c r="BC390" i="10" s="1"/>
  <c r="EC390" i="10"/>
  <c r="BE554" i="10"/>
  <c r="BT554" i="10" s="1"/>
  <c r="EC554" i="10"/>
  <c r="BA554" i="10"/>
  <c r="BC554" i="10" s="1"/>
  <c r="BE557" i="10"/>
  <c r="BT557" i="10" s="1"/>
  <c r="BA557" i="10"/>
  <c r="BC557" i="10" s="1"/>
  <c r="EC557" i="10"/>
  <c r="BE716" i="10"/>
  <c r="BT716" i="10" s="1"/>
  <c r="BA716" i="10"/>
  <c r="BC716" i="10" s="1"/>
  <c r="EC716" i="10"/>
  <c r="AW690" i="10"/>
  <c r="AN690" i="10"/>
  <c r="AN819" i="10"/>
  <c r="AW819" i="10"/>
  <c r="AN364" i="10"/>
  <c r="AW364" i="10"/>
  <c r="AW577" i="10"/>
  <c r="AN577" i="10"/>
  <c r="AN802" i="10"/>
  <c r="AW802" i="10"/>
  <c r="AN813" i="10"/>
  <c r="AW813" i="10"/>
  <c r="AW244" i="10"/>
  <c r="AN244" i="10"/>
  <c r="BA393" i="10"/>
  <c r="BC393" i="10" s="1"/>
  <c r="EC393" i="10"/>
  <c r="EC681" i="10"/>
  <c r="BA681" i="10"/>
  <c r="BC681" i="10" s="1"/>
  <c r="AN621" i="10"/>
  <c r="AW621" i="10"/>
  <c r="AN676" i="10"/>
  <c r="AW676" i="10"/>
  <c r="AN781" i="10"/>
  <c r="AW781" i="10"/>
  <c r="BE188" i="10"/>
  <c r="BT188" i="10" s="1"/>
  <c r="BE325" i="10"/>
  <c r="BT325" i="10" s="1"/>
  <c r="BA325" i="10"/>
  <c r="BC325" i="10" s="1"/>
  <c r="EC325" i="10"/>
  <c r="BE331" i="10"/>
  <c r="BT331" i="10" s="1"/>
  <c r="BA331" i="10"/>
  <c r="BC331" i="10" s="1"/>
  <c r="EC331" i="10"/>
  <c r="BE334" i="10"/>
  <c r="BT334" i="10" s="1"/>
  <c r="BA334" i="10"/>
  <c r="BC334" i="10" s="1"/>
  <c r="EC334" i="10"/>
  <c r="BE428" i="10"/>
  <c r="BT428" i="10" s="1"/>
  <c r="BA428" i="10"/>
  <c r="BC428" i="10" s="1"/>
  <c r="AW428" i="10" s="1"/>
  <c r="EC507" i="10"/>
  <c r="BA507" i="10"/>
  <c r="BC507" i="10" s="1"/>
  <c r="BA601" i="10"/>
  <c r="BC601" i="10" s="1"/>
  <c r="EC601" i="10"/>
  <c r="BE737" i="10"/>
  <c r="BT737" i="10" s="1"/>
  <c r="BA737" i="10"/>
  <c r="BC737" i="10" s="1"/>
  <c r="AN266" i="10"/>
  <c r="AW266" i="10"/>
  <c r="AN254" i="10"/>
  <c r="AW254" i="10"/>
  <c r="AW240" i="10"/>
  <c r="AN240" i="10"/>
  <c r="BE373" i="10"/>
  <c r="BT373" i="10" s="1"/>
  <c r="EC373" i="10"/>
  <c r="BA373" i="10"/>
  <c r="BC373" i="10" s="1"/>
  <c r="BE376" i="10"/>
  <c r="BT376" i="10" s="1"/>
  <c r="EC376" i="10"/>
  <c r="BE379" i="10"/>
  <c r="BT379" i="10" s="1"/>
  <c r="EC379" i="10"/>
  <c r="BA379" i="10"/>
  <c r="BC379" i="10" s="1"/>
  <c r="AN346" i="10"/>
  <c r="AW346" i="10"/>
  <c r="AW532" i="10"/>
  <c r="AN532" i="10"/>
  <c r="AW807" i="10"/>
  <c r="AN807" i="10"/>
  <c r="AW664" i="10"/>
  <c r="AN664" i="10"/>
  <c r="AN833" i="10"/>
  <c r="AN262" i="10"/>
  <c r="AW262" i="10"/>
  <c r="BE120" i="10"/>
  <c r="BT120" i="10" s="1"/>
  <c r="BA120" i="10"/>
  <c r="BC120" i="10" s="1"/>
  <c r="BE230" i="10"/>
  <c r="BT230" i="10" s="1"/>
  <c r="BA230" i="10"/>
  <c r="BC230" i="10" s="1"/>
  <c r="AW230" i="10" s="1"/>
  <c r="BE254" i="10"/>
  <c r="BT254" i="10" s="1"/>
  <c r="EC254" i="10"/>
  <c r="BE496" i="10"/>
  <c r="BT496" i="10" s="1"/>
  <c r="BA496" i="10"/>
  <c r="BC496" i="10" s="1"/>
  <c r="EC496" i="10"/>
  <c r="BE499" i="10"/>
  <c r="BT499" i="10" s="1"/>
  <c r="EC499" i="10"/>
  <c r="BA499" i="10"/>
  <c r="BC499" i="10" s="1"/>
  <c r="BE650" i="10"/>
  <c r="BT650" i="10" s="1"/>
  <c r="BA650" i="10"/>
  <c r="BC650" i="10" s="1"/>
  <c r="EC650" i="10"/>
  <c r="BE653" i="10"/>
  <c r="BT653" i="10" s="1"/>
  <c r="EC653" i="10"/>
  <c r="BA653" i="10"/>
  <c r="BC653" i="10" s="1"/>
  <c r="BE656" i="10"/>
  <c r="BT656" i="10" s="1"/>
  <c r="BA656" i="10"/>
  <c r="BC656" i="10" s="1"/>
  <c r="AW656" i="10" s="1"/>
  <c r="EC656" i="10"/>
  <c r="BE705" i="10"/>
  <c r="BT705" i="10" s="1"/>
  <c r="EC705" i="10"/>
  <c r="BA705" i="10"/>
  <c r="BC705" i="10" s="1"/>
  <c r="AN705" i="10" s="1"/>
  <c r="BE708" i="10"/>
  <c r="BT708" i="10" s="1"/>
  <c r="EC708" i="10"/>
  <c r="BA708" i="10"/>
  <c r="BC708" i="10" s="1"/>
  <c r="BE711" i="10"/>
  <c r="BT711" i="10" s="1"/>
  <c r="EC711" i="10"/>
  <c r="AW405" i="10"/>
  <c r="AN405" i="10"/>
  <c r="AN673" i="10"/>
  <c r="AW673" i="10"/>
  <c r="AW434" i="10"/>
  <c r="AN434" i="10"/>
  <c r="AW216" i="10"/>
  <c r="AN216" i="10"/>
  <c r="AN250" i="10"/>
  <c r="AW250" i="10"/>
  <c r="EC587" i="10"/>
  <c r="BA587" i="10"/>
  <c r="BC587" i="10" s="1"/>
  <c r="BA659" i="10"/>
  <c r="BC659" i="10" s="1"/>
  <c r="EC659" i="10"/>
  <c r="AN502" i="10"/>
  <c r="AW502" i="10"/>
  <c r="AN793" i="10"/>
  <c r="AW793" i="10"/>
  <c r="AN685" i="10"/>
  <c r="AW685" i="10"/>
  <c r="AW470" i="10"/>
  <c r="AN470" i="10"/>
  <c r="BE38" i="10"/>
  <c r="BT38" i="10" s="1"/>
  <c r="EC38" i="10"/>
  <c r="BE168" i="10"/>
  <c r="BT168" i="10" s="1"/>
  <c r="EC168" i="10"/>
  <c r="BE302" i="10"/>
  <c r="BT302" i="10" s="1"/>
  <c r="EC302" i="10"/>
  <c r="BA302" i="10"/>
  <c r="BC302" i="10" s="1"/>
  <c r="BE305" i="10"/>
  <c r="BT305" i="10" s="1"/>
  <c r="EC305" i="10"/>
  <c r="BA305" i="10"/>
  <c r="BC305" i="10" s="1"/>
  <c r="AW305" i="10" s="1"/>
  <c r="BE308" i="10"/>
  <c r="BT308" i="10" s="1"/>
  <c r="EC308" i="10"/>
  <c r="BA308" i="10"/>
  <c r="BC308" i="10" s="1"/>
  <c r="BE311" i="10"/>
  <c r="BT311" i="10" s="1"/>
  <c r="BA311" i="10"/>
  <c r="BC311" i="10" s="1"/>
  <c r="EC311" i="10"/>
  <c r="BE485" i="10"/>
  <c r="BT485" i="10" s="1"/>
  <c r="BA485" i="10"/>
  <c r="BC485" i="10" s="1"/>
  <c r="EC485" i="10"/>
  <c r="BE535" i="10"/>
  <c r="BT535" i="10" s="1"/>
  <c r="EC535" i="10"/>
  <c r="BA535" i="10"/>
  <c r="BC535" i="10" s="1"/>
  <c r="AW535" i="10" s="1"/>
  <c r="BE573" i="10"/>
  <c r="BT573" i="10" s="1"/>
  <c r="EC573" i="10"/>
  <c r="BA573" i="10"/>
  <c r="BC573" i="10" s="1"/>
  <c r="BE729" i="10"/>
  <c r="BT729" i="10" s="1"/>
  <c r="EC729" i="10"/>
  <c r="BA729" i="10"/>
  <c r="BC729" i="10" s="1"/>
  <c r="AN237" i="10"/>
  <c r="AW237" i="10"/>
  <c r="AW575" i="10"/>
  <c r="AN575" i="10"/>
  <c r="AN693" i="10"/>
  <c r="AW693" i="10"/>
  <c r="AW516" i="10"/>
  <c r="AN516" i="10"/>
  <c r="AN463" i="10"/>
  <c r="AW463" i="10"/>
  <c r="AW324" i="10"/>
  <c r="BE359" i="10"/>
  <c r="BT359" i="10" s="1"/>
  <c r="BA359" i="10"/>
  <c r="BC359" i="10" s="1"/>
  <c r="EC359" i="10"/>
  <c r="BE362" i="10"/>
  <c r="BT362" i="10" s="1"/>
  <c r="EC362" i="10"/>
  <c r="BA362" i="10"/>
  <c r="BC362" i="10" s="1"/>
  <c r="AW362" i="10" s="1"/>
  <c r="BE447" i="10"/>
  <c r="BT447" i="10" s="1"/>
  <c r="BA447" i="10"/>
  <c r="BC447" i="10" s="1"/>
  <c r="BE450" i="10"/>
  <c r="BT450" i="10" s="1"/>
  <c r="BA450" i="10"/>
  <c r="BC450" i="10" s="1"/>
  <c r="EC488" i="10"/>
  <c r="BA488" i="10"/>
  <c r="BC488" i="10" s="1"/>
  <c r="BE491" i="10"/>
  <c r="BT491" i="10" s="1"/>
  <c r="BA491" i="10"/>
  <c r="BC491" i="10" s="1"/>
  <c r="EC491" i="10"/>
  <c r="EC576" i="10"/>
  <c r="BA576" i="10"/>
  <c r="BC576" i="10" s="1"/>
  <c r="AW576" i="10" s="1"/>
  <c r="EC645" i="10"/>
  <c r="BA645" i="10"/>
  <c r="BC645" i="10" s="1"/>
  <c r="BE752" i="10"/>
  <c r="BT752" i="10" s="1"/>
  <c r="BA752" i="10"/>
  <c r="BC752" i="10" s="1"/>
  <c r="EC752" i="10"/>
  <c r="BE755" i="10"/>
  <c r="BT755" i="10" s="1"/>
  <c r="EC755" i="10"/>
  <c r="BA755" i="10"/>
  <c r="BC755" i="10" s="1"/>
  <c r="BE758" i="10"/>
  <c r="BT758" i="10" s="1"/>
  <c r="BA758" i="10"/>
  <c r="BC758" i="10" s="1"/>
  <c r="EC758" i="10"/>
  <c r="BE761" i="10"/>
  <c r="BT761" i="10" s="1"/>
  <c r="BA761" i="10"/>
  <c r="BC761" i="10" s="1"/>
  <c r="BE764" i="10"/>
  <c r="BT764" i="10" s="1"/>
  <c r="BA764" i="10"/>
  <c r="BC764" i="10" s="1"/>
  <c r="EC764" i="10"/>
  <c r="BE767" i="10"/>
  <c r="BT767" i="10" s="1"/>
  <c r="EC767" i="10"/>
  <c r="BA767" i="10"/>
  <c r="BC767" i="10" s="1"/>
  <c r="BE770" i="10"/>
  <c r="BT770" i="10" s="1"/>
  <c r="EC770" i="10"/>
  <c r="BE773" i="10"/>
  <c r="BT773" i="10" s="1"/>
  <c r="BA773" i="10"/>
  <c r="BC773" i="10" s="1"/>
  <c r="BE776" i="10"/>
  <c r="BT776" i="10" s="1"/>
  <c r="EC776" i="10"/>
  <c r="BA776" i="10"/>
  <c r="BC776" i="10" s="1"/>
  <c r="BE779" i="10"/>
  <c r="BT779" i="10" s="1"/>
  <c r="EC779" i="10"/>
  <c r="BA779" i="10"/>
  <c r="BC779" i="10" s="1"/>
  <c r="AN779" i="10" s="1"/>
  <c r="BE782" i="10"/>
  <c r="BT782" i="10" s="1"/>
  <c r="BA782" i="10"/>
  <c r="BC782" i="10" s="1"/>
  <c r="BE785" i="10"/>
  <c r="BT785" i="10" s="1"/>
  <c r="EC785" i="10"/>
  <c r="BE788" i="10"/>
  <c r="BT788" i="10" s="1"/>
  <c r="BA788" i="10"/>
  <c r="BC788" i="10" s="1"/>
  <c r="BE791" i="10"/>
  <c r="BT791" i="10" s="1"/>
  <c r="BA791" i="10"/>
  <c r="BC791" i="10" s="1"/>
  <c r="BE794" i="10"/>
  <c r="BT794" i="10" s="1"/>
  <c r="BA794" i="10"/>
  <c r="BC794" i="10" s="1"/>
  <c r="BE797" i="10"/>
  <c r="BT797" i="10" s="1"/>
  <c r="BA797" i="10"/>
  <c r="BC797" i="10" s="1"/>
  <c r="EC797" i="10"/>
  <c r="BE800" i="10"/>
  <c r="BT800" i="10" s="1"/>
  <c r="EC800" i="10"/>
  <c r="BA800" i="10"/>
  <c r="BC800" i="10" s="1"/>
  <c r="BE803" i="10"/>
  <c r="BT803" i="10" s="1"/>
  <c r="BA803" i="10"/>
  <c r="BC803" i="10" s="1"/>
  <c r="EC803" i="10"/>
  <c r="BE806" i="10"/>
  <c r="BT806" i="10" s="1"/>
  <c r="BA806" i="10"/>
  <c r="BC806" i="10" s="1"/>
  <c r="EC806" i="10"/>
  <c r="BE809" i="10"/>
  <c r="BT809" i="10" s="1"/>
  <c r="BA809" i="10"/>
  <c r="BC809" i="10" s="1"/>
  <c r="BE812" i="10"/>
  <c r="BT812" i="10" s="1"/>
  <c r="EC812" i="10"/>
  <c r="BA812" i="10"/>
  <c r="BC812" i="10" s="1"/>
  <c r="BE815" i="10"/>
  <c r="BT815" i="10" s="1"/>
  <c r="BA815" i="10"/>
  <c r="BC815" i="10" s="1"/>
  <c r="EC815" i="10"/>
  <c r="BE818" i="10"/>
  <c r="BT818" i="10" s="1"/>
  <c r="EC818" i="10"/>
  <c r="BA818" i="10"/>
  <c r="BC818" i="10" s="1"/>
  <c r="BE821" i="10"/>
  <c r="BT821" i="10" s="1"/>
  <c r="BA821" i="10"/>
  <c r="BC821" i="10" s="1"/>
  <c r="AN821" i="10" s="1"/>
  <c r="EC821" i="10"/>
  <c r="BE824" i="10"/>
  <c r="BT824" i="10" s="1"/>
  <c r="BA824" i="10"/>
  <c r="BC824" i="10" s="1"/>
  <c r="EC824" i="10"/>
  <c r="BE827" i="10"/>
  <c r="BT827" i="10" s="1"/>
  <c r="EC827" i="10"/>
  <c r="BA827" i="10"/>
  <c r="BC827" i="10" s="1"/>
  <c r="AN524" i="10"/>
  <c r="AW524" i="10"/>
  <c r="AN536" i="10"/>
  <c r="AW536" i="10"/>
  <c r="AN771" i="10"/>
  <c r="AW771" i="10"/>
  <c r="AW608" i="10"/>
  <c r="AN608" i="10"/>
  <c r="AN648" i="10"/>
  <c r="AW648" i="10"/>
  <c r="BE216" i="10"/>
  <c r="BT216" i="10" s="1"/>
  <c r="EC216" i="10"/>
  <c r="BE219" i="10"/>
  <c r="BT219" i="10" s="1"/>
  <c r="EC219" i="10"/>
  <c r="BA219" i="10"/>
  <c r="BC219" i="10" s="1"/>
  <c r="AN219" i="10" s="1"/>
  <c r="BE222" i="10"/>
  <c r="BT222" i="10" s="1"/>
  <c r="EC222" i="10"/>
  <c r="BE243" i="10"/>
  <c r="BT243" i="10" s="1"/>
  <c r="BA243" i="10"/>
  <c r="BC243" i="10" s="1"/>
  <c r="EC243" i="10"/>
  <c r="BE246" i="10"/>
  <c r="BT246" i="10" s="1"/>
  <c r="EC246" i="10"/>
  <c r="BA246" i="10"/>
  <c r="BC246" i="10" s="1"/>
  <c r="BE282" i="10"/>
  <c r="BT282" i="10" s="1"/>
  <c r="EC282" i="10"/>
  <c r="BA282" i="10"/>
  <c r="BC282" i="10" s="1"/>
  <c r="BE415" i="10"/>
  <c r="BT415" i="10" s="1"/>
  <c r="EC415" i="10"/>
  <c r="BA415" i="10"/>
  <c r="BC415" i="10" s="1"/>
  <c r="BE418" i="10"/>
  <c r="BT418" i="10" s="1"/>
  <c r="BA418" i="10"/>
  <c r="BC418" i="10" s="1"/>
  <c r="EC418" i="10"/>
  <c r="BE623" i="10"/>
  <c r="BT623" i="10" s="1"/>
  <c r="BA623" i="10"/>
  <c r="BC623" i="10" s="1"/>
  <c r="EC623" i="10"/>
  <c r="BE634" i="10"/>
  <c r="BT634" i="10" s="1"/>
  <c r="EC634" i="10"/>
  <c r="BA634" i="10"/>
  <c r="BC634" i="10" s="1"/>
  <c r="EC700" i="10"/>
  <c r="BA700" i="10"/>
  <c r="BC700" i="10" s="1"/>
  <c r="AW231" i="10"/>
  <c r="AN231" i="10"/>
  <c r="AW613" i="10"/>
  <c r="AN652" i="10"/>
  <c r="AW652" i="10"/>
  <c r="AW542" i="10"/>
  <c r="AN542" i="10"/>
  <c r="AW341" i="10"/>
  <c r="AN341" i="10"/>
  <c r="BA285" i="10"/>
  <c r="BC285" i="10" s="1"/>
  <c r="EC285" i="10"/>
  <c r="BE477" i="10"/>
  <c r="BT477" i="10" s="1"/>
  <c r="BA477" i="10"/>
  <c r="BC477" i="10" s="1"/>
  <c r="EC477" i="10"/>
  <c r="BE480" i="10"/>
  <c r="BT480" i="10" s="1"/>
  <c r="BA480" i="10"/>
  <c r="BC480" i="10" s="1"/>
  <c r="BE562" i="10"/>
  <c r="BT562" i="10" s="1"/>
  <c r="BA562" i="10"/>
  <c r="BC562" i="10" s="1"/>
  <c r="AN562" i="10" s="1"/>
  <c r="EC562" i="10"/>
  <c r="BE565" i="10"/>
  <c r="BT565" i="10" s="1"/>
  <c r="BA565" i="10"/>
  <c r="BC565" i="10" s="1"/>
  <c r="EC565" i="10"/>
  <c r="BE568" i="10"/>
  <c r="BT568" i="10" s="1"/>
  <c r="EC568" i="10"/>
  <c r="BA568" i="10"/>
  <c r="BC568" i="10" s="1"/>
  <c r="EC830" i="10"/>
  <c r="BX15" i="10"/>
  <c r="BA830" i="10"/>
  <c r="BC830" i="10" s="1"/>
  <c r="BX21" i="10"/>
  <c r="DO714" i="10"/>
  <c r="DO532" i="10"/>
  <c r="DO564" i="10"/>
  <c r="DO536" i="10"/>
  <c r="DO790" i="10"/>
  <c r="DO281" i="10"/>
  <c r="AN614" i="10"/>
  <c r="AW614" i="10"/>
  <c r="AN811" i="10"/>
  <c r="AW811" i="10"/>
  <c r="AW798" i="10"/>
  <c r="AN798" i="10"/>
  <c r="AW395" i="10"/>
  <c r="AN395" i="10"/>
  <c r="AN871" i="10"/>
  <c r="AW871" i="10"/>
  <c r="AN727" i="10"/>
  <c r="AW727" i="10"/>
  <c r="AN861" i="10"/>
  <c r="AW861" i="10"/>
  <c r="AN679" i="10"/>
  <c r="AW679" i="10"/>
  <c r="AW636" i="10"/>
  <c r="AN636" i="10"/>
  <c r="AN152" i="10"/>
  <c r="AW152" i="10"/>
  <c r="AW163" i="10"/>
  <c r="AN163" i="10"/>
  <c r="AW135" i="10"/>
  <c r="AN135" i="10"/>
  <c r="AN169" i="10"/>
  <c r="AW169" i="10"/>
  <c r="AN99" i="10"/>
  <c r="AW99" i="10"/>
  <c r="AW78" i="10"/>
  <c r="AN78" i="10"/>
  <c r="AW170" i="10"/>
  <c r="AN170" i="10"/>
  <c r="AN131" i="10"/>
  <c r="AW131" i="10"/>
  <c r="AW62" i="10"/>
  <c r="AN62" i="10"/>
  <c r="AW59" i="10"/>
  <c r="AN59" i="10"/>
  <c r="AN658" i="10"/>
  <c r="AW658" i="10"/>
  <c r="AN339" i="10"/>
  <c r="AW339" i="10"/>
  <c r="AN471" i="10"/>
  <c r="AW471" i="10"/>
  <c r="AN74" i="10"/>
  <c r="AW74" i="10"/>
  <c r="AN77" i="10"/>
  <c r="AW77" i="10"/>
  <c r="AN158" i="10"/>
  <c r="AW158" i="10"/>
  <c r="AN199" i="10"/>
  <c r="AW199" i="10"/>
  <c r="AN108" i="10"/>
  <c r="AW108" i="10"/>
  <c r="AW69" i="10"/>
  <c r="AW35" i="10"/>
  <c r="AW88" i="10"/>
  <c r="AN88" i="10"/>
  <c r="AW209" i="10"/>
  <c r="AN209" i="10"/>
  <c r="AN34" i="10"/>
  <c r="AW34" i="10"/>
  <c r="AW167" i="10"/>
  <c r="AN167" i="10"/>
  <c r="AN64" i="10"/>
  <c r="AW64" i="10"/>
  <c r="AN60" i="10"/>
  <c r="AW60" i="10"/>
  <c r="AN123" i="10"/>
  <c r="AW123" i="10"/>
  <c r="AN430" i="10"/>
  <c r="AW430" i="10"/>
  <c r="AW49" i="10"/>
  <c r="AN49" i="10"/>
  <c r="AN213" i="10"/>
  <c r="AW213" i="10"/>
  <c r="AW198" i="10"/>
  <c r="AN198" i="10"/>
  <c r="AN204" i="10"/>
  <c r="AW204" i="10"/>
  <c r="AN384" i="10"/>
  <c r="AW384" i="10"/>
  <c r="AN437" i="10"/>
  <c r="AW437" i="10"/>
  <c r="AN468" i="10"/>
  <c r="AW468" i="10"/>
  <c r="AW529" i="10"/>
  <c r="AN529" i="10"/>
  <c r="AW531" i="10"/>
  <c r="AN531" i="10"/>
  <c r="AN509" i="10"/>
  <c r="AW509" i="10"/>
  <c r="AW555" i="10"/>
  <c r="AN555" i="10"/>
  <c r="AN511" i="10"/>
  <c r="AW511" i="10"/>
  <c r="AN590" i="10"/>
  <c r="AW590" i="10"/>
  <c r="AW639" i="10"/>
  <c r="AN639" i="10"/>
  <c r="AN796" i="10"/>
  <c r="AW796" i="10"/>
  <c r="AN57" i="10"/>
  <c r="AW57" i="10"/>
  <c r="AN200" i="10"/>
  <c r="AW200" i="10"/>
  <c r="AW134" i="10"/>
  <c r="AN134" i="10"/>
  <c r="AN75" i="10"/>
  <c r="AW75" i="10"/>
  <c r="AW87" i="10"/>
  <c r="AN87" i="10"/>
  <c r="AN104" i="10"/>
  <c r="AW104" i="10"/>
  <c r="AW179" i="10"/>
  <c r="AN179" i="10"/>
  <c r="AN202" i="10"/>
  <c r="AW202" i="10"/>
  <c r="AN156" i="10"/>
  <c r="AW156" i="10"/>
  <c r="AN141" i="10"/>
  <c r="AW141" i="10"/>
  <c r="AW65" i="10"/>
  <c r="AN65" i="10"/>
  <c r="AN81" i="10"/>
  <c r="AW81" i="10"/>
  <c r="AN151" i="10"/>
  <c r="AW151" i="10"/>
  <c r="AW212" i="10"/>
  <c r="AN212" i="10"/>
  <c r="AW36" i="10"/>
  <c r="AN36" i="10"/>
  <c r="AN97" i="10"/>
  <c r="AW97" i="10"/>
  <c r="AW39" i="10"/>
  <c r="AN39" i="10"/>
  <c r="AN116" i="10"/>
  <c r="AW116" i="10"/>
  <c r="AN110" i="10"/>
  <c r="AW110" i="10"/>
  <c r="AW45" i="10"/>
  <c r="AW53" i="10"/>
  <c r="AW107" i="10"/>
  <c r="AN147" i="10"/>
  <c r="AW105" i="10"/>
  <c r="AW31" i="10"/>
  <c r="AW257" i="10"/>
  <c r="AN257" i="10"/>
  <c r="AW410" i="10"/>
  <c r="AN410" i="10"/>
  <c r="AN713" i="10"/>
  <c r="AW713" i="10"/>
  <c r="AN783" i="10"/>
  <c r="AW783" i="10"/>
  <c r="AW691" i="10"/>
  <c r="AN691" i="10"/>
  <c r="AN453" i="10"/>
  <c r="AW845" i="10"/>
  <c r="AN845" i="10"/>
  <c r="AN211" i="10"/>
  <c r="AN642" i="10"/>
  <c r="AW642" i="10"/>
  <c r="AN295" i="10"/>
  <c r="AW295" i="10"/>
  <c r="AW329" i="10"/>
  <c r="AN329" i="10"/>
  <c r="AN411" i="10"/>
  <c r="AW411" i="10"/>
  <c r="AW734" i="10"/>
  <c r="AN734" i="10"/>
  <c r="AN701" i="10"/>
  <c r="AW701" i="10"/>
  <c r="AW438" i="10"/>
  <c r="AN438" i="10"/>
  <c r="AW33" i="10"/>
  <c r="AN772" i="10"/>
  <c r="AW772" i="10"/>
  <c r="AN459" i="10"/>
  <c r="AW459" i="10"/>
  <c r="AW620" i="10"/>
  <c r="AN504" i="10"/>
  <c r="AW504" i="10"/>
  <c r="AN738" i="10"/>
  <c r="AW738" i="10"/>
  <c r="AW612" i="10"/>
  <c r="AN612" i="10"/>
  <c r="AW538" i="10"/>
  <c r="AN538" i="10"/>
  <c r="AN294" i="10"/>
  <c r="AW294" i="10"/>
  <c r="AN633" i="10"/>
  <c r="AW633" i="10"/>
  <c r="AN745" i="10"/>
  <c r="AW745" i="10"/>
  <c r="AN629" i="10"/>
  <c r="AW629" i="10"/>
  <c r="AW514" i="10"/>
  <c r="AN514" i="10"/>
  <c r="AN580" i="10"/>
  <c r="AW580" i="10"/>
  <c r="AW660" i="10"/>
  <c r="AN660" i="10"/>
  <c r="AN207" i="10"/>
  <c r="AW414" i="10"/>
  <c r="AN414" i="10"/>
  <c r="AN769" i="10"/>
  <c r="AW769" i="10"/>
  <c r="AN753" i="10"/>
  <c r="AW753" i="10"/>
  <c r="AW683" i="10"/>
  <c r="AN683" i="10"/>
  <c r="AW603" i="10"/>
  <c r="AN465" i="10"/>
  <c r="AW465" i="10"/>
  <c r="AW864" i="10"/>
  <c r="AW644" i="10"/>
  <c r="AN644" i="10"/>
  <c r="AW853" i="10"/>
  <c r="AN853" i="10"/>
  <c r="AW567" i="10"/>
  <c r="AN467" i="10"/>
  <c r="AW467" i="10"/>
  <c r="AN841" i="10"/>
  <c r="AW841" i="10"/>
  <c r="AN774" i="10"/>
  <c r="AW774" i="10"/>
  <c r="AW278" i="10"/>
  <c r="AN278" i="10"/>
  <c r="AN682" i="10"/>
  <c r="AW682" i="10"/>
  <c r="AN259" i="10"/>
  <c r="AW259" i="10"/>
  <c r="AN326" i="10"/>
  <c r="AW326" i="10"/>
  <c r="AN847" i="10"/>
  <c r="AW847" i="10"/>
  <c r="AW355" i="10"/>
  <c r="AN355" i="10"/>
  <c r="AW399" i="10"/>
  <c r="AN399" i="10"/>
  <c r="AW814" i="10"/>
  <c r="AN814" i="10"/>
  <c r="AW394" i="10"/>
  <c r="AN394" i="10"/>
  <c r="AN412" i="10"/>
  <c r="AW412" i="10"/>
  <c r="AW625" i="10"/>
  <c r="AN625" i="10"/>
  <c r="AN376" i="10"/>
  <c r="AW376" i="10"/>
  <c r="AW637" i="10"/>
  <c r="AN637" i="10"/>
  <c r="AN435" i="10"/>
  <c r="AW435" i="10"/>
  <c r="AW829" i="10"/>
  <c r="AN829" i="10"/>
  <c r="AN221" i="10"/>
  <c r="AW865" i="10"/>
  <c r="AW849" i="10"/>
  <c r="DT46" i="10"/>
  <c r="DT113" i="10"/>
  <c r="DT137" i="10"/>
  <c r="DT173" i="10"/>
  <c r="DT197" i="10"/>
  <c r="DT221" i="10"/>
  <c r="DT48" i="10"/>
  <c r="DT108" i="10"/>
  <c r="DT228" i="10"/>
  <c r="DT134" i="10"/>
  <c r="DT57" i="10"/>
  <c r="DT81" i="10"/>
  <c r="DT153" i="10"/>
  <c r="DT177" i="10"/>
  <c r="DT189" i="10"/>
  <c r="DT225" i="10"/>
  <c r="DT237" i="10"/>
  <c r="DT88" i="10"/>
  <c r="DT35" i="10"/>
  <c r="DT155" i="10"/>
  <c r="DT215" i="10"/>
  <c r="DT126" i="10"/>
  <c r="DT174" i="10"/>
  <c r="DT234" i="10"/>
  <c r="BX19" i="10"/>
  <c r="DT49" i="10"/>
  <c r="DT75" i="10"/>
  <c r="DT135" i="10"/>
  <c r="DT207" i="10"/>
  <c r="DT263" i="10"/>
  <c r="DT275" i="10"/>
  <c r="DT287" i="10"/>
  <c r="DT395" i="10"/>
  <c r="DT412" i="10"/>
  <c r="DT448" i="10"/>
  <c r="DT460" i="10"/>
  <c r="DT342" i="10"/>
  <c r="DT265" i="10"/>
  <c r="DT402" i="10"/>
  <c r="DT414" i="10"/>
  <c r="DT426" i="10"/>
  <c r="DT438" i="10"/>
  <c r="DT498" i="10"/>
  <c r="DT272" i="10"/>
  <c r="DT284" i="10"/>
  <c r="DT296" i="10"/>
  <c r="DT356" i="10"/>
  <c r="DT392" i="10"/>
  <c r="DT315" i="10"/>
  <c r="DT440" i="10"/>
  <c r="DT500" i="10"/>
  <c r="DT298" i="10"/>
  <c r="DT322" i="10"/>
  <c r="DT346" i="10"/>
  <c r="DT370" i="10"/>
  <c r="DT382" i="10"/>
  <c r="DT394" i="10"/>
  <c r="DT281" i="10"/>
  <c r="DT293" i="10"/>
  <c r="DT329" i="10"/>
  <c r="DT341" i="10"/>
  <c r="DT365" i="10"/>
  <c r="DT377" i="10"/>
  <c r="DT454" i="10"/>
  <c r="DT466" i="10"/>
  <c r="DT276" i="10"/>
  <c r="DT312" i="10"/>
  <c r="DT384" i="10"/>
  <c r="DT401" i="10"/>
  <c r="DT444" i="10"/>
  <c r="DT468" i="10"/>
  <c r="DT492" i="10"/>
  <c r="DT350" i="10"/>
  <c r="DT374" i="10"/>
  <c r="DT398" i="10"/>
  <c r="DT268" i="10"/>
  <c r="DT292" i="10"/>
  <c r="DT304" i="10"/>
  <c r="DT405" i="10"/>
  <c r="DT441" i="10"/>
  <c r="DT465" i="10"/>
  <c r="DT489" i="10"/>
  <c r="DT563" i="10"/>
  <c r="DT591" i="10"/>
  <c r="DT639" i="10"/>
  <c r="DT740" i="10"/>
  <c r="DT558" i="10"/>
  <c r="DT622" i="10"/>
  <c r="DT646" i="10"/>
  <c r="DT670" i="10"/>
  <c r="DT675" i="10"/>
  <c r="DT735" i="10"/>
  <c r="DT617" i="10"/>
  <c r="DT641" i="10"/>
  <c r="DT524" i="10"/>
  <c r="DT536" i="10"/>
  <c r="DT588" i="10"/>
  <c r="DT612" i="10"/>
  <c r="DT636" i="10"/>
  <c r="DT648" i="10"/>
  <c r="DT660" i="10"/>
  <c r="DT672" i="10"/>
  <c r="DT713" i="10"/>
  <c r="DT519" i="10"/>
  <c r="DT531" i="10"/>
  <c r="DT684" i="10"/>
  <c r="DT720" i="10"/>
  <c r="DT602" i="10"/>
  <c r="DT739" i="10"/>
  <c r="DT545" i="10"/>
  <c r="DT609" i="10"/>
  <c r="DT657" i="10"/>
  <c r="DT686" i="10"/>
  <c r="DT698" i="10"/>
  <c r="DT722" i="10"/>
  <c r="DT734" i="10"/>
  <c r="DT746" i="10"/>
  <c r="DT516" i="10"/>
  <c r="DT552" i="10"/>
  <c r="DT564" i="10"/>
  <c r="DT628" i="10"/>
  <c r="DT717" i="10"/>
  <c r="DT741" i="10"/>
  <c r="DT611" i="10"/>
  <c r="DT676" i="10"/>
  <c r="DT542" i="10"/>
  <c r="DT594" i="10"/>
  <c r="DT642" i="10"/>
  <c r="DT654" i="10"/>
  <c r="DT683" i="10"/>
  <c r="DT707" i="10"/>
  <c r="DT719" i="10"/>
  <c r="DT731" i="10"/>
  <c r="DT537" i="10"/>
  <c r="DT690" i="10"/>
  <c r="DT702" i="10"/>
  <c r="DT714" i="10"/>
  <c r="DT532" i="10"/>
  <c r="DT608" i="10"/>
  <c r="DT632" i="10"/>
  <c r="DT644" i="10"/>
  <c r="DT668" i="10"/>
  <c r="DT745" i="10"/>
  <c r="DT834" i="10"/>
  <c r="DT769" i="10"/>
  <c r="DT781" i="10"/>
  <c r="DT805" i="10"/>
  <c r="DT817" i="10"/>
  <c r="DT829" i="10"/>
  <c r="DT841" i="10"/>
  <c r="DT853" i="10"/>
  <c r="DT865" i="10"/>
  <c r="DT836" i="10"/>
  <c r="DT848" i="10"/>
  <c r="DT759" i="10"/>
  <c r="DT795" i="10"/>
  <c r="DT831" i="10"/>
  <c r="DT790" i="10"/>
  <c r="DT802" i="10"/>
  <c r="DT814" i="10"/>
  <c r="DT850" i="10"/>
  <c r="DT857" i="10"/>
  <c r="DT828" i="10"/>
  <c r="DT876" i="10"/>
  <c r="DT787" i="10"/>
  <c r="DT823" i="10"/>
  <c r="DT866" i="10"/>
  <c r="DT753" i="10"/>
  <c r="DT765" i="10"/>
  <c r="DT789" i="10"/>
  <c r="DT813" i="10"/>
  <c r="DT825" i="10"/>
  <c r="DT837" i="10"/>
  <c r="DT873" i="10"/>
  <c r="DT772" i="10"/>
  <c r="DT808" i="10"/>
  <c r="DT832" i="10"/>
  <c r="DT844" i="10"/>
  <c r="DT856" i="10"/>
  <c r="DT868" i="10"/>
  <c r="BB27" i="10"/>
  <c r="BD27" i="10" s="1"/>
  <c r="BF27" i="10"/>
  <c r="BU27" i="10" s="1"/>
  <c r="BB21" i="10"/>
  <c r="BD21" i="10" s="1"/>
  <c r="AW21" i="10" s="1"/>
  <c r="BF21" i="10"/>
  <c r="BU21" i="10" s="1"/>
  <c r="L26" i="9"/>
  <c r="K26" i="9"/>
  <c r="L14" i="9"/>
  <c r="K14" i="9"/>
  <c r="V21" i="9"/>
  <c r="T117" i="7"/>
  <c r="I29" i="9"/>
  <c r="H29" i="9"/>
  <c r="T120" i="7"/>
  <c r="C120" i="7" s="1"/>
  <c r="AD15" i="9"/>
  <c r="W23" i="9"/>
  <c r="AN23" i="9"/>
  <c r="L16" i="9"/>
  <c r="AF23" i="9"/>
  <c r="AM23" i="9"/>
  <c r="V23" i="9"/>
  <c r="AK23" i="9"/>
  <c r="R23" i="9"/>
  <c r="AR23" i="9"/>
  <c r="AC23" i="9"/>
  <c r="AO23" i="9"/>
  <c r="AP23" i="9"/>
  <c r="AG23" i="9"/>
  <c r="AH23" i="9"/>
  <c r="Q23" i="9"/>
  <c r="AA23" i="9"/>
  <c r="O15" i="9"/>
  <c r="AQ15" i="9"/>
  <c r="T15" i="9"/>
  <c r="AR15" i="9"/>
  <c r="AG15" i="9"/>
  <c r="Z15" i="9"/>
  <c r="Y15" i="9"/>
  <c r="AP15" i="9"/>
  <c r="AE15" i="9"/>
  <c r="AA15" i="9"/>
  <c r="AH15" i="9"/>
  <c r="AN15" i="9"/>
  <c r="U15" i="9"/>
  <c r="W15" i="9"/>
  <c r="X15" i="9"/>
  <c r="AF15" i="9"/>
  <c r="AJ15" i="9"/>
  <c r="AK15" i="9"/>
  <c r="Q15" i="9"/>
  <c r="I32" i="9"/>
  <c r="H32" i="9"/>
  <c r="AE23" i="9"/>
  <c r="AL15" i="9"/>
  <c r="AI23" i="9"/>
  <c r="R15" i="9"/>
  <c r="I34" i="9"/>
  <c r="H34" i="9"/>
  <c r="L36" i="9"/>
  <c r="K36" i="9"/>
  <c r="U23" i="9"/>
  <c r="L20" i="9"/>
  <c r="K24" i="9"/>
  <c r="L24" i="9"/>
  <c r="Z23" i="9"/>
  <c r="K17" i="9"/>
  <c r="I26" i="9"/>
  <c r="CL17" i="10"/>
  <c r="BZ17" i="10"/>
  <c r="CA17" i="10"/>
  <c r="DU17" i="10" s="1"/>
  <c r="AS23" i="9"/>
  <c r="L27" i="9"/>
  <c r="K27" i="9"/>
  <c r="AK22" i="9"/>
  <c r="U22" i="9"/>
  <c r="AQ25" i="10"/>
  <c r="T119" i="7"/>
  <c r="CL27" i="10"/>
  <c r="CA26" i="10"/>
  <c r="BZ26" i="10"/>
  <c r="AY26" i="10"/>
  <c r="CA27" i="10"/>
  <c r="U18" i="7"/>
  <c r="BX18" i="10"/>
  <c r="BX23" i="10"/>
  <c r="AW18" i="10"/>
  <c r="BI16" i="10"/>
  <c r="BK16" i="10" s="1"/>
  <c r="AQ16" i="10" s="1"/>
  <c r="BZ20" i="10"/>
  <c r="AN23" i="10"/>
  <c r="AW23" i="10"/>
  <c r="BB15" i="10"/>
  <c r="BD15" i="10" s="1"/>
  <c r="AN15" i="10" s="1"/>
  <c r="BF15" i="10"/>
  <c r="BU15" i="10" s="1"/>
  <c r="BF25" i="10"/>
  <c r="BU25" i="10" s="1"/>
  <c r="BB25" i="10"/>
  <c r="BD25" i="10" s="1"/>
  <c r="AN25" i="10" s="1"/>
  <c r="BB19" i="10"/>
  <c r="BD19" i="10" s="1"/>
  <c r="BF19" i="10"/>
  <c r="BU19" i="10" s="1"/>
  <c r="CA15" i="10"/>
  <c r="BX24" i="10"/>
  <c r="AN17" i="10"/>
  <c r="AQ17" i="10"/>
  <c r="BI23" i="10"/>
  <c r="BK23" i="10" s="1"/>
  <c r="AQ23" i="10" s="1"/>
  <c r="BM23" i="10"/>
  <c r="BV23" i="10" s="1"/>
  <c r="BZ23" i="10" s="1"/>
  <c r="BX20" i="10"/>
  <c r="BX25" i="10"/>
  <c r="CA25" i="10"/>
  <c r="AY25" i="10"/>
  <c r="CA21" i="10"/>
  <c r="BX16" i="10"/>
  <c r="AW24" i="10"/>
  <c r="L46" i="7"/>
  <c r="F91" i="7" s="1"/>
  <c r="M28" i="7"/>
  <c r="M46" i="7"/>
  <c r="I46" i="7"/>
  <c r="K46" i="7"/>
  <c r="E91" i="7" s="1"/>
  <c r="J46" i="7"/>
  <c r="D91" i="7" s="1"/>
  <c r="BX26" i="10"/>
  <c r="AY16" i="10"/>
  <c r="BZ16" i="10"/>
  <c r="BN23" i="10"/>
  <c r="BW23" i="10" s="1"/>
  <c r="CA23" i="10" s="1"/>
  <c r="AQ21" i="10"/>
  <c r="U16" i="7"/>
  <c r="BX17" i="10"/>
  <c r="BZ15" i="10"/>
  <c r="CT15" i="10"/>
  <c r="AX15" i="10"/>
  <c r="AX17" i="10"/>
  <c r="AX19" i="10"/>
  <c r="AX21" i="10"/>
  <c r="AX23" i="10"/>
  <c r="AX25" i="10"/>
  <c r="AX27" i="10"/>
  <c r="BM25" i="10"/>
  <c r="BV25" i="10" s="1"/>
  <c r="BZ25" i="10" s="1"/>
  <c r="CW15" i="10"/>
  <c r="DA15" i="10" s="1"/>
  <c r="O23" i="9"/>
  <c r="O64" i="7"/>
  <c r="L64" i="7"/>
  <c r="D99" i="7" s="1"/>
  <c r="M64" i="7"/>
  <c r="E99" i="7" s="1"/>
  <c r="N64" i="7"/>
  <c r="F99" i="7" s="1"/>
  <c r="M61" i="7"/>
  <c r="J43" i="7"/>
  <c r="D88" i="7" s="1"/>
  <c r="O60" i="7"/>
  <c r="L60" i="7"/>
  <c r="D95" i="7" s="1"/>
  <c r="M60" i="7"/>
  <c r="E95" i="7" s="1"/>
  <c r="N60" i="7"/>
  <c r="F95" i="7" s="1"/>
  <c r="C95" i="7"/>
  <c r="M42" i="7"/>
  <c r="J42" i="7"/>
  <c r="D87" i="7" s="1"/>
  <c r="K42" i="7"/>
  <c r="E87" i="7" s="1"/>
  <c r="L42" i="7"/>
  <c r="F87" i="7" s="1"/>
  <c r="I42" i="7"/>
  <c r="C87" i="7"/>
  <c r="M24" i="7"/>
  <c r="D79" i="7"/>
  <c r="E79" i="7"/>
  <c r="F79" i="7"/>
  <c r="C79" i="7"/>
  <c r="DO888" i="10"/>
  <c r="DO993" i="10"/>
  <c r="DO923" i="10"/>
  <c r="DO865" i="10"/>
  <c r="DO951" i="10"/>
  <c r="S12" i="3"/>
  <c r="T12" i="3" s="1"/>
  <c r="Z14" i="3"/>
  <c r="U14" i="3"/>
  <c r="V14" i="3" s="1"/>
  <c r="H14" i="3"/>
  <c r="H16" i="3" s="1"/>
  <c r="S14" i="3"/>
  <c r="AH16" i="3"/>
  <c r="N16" i="3"/>
  <c r="V13" i="3"/>
  <c r="W13" i="3" s="1"/>
  <c r="X13" i="3" s="1"/>
  <c r="Y13" i="3" s="1"/>
  <c r="S13" i="3"/>
  <c r="T13" i="3" s="1"/>
  <c r="J14" i="3"/>
  <c r="J16" i="3" s="1"/>
  <c r="DO914" i="10"/>
  <c r="DO731" i="10"/>
  <c r="DO868" i="10"/>
  <c r="DO394" i="10"/>
  <c r="DO795" i="10"/>
  <c r="DO975" i="10"/>
  <c r="DO468" i="10"/>
  <c r="DO919" i="10"/>
  <c r="DO962" i="10"/>
  <c r="DO444" i="10"/>
  <c r="DO197" i="10"/>
  <c r="DO817" i="10"/>
  <c r="DO448" i="10"/>
  <c r="DO967" i="10"/>
  <c r="DO519" i="10"/>
  <c r="DO964" i="10"/>
  <c r="DO823" i="10"/>
  <c r="DO588" i="10"/>
  <c r="DO370" i="10"/>
  <c r="DO164" i="10"/>
  <c r="DO177" i="10"/>
  <c r="AE16" i="3"/>
  <c r="K16" i="3"/>
  <c r="M13" i="3"/>
  <c r="L14" i="3"/>
  <c r="AG16" i="3"/>
  <c r="U16" i="3"/>
  <c r="R16" i="3"/>
  <c r="D14" i="3"/>
  <c r="E13" i="3"/>
  <c r="F13" i="3" s="1"/>
  <c r="G13" i="3" s="1"/>
  <c r="P14" i="3"/>
  <c r="O14" i="3" s="1"/>
  <c r="Q13" i="3"/>
  <c r="O13" i="3"/>
  <c r="AI16" i="3"/>
  <c r="Q12" i="3"/>
  <c r="K62" i="7" l="1"/>
  <c r="J62" i="7"/>
  <c r="H44" i="7"/>
  <c r="C89" i="7" s="1"/>
  <c r="K26" i="7"/>
  <c r="E81" i="7" s="1"/>
  <c r="J26" i="7"/>
  <c r="H26" i="7"/>
  <c r="C81" i="7" s="1"/>
  <c r="L26" i="7"/>
  <c r="I26" i="7"/>
  <c r="K64" i="7"/>
  <c r="C99" i="7"/>
  <c r="H46" i="7"/>
  <c r="C91" i="7" s="1"/>
  <c r="I28" i="7"/>
  <c r="J28" i="7"/>
  <c r="D83" i="7" s="1"/>
  <c r="K28" i="7"/>
  <c r="E83" i="7" s="1"/>
  <c r="L28" i="7"/>
  <c r="F83" i="7" s="1"/>
  <c r="H28" i="7"/>
  <c r="C83" i="7" s="1"/>
  <c r="AC21" i="9"/>
  <c r="M27" i="7"/>
  <c r="J63" i="7"/>
  <c r="K63" i="7"/>
  <c r="S18" i="9"/>
  <c r="O18" i="9"/>
  <c r="AQ18" i="9"/>
  <c r="Y18" i="9"/>
  <c r="AO22" i="9"/>
  <c r="AD18" i="9"/>
  <c r="AE18" i="9"/>
  <c r="AG18" i="9"/>
  <c r="AA18" i="9"/>
  <c r="Q18" i="9"/>
  <c r="X18" i="9"/>
  <c r="Z18" i="9"/>
  <c r="AK18" i="9"/>
  <c r="AN18" i="9"/>
  <c r="AJ23" i="9"/>
  <c r="T18" i="9"/>
  <c r="AC18" i="9"/>
  <c r="AP18" i="9"/>
  <c r="V18" i="9"/>
  <c r="AO18" i="9"/>
  <c r="P18" i="9"/>
  <c r="V27" i="9"/>
  <c r="U18" i="9"/>
  <c r="AM18" i="9"/>
  <c r="AJ18" i="9"/>
  <c r="Y23" i="9"/>
  <c r="K45" i="7"/>
  <c r="E90" i="7" s="1"/>
  <c r="C98" i="7"/>
  <c r="H45" i="7"/>
  <c r="C90" i="7" s="1"/>
  <c r="L27" i="7"/>
  <c r="F82" i="7" s="1"/>
  <c r="K27" i="7"/>
  <c r="H27" i="7"/>
  <c r="C82" i="7" s="1"/>
  <c r="I27" i="7"/>
  <c r="J27" i="7"/>
  <c r="D82" i="7" s="1"/>
  <c r="N63" i="7"/>
  <c r="F98" i="7" s="1"/>
  <c r="DV260" i="10"/>
  <c r="DV650" i="10"/>
  <c r="DV559" i="10"/>
  <c r="DV481" i="10"/>
  <c r="DV527" i="10"/>
  <c r="DV179" i="10"/>
  <c r="DV416" i="10"/>
  <c r="F81" i="7"/>
  <c r="I44" i="7"/>
  <c r="E80" i="7"/>
  <c r="M44" i="7"/>
  <c r="D81" i="7"/>
  <c r="N62" i="7"/>
  <c r="M26" i="7"/>
  <c r="M62" i="7"/>
  <c r="L62" i="7"/>
  <c r="F80" i="7"/>
  <c r="L44" i="7"/>
  <c r="F89" i="7" s="1"/>
  <c r="O62" i="7"/>
  <c r="K44" i="7"/>
  <c r="E89" i="7" s="1"/>
  <c r="L43" i="7"/>
  <c r="F88" i="7" s="1"/>
  <c r="J44" i="7"/>
  <c r="D89" i="7" s="1"/>
  <c r="Z21" i="9"/>
  <c r="Z33" i="9" s="1"/>
  <c r="AB21" i="9"/>
  <c r="P15" i="9"/>
  <c r="T23" i="9"/>
  <c r="X23" i="9"/>
  <c r="S23" i="9"/>
  <c r="AH21" i="9"/>
  <c r="AH33" i="9" s="1"/>
  <c r="C80" i="7"/>
  <c r="I43" i="7"/>
  <c r="AA21" i="9"/>
  <c r="AA33" i="9" s="1"/>
  <c r="AF21" i="9"/>
  <c r="AF33" i="9" s="1"/>
  <c r="AI21" i="9"/>
  <c r="AI33" i="9" s="1"/>
  <c r="O21" i="9"/>
  <c r="O33" i="9" s="1"/>
  <c r="AQ23" i="9"/>
  <c r="AM15" i="9"/>
  <c r="AR21" i="9"/>
  <c r="AR33" i="9" s="1"/>
  <c r="AP21" i="9"/>
  <c r="AP33" i="9" s="1"/>
  <c r="M43" i="7"/>
  <c r="P21" i="9"/>
  <c r="P27" i="9" s="1"/>
  <c r="AL21" i="9"/>
  <c r="AL33" i="9" s="1"/>
  <c r="AG21" i="9"/>
  <c r="AG27" i="9" s="1"/>
  <c r="P23" i="9"/>
  <c r="T21" i="9"/>
  <c r="T33" i="9" s="1"/>
  <c r="Y21" i="9"/>
  <c r="Y33" i="9" s="1"/>
  <c r="AE21" i="9"/>
  <c r="AE33" i="9" s="1"/>
  <c r="AK21" i="9"/>
  <c r="AK27" i="9" s="1"/>
  <c r="AB23" i="9"/>
  <c r="AQ21" i="9"/>
  <c r="AQ27" i="9" s="1"/>
  <c r="Q21" i="9"/>
  <c r="Q33" i="9" s="1"/>
  <c r="AN21" i="9"/>
  <c r="AN27" i="9" s="1"/>
  <c r="D80" i="7"/>
  <c r="H80" i="7" s="1"/>
  <c r="X21" i="9"/>
  <c r="X33" i="9" s="1"/>
  <c r="S21" i="9"/>
  <c r="AJ21" i="9"/>
  <c r="AJ27" i="9" s="1"/>
  <c r="AD23" i="9"/>
  <c r="U21" i="9"/>
  <c r="U27" i="9" s="1"/>
  <c r="AO21" i="9"/>
  <c r="M25" i="7"/>
  <c r="R21" i="9"/>
  <c r="R33" i="9" s="1"/>
  <c r="AD21" i="9"/>
  <c r="AD27" i="9" s="1"/>
  <c r="AL23" i="9"/>
  <c r="R18" i="9"/>
  <c r="AS18" i="9"/>
  <c r="W18" i="9"/>
  <c r="AI18" i="9"/>
  <c r="S15" i="9"/>
  <c r="AF18" i="9"/>
  <c r="AB18" i="9"/>
  <c r="AL18" i="9"/>
  <c r="AH18" i="9"/>
  <c r="N61" i="7"/>
  <c r="O61" i="7"/>
  <c r="K43" i="7"/>
  <c r="E88" i="7" s="1"/>
  <c r="AO16" i="9"/>
  <c r="AO28" i="9" s="1"/>
  <c r="P16" i="9"/>
  <c r="AB15" i="9"/>
  <c r="AO15" i="9"/>
  <c r="AC15" i="9"/>
  <c r="AC33" i="9" s="1"/>
  <c r="AS15" i="9"/>
  <c r="M63" i="7"/>
  <c r="E98" i="7" s="1"/>
  <c r="AK16" i="9"/>
  <c r="AK28" i="9" s="1"/>
  <c r="AC16" i="9"/>
  <c r="AF16" i="9"/>
  <c r="AM16" i="9"/>
  <c r="AI16" i="9"/>
  <c r="Q16" i="9"/>
  <c r="AA16" i="9"/>
  <c r="AH16" i="9"/>
  <c r="S16" i="9"/>
  <c r="AN16" i="9"/>
  <c r="AD16" i="9"/>
  <c r="DV326" i="10"/>
  <c r="AG16" i="9"/>
  <c r="AB16" i="9"/>
  <c r="DV233" i="10"/>
  <c r="M45" i="7"/>
  <c r="R16" i="9"/>
  <c r="Z16" i="9"/>
  <c r="C88" i="7"/>
  <c r="L61" i="7"/>
  <c r="L63" i="7"/>
  <c r="D98" i="7" s="1"/>
  <c r="L45" i="7"/>
  <c r="F90" i="7" s="1"/>
  <c r="O63" i="7"/>
  <c r="J45" i="7"/>
  <c r="D90" i="7" s="1"/>
  <c r="DV185" i="10"/>
  <c r="I45" i="7"/>
  <c r="AP22" i="9"/>
  <c r="T22" i="9"/>
  <c r="O22" i="9"/>
  <c r="O34" i="9" s="1"/>
  <c r="AQ22" i="9"/>
  <c r="AE22" i="9"/>
  <c r="S22" i="9"/>
  <c r="AM22" i="9"/>
  <c r="AD22" i="9"/>
  <c r="V22" i="9"/>
  <c r="Q22" i="9"/>
  <c r="AJ22" i="9"/>
  <c r="P22" i="9"/>
  <c r="W22" i="9"/>
  <c r="AS22" i="9"/>
  <c r="AF22" i="9"/>
  <c r="Z22" i="9"/>
  <c r="AI22" i="9"/>
  <c r="AR22" i="9"/>
  <c r="AG22" i="9"/>
  <c r="AH22" i="9"/>
  <c r="AF27" i="9"/>
  <c r="Y22" i="9"/>
  <c r="AN22" i="9"/>
  <c r="AA22" i="9"/>
  <c r="X22" i="9"/>
  <c r="R22" i="9"/>
  <c r="C117" i="7"/>
  <c r="E117" i="7" s="1"/>
  <c r="AQ33" i="9"/>
  <c r="AE16" i="9"/>
  <c r="AR16" i="9"/>
  <c r="X16" i="9"/>
  <c r="AS16" i="9"/>
  <c r="V16" i="9"/>
  <c r="W16" i="9"/>
  <c r="Y16" i="9"/>
  <c r="AL16" i="9"/>
  <c r="T16" i="9"/>
  <c r="AP16" i="9"/>
  <c r="AJ16" i="9"/>
  <c r="AQ16" i="9"/>
  <c r="U16" i="9"/>
  <c r="U28" i="9" s="1"/>
  <c r="AS21" i="9"/>
  <c r="W21" i="9"/>
  <c r="W27" i="9" s="1"/>
  <c r="AM21" i="9"/>
  <c r="V33" i="9"/>
  <c r="AB22" i="9"/>
  <c r="AL22" i="9"/>
  <c r="AC22" i="9"/>
  <c r="DK16" i="10"/>
  <c r="DK15" i="10"/>
  <c r="DT486" i="10"/>
  <c r="DN486" i="10"/>
  <c r="BP486" i="10" s="1"/>
  <c r="DO486" i="10" s="1"/>
  <c r="AW391" i="10"/>
  <c r="DY571" i="10"/>
  <c r="DY494" i="10"/>
  <c r="AN47" i="10"/>
  <c r="DY486" i="10"/>
  <c r="AN479" i="10"/>
  <c r="BX116" i="10"/>
  <c r="AW981" i="10"/>
  <c r="BX156" i="10"/>
  <c r="AW918" i="10"/>
  <c r="BY385" i="10"/>
  <c r="DU385" i="10" s="1"/>
  <c r="AW717" i="10"/>
  <c r="AN578" i="10"/>
  <c r="AW71" i="10"/>
  <c r="AW749" i="10"/>
  <c r="DN494" i="10"/>
  <c r="BP494" i="10" s="1"/>
  <c r="DO494" i="10" s="1"/>
  <c r="AN523" i="10"/>
  <c r="AW858" i="10"/>
  <c r="AQ442" i="10"/>
  <c r="BX144" i="10"/>
  <c r="AN887" i="10"/>
  <c r="AN939" i="10"/>
  <c r="DN1001" i="10"/>
  <c r="BP1001" i="10" s="1"/>
  <c r="DO1001" i="10" s="1"/>
  <c r="BZ768" i="10"/>
  <c r="AW966" i="10"/>
  <c r="AN616" i="10"/>
  <c r="AW30" i="10"/>
  <c r="AW484" i="10"/>
  <c r="AN37" i="10"/>
  <c r="AN492" i="10"/>
  <c r="AW162" i="10"/>
  <c r="AW619" i="10"/>
  <c r="AN663" i="10"/>
  <c r="AQ544" i="10"/>
  <c r="AN928" i="10"/>
  <c r="BY134" i="10"/>
  <c r="DU134" i="10" s="1"/>
  <c r="AN818" i="10"/>
  <c r="AW195" i="10"/>
  <c r="AN778" i="10"/>
  <c r="AN274" i="10"/>
  <c r="AN569" i="10"/>
  <c r="DN598" i="10"/>
  <c r="BP598" i="10" s="1"/>
  <c r="DO598" i="10" s="1"/>
  <c r="AW989" i="10"/>
  <c r="BY271" i="10"/>
  <c r="DU271" i="10" s="1"/>
  <c r="AW1011" i="10"/>
  <c r="DN83" i="10"/>
  <c r="BP83" i="10" s="1"/>
  <c r="DO83" i="10" s="1"/>
  <c r="AW423" i="10"/>
  <c r="AW866" i="10"/>
  <c r="AW512" i="10"/>
  <c r="AW630" i="10"/>
  <c r="AN454" i="10"/>
  <c r="AN591" i="10"/>
  <c r="AN228" i="10"/>
  <c r="CA535" i="10"/>
  <c r="DT950" i="10"/>
  <c r="DN342" i="10"/>
  <c r="BP342" i="10" s="1"/>
  <c r="DO342" i="10" s="1"/>
  <c r="AQ767" i="10"/>
  <c r="AW210" i="10"/>
  <c r="AN497" i="10"/>
  <c r="DN395" i="10"/>
  <c r="BP395" i="10" s="1"/>
  <c r="DO395" i="10" s="1"/>
  <c r="AQ77" i="10"/>
  <c r="BY643" i="10"/>
  <c r="DU643" i="10" s="1"/>
  <c r="AW343" i="10"/>
  <c r="AN790" i="10"/>
  <c r="AW66" i="10"/>
  <c r="DY787" i="10"/>
  <c r="AN358" i="10"/>
  <c r="DY287" i="10"/>
  <c r="DN769" i="10"/>
  <c r="BP769" i="10" s="1"/>
  <c r="DO769" i="10" s="1"/>
  <c r="BX290" i="10"/>
  <c r="AQ909" i="10"/>
  <c r="DT514" i="10"/>
  <c r="AW455" i="10"/>
  <c r="AW550" i="10"/>
  <c r="AW593" i="10"/>
  <c r="AN378" i="10"/>
  <c r="AN765" i="10"/>
  <c r="AN839" i="10"/>
  <c r="AW878" i="10"/>
  <c r="AN539" i="10"/>
  <c r="BX400" i="10"/>
  <c r="DN400" i="10" s="1"/>
  <c r="BP400" i="10" s="1"/>
  <c r="DO400" i="10" s="1"/>
  <c r="DN134" i="10"/>
  <c r="BP134" i="10" s="1"/>
  <c r="DO134" i="10" s="1"/>
  <c r="DN187" i="10"/>
  <c r="BP187" i="10" s="1"/>
  <c r="DO187" i="10" s="1"/>
  <c r="AQ590" i="10"/>
  <c r="DN287" i="10"/>
  <c r="BP287" i="10" s="1"/>
  <c r="DO287" i="10" s="1"/>
  <c r="AQ924" i="10"/>
  <c r="AN272" i="10"/>
  <c r="AW726" i="10"/>
  <c r="AW695" i="10"/>
  <c r="AN528" i="10"/>
  <c r="AW857" i="10"/>
  <c r="DN298" i="10"/>
  <c r="BP298" i="10" s="1"/>
  <c r="DO298" i="10" s="1"/>
  <c r="AW328" i="10"/>
  <c r="AN746" i="10"/>
  <c r="AW126" i="10"/>
  <c r="AW498" i="10"/>
  <c r="AW558" i="10"/>
  <c r="AW689" i="10"/>
  <c r="AW647" i="10"/>
  <c r="AW838" i="10"/>
  <c r="AQ550" i="10"/>
  <c r="DT932" i="10"/>
  <c r="AQ999" i="10"/>
  <c r="DN863" i="10"/>
  <c r="BP863" i="10" s="1"/>
  <c r="DO863" i="10" s="1"/>
  <c r="AN997" i="10"/>
  <c r="BY691" i="10"/>
  <c r="DU691" i="10" s="1"/>
  <c r="AN402" i="10"/>
  <c r="AW347" i="10"/>
  <c r="AQ939" i="10"/>
  <c r="DK29" i="10"/>
  <c r="DK27" i="10"/>
  <c r="DK28" i="10"/>
  <c r="DN389" i="10"/>
  <c r="BP389" i="10" s="1"/>
  <c r="DO389" i="10" s="1"/>
  <c r="DT389" i="10"/>
  <c r="AW427" i="10"/>
  <c r="DV766" i="10"/>
  <c r="CA858" i="10"/>
  <c r="BX473" i="10"/>
  <c r="CA767" i="10"/>
  <c r="AQ816" i="10"/>
  <c r="AY408" i="10"/>
  <c r="CI408" i="10"/>
  <c r="AY216" i="10"/>
  <c r="CI216" i="10"/>
  <c r="CJ400" i="10"/>
  <c r="CB400" i="10"/>
  <c r="CF400" i="10" s="1"/>
  <c r="CJ165" i="10"/>
  <c r="CB165" i="10"/>
  <c r="CF165" i="10" s="1"/>
  <c r="BY793" i="10"/>
  <c r="DU793" i="10" s="1"/>
  <c r="DY793" i="10"/>
  <c r="BY853" i="10"/>
  <c r="DU853" i="10" s="1"/>
  <c r="DY853" i="10"/>
  <c r="BY961" i="10"/>
  <c r="DU961" i="10" s="1"/>
  <c r="DY961" i="10"/>
  <c r="ED961" i="10" s="1"/>
  <c r="CJ338" i="10"/>
  <c r="CB338" i="10"/>
  <c r="CF338" i="10" s="1"/>
  <c r="AY316" i="10"/>
  <c r="CI316" i="10"/>
  <c r="CJ208" i="10"/>
  <c r="DT208" i="10" s="1"/>
  <c r="CB208" i="10"/>
  <c r="CF208" i="10" s="1"/>
  <c r="CD148" i="10"/>
  <c r="CH148" i="10" s="1"/>
  <c r="CL148" i="10"/>
  <c r="AY76" i="10"/>
  <c r="CI76" i="10"/>
  <c r="AW72" i="10"/>
  <c r="DN994" i="10"/>
  <c r="BP994" i="10" s="1"/>
  <c r="DO994" i="10" s="1"/>
  <c r="DT455" i="10"/>
  <c r="AY78" i="10"/>
  <c r="BY580" i="10"/>
  <c r="DU580" i="10" s="1"/>
  <c r="DY580" i="10"/>
  <c r="BY808" i="10"/>
  <c r="DU808" i="10" s="1"/>
  <c r="DY808" i="10"/>
  <c r="AY388" i="10"/>
  <c r="CI388" i="10"/>
  <c r="CD423" i="10"/>
  <c r="CH423" i="10" s="1"/>
  <c r="CL423" i="10"/>
  <c r="AN884" i="10"/>
  <c r="AW884" i="10"/>
  <c r="CJ316" i="10"/>
  <c r="CB316" i="10"/>
  <c r="CF316" i="10" s="1"/>
  <c r="AY202" i="10"/>
  <c r="CI202" i="10"/>
  <c r="CJ148" i="10"/>
  <c r="DT148" i="10" s="1"/>
  <c r="CB148" i="10"/>
  <c r="CF148" i="10" s="1"/>
  <c r="CJ76" i="10"/>
  <c r="DT76" i="10" s="1"/>
  <c r="CB76" i="10"/>
  <c r="CF76" i="10" s="1"/>
  <c r="BY510" i="10"/>
  <c r="DU510" i="10" s="1"/>
  <c r="DY510" i="10"/>
  <c r="BY978" i="10"/>
  <c r="DU978" i="10" s="1"/>
  <c r="DY978" i="10"/>
  <c r="BY1014" i="10"/>
  <c r="DU1014" i="10" s="1"/>
  <c r="DY1014" i="10"/>
  <c r="CI165" i="10"/>
  <c r="AQ161" i="10"/>
  <c r="AQ719" i="10"/>
  <c r="DT919" i="10"/>
  <c r="DT338" i="10"/>
  <c r="BZ431" i="10"/>
  <c r="CI577" i="10"/>
  <c r="AY428" i="10"/>
  <c r="CI428" i="10"/>
  <c r="BZ354" i="10"/>
  <c r="CI354" i="10"/>
  <c r="AY180" i="10"/>
  <c r="CI180" i="10"/>
  <c r="CJ388" i="10"/>
  <c r="CB388" i="10"/>
  <c r="CF388" i="10" s="1"/>
  <c r="CJ423" i="10"/>
  <c r="CB423" i="10"/>
  <c r="CF423" i="10" s="1"/>
  <c r="BY799" i="10"/>
  <c r="DU799" i="10" s="1"/>
  <c r="DY799" i="10"/>
  <c r="BY889" i="10"/>
  <c r="DU889" i="10" s="1"/>
  <c r="DY889" i="10"/>
  <c r="BY973" i="10"/>
  <c r="DU973" i="10" s="1"/>
  <c r="DY973" i="10"/>
  <c r="CJ314" i="10"/>
  <c r="CB314" i="10"/>
  <c r="CF314" i="10" s="1"/>
  <c r="BY500" i="10"/>
  <c r="DU500" i="10" s="1"/>
  <c r="DY500" i="10"/>
  <c r="BY884" i="10"/>
  <c r="DU884" i="10" s="1"/>
  <c r="DY884" i="10"/>
  <c r="AY256" i="10"/>
  <c r="CI256" i="10"/>
  <c r="CJ202" i="10"/>
  <c r="CB202" i="10"/>
  <c r="CF202" i="10" s="1"/>
  <c r="AY130" i="10"/>
  <c r="CI130" i="10"/>
  <c r="CI148" i="10"/>
  <c r="AN253" i="10"/>
  <c r="DV775" i="10"/>
  <c r="DV847" i="10"/>
  <c r="DP847" i="10" s="1"/>
  <c r="BQ847" i="10" s="1"/>
  <c r="DQ847" i="10" s="1"/>
  <c r="DT975" i="10"/>
  <c r="AQ672" i="10"/>
  <c r="AQ922" i="10"/>
  <c r="DN889" i="10"/>
  <c r="BP889" i="10" s="1"/>
  <c r="DO889" i="10" s="1"/>
  <c r="DN1014" i="10"/>
  <c r="BP1014" i="10" s="1"/>
  <c r="DO1014" i="10" s="1"/>
  <c r="BY655" i="10"/>
  <c r="DU655" i="10" s="1"/>
  <c r="CI50" i="10"/>
  <c r="BZ293" i="10"/>
  <c r="AY293" i="10"/>
  <c r="CJ354" i="10"/>
  <c r="CB354" i="10"/>
  <c r="CF354" i="10" s="1"/>
  <c r="CJ180" i="10"/>
  <c r="CB180" i="10"/>
  <c r="CF180" i="10" s="1"/>
  <c r="BY814" i="10"/>
  <c r="DU814" i="10" s="1"/>
  <c r="DY814" i="10"/>
  <c r="BY892" i="10"/>
  <c r="DU892" i="10" s="1"/>
  <c r="DY892" i="10"/>
  <c r="CJ256" i="10"/>
  <c r="DT256" i="10" s="1"/>
  <c r="CB256" i="10"/>
  <c r="CF256" i="10" s="1"/>
  <c r="CJ130" i="10"/>
  <c r="CB130" i="10"/>
  <c r="CF130" i="10" s="1"/>
  <c r="CJ64" i="10"/>
  <c r="CB64" i="10"/>
  <c r="CF64" i="10" s="1"/>
  <c r="BY384" i="10"/>
  <c r="DU384" i="10" s="1"/>
  <c r="DY384" i="10"/>
  <c r="BY516" i="10"/>
  <c r="DU516" i="10" s="1"/>
  <c r="DY516" i="10"/>
  <c r="BY654" i="10"/>
  <c r="DU654" i="10" s="1"/>
  <c r="DY654" i="10"/>
  <c r="BY942" i="10"/>
  <c r="DU942" i="10" s="1"/>
  <c r="DY942" i="10"/>
  <c r="BY984" i="10"/>
  <c r="DU984" i="10" s="1"/>
  <c r="DY984" i="10"/>
  <c r="DY872" i="10"/>
  <c r="AQ183" i="10"/>
  <c r="DN482" i="10"/>
  <c r="BP482" i="10" s="1"/>
  <c r="DO482" i="10" s="1"/>
  <c r="DN973" i="10"/>
  <c r="BP973" i="10" s="1"/>
  <c r="DO973" i="10" s="1"/>
  <c r="BY943" i="10"/>
  <c r="DU943" i="10" s="1"/>
  <c r="AW521" i="10"/>
  <c r="AN916" i="10"/>
  <c r="CA278" i="10"/>
  <c r="CI122" i="10"/>
  <c r="CI69" i="10"/>
  <c r="AY476" i="10"/>
  <c r="CI476" i="10"/>
  <c r="AY348" i="10"/>
  <c r="CI348" i="10"/>
  <c r="CJ328" i="10"/>
  <c r="DT328" i="10" s="1"/>
  <c r="CB328" i="10"/>
  <c r="CF328" i="10" s="1"/>
  <c r="BY811" i="10"/>
  <c r="DU811" i="10" s="1"/>
  <c r="DY811" i="10"/>
  <c r="BY979" i="10"/>
  <c r="DU979" i="10" s="1"/>
  <c r="DY979" i="10"/>
  <c r="CJ176" i="10"/>
  <c r="CB176" i="10"/>
  <c r="CF176" i="10" s="1"/>
  <c r="CJ310" i="10"/>
  <c r="DT310" i="10" s="1"/>
  <c r="CB310" i="10"/>
  <c r="CF310" i="10" s="1"/>
  <c r="CJ190" i="10"/>
  <c r="DT190" i="10" s="1"/>
  <c r="CB190" i="10"/>
  <c r="AN766" i="10"/>
  <c r="DN872" i="10"/>
  <c r="BP872" i="10" s="1"/>
  <c r="AQ580" i="10"/>
  <c r="AQ552" i="10"/>
  <c r="BZ309" i="10"/>
  <c r="AY372" i="10"/>
  <c r="CB274" i="10"/>
  <c r="CF274" i="10" s="1"/>
  <c r="CI493" i="10"/>
  <c r="CI172" i="10"/>
  <c r="AY427" i="10"/>
  <c r="AY347" i="10"/>
  <c r="CI347" i="10"/>
  <c r="CI293" i="10"/>
  <c r="CJ348" i="10"/>
  <c r="CB348" i="10"/>
  <c r="CF348" i="10" s="1"/>
  <c r="BY544" i="10"/>
  <c r="DU544" i="10" s="1"/>
  <c r="DY544" i="10"/>
  <c r="BY772" i="10"/>
  <c r="DU772" i="10" s="1"/>
  <c r="DY772" i="10"/>
  <c r="BY826" i="10"/>
  <c r="DU826" i="10" s="1"/>
  <c r="DY826" i="10"/>
  <c r="CA476" i="10"/>
  <c r="AY345" i="10"/>
  <c r="CI345" i="10"/>
  <c r="CI423" i="10"/>
  <c r="AY178" i="10"/>
  <c r="CI178" i="10"/>
  <c r="CJ124" i="10"/>
  <c r="CB124" i="10"/>
  <c r="CF124" i="10" s="1"/>
  <c r="BY660" i="10"/>
  <c r="DU660" i="10" s="1"/>
  <c r="DY660" i="10"/>
  <c r="BY954" i="10"/>
  <c r="DU954" i="10" s="1"/>
  <c r="DY954" i="10"/>
  <c r="AQ387" i="10"/>
  <c r="DN402" i="10"/>
  <c r="BP402" i="10" s="1"/>
  <c r="DO402" i="10" s="1"/>
  <c r="DV472" i="10"/>
  <c r="DV802" i="10"/>
  <c r="AW756" i="10"/>
  <c r="DT958" i="10"/>
  <c r="DT64" i="10"/>
  <c r="DN256" i="10"/>
  <c r="BP256" i="10" s="1"/>
  <c r="DO256" i="10" s="1"/>
  <c r="BY693" i="10"/>
  <c r="DU693" i="10" s="1"/>
  <c r="DN510" i="10"/>
  <c r="BP510" i="10" s="1"/>
  <c r="DO510" i="10" s="1"/>
  <c r="DN936" i="10"/>
  <c r="BP936" i="10" s="1"/>
  <c r="DO936" i="10" s="1"/>
  <c r="AQ781" i="10"/>
  <c r="DN961" i="10"/>
  <c r="BP961" i="10" s="1"/>
  <c r="DO961" i="10" s="1"/>
  <c r="BZ148" i="10"/>
  <c r="CA294" i="10"/>
  <c r="CI294" i="10"/>
  <c r="CJ345" i="10"/>
  <c r="CB345" i="10"/>
  <c r="CF345" i="10" s="1"/>
  <c r="BY835" i="10"/>
  <c r="DU835" i="10" s="1"/>
  <c r="DY835" i="10"/>
  <c r="BY913" i="10"/>
  <c r="DU913" i="10" s="1"/>
  <c r="DY913" i="10"/>
  <c r="BY991" i="10"/>
  <c r="DU991" i="10" s="1"/>
  <c r="DY991" i="10"/>
  <c r="BY344" i="10"/>
  <c r="DU344" i="10" s="1"/>
  <c r="DY344" i="10"/>
  <c r="BY542" i="10"/>
  <c r="DU542" i="10" s="1"/>
  <c r="DY542" i="10"/>
  <c r="BY896" i="10"/>
  <c r="DU896" i="10" s="1"/>
  <c r="DY896" i="10"/>
  <c r="CI95" i="10"/>
  <c r="CJ244" i="10"/>
  <c r="CB244" i="10"/>
  <c r="CF244" i="10" s="1"/>
  <c r="CJ178" i="10"/>
  <c r="DT178" i="10" s="1"/>
  <c r="CB178" i="10"/>
  <c r="AY112" i="10"/>
  <c r="CI112" i="10"/>
  <c r="AW836" i="10"/>
  <c r="AW335" i="10"/>
  <c r="BX303" i="10"/>
  <c r="DT176" i="10"/>
  <c r="DV407" i="10"/>
  <c r="DN165" i="10"/>
  <c r="BP165" i="10" s="1"/>
  <c r="DO165" i="10" s="1"/>
  <c r="AQ940" i="10"/>
  <c r="BZ255" i="10"/>
  <c r="AW301" i="10"/>
  <c r="CI435" i="10"/>
  <c r="CI370" i="10"/>
  <c r="AY509" i="10"/>
  <c r="CI509" i="10"/>
  <c r="CJ294" i="10"/>
  <c r="CB294" i="10"/>
  <c r="CF294" i="10" s="1"/>
  <c r="BY778" i="10"/>
  <c r="DU778" i="10" s="1"/>
  <c r="DY778" i="10"/>
  <c r="BY928" i="10"/>
  <c r="DU928" i="10" s="1"/>
  <c r="DY928" i="10"/>
  <c r="BY989" i="10"/>
  <c r="DU989" i="10" s="1"/>
  <c r="DY989" i="10"/>
  <c r="CD285" i="10"/>
  <c r="CH285" i="10" s="1"/>
  <c r="CL285" i="10"/>
  <c r="CI176" i="10"/>
  <c r="AY298" i="10"/>
  <c r="CA298" i="10"/>
  <c r="CI298" i="10"/>
  <c r="AY232" i="10"/>
  <c r="CI232" i="10"/>
  <c r="CJ112" i="10"/>
  <c r="CB112" i="10"/>
  <c r="CF112" i="10" s="1"/>
  <c r="CJ34" i="10"/>
  <c r="DT34" i="10" s="1"/>
  <c r="CB34" i="10"/>
  <c r="CF34" i="10" s="1"/>
  <c r="BY252" i="10"/>
  <c r="DU252" i="10" s="1"/>
  <c r="DY252" i="10"/>
  <c r="BY624" i="10"/>
  <c r="DU624" i="10" s="1"/>
  <c r="DY624" i="10"/>
  <c r="BY672" i="10"/>
  <c r="DY672" i="10"/>
  <c r="BY912" i="10"/>
  <c r="DU912" i="10" s="1"/>
  <c r="DY912" i="10"/>
  <c r="BY960" i="10"/>
  <c r="DU960" i="10" s="1"/>
  <c r="DY960" i="10"/>
  <c r="BY996" i="10"/>
  <c r="DU996" i="10" s="1"/>
  <c r="DY996" i="10"/>
  <c r="DT167" i="10"/>
  <c r="DY742" i="10"/>
  <c r="DV641" i="10"/>
  <c r="DV874" i="10"/>
  <c r="DN979" i="10"/>
  <c r="BP979" i="10" s="1"/>
  <c r="CA467" i="10"/>
  <c r="DN991" i="10"/>
  <c r="BP991" i="10" s="1"/>
  <c r="DO991" i="10" s="1"/>
  <c r="CA839" i="10"/>
  <c r="AY390" i="10"/>
  <c r="CI390" i="10"/>
  <c r="CA293" i="10"/>
  <c r="CJ424" i="10"/>
  <c r="DT424" i="10" s="1"/>
  <c r="CB424" i="10"/>
  <c r="CF424" i="10" s="1"/>
  <c r="CJ285" i="10"/>
  <c r="CB285" i="10"/>
  <c r="CF285" i="10" s="1"/>
  <c r="BY841" i="10"/>
  <c r="DU841" i="10" s="1"/>
  <c r="DY841" i="10"/>
  <c r="BY925" i="10"/>
  <c r="DY925" i="10"/>
  <c r="BY997" i="10"/>
  <c r="DU997" i="10" s="1"/>
  <c r="DY997" i="10"/>
  <c r="BY938" i="10"/>
  <c r="DU938" i="10" s="1"/>
  <c r="DY938" i="10"/>
  <c r="CJ232" i="10"/>
  <c r="DT232" i="10" s="1"/>
  <c r="CB232" i="10"/>
  <c r="CF232" i="10" s="1"/>
  <c r="CL160" i="10"/>
  <c r="CD160" i="10"/>
  <c r="CH160" i="10" s="1"/>
  <c r="CA424" i="10"/>
  <c r="DV199" i="10"/>
  <c r="DV406" i="10"/>
  <c r="DN799" i="10"/>
  <c r="BP799" i="10" s="1"/>
  <c r="DO799" i="10" s="1"/>
  <c r="DT388" i="10"/>
  <c r="DN989" i="10"/>
  <c r="BP989" i="10" s="1"/>
  <c r="DO989" i="10" s="1"/>
  <c r="AN935" i="10"/>
  <c r="CD970" i="10"/>
  <c r="CH970" i="10" s="1"/>
  <c r="CD435" i="10"/>
  <c r="CH435" i="10" s="1"/>
  <c r="CI209" i="10"/>
  <c r="AY420" i="10"/>
  <c r="CI420" i="10"/>
  <c r="AY221" i="10"/>
  <c r="CI221" i="10"/>
  <c r="CJ270" i="10"/>
  <c r="CB270" i="10"/>
  <c r="CF270" i="10" s="1"/>
  <c r="BY556" i="10"/>
  <c r="DU556" i="10" s="1"/>
  <c r="DY556" i="10"/>
  <c r="BY844" i="10"/>
  <c r="DU844" i="10" s="1"/>
  <c r="DY844" i="10"/>
  <c r="CJ95" i="10"/>
  <c r="CB95" i="10"/>
  <c r="CF95" i="10" s="1"/>
  <c r="AY267" i="10"/>
  <c r="CI267" i="10"/>
  <c r="CD292" i="10"/>
  <c r="CH292" i="10" s="1"/>
  <c r="CL292" i="10"/>
  <c r="CJ160" i="10"/>
  <c r="DT160" i="10" s="1"/>
  <c r="CB160" i="10"/>
  <c r="CF160" i="10" s="1"/>
  <c r="BY558" i="10"/>
  <c r="DU558" i="10" s="1"/>
  <c r="DY558" i="10"/>
  <c r="BY918" i="10"/>
  <c r="DU918" i="10" s="1"/>
  <c r="DY918" i="10"/>
  <c r="BY966" i="10"/>
  <c r="DU966" i="10" s="1"/>
  <c r="DY966" i="10"/>
  <c r="BY1002" i="10"/>
  <c r="DU1002" i="10" s="1"/>
  <c r="DY1002" i="10"/>
  <c r="DT316" i="10"/>
  <c r="DN912" i="10"/>
  <c r="BP912" i="10" s="1"/>
  <c r="DO912" i="10" s="1"/>
  <c r="DN996" i="10"/>
  <c r="BP996" i="10" s="1"/>
  <c r="DO996" i="10" s="1"/>
  <c r="CD928" i="10"/>
  <c r="CH928" i="10" s="1"/>
  <c r="AY536" i="10"/>
  <c r="CI536" i="10"/>
  <c r="AY416" i="10"/>
  <c r="CI416" i="10"/>
  <c r="AY258" i="10"/>
  <c r="CI258" i="10"/>
  <c r="CJ406" i="10"/>
  <c r="DT406" i="10" s="1"/>
  <c r="CB406" i="10"/>
  <c r="CF406" i="10" s="1"/>
  <c r="BY847" i="10"/>
  <c r="DU847" i="10" s="1"/>
  <c r="DY847" i="10"/>
  <c r="BY949" i="10"/>
  <c r="DU949" i="10" s="1"/>
  <c r="DY949" i="10"/>
  <c r="BY1009" i="10"/>
  <c r="DU1009" i="10" s="1"/>
  <c r="DY1009" i="10"/>
  <c r="AN941" i="10"/>
  <c r="AW941" i="10"/>
  <c r="CJ344" i="10"/>
  <c r="CB344" i="10"/>
  <c r="CF344" i="10" s="1"/>
  <c r="BY944" i="10"/>
  <c r="DU944" i="10" s="1"/>
  <c r="DY944" i="10"/>
  <c r="CD82" i="10"/>
  <c r="CH82" i="10" s="1"/>
  <c r="CL82" i="10"/>
  <c r="BZ267" i="10"/>
  <c r="CI285" i="10"/>
  <c r="AN52" i="10"/>
  <c r="DN814" i="10"/>
  <c r="BP814" i="10" s="1"/>
  <c r="DO814" i="10" s="1"/>
  <c r="DN500" i="10"/>
  <c r="BP500" i="10" s="1"/>
  <c r="DO500" i="10" s="1"/>
  <c r="BZ467" i="10"/>
  <c r="DT294" i="10"/>
  <c r="BZ321" i="10"/>
  <c r="AY245" i="10"/>
  <c r="CD245" i="10" s="1"/>
  <c r="CH245" i="10" s="1"/>
  <c r="CI79" i="10"/>
  <c r="CI565" i="10"/>
  <c r="CI613" i="10"/>
  <c r="AY460" i="10"/>
  <c r="BZ460" i="10"/>
  <c r="CI460" i="10"/>
  <c r="AY404" i="10"/>
  <c r="CI404" i="10"/>
  <c r="CJ258" i="10"/>
  <c r="CB258" i="10"/>
  <c r="CF258" i="10" s="1"/>
  <c r="BY574" i="10"/>
  <c r="DU574" i="10" s="1"/>
  <c r="DY574" i="10"/>
  <c r="BY802" i="10"/>
  <c r="DU802" i="10" s="1"/>
  <c r="DY802" i="10"/>
  <c r="AY400" i="10"/>
  <c r="CI400" i="10"/>
  <c r="CA408" i="10"/>
  <c r="CD165" i="10"/>
  <c r="CH165" i="10" s="1"/>
  <c r="CL165" i="10"/>
  <c r="AN961" i="10"/>
  <c r="AW961" i="10"/>
  <c r="AY338" i="10"/>
  <c r="CI338" i="10"/>
  <c r="AY274" i="10"/>
  <c r="CI274" i="10"/>
  <c r="AY208" i="10"/>
  <c r="CI208" i="10"/>
  <c r="CJ154" i="10"/>
  <c r="CB154" i="10"/>
  <c r="CF154" i="10" s="1"/>
  <c r="CJ82" i="10"/>
  <c r="DT82" i="10" s="1"/>
  <c r="CB82" i="10"/>
  <c r="CF82" i="10" s="1"/>
  <c r="BY636" i="10"/>
  <c r="DU636" i="10" s="1"/>
  <c r="DY636" i="10"/>
  <c r="BY720" i="10"/>
  <c r="DU720" i="10" s="1"/>
  <c r="DY720" i="10"/>
  <c r="BY924" i="10"/>
  <c r="DU924" i="10" s="1"/>
  <c r="DY924" i="10"/>
  <c r="BY1008" i="10"/>
  <c r="DU1008" i="10" s="1"/>
  <c r="DY1008" i="10"/>
  <c r="CI292" i="10"/>
  <c r="DV512" i="10"/>
  <c r="DV740" i="10"/>
  <c r="DV776" i="10"/>
  <c r="CD259" i="10"/>
  <c r="CH259" i="10" s="1"/>
  <c r="CL259" i="10"/>
  <c r="CD162" i="10"/>
  <c r="CH162" i="10" s="1"/>
  <c r="CL162" i="10"/>
  <c r="CA443" i="10"/>
  <c r="AY279" i="10"/>
  <c r="CA255" i="10"/>
  <c r="CI56" i="10"/>
  <c r="CL87" i="10"/>
  <c r="CA384" i="10"/>
  <c r="CL196" i="10"/>
  <c r="CI84" i="10"/>
  <c r="CL197" i="10"/>
  <c r="CD197" i="10"/>
  <c r="CH197" i="10" s="1"/>
  <c r="BZ466" i="10"/>
  <c r="CI466" i="10"/>
  <c r="AY414" i="10"/>
  <c r="CI414" i="10"/>
  <c r="AY376" i="10"/>
  <c r="CI376" i="10"/>
  <c r="AY191" i="10"/>
  <c r="CI191" i="10"/>
  <c r="CJ162" i="10"/>
  <c r="CB162" i="10"/>
  <c r="CF162" i="10" s="1"/>
  <c r="CJ84" i="10"/>
  <c r="DT84" i="10" s="1"/>
  <c r="CB84" i="10"/>
  <c r="CF84" i="10" s="1"/>
  <c r="AY36" i="10"/>
  <c r="CI36" i="10"/>
  <c r="CJ262" i="10"/>
  <c r="CB262" i="10"/>
  <c r="CF262" i="10" s="1"/>
  <c r="CJ196" i="10"/>
  <c r="CB196" i="10"/>
  <c r="CF196" i="10" s="1"/>
  <c r="CJ100" i="10"/>
  <c r="CB100" i="10"/>
  <c r="CF100" i="10" s="1"/>
  <c r="CJ279" i="10"/>
  <c r="CB279" i="10"/>
  <c r="CF279" i="10" s="1"/>
  <c r="CJ183" i="10"/>
  <c r="DT183" i="10" s="1"/>
  <c r="CB183" i="10"/>
  <c r="CJ87" i="10"/>
  <c r="CB87" i="10"/>
  <c r="CF87" i="10" s="1"/>
  <c r="CJ302" i="10"/>
  <c r="CB302" i="10"/>
  <c r="CF302" i="10" s="1"/>
  <c r="CJ224" i="10"/>
  <c r="CB224" i="10"/>
  <c r="CF224" i="10" s="1"/>
  <c r="CJ140" i="10"/>
  <c r="CB140" i="10"/>
  <c r="CF140" i="10" s="1"/>
  <c r="CJ56" i="10"/>
  <c r="CB56" i="10"/>
  <c r="CF56" i="10" s="1"/>
  <c r="CL409" i="10"/>
  <c r="CD409" i="10"/>
  <c r="CH409" i="10" s="1"/>
  <c r="CD559" i="10"/>
  <c r="CH559" i="10" s="1"/>
  <c r="CL559" i="10"/>
  <c r="CJ487" i="10"/>
  <c r="CB487" i="10"/>
  <c r="CF487" i="10" s="1"/>
  <c r="CJ427" i="10"/>
  <c r="CB427" i="10"/>
  <c r="CF427" i="10" s="1"/>
  <c r="CJ367" i="10"/>
  <c r="CB367" i="10"/>
  <c r="CF367" i="10" s="1"/>
  <c r="CJ259" i="10"/>
  <c r="DT259" i="10" s="1"/>
  <c r="CB259" i="10"/>
  <c r="CF259" i="10" s="1"/>
  <c r="CA217" i="10"/>
  <c r="CI217" i="10"/>
  <c r="CJ169" i="10"/>
  <c r="CB169" i="10"/>
  <c r="CF169" i="10" s="1"/>
  <c r="CJ133" i="10"/>
  <c r="CB133" i="10"/>
  <c r="CF133" i="10" s="1"/>
  <c r="AY631" i="10"/>
  <c r="CI631" i="10"/>
  <c r="BZ553" i="10"/>
  <c r="CI553" i="10"/>
  <c r="AY319" i="10"/>
  <c r="CI319" i="10"/>
  <c r="CL903" i="10"/>
  <c r="CD903" i="10"/>
  <c r="CH903" i="10" s="1"/>
  <c r="DN56" i="10"/>
  <c r="BP56" i="10" s="1"/>
  <c r="DN460" i="10"/>
  <c r="BP460" i="10" s="1"/>
  <c r="DO460" i="10" s="1"/>
  <c r="CA140" i="10"/>
  <c r="CA196" i="10"/>
  <c r="BZ399" i="10"/>
  <c r="BZ84" i="10"/>
  <c r="BZ87" i="10"/>
  <c r="CA555" i="10"/>
  <c r="CA392" i="10"/>
  <c r="CL245" i="10"/>
  <c r="AY393" i="10"/>
  <c r="CD507" i="10"/>
  <c r="CH507" i="10" s="1"/>
  <c r="CL507" i="10"/>
  <c r="AY458" i="10"/>
  <c r="CI458" i="10"/>
  <c r="CD496" i="10"/>
  <c r="CH496" i="10" s="1"/>
  <c r="CL496" i="10"/>
  <c r="BZ414" i="10"/>
  <c r="AY101" i="10"/>
  <c r="CI101" i="10"/>
  <c r="CJ36" i="10"/>
  <c r="DT36" i="10" s="1"/>
  <c r="CB36" i="10"/>
  <c r="CF36" i="10" s="1"/>
  <c r="CJ47" i="10"/>
  <c r="CB47" i="10"/>
  <c r="CF47" i="10" s="1"/>
  <c r="AY250" i="10"/>
  <c r="CI250" i="10"/>
  <c r="CD184" i="10"/>
  <c r="CH184" i="10" s="1"/>
  <c r="CL184" i="10"/>
  <c r="CD94" i="10"/>
  <c r="CH94" i="10" s="1"/>
  <c r="CL94" i="10"/>
  <c r="AY273" i="10"/>
  <c r="CI273" i="10"/>
  <c r="AY159" i="10"/>
  <c r="CI159" i="10"/>
  <c r="AY218" i="10"/>
  <c r="CI218" i="10"/>
  <c r="CI188" i="10"/>
  <c r="CI489" i="10"/>
  <c r="CI136" i="10"/>
  <c r="CJ559" i="10"/>
  <c r="CB559" i="10"/>
  <c r="CF559" i="10" s="1"/>
  <c r="AY475" i="10"/>
  <c r="CI475" i="10"/>
  <c r="AY415" i="10"/>
  <c r="CI415" i="10"/>
  <c r="AY361" i="10"/>
  <c r="CI361" i="10"/>
  <c r="AY325" i="10"/>
  <c r="CI325" i="10"/>
  <c r="AY253" i="10"/>
  <c r="CI253" i="10"/>
  <c r="CJ217" i="10"/>
  <c r="DT217" i="10" s="1"/>
  <c r="CB217" i="10"/>
  <c r="CF217" i="10" s="1"/>
  <c r="CJ85" i="10"/>
  <c r="CB85" i="10"/>
  <c r="CF85" i="10" s="1"/>
  <c r="CJ631" i="10"/>
  <c r="DT631" i="10" s="1"/>
  <c r="CB631" i="10"/>
  <c r="CF631" i="10" s="1"/>
  <c r="CJ553" i="10"/>
  <c r="DT553" i="10" s="1"/>
  <c r="CB553" i="10"/>
  <c r="CF553" i="10" s="1"/>
  <c r="CJ493" i="10"/>
  <c r="CB493" i="10"/>
  <c r="CF493" i="10" s="1"/>
  <c r="AY433" i="10"/>
  <c r="CJ319" i="10"/>
  <c r="CB319" i="10"/>
  <c r="CF319" i="10" s="1"/>
  <c r="DN262" i="10"/>
  <c r="BP262" i="10" s="1"/>
  <c r="DO262" i="10" s="1"/>
  <c r="DN423" i="10"/>
  <c r="BP423" i="10" s="1"/>
  <c r="AY140" i="10"/>
  <c r="DV155" i="10"/>
  <c r="DV299" i="10"/>
  <c r="DV142" i="10"/>
  <c r="DN455" i="10"/>
  <c r="BP455" i="10" s="1"/>
  <c r="DO455" i="10" s="1"/>
  <c r="CD399" i="10"/>
  <c r="CH399" i="10" s="1"/>
  <c r="BZ895" i="10"/>
  <c r="AY84" i="10"/>
  <c r="CL84" i="10" s="1"/>
  <c r="BZ555" i="10"/>
  <c r="BZ346" i="10"/>
  <c r="CD370" i="10"/>
  <c r="CH370" i="10" s="1"/>
  <c r="CL370" i="10"/>
  <c r="AY402" i="10"/>
  <c r="CA402" i="10"/>
  <c r="CI402" i="10"/>
  <c r="AY483" i="10"/>
  <c r="CI483" i="10"/>
  <c r="AY422" i="10"/>
  <c r="CI422" i="10"/>
  <c r="CL209" i="10"/>
  <c r="CD209" i="10"/>
  <c r="CH209" i="10" s="1"/>
  <c r="AY366" i="10"/>
  <c r="CI366" i="10"/>
  <c r="CJ156" i="10"/>
  <c r="CB156" i="10"/>
  <c r="CF156" i="10" s="1"/>
  <c r="CJ250" i="10"/>
  <c r="CB250" i="10"/>
  <c r="CF250" i="10" s="1"/>
  <c r="CJ184" i="10"/>
  <c r="DT184" i="10" s="1"/>
  <c r="CB184" i="10"/>
  <c r="CF184" i="10" s="1"/>
  <c r="CJ94" i="10"/>
  <c r="DT94" i="10" s="1"/>
  <c r="CB94" i="10"/>
  <c r="CF94" i="10" s="1"/>
  <c r="CJ273" i="10"/>
  <c r="DT273" i="10" s="1"/>
  <c r="CB273" i="10"/>
  <c r="CF273" i="10" s="1"/>
  <c r="CJ159" i="10"/>
  <c r="DT159" i="10" s="1"/>
  <c r="CB159" i="10"/>
  <c r="CF159" i="10" s="1"/>
  <c r="CJ69" i="10"/>
  <c r="CB69" i="10"/>
  <c r="CF69" i="10" s="1"/>
  <c r="CJ218" i="10"/>
  <c r="DT218" i="10" s="1"/>
  <c r="CB218" i="10"/>
  <c r="CF218" i="10" s="1"/>
  <c r="CJ128" i="10"/>
  <c r="CB128" i="10"/>
  <c r="CF128" i="10" s="1"/>
  <c r="CJ50" i="10"/>
  <c r="CB50" i="10"/>
  <c r="CF50" i="10" s="1"/>
  <c r="CL887" i="10"/>
  <c r="CD887" i="10"/>
  <c r="CH887" i="10" s="1"/>
  <c r="CI196" i="10"/>
  <c r="CI87" i="10"/>
  <c r="CL625" i="10"/>
  <c r="CD625" i="10"/>
  <c r="CH625" i="10" s="1"/>
  <c r="AY547" i="10"/>
  <c r="CI547" i="10"/>
  <c r="CJ475" i="10"/>
  <c r="CB475" i="10"/>
  <c r="CF475" i="10" s="1"/>
  <c r="CJ415" i="10"/>
  <c r="CB415" i="10"/>
  <c r="CF415" i="10" s="1"/>
  <c r="CJ361" i="10"/>
  <c r="DT361" i="10" s="1"/>
  <c r="CB361" i="10"/>
  <c r="CF361" i="10" s="1"/>
  <c r="CJ325" i="10"/>
  <c r="CB325" i="10"/>
  <c r="CF325" i="10" s="1"/>
  <c r="CJ253" i="10"/>
  <c r="DT253" i="10" s="1"/>
  <c r="CB253" i="10"/>
  <c r="CF253" i="10" s="1"/>
  <c r="CJ163" i="10"/>
  <c r="CB163" i="10"/>
  <c r="CF163" i="10" s="1"/>
  <c r="CD127" i="10"/>
  <c r="CH127" i="10" s="1"/>
  <c r="CL127" i="10"/>
  <c r="CD79" i="10"/>
  <c r="CH79" i="10" s="1"/>
  <c r="CL79" i="10"/>
  <c r="AY619" i="10"/>
  <c r="CI619" i="10"/>
  <c r="CL481" i="10"/>
  <c r="CD481" i="10"/>
  <c r="CH481" i="10" s="1"/>
  <c r="CJ433" i="10"/>
  <c r="DT433" i="10" s="1"/>
  <c r="CB433" i="10"/>
  <c r="CF433" i="10" s="1"/>
  <c r="AY307" i="10"/>
  <c r="CL555" i="10"/>
  <c r="CD555" i="10"/>
  <c r="CH555" i="10" s="1"/>
  <c r="AY384" i="10"/>
  <c r="BZ384" i="10"/>
  <c r="CI384" i="10"/>
  <c r="DT749" i="10"/>
  <c r="DN321" i="10"/>
  <c r="BP321" i="10" s="1"/>
  <c r="DN559" i="10"/>
  <c r="BP559" i="10" s="1"/>
  <c r="CB171" i="10"/>
  <c r="CF171" i="10" s="1"/>
  <c r="AY346" i="10"/>
  <c r="AY392" i="10"/>
  <c r="AY167" i="10"/>
  <c r="CI167" i="10"/>
  <c r="AY488" i="10"/>
  <c r="CI488" i="10"/>
  <c r="CD381" i="10"/>
  <c r="CH381" i="10" s="1"/>
  <c r="CL381" i="10"/>
  <c r="AY179" i="10"/>
  <c r="CI179" i="10"/>
  <c r="CJ78" i="10"/>
  <c r="CB78" i="10"/>
  <c r="CF78" i="10" s="1"/>
  <c r="CD424" i="10"/>
  <c r="CH424" i="10" s="1"/>
  <c r="CL424" i="10"/>
  <c r="CD621" i="10"/>
  <c r="CH621" i="10" s="1"/>
  <c r="CL621" i="10"/>
  <c r="AY286" i="10"/>
  <c r="CA286" i="10"/>
  <c r="CI286" i="10"/>
  <c r="CD172" i="10"/>
  <c r="CH172" i="10" s="1"/>
  <c r="CL172" i="10"/>
  <c r="CD70" i="10"/>
  <c r="CH70" i="10" s="1"/>
  <c r="CL70" i="10"/>
  <c r="AY129" i="10"/>
  <c r="CI129" i="10"/>
  <c r="AY63" i="10"/>
  <c r="CI63" i="10"/>
  <c r="CL122" i="10"/>
  <c r="CD122" i="10"/>
  <c r="CH122" i="10" s="1"/>
  <c r="CI70" i="10"/>
  <c r="CI175" i="10"/>
  <c r="CI315" i="10"/>
  <c r="CI97" i="10"/>
  <c r="CJ625" i="10"/>
  <c r="CB625" i="10"/>
  <c r="CF625" i="10" s="1"/>
  <c r="CJ547" i="10"/>
  <c r="CB547" i="10"/>
  <c r="CF547" i="10" s="1"/>
  <c r="AY463" i="10"/>
  <c r="CI463" i="10"/>
  <c r="AY391" i="10"/>
  <c r="CI391" i="10"/>
  <c r="AY355" i="10"/>
  <c r="CI355" i="10"/>
  <c r="CL247" i="10"/>
  <c r="CD247" i="10"/>
  <c r="CH247" i="10" s="1"/>
  <c r="CJ211" i="10"/>
  <c r="CB211" i="10"/>
  <c r="CJ127" i="10"/>
  <c r="CB127" i="10"/>
  <c r="CF127" i="10" s="1"/>
  <c r="CJ79" i="10"/>
  <c r="DT79" i="10" s="1"/>
  <c r="CB79" i="10"/>
  <c r="CF79" i="10" s="1"/>
  <c r="CJ619" i="10"/>
  <c r="CB619" i="10"/>
  <c r="CF619" i="10" s="1"/>
  <c r="CJ541" i="10"/>
  <c r="CB541" i="10"/>
  <c r="CF541" i="10" s="1"/>
  <c r="AY421" i="10"/>
  <c r="CI421" i="10"/>
  <c r="CJ307" i="10"/>
  <c r="DT307" i="10" s="1"/>
  <c r="CB307" i="10"/>
  <c r="CF307" i="10" s="1"/>
  <c r="AY302" i="10"/>
  <c r="CI302" i="10"/>
  <c r="DN158" i="10"/>
  <c r="BP158" i="10" s="1"/>
  <c r="DT742" i="10"/>
  <c r="BZ246" i="10"/>
  <c r="CA798" i="10"/>
  <c r="DN464" i="10"/>
  <c r="BP464" i="10" s="1"/>
  <c r="DO464" i="10" s="1"/>
  <c r="CD430" i="10"/>
  <c r="CH430" i="10" s="1"/>
  <c r="BZ215" i="10"/>
  <c r="AY336" i="10"/>
  <c r="CA336" i="10"/>
  <c r="CI336" i="10"/>
  <c r="CD185" i="10"/>
  <c r="CH185" i="10" s="1"/>
  <c r="CL185" i="10"/>
  <c r="CD489" i="10"/>
  <c r="CH489" i="10" s="1"/>
  <c r="CL489" i="10"/>
  <c r="AY450" i="10"/>
  <c r="CI450" i="10"/>
  <c r="CD318" i="10"/>
  <c r="CH318" i="10" s="1"/>
  <c r="CL318" i="10"/>
  <c r="AY501" i="10"/>
  <c r="CI501" i="10"/>
  <c r="CA393" i="10"/>
  <c r="CJ252" i="10"/>
  <c r="DT252" i="10" s="1"/>
  <c r="CB252" i="10"/>
  <c r="CF252" i="10" s="1"/>
  <c r="CJ144" i="10"/>
  <c r="CB144" i="10"/>
  <c r="CF144" i="10" s="1"/>
  <c r="AY72" i="10"/>
  <c r="CI72" i="10"/>
  <c r="BZ376" i="10"/>
  <c r="CJ286" i="10"/>
  <c r="DT286" i="10" s="1"/>
  <c r="CB286" i="10"/>
  <c r="CF286" i="10" s="1"/>
  <c r="CJ238" i="10"/>
  <c r="CB238" i="10"/>
  <c r="CF238" i="10" s="1"/>
  <c r="CJ172" i="10"/>
  <c r="CB172" i="10"/>
  <c r="CF172" i="10" s="1"/>
  <c r="CJ70" i="10"/>
  <c r="DT70" i="10" s="1"/>
  <c r="CB70" i="10"/>
  <c r="CF70" i="10" s="1"/>
  <c r="CJ129" i="10"/>
  <c r="DT129" i="10" s="1"/>
  <c r="CB129" i="10"/>
  <c r="CF129" i="10" s="1"/>
  <c r="CJ63" i="10"/>
  <c r="CB63" i="10"/>
  <c r="CF63" i="10" s="1"/>
  <c r="CD1002" i="10"/>
  <c r="CH1002" i="10" s="1"/>
  <c r="CL1002" i="10"/>
  <c r="CJ212" i="10"/>
  <c r="CB212" i="10"/>
  <c r="CF212" i="10" s="1"/>
  <c r="CJ122" i="10"/>
  <c r="CB122" i="10"/>
  <c r="CF122" i="10" s="1"/>
  <c r="CI359" i="10"/>
  <c r="CI524" i="10"/>
  <c r="CI243" i="10"/>
  <c r="AY523" i="10"/>
  <c r="CI523" i="10"/>
  <c r="CJ463" i="10"/>
  <c r="DT463" i="10" s="1"/>
  <c r="CB463" i="10"/>
  <c r="CF463" i="10" s="1"/>
  <c r="CJ391" i="10"/>
  <c r="CB391" i="10"/>
  <c r="CF391" i="10" s="1"/>
  <c r="CJ355" i="10"/>
  <c r="CB355" i="10"/>
  <c r="CF355" i="10" s="1"/>
  <c r="CJ313" i="10"/>
  <c r="CB313" i="10"/>
  <c r="CF313" i="10" s="1"/>
  <c r="CJ247" i="10"/>
  <c r="DT247" i="10" s="1"/>
  <c r="CB247" i="10"/>
  <c r="CF247" i="10" s="1"/>
  <c r="CD205" i="10"/>
  <c r="CH205" i="10" s="1"/>
  <c r="CL205" i="10"/>
  <c r="CJ157" i="10"/>
  <c r="CB157" i="10"/>
  <c r="CF157" i="10" s="1"/>
  <c r="CL121" i="10"/>
  <c r="CD121" i="10"/>
  <c r="CH121" i="10" s="1"/>
  <c r="CI304" i="10"/>
  <c r="CI595" i="10"/>
  <c r="CD613" i="10"/>
  <c r="CH613" i="10" s="1"/>
  <c r="CL613" i="10"/>
  <c r="AY529" i="10"/>
  <c r="CJ481" i="10"/>
  <c r="CB481" i="10"/>
  <c r="CF481" i="10" s="1"/>
  <c r="CJ421" i="10"/>
  <c r="DT421" i="10" s="1"/>
  <c r="CB421" i="10"/>
  <c r="CF421" i="10" s="1"/>
  <c r="CD372" i="10"/>
  <c r="CH372" i="10" s="1"/>
  <c r="CL372" i="10"/>
  <c r="CJ53" i="10"/>
  <c r="DT53" i="10" s="1"/>
  <c r="CB53" i="10"/>
  <c r="CF53" i="10" s="1"/>
  <c r="DN651" i="10"/>
  <c r="BP651" i="10" s="1"/>
  <c r="DT522" i="10"/>
  <c r="DT748" i="10"/>
  <c r="DT604" i="10"/>
  <c r="DT434" i="10"/>
  <c r="DT262" i="10"/>
  <c r="DV353" i="10"/>
  <c r="DT991" i="10"/>
  <c r="DV958" i="10"/>
  <c r="DP958" i="10" s="1"/>
  <c r="BQ958" i="10" s="1"/>
  <c r="DQ958" i="10" s="1"/>
  <c r="DN159" i="10"/>
  <c r="BP159" i="10" s="1"/>
  <c r="DO159" i="10" s="1"/>
  <c r="DN946" i="10"/>
  <c r="BP946" i="10" s="1"/>
  <c r="DO946" i="10" s="1"/>
  <c r="BZ392" i="10"/>
  <c r="AY360" i="10"/>
  <c r="CI360" i="10"/>
  <c r="CD321" i="10"/>
  <c r="CH321" i="10" s="1"/>
  <c r="CL321" i="10"/>
  <c r="AY441" i="10"/>
  <c r="AY454" i="10"/>
  <c r="CI454" i="10"/>
  <c r="AY132" i="10"/>
  <c r="CI132" i="10"/>
  <c r="CJ72" i="10"/>
  <c r="DT72" i="10" s="1"/>
  <c r="CB72" i="10"/>
  <c r="AY280" i="10"/>
  <c r="CI280" i="10"/>
  <c r="AY142" i="10"/>
  <c r="CI142" i="10"/>
  <c r="CI114" i="10"/>
  <c r="CL243" i="10"/>
  <c r="CD243" i="10"/>
  <c r="CH243" i="10" s="1"/>
  <c r="CD123" i="10"/>
  <c r="CH123" i="10" s="1"/>
  <c r="CL123" i="10"/>
  <c r="CL57" i="10"/>
  <c r="CD57" i="10"/>
  <c r="CH57" i="10" s="1"/>
  <c r="AY278" i="10"/>
  <c r="CI278" i="10"/>
  <c r="CI94" i="10"/>
  <c r="AY607" i="10"/>
  <c r="CJ523" i="10"/>
  <c r="DT523" i="10" s="1"/>
  <c r="CB523" i="10"/>
  <c r="CF523" i="10" s="1"/>
  <c r="AY349" i="10"/>
  <c r="CI349" i="10"/>
  <c r="AY277" i="10"/>
  <c r="CI277" i="10"/>
  <c r="AY235" i="10"/>
  <c r="CI235" i="10"/>
  <c r="CJ205" i="10"/>
  <c r="DT205" i="10" s="1"/>
  <c r="CB205" i="10"/>
  <c r="CF205" i="10" s="1"/>
  <c r="AY151" i="10"/>
  <c r="CI151" i="10"/>
  <c r="CJ121" i="10"/>
  <c r="DT121" i="10" s="1"/>
  <c r="CB121" i="10"/>
  <c r="CF121" i="10" s="1"/>
  <c r="CJ613" i="10"/>
  <c r="DT613" i="10" s="1"/>
  <c r="CB613" i="10"/>
  <c r="CF613" i="10" s="1"/>
  <c r="CD469" i="10"/>
  <c r="CH469" i="10" s="1"/>
  <c r="CL469" i="10"/>
  <c r="CJ283" i="10"/>
  <c r="DT283" i="10" s="1"/>
  <c r="CB283" i="10"/>
  <c r="CF283" i="10" s="1"/>
  <c r="CJ42" i="10"/>
  <c r="DT42" i="10" s="1"/>
  <c r="CB42" i="10"/>
  <c r="CF42" i="10" s="1"/>
  <c r="CA262" i="10"/>
  <c r="AY262" i="10"/>
  <c r="CI262" i="10"/>
  <c r="AY100" i="10"/>
  <c r="CI100" i="10"/>
  <c r="AY224" i="10"/>
  <c r="CI224" i="10"/>
  <c r="DT85" i="10"/>
  <c r="DT750" i="10"/>
  <c r="DT736" i="10"/>
  <c r="BZ560" i="10"/>
  <c r="BZ56" i="10"/>
  <c r="CA302" i="10"/>
  <c r="DN286" i="10"/>
  <c r="BP286" i="10" s="1"/>
  <c r="DO286" i="10" s="1"/>
  <c r="CI555" i="10"/>
  <c r="BZ282" i="10"/>
  <c r="CL304" i="10"/>
  <c r="CD304" i="10"/>
  <c r="CH304" i="10" s="1"/>
  <c r="AY89" i="10"/>
  <c r="CI89" i="10"/>
  <c r="AY387" i="10"/>
  <c r="CJ240" i="10"/>
  <c r="DT240" i="10" s="1"/>
  <c r="CB240" i="10"/>
  <c r="CF240" i="10" s="1"/>
  <c r="CJ280" i="10"/>
  <c r="DT280" i="10" s="1"/>
  <c r="CB280" i="10"/>
  <c r="CF280" i="10" s="1"/>
  <c r="CJ142" i="10"/>
  <c r="CB142" i="10"/>
  <c r="CF142" i="10" s="1"/>
  <c r="CJ58" i="10"/>
  <c r="DT58" i="10" s="1"/>
  <c r="CB58" i="10"/>
  <c r="CF58" i="10" s="1"/>
  <c r="CL743" i="10"/>
  <c r="CD743" i="10"/>
  <c r="CH743" i="10" s="1"/>
  <c r="CJ243" i="10"/>
  <c r="CB243" i="10"/>
  <c r="CF243" i="10" s="1"/>
  <c r="CJ123" i="10"/>
  <c r="CB123" i="10"/>
  <c r="CF123" i="10" s="1"/>
  <c r="CD751" i="10"/>
  <c r="CH751" i="10" s="1"/>
  <c r="CL751" i="10"/>
  <c r="CJ278" i="10"/>
  <c r="DT278" i="10" s="1"/>
  <c r="CB278" i="10"/>
  <c r="CF278" i="10" s="1"/>
  <c r="CJ188" i="10"/>
  <c r="CB188" i="10"/>
  <c r="CF188" i="10" s="1"/>
  <c r="CJ116" i="10"/>
  <c r="CB116" i="10"/>
  <c r="CF116" i="10" s="1"/>
  <c r="CL911" i="10"/>
  <c r="CD911" i="10"/>
  <c r="CH911" i="10" s="1"/>
  <c r="CI287" i="10"/>
  <c r="CI259" i="10"/>
  <c r="CI91" i="10"/>
  <c r="AY553" i="10"/>
  <c r="CI440" i="10"/>
  <c r="CD305" i="10"/>
  <c r="CH305" i="10" s="1"/>
  <c r="CL305" i="10"/>
  <c r="AY667" i="10"/>
  <c r="CI667" i="10"/>
  <c r="CJ607" i="10"/>
  <c r="CB607" i="10"/>
  <c r="CF607" i="10" s="1"/>
  <c r="CL511" i="10"/>
  <c r="CD511" i="10"/>
  <c r="CH511" i="10" s="1"/>
  <c r="CJ451" i="10"/>
  <c r="CB451" i="10"/>
  <c r="CF451" i="10" s="1"/>
  <c r="CJ385" i="10"/>
  <c r="DT385" i="10" s="1"/>
  <c r="CB385" i="10"/>
  <c r="CF385" i="10" s="1"/>
  <c r="CJ277" i="10"/>
  <c r="DT277" i="10" s="1"/>
  <c r="CB277" i="10"/>
  <c r="CF277" i="10" s="1"/>
  <c r="CJ235" i="10"/>
  <c r="DT235" i="10" s="1"/>
  <c r="CB235" i="10"/>
  <c r="CF235" i="10" s="1"/>
  <c r="CJ151" i="10"/>
  <c r="CB151" i="10"/>
  <c r="CF151" i="10" s="1"/>
  <c r="AY115" i="10"/>
  <c r="CI115" i="10"/>
  <c r="CA559" i="10"/>
  <c r="CI601" i="10"/>
  <c r="AY601" i="10"/>
  <c r="CJ529" i="10"/>
  <c r="DT529" i="10" s="1"/>
  <c r="CB529" i="10"/>
  <c r="CF529" i="10" s="1"/>
  <c r="CJ409" i="10"/>
  <c r="CB409" i="10"/>
  <c r="CF409" i="10" s="1"/>
  <c r="CD181" i="10"/>
  <c r="CH181" i="10" s="1"/>
  <c r="CL181" i="10"/>
  <c r="DT871" i="10"/>
  <c r="DT843" i="10"/>
  <c r="DT793" i="10"/>
  <c r="DT700" i="10"/>
  <c r="DN867" i="10"/>
  <c r="BP867" i="10" s="1"/>
  <c r="DO867" i="10" s="1"/>
  <c r="DN218" i="10"/>
  <c r="BP218" i="10" s="1"/>
  <c r="DO218" i="10" s="1"/>
  <c r="DN240" i="10"/>
  <c r="BP240" i="10" s="1"/>
  <c r="DV796" i="10"/>
  <c r="DV868" i="10"/>
  <c r="BZ443" i="10"/>
  <c r="BZ279" i="10"/>
  <c r="DT1001" i="10"/>
  <c r="DT930" i="10"/>
  <c r="DT163" i="10"/>
  <c r="BZ302" i="10"/>
  <c r="BZ224" i="10"/>
  <c r="AY282" i="10"/>
  <c r="CL282" i="10" s="1"/>
  <c r="AY442" i="10"/>
  <c r="CI442" i="10"/>
  <c r="AY532" i="10"/>
  <c r="CI532" i="10"/>
  <c r="AY276" i="10"/>
  <c r="BZ276" i="10"/>
  <c r="CI276" i="10"/>
  <c r="AY281" i="10"/>
  <c r="CI281" i="10"/>
  <c r="AY215" i="10"/>
  <c r="AY186" i="10"/>
  <c r="CI186" i="10"/>
  <c r="CL114" i="10"/>
  <c r="CD114" i="10"/>
  <c r="CH114" i="10" s="1"/>
  <c r="CJ66" i="10"/>
  <c r="DT66" i="10" s="1"/>
  <c r="CB66" i="10"/>
  <c r="CF66" i="10" s="1"/>
  <c r="CD220" i="10"/>
  <c r="CH220" i="10" s="1"/>
  <c r="CL220" i="10"/>
  <c r="CL136" i="10"/>
  <c r="CD136" i="10"/>
  <c r="CH136" i="10" s="1"/>
  <c r="AY46" i="10"/>
  <c r="CI46" i="10"/>
  <c r="AY231" i="10"/>
  <c r="CI231" i="10"/>
  <c r="AY332" i="10"/>
  <c r="CI332" i="10"/>
  <c r="AY242" i="10"/>
  <c r="BZ242" i="10"/>
  <c r="CI242" i="10"/>
  <c r="CD182" i="10"/>
  <c r="CH182" i="10" s="1"/>
  <c r="CL182" i="10"/>
  <c r="AY110" i="10"/>
  <c r="CI110" i="10"/>
  <c r="CA414" i="10"/>
  <c r="CI399" i="10"/>
  <c r="CI182" i="10"/>
  <c r="CJ667" i="10"/>
  <c r="DT667" i="10" s="1"/>
  <c r="CB667" i="10"/>
  <c r="CF667" i="10" s="1"/>
  <c r="CD595" i="10"/>
  <c r="CH595" i="10" s="1"/>
  <c r="CL595" i="10"/>
  <c r="CJ511" i="10"/>
  <c r="DT511" i="10" s="1"/>
  <c r="CB511" i="10"/>
  <c r="CF511" i="10" s="1"/>
  <c r="AY379" i="10"/>
  <c r="CI379" i="10"/>
  <c r="CJ349" i="10"/>
  <c r="DT349" i="10" s="1"/>
  <c r="CB349" i="10"/>
  <c r="CF349" i="10" s="1"/>
  <c r="AY271" i="10"/>
  <c r="CD229" i="10"/>
  <c r="CH229" i="10" s="1"/>
  <c r="CL229" i="10"/>
  <c r="CJ115" i="10"/>
  <c r="CB115" i="10"/>
  <c r="CF115" i="10" s="1"/>
  <c r="CJ601" i="10"/>
  <c r="CB601" i="10"/>
  <c r="CF601" i="10" s="1"/>
  <c r="CJ469" i="10"/>
  <c r="CB469" i="10"/>
  <c r="CF469" i="10" s="1"/>
  <c r="CJ181" i="10"/>
  <c r="DT181" i="10" s="1"/>
  <c r="CB181" i="10"/>
  <c r="CF181" i="10" s="1"/>
  <c r="CL183" i="10"/>
  <c r="CD183" i="10"/>
  <c r="CH183" i="10" s="1"/>
  <c r="DN553" i="10"/>
  <c r="BP553" i="10" s="1"/>
  <c r="DN278" i="10"/>
  <c r="BP278" i="10" s="1"/>
  <c r="DO278" i="10" s="1"/>
  <c r="DT409" i="10"/>
  <c r="DN851" i="10"/>
  <c r="BP851" i="10" s="1"/>
  <c r="DO851" i="10" s="1"/>
  <c r="DT427" i="10"/>
  <c r="BZ100" i="10"/>
  <c r="CD56" i="10"/>
  <c r="CH56" i="10" s="1"/>
  <c r="AY340" i="10"/>
  <c r="CI340" i="10"/>
  <c r="CJ186" i="10"/>
  <c r="DT186" i="10" s="1"/>
  <c r="CB186" i="10"/>
  <c r="CF186" i="10" s="1"/>
  <c r="CJ114" i="10"/>
  <c r="DT114" i="10" s="1"/>
  <c r="CB114" i="10"/>
  <c r="CF114" i="10" s="1"/>
  <c r="CD60" i="10"/>
  <c r="CH60" i="10" s="1"/>
  <c r="CL60" i="10"/>
  <c r="AY77" i="10"/>
  <c r="CI77" i="10"/>
  <c r="CJ220" i="10"/>
  <c r="DT220" i="10" s="1"/>
  <c r="CB220" i="10"/>
  <c r="CF220" i="10" s="1"/>
  <c r="CJ136" i="10"/>
  <c r="CB136" i="10"/>
  <c r="CF136" i="10" s="1"/>
  <c r="CA245" i="10"/>
  <c r="CJ231" i="10"/>
  <c r="DT231" i="10" s="1"/>
  <c r="CB231" i="10"/>
  <c r="CF231" i="10" s="1"/>
  <c r="CJ99" i="10"/>
  <c r="DT99" i="10" s="1"/>
  <c r="CB99" i="10"/>
  <c r="CF99" i="10" s="1"/>
  <c r="CJ332" i="10"/>
  <c r="DT332" i="10" s="1"/>
  <c r="CB332" i="10"/>
  <c r="CF332" i="10" s="1"/>
  <c r="CJ242" i="10"/>
  <c r="CB242" i="10"/>
  <c r="CF242" i="10" s="1"/>
  <c r="CJ182" i="10"/>
  <c r="CB182" i="10"/>
  <c r="CF182" i="10" s="1"/>
  <c r="CJ110" i="10"/>
  <c r="DT110" i="10" s="1"/>
  <c r="CB110" i="10"/>
  <c r="CF110" i="10" s="1"/>
  <c r="CI507" i="10"/>
  <c r="CI185" i="10"/>
  <c r="AY397" i="10"/>
  <c r="CI397" i="10"/>
  <c r="CI123" i="10"/>
  <c r="CD655" i="10"/>
  <c r="CH655" i="10" s="1"/>
  <c r="CL655" i="10"/>
  <c r="CJ595" i="10"/>
  <c r="CB595" i="10"/>
  <c r="CF595" i="10" s="1"/>
  <c r="AY439" i="10"/>
  <c r="CI439" i="10"/>
  <c r="CJ379" i="10"/>
  <c r="CB379" i="10"/>
  <c r="CF379" i="10" s="1"/>
  <c r="CJ229" i="10"/>
  <c r="DT229" i="10" s="1"/>
  <c r="CB229" i="10"/>
  <c r="CF229" i="10" s="1"/>
  <c r="CJ199" i="10"/>
  <c r="DT199" i="10" s="1"/>
  <c r="CB199" i="10"/>
  <c r="CF199" i="10" s="1"/>
  <c r="CJ145" i="10"/>
  <c r="DT145" i="10" s="1"/>
  <c r="CB145" i="10"/>
  <c r="CF145" i="10" s="1"/>
  <c r="AY661" i="10"/>
  <c r="CI661" i="10"/>
  <c r="CD577" i="10"/>
  <c r="CH577" i="10" s="1"/>
  <c r="CL577" i="10"/>
  <c r="CJ517" i="10"/>
  <c r="DT517" i="10" s="1"/>
  <c r="CB517" i="10"/>
  <c r="CF517" i="10" s="1"/>
  <c r="CI447" i="10"/>
  <c r="DT877" i="10"/>
  <c r="DT647" i="10"/>
  <c r="DN191" i="10"/>
  <c r="BP191" i="10" s="1"/>
  <c r="DN607" i="10"/>
  <c r="BP607" i="10" s="1"/>
  <c r="DO607" i="10" s="1"/>
  <c r="DN212" i="10"/>
  <c r="BP212" i="10" s="1"/>
  <c r="DT87" i="10"/>
  <c r="DT169" i="10"/>
  <c r="DT211" i="10"/>
  <c r="CA346" i="10"/>
  <c r="BZ140" i="10"/>
  <c r="DT901" i="10"/>
  <c r="DN283" i="10"/>
  <c r="BP283" i="10" s="1"/>
  <c r="DO283" i="10" s="1"/>
  <c r="CA87" i="10"/>
  <c r="CL315" i="10"/>
  <c r="CD315" i="10"/>
  <c r="CH315" i="10" s="1"/>
  <c r="AY374" i="10"/>
  <c r="CI374" i="10"/>
  <c r="CL359" i="10"/>
  <c r="CD359" i="10"/>
  <c r="CH359" i="10" s="1"/>
  <c r="AY377" i="10"/>
  <c r="CI377" i="10"/>
  <c r="AY417" i="10"/>
  <c r="CI417" i="10"/>
  <c r="AY531" i="10"/>
  <c r="CI531" i="10"/>
  <c r="AY312" i="10"/>
  <c r="CI312" i="10"/>
  <c r="AY168" i="10"/>
  <c r="CI168" i="10"/>
  <c r="CJ60" i="10"/>
  <c r="DT60" i="10" s="1"/>
  <c r="CB60" i="10"/>
  <c r="CF60" i="10" s="1"/>
  <c r="CJ77" i="10"/>
  <c r="DT77" i="10" s="1"/>
  <c r="CB77" i="10"/>
  <c r="CF77" i="10" s="1"/>
  <c r="AY214" i="10"/>
  <c r="CI214" i="10"/>
  <c r="AY118" i="10"/>
  <c r="CI118" i="10"/>
  <c r="AY201" i="10"/>
  <c r="CI201" i="10"/>
  <c r="AY93" i="10"/>
  <c r="CI93" i="10"/>
  <c r="AY146" i="10"/>
  <c r="CI146" i="10"/>
  <c r="CI471" i="10"/>
  <c r="CI197" i="10"/>
  <c r="AY187" i="10"/>
  <c r="CI187" i="10"/>
  <c r="CJ655" i="10"/>
  <c r="DT655" i="10" s="1"/>
  <c r="CB655" i="10"/>
  <c r="CF655" i="10" s="1"/>
  <c r="AY571" i="10"/>
  <c r="CI571" i="10"/>
  <c r="AY499" i="10"/>
  <c r="CJ439" i="10"/>
  <c r="CB439" i="10"/>
  <c r="CF439" i="10" s="1"/>
  <c r="AY373" i="10"/>
  <c r="CI373" i="10"/>
  <c r="AY343" i="10"/>
  <c r="CJ271" i="10"/>
  <c r="CB271" i="10"/>
  <c r="CF271" i="10" s="1"/>
  <c r="AY223" i="10"/>
  <c r="CI223" i="10"/>
  <c r="CL193" i="10"/>
  <c r="CD193" i="10"/>
  <c r="CH193" i="10" s="1"/>
  <c r="CJ97" i="10"/>
  <c r="CB97" i="10"/>
  <c r="CF97" i="10" s="1"/>
  <c r="CJ661" i="10"/>
  <c r="CB661" i="10"/>
  <c r="CF661" i="10" s="1"/>
  <c r="CJ577" i="10"/>
  <c r="CB577" i="10"/>
  <c r="CF577" i="10" s="1"/>
  <c r="AY505" i="10"/>
  <c r="CJ457" i="10"/>
  <c r="DT457" i="10" s="1"/>
  <c r="CB457" i="10"/>
  <c r="CF457" i="10" s="1"/>
  <c r="AY331" i="10"/>
  <c r="DT68" i="10"/>
  <c r="DT47" i="10"/>
  <c r="BZ196" i="10"/>
  <c r="DT547" i="10"/>
  <c r="DN675" i="10"/>
  <c r="BP675" i="10" s="1"/>
  <c r="DO675" i="10" s="1"/>
  <c r="DN122" i="10"/>
  <c r="BP122" i="10" s="1"/>
  <c r="DO122" i="10" s="1"/>
  <c r="DT69" i="10"/>
  <c r="DT151" i="10"/>
  <c r="CA282" i="10"/>
  <c r="DT904" i="10"/>
  <c r="DT279" i="10"/>
  <c r="CA171" i="10"/>
  <c r="DN252" i="10"/>
  <c r="BP252" i="10" s="1"/>
  <c r="DO252" i="10" s="1"/>
  <c r="AY465" i="10"/>
  <c r="CI465" i="10"/>
  <c r="AY288" i="10"/>
  <c r="CA288" i="10"/>
  <c r="CI288" i="10"/>
  <c r="AY512" i="10"/>
  <c r="CI512" i="10"/>
  <c r="CL294" i="10"/>
  <c r="CD294" i="10"/>
  <c r="CH294" i="10" s="1"/>
  <c r="CJ168" i="10"/>
  <c r="CB168" i="10"/>
  <c r="CF168" i="10" s="1"/>
  <c r="CJ102" i="10"/>
  <c r="DT102" i="10" s="1"/>
  <c r="CB102" i="10"/>
  <c r="CF102" i="10" s="1"/>
  <c r="CL622" i="10"/>
  <c r="CD622" i="10"/>
  <c r="CH622" i="10" s="1"/>
  <c r="CJ214" i="10"/>
  <c r="DT214" i="10" s="1"/>
  <c r="CB214" i="10"/>
  <c r="CF214" i="10" s="1"/>
  <c r="CJ118" i="10"/>
  <c r="CB118" i="10"/>
  <c r="CF118" i="10" s="1"/>
  <c r="CJ40" i="10"/>
  <c r="CB40" i="10"/>
  <c r="CF40" i="10" s="1"/>
  <c r="CJ201" i="10"/>
  <c r="CB201" i="10"/>
  <c r="CF201" i="10" s="1"/>
  <c r="CJ320" i="10"/>
  <c r="CB320" i="10"/>
  <c r="CF320" i="10" s="1"/>
  <c r="CJ236" i="10"/>
  <c r="DT236" i="10" s="1"/>
  <c r="CB236" i="10"/>
  <c r="CF236" i="10" s="1"/>
  <c r="CJ146" i="10"/>
  <c r="CB146" i="10"/>
  <c r="CF146" i="10" s="1"/>
  <c r="CJ92" i="10"/>
  <c r="CB92" i="10"/>
  <c r="CF92" i="10" s="1"/>
  <c r="CA276" i="10"/>
  <c r="CI496" i="10"/>
  <c r="AY649" i="10"/>
  <c r="CI649" i="10"/>
  <c r="CJ571" i="10"/>
  <c r="CB571" i="10"/>
  <c r="CF571" i="10" s="1"/>
  <c r="CJ499" i="10"/>
  <c r="CB499" i="10"/>
  <c r="CF499" i="10" s="1"/>
  <c r="CJ373" i="10"/>
  <c r="CB373" i="10"/>
  <c r="CF373" i="10" s="1"/>
  <c r="CJ343" i="10"/>
  <c r="CB343" i="10"/>
  <c r="CF343" i="10" s="1"/>
  <c r="CJ223" i="10"/>
  <c r="DT223" i="10" s="1"/>
  <c r="CB223" i="10"/>
  <c r="CF223" i="10" s="1"/>
  <c r="CJ193" i="10"/>
  <c r="CB193" i="10"/>
  <c r="CF193" i="10" s="1"/>
  <c r="CJ139" i="10"/>
  <c r="CB139" i="10"/>
  <c r="CF139" i="10" s="1"/>
  <c r="AY637" i="10"/>
  <c r="CI637" i="10"/>
  <c r="AY445" i="10"/>
  <c r="CI445" i="10"/>
  <c r="CJ649" i="10"/>
  <c r="DT649" i="10" s="1"/>
  <c r="CB649" i="10"/>
  <c r="CF649" i="10" s="1"/>
  <c r="AY487" i="10"/>
  <c r="CI487" i="10"/>
  <c r="AY367" i="10"/>
  <c r="CI367" i="10"/>
  <c r="AY217" i="10"/>
  <c r="AY133" i="10"/>
  <c r="CI133" i="10"/>
  <c r="CJ91" i="10"/>
  <c r="DT91" i="10" s="1"/>
  <c r="CB91" i="10"/>
  <c r="CF91" i="10" s="1"/>
  <c r="CJ565" i="10"/>
  <c r="CB565" i="10"/>
  <c r="CF565" i="10" s="1"/>
  <c r="CJ505" i="10"/>
  <c r="CB505" i="10"/>
  <c r="CF505" i="10" s="1"/>
  <c r="CJ445" i="10"/>
  <c r="CB445" i="10"/>
  <c r="CF445" i="10" s="1"/>
  <c r="CJ331" i="10"/>
  <c r="CB331" i="10"/>
  <c r="CF331" i="10" s="1"/>
  <c r="DT826" i="10"/>
  <c r="DV697" i="10"/>
  <c r="DV632" i="10"/>
  <c r="DV619" i="10"/>
  <c r="DT799" i="10"/>
  <c r="DT320" i="10"/>
  <c r="DN754" i="10"/>
  <c r="BP754" i="10" s="1"/>
  <c r="DT194" i="10"/>
  <c r="DN681" i="10"/>
  <c r="BP681" i="10" s="1"/>
  <c r="DN1005" i="10"/>
  <c r="BP1005" i="10" s="1"/>
  <c r="DO1005" i="10" s="1"/>
  <c r="DU23" i="10"/>
  <c r="DK18" i="10"/>
  <c r="DU24" i="10"/>
  <c r="DK19" i="10"/>
  <c r="DV932" i="10"/>
  <c r="DV431" i="10"/>
  <c r="DV497" i="10"/>
  <c r="DV866" i="10"/>
  <c r="DV688" i="10"/>
  <c r="DV247" i="10"/>
  <c r="DV350" i="10"/>
  <c r="DP350" i="10" s="1"/>
  <c r="BQ350" i="10" s="1"/>
  <c r="DV412" i="10"/>
  <c r="DV419" i="10"/>
  <c r="DV207" i="10"/>
  <c r="DV383" i="10"/>
  <c r="DV328" i="10"/>
  <c r="DV189" i="10"/>
  <c r="DP189" i="10" s="1"/>
  <c r="BQ189" i="10" s="1"/>
  <c r="DV655" i="10"/>
  <c r="DV426" i="10"/>
  <c r="DP426" i="10" s="1"/>
  <c r="BQ426" i="10" s="1"/>
  <c r="DQ426" i="10" s="1"/>
  <c r="DV268" i="10"/>
  <c r="AQ748" i="10"/>
  <c r="AN842" i="10"/>
  <c r="DV933" i="10"/>
  <c r="AY1006" i="10"/>
  <c r="DT658" i="10"/>
  <c r="AN501" i="10"/>
  <c r="AY260" i="10"/>
  <c r="CL260" i="10" s="1"/>
  <c r="DC388" i="10"/>
  <c r="DC532" i="10"/>
  <c r="DC265" i="10"/>
  <c r="DV361" i="10"/>
  <c r="DV310" i="10"/>
  <c r="DV478" i="10"/>
  <c r="DV511" i="10"/>
  <c r="DV508" i="10"/>
  <c r="DV710" i="10"/>
  <c r="DV644" i="10"/>
  <c r="DV857" i="10"/>
  <c r="DP857" i="10" s="1"/>
  <c r="BQ857" i="10" s="1"/>
  <c r="DV275" i="10"/>
  <c r="DP275" i="10" s="1"/>
  <c r="BQ275" i="10" s="1"/>
  <c r="DQ275" i="10" s="1"/>
  <c r="DC277" i="10"/>
  <c r="DV277" i="10" s="1"/>
  <c r="DV635" i="10"/>
  <c r="DV707" i="10"/>
  <c r="DC124" i="10"/>
  <c r="DV124" i="10" s="1"/>
  <c r="DY675" i="10"/>
  <c r="DU199" i="10"/>
  <c r="DV553" i="10"/>
  <c r="DP553" i="10" s="1"/>
  <c r="BQ553" i="10" s="1"/>
  <c r="DQ553" i="10" s="1"/>
  <c r="DV658" i="10"/>
  <c r="DV842" i="10"/>
  <c r="CU55" i="10"/>
  <c r="DV442" i="10"/>
  <c r="AQ764" i="10"/>
  <c r="AY437" i="10"/>
  <c r="DV517" i="10"/>
  <c r="DV684" i="10"/>
  <c r="DV111" i="10"/>
  <c r="DC73" i="10"/>
  <c r="DV170" i="10"/>
  <c r="AW338" i="10"/>
  <c r="AW976" i="10"/>
  <c r="AW453" i="10"/>
  <c r="DV194" i="10"/>
  <c r="DP194" i="10" s="1"/>
  <c r="BQ194" i="10" s="1"/>
  <c r="DC292" i="10"/>
  <c r="DV292" i="10" s="1"/>
  <c r="DP292" i="10" s="1"/>
  <c r="BQ292" i="10" s="1"/>
  <c r="DC436" i="10"/>
  <c r="DV436" i="10" s="1"/>
  <c r="DC580" i="10"/>
  <c r="DC664" i="10"/>
  <c r="DC808" i="10"/>
  <c r="AW102" i="10"/>
  <c r="AW876" i="10"/>
  <c r="DY421" i="10"/>
  <c r="AQ160" i="10"/>
  <c r="DC241" i="10"/>
  <c r="DV758" i="10"/>
  <c r="DT605" i="10"/>
  <c r="DT158" i="10"/>
  <c r="DT116" i="10"/>
  <c r="AN20" i="10"/>
  <c r="DT637" i="10"/>
  <c r="DT645" i="10"/>
  <c r="DT651" i="10"/>
  <c r="DT507" i="10"/>
  <c r="AW351" i="10"/>
  <c r="AW174" i="10"/>
  <c r="DY696" i="10"/>
  <c r="DV974" i="10"/>
  <c r="DY937" i="10"/>
  <c r="AQ575" i="10"/>
  <c r="CA604" i="10"/>
  <c r="DC145" i="10"/>
  <c r="DV145" i="10" s="1"/>
  <c r="DV875" i="10"/>
  <c r="DV680" i="10"/>
  <c r="DN937" i="10"/>
  <c r="BP937" i="10" s="1"/>
  <c r="DO937" i="10" s="1"/>
  <c r="CD790" i="10"/>
  <c r="CH790" i="10" s="1"/>
  <c r="CL790" i="10"/>
  <c r="DV218" i="10"/>
  <c r="DT482" i="10"/>
  <c r="CL938" i="10"/>
  <c r="CD938" i="10"/>
  <c r="CH938" i="10" s="1"/>
  <c r="DT571" i="10"/>
  <c r="AN172" i="10"/>
  <c r="DC104" i="10"/>
  <c r="CD320" i="10"/>
  <c r="CH320" i="10" s="1"/>
  <c r="CL320" i="10"/>
  <c r="CD951" i="10"/>
  <c r="CH951" i="10" s="1"/>
  <c r="CL951" i="10"/>
  <c r="DT701" i="10"/>
  <c r="DV727" i="10"/>
  <c r="DV799" i="10"/>
  <c r="DV692" i="10"/>
  <c r="AY875" i="10"/>
  <c r="DV980" i="10"/>
  <c r="AN425" i="10"/>
  <c r="CL513" i="10"/>
  <c r="CD513" i="10"/>
  <c r="CH513" i="10" s="1"/>
  <c r="CL992" i="10"/>
  <c r="CD992" i="10"/>
  <c r="CH992" i="10" s="1"/>
  <c r="AQ982" i="10"/>
  <c r="AW957" i="10"/>
  <c r="AN957" i="10"/>
  <c r="AN886" i="10"/>
  <c r="AW886" i="10"/>
  <c r="DT300" i="10"/>
  <c r="DT948" i="10"/>
  <c r="AQ591" i="10"/>
  <c r="DN284" i="10"/>
  <c r="BP284" i="10" s="1"/>
  <c r="DO284" i="10" s="1"/>
  <c r="AN892" i="10"/>
  <c r="AW892" i="10"/>
  <c r="AW725" i="10"/>
  <c r="AW768" i="10"/>
  <c r="AN353" i="10"/>
  <c r="AN893" i="10"/>
  <c r="AW893" i="10"/>
  <c r="DV439" i="10"/>
  <c r="DV425" i="10"/>
  <c r="DV677" i="10"/>
  <c r="AW82" i="10"/>
  <c r="CA49" i="10"/>
  <c r="AW130" i="10"/>
  <c r="ED667" i="10"/>
  <c r="DV239" i="10"/>
  <c r="DV356" i="10"/>
  <c r="DP356" i="10" s="1"/>
  <c r="BQ356" i="10" s="1"/>
  <c r="DV398" i="10"/>
  <c r="DV566" i="10"/>
  <c r="DV535" i="10"/>
  <c r="DV347" i="10"/>
  <c r="DV854" i="10"/>
  <c r="DV779" i="10"/>
  <c r="DV851" i="10"/>
  <c r="DP851" i="10" s="1"/>
  <c r="BQ851" i="10" s="1"/>
  <c r="DQ851" i="10" s="1"/>
  <c r="DV817" i="10"/>
  <c r="DP817" i="10" s="1"/>
  <c r="BQ817" i="10" s="1"/>
  <c r="DV877" i="10"/>
  <c r="AN747" i="10"/>
  <c r="AN583" i="10"/>
  <c r="DY61" i="10"/>
  <c r="EA61" i="10" s="1"/>
  <c r="DV730" i="10"/>
  <c r="DV723" i="10"/>
  <c r="CA20" i="10"/>
  <c r="AQ908" i="10"/>
  <c r="DV269" i="10"/>
  <c r="DV363" i="10"/>
  <c r="DN245" i="10"/>
  <c r="BP245" i="10" s="1"/>
  <c r="DO245" i="10" s="1"/>
  <c r="CD386" i="10"/>
  <c r="CH386" i="10" s="1"/>
  <c r="CL386" i="10"/>
  <c r="AN362" i="10"/>
  <c r="AN576" i="10"/>
  <c r="AN572" i="10"/>
  <c r="DV211" i="10"/>
  <c r="DV349" i="10"/>
  <c r="DV362" i="10"/>
  <c r="DV589" i="10"/>
  <c r="DV871" i="10"/>
  <c r="DP871" i="10" s="1"/>
  <c r="BQ871" i="10" s="1"/>
  <c r="DV832" i="10"/>
  <c r="DV785" i="10"/>
  <c r="CA840" i="10"/>
  <c r="DV302" i="10"/>
  <c r="DV602" i="10"/>
  <c r="DV560" i="10"/>
  <c r="DV683" i="10"/>
  <c r="DV815" i="10"/>
  <c r="DV706" i="10"/>
  <c r="DV1001" i="10"/>
  <c r="DV79" i="10"/>
  <c r="AW562" i="10"/>
  <c r="DV609" i="10"/>
  <c r="AQ838" i="10"/>
  <c r="DV149" i="10"/>
  <c r="AQ59" i="10"/>
  <c r="DC591" i="10"/>
  <c r="DC160" i="10"/>
  <c r="DV160" i="10" s="1"/>
  <c r="DC304" i="10"/>
  <c r="DC448" i="10"/>
  <c r="DC592" i="10"/>
  <c r="DV592" i="10" s="1"/>
  <c r="DC736" i="10"/>
  <c r="DV736" i="10" s="1"/>
  <c r="DP736" i="10" s="1"/>
  <c r="BQ736" i="10" s="1"/>
  <c r="DC735" i="10"/>
  <c r="DC169" i="10"/>
  <c r="DC459" i="10"/>
  <c r="DV459" i="10" s="1"/>
  <c r="DC172" i="10"/>
  <c r="DV172" i="10" s="1"/>
  <c r="DC316" i="10"/>
  <c r="DC460" i="10"/>
  <c r="DV460" i="10" s="1"/>
  <c r="DP460" i="10" s="1"/>
  <c r="BQ460" i="10" s="1"/>
  <c r="DC604" i="10"/>
  <c r="DC748" i="10"/>
  <c r="DC327" i="10"/>
  <c r="DV327" i="10" s="1"/>
  <c r="DV272" i="10"/>
  <c r="DC112" i="10"/>
  <c r="DV112" i="10" s="1"/>
  <c r="DV283" i="10"/>
  <c r="DV317" i="10"/>
  <c r="DV499" i="10"/>
  <c r="DV547" i="10"/>
  <c r="DV389" i="10"/>
  <c r="DP389" i="10" s="1"/>
  <c r="BQ389" i="10" s="1"/>
  <c r="DV266" i="10"/>
  <c r="DV195" i="10"/>
  <c r="DV346" i="10"/>
  <c r="DP346" i="10" s="1"/>
  <c r="BQ346" i="10" s="1"/>
  <c r="DQ346" i="10" s="1"/>
  <c r="DV625" i="10"/>
  <c r="DV455" i="10"/>
  <c r="DP455" i="10" s="1"/>
  <c r="BQ455" i="10" s="1"/>
  <c r="DV599" i="10"/>
  <c r="DV232" i="10"/>
  <c r="DP232" i="10" s="1"/>
  <c r="BQ232" i="10" s="1"/>
  <c r="DQ232" i="10" s="1"/>
  <c r="DV344" i="10"/>
  <c r="DV392" i="10"/>
  <c r="DV440" i="10"/>
  <c r="DV488" i="10"/>
  <c r="DV584" i="10"/>
  <c r="DV569" i="10"/>
  <c r="DV713" i="10"/>
  <c r="DP713" i="10" s="1"/>
  <c r="BQ713" i="10" s="1"/>
  <c r="DV956" i="10"/>
  <c r="DV49" i="10"/>
  <c r="DV838" i="10"/>
  <c r="DV587" i="10"/>
  <c r="DV159" i="10"/>
  <c r="DV303" i="10"/>
  <c r="DV551" i="10"/>
  <c r="DV163" i="10"/>
  <c r="DP163" i="10" s="1"/>
  <c r="BQ163" i="10" s="1"/>
  <c r="DQ163" i="10" s="1"/>
  <c r="DV920" i="10"/>
  <c r="DP920" i="10" s="1"/>
  <c r="BQ920" i="10" s="1"/>
  <c r="DQ920" i="10" s="1"/>
  <c r="DV167" i="10"/>
  <c r="DP167" i="10" s="1"/>
  <c r="BQ167" i="10" s="1"/>
  <c r="DQ167" i="10" s="1"/>
  <c r="DV263" i="10"/>
  <c r="DP263" i="10" s="1"/>
  <c r="BQ263" i="10" s="1"/>
  <c r="DQ263" i="10" s="1"/>
  <c r="DV839" i="10"/>
  <c r="DC603" i="10"/>
  <c r="DC747" i="10"/>
  <c r="DC891" i="10"/>
  <c r="DC709" i="10"/>
  <c r="DC661" i="10"/>
  <c r="DC613" i="10"/>
  <c r="DV908" i="10"/>
  <c r="DP908" i="10" s="1"/>
  <c r="BQ908" i="10" s="1"/>
  <c r="DC565" i="10"/>
  <c r="DV565" i="10" s="1"/>
  <c r="DC92" i="10"/>
  <c r="DV212" i="10"/>
  <c r="DC63" i="10"/>
  <c r="DV63" i="10" s="1"/>
  <c r="DC181" i="10"/>
  <c r="DC805" i="10"/>
  <c r="DV805" i="10" s="1"/>
  <c r="DC829" i="10"/>
  <c r="DV120" i="10"/>
  <c r="DC757" i="10"/>
  <c r="DV872" i="10"/>
  <c r="DV1011" i="10"/>
  <c r="DP1011" i="10" s="1"/>
  <c r="BQ1011" i="10" s="1"/>
  <c r="DV836" i="10"/>
  <c r="DC136" i="10"/>
  <c r="DV136" i="10" s="1"/>
  <c r="DC280" i="10"/>
  <c r="DV280" i="10" s="1"/>
  <c r="DC424" i="10"/>
  <c r="DC568" i="10"/>
  <c r="DV568" i="10" s="1"/>
  <c r="DC712" i="10"/>
  <c r="DV712" i="10" s="1"/>
  <c r="DV536" i="10"/>
  <c r="DP536" i="10" s="1"/>
  <c r="BQ536" i="10" s="1"/>
  <c r="DQ536" i="10" s="1"/>
  <c r="DC75" i="10"/>
  <c r="DC879" i="10"/>
  <c r="DV494" i="10"/>
  <c r="DV638" i="10"/>
  <c r="DP638" i="10" s="1"/>
  <c r="BQ638" i="10" s="1"/>
  <c r="DV686" i="10"/>
  <c r="DV782" i="10"/>
  <c r="DV643" i="10"/>
  <c r="DV563" i="10"/>
  <c r="DP563" i="10" s="1"/>
  <c r="BQ563" i="10" s="1"/>
  <c r="DV196" i="10"/>
  <c r="DV118" i="10"/>
  <c r="DV308" i="10"/>
  <c r="DP364" i="10"/>
  <c r="BQ364" i="10" s="1"/>
  <c r="DQ364" i="10" s="1"/>
  <c r="DV380" i="10"/>
  <c r="DV428" i="10"/>
  <c r="DV476" i="10"/>
  <c r="DP476" i="10" s="1"/>
  <c r="BQ476" i="10" s="1"/>
  <c r="DV524" i="10"/>
  <c r="DP524" i="10" s="1"/>
  <c r="BQ524" i="10" s="1"/>
  <c r="DV572" i="10"/>
  <c r="DV620" i="10"/>
  <c r="DV605" i="10"/>
  <c r="DP605" i="10" s="1"/>
  <c r="BQ605" i="10" s="1"/>
  <c r="DV749" i="10"/>
  <c r="DV656" i="10"/>
  <c r="DV704" i="10"/>
  <c r="DV752" i="10"/>
  <c r="DV800" i="10"/>
  <c r="DV848" i="10"/>
  <c r="DV896" i="10"/>
  <c r="DV821" i="10"/>
  <c r="DV965" i="10"/>
  <c r="CU15" i="10"/>
  <c r="DV927" i="10"/>
  <c r="DP927" i="10" s="1"/>
  <c r="BQ927" i="10" s="1"/>
  <c r="DQ927" i="10" s="1"/>
  <c r="DV281" i="10"/>
  <c r="DT847" i="10"/>
  <c r="BZ592" i="10"/>
  <c r="DV141" i="10"/>
  <c r="DV695" i="10"/>
  <c r="DV751" i="10"/>
  <c r="DV803" i="10"/>
  <c r="CU104" i="10"/>
  <c r="BZ827" i="10"/>
  <c r="DN963" i="10"/>
  <c r="BP963" i="10" s="1"/>
  <c r="DO963" i="10" s="1"/>
  <c r="BZ425" i="10"/>
  <c r="AY375" i="10"/>
  <c r="CD375" i="10" s="1"/>
  <c r="CH375" i="10" s="1"/>
  <c r="CL314" i="10"/>
  <c r="CD314" i="10"/>
  <c r="CH314" i="10" s="1"/>
  <c r="CD961" i="10"/>
  <c r="CH961" i="10" s="1"/>
  <c r="CL961" i="10"/>
  <c r="CD405" i="10"/>
  <c r="CH405" i="10" s="1"/>
  <c r="CL405" i="10"/>
  <c r="DT541" i="10"/>
  <c r="DN476" i="10"/>
  <c r="BP476" i="10" s="1"/>
  <c r="DO476" i="10" s="1"/>
  <c r="DV215" i="10"/>
  <c r="DP215" i="10" s="1"/>
  <c r="BQ215" i="10" s="1"/>
  <c r="DN725" i="10"/>
  <c r="BP725" i="10" s="1"/>
  <c r="DO725" i="10" s="1"/>
  <c r="DV242" i="10"/>
  <c r="DV981" i="10"/>
  <c r="DP981" i="10" s="1"/>
  <c r="BQ981" i="10" s="1"/>
  <c r="DC339" i="10"/>
  <c r="DC471" i="10"/>
  <c r="DC615" i="10"/>
  <c r="DC651" i="10"/>
  <c r="DC699" i="10"/>
  <c r="DV939" i="10"/>
  <c r="DP939" i="10" s="1"/>
  <c r="BQ939" i="10" s="1"/>
  <c r="CA473" i="10"/>
  <c r="CA425" i="10"/>
  <c r="BZ598" i="10"/>
  <c r="CA375" i="10"/>
  <c r="AY467" i="10"/>
  <c r="CD467" i="10" s="1"/>
  <c r="CH467" i="10" s="1"/>
  <c r="DT147" i="10"/>
  <c r="DT727" i="10"/>
  <c r="DT607" i="10"/>
  <c r="DT131" i="10"/>
  <c r="DV21" i="10"/>
  <c r="DC315" i="10"/>
  <c r="DV315" i="10" s="1"/>
  <c r="DC121" i="10"/>
  <c r="DV121" i="10" s="1"/>
  <c r="DC217" i="10"/>
  <c r="DC101" i="10"/>
  <c r="DV245" i="10"/>
  <c r="DC88" i="10"/>
  <c r="DV88" i="10" s="1"/>
  <c r="DP88" i="10" s="1"/>
  <c r="BQ88" i="10" s="1"/>
  <c r="DQ88" i="10" s="1"/>
  <c r="BX313" i="10"/>
  <c r="DN313" i="10" s="1"/>
  <c r="BP313" i="10" s="1"/>
  <c r="DO313" i="10" s="1"/>
  <c r="DV1006" i="10"/>
  <c r="AY425" i="10"/>
  <c r="CA37" i="10"/>
  <c r="DY389" i="10"/>
  <c r="AY55" i="10"/>
  <c r="AY403" i="10"/>
  <c r="CL605" i="10"/>
  <c r="CD605" i="10"/>
  <c r="CH605" i="10" s="1"/>
  <c r="CL641" i="10"/>
  <c r="CD641" i="10"/>
  <c r="CH641" i="10" s="1"/>
  <c r="DT534" i="10"/>
  <c r="DT691" i="10"/>
  <c r="DP740" i="10"/>
  <c r="BQ740" i="10" s="1"/>
  <c r="DQ740" i="10" s="1"/>
  <c r="DT452" i="10"/>
  <c r="DT193" i="10"/>
  <c r="DY816" i="10"/>
  <c r="DY533" i="10"/>
  <c r="DN526" i="10"/>
  <c r="BP526" i="10" s="1"/>
  <c r="DO526" i="10" s="1"/>
  <c r="DN446" i="10"/>
  <c r="BP446" i="10" s="1"/>
  <c r="DO446" i="10" s="1"/>
  <c r="DN537" i="10"/>
  <c r="BP537" i="10" s="1"/>
  <c r="DO537" i="10" s="1"/>
  <c r="DC133" i="10"/>
  <c r="DT929" i="10"/>
  <c r="DN265" i="10"/>
  <c r="BP265" i="10" s="1"/>
  <c r="DO265" i="10" s="1"/>
  <c r="DC32" i="10"/>
  <c r="DV32" i="10" s="1"/>
  <c r="DV884" i="10"/>
  <c r="DP884" i="10" s="1"/>
  <c r="BQ884" i="10" s="1"/>
  <c r="DT775" i="10"/>
  <c r="DP775" i="10" s="1"/>
  <c r="BQ775" i="10" s="1"/>
  <c r="DQ775" i="10" s="1"/>
  <c r="DT429" i="10"/>
  <c r="DT187" i="10"/>
  <c r="DC24" i="10"/>
  <c r="DC229" i="10"/>
  <c r="DV229" i="10" s="1"/>
  <c r="DV371" i="10"/>
  <c r="DV331" i="10"/>
  <c r="DV427" i="10"/>
  <c r="DV767" i="10"/>
  <c r="DT933" i="10"/>
  <c r="DT963" i="10"/>
  <c r="DV1004" i="10"/>
  <c r="DN498" i="10"/>
  <c r="BP498" i="10" s="1"/>
  <c r="DO498" i="10" s="1"/>
  <c r="AY341" i="10"/>
  <c r="CI341" i="10"/>
  <c r="CL411" i="10"/>
  <c r="CD411" i="10"/>
  <c r="CH411" i="10" s="1"/>
  <c r="CD643" i="10"/>
  <c r="CH643" i="10" s="1"/>
  <c r="CL643" i="10"/>
  <c r="DT626" i="10"/>
  <c r="DP272" i="10"/>
  <c r="BQ272" i="10" s="1"/>
  <c r="DQ272" i="10" s="1"/>
  <c r="DN104" i="10"/>
  <c r="BP104" i="10" s="1"/>
  <c r="DO104" i="10" s="1"/>
  <c r="CA792" i="10"/>
  <c r="BZ49" i="10"/>
  <c r="DV622" i="10"/>
  <c r="DV479" i="10"/>
  <c r="DV335" i="10"/>
  <c r="DV636" i="10"/>
  <c r="DP636" i="10" s="1"/>
  <c r="BQ636" i="10" s="1"/>
  <c r="DV451" i="10"/>
  <c r="DC40" i="10"/>
  <c r="DV40" i="10" s="1"/>
  <c r="DP40" i="10" s="1"/>
  <c r="BQ40" i="10" s="1"/>
  <c r="DV961" i="10"/>
  <c r="DP961" i="10" s="1"/>
  <c r="BQ961" i="10" s="1"/>
  <c r="CA592" i="10"/>
  <c r="DN88" i="10"/>
  <c r="BP88" i="10" s="1"/>
  <c r="DO88" i="10" s="1"/>
  <c r="CL849" i="10"/>
  <c r="CD849" i="10"/>
  <c r="CH849" i="10" s="1"/>
  <c r="BX616" i="10"/>
  <c r="DN616" i="10" s="1"/>
  <c r="BP616" i="10" s="1"/>
  <c r="DV827" i="10"/>
  <c r="CA827" i="10"/>
  <c r="DY299" i="10"/>
  <c r="DV224" i="10"/>
  <c r="DN987" i="10"/>
  <c r="BP987" i="10" s="1"/>
  <c r="DO987" i="10" s="1"/>
  <c r="CL164" i="10"/>
  <c r="CD164" i="10"/>
  <c r="CH164" i="10" s="1"/>
  <c r="CL721" i="10"/>
  <c r="CD721" i="10"/>
  <c r="CH721" i="10" s="1"/>
  <c r="DV314" i="10"/>
  <c r="DT665" i="10"/>
  <c r="DT164" i="10"/>
  <c r="DV391" i="10"/>
  <c r="DV669" i="10"/>
  <c r="DV623" i="10"/>
  <c r="DV675" i="10"/>
  <c r="DP675" i="10" s="1"/>
  <c r="BQ675" i="10" s="1"/>
  <c r="DT979" i="10"/>
  <c r="DN150" i="10"/>
  <c r="BP150" i="10" s="1"/>
  <c r="DO150" i="10" s="1"/>
  <c r="DV957" i="10"/>
  <c r="DP957" i="10" s="1"/>
  <c r="BQ957" i="10" s="1"/>
  <c r="DQ957" i="10" s="1"/>
  <c r="DV320" i="10"/>
  <c r="DV983" i="10"/>
  <c r="DV987" i="10"/>
  <c r="DP987" i="10" s="1"/>
  <c r="BQ987" i="10" s="1"/>
  <c r="AY604" i="10"/>
  <c r="CD604" i="10" s="1"/>
  <c r="CH604" i="10" s="1"/>
  <c r="CL656" i="10"/>
  <c r="CD656" i="10"/>
  <c r="CH656" i="10" s="1"/>
  <c r="DV708" i="10"/>
  <c r="DT819" i="10"/>
  <c r="DT165" i="10"/>
  <c r="DT209" i="10"/>
  <c r="CA61" i="10"/>
  <c r="DV173" i="10"/>
  <c r="DP173" i="10" s="1"/>
  <c r="BQ173" i="10" s="1"/>
  <c r="DV679" i="10"/>
  <c r="DV731" i="10"/>
  <c r="DP731" i="10" s="1"/>
  <c r="BQ731" i="10" s="1"/>
  <c r="DV648" i="10"/>
  <c r="DN713" i="10"/>
  <c r="BP713" i="10" s="1"/>
  <c r="DO713" i="10" s="1"/>
  <c r="DV919" i="10"/>
  <c r="DP919" i="10" s="1"/>
  <c r="BQ919" i="10" s="1"/>
  <c r="DT796" i="10"/>
  <c r="DP796" i="10" s="1"/>
  <c r="BQ796" i="10" s="1"/>
  <c r="DQ796" i="10" s="1"/>
  <c r="DT122" i="10"/>
  <c r="BZ792" i="10"/>
  <c r="BX45" i="10"/>
  <c r="DT45" i="10" s="1"/>
  <c r="BZ473" i="10"/>
  <c r="DV55" i="10"/>
  <c r="DV103" i="10"/>
  <c r="DP103" i="10" s="1"/>
  <c r="BQ103" i="10" s="1"/>
  <c r="DQ103" i="10" s="1"/>
  <c r="DV181" i="10"/>
  <c r="DV254" i="10"/>
  <c r="DV586" i="10"/>
  <c r="DV533" i="10"/>
  <c r="DT973" i="10"/>
  <c r="DT886" i="10"/>
  <c r="CI37" i="10"/>
  <c r="CL993" i="10"/>
  <c r="CD993" i="10"/>
  <c r="CH993" i="10" s="1"/>
  <c r="DT258" i="10"/>
  <c r="DV203" i="10"/>
  <c r="DV633" i="10"/>
  <c r="BZ61" i="10"/>
  <c r="DN940" i="10"/>
  <c r="BP940" i="10" s="1"/>
  <c r="DO940" i="10" s="1"/>
  <c r="AY473" i="10"/>
  <c r="CD473" i="10" s="1"/>
  <c r="CH473" i="10" s="1"/>
  <c r="CD37" i="10"/>
  <c r="CH37" i="10" s="1"/>
  <c r="CL1004" i="10"/>
  <c r="CD1004" i="10"/>
  <c r="CH1004" i="10" s="1"/>
  <c r="CL389" i="10"/>
  <c r="CD389" i="10"/>
  <c r="CH389" i="10" s="1"/>
  <c r="CD346" i="10"/>
  <c r="CH346" i="10" s="1"/>
  <c r="CL346" i="10"/>
  <c r="CD629" i="10"/>
  <c r="CH629" i="10" s="1"/>
  <c r="CL629" i="10"/>
  <c r="DV135" i="10"/>
  <c r="DP135" i="10" s="1"/>
  <c r="BQ135" i="10" s="1"/>
  <c r="DQ135" i="10" s="1"/>
  <c r="DV161" i="10"/>
  <c r="DV286" i="10"/>
  <c r="DT1008" i="10"/>
  <c r="DV1013" i="10"/>
  <c r="BY947" i="10"/>
  <c r="DU947" i="10" s="1"/>
  <c r="DY947" i="10"/>
  <c r="CJ227" i="10"/>
  <c r="DT227" i="10" s="1"/>
  <c r="CB227" i="10"/>
  <c r="CF227" i="10" s="1"/>
  <c r="BY585" i="10"/>
  <c r="DU585" i="10" s="1"/>
  <c r="DY585" i="10"/>
  <c r="BY771" i="10"/>
  <c r="DU771" i="10" s="1"/>
  <c r="DY771" i="10"/>
  <c r="BY897" i="10"/>
  <c r="DU897" i="10" s="1"/>
  <c r="DY897" i="10"/>
  <c r="CJ289" i="10"/>
  <c r="DT289" i="10" s="1"/>
  <c r="CB289" i="10"/>
  <c r="DV91" i="10"/>
  <c r="DV139" i="10"/>
  <c r="AQ422" i="10"/>
  <c r="AY851" i="10"/>
  <c r="CI851" i="10"/>
  <c r="AY900" i="10"/>
  <c r="CI900" i="10"/>
  <c r="CJ323" i="10"/>
  <c r="DT323" i="10" s="1"/>
  <c r="CB323" i="10"/>
  <c r="CF323" i="10" s="1"/>
  <c r="BY1007" i="10"/>
  <c r="DY1007" i="10"/>
  <c r="AY598" i="10"/>
  <c r="CI598" i="10"/>
  <c r="AY715" i="10"/>
  <c r="CA715" i="10"/>
  <c r="CI715" i="10"/>
  <c r="BZ715" i="10"/>
  <c r="CJ815" i="10"/>
  <c r="CB815" i="10"/>
  <c r="CF815" i="10" s="1"/>
  <c r="CJ773" i="10"/>
  <c r="CB773" i="10"/>
  <c r="CF773" i="10" s="1"/>
  <c r="CJ592" i="10"/>
  <c r="DT592" i="10" s="1"/>
  <c r="CB592" i="10"/>
  <c r="CF592" i="10" s="1"/>
  <c r="CJ431" i="10"/>
  <c r="DT431" i="10" s="1"/>
  <c r="CB431" i="10"/>
  <c r="CF431" i="10" s="1"/>
  <c r="CJ610" i="10"/>
  <c r="DT610" i="10" s="1"/>
  <c r="CB610" i="10"/>
  <c r="CF610" i="10" s="1"/>
  <c r="AY895" i="10"/>
  <c r="CA895" i="10"/>
  <c r="CI895" i="10"/>
  <c r="CI317" i="10"/>
  <c r="AY317" i="10"/>
  <c r="AY633" i="10"/>
  <c r="CI633" i="10"/>
  <c r="CD676" i="10"/>
  <c r="CH676" i="10" s="1"/>
  <c r="CL676" i="10"/>
  <c r="BZ227" i="10"/>
  <c r="BY903" i="10"/>
  <c r="DU903" i="10" s="1"/>
  <c r="DY903" i="10"/>
  <c r="CJ715" i="10"/>
  <c r="CB715" i="10"/>
  <c r="CF715" i="10" s="1"/>
  <c r="CL125" i="10"/>
  <c r="CD125" i="10"/>
  <c r="CH125" i="10" s="1"/>
  <c r="AY809" i="10"/>
  <c r="CI809" i="10"/>
  <c r="AY767" i="10"/>
  <c r="BZ767" i="10"/>
  <c r="CI767" i="10"/>
  <c r="AY586" i="10"/>
  <c r="CI586" i="10"/>
  <c r="BZ586" i="10"/>
  <c r="DV99" i="10"/>
  <c r="DV250" i="10"/>
  <c r="AQ623" i="10"/>
  <c r="CD875" i="10"/>
  <c r="CH875" i="10" s="1"/>
  <c r="CL875" i="10"/>
  <c r="AY959" i="10"/>
  <c r="CA959" i="10"/>
  <c r="CI959" i="10"/>
  <c r="AY983" i="10"/>
  <c r="CI983" i="10"/>
  <c r="CJ317" i="10"/>
  <c r="CB317" i="10"/>
  <c r="CF317" i="10" s="1"/>
  <c r="CJ633" i="10"/>
  <c r="DT633" i="10" s="1"/>
  <c r="CB633" i="10"/>
  <c r="CF633" i="10" s="1"/>
  <c r="CJ375" i="10"/>
  <c r="CB375" i="10"/>
  <c r="CF375" i="10" s="1"/>
  <c r="AY709" i="10"/>
  <c r="CI709" i="10"/>
  <c r="BY909" i="10"/>
  <c r="DU909" i="10" s="1"/>
  <c r="DY909" i="10"/>
  <c r="AY839" i="10"/>
  <c r="CI839" i="10"/>
  <c r="CJ809" i="10"/>
  <c r="CB809" i="10"/>
  <c r="CF809" i="10" s="1"/>
  <c r="CJ767" i="10"/>
  <c r="CB767" i="10"/>
  <c r="CF767" i="10" s="1"/>
  <c r="CJ586" i="10"/>
  <c r="DT586" i="10" s="1"/>
  <c r="CB586" i="10"/>
  <c r="CF586" i="10" s="1"/>
  <c r="CJ425" i="10"/>
  <c r="DT425" i="10" s="1"/>
  <c r="CB425" i="10"/>
  <c r="CF425" i="10" s="1"/>
  <c r="AW930" i="10"/>
  <c r="AN930" i="10"/>
  <c r="CA323" i="10"/>
  <c r="AY311" i="10"/>
  <c r="CI311" i="10"/>
  <c r="CA311" i="10"/>
  <c r="AY358" i="10"/>
  <c r="BZ358" i="10"/>
  <c r="CI358" i="10"/>
  <c r="AY369" i="10"/>
  <c r="CI369" i="10"/>
  <c r="BY687" i="10"/>
  <c r="DU687" i="10" s="1"/>
  <c r="DY687" i="10"/>
  <c r="BY741" i="10"/>
  <c r="DU741" i="10" s="1"/>
  <c r="DY741" i="10"/>
  <c r="BY873" i="10"/>
  <c r="DU873" i="10" s="1"/>
  <c r="DY873" i="10"/>
  <c r="BY920" i="10"/>
  <c r="DU920" i="10" s="1"/>
  <c r="DY920" i="10"/>
  <c r="CJ709" i="10"/>
  <c r="CB709" i="10"/>
  <c r="CF709" i="10" s="1"/>
  <c r="CJ839" i="10"/>
  <c r="DT839" i="10" s="1"/>
  <c r="DP839" i="10" s="1"/>
  <c r="BQ839" i="10" s="1"/>
  <c r="DQ839" i="10" s="1"/>
  <c r="CB839" i="10"/>
  <c r="CF839" i="10" s="1"/>
  <c r="AY803" i="10"/>
  <c r="CI803" i="10"/>
  <c r="CA761" i="10"/>
  <c r="AY761" i="10"/>
  <c r="CI761" i="10"/>
  <c r="AY306" i="10"/>
  <c r="AY419" i="10"/>
  <c r="CI419" i="10"/>
  <c r="AY939" i="10"/>
  <c r="CI939" i="10"/>
  <c r="AY863" i="10"/>
  <c r="CI863" i="10"/>
  <c r="CJ311" i="10"/>
  <c r="CB311" i="10"/>
  <c r="CF311" i="10" s="1"/>
  <c r="CJ358" i="10"/>
  <c r="DT358" i="10" s="1"/>
  <c r="CB358" i="10"/>
  <c r="CF358" i="10" s="1"/>
  <c r="CJ369" i="10"/>
  <c r="CB369" i="10"/>
  <c r="CF369" i="10" s="1"/>
  <c r="AW879" i="10"/>
  <c r="AN879" i="10"/>
  <c r="AY703" i="10"/>
  <c r="CI703" i="10"/>
  <c r="BY915" i="10"/>
  <c r="DU915" i="10" s="1"/>
  <c r="DY915" i="10"/>
  <c r="CI738" i="10"/>
  <c r="BZ738" i="10"/>
  <c r="AY738" i="10"/>
  <c r="AY833" i="10"/>
  <c r="CI833" i="10"/>
  <c r="CJ803" i="10"/>
  <c r="CB803" i="10"/>
  <c r="CF803" i="10" s="1"/>
  <c r="CJ761" i="10"/>
  <c r="CB761" i="10"/>
  <c r="CF761" i="10" s="1"/>
  <c r="CD574" i="10"/>
  <c r="CH574" i="10" s="1"/>
  <c r="CL574" i="10"/>
  <c r="CJ419" i="10"/>
  <c r="CB419" i="10"/>
  <c r="CF419" i="10" s="1"/>
  <c r="DV941" i="10"/>
  <c r="DP941" i="10" s="1"/>
  <c r="BQ941" i="10" s="1"/>
  <c r="DQ941" i="10" s="1"/>
  <c r="DY395" i="10"/>
  <c r="AN1010" i="10"/>
  <c r="CI239" i="10"/>
  <c r="AY239" i="10"/>
  <c r="BY807" i="10"/>
  <c r="DU807" i="10" s="1"/>
  <c r="DY807" i="10"/>
  <c r="BY879" i="10"/>
  <c r="DU879" i="10" s="1"/>
  <c r="DY879" i="10"/>
  <c r="CJ703" i="10"/>
  <c r="CB703" i="10"/>
  <c r="CF703" i="10" s="1"/>
  <c r="BY926" i="10"/>
  <c r="DU926" i="10" s="1"/>
  <c r="DY926" i="10"/>
  <c r="CJ738" i="10"/>
  <c r="DT738" i="10" s="1"/>
  <c r="CB738" i="10"/>
  <c r="CF738" i="10" s="1"/>
  <c r="DN895" i="10"/>
  <c r="BP895" i="10" s="1"/>
  <c r="DO895" i="10" s="1"/>
  <c r="CF895" i="10"/>
  <c r="CJ833" i="10"/>
  <c r="DT833" i="10" s="1"/>
  <c r="CB833" i="10"/>
  <c r="CF833" i="10" s="1"/>
  <c r="CI791" i="10"/>
  <c r="AY791" i="10"/>
  <c r="BZ266" i="10"/>
  <c r="AY266" i="10"/>
  <c r="CI266" i="10"/>
  <c r="CJ306" i="10"/>
  <c r="DT306" i="10" s="1"/>
  <c r="CB306" i="10"/>
  <c r="CF306" i="10" s="1"/>
  <c r="AY443" i="10"/>
  <c r="CI443" i="10"/>
  <c r="DV214" i="10"/>
  <c r="DV411" i="10"/>
  <c r="DT473" i="10"/>
  <c r="DN272" i="10"/>
  <c r="BP272" i="10" s="1"/>
  <c r="DO272" i="10" s="1"/>
  <c r="BZ915" i="10"/>
  <c r="CI915" i="10"/>
  <c r="CA915" i="10"/>
  <c r="AY915" i="10"/>
  <c r="CJ239" i="10"/>
  <c r="CB239" i="10"/>
  <c r="CF239" i="10" s="1"/>
  <c r="AW885" i="10"/>
  <c r="AN885" i="10"/>
  <c r="CI697" i="10"/>
  <c r="AY697" i="10"/>
  <c r="AY255" i="10"/>
  <c r="CI255" i="10"/>
  <c r="DN913" i="10"/>
  <c r="BP913" i="10" s="1"/>
  <c r="DO913" i="10" s="1"/>
  <c r="CF913" i="10"/>
  <c r="CI827" i="10"/>
  <c r="AY827" i="10"/>
  <c r="CJ791" i="10"/>
  <c r="CB791" i="10"/>
  <c r="CF791" i="10" s="1"/>
  <c r="CJ266" i="10"/>
  <c r="CB266" i="10"/>
  <c r="CF266" i="10" s="1"/>
  <c r="CA431" i="10"/>
  <c r="CJ443" i="10"/>
  <c r="DT443" i="10" s="1"/>
  <c r="CB443" i="10"/>
  <c r="CF443" i="10" s="1"/>
  <c r="DY962" i="10"/>
  <c r="AY971" i="10"/>
  <c r="CI971" i="10"/>
  <c r="CD233" i="10"/>
  <c r="CH233" i="10" s="1"/>
  <c r="CL233" i="10"/>
  <c r="BY813" i="10"/>
  <c r="DU813" i="10" s="1"/>
  <c r="DY813" i="10"/>
  <c r="BY885" i="10"/>
  <c r="DU885" i="10" s="1"/>
  <c r="DY885" i="10"/>
  <c r="CJ697" i="10"/>
  <c r="CB697" i="10"/>
  <c r="CF697" i="10" s="1"/>
  <c r="CJ255" i="10"/>
  <c r="DT255" i="10" s="1"/>
  <c r="CB255" i="10"/>
  <c r="CF255" i="10" s="1"/>
  <c r="CJ827" i="10"/>
  <c r="CB827" i="10"/>
  <c r="CF827" i="10" s="1"/>
  <c r="AY785" i="10"/>
  <c r="CA785" i="10"/>
  <c r="CI785" i="10"/>
  <c r="BZ785" i="10"/>
  <c r="AN872" i="10"/>
  <c r="AQ494" i="10"/>
  <c r="AN944" i="10"/>
  <c r="AW944" i="10"/>
  <c r="BY971" i="10"/>
  <c r="DU971" i="10" s="1"/>
  <c r="DY971" i="10"/>
  <c r="CJ233" i="10"/>
  <c r="DT233" i="10" s="1"/>
  <c r="CB233" i="10"/>
  <c r="CF233" i="10" s="1"/>
  <c r="AN831" i="10"/>
  <c r="AW831" i="10"/>
  <c r="BX250" i="10"/>
  <c r="DY250" i="10"/>
  <c r="DN907" i="10"/>
  <c r="BP907" i="10" s="1"/>
  <c r="DO907" i="10" s="1"/>
  <c r="CF907" i="10"/>
  <c r="CJ403" i="10"/>
  <c r="DT403" i="10" s="1"/>
  <c r="CB403" i="10"/>
  <c r="CF403" i="10" s="1"/>
  <c r="CJ785" i="10"/>
  <c r="CB785" i="10"/>
  <c r="CF785" i="10" s="1"/>
  <c r="AQ535" i="10"/>
  <c r="AN699" i="10"/>
  <c r="AY680" i="10"/>
  <c r="CI680" i="10"/>
  <c r="AY227" i="10"/>
  <c r="BY663" i="10"/>
  <c r="DU663" i="10" s="1"/>
  <c r="DY663" i="10"/>
  <c r="BY765" i="10"/>
  <c r="DU765" i="10" s="1"/>
  <c r="DY765" i="10"/>
  <c r="BY891" i="10"/>
  <c r="DU891" i="10" s="1"/>
  <c r="DY891" i="10"/>
  <c r="CJ249" i="10"/>
  <c r="DT249" i="10" s="1"/>
  <c r="CB249" i="10"/>
  <c r="CF249" i="10" s="1"/>
  <c r="CJ821" i="10"/>
  <c r="CB821" i="10"/>
  <c r="CF821" i="10" s="1"/>
  <c r="AY779" i="10"/>
  <c r="CI779" i="10"/>
  <c r="CJ260" i="10"/>
  <c r="CB260" i="10"/>
  <c r="CF260" i="10" s="1"/>
  <c r="CJ437" i="10"/>
  <c r="DT437" i="10" s="1"/>
  <c r="CB437" i="10"/>
  <c r="AN656" i="10"/>
  <c r="AY589" i="10"/>
  <c r="DN1011" i="10"/>
  <c r="BP1011" i="10" s="1"/>
  <c r="DO1011" i="10" s="1"/>
  <c r="AY323" i="10"/>
  <c r="DY669" i="10"/>
  <c r="BY983" i="10"/>
  <c r="DU983" i="10" s="1"/>
  <c r="DY983" i="10"/>
  <c r="CJ680" i="10"/>
  <c r="DT680" i="10" s="1"/>
  <c r="CB680" i="10"/>
  <c r="CF680" i="10" s="1"/>
  <c r="CD670" i="10"/>
  <c r="CH670" i="10" s="1"/>
  <c r="CL670" i="10"/>
  <c r="CD927" i="10"/>
  <c r="CH927" i="10" s="1"/>
  <c r="CL927" i="10"/>
  <c r="AY815" i="10"/>
  <c r="CJ779" i="10"/>
  <c r="CB779" i="10"/>
  <c r="CF779" i="10" s="1"/>
  <c r="AY592" i="10"/>
  <c r="CI289" i="10"/>
  <c r="AY289" i="10"/>
  <c r="AY431" i="10"/>
  <c r="CA33" i="10"/>
  <c r="AY31" i="10"/>
  <c r="CI31" i="10"/>
  <c r="CA31" i="10"/>
  <c r="DN40" i="10"/>
  <c r="BP40" i="10" s="1"/>
  <c r="DO40" i="10" s="1"/>
  <c r="CL18" i="10"/>
  <c r="AY61" i="10"/>
  <c r="AY43" i="10"/>
  <c r="CI43" i="10"/>
  <c r="AN43" i="10"/>
  <c r="AY49" i="10"/>
  <c r="CI49" i="10"/>
  <c r="BZ32" i="10"/>
  <c r="CA32" i="10"/>
  <c r="BZ31" i="10"/>
  <c r="DT40" i="10"/>
  <c r="AQ68" i="10"/>
  <c r="BX101" i="10"/>
  <c r="DT101" i="10" s="1"/>
  <c r="DT93" i="10"/>
  <c r="AW22" i="10"/>
  <c r="AQ41" i="10"/>
  <c r="AW90" i="10"/>
  <c r="DT65" i="10"/>
  <c r="AQ18" i="10"/>
  <c r="AW67" i="10"/>
  <c r="AW58" i="10"/>
  <c r="DN110" i="10"/>
  <c r="BP110" i="10" s="1"/>
  <c r="DO110" i="10" s="1"/>
  <c r="DN84" i="10"/>
  <c r="BP84" i="10" s="1"/>
  <c r="DO84" i="10" s="1"/>
  <c r="AQ49" i="10"/>
  <c r="DV108" i="10"/>
  <c r="BZ33" i="10"/>
  <c r="CD103" i="10"/>
  <c r="CH103" i="10" s="1"/>
  <c r="CL103" i="10"/>
  <c r="CA39" i="10"/>
  <c r="AY38" i="10"/>
  <c r="CI38" i="10"/>
  <c r="DV41" i="10"/>
  <c r="CA88" i="10"/>
  <c r="AY88" i="10"/>
  <c r="AY73" i="10"/>
  <c r="CI73" i="10"/>
  <c r="DV45" i="10"/>
  <c r="DN48" i="10"/>
  <c r="BP48" i="10" s="1"/>
  <c r="DO48" i="10" s="1"/>
  <c r="AY20" i="10"/>
  <c r="CI20" i="10"/>
  <c r="CA44" i="10"/>
  <c r="CI44" i="10"/>
  <c r="DV65" i="10"/>
  <c r="CD84" i="10"/>
  <c r="CH84" i="10" s="1"/>
  <c r="DV60" i="10"/>
  <c r="CA67" i="10"/>
  <c r="CI67" i="10"/>
  <c r="AY32" i="10"/>
  <c r="CI32" i="10"/>
  <c r="AW374" i="10"/>
  <c r="AN374" i="10"/>
  <c r="AN785" i="10"/>
  <c r="AW785" i="10"/>
  <c r="CD774" i="10"/>
  <c r="CH774" i="10" s="1"/>
  <c r="CL774" i="10"/>
  <c r="DN224" i="10"/>
  <c r="BP224" i="10" s="1"/>
  <c r="DO224" i="10" s="1"/>
  <c r="DT224" i="10"/>
  <c r="DT143" i="10"/>
  <c r="DN143" i="10"/>
  <c r="BP143" i="10" s="1"/>
  <c r="DN101" i="10"/>
  <c r="BP101" i="10" s="1"/>
  <c r="DO101" i="10" s="1"/>
  <c r="DN50" i="10"/>
  <c r="BP50" i="10" s="1"/>
  <c r="DT50" i="10"/>
  <c r="DN78" i="10"/>
  <c r="BP78" i="10" s="1"/>
  <c r="AW133" i="10"/>
  <c r="AN133" i="10"/>
  <c r="DN555" i="10"/>
  <c r="BP555" i="10" s="1"/>
  <c r="DT555" i="10"/>
  <c r="DN303" i="10"/>
  <c r="BP303" i="10" s="1"/>
  <c r="DO303" i="10" s="1"/>
  <c r="DT303" i="10"/>
  <c r="CD455" i="10"/>
  <c r="CH455" i="10" s="1"/>
  <c r="CL455" i="10"/>
  <c r="AW846" i="10"/>
  <c r="AN846" i="10"/>
  <c r="BY338" i="10"/>
  <c r="DU338" i="10" s="1"/>
  <c r="DY338" i="10"/>
  <c r="ED338" i="10" s="1"/>
  <c r="AW300" i="10"/>
  <c r="AN300" i="10"/>
  <c r="DN550" i="10"/>
  <c r="BP550" i="10" s="1"/>
  <c r="DO550" i="10" s="1"/>
  <c r="DT550" i="10"/>
  <c r="DN508" i="10"/>
  <c r="BP508" i="10" s="1"/>
  <c r="DT508" i="10"/>
  <c r="DP508" i="10" s="1"/>
  <c r="BQ508" i="10" s="1"/>
  <c r="DQ508" i="10" s="1"/>
  <c r="DY63" i="10"/>
  <c r="BX63" i="10"/>
  <c r="DT63" i="10" s="1"/>
  <c r="BY339" i="10"/>
  <c r="DU339" i="10" s="1"/>
  <c r="DY339" i="10"/>
  <c r="BY531" i="10"/>
  <c r="DU531" i="10" s="1"/>
  <c r="DY531" i="10"/>
  <c r="EA531" i="10" s="1"/>
  <c r="AW206" i="10"/>
  <c r="AN206" i="10"/>
  <c r="CD786" i="10"/>
  <c r="CH786" i="10" s="1"/>
  <c r="CL786" i="10"/>
  <c r="AW696" i="10"/>
  <c r="AN696" i="10"/>
  <c r="AW178" i="10"/>
  <c r="AN178" i="10"/>
  <c r="BX577" i="10"/>
  <c r="DY577" i="10"/>
  <c r="BX673" i="10"/>
  <c r="DN673" i="10" s="1"/>
  <c r="BP673" i="10" s="1"/>
  <c r="DO673" i="10" s="1"/>
  <c r="DY673" i="10"/>
  <c r="BX458" i="10"/>
  <c r="DT458" i="10" s="1"/>
  <c r="DY458" i="10"/>
  <c r="EA458" i="10" s="1"/>
  <c r="BY644" i="10"/>
  <c r="DY644" i="10"/>
  <c r="BY698" i="10"/>
  <c r="DY698" i="10"/>
  <c r="AW91" i="10"/>
  <c r="AN91" i="10"/>
  <c r="CD352" i="10"/>
  <c r="CH352" i="10" s="1"/>
  <c r="CL352" i="10"/>
  <c r="AN29" i="10"/>
  <c r="AW29" i="10"/>
  <c r="AN196" i="10"/>
  <c r="AW196" i="10"/>
  <c r="BZ525" i="10"/>
  <c r="AY525" i="10"/>
  <c r="CI525" i="10"/>
  <c r="BY988" i="10"/>
  <c r="DU988" i="10" s="1"/>
  <c r="DY988" i="10"/>
  <c r="CJ560" i="10"/>
  <c r="DT560" i="10" s="1"/>
  <c r="CB560" i="10"/>
  <c r="CF560" i="10" s="1"/>
  <c r="AY383" i="10"/>
  <c r="CI383" i="10"/>
  <c r="BY545" i="10"/>
  <c r="DU545" i="10" s="1"/>
  <c r="DY545" i="10"/>
  <c r="AY705" i="10"/>
  <c r="CI705" i="10"/>
  <c r="CJ257" i="10"/>
  <c r="CB257" i="10"/>
  <c r="CF257" i="10" s="1"/>
  <c r="BY968" i="10"/>
  <c r="DU968" i="10" s="1"/>
  <c r="DY968" i="10"/>
  <c r="BY1004" i="10"/>
  <c r="DU1004" i="10" s="1"/>
  <c r="DY1004" i="10"/>
  <c r="AY852" i="10"/>
  <c r="CI852" i="10"/>
  <c r="AY804" i="10"/>
  <c r="CI804" i="10"/>
  <c r="BZ780" i="10"/>
  <c r="CA780" i="10"/>
  <c r="CI780" i="10"/>
  <c r="CF1012" i="10"/>
  <c r="DN1012" i="10"/>
  <c r="BP1012" i="10" s="1"/>
  <c r="DO1012" i="10" s="1"/>
  <c r="CD881" i="10"/>
  <c r="CH881" i="10" s="1"/>
  <c r="CL881" i="10"/>
  <c r="DN288" i="10"/>
  <c r="BP288" i="10" s="1"/>
  <c r="DO288" i="10" s="1"/>
  <c r="DV259" i="10"/>
  <c r="DV93" i="10"/>
  <c r="DV323" i="10"/>
  <c r="DP323" i="10" s="1"/>
  <c r="BQ323" i="10" s="1"/>
  <c r="DQ323" i="10" s="1"/>
  <c r="DT967" i="10"/>
  <c r="DT985" i="10"/>
  <c r="DV989" i="10"/>
  <c r="DP989" i="10" s="1"/>
  <c r="BQ989" i="10" s="1"/>
  <c r="DV899" i="10"/>
  <c r="DP899" i="10" s="1"/>
  <c r="BQ899" i="10" s="1"/>
  <c r="AQ835" i="10"/>
  <c r="DN822" i="10"/>
  <c r="BP822" i="10" s="1"/>
  <c r="DO822" i="10" s="1"/>
  <c r="CI265" i="10"/>
  <c r="AY265" i="10"/>
  <c r="BZ265" i="10"/>
  <c r="CJ525" i="10"/>
  <c r="DT525" i="10" s="1"/>
  <c r="CB525" i="10"/>
  <c r="CF525" i="10" s="1"/>
  <c r="BY965" i="10"/>
  <c r="DU965" i="10" s="1"/>
  <c r="DY965" i="10"/>
  <c r="CJ383" i="10"/>
  <c r="DT383" i="10" s="1"/>
  <c r="CB383" i="10"/>
  <c r="CF383" i="10" s="1"/>
  <c r="BY317" i="10"/>
  <c r="DU317" i="10" s="1"/>
  <c r="DY317" i="10"/>
  <c r="CJ705" i="10"/>
  <c r="CB705" i="10"/>
  <c r="CF705" i="10" s="1"/>
  <c r="BY921" i="10"/>
  <c r="DU921" i="10" s="1"/>
  <c r="DY921" i="10"/>
  <c r="BY228" i="10"/>
  <c r="DU228" i="10" s="1"/>
  <c r="DY228" i="10"/>
  <c r="AW894" i="10"/>
  <c r="AN894" i="10"/>
  <c r="CL226" i="10"/>
  <c r="CD226" i="10"/>
  <c r="CH226" i="10" s="1"/>
  <c r="CD515" i="10"/>
  <c r="CH515" i="10" s="1"/>
  <c r="CL515" i="10"/>
  <c r="AW974" i="10"/>
  <c r="CJ852" i="10"/>
  <c r="DT852" i="10" s="1"/>
  <c r="CB852" i="10"/>
  <c r="CF852" i="10" s="1"/>
  <c r="CJ804" i="10"/>
  <c r="DT804" i="10" s="1"/>
  <c r="CB804" i="10"/>
  <c r="CF804" i="10" s="1"/>
  <c r="CJ780" i="10"/>
  <c r="DT780" i="10" s="1"/>
  <c r="CB780" i="10"/>
  <c r="CF780" i="10" s="1"/>
  <c r="DY444" i="10"/>
  <c r="CA846" i="10"/>
  <c r="CA881" i="10"/>
  <c r="BZ881" i="10"/>
  <c r="CI881" i="10"/>
  <c r="AY166" i="10"/>
  <c r="DN483" i="10"/>
  <c r="BP483" i="10" s="1"/>
  <c r="DT760" i="10"/>
  <c r="DT621" i="10"/>
  <c r="AN403" i="10"/>
  <c r="AQ44" i="10"/>
  <c r="AW409" i="10"/>
  <c r="DV119" i="10"/>
  <c r="DV311" i="10"/>
  <c r="DV70" i="10"/>
  <c r="DP70" i="10" s="1"/>
  <c r="BQ70" i="10" s="1"/>
  <c r="DV166" i="10"/>
  <c r="DV322" i="10"/>
  <c r="DP322" i="10" s="1"/>
  <c r="BQ322" i="10" s="1"/>
  <c r="DV367" i="10"/>
  <c r="DV415" i="10"/>
  <c r="DV400" i="10"/>
  <c r="DV496" i="10"/>
  <c r="DV645" i="10"/>
  <c r="DP645" i="10" s="1"/>
  <c r="BQ645" i="10" s="1"/>
  <c r="DQ645" i="10" s="1"/>
  <c r="DV693" i="10"/>
  <c r="DV668" i="10"/>
  <c r="DV716" i="10"/>
  <c r="DV764" i="10"/>
  <c r="DV812" i="10"/>
  <c r="DV741" i="10"/>
  <c r="DP741" i="10" s="1"/>
  <c r="BQ741" i="10" s="1"/>
  <c r="AW321" i="10"/>
  <c r="DN430" i="10"/>
  <c r="BP430" i="10" s="1"/>
  <c r="DO430" i="10" s="1"/>
  <c r="DV903" i="10"/>
  <c r="DP903" i="10" s="1"/>
  <c r="BQ903" i="10" s="1"/>
  <c r="AY351" i="10"/>
  <c r="CI351" i="10"/>
  <c r="BY1000" i="10"/>
  <c r="DU1000" i="10" s="1"/>
  <c r="DY1000" i="10"/>
  <c r="BX980" i="10"/>
  <c r="DY980" i="10"/>
  <c r="AY682" i="10"/>
  <c r="CI682" i="10"/>
  <c r="AQ260" i="10"/>
  <c r="BY894" i="10"/>
  <c r="DU894" i="10" s="1"/>
  <c r="DY894" i="10"/>
  <c r="DY1001" i="10"/>
  <c r="BY1010" i="10"/>
  <c r="DY1010" i="10"/>
  <c r="CD923" i="10"/>
  <c r="CH923" i="10" s="1"/>
  <c r="CL923" i="10"/>
  <c r="AY846" i="10"/>
  <c r="CI846" i="10"/>
  <c r="AY798" i="10"/>
  <c r="BZ798" i="10"/>
  <c r="AY935" i="10"/>
  <c r="CA935" i="10"/>
  <c r="BZ935" i="10"/>
  <c r="CI935" i="10"/>
  <c r="CF228" i="10"/>
  <c r="CJ881" i="10"/>
  <c r="DT881" i="10" s="1"/>
  <c r="CB881" i="10"/>
  <c r="CF881" i="10" s="1"/>
  <c r="CJ166" i="10"/>
  <c r="DT166" i="10" s="1"/>
  <c r="CB166" i="10"/>
  <c r="DN506" i="10"/>
  <c r="BP506" i="10" s="1"/>
  <c r="AN606" i="10"/>
  <c r="DV75" i="10"/>
  <c r="DP75" i="10" s="1"/>
  <c r="BQ75" i="10" s="1"/>
  <c r="DQ75" i="10" s="1"/>
  <c r="DV171" i="10"/>
  <c r="DV267" i="10"/>
  <c r="DV217" i="10"/>
  <c r="DV373" i="10"/>
  <c r="DV101" i="10"/>
  <c r="DV454" i="10"/>
  <c r="DP454" i="10" s="1"/>
  <c r="BQ454" i="10" s="1"/>
  <c r="DQ454" i="10" s="1"/>
  <c r="DV506" i="10"/>
  <c r="DV515" i="10"/>
  <c r="DV404" i="10"/>
  <c r="DV452" i="10"/>
  <c r="DP452" i="10" s="1"/>
  <c r="BQ452" i="10" s="1"/>
  <c r="DQ452" i="10" s="1"/>
  <c r="DV500" i="10"/>
  <c r="DP500" i="10" s="1"/>
  <c r="BQ500" i="10" s="1"/>
  <c r="DQ500" i="10" s="1"/>
  <c r="DV548" i="10"/>
  <c r="DV596" i="10"/>
  <c r="DV397" i="10"/>
  <c r="DV501" i="10"/>
  <c r="DV670" i="10"/>
  <c r="DV826" i="10"/>
  <c r="DV863" i="10"/>
  <c r="DV841" i="10"/>
  <c r="DP841" i="10" s="1"/>
  <c r="BQ841" i="10" s="1"/>
  <c r="CA804" i="10"/>
  <c r="DT893" i="10"/>
  <c r="DN126" i="10"/>
  <c r="BP126" i="10" s="1"/>
  <c r="DO126" i="10" s="1"/>
  <c r="DV901" i="10"/>
  <c r="DP901" i="10" s="1"/>
  <c r="BQ901" i="10" s="1"/>
  <c r="DV949" i="10"/>
  <c r="DP949" i="10" s="1"/>
  <c r="BQ949" i="10" s="1"/>
  <c r="DQ949" i="10" s="1"/>
  <c r="DV984" i="10"/>
  <c r="DV922" i="10"/>
  <c r="DP922" i="10" s="1"/>
  <c r="BQ922" i="10" s="1"/>
  <c r="DQ922" i="10" s="1"/>
  <c r="DV970" i="10"/>
  <c r="DV967" i="10"/>
  <c r="AQ765" i="10"/>
  <c r="CA852" i="10"/>
  <c r="CJ351" i="10"/>
  <c r="CB351" i="10"/>
  <c r="CF351" i="10" s="1"/>
  <c r="AW1006" i="10"/>
  <c r="AN1006" i="10"/>
  <c r="BY977" i="10"/>
  <c r="DU977" i="10" s="1"/>
  <c r="DY977" i="10"/>
  <c r="AW515" i="10"/>
  <c r="AN515" i="10"/>
  <c r="CJ682" i="10"/>
  <c r="DT682" i="10" s="1"/>
  <c r="CB682" i="10"/>
  <c r="CF682" i="10" s="1"/>
  <c r="BX751" i="10"/>
  <c r="DY751" i="10"/>
  <c r="BY264" i="10"/>
  <c r="DU264" i="10" s="1"/>
  <c r="DY264" i="10"/>
  <c r="BZ840" i="10"/>
  <c r="CD440" i="10"/>
  <c r="CH440" i="10" s="1"/>
  <c r="CL440" i="10"/>
  <c r="AN1000" i="10"/>
  <c r="AQ284" i="10"/>
  <c r="CJ846" i="10"/>
  <c r="DT846" i="10" s="1"/>
  <c r="CB846" i="10"/>
  <c r="CF846" i="10" s="1"/>
  <c r="BZ774" i="10"/>
  <c r="CI774" i="10"/>
  <c r="CL752" i="10"/>
  <c r="CD752" i="10"/>
  <c r="CH752" i="10" s="1"/>
  <c r="CL354" i="10"/>
  <c r="CD354" i="10"/>
  <c r="CH354" i="10" s="1"/>
  <c r="BZ351" i="10"/>
  <c r="CL1006" i="10"/>
  <c r="CD1006" i="10"/>
  <c r="CH1006" i="10" s="1"/>
  <c r="CJ935" i="10"/>
  <c r="DT935" i="10" s="1"/>
  <c r="CB935" i="10"/>
  <c r="CA352" i="10"/>
  <c r="CI352" i="10"/>
  <c r="CJ467" i="10"/>
  <c r="DT467" i="10" s="1"/>
  <c r="CB467" i="10"/>
  <c r="CF467" i="10" s="1"/>
  <c r="DP866" i="10"/>
  <c r="BQ866" i="10" s="1"/>
  <c r="DQ866" i="10" s="1"/>
  <c r="DT333" i="10"/>
  <c r="DT245" i="10"/>
  <c r="AN41" i="10"/>
  <c r="DY393" i="10"/>
  <c r="DY869" i="10"/>
  <c r="AN733" i="10"/>
  <c r="DN105" i="10"/>
  <c r="BP105" i="10" s="1"/>
  <c r="DO105" i="10" s="1"/>
  <c r="DV127" i="10"/>
  <c r="DV223" i="10"/>
  <c r="DP223" i="10" s="1"/>
  <c r="BQ223" i="10" s="1"/>
  <c r="DQ223" i="10" s="1"/>
  <c r="DV271" i="10"/>
  <c r="DV148" i="10"/>
  <c r="DV256" i="10"/>
  <c r="DP256" i="10" s="1"/>
  <c r="BQ256" i="10" s="1"/>
  <c r="DQ256" i="10" s="1"/>
  <c r="DV377" i="10"/>
  <c r="DV57" i="10"/>
  <c r="DP57" i="10" s="1"/>
  <c r="BQ57" i="10" s="1"/>
  <c r="DQ57" i="10" s="1"/>
  <c r="DV153" i="10"/>
  <c r="DV297" i="10"/>
  <c r="DV458" i="10"/>
  <c r="DV562" i="10"/>
  <c r="DV614" i="10"/>
  <c r="DV355" i="10"/>
  <c r="DV463" i="10"/>
  <c r="DV505" i="10"/>
  <c r="DV557" i="10"/>
  <c r="DV701" i="10"/>
  <c r="DP701" i="10" s="1"/>
  <c r="BQ701" i="10" s="1"/>
  <c r="DV674" i="10"/>
  <c r="DV830" i="10"/>
  <c r="DV659" i="10"/>
  <c r="DV711" i="10"/>
  <c r="DV845" i="10"/>
  <c r="DN972" i="10"/>
  <c r="BP972" i="10" s="1"/>
  <c r="DN515" i="10"/>
  <c r="BP515" i="10" s="1"/>
  <c r="DO515" i="10" s="1"/>
  <c r="DV905" i="10"/>
  <c r="DP905" i="10" s="1"/>
  <c r="BQ905" i="10" s="1"/>
  <c r="DQ905" i="10" s="1"/>
  <c r="DV953" i="10"/>
  <c r="DV975" i="10"/>
  <c r="DP975" i="10" s="1"/>
  <c r="BQ975" i="10" s="1"/>
  <c r="AQ977" i="10"/>
  <c r="CL163" i="10"/>
  <c r="BZ705" i="10"/>
  <c r="BY1006" i="10"/>
  <c r="DU1006" i="10" s="1"/>
  <c r="DY1006" i="10"/>
  <c r="BZ257" i="10"/>
  <c r="AQ511" i="10"/>
  <c r="AY840" i="10"/>
  <c r="CJ798" i="10"/>
  <c r="DT798" i="10" s="1"/>
  <c r="CB798" i="10"/>
  <c r="CF798" i="10" s="1"/>
  <c r="CJ774" i="10"/>
  <c r="DT774" i="10" s="1"/>
  <c r="CB774" i="10"/>
  <c r="CF774" i="10" s="1"/>
  <c r="AW269" i="10"/>
  <c r="CL948" i="10"/>
  <c r="CD948" i="10"/>
  <c r="CH948" i="10" s="1"/>
  <c r="CD1008" i="10"/>
  <c r="CH1008" i="10" s="1"/>
  <c r="CL1008" i="10"/>
  <c r="CJ352" i="10"/>
  <c r="DT352" i="10" s="1"/>
  <c r="CB352" i="10"/>
  <c r="CF352" i="10" s="1"/>
  <c r="CF346" i="10"/>
  <c r="DN346" i="10"/>
  <c r="BP346" i="10" s="1"/>
  <c r="DO346" i="10" s="1"/>
  <c r="AW596" i="10"/>
  <c r="DV83" i="10"/>
  <c r="DV334" i="10"/>
  <c r="DV467" i="10"/>
  <c r="DV379" i="10"/>
  <c r="DV705" i="10"/>
  <c r="DV607" i="10"/>
  <c r="DP607" i="10" s="1"/>
  <c r="BQ607" i="10" s="1"/>
  <c r="DQ607" i="10" s="1"/>
  <c r="DV944" i="10"/>
  <c r="DV992" i="10"/>
  <c r="BY995" i="10"/>
  <c r="DU995" i="10" s="1"/>
  <c r="DY995" i="10"/>
  <c r="BX974" i="10"/>
  <c r="DY974" i="10"/>
  <c r="BY233" i="10"/>
  <c r="DY233" i="10"/>
  <c r="BY612" i="10"/>
  <c r="DU612" i="10" s="1"/>
  <c r="DY612" i="10"/>
  <c r="CL821" i="10"/>
  <c r="CD821" i="10"/>
  <c r="CH821" i="10" s="1"/>
  <c r="CD453" i="10"/>
  <c r="CH453" i="10" s="1"/>
  <c r="CL453" i="10"/>
  <c r="CD855" i="10"/>
  <c r="CH855" i="10" s="1"/>
  <c r="CL855" i="10"/>
  <c r="AY768" i="10"/>
  <c r="CI768" i="10"/>
  <c r="AQ796" i="10"/>
  <c r="CL671" i="10"/>
  <c r="CD671" i="10"/>
  <c r="CH671" i="10" s="1"/>
  <c r="CA455" i="10"/>
  <c r="CI455" i="10"/>
  <c r="CD677" i="10"/>
  <c r="CH677" i="10" s="1"/>
  <c r="CL677" i="10"/>
  <c r="AW419" i="10"/>
  <c r="BX242" i="10"/>
  <c r="DV39" i="10"/>
  <c r="DV279" i="10"/>
  <c r="DT945" i="10"/>
  <c r="DP932" i="10"/>
  <c r="BQ932" i="10" s="1"/>
  <c r="DQ932" i="10" s="1"/>
  <c r="DV948" i="10"/>
  <c r="DP948" i="10" s="1"/>
  <c r="BQ948" i="10" s="1"/>
  <c r="DQ948" i="10" s="1"/>
  <c r="DV934" i="10"/>
  <c r="DP934" i="10" s="1"/>
  <c r="BQ934" i="10" s="1"/>
  <c r="DQ934" i="10" s="1"/>
  <c r="AQ973" i="10"/>
  <c r="AY357" i="10"/>
  <c r="CI357" i="10"/>
  <c r="CA383" i="10"/>
  <c r="BZ357" i="10"/>
  <c r="AW931" i="10"/>
  <c r="AN931" i="10"/>
  <c r="BY641" i="10"/>
  <c r="DY641" i="10"/>
  <c r="AN342" i="10"/>
  <c r="AW342" i="10"/>
  <c r="BY986" i="10"/>
  <c r="DY986" i="10"/>
  <c r="CD249" i="10"/>
  <c r="CH249" i="10" s="1"/>
  <c r="CL249" i="10"/>
  <c r="CJ840" i="10"/>
  <c r="DT840" i="10" s="1"/>
  <c r="CB840" i="10"/>
  <c r="CF840" i="10" s="1"/>
  <c r="AY792" i="10"/>
  <c r="CJ768" i="10"/>
  <c r="DT768" i="10" s="1"/>
  <c r="CB768" i="10"/>
  <c r="CF768" i="10" s="1"/>
  <c r="AY497" i="10"/>
  <c r="DP799" i="10"/>
  <c r="BQ799" i="10" s="1"/>
  <c r="DQ799" i="10" s="1"/>
  <c r="DN200" i="10"/>
  <c r="BP200" i="10" s="1"/>
  <c r="DO200" i="10" s="1"/>
  <c r="DV187" i="10"/>
  <c r="DP187" i="10" s="1"/>
  <c r="BQ187" i="10" s="1"/>
  <c r="DQ187" i="10" s="1"/>
  <c r="CA525" i="10"/>
  <c r="DT952" i="10"/>
  <c r="DT982" i="10"/>
  <c r="AN260" i="10"/>
  <c r="AW260" i="10"/>
  <c r="BY837" i="10"/>
  <c r="DU837" i="10" s="1"/>
  <c r="DY837" i="10"/>
  <c r="AW952" i="10"/>
  <c r="AN952" i="10"/>
  <c r="BY931" i="10"/>
  <c r="DY931" i="10"/>
  <c r="CL584" i="10"/>
  <c r="CD584" i="10"/>
  <c r="CH584" i="10" s="1"/>
  <c r="BZ852" i="10"/>
  <c r="AY98" i="10"/>
  <c r="CI98" i="10"/>
  <c r="CD240" i="10"/>
  <c r="CH240" i="10" s="1"/>
  <c r="CL240" i="10"/>
  <c r="CD816" i="10"/>
  <c r="CH816" i="10" s="1"/>
  <c r="CL816" i="10"/>
  <c r="CJ792" i="10"/>
  <c r="DT792" i="10" s="1"/>
  <c r="CB792" i="10"/>
  <c r="CF792" i="10" s="1"/>
  <c r="AY762" i="10"/>
  <c r="CA762" i="10"/>
  <c r="CI762" i="10"/>
  <c r="AY171" i="10"/>
  <c r="BZ171" i="10"/>
  <c r="CI171" i="10"/>
  <c r="CJ497" i="10"/>
  <c r="DT497" i="10" s="1"/>
  <c r="DP497" i="10" s="1"/>
  <c r="BQ497" i="10" s="1"/>
  <c r="DQ497" i="10" s="1"/>
  <c r="CB497" i="10"/>
  <c r="CD449" i="10"/>
  <c r="CH449" i="10" s="1"/>
  <c r="CL449" i="10"/>
  <c r="DP877" i="10"/>
  <c r="BQ877" i="10" s="1"/>
  <c r="DQ877" i="10" s="1"/>
  <c r="DT386" i="10"/>
  <c r="DT271" i="10"/>
  <c r="AQ134" i="10"/>
  <c r="DV95" i="10"/>
  <c r="DV169" i="10"/>
  <c r="DP169" i="10" s="1"/>
  <c r="BQ169" i="10" s="1"/>
  <c r="DQ169" i="10" s="1"/>
  <c r="DV526" i="10"/>
  <c r="DP526" i="10" s="1"/>
  <c r="BQ526" i="10" s="1"/>
  <c r="DQ526" i="10" s="1"/>
  <c r="AQ695" i="10"/>
  <c r="AQ208" i="10"/>
  <c r="AQ398" i="10"/>
  <c r="DV990" i="10"/>
  <c r="BY952" i="10"/>
  <c r="DU952" i="10" s="1"/>
  <c r="DY952" i="10"/>
  <c r="AW953" i="10"/>
  <c r="AN953" i="10"/>
  <c r="BZ917" i="10"/>
  <c r="AY917" i="10"/>
  <c r="CI917" i="10"/>
  <c r="BY683" i="10"/>
  <c r="DU683" i="10" s="1"/>
  <c r="DY683" i="10"/>
  <c r="CA265" i="10"/>
  <c r="BY956" i="10"/>
  <c r="DU956" i="10" s="1"/>
  <c r="DY956" i="10"/>
  <c r="BY992" i="10"/>
  <c r="DU992" i="10" s="1"/>
  <c r="DY992" i="10"/>
  <c r="CJ98" i="10"/>
  <c r="DT98" i="10" s="1"/>
  <c r="CB98" i="10"/>
  <c r="CF98" i="10" s="1"/>
  <c r="CA870" i="10"/>
  <c r="AY870" i="10"/>
  <c r="CI870" i="10"/>
  <c r="CA816" i="10"/>
  <c r="CI816" i="10"/>
  <c r="CJ762" i="10"/>
  <c r="DT762" i="10" s="1"/>
  <c r="CB762" i="10"/>
  <c r="CF762" i="10" s="1"/>
  <c r="AN330" i="10"/>
  <c r="AW330" i="10"/>
  <c r="BZ301" i="10"/>
  <c r="CA301" i="10"/>
  <c r="CI301" i="10"/>
  <c r="BZ449" i="10"/>
  <c r="CA449" i="10"/>
  <c r="CI449" i="10"/>
  <c r="DP658" i="10"/>
  <c r="BQ658" i="10" s="1"/>
  <c r="DQ658" i="10" s="1"/>
  <c r="DV147" i="10"/>
  <c r="DV243" i="10"/>
  <c r="DV744" i="10"/>
  <c r="AQ152" i="10"/>
  <c r="AQ350" i="10"/>
  <c r="AW609" i="10"/>
  <c r="AW327" i="10"/>
  <c r="AW692" i="10"/>
  <c r="BZ804" i="10"/>
  <c r="CB473" i="10"/>
  <c r="BZ383" i="10"/>
  <c r="BY861" i="10"/>
  <c r="DU861" i="10" s="1"/>
  <c r="DY861" i="10"/>
  <c r="AN521" i="10"/>
  <c r="BY953" i="10"/>
  <c r="DY953" i="10"/>
  <c r="BY1013" i="10"/>
  <c r="DY1013" i="10"/>
  <c r="CJ917" i="10"/>
  <c r="DT917" i="10" s="1"/>
  <c r="CB917" i="10"/>
  <c r="CF917" i="10" s="1"/>
  <c r="CL380" i="10"/>
  <c r="CD380" i="10"/>
  <c r="CH380" i="10" s="1"/>
  <c r="CJ870" i="10"/>
  <c r="CB870" i="10"/>
  <c r="CF870" i="10" s="1"/>
  <c r="CJ816" i="10"/>
  <c r="DT816" i="10" s="1"/>
  <c r="CB816" i="10"/>
  <c r="CF816" i="10" s="1"/>
  <c r="CA786" i="10"/>
  <c r="CI786" i="10"/>
  <c r="AY756" i="10"/>
  <c r="CI756" i="10"/>
  <c r="BZ756" i="10"/>
  <c r="AY149" i="10"/>
  <c r="CI149" i="10"/>
  <c r="AY461" i="10"/>
  <c r="CA461" i="10"/>
  <c r="BZ461" i="10"/>
  <c r="CI461" i="10"/>
  <c r="CL301" i="10"/>
  <c r="CD301" i="10"/>
  <c r="CH301" i="10" s="1"/>
  <c r="CL283" i="10"/>
  <c r="CD283" i="10"/>
  <c r="CH283" i="10" s="1"/>
  <c r="CJ1006" i="10"/>
  <c r="DT1006" i="10" s="1"/>
  <c r="CB1006" i="10"/>
  <c r="CF1006" i="10" s="1"/>
  <c r="CJ479" i="10"/>
  <c r="DT479" i="10" s="1"/>
  <c r="DP479" i="10" s="1"/>
  <c r="BQ479" i="10" s="1"/>
  <c r="DQ479" i="10" s="1"/>
  <c r="CB479" i="10"/>
  <c r="CF479" i="10" s="1"/>
  <c r="CJ449" i="10"/>
  <c r="DT449" i="10" s="1"/>
  <c r="CB449" i="10"/>
  <c r="CF449" i="10" s="1"/>
  <c r="CD541" i="10"/>
  <c r="CH541" i="10" s="1"/>
  <c r="CL541" i="10"/>
  <c r="AW19" i="10"/>
  <c r="DV295" i="10"/>
  <c r="DT984" i="10"/>
  <c r="DN804" i="10"/>
  <c r="BP804" i="10" s="1"/>
  <c r="DO804" i="10" s="1"/>
  <c r="DV977" i="10"/>
  <c r="DP977" i="10" s="1"/>
  <c r="BQ977" i="10" s="1"/>
  <c r="DQ977" i="10" s="1"/>
  <c r="DV902" i="10"/>
  <c r="DP902" i="10" s="1"/>
  <c r="BQ902" i="10" s="1"/>
  <c r="DV879" i="10"/>
  <c r="DN1004" i="10"/>
  <c r="BP1004" i="10" s="1"/>
  <c r="DO1004" i="10" s="1"/>
  <c r="CA705" i="10"/>
  <c r="AY890" i="10"/>
  <c r="CI890" i="10"/>
  <c r="AY899" i="10"/>
  <c r="BZ899" i="10"/>
  <c r="CI899" i="10"/>
  <c r="BY976" i="10"/>
  <c r="DU976" i="10" s="1"/>
  <c r="DY976" i="10"/>
  <c r="AY990" i="10"/>
  <c r="CI990" i="10"/>
  <c r="BY998" i="10"/>
  <c r="DU998" i="10" s="1"/>
  <c r="DY998" i="10"/>
  <c r="CJ80" i="10"/>
  <c r="DT80" i="10" s="1"/>
  <c r="CB80" i="10"/>
  <c r="CF80" i="10" s="1"/>
  <c r="AY858" i="10"/>
  <c r="CI858" i="10"/>
  <c r="CJ786" i="10"/>
  <c r="DT786" i="10" s="1"/>
  <c r="CB786" i="10"/>
  <c r="CF786" i="10" s="1"/>
  <c r="CJ756" i="10"/>
  <c r="DT756" i="10" s="1"/>
  <c r="CB756" i="10"/>
  <c r="CF756" i="10" s="1"/>
  <c r="CJ461" i="10"/>
  <c r="DT461" i="10" s="1"/>
  <c r="CB461" i="10"/>
  <c r="CF461" i="10" s="1"/>
  <c r="DT326" i="10"/>
  <c r="DP164" i="10"/>
  <c r="BQ164" i="10" s="1"/>
  <c r="DQ164" i="10" s="1"/>
  <c r="AN797" i="10"/>
  <c r="DN798" i="10"/>
  <c r="BP798" i="10" s="1"/>
  <c r="DO798" i="10" s="1"/>
  <c r="DV290" i="10"/>
  <c r="DN977" i="10"/>
  <c r="BP977" i="10" s="1"/>
  <c r="DO977" i="10" s="1"/>
  <c r="DN276" i="10"/>
  <c r="BP276" i="10" s="1"/>
  <c r="DO276" i="10" s="1"/>
  <c r="CJ890" i="10"/>
  <c r="DT890" i="10" s="1"/>
  <c r="CB890" i="10"/>
  <c r="CF890" i="10" s="1"/>
  <c r="CJ899" i="10"/>
  <c r="DT899" i="10" s="1"/>
  <c r="CB899" i="10"/>
  <c r="CF899" i="10" s="1"/>
  <c r="AY560" i="10"/>
  <c r="CI560" i="10"/>
  <c r="BY959" i="10"/>
  <c r="DY959" i="10"/>
  <c r="AW545" i="10"/>
  <c r="AN545" i="10"/>
  <c r="CJ990" i="10"/>
  <c r="DT990" i="10" s="1"/>
  <c r="CB990" i="10"/>
  <c r="AY257" i="10"/>
  <c r="CI257" i="10"/>
  <c r="BY462" i="10"/>
  <c r="DU462" i="10" s="1"/>
  <c r="DY462" i="10"/>
  <c r="CL978" i="10"/>
  <c r="CD978" i="10"/>
  <c r="CH978" i="10" s="1"/>
  <c r="BZ890" i="10"/>
  <c r="AN1004" i="10"/>
  <c r="AW1004" i="10"/>
  <c r="CJ858" i="10"/>
  <c r="DT858" i="10" s="1"/>
  <c r="CB858" i="10"/>
  <c r="CF858" i="10" s="1"/>
  <c r="CJ810" i="10"/>
  <c r="DT810" i="10" s="1"/>
  <c r="CB810" i="10"/>
  <c r="CF810" i="10" s="1"/>
  <c r="AY780" i="10"/>
  <c r="CJ161" i="10"/>
  <c r="DT161" i="10" s="1"/>
  <c r="CB161" i="10"/>
  <c r="CF161" i="10" s="1"/>
  <c r="CD603" i="10"/>
  <c r="CH603" i="10" s="1"/>
  <c r="CL603" i="10"/>
  <c r="CL867" i="10"/>
  <c r="CD867" i="10"/>
  <c r="CH867" i="10" s="1"/>
  <c r="DN886" i="10"/>
  <c r="BP886" i="10" s="1"/>
  <c r="DO886" i="10" s="1"/>
  <c r="CF886" i="10"/>
  <c r="DN910" i="10"/>
  <c r="BP910" i="10" s="1"/>
  <c r="DO910" i="10" s="1"/>
  <c r="CF910" i="10"/>
  <c r="CU25" i="10"/>
  <c r="CU67" i="10"/>
  <c r="DV67" i="10" s="1"/>
  <c r="DC29" i="10"/>
  <c r="DV107" i="10"/>
  <c r="DP107" i="10" s="1"/>
  <c r="BQ107" i="10" s="1"/>
  <c r="DQ107" i="10" s="1"/>
  <c r="DV36" i="10"/>
  <c r="DC19" i="10"/>
  <c r="DV19" i="10" s="1"/>
  <c r="DN103" i="10"/>
  <c r="BP103" i="10" s="1"/>
  <c r="AW16" i="10"/>
  <c r="AQ78" i="10"/>
  <c r="DT104" i="10"/>
  <c r="AW70" i="10"/>
  <c r="DP49" i="10"/>
  <c r="BQ49" i="10" s="1"/>
  <c r="DQ49" i="10" s="1"/>
  <c r="DT56" i="10"/>
  <c r="DN47" i="10"/>
  <c r="BP47" i="10" s="1"/>
  <c r="DO47" i="10" s="1"/>
  <c r="DC76" i="10"/>
  <c r="DV76" i="10" s="1"/>
  <c r="DN66" i="10"/>
  <c r="BP66" i="10" s="1"/>
  <c r="DO66" i="10" s="1"/>
  <c r="BX44" i="10"/>
  <c r="DN44" i="10" s="1"/>
  <c r="BP44" i="10" s="1"/>
  <c r="DO44" i="10" s="1"/>
  <c r="DV31" i="10"/>
  <c r="DP31" i="10" s="1"/>
  <c r="BQ31" i="10" s="1"/>
  <c r="DQ31" i="10" s="1"/>
  <c r="DV105" i="10"/>
  <c r="DP105" i="10" s="1"/>
  <c r="BQ105" i="10" s="1"/>
  <c r="DC100" i="10"/>
  <c r="DV100" i="10" s="1"/>
  <c r="DN36" i="10"/>
  <c r="BP36" i="10" s="1"/>
  <c r="DO36" i="10" s="1"/>
  <c r="AY65" i="10"/>
  <c r="CI65" i="10"/>
  <c r="DN61" i="10"/>
  <c r="BP61" i="10" s="1"/>
  <c r="DC28" i="10"/>
  <c r="DV28" i="10" s="1"/>
  <c r="BX22" i="10"/>
  <c r="AY105" i="10"/>
  <c r="CI105" i="10"/>
  <c r="DC87" i="10"/>
  <c r="AY39" i="10"/>
  <c r="AY33" i="10"/>
  <c r="CL34" i="10"/>
  <c r="CD34" i="10"/>
  <c r="CH34" i="10" s="1"/>
  <c r="CL88" i="10"/>
  <c r="CD88" i="10"/>
  <c r="CH88" i="10" s="1"/>
  <c r="DN77" i="10"/>
  <c r="BP77" i="10" s="1"/>
  <c r="DO77" i="10" s="1"/>
  <c r="DC17" i="10"/>
  <c r="DV17" i="10" s="1"/>
  <c r="DY82" i="10"/>
  <c r="DC22" i="10"/>
  <c r="DV22" i="10" s="1"/>
  <c r="CL44" i="10"/>
  <c r="CD44" i="10"/>
  <c r="CH44" i="10" s="1"/>
  <c r="AY71" i="10"/>
  <c r="CI71" i="10"/>
  <c r="CD566" i="10"/>
  <c r="CH566" i="10" s="1"/>
  <c r="CL566" i="10"/>
  <c r="DP749" i="10"/>
  <c r="BQ749" i="10" s="1"/>
  <c r="DQ749" i="10" s="1"/>
  <c r="DT494" i="10"/>
  <c r="DN410" i="10"/>
  <c r="BP410" i="10" s="1"/>
  <c r="AN525" i="10"/>
  <c r="DY237" i="10"/>
  <c r="EA237" i="10" s="1"/>
  <c r="AW517" i="10"/>
  <c r="DN679" i="10"/>
  <c r="BP679" i="10" s="1"/>
  <c r="DO679" i="10" s="1"/>
  <c r="DN509" i="10"/>
  <c r="BP509" i="10" s="1"/>
  <c r="DV183" i="10"/>
  <c r="DV182" i="10"/>
  <c r="DV394" i="10"/>
  <c r="DP394" i="10" s="1"/>
  <c r="BQ394" i="10" s="1"/>
  <c r="DQ394" i="10" s="1"/>
  <c r="DV466" i="10"/>
  <c r="DP466" i="10" s="1"/>
  <c r="BQ466" i="10" s="1"/>
  <c r="DV518" i="10"/>
  <c r="DV663" i="10"/>
  <c r="DP663" i="10" s="1"/>
  <c r="BQ663" i="10" s="1"/>
  <c r="DQ663" i="10" s="1"/>
  <c r="AY335" i="10"/>
  <c r="CI335" i="10"/>
  <c r="CL466" i="10"/>
  <c r="CD466" i="10"/>
  <c r="CH466" i="10" s="1"/>
  <c r="CJ589" i="10"/>
  <c r="DT589" i="10" s="1"/>
  <c r="CB589" i="10"/>
  <c r="CF589" i="10" s="1"/>
  <c r="DT875" i="10"/>
  <c r="DP875" i="10" s="1"/>
  <c r="BQ875" i="10" s="1"/>
  <c r="DQ875" i="10" s="1"/>
  <c r="DT559" i="10"/>
  <c r="DP559" i="10" s="1"/>
  <c r="BQ559" i="10" s="1"/>
  <c r="DQ559" i="10" s="1"/>
  <c r="DT725" i="10"/>
  <c r="DT598" i="10"/>
  <c r="DT451" i="10"/>
  <c r="DT400" i="10"/>
  <c r="AW599" i="10"/>
  <c r="AN30" i="10"/>
  <c r="AN474" i="10"/>
  <c r="AW145" i="10"/>
  <c r="DY878" i="10"/>
  <c r="DN631" i="10"/>
  <c r="BP631" i="10" s="1"/>
  <c r="DO631" i="10" s="1"/>
  <c r="DN176" i="10"/>
  <c r="BP176" i="10" s="1"/>
  <c r="DO176" i="10" s="1"/>
  <c r="DV43" i="10"/>
  <c r="DV574" i="10"/>
  <c r="DP574" i="10" s="1"/>
  <c r="BQ574" i="10" s="1"/>
  <c r="DQ574" i="10" s="1"/>
  <c r="DV626" i="10"/>
  <c r="DV132" i="10"/>
  <c r="DV682" i="10"/>
  <c r="DV734" i="10"/>
  <c r="DV611" i="10"/>
  <c r="DV667" i="10"/>
  <c r="DP667" i="10" s="1"/>
  <c r="BQ667" i="10" s="1"/>
  <c r="DQ667" i="10" s="1"/>
  <c r="DV719" i="10"/>
  <c r="DP719" i="10" s="1"/>
  <c r="BQ719" i="10" s="1"/>
  <c r="DQ719" i="10" s="1"/>
  <c r="DV823" i="10"/>
  <c r="DP823" i="10" s="1"/>
  <c r="BQ823" i="10" s="1"/>
  <c r="DQ823" i="10" s="1"/>
  <c r="DV110" i="10"/>
  <c r="DT969" i="10"/>
  <c r="DT962" i="10"/>
  <c r="DT966" i="10"/>
  <c r="DN153" i="10"/>
  <c r="BP153" i="10" s="1"/>
  <c r="DO153" i="10" s="1"/>
  <c r="DV917" i="10"/>
  <c r="DV923" i="10"/>
  <c r="DP923" i="10" s="1"/>
  <c r="BQ923" i="10" s="1"/>
  <c r="DV886" i="10"/>
  <c r="DV982" i="10"/>
  <c r="CJ299" i="10"/>
  <c r="DT299" i="10" s="1"/>
  <c r="DP299" i="10" s="1"/>
  <c r="BQ299" i="10" s="1"/>
  <c r="CB299" i="10"/>
  <c r="CD75" i="10"/>
  <c r="CH75" i="10" s="1"/>
  <c r="CL75" i="10"/>
  <c r="CJ335" i="10"/>
  <c r="DT335" i="10" s="1"/>
  <c r="CB335" i="10"/>
  <c r="CF335" i="10" s="1"/>
  <c r="CL322" i="10"/>
  <c r="CD322" i="10"/>
  <c r="CH322" i="10" s="1"/>
  <c r="CD1005" i="10"/>
  <c r="CH1005" i="10" s="1"/>
  <c r="CL1005" i="10"/>
  <c r="AY583" i="10"/>
  <c r="BZ583" i="10"/>
  <c r="CI583" i="10"/>
  <c r="CL534" i="10"/>
  <c r="CD534" i="10"/>
  <c r="CH534" i="10" s="1"/>
  <c r="DT863" i="10"/>
  <c r="DP679" i="10"/>
  <c r="BQ679" i="10" s="1"/>
  <c r="DQ679" i="10" s="1"/>
  <c r="DP655" i="10"/>
  <c r="BQ655" i="10" s="1"/>
  <c r="DQ655" i="10" s="1"/>
  <c r="DT464" i="10"/>
  <c r="DP464" i="10" s="1"/>
  <c r="BQ464" i="10" s="1"/>
  <c r="DQ464" i="10" s="1"/>
  <c r="AW733" i="10"/>
  <c r="AW232" i="10"/>
  <c r="AN89" i="10"/>
  <c r="AW477" i="10"/>
  <c r="AW417" i="10"/>
  <c r="AW208" i="10"/>
  <c r="AN347" i="10"/>
  <c r="BX561" i="10"/>
  <c r="DT561" i="10" s="1"/>
  <c r="AQ113" i="10"/>
  <c r="DN138" i="10"/>
  <c r="BP138" i="10" s="1"/>
  <c r="DO138" i="10" s="1"/>
  <c r="DV341" i="10"/>
  <c r="DV190" i="10"/>
  <c r="DP190" i="10" s="1"/>
  <c r="BQ190" i="10" s="1"/>
  <c r="DQ190" i="10" s="1"/>
  <c r="DV487" i="10"/>
  <c r="DV539" i="10"/>
  <c r="DV469" i="10"/>
  <c r="DV521" i="10"/>
  <c r="DV665" i="10"/>
  <c r="DP665" i="10" s="1"/>
  <c r="BQ665" i="10" s="1"/>
  <c r="DP896" i="10"/>
  <c r="BQ896" i="10" s="1"/>
  <c r="DV296" i="10"/>
  <c r="DP296" i="10" s="1"/>
  <c r="BQ296" i="10" s="1"/>
  <c r="DQ296" i="10" s="1"/>
  <c r="DV930" i="10"/>
  <c r="DP930" i="10" s="1"/>
  <c r="BQ930" i="10" s="1"/>
  <c r="DQ930" i="10" s="1"/>
  <c r="AY299" i="10"/>
  <c r="CI299" i="10"/>
  <c r="BY280" i="10"/>
  <c r="DU280" i="10" s="1"/>
  <c r="DY280" i="10"/>
  <c r="CL1011" i="10"/>
  <c r="CD1011" i="10"/>
  <c r="CH1011" i="10" s="1"/>
  <c r="AQ665" i="10"/>
  <c r="AY330" i="10"/>
  <c r="BZ330" i="10"/>
  <c r="CI330" i="10"/>
  <c r="CF956" i="10"/>
  <c r="CJ583" i="10"/>
  <c r="DT583" i="10" s="1"/>
  <c r="CB583" i="10"/>
  <c r="CF583" i="10" s="1"/>
  <c r="DV410" i="10"/>
  <c r="DP410" i="10" s="1"/>
  <c r="BQ410" i="10" s="1"/>
  <c r="DQ410" i="10" s="1"/>
  <c r="DT318" i="10"/>
  <c r="AW73" i="10"/>
  <c r="AW337" i="10"/>
  <c r="DN35" i="10"/>
  <c r="BP35" i="10" s="1"/>
  <c r="DO35" i="10" s="1"/>
  <c r="AN584" i="10"/>
  <c r="AN279" i="10"/>
  <c r="AN609" i="10"/>
  <c r="DV51" i="10"/>
  <c r="DP51" i="10" s="1"/>
  <c r="BQ51" i="10" s="1"/>
  <c r="DQ51" i="10" s="1"/>
  <c r="DV291" i="10"/>
  <c r="DV221" i="10"/>
  <c r="AQ607" i="10"/>
  <c r="AW566" i="10"/>
  <c r="DT911" i="10"/>
  <c r="DT912" i="10"/>
  <c r="DV130" i="10"/>
  <c r="DN114" i="10"/>
  <c r="BP114" i="10" s="1"/>
  <c r="DO114" i="10" s="1"/>
  <c r="DV889" i="10"/>
  <c r="DV925" i="10"/>
  <c r="DV947" i="10"/>
  <c r="DP947" i="10" s="1"/>
  <c r="BQ947" i="10" s="1"/>
  <c r="DV995" i="10"/>
  <c r="DV969" i="10"/>
  <c r="AN310" i="10"/>
  <c r="AW310" i="10"/>
  <c r="CD974" i="10"/>
  <c r="CH974" i="10" s="1"/>
  <c r="CL974" i="10"/>
  <c r="CJ330" i="10"/>
  <c r="DT330" i="10" s="1"/>
  <c r="CB330" i="10"/>
  <c r="CF330" i="10" s="1"/>
  <c r="AY246" i="10"/>
  <c r="CA246" i="10"/>
  <c r="CI246" i="10"/>
  <c r="CJ39" i="10"/>
  <c r="DT39" i="10" s="1"/>
  <c r="CB39" i="10"/>
  <c r="CF39" i="10" s="1"/>
  <c r="DT835" i="10"/>
  <c r="DN54" i="10"/>
  <c r="BP54" i="10" s="1"/>
  <c r="DO54" i="10" s="1"/>
  <c r="AN192" i="10"/>
  <c r="AN486" i="10"/>
  <c r="BX619" i="10"/>
  <c r="DT619" i="10" s="1"/>
  <c r="BX128" i="10"/>
  <c r="DV151" i="10"/>
  <c r="DP151" i="10" s="1"/>
  <c r="BQ151" i="10" s="1"/>
  <c r="DQ151" i="10" s="1"/>
  <c r="DV81" i="10"/>
  <c r="DP81" i="10" s="1"/>
  <c r="BQ81" i="10" s="1"/>
  <c r="DQ81" i="10" s="1"/>
  <c r="DV358" i="10"/>
  <c r="DP358" i="10" s="1"/>
  <c r="BQ358" i="10" s="1"/>
  <c r="DQ358" i="10" s="1"/>
  <c r="DV430" i="10"/>
  <c r="DP430" i="10" s="1"/>
  <c r="BQ430" i="10" s="1"/>
  <c r="DQ430" i="10" s="1"/>
  <c r="DV482" i="10"/>
  <c r="DP482" i="10" s="1"/>
  <c r="BQ482" i="10" s="1"/>
  <c r="DQ482" i="10" s="1"/>
  <c r="DV577" i="10"/>
  <c r="DV575" i="10"/>
  <c r="DY566" i="10"/>
  <c r="DT879" i="10"/>
  <c r="DN356" i="10"/>
  <c r="BP356" i="10" s="1"/>
  <c r="DO356" i="10" s="1"/>
  <c r="DV881" i="10"/>
  <c r="DV929" i="10"/>
  <c r="DP929" i="10" s="1"/>
  <c r="BQ929" i="10" s="1"/>
  <c r="DQ929" i="10" s="1"/>
  <c r="DV887" i="10"/>
  <c r="DP887" i="10" s="1"/>
  <c r="BQ887" i="10" s="1"/>
  <c r="DV935" i="10"/>
  <c r="DP935" i="10" s="1"/>
  <c r="BQ935" i="10" s="1"/>
  <c r="DV892" i="10"/>
  <c r="DP892" i="10" s="1"/>
  <c r="BQ892" i="10" s="1"/>
  <c r="DV928" i="10"/>
  <c r="DP928" i="10" s="1"/>
  <c r="BQ928" i="10" s="1"/>
  <c r="DQ928" i="10" s="1"/>
  <c r="DV898" i="10"/>
  <c r="DP898" i="10" s="1"/>
  <c r="BQ898" i="10" s="1"/>
  <c r="DQ898" i="10" s="1"/>
  <c r="DV946" i="10"/>
  <c r="DP946" i="10" s="1"/>
  <c r="BQ946" i="10" s="1"/>
  <c r="DV882" i="10"/>
  <c r="DP882" i="10" s="1"/>
  <c r="BQ882" i="10" s="1"/>
  <c r="DV951" i="10"/>
  <c r="DP951" i="10" s="1"/>
  <c r="BQ951" i="10" s="1"/>
  <c r="DV999" i="10"/>
  <c r="BY310" i="10"/>
  <c r="DY310" i="10"/>
  <c r="AY290" i="10"/>
  <c r="BZ290" i="10"/>
  <c r="CA290" i="10"/>
  <c r="CI290" i="10"/>
  <c r="CD396" i="10"/>
  <c r="CH396" i="10" s="1"/>
  <c r="CL396" i="10"/>
  <c r="CL954" i="10"/>
  <c r="CD954" i="10"/>
  <c r="CH954" i="10" s="1"/>
  <c r="CJ246" i="10"/>
  <c r="CB246" i="10"/>
  <c r="CF246" i="10" s="1"/>
  <c r="AY295" i="10"/>
  <c r="CA295" i="10"/>
  <c r="CI295" i="10"/>
  <c r="DT677" i="10"/>
  <c r="DT699" i="10"/>
  <c r="AW101" i="10"/>
  <c r="AN834" i="10"/>
  <c r="AN692" i="10"/>
  <c r="AW728" i="10"/>
  <c r="DY471" i="10"/>
  <c r="AQ787" i="10"/>
  <c r="BX695" i="10"/>
  <c r="DN695" i="10" s="1"/>
  <c r="BP695" i="10" s="1"/>
  <c r="DO695" i="10" s="1"/>
  <c r="DV59" i="10"/>
  <c r="DP59" i="10" s="1"/>
  <c r="BQ59" i="10" s="1"/>
  <c r="DQ59" i="10" s="1"/>
  <c r="DV73" i="10"/>
  <c r="DV154" i="10"/>
  <c r="DV538" i="10"/>
  <c r="DV629" i="10"/>
  <c r="DV754" i="10"/>
  <c r="DP754" i="10" s="1"/>
  <c r="BQ754" i="10" s="1"/>
  <c r="DQ754" i="10" s="1"/>
  <c r="DV806" i="10"/>
  <c r="DV787" i="10"/>
  <c r="DV773" i="10"/>
  <c r="DV869" i="10"/>
  <c r="AQ653" i="10"/>
  <c r="DT1004" i="10"/>
  <c r="DP1004" i="10" s="1"/>
  <c r="BQ1004" i="10" s="1"/>
  <c r="DQ1004" i="10" s="1"/>
  <c r="DV475" i="10"/>
  <c r="DV523" i="10"/>
  <c r="DP523" i="10" s="1"/>
  <c r="BQ523" i="10" s="1"/>
  <c r="DQ523" i="10" s="1"/>
  <c r="DV571" i="10"/>
  <c r="DP571" i="10" s="1"/>
  <c r="BQ571" i="10" s="1"/>
  <c r="DQ571" i="10" s="1"/>
  <c r="DV365" i="10"/>
  <c r="DP365" i="10" s="1"/>
  <c r="BQ365" i="10" s="1"/>
  <c r="DQ365" i="10" s="1"/>
  <c r="DV461" i="10"/>
  <c r="DV509" i="10"/>
  <c r="DP509" i="10" s="1"/>
  <c r="BQ509" i="10" s="1"/>
  <c r="DQ509" i="10" s="1"/>
  <c r="DV386" i="10"/>
  <c r="DV885" i="10"/>
  <c r="DV502" i="10"/>
  <c r="DV550" i="10"/>
  <c r="DV598" i="10"/>
  <c r="DV646" i="10"/>
  <c r="DV694" i="10"/>
  <c r="DV742" i="10"/>
  <c r="DP742" i="10" s="1"/>
  <c r="BQ742" i="10" s="1"/>
  <c r="DQ742" i="10" s="1"/>
  <c r="DV790" i="10"/>
  <c r="DP790" i="10" s="1"/>
  <c r="BQ790" i="10" s="1"/>
  <c r="DQ790" i="10" s="1"/>
  <c r="DV615" i="10"/>
  <c r="DV651" i="10"/>
  <c r="DP651" i="10" s="1"/>
  <c r="BQ651" i="10" s="1"/>
  <c r="DQ651" i="10" s="1"/>
  <c r="DV747" i="10"/>
  <c r="DV891" i="10"/>
  <c r="DP891" i="10" s="1"/>
  <c r="BQ891" i="10" s="1"/>
  <c r="DQ891" i="10" s="1"/>
  <c r="DV968" i="10"/>
  <c r="DV200" i="10"/>
  <c r="DP200" i="10" s="1"/>
  <c r="BQ200" i="10" s="1"/>
  <c r="DQ200" i="10" s="1"/>
  <c r="DN117" i="10"/>
  <c r="BP117" i="10" s="1"/>
  <c r="DO117" i="10" s="1"/>
  <c r="BZ299" i="10"/>
  <c r="CJ290" i="10"/>
  <c r="DT290" i="10" s="1"/>
  <c r="CB290" i="10"/>
  <c r="DN268" i="10"/>
  <c r="BP268" i="10" s="1"/>
  <c r="DO268" i="10" s="1"/>
  <c r="CF268" i="10"/>
  <c r="CJ295" i="10"/>
  <c r="CB295" i="10"/>
  <c r="CF295" i="10" s="1"/>
  <c r="DP944" i="10"/>
  <c r="BQ944" i="10" s="1"/>
  <c r="DQ944" i="10" s="1"/>
  <c r="DT807" i="10"/>
  <c r="DT587" i="10"/>
  <c r="DP587" i="10" s="1"/>
  <c r="BQ587" i="10" s="1"/>
  <c r="DQ587" i="10" s="1"/>
  <c r="DT867" i="10"/>
  <c r="DP707" i="10"/>
  <c r="BQ707" i="10" s="1"/>
  <c r="DQ707" i="10" s="1"/>
  <c r="DT595" i="10"/>
  <c r="DT515" i="10"/>
  <c r="AN236" i="10"/>
  <c r="AN304" i="10"/>
  <c r="AW598" i="10"/>
  <c r="AN113" i="10"/>
  <c r="AW333" i="10"/>
  <c r="AQ232" i="10"/>
  <c r="BX689" i="10"/>
  <c r="DN74" i="10"/>
  <c r="BP74" i="10" s="1"/>
  <c r="DO74" i="10" s="1"/>
  <c r="AQ819" i="10"/>
  <c r="DV255" i="10"/>
  <c r="DV193" i="10"/>
  <c r="DP193" i="10" s="1"/>
  <c r="BQ193" i="10" s="1"/>
  <c r="DQ193" i="10" s="1"/>
  <c r="DV503" i="10"/>
  <c r="DV433" i="10"/>
  <c r="DV485" i="10"/>
  <c r="DV654" i="10"/>
  <c r="DP654" i="10" s="1"/>
  <c r="BQ654" i="10" s="1"/>
  <c r="DV862" i="10"/>
  <c r="DV791" i="10"/>
  <c r="DV417" i="10"/>
  <c r="DV94" i="10"/>
  <c r="DV895" i="10"/>
  <c r="DP895" i="10" s="1"/>
  <c r="BQ895" i="10" s="1"/>
  <c r="DV943" i="10"/>
  <c r="DV972" i="10"/>
  <c r="DP972" i="10" s="1"/>
  <c r="BQ972" i="10" s="1"/>
  <c r="DQ972" i="10" s="1"/>
  <c r="DV914" i="10"/>
  <c r="DP914" i="10" s="1"/>
  <c r="BQ914" i="10" s="1"/>
  <c r="DV959" i="10"/>
  <c r="DV1007" i="10"/>
  <c r="DV942" i="10"/>
  <c r="DP942" i="10" s="1"/>
  <c r="BQ942" i="10" s="1"/>
  <c r="DV978" i="10"/>
  <c r="DV1014" i="10"/>
  <c r="DP1014" i="10" s="1"/>
  <c r="BQ1014" i="10" s="1"/>
  <c r="BY406" i="10"/>
  <c r="DU406" i="10" s="1"/>
  <c r="DP406" i="10" s="1"/>
  <c r="BQ406" i="10" s="1"/>
  <c r="DQ406" i="10" s="1"/>
  <c r="DY406" i="10"/>
  <c r="AQ941" i="10"/>
  <c r="CL154" i="10"/>
  <c r="CD154" i="10"/>
  <c r="CH154" i="10" s="1"/>
  <c r="CD575" i="10"/>
  <c r="CH575" i="10" s="1"/>
  <c r="CL575" i="10"/>
  <c r="CD642" i="10"/>
  <c r="CH642" i="10" s="1"/>
  <c r="CL642" i="10"/>
  <c r="AY572" i="10"/>
  <c r="CI572" i="10"/>
  <c r="DT685" i="10"/>
  <c r="DT688" i="10"/>
  <c r="DP688" i="10" s="1"/>
  <c r="BQ688" i="10" s="1"/>
  <c r="DQ688" i="10" s="1"/>
  <c r="DT693" i="10"/>
  <c r="DT264" i="10"/>
  <c r="DT182" i="10"/>
  <c r="AW132" i="10"/>
  <c r="AW842" i="10"/>
  <c r="DV115" i="10"/>
  <c r="DV446" i="10"/>
  <c r="DP446" i="10" s="1"/>
  <c r="BQ446" i="10" s="1"/>
  <c r="DQ446" i="10" s="1"/>
  <c r="DV541" i="10"/>
  <c r="DV312" i="10"/>
  <c r="DP312" i="10" s="1"/>
  <c r="BQ312" i="10" s="1"/>
  <c r="DV420" i="10"/>
  <c r="DV824" i="10"/>
  <c r="DN232" i="10"/>
  <c r="BP232" i="10" s="1"/>
  <c r="DO232" i="10" s="1"/>
  <c r="DN335" i="10"/>
  <c r="BP335" i="10" s="1"/>
  <c r="DO335" i="10" s="1"/>
  <c r="DV893" i="10"/>
  <c r="DP893" i="10" s="1"/>
  <c r="BQ893" i="10" s="1"/>
  <c r="DQ893" i="10" s="1"/>
  <c r="DV176" i="10"/>
  <c r="DP176" i="10" s="1"/>
  <c r="BQ176" i="10" s="1"/>
  <c r="DQ176" i="10" s="1"/>
  <c r="DV910" i="10"/>
  <c r="DP910" i="10" s="1"/>
  <c r="BQ910" i="10" s="1"/>
  <c r="DQ910" i="10" s="1"/>
  <c r="DV248" i="10"/>
  <c r="CD251" i="10"/>
  <c r="CH251" i="10" s="1"/>
  <c r="CL251" i="10"/>
  <c r="CJ261" i="10"/>
  <c r="DT261" i="10" s="1"/>
  <c r="CB261" i="10"/>
  <c r="CF261" i="10" s="1"/>
  <c r="AQ753" i="10"/>
  <c r="DN301" i="10"/>
  <c r="BP301" i="10" s="1"/>
  <c r="DO301" i="10" s="1"/>
  <c r="CF301" i="10"/>
  <c r="CJ572" i="10"/>
  <c r="DT572" i="10" s="1"/>
  <c r="CB572" i="10"/>
  <c r="CF572" i="10" s="1"/>
  <c r="DT505" i="10"/>
  <c r="DT61" i="10"/>
  <c r="DP514" i="10"/>
  <c r="BQ514" i="10" s="1"/>
  <c r="DQ514" i="10" s="1"/>
  <c r="DT344" i="10"/>
  <c r="DT150" i="10"/>
  <c r="AN26" i="10"/>
  <c r="AN684" i="10"/>
  <c r="AN327" i="10"/>
  <c r="AW469" i="10"/>
  <c r="AN632" i="10"/>
  <c r="DY583" i="10"/>
  <c r="ED583" i="10" s="1"/>
  <c r="AQ290" i="10"/>
  <c r="AQ192" i="10"/>
  <c r="BX603" i="10"/>
  <c r="DV71" i="10"/>
  <c r="DP71" i="10" s="1"/>
  <c r="BQ71" i="10" s="1"/>
  <c r="DQ71" i="10" s="1"/>
  <c r="DV374" i="10"/>
  <c r="DV554" i="10"/>
  <c r="DV593" i="10"/>
  <c r="DV662" i="10"/>
  <c r="DV714" i="10"/>
  <c r="DP714" i="10" s="1"/>
  <c r="BQ714" i="10" s="1"/>
  <c r="DQ714" i="10" s="1"/>
  <c r="DV808" i="10"/>
  <c r="DV737" i="10"/>
  <c r="DV833" i="10"/>
  <c r="DP833" i="10" s="1"/>
  <c r="BQ833" i="10" s="1"/>
  <c r="DQ833" i="10" s="1"/>
  <c r="DT996" i="10"/>
  <c r="DT968" i="10"/>
  <c r="CJ251" i="10"/>
  <c r="DT251" i="10" s="1"/>
  <c r="CB251" i="10"/>
  <c r="AY261" i="10"/>
  <c r="CI261" i="10"/>
  <c r="CL618" i="10"/>
  <c r="CD618" i="10"/>
  <c r="CH618" i="10" s="1"/>
  <c r="CL275" i="10"/>
  <c r="CD275" i="10"/>
  <c r="CH275" i="10" s="1"/>
  <c r="CL368" i="10"/>
  <c r="CD368" i="10"/>
  <c r="CH368" i="10" s="1"/>
  <c r="DP868" i="10"/>
  <c r="BQ868" i="10" s="1"/>
  <c r="DQ868" i="10" s="1"/>
  <c r="DT521" i="10"/>
  <c r="DT732" i="10"/>
  <c r="DT321" i="10"/>
  <c r="DT146" i="10"/>
  <c r="AQ144" i="10"/>
  <c r="DV123" i="10"/>
  <c r="DV219" i="10"/>
  <c r="DV610" i="10"/>
  <c r="DP610" i="10" s="1"/>
  <c r="BQ610" i="10" s="1"/>
  <c r="DQ610" i="10" s="1"/>
  <c r="DV718" i="10"/>
  <c r="DV770" i="10"/>
  <c r="DV595" i="10"/>
  <c r="DV647" i="10"/>
  <c r="DP647" i="10" s="1"/>
  <c r="BQ647" i="10" s="1"/>
  <c r="DV703" i="10"/>
  <c r="DV755" i="10"/>
  <c r="DV859" i="10"/>
  <c r="DT983" i="10"/>
  <c r="DT970" i="10"/>
  <c r="DV106" i="10"/>
  <c r="DV936" i="10"/>
  <c r="DP936" i="10" s="1"/>
  <c r="BQ936" i="10" s="1"/>
  <c r="DQ936" i="10" s="1"/>
  <c r="DV897" i="10"/>
  <c r="DP897" i="10" s="1"/>
  <c r="BQ897" i="10" s="1"/>
  <c r="DQ897" i="10" s="1"/>
  <c r="DV971" i="10"/>
  <c r="DU108" i="10"/>
  <c r="DN108" i="10"/>
  <c r="BP108" i="10" s="1"/>
  <c r="DO108" i="10" s="1"/>
  <c r="CJ230" i="10"/>
  <c r="CB230" i="10"/>
  <c r="CF230" i="10" s="1"/>
  <c r="CD291" i="10"/>
  <c r="CH291" i="10" s="1"/>
  <c r="CL291" i="10"/>
  <c r="DN948" i="10"/>
  <c r="BP948" i="10" s="1"/>
  <c r="DO948" i="10" s="1"/>
  <c r="CF948" i="10"/>
  <c r="AY241" i="10"/>
  <c r="CA241" i="10"/>
  <c r="CI241" i="10"/>
  <c r="DN365" i="10"/>
  <c r="BP365" i="10" s="1"/>
  <c r="DO365" i="10" s="1"/>
  <c r="BZ261" i="10"/>
  <c r="CA299" i="10"/>
  <c r="AQ458" i="10"/>
  <c r="CD67" i="10"/>
  <c r="CH67" i="10" s="1"/>
  <c r="CL67" i="10"/>
  <c r="AY230" i="10"/>
  <c r="CI230" i="10"/>
  <c r="CL482" i="10"/>
  <c r="CD482" i="10"/>
  <c r="CH482" i="10" s="1"/>
  <c r="CJ241" i="10"/>
  <c r="CB241" i="10"/>
  <c r="CF241" i="10" s="1"/>
  <c r="CD589" i="10"/>
  <c r="CH589" i="10" s="1"/>
  <c r="CL589" i="10"/>
  <c r="BZ566" i="10"/>
  <c r="CI566" i="10"/>
  <c r="AN900" i="10"/>
  <c r="AW900" i="10"/>
  <c r="CL406" i="10"/>
  <c r="CD406" i="10"/>
  <c r="CH406" i="10" s="1"/>
  <c r="CF473" i="10"/>
  <c r="DN473" i="10"/>
  <c r="BP473" i="10" s="1"/>
  <c r="DO473" i="10" s="1"/>
  <c r="CJ566" i="10"/>
  <c r="DT566" i="10" s="1"/>
  <c r="CB566" i="10"/>
  <c r="CF566" i="10" s="1"/>
  <c r="BY900" i="10"/>
  <c r="DU900" i="10" s="1"/>
  <c r="DY900" i="10"/>
  <c r="EA53" i="10"/>
  <c r="ED53" i="10"/>
  <c r="DN185" i="10"/>
  <c r="BP185" i="10" s="1"/>
  <c r="DO185" i="10" s="1"/>
  <c r="DT185" i="10"/>
  <c r="DP185" i="10" s="1"/>
  <c r="BQ185" i="10" s="1"/>
  <c r="DQ185" i="10" s="1"/>
  <c r="DN149" i="10"/>
  <c r="BP149" i="10" s="1"/>
  <c r="DT149" i="10"/>
  <c r="DP149" i="10" s="1"/>
  <c r="BQ149" i="10" s="1"/>
  <c r="DN62" i="10"/>
  <c r="BP62" i="10" s="1"/>
  <c r="DO62" i="10" s="1"/>
  <c r="DT62" i="10"/>
  <c r="DV860" i="10"/>
  <c r="DN643" i="10"/>
  <c r="BP643" i="10" s="1"/>
  <c r="DO643" i="10" s="1"/>
  <c r="DT643" i="10"/>
  <c r="DN544" i="10"/>
  <c r="BP544" i="10" s="1"/>
  <c r="DO544" i="10" s="1"/>
  <c r="DT544" i="10"/>
  <c r="DN502" i="10"/>
  <c r="BP502" i="10" s="1"/>
  <c r="DT502" i="10"/>
  <c r="DN671" i="10"/>
  <c r="BP671" i="10" s="1"/>
  <c r="DO671" i="10" s="1"/>
  <c r="DT671" i="10"/>
  <c r="DP671" i="10" s="1"/>
  <c r="BQ671" i="10" s="1"/>
  <c r="DQ671" i="10" s="1"/>
  <c r="DN669" i="10"/>
  <c r="BP669" i="10" s="1"/>
  <c r="DO669" i="10" s="1"/>
  <c r="DT669" i="10"/>
  <c r="DP669" i="10" s="1"/>
  <c r="BQ669" i="10" s="1"/>
  <c r="DQ669" i="10" s="1"/>
  <c r="DN314" i="10"/>
  <c r="BP314" i="10" s="1"/>
  <c r="DT314" i="10"/>
  <c r="DV894" i="10"/>
  <c r="DN180" i="10"/>
  <c r="BP180" i="10" s="1"/>
  <c r="DT180" i="10"/>
  <c r="DN340" i="10"/>
  <c r="BP340" i="10" s="1"/>
  <c r="DO340" i="10" s="1"/>
  <c r="DT340" i="10"/>
  <c r="DN239" i="10"/>
  <c r="BP239" i="10" s="1"/>
  <c r="DT239" i="10"/>
  <c r="DP239" i="10" s="1"/>
  <c r="BQ239" i="10" s="1"/>
  <c r="DQ239" i="10" s="1"/>
  <c r="BR922" i="10"/>
  <c r="BR775" i="10"/>
  <c r="DV316" i="10"/>
  <c r="DN504" i="10"/>
  <c r="BP504" i="10" s="1"/>
  <c r="DO504" i="10" s="1"/>
  <c r="DT504" i="10"/>
  <c r="DN778" i="10"/>
  <c r="BP778" i="10" s="1"/>
  <c r="DO778" i="10" s="1"/>
  <c r="DT778" i="10"/>
  <c r="DN965" i="10"/>
  <c r="BP965" i="10" s="1"/>
  <c r="DT965" i="10"/>
  <c r="DN757" i="10"/>
  <c r="BP757" i="10" s="1"/>
  <c r="DO757" i="10" s="1"/>
  <c r="DT757" i="10"/>
  <c r="DV906" i="10"/>
  <c r="DP906" i="10" s="1"/>
  <c r="BQ906" i="10" s="1"/>
  <c r="BR934" i="10"/>
  <c r="DV915" i="10"/>
  <c r="DV966" i="10"/>
  <c r="DP966" i="10" s="1"/>
  <c r="BQ966" i="10" s="1"/>
  <c r="DQ966" i="10" s="1"/>
  <c r="DV1002" i="10"/>
  <c r="DP1002" i="10" s="1"/>
  <c r="BQ1002" i="10" s="1"/>
  <c r="AW40" i="10"/>
  <c r="AN40" i="10"/>
  <c r="EA91" i="10"/>
  <c r="ED91" i="10"/>
  <c r="AN96" i="10"/>
  <c r="AW96" i="10"/>
  <c r="AN854" i="10"/>
  <c r="AW854" i="10"/>
  <c r="AN667" i="10"/>
  <c r="AW667" i="10"/>
  <c r="AN571" i="10"/>
  <c r="AW571" i="10"/>
  <c r="AN248" i="10"/>
  <c r="AW248" i="10"/>
  <c r="AW28" i="10"/>
  <c r="AN28" i="10"/>
  <c r="AN76" i="10"/>
  <c r="AW76" i="10"/>
  <c r="AN602" i="10"/>
  <c r="AW602" i="10"/>
  <c r="AW770" i="10"/>
  <c r="AN770" i="10"/>
  <c r="AN48" i="10"/>
  <c r="AW48" i="10"/>
  <c r="AN255" i="10"/>
  <c r="AW255" i="10"/>
  <c r="AN309" i="10"/>
  <c r="AW309" i="10"/>
  <c r="AW489" i="10"/>
  <c r="AN489" i="10"/>
  <c r="DY206" i="10"/>
  <c r="BX206" i="10"/>
  <c r="DN869" i="10"/>
  <c r="BP869" i="10" s="1"/>
  <c r="DO869" i="10" s="1"/>
  <c r="DT869" i="10"/>
  <c r="DU633" i="10"/>
  <c r="DP633" i="10" s="1"/>
  <c r="BQ633" i="10" s="1"/>
  <c r="AW119" i="10"/>
  <c r="AN119" i="10"/>
  <c r="AW825" i="10"/>
  <c r="AN825" i="10"/>
  <c r="AW421" i="10"/>
  <c r="AN421" i="10"/>
  <c r="AW870" i="10"/>
  <c r="AN870" i="10"/>
  <c r="DV986" i="10"/>
  <c r="BR394" i="10"/>
  <c r="DR394" i="10" s="1"/>
  <c r="DT156" i="10"/>
  <c r="DN156" i="10"/>
  <c r="BP156" i="10" s="1"/>
  <c r="DO156" i="10" s="1"/>
  <c r="DN317" i="10"/>
  <c r="BP317" i="10" s="1"/>
  <c r="DO317" i="10" s="1"/>
  <c r="DT317" i="10"/>
  <c r="DP317" i="10" s="1"/>
  <c r="BQ317" i="10" s="1"/>
  <c r="DQ317" i="10" s="1"/>
  <c r="DV699" i="10"/>
  <c r="DV46" i="10"/>
  <c r="DQ902" i="10"/>
  <c r="BR902" i="10"/>
  <c r="EH902" i="10" s="1"/>
  <c r="DV950" i="10"/>
  <c r="AQ444" i="10"/>
  <c r="DN107" i="10"/>
  <c r="BP107" i="10" s="1"/>
  <c r="DO107" i="10" s="1"/>
  <c r="DV385" i="10"/>
  <c r="DP385" i="10" s="1"/>
  <c r="BQ385" i="10" s="1"/>
  <c r="DQ385" i="10" s="1"/>
  <c r="DV113" i="10"/>
  <c r="DV305" i="10"/>
  <c r="DV601" i="10"/>
  <c r="DV204" i="10"/>
  <c r="DV672" i="10"/>
  <c r="DV720" i="10"/>
  <c r="DP720" i="10" s="1"/>
  <c r="BQ720" i="10" s="1"/>
  <c r="DV745" i="10"/>
  <c r="DP745" i="10" s="1"/>
  <c r="BQ745" i="10" s="1"/>
  <c r="DV146" i="10"/>
  <c r="DV498" i="10"/>
  <c r="DP498" i="10" s="1"/>
  <c r="BQ498" i="10" s="1"/>
  <c r="DQ498" i="10" s="1"/>
  <c r="DV534" i="10"/>
  <c r="DV606" i="10"/>
  <c r="DC44" i="10"/>
  <c r="DV44" i="10" s="1"/>
  <c r="DV924" i="10"/>
  <c r="DP924" i="10" s="1"/>
  <c r="BQ924" i="10" s="1"/>
  <c r="DV964" i="10"/>
  <c r="DP964" i="10" s="1"/>
  <c r="BQ964" i="10" s="1"/>
  <c r="DV1000" i="10"/>
  <c r="DV918" i="10"/>
  <c r="DP918" i="10" s="1"/>
  <c r="BQ918" i="10" s="1"/>
  <c r="DV954" i="10"/>
  <c r="DP954" i="10" s="1"/>
  <c r="BQ954" i="10" s="1"/>
  <c r="CL795" i="10"/>
  <c r="CD795" i="10"/>
  <c r="CH795" i="10" s="1"/>
  <c r="CL723" i="10"/>
  <c r="CD723" i="10"/>
  <c r="CH723" i="10" s="1"/>
  <c r="CL949" i="10"/>
  <c r="CD949" i="10"/>
  <c r="CH949" i="10" s="1"/>
  <c r="CD59" i="10"/>
  <c r="CH59" i="10" s="1"/>
  <c r="CL59" i="10"/>
  <c r="DN29" i="10"/>
  <c r="BP29" i="10" s="1"/>
  <c r="DO29" i="10" s="1"/>
  <c r="AW657" i="10"/>
  <c r="DV42" i="10"/>
  <c r="DV78" i="10"/>
  <c r="DV576" i="10"/>
  <c r="DV624" i="10"/>
  <c r="DP624" i="10" s="1"/>
  <c r="BQ624" i="10" s="1"/>
  <c r="DV653" i="10"/>
  <c r="DV814" i="10"/>
  <c r="DV797" i="10"/>
  <c r="DV38" i="10"/>
  <c r="DV74" i="10"/>
  <c r="DP74" i="10" s="1"/>
  <c r="BQ74" i="10" s="1"/>
  <c r="DQ74" i="10" s="1"/>
  <c r="DV354" i="10"/>
  <c r="DV666" i="10"/>
  <c r="DV702" i="10"/>
  <c r="DV774" i="10"/>
  <c r="DV810" i="10"/>
  <c r="DV846" i="10"/>
  <c r="DP933" i="10"/>
  <c r="BQ933" i="10" s="1"/>
  <c r="DC52" i="10"/>
  <c r="DV52" i="10" s="1"/>
  <c r="DV931" i="10"/>
  <c r="DV1003" i="10"/>
  <c r="DP1003" i="10" s="1"/>
  <c r="BQ1003" i="10" s="1"/>
  <c r="DV921" i="10"/>
  <c r="DP921" i="10" s="1"/>
  <c r="BQ921" i="10" s="1"/>
  <c r="DV993" i="10"/>
  <c r="DP993" i="10" s="1"/>
  <c r="BQ993" i="10" s="1"/>
  <c r="CL946" i="10"/>
  <c r="CD946" i="10"/>
  <c r="CH946" i="10" s="1"/>
  <c r="CD975" i="10"/>
  <c r="CH975" i="10" s="1"/>
  <c r="CL975" i="10"/>
  <c r="CL263" i="10"/>
  <c r="CD263" i="10"/>
  <c r="CH263" i="10" s="1"/>
  <c r="CL701" i="10"/>
  <c r="CD701" i="10"/>
  <c r="CH701" i="10" s="1"/>
  <c r="CD300" i="10"/>
  <c r="CH300" i="10" s="1"/>
  <c r="CL300" i="10"/>
  <c r="CD425" i="10"/>
  <c r="CH425" i="10" s="1"/>
  <c r="CL425" i="10"/>
  <c r="DP268" i="10"/>
  <c r="BQ268" i="10" s="1"/>
  <c r="DQ268" i="10" s="1"/>
  <c r="DC61" i="10"/>
  <c r="DV61" i="10" s="1"/>
  <c r="DV230" i="10"/>
  <c r="DV278" i="10"/>
  <c r="DV465" i="10"/>
  <c r="DV210" i="10"/>
  <c r="DV282" i="10"/>
  <c r="DV753" i="10"/>
  <c r="DV152" i="10"/>
  <c r="DV777" i="10"/>
  <c r="BR941" i="10"/>
  <c r="DN141" i="10"/>
  <c r="BP141" i="10" s="1"/>
  <c r="DO141" i="10" s="1"/>
  <c r="DC56" i="10"/>
  <c r="DV56" i="10" s="1"/>
  <c r="DN135" i="10"/>
  <c r="BP135" i="10" s="1"/>
  <c r="DO135" i="10" s="1"/>
  <c r="CL947" i="10"/>
  <c r="CD947" i="10"/>
  <c r="CH947" i="10" s="1"/>
  <c r="DN111" i="10"/>
  <c r="BP111" i="10" s="1"/>
  <c r="DO111" i="10" s="1"/>
  <c r="DV188" i="10"/>
  <c r="DV236" i="10"/>
  <c r="DP236" i="10" s="1"/>
  <c r="BQ236" i="10" s="1"/>
  <c r="DQ236" i="10" s="1"/>
  <c r="DV284" i="10"/>
  <c r="DV332" i="10"/>
  <c r="DV29" i="10"/>
  <c r="DV84" i="10"/>
  <c r="DP84" i="10" s="1"/>
  <c r="BQ84" i="10" s="1"/>
  <c r="DQ84" i="10" s="1"/>
  <c r="DV421" i="10"/>
  <c r="DV285" i="10"/>
  <c r="DV732" i="10"/>
  <c r="DV80" i="10"/>
  <c r="DV360" i="10"/>
  <c r="DV579" i="10"/>
  <c r="DO979" i="10"/>
  <c r="DV997" i="10"/>
  <c r="DP997" i="10" s="1"/>
  <c r="BQ997" i="10" s="1"/>
  <c r="DV888" i="10"/>
  <c r="DP888" i="10" s="1"/>
  <c r="BQ888" i="10" s="1"/>
  <c r="DV937" i="10"/>
  <c r="DP937" i="10" s="1"/>
  <c r="BQ937" i="10" s="1"/>
  <c r="DV890" i="10"/>
  <c r="DV973" i="10"/>
  <c r="DP973" i="10" s="1"/>
  <c r="BQ973" i="10" s="1"/>
  <c r="DV1009" i="10"/>
  <c r="DP1009" i="10" s="1"/>
  <c r="BQ1009" i="10" s="1"/>
  <c r="DV962" i="10"/>
  <c r="DP962" i="10" s="1"/>
  <c r="BQ962" i="10" s="1"/>
  <c r="DV998" i="10"/>
  <c r="DP998" i="10" s="1"/>
  <c r="BQ998" i="10" s="1"/>
  <c r="CL248" i="10"/>
  <c r="CD248" i="10"/>
  <c r="CH248" i="10" s="1"/>
  <c r="CL477" i="10"/>
  <c r="CD477" i="10"/>
  <c r="CH477" i="10" s="1"/>
  <c r="DP368" i="10"/>
  <c r="BQ368" i="10" s="1"/>
  <c r="DQ368" i="10" s="1"/>
  <c r="DT29" i="10"/>
  <c r="AN428" i="10"/>
  <c r="AW801" i="10"/>
  <c r="DN393" i="10"/>
  <c r="BP393" i="10" s="1"/>
  <c r="DO393" i="10" s="1"/>
  <c r="AW383" i="10"/>
  <c r="DV175" i="10"/>
  <c r="DP175" i="10" s="1"/>
  <c r="BQ175" i="10" s="1"/>
  <c r="DV33" i="10"/>
  <c r="DP33" i="10" s="1"/>
  <c r="BQ33" i="10" s="1"/>
  <c r="DV129" i="10"/>
  <c r="DV540" i="10"/>
  <c r="DV617" i="10"/>
  <c r="DV778" i="10"/>
  <c r="DV180" i="10"/>
  <c r="DV216" i="10"/>
  <c r="DV639" i="10"/>
  <c r="DP639" i="10" s="1"/>
  <c r="BQ639" i="10" s="1"/>
  <c r="DV687" i="10"/>
  <c r="DV735" i="10"/>
  <c r="DP735" i="10" s="1"/>
  <c r="BQ735" i="10" s="1"/>
  <c r="DV640" i="10"/>
  <c r="DV761" i="10"/>
  <c r="DV809" i="10"/>
  <c r="DV34" i="10"/>
  <c r="DV474" i="10"/>
  <c r="DV582" i="10"/>
  <c r="DC64" i="10"/>
  <c r="DV64" i="10" s="1"/>
  <c r="DC116" i="10"/>
  <c r="DV116" i="10" s="1"/>
  <c r="DV904" i="10"/>
  <c r="DP904" i="10" s="1"/>
  <c r="BQ904" i="10" s="1"/>
  <c r="DV940" i="10"/>
  <c r="DP940" i="10" s="1"/>
  <c r="BQ940" i="10" s="1"/>
  <c r="DV976" i="10"/>
  <c r="DV1012" i="10"/>
  <c r="DP1012" i="10" s="1"/>
  <c r="BQ1012" i="10" s="1"/>
  <c r="CD831" i="10"/>
  <c r="CH831" i="10" s="1"/>
  <c r="CL831" i="10"/>
  <c r="CD228" i="10"/>
  <c r="CH228" i="10" s="1"/>
  <c r="CL228" i="10"/>
  <c r="CD279" i="10"/>
  <c r="CH279" i="10" s="1"/>
  <c r="CL279" i="10"/>
  <c r="DT659" i="10"/>
  <c r="DP659" i="10" s="1"/>
  <c r="BQ659" i="10" s="1"/>
  <c r="DQ659" i="10" s="1"/>
  <c r="DP550" i="10"/>
  <c r="BQ550" i="10" s="1"/>
  <c r="DQ550" i="10" s="1"/>
  <c r="DT470" i="10"/>
  <c r="DP281" i="10"/>
  <c r="BQ281" i="10" s="1"/>
  <c r="DQ281" i="10" s="1"/>
  <c r="DP218" i="10"/>
  <c r="BQ218" i="10" s="1"/>
  <c r="DQ218" i="10" s="1"/>
  <c r="AN848" i="10"/>
  <c r="DN552" i="10"/>
  <c r="BP552" i="10" s="1"/>
  <c r="DO552" i="10" s="1"/>
  <c r="AQ196" i="10"/>
  <c r="AQ769" i="10"/>
  <c r="DN530" i="10"/>
  <c r="BP530" i="10" s="1"/>
  <c r="DO530" i="10" s="1"/>
  <c r="DN42" i="10"/>
  <c r="BP42" i="10" s="1"/>
  <c r="DO42" i="10" s="1"/>
  <c r="AY269" i="10"/>
  <c r="DV227" i="10"/>
  <c r="DP227" i="10" s="1"/>
  <c r="BQ227" i="10" s="1"/>
  <c r="DQ227" i="10" s="1"/>
  <c r="DV340" i="10"/>
  <c r="DV618" i="10"/>
  <c r="DV54" i="10"/>
  <c r="DP54" i="10" s="1"/>
  <c r="BQ54" i="10" s="1"/>
  <c r="DQ54" i="10" s="1"/>
  <c r="DV429" i="10"/>
  <c r="DP429" i="10" s="1"/>
  <c r="BQ429" i="10" s="1"/>
  <c r="DV573" i="10"/>
  <c r="DV621" i="10"/>
  <c r="DV50" i="10"/>
  <c r="DV86" i="10"/>
  <c r="DP86" i="10" s="1"/>
  <c r="BQ86" i="10" s="1"/>
  <c r="DQ86" i="10" s="1"/>
  <c r="DV330" i="10"/>
  <c r="DV822" i="10"/>
  <c r="DP822" i="10" s="1"/>
  <c r="BQ822" i="10" s="1"/>
  <c r="DN364" i="10"/>
  <c r="BP364" i="10" s="1"/>
  <c r="DO364" i="10" s="1"/>
  <c r="DC68" i="10"/>
  <c r="DV68" i="10" s="1"/>
  <c r="DP68" i="10" s="1"/>
  <c r="BQ68" i="10" s="1"/>
  <c r="DV909" i="10"/>
  <c r="DV1005" i="10"/>
  <c r="DP1005" i="10" s="1"/>
  <c r="BQ1005" i="10" s="1"/>
  <c r="DV907" i="10"/>
  <c r="DP907" i="10" s="1"/>
  <c r="BQ907" i="10" s="1"/>
  <c r="DV979" i="10"/>
  <c r="DP979" i="10" s="1"/>
  <c r="BQ979" i="10" s="1"/>
  <c r="DQ979" i="10" s="1"/>
  <c r="CL599" i="10"/>
  <c r="CD599" i="10"/>
  <c r="CH599" i="10" s="1"/>
  <c r="CD145" i="10"/>
  <c r="CH145" i="10" s="1"/>
  <c r="CL145" i="10"/>
  <c r="CL773" i="10"/>
  <c r="CD773" i="10"/>
  <c r="CH773" i="10" s="1"/>
  <c r="DC231" i="10"/>
  <c r="DV231" i="10" s="1"/>
  <c r="DV16" i="10"/>
  <c r="DV287" i="10"/>
  <c r="DP287" i="10" s="1"/>
  <c r="BQ287" i="10" s="1"/>
  <c r="DV642" i="10"/>
  <c r="DP642" i="10" s="1"/>
  <c r="BQ642" i="10" s="1"/>
  <c r="DQ642" i="10" s="1"/>
  <c r="DV690" i="10"/>
  <c r="DV186" i="10"/>
  <c r="DV294" i="10"/>
  <c r="DV696" i="10"/>
  <c r="DV128" i="10"/>
  <c r="DV825" i="10"/>
  <c r="BR893" i="10"/>
  <c r="DO972" i="10"/>
  <c r="BR972" i="10"/>
  <c r="DV900" i="10"/>
  <c r="DP900" i="10" s="1"/>
  <c r="BQ900" i="10" s="1"/>
  <c r="DV996" i="10"/>
  <c r="DV1008" i="10"/>
  <c r="CL869" i="10"/>
  <c r="CD869" i="10"/>
  <c r="CH869" i="10" s="1"/>
  <c r="AN154" i="10"/>
  <c r="DC109" i="10"/>
  <c r="DV109" i="10" s="1"/>
  <c r="DV18" i="10"/>
  <c r="DV96" i="10"/>
  <c r="DV504" i="10"/>
  <c r="DV581" i="10"/>
  <c r="DV603" i="10"/>
  <c r="DV725" i="10"/>
  <c r="DV92" i="10"/>
  <c r="DP889" i="10"/>
  <c r="BQ889" i="10" s="1"/>
  <c r="DP978" i="10"/>
  <c r="BQ978" i="10" s="1"/>
  <c r="DO969" i="10"/>
  <c r="DV913" i="10"/>
  <c r="DP913" i="10" s="1"/>
  <c r="BQ913" i="10" s="1"/>
  <c r="DV938" i="10"/>
  <c r="DP938" i="10" s="1"/>
  <c r="BQ938" i="10" s="1"/>
  <c r="DV911" i="10"/>
  <c r="DV985" i="10"/>
  <c r="DV1010" i="10"/>
  <c r="CD80" i="10"/>
  <c r="CH80" i="10" s="1"/>
  <c r="CL80" i="10"/>
  <c r="CD518" i="10"/>
  <c r="CH518" i="10" s="1"/>
  <c r="CL518" i="10"/>
  <c r="DT191" i="10"/>
  <c r="DP191" i="10" s="1"/>
  <c r="BQ191" i="10" s="1"/>
  <c r="DQ191" i="10" s="1"/>
  <c r="DY681" i="10"/>
  <c r="EA681" i="10" s="1"/>
  <c r="AW136" i="10"/>
  <c r="DY552" i="10"/>
  <c r="EA552" i="10" s="1"/>
  <c r="AQ155" i="10"/>
  <c r="DV352" i="10"/>
  <c r="DV206" i="10"/>
  <c r="DV423" i="10"/>
  <c r="DV681" i="10"/>
  <c r="DV264" i="10"/>
  <c r="DV729" i="10"/>
  <c r="DV558" i="10"/>
  <c r="DP558" i="10" s="1"/>
  <c r="BQ558" i="10" s="1"/>
  <c r="DQ558" i="10" s="1"/>
  <c r="DV870" i="10"/>
  <c r="AQ616" i="10"/>
  <c r="AQ850" i="10"/>
  <c r="AQ589" i="10"/>
  <c r="DC447" i="10"/>
  <c r="DV447" i="10" s="1"/>
  <c r="DV880" i="10"/>
  <c r="DP880" i="10" s="1"/>
  <c r="BQ880" i="10" s="1"/>
  <c r="DV916" i="10"/>
  <c r="DP916" i="10" s="1"/>
  <c r="BQ916" i="10" s="1"/>
  <c r="DV963" i="10"/>
  <c r="DP963" i="10" s="1"/>
  <c r="BQ963" i="10" s="1"/>
  <c r="DQ963" i="10" s="1"/>
  <c r="DV952" i="10"/>
  <c r="DP952" i="10" s="1"/>
  <c r="BQ952" i="10" s="1"/>
  <c r="DV988" i="10"/>
  <c r="CL521" i="10"/>
  <c r="CD521" i="10"/>
  <c r="CH521" i="10" s="1"/>
  <c r="CL654" i="10"/>
  <c r="CD654" i="10"/>
  <c r="CH654" i="10" s="1"/>
  <c r="CD556" i="10"/>
  <c r="CH556" i="10" s="1"/>
  <c r="CL556" i="10"/>
  <c r="DN51" i="10"/>
  <c r="BP51" i="10" s="1"/>
  <c r="DO51" i="10" s="1"/>
  <c r="DV325" i="10"/>
  <c r="DV197" i="10"/>
  <c r="DP197" i="10" s="1"/>
  <c r="BQ197" i="10" s="1"/>
  <c r="DQ197" i="10" s="1"/>
  <c r="DV30" i="10"/>
  <c r="DV66" i="10"/>
  <c r="DP66" i="10" s="1"/>
  <c r="BQ66" i="10" s="1"/>
  <c r="DQ66" i="10" s="1"/>
  <c r="DV102" i="10"/>
  <c r="DV138" i="10"/>
  <c r="DP138" i="10" s="1"/>
  <c r="BQ138" i="10" s="1"/>
  <c r="DV493" i="10"/>
  <c r="DV637" i="10"/>
  <c r="DP637" i="10" s="1"/>
  <c r="BQ637" i="10" s="1"/>
  <c r="DV660" i="10"/>
  <c r="DP660" i="10" s="1"/>
  <c r="BQ660" i="10" s="1"/>
  <c r="DV62" i="10"/>
  <c r="DV98" i="10"/>
  <c r="DV453" i="10"/>
  <c r="DV489" i="10"/>
  <c r="DV798" i="10"/>
  <c r="DV834" i="10"/>
  <c r="DN234" i="10"/>
  <c r="BP234" i="10" s="1"/>
  <c r="DO234" i="10" s="1"/>
  <c r="DV912" i="10"/>
  <c r="DV960" i="10"/>
  <c r="DP960" i="10" s="1"/>
  <c r="BQ960" i="10" s="1"/>
  <c r="DV883" i="10"/>
  <c r="DP883" i="10" s="1"/>
  <c r="BQ883" i="10" s="1"/>
  <c r="DV955" i="10"/>
  <c r="DP955" i="10" s="1"/>
  <c r="BQ955" i="10" s="1"/>
  <c r="DV991" i="10"/>
  <c r="DP991" i="10" s="1"/>
  <c r="BQ991" i="10" s="1"/>
  <c r="DV945" i="10"/>
  <c r="DP945" i="10" s="1"/>
  <c r="BQ945" i="10" s="1"/>
  <c r="BX360" i="10"/>
  <c r="DN360" i="10" s="1"/>
  <c r="BP360" i="10" s="1"/>
  <c r="DV133" i="10"/>
  <c r="DV612" i="10"/>
  <c r="DV545" i="10"/>
  <c r="DP545" i="10" s="1"/>
  <c r="BQ545" i="10" s="1"/>
  <c r="DV689" i="10"/>
  <c r="DV850" i="10"/>
  <c r="DP850" i="10" s="1"/>
  <c r="BQ850" i="10" s="1"/>
  <c r="DV234" i="10"/>
  <c r="DP234" i="10" s="1"/>
  <c r="BQ234" i="10" s="1"/>
  <c r="DQ234" i="10" s="1"/>
  <c r="DV567" i="10"/>
  <c r="DV381" i="10"/>
  <c r="DV140" i="10"/>
  <c r="DV456" i="10"/>
  <c r="DV600" i="10"/>
  <c r="DV801" i="10"/>
  <c r="DP999" i="10"/>
  <c r="BQ999" i="10" s="1"/>
  <c r="DQ999" i="10" s="1"/>
  <c r="DN129" i="10"/>
  <c r="BP129" i="10" s="1"/>
  <c r="DO129" i="10" s="1"/>
  <c r="DN189" i="10"/>
  <c r="BP189" i="10" s="1"/>
  <c r="DO189" i="10" s="1"/>
  <c r="DV994" i="10"/>
  <c r="DP994" i="10" s="1"/>
  <c r="BQ994" i="10" s="1"/>
  <c r="DV926" i="10"/>
  <c r="DP926" i="10" s="1"/>
  <c r="BQ926" i="10" s="1"/>
  <c r="CL244" i="10"/>
  <c r="CD244" i="10"/>
  <c r="CH244" i="10" s="1"/>
  <c r="CD486" i="10"/>
  <c r="CH486" i="10" s="1"/>
  <c r="CL486" i="10"/>
  <c r="CL212" i="10"/>
  <c r="CD212" i="10"/>
  <c r="CH212" i="10" s="1"/>
  <c r="CL35" i="10"/>
  <c r="CD35" i="10"/>
  <c r="CH35" i="10" s="1"/>
  <c r="CD711" i="10"/>
  <c r="CH711" i="10" s="1"/>
  <c r="CL711" i="10"/>
  <c r="AW154" i="10"/>
  <c r="DY348" i="10"/>
  <c r="EA348" i="10" s="1"/>
  <c r="AN475" i="10"/>
  <c r="AQ318" i="10"/>
  <c r="AN662" i="10"/>
  <c r="AQ173" i="10"/>
  <c r="DY506" i="10"/>
  <c r="ED506" i="10" s="1"/>
  <c r="DN69" i="10"/>
  <c r="BP69" i="10" s="1"/>
  <c r="DO69" i="10" s="1"/>
  <c r="AQ548" i="10"/>
  <c r="DT488" i="10"/>
  <c r="DP488" i="10" s="1"/>
  <c r="BQ488" i="10" s="1"/>
  <c r="DQ488" i="10" s="1"/>
  <c r="AW810" i="10"/>
  <c r="DN248" i="10"/>
  <c r="BP248" i="10" s="1"/>
  <c r="DO248" i="10" s="1"/>
  <c r="DN93" i="10"/>
  <c r="BP93" i="10" s="1"/>
  <c r="DO93" i="10" s="1"/>
  <c r="DN60" i="10"/>
  <c r="BP60" i="10" s="1"/>
  <c r="DO60" i="10" s="1"/>
  <c r="DO452" i="10"/>
  <c r="BX582" i="10"/>
  <c r="DY582" i="10"/>
  <c r="BX319" i="10"/>
  <c r="DY319" i="10"/>
  <c r="BX257" i="10"/>
  <c r="DY257" i="10"/>
  <c r="BY64" i="10"/>
  <c r="DY64" i="10"/>
  <c r="BY220" i="10"/>
  <c r="DU220" i="10" s="1"/>
  <c r="DY220" i="10"/>
  <c r="BY226" i="10"/>
  <c r="DY226" i="10"/>
  <c r="AN686" i="10"/>
  <c r="AQ779" i="10"/>
  <c r="BX854" i="10"/>
  <c r="DY854" i="10"/>
  <c r="AN315" i="10"/>
  <c r="AW315" i="10"/>
  <c r="BX371" i="10"/>
  <c r="DY371" i="10"/>
  <c r="BY249" i="10"/>
  <c r="DU249" i="10" s="1"/>
  <c r="DY249" i="10"/>
  <c r="BY435" i="10"/>
  <c r="DU435" i="10" s="1"/>
  <c r="DY435" i="10"/>
  <c r="BX347" i="10"/>
  <c r="DY347" i="10"/>
  <c r="AQ478" i="10"/>
  <c r="AW592" i="10"/>
  <c r="DN33" i="10"/>
  <c r="BP33" i="10" s="1"/>
  <c r="DO33" i="10" s="1"/>
  <c r="DN175" i="10"/>
  <c r="BP175" i="10" s="1"/>
  <c r="DO175" i="10" s="1"/>
  <c r="AQ827" i="10"/>
  <c r="BY28" i="10"/>
  <c r="DY28" i="10"/>
  <c r="BY76" i="10"/>
  <c r="DY76" i="10"/>
  <c r="BY602" i="10"/>
  <c r="DU602" i="10" s="1"/>
  <c r="DP602" i="10" s="1"/>
  <c r="BQ602" i="10" s="1"/>
  <c r="DQ602" i="10" s="1"/>
  <c r="DY602" i="10"/>
  <c r="BY704" i="10"/>
  <c r="DU704" i="10" s="1"/>
  <c r="DY704" i="10"/>
  <c r="AW184" i="10"/>
  <c r="BX355" i="10"/>
  <c r="DY355" i="10"/>
  <c r="BY255" i="10"/>
  <c r="DU255" i="10" s="1"/>
  <c r="DY255" i="10"/>
  <c r="BY489" i="10"/>
  <c r="DY489" i="10"/>
  <c r="BX295" i="10"/>
  <c r="DY295" i="10"/>
  <c r="DN43" i="10"/>
  <c r="BP43" i="10" s="1"/>
  <c r="DO43" i="10" s="1"/>
  <c r="AN299" i="10"/>
  <c r="AW299" i="10"/>
  <c r="BY34" i="10"/>
  <c r="DY34" i="10"/>
  <c r="BY548" i="10"/>
  <c r="DY548" i="10"/>
  <c r="BY608" i="10"/>
  <c r="DY608" i="10"/>
  <c r="DY866" i="10"/>
  <c r="AQ254" i="10"/>
  <c r="BX630" i="10"/>
  <c r="DY630" i="10"/>
  <c r="BX539" i="10"/>
  <c r="DY539" i="10"/>
  <c r="AN533" i="10"/>
  <c r="AW533" i="10"/>
  <c r="AN303" i="10"/>
  <c r="AW303" i="10"/>
  <c r="BX266" i="10"/>
  <c r="DY266" i="10"/>
  <c r="BY399" i="10"/>
  <c r="DU399" i="10" s="1"/>
  <c r="DY399" i="10"/>
  <c r="BY459" i="10"/>
  <c r="DY459" i="10"/>
  <c r="BY495" i="10"/>
  <c r="DU495" i="10" s="1"/>
  <c r="DY495" i="10"/>
  <c r="BX726" i="10"/>
  <c r="DY726" i="10"/>
  <c r="BX367" i="10"/>
  <c r="DY367" i="10"/>
  <c r="BX201" i="10"/>
  <c r="DT201" i="10" s="1"/>
  <c r="DY201" i="10"/>
  <c r="BY46" i="10"/>
  <c r="DY46" i="10"/>
  <c r="BY94" i="10"/>
  <c r="DY94" i="10"/>
  <c r="AQ369" i="10"/>
  <c r="BY734" i="10"/>
  <c r="DY734" i="10"/>
  <c r="BX512" i="10"/>
  <c r="DY512" i="10"/>
  <c r="BX162" i="10"/>
  <c r="DY162" i="10"/>
  <c r="BX842" i="10"/>
  <c r="DY842" i="10"/>
  <c r="BX244" i="10"/>
  <c r="DY244" i="10"/>
  <c r="BY267" i="10"/>
  <c r="DU267" i="10" s="1"/>
  <c r="DP267" i="10" s="1"/>
  <c r="BQ267" i="10" s="1"/>
  <c r="DQ267" i="10" s="1"/>
  <c r="DY267" i="10"/>
  <c r="BY405" i="10"/>
  <c r="DU405" i="10" s="1"/>
  <c r="DY405" i="10"/>
  <c r="AQ399" i="10"/>
  <c r="BX171" i="10"/>
  <c r="DY171" i="10"/>
  <c r="BX528" i="10"/>
  <c r="DY528" i="10"/>
  <c r="BX343" i="10"/>
  <c r="DY343" i="10"/>
  <c r="BX274" i="10"/>
  <c r="DY274" i="10"/>
  <c r="BX196" i="10"/>
  <c r="DY196" i="10"/>
  <c r="BY52" i="10"/>
  <c r="DY52" i="10"/>
  <c r="BY620" i="10"/>
  <c r="DY620" i="10"/>
  <c r="BY746" i="10"/>
  <c r="DY746" i="10"/>
  <c r="AQ272" i="10"/>
  <c r="BX469" i="10"/>
  <c r="DY469" i="10"/>
  <c r="BX132" i="10"/>
  <c r="DY132" i="10"/>
  <c r="AW678" i="10"/>
  <c r="AN678" i="10"/>
  <c r="AN270" i="10"/>
  <c r="AW270" i="10"/>
  <c r="BY273" i="10"/>
  <c r="DY273" i="10"/>
  <c r="BY411" i="10"/>
  <c r="DU411" i="10" s="1"/>
  <c r="DY411" i="10"/>
  <c r="BY513" i="10"/>
  <c r="DY513" i="10"/>
  <c r="BX614" i="10"/>
  <c r="DY614" i="10"/>
  <c r="AN860" i="10"/>
  <c r="AW860" i="10"/>
  <c r="BX678" i="10"/>
  <c r="DY678" i="10"/>
  <c r="BX474" i="10"/>
  <c r="DY474" i="10"/>
  <c r="BX327" i="10"/>
  <c r="DY327" i="10"/>
  <c r="BX270" i="10"/>
  <c r="DY270" i="10"/>
  <c r="BX192" i="10"/>
  <c r="DY192" i="10"/>
  <c r="BY58" i="10"/>
  <c r="DY58" i="10"/>
  <c r="BY208" i="10"/>
  <c r="DY208" i="10"/>
  <c r="BY584" i="10"/>
  <c r="DY584" i="10"/>
  <c r="BY632" i="10"/>
  <c r="DY632" i="10"/>
  <c r="DN866" i="10"/>
  <c r="BP866" i="10" s="1"/>
  <c r="BX860" i="10"/>
  <c r="DY860" i="10"/>
  <c r="BX123" i="10"/>
  <c r="DY123" i="10"/>
  <c r="AN582" i="10"/>
  <c r="AW582" i="10"/>
  <c r="BX391" i="10"/>
  <c r="DY391" i="10"/>
  <c r="BY279" i="10"/>
  <c r="DY279" i="10"/>
  <c r="BY417" i="10"/>
  <c r="DU417" i="10" s="1"/>
  <c r="DY417" i="10"/>
  <c r="BY525" i="10"/>
  <c r="DU525" i="10" s="1"/>
  <c r="DY525" i="10"/>
  <c r="DN82" i="10"/>
  <c r="BP82" i="10" s="1"/>
  <c r="DO82" i="10" s="1"/>
  <c r="DV35" i="10"/>
  <c r="DP35" i="10" s="1"/>
  <c r="BQ35" i="10" s="1"/>
  <c r="DQ35" i="10" s="1"/>
  <c r="DV77" i="10"/>
  <c r="DV249" i="10"/>
  <c r="DV47" i="10"/>
  <c r="DP47" i="10" s="1"/>
  <c r="BQ47" i="10" s="1"/>
  <c r="DV53" i="10"/>
  <c r="DV131" i="10"/>
  <c r="DP131" i="10" s="1"/>
  <c r="BQ131" i="10" s="1"/>
  <c r="DQ131" i="10" s="1"/>
  <c r="DV201" i="10"/>
  <c r="DV143" i="10"/>
  <c r="DP143" i="10" s="1"/>
  <c r="BQ143" i="10" s="1"/>
  <c r="DV87" i="10"/>
  <c r="DV117" i="10"/>
  <c r="DP117" i="10" s="1"/>
  <c r="BQ117" i="10" s="1"/>
  <c r="DV780" i="10"/>
  <c r="DV828" i="10"/>
  <c r="DV876" i="10"/>
  <c r="DV208" i="10"/>
  <c r="DV244" i="10"/>
  <c r="DV351" i="10"/>
  <c r="DV387" i="10"/>
  <c r="DV537" i="10"/>
  <c r="DP537" i="10" s="1"/>
  <c r="BQ537" i="10" s="1"/>
  <c r="DV613" i="10"/>
  <c r="DV649" i="10"/>
  <c r="DV685" i="10"/>
  <c r="DV757" i="10"/>
  <c r="DP757" i="10" s="1"/>
  <c r="BQ757" i="10" s="1"/>
  <c r="DV769" i="10"/>
  <c r="DP769" i="10" s="1"/>
  <c r="BQ769" i="10" s="1"/>
  <c r="DP153" i="10"/>
  <c r="BQ153" i="10" s="1"/>
  <c r="DQ153" i="10" s="1"/>
  <c r="DV144" i="10"/>
  <c r="DV192" i="10"/>
  <c r="DV240" i="10"/>
  <c r="DP240" i="10" s="1"/>
  <c r="BQ240" i="10" s="1"/>
  <c r="DQ240" i="10" s="1"/>
  <c r="DV288" i="10"/>
  <c r="DV336" i="10"/>
  <c r="DV384" i="10"/>
  <c r="DV69" i="10"/>
  <c r="DV137" i="10"/>
  <c r="DP137" i="10" s="1"/>
  <c r="BQ137" i="10" s="1"/>
  <c r="DV237" i="10"/>
  <c r="DV333" i="10"/>
  <c r="DP333" i="10" s="1"/>
  <c r="BQ333" i="10" s="1"/>
  <c r="DQ333" i="10" s="1"/>
  <c r="DV90" i="10"/>
  <c r="DC27" i="10"/>
  <c r="DV27" i="10" s="1"/>
  <c r="DV471" i="10"/>
  <c r="DV519" i="10"/>
  <c r="DP519" i="10" s="1"/>
  <c r="BQ519" i="10" s="1"/>
  <c r="DV477" i="10"/>
  <c r="DV525" i="10"/>
  <c r="DV591" i="10"/>
  <c r="DP591" i="10" s="1"/>
  <c r="BQ591" i="10" s="1"/>
  <c r="DQ591" i="10" s="1"/>
  <c r="DV783" i="10"/>
  <c r="DV831" i="10"/>
  <c r="DP831" i="10" s="1"/>
  <c r="BQ831" i="10" s="1"/>
  <c r="DV319" i="10"/>
  <c r="DV544" i="10"/>
  <c r="DV580" i="10"/>
  <c r="DV652" i="10"/>
  <c r="DV724" i="10"/>
  <c r="DV760" i="10"/>
  <c r="DP760" i="10" s="1"/>
  <c r="BQ760" i="10" s="1"/>
  <c r="DV491" i="10"/>
  <c r="DV772" i="10"/>
  <c r="DP772" i="10" s="1"/>
  <c r="BQ772" i="10" s="1"/>
  <c r="DQ772" i="10" s="1"/>
  <c r="DV844" i="10"/>
  <c r="DP844" i="10" s="1"/>
  <c r="BQ844" i="10" s="1"/>
  <c r="DV818" i="10"/>
  <c r="DP183" i="10"/>
  <c r="BQ183" i="10" s="1"/>
  <c r="DP141" i="10"/>
  <c r="BQ141" i="10" s="1"/>
  <c r="DV114" i="10"/>
  <c r="DV174" i="10"/>
  <c r="DV222" i="10"/>
  <c r="DV270" i="10"/>
  <c r="DV318" i="10"/>
  <c r="DV366" i="10"/>
  <c r="DV522" i="10"/>
  <c r="DP522" i="10" s="1"/>
  <c r="BQ522" i="10" s="1"/>
  <c r="DQ522" i="10" s="1"/>
  <c r="DV570" i="10"/>
  <c r="DV375" i="10"/>
  <c r="DV408" i="10"/>
  <c r="DV552" i="10"/>
  <c r="DP552" i="10" s="1"/>
  <c r="BQ552" i="10" s="1"/>
  <c r="DV717" i="10"/>
  <c r="DV765" i="10"/>
  <c r="DV813" i="10"/>
  <c r="DP813" i="10" s="1"/>
  <c r="BQ813" i="10" s="1"/>
  <c r="DV861" i="10"/>
  <c r="DP861" i="10" s="1"/>
  <c r="BQ861" i="10" s="1"/>
  <c r="DV178" i="10"/>
  <c r="DP178" i="10" s="1"/>
  <c r="BQ178" i="10" s="1"/>
  <c r="DV583" i="10"/>
  <c r="DV691" i="10"/>
  <c r="DV763" i="10"/>
  <c r="DV422" i="10"/>
  <c r="DV530" i="10"/>
  <c r="DP530" i="10" s="1"/>
  <c r="BQ530" i="10" s="1"/>
  <c r="DV746" i="10"/>
  <c r="DV811" i="10"/>
  <c r="DP291" i="10"/>
  <c r="BQ291" i="10" s="1"/>
  <c r="DQ291" i="10" s="1"/>
  <c r="DP247" i="10"/>
  <c r="BQ247" i="10" s="1"/>
  <c r="DQ247" i="10" s="1"/>
  <c r="DP209" i="10"/>
  <c r="BQ209" i="10" s="1"/>
  <c r="DQ209" i="10" s="1"/>
  <c r="DC23" i="10"/>
  <c r="DV23" i="10" s="1"/>
  <c r="DC85" i="10"/>
  <c r="DV85" i="10" s="1"/>
  <c r="DV25" i="10"/>
  <c r="DV122" i="10"/>
  <c r="DC20" i="10"/>
  <c r="DV20" i="10" s="1"/>
  <c r="DV738" i="10"/>
  <c r="DV786" i="10"/>
  <c r="DV792" i="10"/>
  <c r="DV840" i="10"/>
  <c r="DV721" i="10"/>
  <c r="DV289" i="10"/>
  <c r="DV257" i="10"/>
  <c r="DV726" i="10"/>
  <c r="DV370" i="10"/>
  <c r="DP370" i="10" s="1"/>
  <c r="BQ370" i="10" s="1"/>
  <c r="DP159" i="10"/>
  <c r="BQ159" i="10" s="1"/>
  <c r="DQ159" i="10" s="1"/>
  <c r="BR679" i="10"/>
  <c r="DV48" i="10"/>
  <c r="DP48" i="10" s="1"/>
  <c r="BQ48" i="10" s="1"/>
  <c r="DV156" i="10"/>
  <c r="DV252" i="10"/>
  <c r="DP252" i="10" s="1"/>
  <c r="BQ252" i="10" s="1"/>
  <c r="DV300" i="10"/>
  <c r="DP300" i="10" s="1"/>
  <c r="BQ300" i="10" s="1"/>
  <c r="DQ300" i="10" s="1"/>
  <c r="DV348" i="10"/>
  <c r="DV345" i="10"/>
  <c r="DV126" i="10"/>
  <c r="DP126" i="10" s="1"/>
  <c r="BQ126" i="10" s="1"/>
  <c r="DV483" i="10"/>
  <c r="DP483" i="10" s="1"/>
  <c r="BQ483" i="10" s="1"/>
  <c r="DV393" i="10"/>
  <c r="DP393" i="10" s="1"/>
  <c r="BQ393" i="10" s="1"/>
  <c r="DV441" i="10"/>
  <c r="DV585" i="10"/>
  <c r="DP585" i="10" s="1"/>
  <c r="BQ585" i="10" s="1"/>
  <c r="DV795" i="10"/>
  <c r="DP795" i="10" s="1"/>
  <c r="BQ795" i="10" s="1"/>
  <c r="DV843" i="10"/>
  <c r="DP843" i="10" s="1"/>
  <c r="BQ843" i="10" s="1"/>
  <c r="DV184" i="10"/>
  <c r="DV220" i="10"/>
  <c r="DV82" i="10"/>
  <c r="DV657" i="10"/>
  <c r="DP657" i="10" s="1"/>
  <c r="BQ657" i="10" s="1"/>
  <c r="DQ657" i="10" s="1"/>
  <c r="DV409" i="10"/>
  <c r="DV445" i="10"/>
  <c r="DV661" i="10"/>
  <c r="DV733" i="10"/>
  <c r="DV781" i="10"/>
  <c r="DP781" i="10" s="1"/>
  <c r="BQ781" i="10" s="1"/>
  <c r="DV853" i="10"/>
  <c r="DP853" i="10" s="1"/>
  <c r="BQ853" i="10" s="1"/>
  <c r="DP155" i="10"/>
  <c r="BQ155" i="10" s="1"/>
  <c r="DQ155" i="10" s="1"/>
  <c r="DP43" i="10"/>
  <c r="BQ43" i="10" s="1"/>
  <c r="DQ43" i="10" s="1"/>
  <c r="DV72" i="10"/>
  <c r="DP72" i="10" s="1"/>
  <c r="BQ72" i="10" s="1"/>
  <c r="DC157" i="10"/>
  <c r="DV157" i="10" s="1"/>
  <c r="DC205" i="10"/>
  <c r="DV205" i="10" s="1"/>
  <c r="DC253" i="10"/>
  <c r="DV253" i="10" s="1"/>
  <c r="DC301" i="10"/>
  <c r="DV301" i="10" s="1"/>
  <c r="DP301" i="10" s="1"/>
  <c r="BQ301" i="10" s="1"/>
  <c r="DV134" i="10"/>
  <c r="DP134" i="10" s="1"/>
  <c r="BQ134" i="10" s="1"/>
  <c r="DQ134" i="10" s="1"/>
  <c r="DV378" i="10"/>
  <c r="DV438" i="10"/>
  <c r="DV486" i="10"/>
  <c r="DP486" i="10" s="1"/>
  <c r="BQ486" i="10" s="1"/>
  <c r="DV630" i="10"/>
  <c r="DV339" i="10"/>
  <c r="DV435" i="10"/>
  <c r="DV468" i="10"/>
  <c r="DP468" i="10" s="1"/>
  <c r="BQ468" i="10" s="1"/>
  <c r="DQ468" i="10" s="1"/>
  <c r="DV516" i="10"/>
  <c r="DV564" i="10"/>
  <c r="DP564" i="10" s="1"/>
  <c r="BQ564" i="10" s="1"/>
  <c r="DQ564" i="10" s="1"/>
  <c r="DV873" i="10"/>
  <c r="DP873" i="10" s="1"/>
  <c r="BQ873" i="10" s="1"/>
  <c r="DV293" i="10"/>
  <c r="DP293" i="10" s="1"/>
  <c r="BQ293" i="10" s="1"/>
  <c r="DV376" i="10"/>
  <c r="DV448" i="10"/>
  <c r="DP448" i="10" s="1"/>
  <c r="BQ448" i="10" s="1"/>
  <c r="DV484" i="10"/>
  <c r="DV520" i="10"/>
  <c r="DV556" i="10"/>
  <c r="DP556" i="10" s="1"/>
  <c r="BQ556" i="10" s="1"/>
  <c r="DV628" i="10"/>
  <c r="DV664" i="10"/>
  <c r="DV700" i="10"/>
  <c r="DP700" i="10" s="1"/>
  <c r="BQ700" i="10" s="1"/>
  <c r="DV359" i="10"/>
  <c r="DV395" i="10"/>
  <c r="DP395" i="10" s="1"/>
  <c r="BQ395" i="10" s="1"/>
  <c r="DV784" i="10"/>
  <c r="DV820" i="10"/>
  <c r="DV856" i="10"/>
  <c r="DP856" i="10" s="1"/>
  <c r="BQ856" i="10" s="1"/>
  <c r="DP283" i="10"/>
  <c r="BQ283" i="10" s="1"/>
  <c r="DP93" i="10"/>
  <c r="BQ93" i="10" s="1"/>
  <c r="DQ93" i="10" s="1"/>
  <c r="DC97" i="10"/>
  <c r="DV97" i="10" s="1"/>
  <c r="DC26" i="10"/>
  <c r="DV26" i="10" s="1"/>
  <c r="DV756" i="10"/>
  <c r="DV804" i="10"/>
  <c r="DV852" i="10"/>
  <c r="DV226" i="10"/>
  <c r="DV262" i="10"/>
  <c r="DP262" i="10" s="1"/>
  <c r="BQ262" i="10" s="1"/>
  <c r="DV298" i="10"/>
  <c r="DP298" i="10" s="1"/>
  <c r="BQ298" i="10" s="1"/>
  <c r="DQ298" i="10" s="1"/>
  <c r="DV627" i="10"/>
  <c r="DV631" i="10"/>
  <c r="DP631" i="10" s="1"/>
  <c r="BQ631" i="10" s="1"/>
  <c r="DV739" i="10"/>
  <c r="DV434" i="10"/>
  <c r="DP434" i="10" s="1"/>
  <c r="BQ434" i="10" s="1"/>
  <c r="DV470" i="10"/>
  <c r="DP470" i="10" s="1"/>
  <c r="BQ470" i="10" s="1"/>
  <c r="DV542" i="10"/>
  <c r="DP542" i="10" s="1"/>
  <c r="BQ542" i="10" s="1"/>
  <c r="DV578" i="10"/>
  <c r="DV722" i="10"/>
  <c r="DV794" i="10"/>
  <c r="DP199" i="10"/>
  <c r="BQ199" i="10" s="1"/>
  <c r="DQ199" i="10" s="1"/>
  <c r="DP161" i="10"/>
  <c r="BQ161" i="10" s="1"/>
  <c r="DV168" i="10"/>
  <c r="DV24" i="10"/>
  <c r="DV165" i="10"/>
  <c r="DV213" i="10"/>
  <c r="DV261" i="10"/>
  <c r="DV309" i="10"/>
  <c r="DV357" i="10"/>
  <c r="DV495" i="10"/>
  <c r="DV543" i="10"/>
  <c r="DV405" i="10"/>
  <c r="DV549" i="10"/>
  <c r="DV597" i="10"/>
  <c r="DV759" i="10"/>
  <c r="DP759" i="10" s="1"/>
  <c r="BQ759" i="10" s="1"/>
  <c r="DV807" i="10"/>
  <c r="DP807" i="10" s="1"/>
  <c r="BQ807" i="10" s="1"/>
  <c r="DV855" i="10"/>
  <c r="DV265" i="10"/>
  <c r="DP265" i="10" s="1"/>
  <c r="BQ265" i="10" s="1"/>
  <c r="DV337" i="10"/>
  <c r="DV329" i="10"/>
  <c r="DV382" i="10"/>
  <c r="DV418" i="10"/>
  <c r="DV490" i="10"/>
  <c r="DV634" i="10"/>
  <c r="DV401" i="10"/>
  <c r="DP401" i="10" s="1"/>
  <c r="BQ401" i="10" s="1"/>
  <c r="DQ401" i="10" s="1"/>
  <c r="DV437" i="10"/>
  <c r="DV473" i="10"/>
  <c r="DP284" i="10"/>
  <c r="BQ284" i="10" s="1"/>
  <c r="DP99" i="10"/>
  <c r="BQ99" i="10" s="1"/>
  <c r="DQ99" i="10" s="1"/>
  <c r="BR386" i="10"/>
  <c r="DV150" i="10"/>
  <c r="DV198" i="10"/>
  <c r="DV246" i="10"/>
  <c r="DV342" i="10"/>
  <c r="DP342" i="10" s="1"/>
  <c r="BQ342" i="10" s="1"/>
  <c r="DV390" i="10"/>
  <c r="DV450" i="10"/>
  <c r="DV546" i="10"/>
  <c r="DV594" i="10"/>
  <c r="DV399" i="10"/>
  <c r="DV432" i="10"/>
  <c r="DV480" i="10"/>
  <c r="DV528" i="10"/>
  <c r="DV789" i="10"/>
  <c r="DV837" i="10"/>
  <c r="DP837" i="10" s="1"/>
  <c r="BQ837" i="10" s="1"/>
  <c r="DV304" i="10"/>
  <c r="DP304" i="10" s="1"/>
  <c r="BQ304" i="10" s="1"/>
  <c r="DV251" i="10"/>
  <c r="DV457" i="10"/>
  <c r="DV529" i="10"/>
  <c r="DP529" i="10" s="1"/>
  <c r="BQ529" i="10" s="1"/>
  <c r="DV673" i="10"/>
  <c r="DV709" i="10"/>
  <c r="DV793" i="10"/>
  <c r="DV829" i="10"/>
  <c r="DP829" i="10" s="1"/>
  <c r="BQ829" i="10" s="1"/>
  <c r="DQ829" i="10" s="1"/>
  <c r="DV865" i="10"/>
  <c r="DP865" i="10" s="1"/>
  <c r="BQ865" i="10" s="1"/>
  <c r="DC37" i="10"/>
  <c r="DV37" i="10" s="1"/>
  <c r="DV762" i="10"/>
  <c r="DV858" i="10"/>
  <c r="DP858" i="10" s="1"/>
  <c r="BQ858" i="10" s="1"/>
  <c r="DV768" i="10"/>
  <c r="DV816" i="10"/>
  <c r="DV864" i="10"/>
  <c r="DV89" i="10"/>
  <c r="DV235" i="10"/>
  <c r="DV307" i="10"/>
  <c r="DP307" i="10" s="1"/>
  <c r="BQ307" i="10" s="1"/>
  <c r="DQ307" i="10" s="1"/>
  <c r="DV343" i="10"/>
  <c r="DV388" i="10"/>
  <c r="DV424" i="10"/>
  <c r="DV532" i="10"/>
  <c r="DP532" i="10" s="1"/>
  <c r="BQ532" i="10" s="1"/>
  <c r="DV604" i="10"/>
  <c r="DP604" i="10" s="1"/>
  <c r="BQ604" i="10" s="1"/>
  <c r="DV676" i="10"/>
  <c r="DV748" i="10"/>
  <c r="DP748" i="10" s="1"/>
  <c r="BQ748" i="10" s="1"/>
  <c r="DV443" i="10"/>
  <c r="DV228" i="10"/>
  <c r="DP228" i="10" s="1"/>
  <c r="BQ228" i="10" s="1"/>
  <c r="DQ228" i="10" s="1"/>
  <c r="DV276" i="10"/>
  <c r="DP276" i="10" s="1"/>
  <c r="BQ276" i="10" s="1"/>
  <c r="DV324" i="10"/>
  <c r="DV372" i="10"/>
  <c r="DV177" i="10"/>
  <c r="DP177" i="10" s="1"/>
  <c r="BQ177" i="10" s="1"/>
  <c r="DV225" i="10"/>
  <c r="DV273" i="10"/>
  <c r="DV321" i="10"/>
  <c r="DV369" i="10"/>
  <c r="DV58" i="10"/>
  <c r="DV158" i="10"/>
  <c r="DP158" i="10" s="1"/>
  <c r="BQ158" i="10" s="1"/>
  <c r="DV507" i="10"/>
  <c r="DV555" i="10"/>
  <c r="DP555" i="10" s="1"/>
  <c r="BQ555" i="10" s="1"/>
  <c r="DV513" i="10"/>
  <c r="DV561" i="10"/>
  <c r="DP561" i="10" s="1"/>
  <c r="BQ561" i="10" s="1"/>
  <c r="DQ561" i="10" s="1"/>
  <c r="DV771" i="10"/>
  <c r="DP771" i="10" s="1"/>
  <c r="BQ771" i="10" s="1"/>
  <c r="DQ771" i="10" s="1"/>
  <c r="DV819" i="10"/>
  <c r="DV867" i="10"/>
  <c r="DV202" i="10"/>
  <c r="DV238" i="10"/>
  <c r="DV274" i="10"/>
  <c r="DV531" i="10"/>
  <c r="DV715" i="10"/>
  <c r="DV338" i="10"/>
  <c r="DV590" i="10"/>
  <c r="DV698" i="10"/>
  <c r="DV835" i="10"/>
  <c r="DP835" i="10" s="1"/>
  <c r="BQ835" i="10" s="1"/>
  <c r="DP63" i="10"/>
  <c r="BQ63" i="10" s="1"/>
  <c r="DQ63" i="10" s="1"/>
  <c r="DV125" i="10"/>
  <c r="DV162" i="10"/>
  <c r="DV258" i="10"/>
  <c r="DP258" i="10" s="1"/>
  <c r="BQ258" i="10" s="1"/>
  <c r="DV306" i="10"/>
  <c r="DP306" i="10" s="1"/>
  <c r="BQ306" i="10" s="1"/>
  <c r="DV402" i="10"/>
  <c r="DP402" i="10" s="1"/>
  <c r="BQ402" i="10" s="1"/>
  <c r="DV414" i="10"/>
  <c r="DP414" i="10" s="1"/>
  <c r="BQ414" i="10" s="1"/>
  <c r="DV462" i="10"/>
  <c r="DP462" i="10" s="1"/>
  <c r="BQ462" i="10" s="1"/>
  <c r="DV510" i="10"/>
  <c r="DP510" i="10" s="1"/>
  <c r="BQ510" i="10" s="1"/>
  <c r="DV396" i="10"/>
  <c r="DV444" i="10"/>
  <c r="DP444" i="10" s="1"/>
  <c r="BQ444" i="10" s="1"/>
  <c r="DQ444" i="10" s="1"/>
  <c r="DV492" i="10"/>
  <c r="DV588" i="10"/>
  <c r="DP588" i="10" s="1"/>
  <c r="BQ588" i="10" s="1"/>
  <c r="DV849" i="10"/>
  <c r="DV241" i="10"/>
  <c r="DV313" i="10"/>
  <c r="DV678" i="10"/>
  <c r="DV750" i="10"/>
  <c r="DP750" i="10" s="1"/>
  <c r="BQ750" i="10" s="1"/>
  <c r="DV413" i="10"/>
  <c r="DV449" i="10"/>
  <c r="DO155" i="10"/>
  <c r="BR553" i="10"/>
  <c r="DO553" i="10"/>
  <c r="DO647" i="10"/>
  <c r="CL140" i="10"/>
  <c r="CD140" i="10"/>
  <c r="CH140" i="10" s="1"/>
  <c r="BX728" i="10"/>
  <c r="DY728" i="10"/>
  <c r="BY834" i="10"/>
  <c r="DY834" i="10"/>
  <c r="CD144" i="10"/>
  <c r="CH144" i="10" s="1"/>
  <c r="CL144" i="10"/>
  <c r="EA763" i="10"/>
  <c r="ED763" i="10"/>
  <c r="EA569" i="10"/>
  <c r="ED569" i="10"/>
  <c r="DO520" i="10"/>
  <c r="EA621" i="10"/>
  <c r="ED621" i="10"/>
  <c r="EA488" i="10"/>
  <c r="ED488" i="10"/>
  <c r="EA95" i="10"/>
  <c r="ED95" i="10"/>
  <c r="EA742" i="10"/>
  <c r="ED742" i="10"/>
  <c r="EA858" i="10"/>
  <c r="ED858" i="10"/>
  <c r="EA393" i="10"/>
  <c r="ED393" i="10"/>
  <c r="ED659" i="10"/>
  <c r="EA659" i="10"/>
  <c r="ED538" i="10"/>
  <c r="EA538" i="10"/>
  <c r="EA850" i="10"/>
  <c r="ED850" i="10"/>
  <c r="EA261" i="10"/>
  <c r="ED261" i="10"/>
  <c r="ED436" i="10"/>
  <c r="EA436" i="10"/>
  <c r="EA717" i="10"/>
  <c r="ED717" i="10"/>
  <c r="EA589" i="10"/>
  <c r="ED589" i="10"/>
  <c r="BR426" i="10"/>
  <c r="EJ426" i="10" s="1"/>
  <c r="BR658" i="10"/>
  <c r="DU225" i="10"/>
  <c r="DN225" i="10"/>
  <c r="BP225" i="10" s="1"/>
  <c r="DU204" i="10"/>
  <c r="DN204" i="10"/>
  <c r="BP204" i="10" s="1"/>
  <c r="DN163" i="10"/>
  <c r="BP163" i="10" s="1"/>
  <c r="AN638" i="10"/>
  <c r="BR626" i="10"/>
  <c r="DR626" i="10" s="1"/>
  <c r="EA339" i="10"/>
  <c r="ED339" i="10"/>
  <c r="ED300" i="10"/>
  <c r="EA300" i="10"/>
  <c r="AW424" i="10"/>
  <c r="EA748" i="10"/>
  <c r="ED748" i="10"/>
  <c r="AW740" i="10"/>
  <c r="EA494" i="10"/>
  <c r="ED494" i="10"/>
  <c r="ED56" i="10"/>
  <c r="EA56" i="10"/>
  <c r="ED637" i="10"/>
  <c r="EA637" i="10"/>
  <c r="ED601" i="10"/>
  <c r="EA601" i="10"/>
  <c r="DN86" i="10"/>
  <c r="BP86" i="10" s="1"/>
  <c r="DO86" i="10" s="1"/>
  <c r="AN61" i="10"/>
  <c r="EA184" i="10"/>
  <c r="ED184" i="10"/>
  <c r="EA179" i="10"/>
  <c r="ED179" i="10"/>
  <c r="EA784" i="10"/>
  <c r="ED784" i="10"/>
  <c r="EA253" i="10"/>
  <c r="ED253" i="10"/>
  <c r="ED644" i="10"/>
  <c r="EA644" i="10"/>
  <c r="ED633" i="10"/>
  <c r="EA633" i="10"/>
  <c r="EA315" i="10"/>
  <c r="ED315" i="10"/>
  <c r="ED511" i="10"/>
  <c r="EA511" i="10"/>
  <c r="EA533" i="10"/>
  <c r="ED533" i="10"/>
  <c r="EA753" i="10"/>
  <c r="ED753" i="10"/>
  <c r="ED377" i="10"/>
  <c r="EA377" i="10"/>
  <c r="EA783" i="10"/>
  <c r="ED783" i="10"/>
  <c r="EA619" i="10"/>
  <c r="ED619" i="10"/>
  <c r="EA456" i="10"/>
  <c r="ED456" i="10"/>
  <c r="EA828" i="10"/>
  <c r="ED828" i="10"/>
  <c r="DU210" i="10"/>
  <c r="DN210" i="10"/>
  <c r="BP210" i="10" s="1"/>
  <c r="DN75" i="10"/>
  <c r="BP75" i="10" s="1"/>
  <c r="BY332" i="10"/>
  <c r="DY332" i="10"/>
  <c r="CL269" i="10"/>
  <c r="CD269" i="10"/>
  <c r="CH269" i="10" s="1"/>
  <c r="CL106" i="10"/>
  <c r="CD106" i="10"/>
  <c r="CH106" i="10" s="1"/>
  <c r="CD64" i="10"/>
  <c r="CH64" i="10" s="1"/>
  <c r="CL64" i="10"/>
  <c r="BX172" i="10"/>
  <c r="DY172" i="10"/>
  <c r="BY846" i="10"/>
  <c r="DY846" i="10"/>
  <c r="CD610" i="10"/>
  <c r="CH610" i="10" s="1"/>
  <c r="CL610" i="10"/>
  <c r="CD199" i="10"/>
  <c r="CH199" i="10" s="1"/>
  <c r="CL199" i="10"/>
  <c r="DT83" i="10"/>
  <c r="DP83" i="10" s="1"/>
  <c r="BQ83" i="10" s="1"/>
  <c r="DQ83" i="10" s="1"/>
  <c r="EA576" i="10"/>
  <c r="ED576" i="10"/>
  <c r="EA750" i="10"/>
  <c r="ED750" i="10"/>
  <c r="EA103" i="10"/>
  <c r="ED103" i="10"/>
  <c r="BY337" i="10"/>
  <c r="DU337" i="10" s="1"/>
  <c r="EA96" i="10"/>
  <c r="ED96" i="10"/>
  <c r="EA453" i="10"/>
  <c r="ED453" i="10"/>
  <c r="EA743" i="10"/>
  <c r="ED743" i="10"/>
  <c r="DO616" i="10"/>
  <c r="DO658" i="10"/>
  <c r="BR74" i="10"/>
  <c r="DN87" i="10"/>
  <c r="BP87" i="10" s="1"/>
  <c r="DN57" i="10"/>
  <c r="BP57" i="10" s="1"/>
  <c r="DN99" i="10"/>
  <c r="BP99" i="10" s="1"/>
  <c r="CL147" i="10"/>
  <c r="CD147" i="10"/>
  <c r="CH147" i="10" s="1"/>
  <c r="EA483" i="10"/>
  <c r="ED483" i="10"/>
  <c r="EA668" i="10"/>
  <c r="ED668" i="10"/>
  <c r="ED323" i="10"/>
  <c r="EA323" i="10"/>
  <c r="EA337" i="10"/>
  <c r="ED337" i="10"/>
  <c r="DT248" i="10"/>
  <c r="BR536" i="10"/>
  <c r="DR536" i="10" s="1"/>
  <c r="AN383" i="10"/>
  <c r="EA336" i="10"/>
  <c r="ED336" i="10"/>
  <c r="ED297" i="10"/>
  <c r="EA297" i="10"/>
  <c r="ED869" i="10"/>
  <c r="EA869" i="10"/>
  <c r="ED507" i="10"/>
  <c r="EA507" i="10"/>
  <c r="DY638" i="10"/>
  <c r="EA470" i="10"/>
  <c r="ED470" i="10"/>
  <c r="ED870" i="10"/>
  <c r="EA870" i="10"/>
  <c r="ED559" i="10"/>
  <c r="EA559" i="10"/>
  <c r="AW125" i="10"/>
  <c r="EA269" i="10"/>
  <c r="ED269" i="10"/>
  <c r="EA213" i="10"/>
  <c r="ED213" i="10"/>
  <c r="EA816" i="10"/>
  <c r="ED816" i="10"/>
  <c r="EA471" i="10"/>
  <c r="ED471" i="10"/>
  <c r="EA401" i="10"/>
  <c r="ED401" i="10"/>
  <c r="ED845" i="10"/>
  <c r="EA845" i="10"/>
  <c r="ED768" i="10"/>
  <c r="EA768" i="10"/>
  <c r="EA380" i="10"/>
  <c r="ED380" i="10"/>
  <c r="EA862" i="10"/>
  <c r="ED862" i="10"/>
  <c r="EA353" i="10"/>
  <c r="ED353" i="10"/>
  <c r="EA577" i="10"/>
  <c r="ED577" i="10"/>
  <c r="EA787" i="10"/>
  <c r="ED787" i="10"/>
  <c r="ED382" i="10"/>
  <c r="EA382" i="10"/>
  <c r="EA449" i="10"/>
  <c r="ED449" i="10"/>
  <c r="EA849" i="10"/>
  <c r="ED849" i="10"/>
  <c r="EA676" i="10"/>
  <c r="ED676" i="10"/>
  <c r="EA855" i="10"/>
  <c r="ED855" i="10"/>
  <c r="EA235" i="10"/>
  <c r="ED235" i="10"/>
  <c r="ED492" i="10"/>
  <c r="EA492" i="10"/>
  <c r="BR550" i="10"/>
  <c r="DT399" i="10"/>
  <c r="DN71" i="10"/>
  <c r="BP71" i="10" s="1"/>
  <c r="DU145" i="10"/>
  <c r="DN145" i="10"/>
  <c r="BP145" i="10" s="1"/>
  <c r="DU330" i="10"/>
  <c r="DN330" i="10"/>
  <c r="BP330" i="10" s="1"/>
  <c r="DN81" i="10"/>
  <c r="BP81" i="10" s="1"/>
  <c r="CJ269" i="10"/>
  <c r="DT269" i="10" s="1"/>
  <c r="CB269" i="10"/>
  <c r="CF269" i="10" s="1"/>
  <c r="CD854" i="10"/>
  <c r="CH854" i="10" s="1"/>
  <c r="CL854" i="10"/>
  <c r="CL407" i="10"/>
  <c r="CD407" i="10"/>
  <c r="CH407" i="10" s="1"/>
  <c r="CL128" i="10"/>
  <c r="CD128" i="10"/>
  <c r="CH128" i="10" s="1"/>
  <c r="BY409" i="10"/>
  <c r="DY409" i="10"/>
  <c r="BY852" i="10"/>
  <c r="DY852" i="10"/>
  <c r="CL42" i="10"/>
  <c r="CD42" i="10"/>
  <c r="CH42" i="10" s="1"/>
  <c r="EA551" i="10"/>
  <c r="ED551" i="10"/>
  <c r="ED438" i="10"/>
  <c r="EA438" i="10"/>
  <c r="AW25" i="10"/>
  <c r="DT411" i="10"/>
  <c r="EA736" i="10"/>
  <c r="ED736" i="10"/>
  <c r="DN638" i="10"/>
  <c r="BP638" i="10" s="1"/>
  <c r="DO638" i="10" s="1"/>
  <c r="EA29" i="10"/>
  <c r="ED29" i="10"/>
  <c r="EA579" i="10"/>
  <c r="ED579" i="10"/>
  <c r="EA754" i="10"/>
  <c r="ED754" i="10"/>
  <c r="EA158" i="10"/>
  <c r="ED158" i="10"/>
  <c r="EA497" i="10"/>
  <c r="ED497" i="10"/>
  <c r="ED341" i="10"/>
  <c r="EA341" i="10"/>
  <c r="EA583" i="10"/>
  <c r="ED398" i="10"/>
  <c r="EA398" i="10"/>
  <c r="DN169" i="10"/>
  <c r="BP169" i="10" s="1"/>
  <c r="DN63" i="10"/>
  <c r="BP63" i="10" s="1"/>
  <c r="CD494" i="10"/>
  <c r="CH494" i="10" s="1"/>
  <c r="CL494" i="10"/>
  <c r="DN574" i="10"/>
  <c r="BP574" i="10" s="1"/>
  <c r="EA277" i="10"/>
  <c r="ED277" i="10"/>
  <c r="ED777" i="10"/>
  <c r="EA777" i="10"/>
  <c r="BR131" i="10"/>
  <c r="EK131" i="10" s="1"/>
  <c r="DT661" i="10"/>
  <c r="DT616" i="10"/>
  <c r="DP616" i="10" s="1"/>
  <c r="BQ616" i="10" s="1"/>
  <c r="DQ616" i="10" s="1"/>
  <c r="AN230" i="10"/>
  <c r="EA333" i="10"/>
  <c r="ED333" i="10"/>
  <c r="ED549" i="10"/>
  <c r="EA549" i="10"/>
  <c r="ED423" i="10"/>
  <c r="EA423" i="10"/>
  <c r="BR749" i="10"/>
  <c r="EK749" i="10" s="1"/>
  <c r="EA688" i="10"/>
  <c r="ED688" i="10"/>
  <c r="ED587" i="10"/>
  <c r="EA587" i="10"/>
  <c r="EA461" i="10"/>
  <c r="ED461" i="10"/>
  <c r="EA867" i="10"/>
  <c r="ED867" i="10"/>
  <c r="EA47" i="10"/>
  <c r="ED47" i="10"/>
  <c r="EA338" i="10"/>
  <c r="EA291" i="10"/>
  <c r="ED291" i="10"/>
  <c r="EA275" i="10"/>
  <c r="ED275" i="10"/>
  <c r="AW420" i="10"/>
  <c r="EA396" i="10"/>
  <c r="ED396" i="10"/>
  <c r="EA878" i="10"/>
  <c r="ED878" i="10"/>
  <c r="EA622" i="10"/>
  <c r="ED622" i="10"/>
  <c r="EA652" i="10"/>
  <c r="ED652" i="10"/>
  <c r="EA600" i="10"/>
  <c r="ED600" i="10"/>
  <c r="EA648" i="10"/>
  <c r="ED648" i="10"/>
  <c r="EA838" i="10"/>
  <c r="ED838" i="10"/>
  <c r="ED425" i="10"/>
  <c r="EA425" i="10"/>
  <c r="EA148" i="10"/>
  <c r="ED148" i="10"/>
  <c r="DT581" i="10"/>
  <c r="DP581" i="10" s="1"/>
  <c r="BQ581" i="10" s="1"/>
  <c r="DQ581" i="10" s="1"/>
  <c r="DN581" i="10"/>
  <c r="BP581" i="10" s="1"/>
  <c r="DO521" i="10"/>
  <c r="DO65" i="10"/>
  <c r="DN151" i="10"/>
  <c r="BP151" i="10" s="1"/>
  <c r="CD451" i="10"/>
  <c r="CH451" i="10" s="1"/>
  <c r="CL451" i="10"/>
  <c r="BR500" i="10"/>
  <c r="EA309" i="10"/>
  <c r="ED309" i="10"/>
  <c r="EA83" i="10"/>
  <c r="ED83" i="10"/>
  <c r="DT309" i="10"/>
  <c r="DT212" i="10"/>
  <c r="DP212" i="10" s="1"/>
  <c r="BQ212" i="10" s="1"/>
  <c r="DQ212" i="10" s="1"/>
  <c r="AW818" i="10"/>
  <c r="DO78" i="10"/>
  <c r="AW730" i="10"/>
  <c r="BR607" i="10"/>
  <c r="EK607" i="10" s="1"/>
  <c r="AN506" i="10"/>
  <c r="DY730" i="10"/>
  <c r="EA437" i="10"/>
  <c r="ED437" i="10"/>
  <c r="EA412" i="10"/>
  <c r="ED412" i="10"/>
  <c r="EA160" i="10"/>
  <c r="ED160" i="10"/>
  <c r="BR256" i="10"/>
  <c r="DO149" i="10"/>
  <c r="DU91" i="10"/>
  <c r="DN91" i="10"/>
  <c r="BP91" i="10" s="1"/>
  <c r="CL362" i="10"/>
  <c r="CD362" i="10"/>
  <c r="CH362" i="10" s="1"/>
  <c r="BR851" i="10"/>
  <c r="ED859" i="10"/>
  <c r="EA859" i="10"/>
  <c r="EA486" i="10"/>
  <c r="ED486" i="10"/>
  <c r="EA349" i="10"/>
  <c r="ED349" i="10"/>
  <c r="DT723" i="10"/>
  <c r="DP723" i="10" s="1"/>
  <c r="BQ723" i="10" s="1"/>
  <c r="DQ723" i="10" s="1"/>
  <c r="BR790" i="10"/>
  <c r="EK790" i="10" s="1"/>
  <c r="AW805" i="10"/>
  <c r="EA324" i="10"/>
  <c r="ED324" i="10"/>
  <c r="DN730" i="10"/>
  <c r="BP730" i="10" s="1"/>
  <c r="DO730" i="10" s="1"/>
  <c r="EA673" i="10"/>
  <c r="ED673" i="10"/>
  <c r="DN323" i="10"/>
  <c r="BP323" i="10" s="1"/>
  <c r="DO323" i="10" s="1"/>
  <c r="BR707" i="10"/>
  <c r="EK707" i="10" s="1"/>
  <c r="ED307" i="10"/>
  <c r="EA307" i="10"/>
  <c r="EA433" i="10"/>
  <c r="ED433" i="10"/>
  <c r="ED570" i="10"/>
  <c r="EA570" i="10"/>
  <c r="EA152" i="10"/>
  <c r="ED152" i="10"/>
  <c r="EA666" i="10"/>
  <c r="ED666" i="10"/>
  <c r="DY424" i="10"/>
  <c r="ED221" i="10"/>
  <c r="EA221" i="10"/>
  <c r="EA640" i="10"/>
  <c r="ED640" i="10"/>
  <c r="EA408" i="10"/>
  <c r="ED408" i="10"/>
  <c r="EA85" i="10"/>
  <c r="ED85" i="10"/>
  <c r="EA421" i="10"/>
  <c r="ED421" i="10"/>
  <c r="BR754" i="10"/>
  <c r="EH754" i="10" s="1"/>
  <c r="EA195" i="10"/>
  <c r="ED195" i="10"/>
  <c r="EA664" i="10"/>
  <c r="ED664" i="10"/>
  <c r="EA503" i="10"/>
  <c r="ED503" i="10"/>
  <c r="ED789" i="10"/>
  <c r="EA789" i="10"/>
  <c r="EA684" i="10"/>
  <c r="ED684" i="10"/>
  <c r="DO555" i="10"/>
  <c r="DN59" i="10"/>
  <c r="BP59" i="10" s="1"/>
  <c r="BY231" i="10"/>
  <c r="DU231" i="10" s="1"/>
  <c r="DY231" i="10"/>
  <c r="BZ535" i="10"/>
  <c r="AY535" i="10"/>
  <c r="CI535" i="10"/>
  <c r="CD861" i="10"/>
  <c r="CH861" i="10" s="1"/>
  <c r="CL861" i="10"/>
  <c r="DN561" i="10"/>
  <c r="BP561" i="10" s="1"/>
  <c r="EA723" i="10"/>
  <c r="ED723" i="10"/>
  <c r="EA696" i="10"/>
  <c r="ED696" i="10"/>
  <c r="DT170" i="10"/>
  <c r="DP170" i="10" s="1"/>
  <c r="BQ170" i="10" s="1"/>
  <c r="DQ170" i="10" s="1"/>
  <c r="DT111" i="10"/>
  <c r="DP111" i="10" s="1"/>
  <c r="BQ111" i="10" s="1"/>
  <c r="DQ111" i="10" s="1"/>
  <c r="ED348" i="10"/>
  <c r="EA571" i="10"/>
  <c r="ED571" i="10"/>
  <c r="ED727" i="10"/>
  <c r="EA727" i="10"/>
  <c r="EA700" i="10"/>
  <c r="ED700" i="10"/>
  <c r="EA205" i="10"/>
  <c r="ED205" i="10"/>
  <c r="DN53" i="10"/>
  <c r="BP53" i="10" s="1"/>
  <c r="CJ535" i="10"/>
  <c r="CB535" i="10"/>
  <c r="CF535" i="10" s="1"/>
  <c r="CL90" i="10"/>
  <c r="CD90" i="10"/>
  <c r="CH90" i="10" s="1"/>
  <c r="CL174" i="10"/>
  <c r="CD174" i="10"/>
  <c r="CH174" i="10" s="1"/>
  <c r="BR875" i="10"/>
  <c r="ED864" i="10"/>
  <c r="EA864" i="10"/>
  <c r="DU198" i="10"/>
  <c r="DN198" i="10"/>
  <c r="BP198" i="10" s="1"/>
  <c r="CL479" i="10"/>
  <c r="CD479" i="10"/>
  <c r="CH479" i="10" s="1"/>
  <c r="DO309" i="10"/>
  <c r="DT520" i="10"/>
  <c r="DT260" i="10"/>
  <c r="DP260" i="10" s="1"/>
  <c r="BQ260" i="10" s="1"/>
  <c r="DQ260" i="10" s="1"/>
  <c r="DT78" i="10"/>
  <c r="AN484" i="10"/>
  <c r="EA321" i="10"/>
  <c r="ED321" i="10"/>
  <c r="EA285" i="10"/>
  <c r="ED285" i="10"/>
  <c r="ED191" i="10"/>
  <c r="EA191" i="10"/>
  <c r="EA44" i="10"/>
  <c r="ED44" i="10"/>
  <c r="EA121" i="10"/>
  <c r="ED121" i="10"/>
  <c r="DO212" i="10"/>
  <c r="ED329" i="10"/>
  <c r="EA329" i="10"/>
  <c r="ED597" i="10"/>
  <c r="EA597" i="10"/>
  <c r="EA259" i="10"/>
  <c r="ED259" i="10"/>
  <c r="EA181" i="10"/>
  <c r="ED181" i="10"/>
  <c r="EA440" i="10"/>
  <c r="ED440" i="10"/>
  <c r="ED646" i="10"/>
  <c r="EA646" i="10"/>
  <c r="AN517" i="10"/>
  <c r="ED690" i="10"/>
  <c r="EA690" i="10"/>
  <c r="ED670" i="10"/>
  <c r="EA670" i="10"/>
  <c r="EA144" i="10"/>
  <c r="ED144" i="10"/>
  <c r="ED229" i="10"/>
  <c r="EA229" i="10"/>
  <c r="EA739" i="10"/>
  <c r="ED739" i="10"/>
  <c r="EA698" i="10"/>
  <c r="ED698" i="10"/>
  <c r="BR498" i="10"/>
  <c r="EA361" i="10"/>
  <c r="ED361" i="10"/>
  <c r="ED203" i="10"/>
  <c r="EA203" i="10"/>
  <c r="DO701" i="10"/>
  <c r="DO651" i="10"/>
  <c r="DU201" i="10"/>
  <c r="DO50" i="10"/>
  <c r="DU55" i="10"/>
  <c r="DP55" i="10" s="1"/>
  <c r="BQ55" i="10" s="1"/>
  <c r="DQ55" i="10" s="1"/>
  <c r="DN55" i="10"/>
  <c r="BP55" i="10" s="1"/>
  <c r="DN49" i="10"/>
  <c r="BP49" i="10" s="1"/>
  <c r="CJ432" i="10"/>
  <c r="DT432" i="10" s="1"/>
  <c r="CB432" i="10"/>
  <c r="BZ269" i="10"/>
  <c r="CA269" i="10"/>
  <c r="CD252" i="10"/>
  <c r="CH252" i="10" s="1"/>
  <c r="CL252" i="10"/>
  <c r="CL68" i="10"/>
  <c r="CD68" i="10"/>
  <c r="CH68" i="10" s="1"/>
  <c r="BY427" i="10"/>
  <c r="DY427" i="10"/>
  <c r="BY876" i="10"/>
  <c r="DY876" i="10"/>
  <c r="BR799" i="10"/>
  <c r="BR522" i="10"/>
  <c r="ED681" i="10"/>
  <c r="ED22" i="10"/>
  <c r="EA22" i="10"/>
  <c r="EA872" i="10"/>
  <c r="ED872" i="10"/>
  <c r="ED360" i="10"/>
  <c r="EA360" i="10"/>
  <c r="EA288" i="10"/>
  <c r="ED288" i="10"/>
  <c r="BR272" i="10"/>
  <c r="EH272" i="10" s="1"/>
  <c r="DN121" i="10"/>
  <c r="BP121" i="10" s="1"/>
  <c r="DO121" i="10" s="1"/>
  <c r="EA466" i="10"/>
  <c r="ED466" i="10"/>
  <c r="DO240" i="10"/>
  <c r="BR326" i="10"/>
  <c r="EA759" i="10"/>
  <c r="ED759" i="10"/>
  <c r="EA465" i="10"/>
  <c r="ED465" i="10"/>
  <c r="ED227" i="10"/>
  <c r="EA227" i="10"/>
  <c r="ED392" i="10"/>
  <c r="EA392" i="10"/>
  <c r="EA37" i="10"/>
  <c r="ED37" i="10"/>
  <c r="EA518" i="10"/>
  <c r="ED518" i="10"/>
  <c r="DT580" i="10"/>
  <c r="DN580" i="10"/>
  <c r="BP580" i="10" s="1"/>
  <c r="DT575" i="10"/>
  <c r="DP575" i="10" s="1"/>
  <c r="BQ575" i="10" s="1"/>
  <c r="DQ575" i="10" s="1"/>
  <c r="DN575" i="10"/>
  <c r="BP575" i="10" s="1"/>
  <c r="DU207" i="10"/>
  <c r="DP207" i="10" s="1"/>
  <c r="BQ207" i="10" s="1"/>
  <c r="DQ207" i="10" s="1"/>
  <c r="DN207" i="10"/>
  <c r="BP207" i="10" s="1"/>
  <c r="DU217" i="10"/>
  <c r="DN217" i="10"/>
  <c r="BP217" i="10" s="1"/>
  <c r="DN31" i="10"/>
  <c r="BP31" i="10" s="1"/>
  <c r="CL432" i="10"/>
  <c r="CD432" i="10"/>
  <c r="CH432" i="10" s="1"/>
  <c r="CD107" i="10"/>
  <c r="CH107" i="10" s="1"/>
  <c r="CL107" i="10"/>
  <c r="CL117" i="10"/>
  <c r="CD117" i="10"/>
  <c r="CH117" i="10" s="1"/>
  <c r="G79" i="7"/>
  <c r="H79" i="7"/>
  <c r="G88" i="7"/>
  <c r="DO488" i="10"/>
  <c r="DU235" i="10"/>
  <c r="DN235" i="10"/>
  <c r="BP235" i="10" s="1"/>
  <c r="DU492" i="10"/>
  <c r="DN492" i="10"/>
  <c r="BP492" i="10" s="1"/>
  <c r="AW388" i="10"/>
  <c r="DO637" i="10"/>
  <c r="AW627" i="10"/>
  <c r="AQ807" i="10"/>
  <c r="DU425" i="10"/>
  <c r="DU148" i="10"/>
  <c r="DN148" i="10"/>
  <c r="BP148" i="10" s="1"/>
  <c r="AN67" i="10"/>
  <c r="DU789" i="10"/>
  <c r="DN789" i="10"/>
  <c r="BP789" i="10" s="1"/>
  <c r="DU684" i="10"/>
  <c r="DP684" i="10" s="1"/>
  <c r="BQ684" i="10" s="1"/>
  <c r="DQ684" i="10" s="1"/>
  <c r="DN684" i="10"/>
  <c r="BP684" i="10" s="1"/>
  <c r="AN762" i="10"/>
  <c r="AQ679" i="10"/>
  <c r="DU361" i="10"/>
  <c r="DN361" i="10"/>
  <c r="BP361" i="10" s="1"/>
  <c r="DU203" i="10"/>
  <c r="DN203" i="10"/>
  <c r="BP203" i="10" s="1"/>
  <c r="DO333" i="10"/>
  <c r="AW568" i="10"/>
  <c r="DU438" i="10"/>
  <c r="DN438" i="10"/>
  <c r="BP438" i="10" s="1"/>
  <c r="AW832" i="10"/>
  <c r="DO736" i="10"/>
  <c r="BY463" i="10"/>
  <c r="DY463" i="10"/>
  <c r="DU456" i="10"/>
  <c r="DP456" i="10" s="1"/>
  <c r="BQ456" i="10" s="1"/>
  <c r="DQ456" i="10" s="1"/>
  <c r="DN456" i="10"/>
  <c r="BP456" i="10" s="1"/>
  <c r="DU828" i="10"/>
  <c r="DP828" i="10" s="1"/>
  <c r="BQ828" i="10" s="1"/>
  <c r="DQ828" i="10" s="1"/>
  <c r="DN828" i="10"/>
  <c r="BP828" i="10" s="1"/>
  <c r="DN307" i="10"/>
  <c r="BP307" i="10" s="1"/>
  <c r="DO307" i="10" s="1"/>
  <c r="BR300" i="10"/>
  <c r="EK300" i="10" s="1"/>
  <c r="DO56" i="10"/>
  <c r="AN657" i="10"/>
  <c r="AW710" i="10"/>
  <c r="AN680" i="10"/>
  <c r="BY381" i="10"/>
  <c r="DY381" i="10"/>
  <c r="DN368" i="10"/>
  <c r="BP368" i="10" s="1"/>
  <c r="AN397" i="10"/>
  <c r="BY501" i="10"/>
  <c r="DY501" i="10"/>
  <c r="BY848" i="10"/>
  <c r="DY848" i="10"/>
  <c r="AN702" i="10"/>
  <c r="AW702" i="10"/>
  <c r="AN32" i="10"/>
  <c r="DN227" i="10"/>
  <c r="BP227" i="10" s="1"/>
  <c r="BY702" i="10"/>
  <c r="DY702" i="10"/>
  <c r="DY780" i="10"/>
  <c r="DY657" i="10"/>
  <c r="BY517" i="10"/>
  <c r="DY517" i="10"/>
  <c r="BY441" i="10"/>
  <c r="DY441" i="10"/>
  <c r="AW617" i="10"/>
  <c r="BY567" i="10"/>
  <c r="DY567" i="10"/>
  <c r="AN611" i="10"/>
  <c r="AW611" i="10"/>
  <c r="BY294" i="10"/>
  <c r="DY294" i="10"/>
  <c r="BY611" i="10"/>
  <c r="DY611" i="10"/>
  <c r="BY397" i="10"/>
  <c r="DY397" i="10"/>
  <c r="BY578" i="10"/>
  <c r="DY578" i="10"/>
  <c r="BY738" i="10"/>
  <c r="DY738" i="10"/>
  <c r="BY316" i="10"/>
  <c r="DY316" i="10"/>
  <c r="BY629" i="10"/>
  <c r="DY629" i="10"/>
  <c r="DN291" i="10"/>
  <c r="BP291" i="10" s="1"/>
  <c r="BR291" i="10" s="1"/>
  <c r="AW874" i="10"/>
  <c r="AQ150" i="10"/>
  <c r="BY733" i="10"/>
  <c r="DY733" i="10"/>
  <c r="BY420" i="10"/>
  <c r="DY420" i="10"/>
  <c r="AW316" i="10"/>
  <c r="AW79" i="10"/>
  <c r="AW820" i="10"/>
  <c r="AN840" i="10"/>
  <c r="DY476" i="10"/>
  <c r="DN275" i="10"/>
  <c r="BP275" i="10" s="1"/>
  <c r="DO275" i="10" s="1"/>
  <c r="BY680" i="10"/>
  <c r="DY680" i="10"/>
  <c r="BY722" i="10"/>
  <c r="DY722" i="10"/>
  <c r="AW441" i="10"/>
  <c r="DY368" i="10"/>
  <c r="DN780" i="10"/>
  <c r="BP780" i="10" s="1"/>
  <c r="BY836" i="10"/>
  <c r="DY836" i="10"/>
  <c r="DN401" i="10"/>
  <c r="BP401" i="10" s="1"/>
  <c r="DO401" i="10" s="1"/>
  <c r="AW363" i="10"/>
  <c r="AW821" i="10"/>
  <c r="DY363" i="10"/>
  <c r="DT348" i="10"/>
  <c r="DT324" i="10"/>
  <c r="DP324" i="10" s="1"/>
  <c r="BQ324" i="10" s="1"/>
  <c r="DQ324" i="10" s="1"/>
  <c r="DT288" i="10"/>
  <c r="DT601" i="10"/>
  <c r="AW422" i="10"/>
  <c r="DT872" i="10"/>
  <c r="DT360" i="10"/>
  <c r="DO324" i="10"/>
  <c r="AN136" i="10"/>
  <c r="DO681" i="10"/>
  <c r="DT336" i="10"/>
  <c r="AN568" i="10"/>
  <c r="AW378" i="10"/>
  <c r="DT506" i="10"/>
  <c r="DP506" i="10" s="1"/>
  <c r="BQ506" i="10" s="1"/>
  <c r="DQ506" i="10" s="1"/>
  <c r="DT538" i="10"/>
  <c r="DP538" i="10" s="1"/>
  <c r="BQ538" i="10" s="1"/>
  <c r="DQ538" i="10" s="1"/>
  <c r="DT549" i="10"/>
  <c r="DT297" i="10"/>
  <c r="AN22" i="10"/>
  <c r="DT681" i="10"/>
  <c r="DT423" i="10"/>
  <c r="AW779" i="10"/>
  <c r="AN44" i="10"/>
  <c r="AN305" i="10"/>
  <c r="DO506" i="10"/>
  <c r="AN477" i="10"/>
  <c r="AW797" i="10"/>
  <c r="AN535" i="10"/>
  <c r="DO158" i="10"/>
  <c r="DO754" i="10"/>
  <c r="AN21" i="10"/>
  <c r="BY592" i="10"/>
  <c r="DY592" i="10"/>
  <c r="DU396" i="10"/>
  <c r="DN396" i="10"/>
  <c r="BP396" i="10" s="1"/>
  <c r="DN878" i="10"/>
  <c r="BP878" i="10" s="1"/>
  <c r="DU878" i="10"/>
  <c r="DP878" i="10" s="1"/>
  <c r="BQ878" i="10" s="1"/>
  <c r="DQ878" i="10" s="1"/>
  <c r="DU622" i="10"/>
  <c r="DP622" i="10" s="1"/>
  <c r="BQ622" i="10" s="1"/>
  <c r="DQ622" i="10" s="1"/>
  <c r="DN622" i="10"/>
  <c r="BP622" i="10" s="1"/>
  <c r="BY662" i="10"/>
  <c r="DY662" i="10"/>
  <c r="BY174" i="10"/>
  <c r="DY174" i="10"/>
  <c r="DU412" i="10"/>
  <c r="DP412" i="10" s="1"/>
  <c r="BQ412" i="10" s="1"/>
  <c r="DQ412" i="10" s="1"/>
  <c r="DN412" i="10"/>
  <c r="BP412" i="10" s="1"/>
  <c r="DU205" i="10"/>
  <c r="DN205" i="10"/>
  <c r="BP205" i="10" s="1"/>
  <c r="BY617" i="10"/>
  <c r="DY617" i="10"/>
  <c r="BY874" i="10"/>
  <c r="DY874" i="10"/>
  <c r="BY79" i="10"/>
  <c r="DY79" i="10"/>
  <c r="DU648" i="10"/>
  <c r="DP648" i="10" s="1"/>
  <c r="BQ648" i="10" s="1"/>
  <c r="DQ648" i="10" s="1"/>
  <c r="DN648" i="10"/>
  <c r="BP648" i="10" s="1"/>
  <c r="DU838" i="10"/>
  <c r="DN838" i="10"/>
  <c r="BP838" i="10" s="1"/>
  <c r="AN19" i="10"/>
  <c r="DN740" i="10"/>
  <c r="BP740" i="10" s="1"/>
  <c r="BR740" i="10" s="1"/>
  <c r="DU152" i="10"/>
  <c r="DP152" i="10" s="1"/>
  <c r="BQ152" i="10" s="1"/>
  <c r="DQ152" i="10" s="1"/>
  <c r="DN152" i="10"/>
  <c r="BP152" i="10" s="1"/>
  <c r="DU666" i="10"/>
  <c r="DP666" i="10" s="1"/>
  <c r="BQ666" i="10" s="1"/>
  <c r="DQ666" i="10" s="1"/>
  <c r="DN666" i="10"/>
  <c r="BP666" i="10" s="1"/>
  <c r="DU424" i="10"/>
  <c r="DN424" i="10"/>
  <c r="BP424" i="10" s="1"/>
  <c r="DU221" i="10"/>
  <c r="DN221" i="10"/>
  <c r="BP221" i="10" s="1"/>
  <c r="DU640" i="10"/>
  <c r="DN640" i="10"/>
  <c r="BP640" i="10" s="1"/>
  <c r="DU261" i="10"/>
  <c r="DU458" i="10"/>
  <c r="DU668" i="10"/>
  <c r="DP668" i="10" s="1"/>
  <c r="BQ668" i="10" s="1"/>
  <c r="DQ668" i="10" s="1"/>
  <c r="DN668" i="10"/>
  <c r="BP668" i="10" s="1"/>
  <c r="DU184" i="10"/>
  <c r="DN184" i="10"/>
  <c r="BP184" i="10" s="1"/>
  <c r="DU179" i="10"/>
  <c r="DP179" i="10" s="1"/>
  <c r="BQ179" i="10" s="1"/>
  <c r="DQ179" i="10" s="1"/>
  <c r="DN179" i="10"/>
  <c r="BP179" i="10" s="1"/>
  <c r="DU784" i="10"/>
  <c r="DN784" i="10"/>
  <c r="BP784" i="10" s="1"/>
  <c r="DU253" i="10"/>
  <c r="DN253" i="10"/>
  <c r="BP253" i="10" s="1"/>
  <c r="DU644" i="10"/>
  <c r="DP644" i="10" s="1"/>
  <c r="BQ644" i="10" s="1"/>
  <c r="DQ644" i="10" s="1"/>
  <c r="DN644" i="10"/>
  <c r="BP644" i="10" s="1"/>
  <c r="DU392" i="10"/>
  <c r="DN392" i="10"/>
  <c r="BP392" i="10" s="1"/>
  <c r="DU690" i="10"/>
  <c r="DN690" i="10"/>
  <c r="BP690" i="10" s="1"/>
  <c r="DU85" i="10"/>
  <c r="DN85" i="10"/>
  <c r="BP85" i="10" s="1"/>
  <c r="DU421" i="10"/>
  <c r="DN421" i="10"/>
  <c r="BP421" i="10" s="1"/>
  <c r="DU195" i="10"/>
  <c r="DN195" i="10"/>
  <c r="BP195" i="10" s="1"/>
  <c r="DU664" i="10"/>
  <c r="DN664" i="10"/>
  <c r="BP664" i="10" s="1"/>
  <c r="DU503" i="10"/>
  <c r="DN503" i="10"/>
  <c r="BP503" i="10" s="1"/>
  <c r="BY686" i="10"/>
  <c r="DY686" i="10"/>
  <c r="DU181" i="10"/>
  <c r="DN181" i="10"/>
  <c r="BP181" i="10" s="1"/>
  <c r="DU440" i="10"/>
  <c r="DP440" i="10" s="1"/>
  <c r="BQ440" i="10" s="1"/>
  <c r="DQ440" i="10" s="1"/>
  <c r="DN440" i="10"/>
  <c r="BP440" i="10" s="1"/>
  <c r="DU646" i="10"/>
  <c r="DP646" i="10" s="1"/>
  <c r="BQ646" i="10" s="1"/>
  <c r="DQ646" i="10" s="1"/>
  <c r="DN646" i="10"/>
  <c r="BP646" i="10" s="1"/>
  <c r="BY113" i="10"/>
  <c r="DY113" i="10"/>
  <c r="DU533" i="10"/>
  <c r="DP533" i="10" s="1"/>
  <c r="BQ533" i="10" s="1"/>
  <c r="DQ533" i="10" s="1"/>
  <c r="DN533" i="10"/>
  <c r="BP533" i="10" s="1"/>
  <c r="DU753" i="10"/>
  <c r="DP753" i="10" s="1"/>
  <c r="BQ753" i="10" s="1"/>
  <c r="DQ753" i="10" s="1"/>
  <c r="DN753" i="10"/>
  <c r="BP753" i="10" s="1"/>
  <c r="DU269" i="10"/>
  <c r="DU213" i="10"/>
  <c r="DN213" i="10"/>
  <c r="BP213" i="10" s="1"/>
  <c r="DU816" i="10"/>
  <c r="DU471" i="10"/>
  <c r="DN471" i="10"/>
  <c r="BP471" i="10" s="1"/>
  <c r="DU465" i="10"/>
  <c r="DN465" i="10"/>
  <c r="BP465" i="10" s="1"/>
  <c r="BY90" i="10"/>
  <c r="DY90" i="10"/>
  <c r="DU436" i="10"/>
  <c r="DN436" i="10"/>
  <c r="BP436" i="10" s="1"/>
  <c r="DU696" i="10"/>
  <c r="DN696" i="10"/>
  <c r="BP696" i="10" s="1"/>
  <c r="DU37" i="10"/>
  <c r="DN37" i="10"/>
  <c r="BP37" i="10" s="1"/>
  <c r="DU518" i="10"/>
  <c r="DN518" i="10"/>
  <c r="BP518" i="10" s="1"/>
  <c r="DU670" i="10"/>
  <c r="DN670" i="10"/>
  <c r="BP670" i="10" s="1"/>
  <c r="DU144" i="10"/>
  <c r="DN144" i="10"/>
  <c r="BP144" i="10" s="1"/>
  <c r="BY810" i="10"/>
  <c r="DY810" i="10"/>
  <c r="DU229" i="10"/>
  <c r="DN229" i="10"/>
  <c r="BP229" i="10" s="1"/>
  <c r="DU739" i="10"/>
  <c r="DN739" i="10"/>
  <c r="BP739" i="10" s="1"/>
  <c r="DU698" i="10"/>
  <c r="DP698" i="10" s="1"/>
  <c r="BQ698" i="10" s="1"/>
  <c r="DQ698" i="10" s="1"/>
  <c r="DN698" i="10"/>
  <c r="BP698" i="10" s="1"/>
  <c r="DO297" i="10"/>
  <c r="DN259" i="10"/>
  <c r="BP259" i="10" s="1"/>
  <c r="DN657" i="10"/>
  <c r="BP657" i="10" s="1"/>
  <c r="DY740" i="10"/>
  <c r="AW547" i="10"/>
  <c r="AN547" i="10"/>
  <c r="BY627" i="10"/>
  <c r="DY627" i="10"/>
  <c r="DU277" i="10"/>
  <c r="DN277" i="10"/>
  <c r="BP277" i="10" s="1"/>
  <c r="BY710" i="10"/>
  <c r="DY710" i="10"/>
  <c r="DU763" i="10"/>
  <c r="DN763" i="10"/>
  <c r="BP763" i="10" s="1"/>
  <c r="BY119" i="10"/>
  <c r="DY119" i="10"/>
  <c r="DU353" i="10"/>
  <c r="DP353" i="10" s="1"/>
  <c r="BQ353" i="10" s="1"/>
  <c r="DQ353" i="10" s="1"/>
  <c r="DN353" i="10"/>
  <c r="BP353" i="10" s="1"/>
  <c r="DU577" i="10"/>
  <c r="DN577" i="10"/>
  <c r="BP577" i="10" s="1"/>
  <c r="DU787" i="10"/>
  <c r="DN787" i="10"/>
  <c r="BP787" i="10" s="1"/>
  <c r="DN383" i="10"/>
  <c r="BP383" i="10" s="1"/>
  <c r="BY547" i="10"/>
  <c r="DY547" i="10"/>
  <c r="AN780" i="10"/>
  <c r="AW780" i="10"/>
  <c r="DU96" i="10"/>
  <c r="DN96" i="10"/>
  <c r="BP96" i="10" s="1"/>
  <c r="DU453" i="10"/>
  <c r="DP453" i="10" s="1"/>
  <c r="BQ453" i="10" s="1"/>
  <c r="DQ453" i="10" s="1"/>
  <c r="DN453" i="10"/>
  <c r="BP453" i="10" s="1"/>
  <c r="DU717" i="10"/>
  <c r="DN717" i="10"/>
  <c r="BP717" i="10" s="1"/>
  <c r="DU589" i="10"/>
  <c r="DP589" i="10" s="1"/>
  <c r="BQ589" i="10" s="1"/>
  <c r="DQ589" i="10" s="1"/>
  <c r="DN589" i="10"/>
  <c r="BP589" i="10" s="1"/>
  <c r="DU349" i="10"/>
  <c r="DP349" i="10" s="1"/>
  <c r="BQ349" i="10" s="1"/>
  <c r="DQ349" i="10" s="1"/>
  <c r="DN349" i="10"/>
  <c r="BP349" i="10" s="1"/>
  <c r="DU551" i="10"/>
  <c r="DP551" i="10" s="1"/>
  <c r="BQ551" i="10" s="1"/>
  <c r="DQ551" i="10" s="1"/>
  <c r="DN551" i="10"/>
  <c r="BP551" i="10" s="1"/>
  <c r="DU864" i="10"/>
  <c r="DN864" i="10"/>
  <c r="BP864" i="10" s="1"/>
  <c r="DU777" i="10"/>
  <c r="DP777" i="10" s="1"/>
  <c r="BQ777" i="10" s="1"/>
  <c r="DQ777" i="10" s="1"/>
  <c r="DN777" i="10"/>
  <c r="BP777" i="10" s="1"/>
  <c r="DU569" i="10"/>
  <c r="DN569" i="10"/>
  <c r="BP569" i="10" s="1"/>
  <c r="AN552" i="10"/>
  <c r="BY374" i="10"/>
  <c r="DY374" i="10"/>
  <c r="DU315" i="10"/>
  <c r="DN315" i="10"/>
  <c r="BP315" i="10" s="1"/>
  <c r="DU511" i="10"/>
  <c r="DN511" i="10"/>
  <c r="BP511" i="10" s="1"/>
  <c r="BY830" i="10"/>
  <c r="DY830" i="10"/>
  <c r="BY125" i="10"/>
  <c r="DY125" i="10"/>
  <c r="BY403" i="10"/>
  <c r="DY403" i="10"/>
  <c r="DU652" i="10"/>
  <c r="DP652" i="10" s="1"/>
  <c r="BQ652" i="10" s="1"/>
  <c r="DQ652" i="10" s="1"/>
  <c r="DN652" i="10"/>
  <c r="BP652" i="10" s="1"/>
  <c r="BY825" i="10"/>
  <c r="DY825" i="10"/>
  <c r="AN368" i="10"/>
  <c r="DU433" i="10"/>
  <c r="DN433" i="10"/>
  <c r="BP433" i="10" s="1"/>
  <c r="DU570" i="10"/>
  <c r="DN570" i="10"/>
  <c r="BP570" i="10" s="1"/>
  <c r="DU237" i="10"/>
  <c r="DN237" i="10"/>
  <c r="BP237" i="10" s="1"/>
  <c r="BY102" i="10"/>
  <c r="DY102" i="10"/>
  <c r="DU583" i="10"/>
  <c r="DN583" i="10"/>
  <c r="BP583" i="10" s="1"/>
  <c r="DU743" i="10"/>
  <c r="DP743" i="10" s="1"/>
  <c r="BQ743" i="10" s="1"/>
  <c r="DQ743" i="10" s="1"/>
  <c r="DN743" i="10"/>
  <c r="BP743" i="10" s="1"/>
  <c r="BY606" i="10"/>
  <c r="DY606" i="10"/>
  <c r="BY67" i="10"/>
  <c r="DY67" i="10"/>
  <c r="DU377" i="10"/>
  <c r="DP377" i="10" s="1"/>
  <c r="BQ377" i="10" s="1"/>
  <c r="DQ377" i="10" s="1"/>
  <c r="DN377" i="10"/>
  <c r="BP377" i="10" s="1"/>
  <c r="BY20" i="10"/>
  <c r="DY20" i="10"/>
  <c r="BY388" i="10"/>
  <c r="DY388" i="10"/>
  <c r="DU783" i="10"/>
  <c r="DP783" i="10" s="1"/>
  <c r="BQ783" i="10" s="1"/>
  <c r="DQ783" i="10" s="1"/>
  <c r="DN783" i="10"/>
  <c r="BP783" i="10" s="1"/>
  <c r="DU619" i="10"/>
  <c r="AN476" i="10"/>
  <c r="AW476" i="10"/>
  <c r="DU845" i="10"/>
  <c r="DN845" i="10"/>
  <c r="BP845" i="10" s="1"/>
  <c r="DU768" i="10"/>
  <c r="DN768" i="10"/>
  <c r="BP768" i="10" s="1"/>
  <c r="DU380" i="10"/>
  <c r="DP380" i="10" s="1"/>
  <c r="BQ380" i="10" s="1"/>
  <c r="DQ380" i="10" s="1"/>
  <c r="DN380" i="10"/>
  <c r="BP380" i="10" s="1"/>
  <c r="DU862" i="10"/>
  <c r="DP862" i="10" s="1"/>
  <c r="BQ862" i="10" s="1"/>
  <c r="DQ862" i="10" s="1"/>
  <c r="DN862" i="10"/>
  <c r="BP862" i="10" s="1"/>
  <c r="BY572" i="10"/>
  <c r="DY572" i="10"/>
  <c r="DU408" i="10"/>
  <c r="DN408" i="10"/>
  <c r="BP408" i="10" s="1"/>
  <c r="DY383" i="10"/>
  <c r="DU329" i="10"/>
  <c r="DN329" i="10"/>
  <c r="BP329" i="10" s="1"/>
  <c r="DU597" i="10"/>
  <c r="DP597" i="10" s="1"/>
  <c r="BQ597" i="10" s="1"/>
  <c r="DQ597" i="10" s="1"/>
  <c r="DN597" i="10"/>
  <c r="BP597" i="10" s="1"/>
  <c r="DU341" i="10"/>
  <c r="DP341" i="10" s="1"/>
  <c r="BQ341" i="10" s="1"/>
  <c r="DQ341" i="10" s="1"/>
  <c r="DN341" i="10"/>
  <c r="BP341" i="10" s="1"/>
  <c r="DU160" i="10"/>
  <c r="DN160" i="10"/>
  <c r="BP160" i="10" s="1"/>
  <c r="DU600" i="10"/>
  <c r="DN600" i="10"/>
  <c r="BP600" i="10" s="1"/>
  <c r="DU398" i="10"/>
  <c r="DN398" i="10"/>
  <c r="BP398" i="10" s="1"/>
  <c r="BY820" i="10"/>
  <c r="DY820" i="10"/>
  <c r="BY73" i="10"/>
  <c r="DY73" i="10"/>
  <c r="DU382" i="10"/>
  <c r="DN382" i="10"/>
  <c r="BP382" i="10" s="1"/>
  <c r="BY26" i="10"/>
  <c r="DU26" i="10" s="1"/>
  <c r="DY26" i="10"/>
  <c r="DU449" i="10"/>
  <c r="DN449" i="10"/>
  <c r="BP449" i="10" s="1"/>
  <c r="DU849" i="10"/>
  <c r="DN849" i="10"/>
  <c r="BP849" i="10" s="1"/>
  <c r="DU676" i="10"/>
  <c r="DN676" i="10"/>
  <c r="BP676" i="10" s="1"/>
  <c r="DU855" i="10"/>
  <c r="DN855" i="10"/>
  <c r="BP855" i="10" s="1"/>
  <c r="AN635" i="10"/>
  <c r="AW635" i="10"/>
  <c r="BY635" i="10"/>
  <c r="DY635" i="10"/>
  <c r="AN594" i="10"/>
  <c r="AW594" i="10"/>
  <c r="BY801" i="10"/>
  <c r="DY801" i="10"/>
  <c r="BY594" i="10"/>
  <c r="DY594" i="10"/>
  <c r="BY613" i="10"/>
  <c r="DY613" i="10"/>
  <c r="BY609" i="10"/>
  <c r="DY609" i="10"/>
  <c r="BY628" i="10"/>
  <c r="DY628" i="10"/>
  <c r="BY762" i="10"/>
  <c r="DY762" i="10"/>
  <c r="BY805" i="10"/>
  <c r="DY805" i="10"/>
  <c r="DO688" i="10"/>
  <c r="BY840" i="10"/>
  <c r="DY840" i="10"/>
  <c r="DO466" i="10"/>
  <c r="BY766" i="10"/>
  <c r="DY766" i="10"/>
  <c r="BY832" i="10"/>
  <c r="DY832" i="10"/>
  <c r="AW628" i="10"/>
  <c r="DO143" i="10"/>
  <c r="DO645" i="10"/>
  <c r="DN363" i="10"/>
  <c r="BP363" i="10" s="1"/>
  <c r="DT363" i="10"/>
  <c r="DP363" i="10" s="1"/>
  <c r="BQ363" i="10" s="1"/>
  <c r="DQ363" i="10" s="1"/>
  <c r="AN540" i="10"/>
  <c r="AW540" i="10"/>
  <c r="AN697" i="10"/>
  <c r="AW697" i="10"/>
  <c r="BX422" i="10"/>
  <c r="DY422" i="10"/>
  <c r="BX540" i="10"/>
  <c r="DY540" i="10"/>
  <c r="AN674" i="10"/>
  <c r="AW674" i="10"/>
  <c r="BX375" i="10"/>
  <c r="DY375" i="10"/>
  <c r="AN348" i="10"/>
  <c r="AW348" i="10"/>
  <c r="AW712" i="10"/>
  <c r="AN712" i="10"/>
  <c r="BX625" i="10"/>
  <c r="DY625" i="10"/>
  <c r="AN493" i="10"/>
  <c r="AW493" i="10"/>
  <c r="AW375" i="10"/>
  <c r="AN372" i="10"/>
  <c r="AW372" i="10"/>
  <c r="DO748" i="10"/>
  <c r="BX697" i="10"/>
  <c r="DY697" i="10"/>
  <c r="BX32" i="10"/>
  <c r="DY32" i="10"/>
  <c r="BX493" i="10"/>
  <c r="DY493" i="10"/>
  <c r="BX481" i="10"/>
  <c r="DY481" i="10"/>
  <c r="BX118" i="10"/>
  <c r="DY118" i="10"/>
  <c r="BX106" i="10"/>
  <c r="DY106" i="10"/>
  <c r="BX674" i="10"/>
  <c r="DY674" i="10"/>
  <c r="AN360" i="10"/>
  <c r="AW360" i="10"/>
  <c r="BX712" i="10"/>
  <c r="DY712" i="10"/>
  <c r="BX593" i="10"/>
  <c r="DY593" i="10"/>
  <c r="BX419" i="10"/>
  <c r="DY419" i="10"/>
  <c r="DT579" i="10"/>
  <c r="DP579" i="10" s="1"/>
  <c r="BQ579" i="10" s="1"/>
  <c r="DQ579" i="10" s="1"/>
  <c r="DN579" i="10"/>
  <c r="BP579" i="10" s="1"/>
  <c r="AN478" i="10"/>
  <c r="AW478" i="10"/>
  <c r="BX130" i="10"/>
  <c r="DY130" i="10"/>
  <c r="BX372" i="10"/>
  <c r="DY372" i="10"/>
  <c r="AN721" i="10"/>
  <c r="AW721" i="10"/>
  <c r="AW694" i="10"/>
  <c r="AN694" i="10"/>
  <c r="AN490" i="10"/>
  <c r="AW490" i="10"/>
  <c r="AN142" i="10"/>
  <c r="AW142" i="10"/>
  <c r="AN115" i="10"/>
  <c r="AW115" i="10"/>
  <c r="DO549" i="10"/>
  <c r="DO423" i="10"/>
  <c r="DO659" i="10"/>
  <c r="AN369" i="10"/>
  <c r="AW369" i="10"/>
  <c r="AN357" i="10"/>
  <c r="AW357" i="10"/>
  <c r="AN709" i="10"/>
  <c r="AW709" i="10"/>
  <c r="BX694" i="10"/>
  <c r="DY694" i="10"/>
  <c r="BX590" i="10"/>
  <c r="DY590" i="10"/>
  <c r="AN416" i="10"/>
  <c r="AW416" i="10"/>
  <c r="BX490" i="10"/>
  <c r="DY490" i="10"/>
  <c r="BX478" i="10"/>
  <c r="DY478" i="10"/>
  <c r="BX142" i="10"/>
  <c r="DY142" i="10"/>
  <c r="AN127" i="10"/>
  <c r="AW127" i="10"/>
  <c r="BX115" i="10"/>
  <c r="DY115" i="10"/>
  <c r="AW869" i="10"/>
  <c r="AN869" i="10"/>
  <c r="AW32" i="10"/>
  <c r="BX721" i="10"/>
  <c r="DY721" i="10"/>
  <c r="BX709" i="10"/>
  <c r="DY709" i="10"/>
  <c r="BX416" i="10"/>
  <c r="DY416" i="10"/>
  <c r="DO191" i="10"/>
  <c r="AN487" i="10"/>
  <c r="AW487" i="10"/>
  <c r="BX127" i="10"/>
  <c r="DY127" i="10"/>
  <c r="AN112" i="10"/>
  <c r="AW112" i="10"/>
  <c r="AW100" i="10"/>
  <c r="AN100" i="10"/>
  <c r="DO859" i="10"/>
  <c r="AN118" i="10"/>
  <c r="AW118" i="10"/>
  <c r="BX546" i="10"/>
  <c r="DY546" i="10"/>
  <c r="BX369" i="10"/>
  <c r="DY369" i="10"/>
  <c r="BX357" i="10"/>
  <c r="DY357" i="10"/>
  <c r="AN706" i="10"/>
  <c r="AW706" i="10"/>
  <c r="DO587" i="10"/>
  <c r="DO470" i="10"/>
  <c r="AN413" i="10"/>
  <c r="AW413" i="10"/>
  <c r="BR559" i="10"/>
  <c r="DO559" i="10"/>
  <c r="AW139" i="10"/>
  <c r="AN139" i="10"/>
  <c r="AW124" i="10"/>
  <c r="AN124" i="10"/>
  <c r="BX100" i="10"/>
  <c r="DY100" i="10"/>
  <c r="BX351" i="10"/>
  <c r="DY351" i="10"/>
  <c r="BX715" i="10"/>
  <c r="DY715" i="10"/>
  <c r="BX596" i="10"/>
  <c r="DY596" i="10"/>
  <c r="BX133" i="10"/>
  <c r="DY133" i="10"/>
  <c r="DT285" i="10"/>
  <c r="AN106" i="10"/>
  <c r="AW543" i="10"/>
  <c r="AN543" i="10"/>
  <c r="AN366" i="10"/>
  <c r="AW366" i="10"/>
  <c r="AW354" i="10"/>
  <c r="AN354" i="10"/>
  <c r="AW718" i="10"/>
  <c r="AN718" i="10"/>
  <c r="AN744" i="10"/>
  <c r="AW744" i="10"/>
  <c r="BX487" i="10"/>
  <c r="DY487" i="10"/>
  <c r="BX475" i="10"/>
  <c r="DY475" i="10"/>
  <c r="BX139" i="10"/>
  <c r="DY139" i="10"/>
  <c r="BX112" i="10"/>
  <c r="DY112" i="10"/>
  <c r="DT859" i="10"/>
  <c r="DT870" i="10"/>
  <c r="DP870" i="10" s="1"/>
  <c r="BQ870" i="10" s="1"/>
  <c r="DQ870" i="10" s="1"/>
  <c r="BX354" i="10"/>
  <c r="DY354" i="10"/>
  <c r="BX718" i="10"/>
  <c r="DY718" i="10"/>
  <c r="BX706" i="10"/>
  <c r="DY706" i="10"/>
  <c r="BX599" i="10"/>
  <c r="DY599" i="10"/>
  <c r="BX413" i="10"/>
  <c r="DY413" i="10"/>
  <c r="BX744" i="10"/>
  <c r="DY744" i="10"/>
  <c r="BX41" i="10"/>
  <c r="DY41" i="10"/>
  <c r="AN472" i="10"/>
  <c r="AW472" i="10"/>
  <c r="BX124" i="10"/>
  <c r="DY124" i="10"/>
  <c r="BX97" i="10"/>
  <c r="DY97" i="10"/>
  <c r="BX543" i="10"/>
  <c r="DY543" i="10"/>
  <c r="BX378" i="10"/>
  <c r="DY378" i="10"/>
  <c r="BX366" i="10"/>
  <c r="DY366" i="10"/>
  <c r="BX136" i="10"/>
  <c r="DY136" i="10"/>
  <c r="AN109" i="10"/>
  <c r="AW109" i="10"/>
  <c r="AN481" i="10"/>
  <c r="AW481" i="10"/>
  <c r="AW715" i="10"/>
  <c r="AN715" i="10"/>
  <c r="BX703" i="10"/>
  <c r="DY703" i="10"/>
  <c r="BX484" i="10"/>
  <c r="DY484" i="10"/>
  <c r="BX472" i="10"/>
  <c r="DY472" i="10"/>
  <c r="BX109" i="10"/>
  <c r="DY109" i="10"/>
  <c r="AN812" i="10"/>
  <c r="AW812" i="10"/>
  <c r="BX325" i="10"/>
  <c r="DY325" i="10"/>
  <c r="BX480" i="10"/>
  <c r="DY480" i="10"/>
  <c r="AN634" i="10"/>
  <c r="AW634" i="10"/>
  <c r="AN282" i="10"/>
  <c r="AW282" i="10"/>
  <c r="AW824" i="10"/>
  <c r="AN824" i="10"/>
  <c r="BX800" i="10"/>
  <c r="DY800" i="10"/>
  <c r="AN782" i="10"/>
  <c r="AW782" i="10"/>
  <c r="AN767" i="10"/>
  <c r="AW767" i="10"/>
  <c r="AN488" i="10"/>
  <c r="AW488" i="10"/>
  <c r="AN587" i="10"/>
  <c r="AW587" i="10"/>
  <c r="BX188" i="10"/>
  <c r="DY188" i="10"/>
  <c r="AW681" i="10"/>
  <c r="AN681" i="10"/>
  <c r="BX345" i="10"/>
  <c r="DY345" i="10"/>
  <c r="BX527" i="10"/>
  <c r="DY527" i="10"/>
  <c r="BX747" i="10"/>
  <c r="DY747" i="10"/>
  <c r="BX415" i="10"/>
  <c r="DY415" i="10"/>
  <c r="DT730" i="10"/>
  <c r="BX219" i="10"/>
  <c r="DY219" i="10"/>
  <c r="BX824" i="10"/>
  <c r="DY824" i="10"/>
  <c r="BX812" i="10"/>
  <c r="DY812" i="10"/>
  <c r="BX782" i="10"/>
  <c r="DY782" i="10"/>
  <c r="BX755" i="10"/>
  <c r="DY755" i="10"/>
  <c r="BX573" i="10"/>
  <c r="DY573" i="10"/>
  <c r="BX308" i="10"/>
  <c r="DY308" i="10"/>
  <c r="BX705" i="10"/>
  <c r="DY705" i="10"/>
  <c r="BX499" i="10"/>
  <c r="DY499" i="10"/>
  <c r="AN557" i="10"/>
  <c r="AW557" i="10"/>
  <c r="AN241" i="10"/>
  <c r="AW241" i="10"/>
  <c r="AN445" i="10"/>
  <c r="AW445" i="10"/>
  <c r="AW615" i="10"/>
  <c r="AN615" i="10"/>
  <c r="BR727" i="10"/>
  <c r="DO727" i="10"/>
  <c r="AW573" i="10"/>
  <c r="AN573" i="10"/>
  <c r="DT95" i="10"/>
  <c r="DP95" i="10" s="1"/>
  <c r="BQ95" i="10" s="1"/>
  <c r="DQ95" i="10" s="1"/>
  <c r="BX634" i="10"/>
  <c r="DY634" i="10"/>
  <c r="BX282" i="10"/>
  <c r="DY282" i="10"/>
  <c r="AN809" i="10"/>
  <c r="AW809" i="10"/>
  <c r="BX767" i="10"/>
  <c r="DY767" i="10"/>
  <c r="AW450" i="10"/>
  <c r="AN450" i="10"/>
  <c r="BX428" i="10"/>
  <c r="DY428" i="10"/>
  <c r="BX557" i="10"/>
  <c r="DY557" i="10"/>
  <c r="BX241" i="10"/>
  <c r="DY241" i="10"/>
  <c r="AN407" i="10"/>
  <c r="AW407" i="10"/>
  <c r="BX615" i="10"/>
  <c r="DY615" i="10"/>
  <c r="BX30" i="10"/>
  <c r="DY30" i="10"/>
  <c r="BX724" i="10"/>
  <c r="DY724" i="10"/>
  <c r="DO700" i="10"/>
  <c r="AW755" i="10"/>
  <c r="AN755" i="10"/>
  <c r="BX716" i="10"/>
  <c r="DY716" i="10"/>
  <c r="BX477" i="10"/>
  <c r="DY477" i="10"/>
  <c r="AN246" i="10"/>
  <c r="AW246" i="10"/>
  <c r="BX216" i="10"/>
  <c r="DY216" i="10"/>
  <c r="BX809" i="10"/>
  <c r="DY809" i="10"/>
  <c r="BX797" i="10"/>
  <c r="DY797" i="10"/>
  <c r="AN752" i="10"/>
  <c r="AW752" i="10"/>
  <c r="BX450" i="10"/>
  <c r="DY450" i="10"/>
  <c r="AW496" i="10"/>
  <c r="AN496" i="10"/>
  <c r="AN379" i="10"/>
  <c r="AW379" i="10"/>
  <c r="AN393" i="10"/>
  <c r="AW393" i="10"/>
  <c r="AN554" i="10"/>
  <c r="AW554" i="10"/>
  <c r="BX445" i="10"/>
  <c r="DY445" i="10"/>
  <c r="DO742" i="10"/>
  <c r="DO872" i="10"/>
  <c r="AN724" i="10"/>
  <c r="AW724" i="10"/>
  <c r="BX770" i="10"/>
  <c r="DY770" i="10"/>
  <c r="BX38" i="10"/>
  <c r="DY38" i="10"/>
  <c r="BX568" i="10"/>
  <c r="DY568" i="10"/>
  <c r="AW623" i="10"/>
  <c r="AN623" i="10"/>
  <c r="BX821" i="10"/>
  <c r="DY821" i="10"/>
  <c r="AN794" i="10"/>
  <c r="AW794" i="10"/>
  <c r="BX779" i="10"/>
  <c r="DY779" i="10"/>
  <c r="AN764" i="10"/>
  <c r="AW764" i="10"/>
  <c r="BX752" i="10"/>
  <c r="DY752" i="10"/>
  <c r="AW447" i="10"/>
  <c r="AN447" i="10"/>
  <c r="BX535" i="10"/>
  <c r="DY535" i="10"/>
  <c r="BX305" i="10"/>
  <c r="DY305" i="10"/>
  <c r="BX656" i="10"/>
  <c r="DY656" i="10"/>
  <c r="BX496" i="10"/>
  <c r="DY496" i="10"/>
  <c r="AN334" i="10"/>
  <c r="AW334" i="10"/>
  <c r="AW238" i="10"/>
  <c r="AN238" i="10"/>
  <c r="BX407" i="10"/>
  <c r="DY407" i="10"/>
  <c r="AN442" i="10"/>
  <c r="AW442" i="10"/>
  <c r="AW705" i="10"/>
  <c r="AN285" i="10"/>
  <c r="AW285" i="10"/>
  <c r="BX623" i="10"/>
  <c r="DY623" i="10"/>
  <c r="BX246" i="10"/>
  <c r="DY246" i="10"/>
  <c r="AN806" i="10"/>
  <c r="AW806" i="10"/>
  <c r="BX794" i="10"/>
  <c r="DY794" i="10"/>
  <c r="AW776" i="10"/>
  <c r="AN776" i="10"/>
  <c r="BX764" i="10"/>
  <c r="DY764" i="10"/>
  <c r="AN645" i="10"/>
  <c r="AW645" i="10"/>
  <c r="BX447" i="10"/>
  <c r="DY447" i="10"/>
  <c r="AW302" i="10"/>
  <c r="AN302" i="10"/>
  <c r="AW653" i="10"/>
  <c r="AN653" i="10"/>
  <c r="BX379" i="10"/>
  <c r="DY379" i="10"/>
  <c r="BX334" i="10"/>
  <c r="DY334" i="10"/>
  <c r="BX554" i="10"/>
  <c r="DY554" i="10"/>
  <c r="BX238" i="10"/>
  <c r="DY238" i="10"/>
  <c r="AN404" i="10"/>
  <c r="AW404" i="10"/>
  <c r="DO483" i="10"/>
  <c r="DT576" i="10"/>
  <c r="DN576" i="10"/>
  <c r="BP576" i="10" s="1"/>
  <c r="AN499" i="10"/>
  <c r="AW499" i="10"/>
  <c r="AW219" i="10"/>
  <c r="AW565" i="10"/>
  <c r="AN565" i="10"/>
  <c r="BX806" i="10"/>
  <c r="DY806" i="10"/>
  <c r="AN791" i="10"/>
  <c r="AW791" i="10"/>
  <c r="AW761" i="10"/>
  <c r="AN761" i="10"/>
  <c r="AN485" i="10"/>
  <c r="AW485" i="10"/>
  <c r="BX254" i="10"/>
  <c r="DY254" i="10"/>
  <c r="BX442" i="10"/>
  <c r="DY442" i="10"/>
  <c r="BX92" i="10"/>
  <c r="DY92" i="10"/>
  <c r="DO360" i="10"/>
  <c r="AN480" i="10"/>
  <c r="AW480" i="10"/>
  <c r="BX491" i="10"/>
  <c r="DY491" i="10"/>
  <c r="BX565" i="10"/>
  <c r="DY565" i="10"/>
  <c r="AN418" i="10"/>
  <c r="AW418" i="10"/>
  <c r="AW243" i="10"/>
  <c r="AN243" i="10"/>
  <c r="BX818" i="10"/>
  <c r="DY818" i="10"/>
  <c r="BX791" i="10"/>
  <c r="DY791" i="10"/>
  <c r="BX776" i="10"/>
  <c r="DY776" i="10"/>
  <c r="BX761" i="10"/>
  <c r="DY761" i="10"/>
  <c r="BX485" i="10"/>
  <c r="DY485" i="10"/>
  <c r="BX302" i="10"/>
  <c r="DY302" i="10"/>
  <c r="BX711" i="10"/>
  <c r="DY711" i="10"/>
  <c r="BX653" i="10"/>
  <c r="DY653" i="10"/>
  <c r="BX376" i="10"/>
  <c r="DY376" i="10"/>
  <c r="AN737" i="10"/>
  <c r="AW737" i="10"/>
  <c r="AN331" i="10"/>
  <c r="AW331" i="10"/>
  <c r="AW390" i="10"/>
  <c r="AN390" i="10"/>
  <c r="BX202" i="10"/>
  <c r="DY202" i="10"/>
  <c r="BX404" i="10"/>
  <c r="DY404" i="10"/>
  <c r="DO750" i="10"/>
  <c r="BX157" i="10"/>
  <c r="DY157" i="10"/>
  <c r="BX359" i="10"/>
  <c r="DY359" i="10"/>
  <c r="AN507" i="10"/>
  <c r="AW507" i="10"/>
  <c r="BX618" i="10"/>
  <c r="DY618" i="10"/>
  <c r="BX418" i="10"/>
  <c r="DY418" i="10"/>
  <c r="BX243" i="10"/>
  <c r="DY243" i="10"/>
  <c r="AN827" i="10"/>
  <c r="AW827" i="10"/>
  <c r="AN803" i="10"/>
  <c r="AW803" i="10"/>
  <c r="AN788" i="10"/>
  <c r="AW788" i="10"/>
  <c r="AN773" i="10"/>
  <c r="AW773" i="10"/>
  <c r="BX362" i="10"/>
  <c r="DY362" i="10"/>
  <c r="AN729" i="10"/>
  <c r="AW729" i="10"/>
  <c r="AW708" i="10"/>
  <c r="AN708" i="10"/>
  <c r="BX230" i="10"/>
  <c r="DY230" i="10"/>
  <c r="AN373" i="10"/>
  <c r="AW373" i="10"/>
  <c r="BX737" i="10"/>
  <c r="DY737" i="10"/>
  <c r="BX331" i="10"/>
  <c r="DY331" i="10"/>
  <c r="BX390" i="10"/>
  <c r="DY390" i="10"/>
  <c r="BX140" i="10"/>
  <c r="DY140" i="10"/>
  <c r="AN439" i="10"/>
  <c r="AW439" i="10"/>
  <c r="DO621" i="10"/>
  <c r="AW308" i="10"/>
  <c r="AN308" i="10"/>
  <c r="BX387" i="10"/>
  <c r="DY387" i="10"/>
  <c r="AW415" i="10"/>
  <c r="AN415" i="10"/>
  <c r="AN815" i="10"/>
  <c r="AW815" i="10"/>
  <c r="BX803" i="10"/>
  <c r="DY803" i="10"/>
  <c r="BX788" i="10"/>
  <c r="DY788" i="10"/>
  <c r="BX773" i="10"/>
  <c r="DY773" i="10"/>
  <c r="AN758" i="10"/>
  <c r="AW758" i="10"/>
  <c r="AN311" i="10"/>
  <c r="AW311" i="10"/>
  <c r="BX168" i="10"/>
  <c r="DY168" i="10"/>
  <c r="AN650" i="10"/>
  <c r="AW650" i="10"/>
  <c r="AW120" i="10"/>
  <c r="AN120" i="10"/>
  <c r="AN387" i="10"/>
  <c r="AW387" i="10"/>
  <c r="BX439" i="10"/>
  <c r="DY439" i="10"/>
  <c r="AW618" i="10"/>
  <c r="AN618" i="10"/>
  <c r="BX692" i="10"/>
  <c r="DY692" i="10"/>
  <c r="BX89" i="10"/>
  <c r="DY89" i="10"/>
  <c r="BX785" i="10"/>
  <c r="DY785" i="10"/>
  <c r="AN659" i="10"/>
  <c r="AW659" i="10"/>
  <c r="AW830" i="10"/>
  <c r="AN830" i="10"/>
  <c r="BX562" i="10"/>
  <c r="DY562" i="10"/>
  <c r="AN700" i="10"/>
  <c r="AW700" i="10"/>
  <c r="BX222" i="10"/>
  <c r="DY222" i="10"/>
  <c r="BX827" i="10"/>
  <c r="DY827" i="10"/>
  <c r="BX815" i="10"/>
  <c r="DY815" i="10"/>
  <c r="AN800" i="10"/>
  <c r="AW800" i="10"/>
  <c r="BX758" i="10"/>
  <c r="DY758" i="10"/>
  <c r="AN491" i="10"/>
  <c r="AW491" i="10"/>
  <c r="AN359" i="10"/>
  <c r="AW359" i="10"/>
  <c r="BX729" i="10"/>
  <c r="DY729" i="10"/>
  <c r="BX311" i="10"/>
  <c r="DY311" i="10"/>
  <c r="BX708" i="10"/>
  <c r="DY708" i="10"/>
  <c r="BX650" i="10"/>
  <c r="DY650" i="10"/>
  <c r="BX120" i="10"/>
  <c r="DY120" i="10"/>
  <c r="BX373" i="10"/>
  <c r="DY373" i="10"/>
  <c r="AW601" i="10"/>
  <c r="AN601" i="10"/>
  <c r="AW325" i="10"/>
  <c r="AN325" i="10"/>
  <c r="AN716" i="10"/>
  <c r="AW716" i="10"/>
  <c r="AN345" i="10"/>
  <c r="AW345" i="10"/>
  <c r="DO321" i="10"/>
  <c r="AN527" i="10"/>
  <c r="AW527" i="10"/>
  <c r="BX154" i="10"/>
  <c r="DY154" i="10"/>
  <c r="EJ536" i="10"/>
  <c r="EI679" i="10"/>
  <c r="DR679" i="10"/>
  <c r="EJ679" i="10"/>
  <c r="EK679" i="10"/>
  <c r="EH679" i="10"/>
  <c r="G91" i="7"/>
  <c r="H91" i="7"/>
  <c r="CD25" i="10"/>
  <c r="CH25" i="10" s="1"/>
  <c r="CL25" i="10"/>
  <c r="O17" i="9"/>
  <c r="O29" i="9" s="1"/>
  <c r="Z17" i="9"/>
  <c r="Z35" i="9" s="1"/>
  <c r="AR17" i="9"/>
  <c r="AR35" i="9" s="1"/>
  <c r="W17" i="9"/>
  <c r="W35" i="9" s="1"/>
  <c r="AQ17" i="9"/>
  <c r="AQ35" i="9" s="1"/>
  <c r="AA17" i="9"/>
  <c r="AA35" i="9" s="1"/>
  <c r="AD17" i="9"/>
  <c r="AD35" i="9" s="1"/>
  <c r="Y17" i="9"/>
  <c r="Y35" i="9" s="1"/>
  <c r="AC17" i="9"/>
  <c r="AC35" i="9" s="1"/>
  <c r="AN17" i="9"/>
  <c r="AN35" i="9" s="1"/>
  <c r="Q17" i="9"/>
  <c r="Q35" i="9" s="1"/>
  <c r="V17" i="9"/>
  <c r="V35" i="9" s="1"/>
  <c r="T17" i="9"/>
  <c r="T35" i="9" s="1"/>
  <c r="AB17" i="9"/>
  <c r="AB35" i="9" s="1"/>
  <c r="AO17" i="9"/>
  <c r="AO35" i="9" s="1"/>
  <c r="S17" i="9"/>
  <c r="S35" i="9" s="1"/>
  <c r="U17" i="9"/>
  <c r="U35" i="9" s="1"/>
  <c r="AH17" i="9"/>
  <c r="AH35" i="9" s="1"/>
  <c r="AP17" i="9"/>
  <c r="AP35" i="9" s="1"/>
  <c r="AL17" i="9"/>
  <c r="AL35" i="9" s="1"/>
  <c r="AM17" i="9"/>
  <c r="AM35" i="9" s="1"/>
  <c r="AJ17" i="9"/>
  <c r="AJ35" i="9" s="1"/>
  <c r="AK17" i="9"/>
  <c r="AK35" i="9" s="1"/>
  <c r="P17" i="9"/>
  <c r="P35" i="9" s="1"/>
  <c r="AF17" i="9"/>
  <c r="AF35" i="9" s="1"/>
  <c r="AS17" i="9"/>
  <c r="AS35" i="9" s="1"/>
  <c r="R17" i="9"/>
  <c r="R35" i="9" s="1"/>
  <c r="AG17" i="9"/>
  <c r="AG35" i="9" s="1"/>
  <c r="AE17" i="9"/>
  <c r="AE35" i="9" s="1"/>
  <c r="X17" i="9"/>
  <c r="X35" i="9" s="1"/>
  <c r="AI17" i="9"/>
  <c r="AI35" i="9" s="1"/>
  <c r="T116" i="7"/>
  <c r="C116" i="7" s="1"/>
  <c r="H120" i="7"/>
  <c r="E120" i="7"/>
  <c r="AB33" i="9"/>
  <c r="BY19" i="10"/>
  <c r="DU19" i="10" s="1"/>
  <c r="DY19" i="10"/>
  <c r="AW15" i="10"/>
  <c r="AJ33" i="9"/>
  <c r="AW27" i="10"/>
  <c r="AN27" i="10"/>
  <c r="AG33" i="9"/>
  <c r="G83" i="7"/>
  <c r="I83" i="7" s="1"/>
  <c r="H83" i="7"/>
  <c r="H88" i="7"/>
  <c r="CD16" i="10"/>
  <c r="CH16" i="10" s="1"/>
  <c r="CL16" i="10"/>
  <c r="BY25" i="10"/>
  <c r="DU25" i="10" s="1"/>
  <c r="DY25" i="10"/>
  <c r="BY15" i="10"/>
  <c r="DU15" i="10" s="1"/>
  <c r="DY15" i="10"/>
  <c r="O24" i="9"/>
  <c r="AK24" i="9"/>
  <c r="AK30" i="9" s="1"/>
  <c r="AR24" i="9"/>
  <c r="Z24" i="9"/>
  <c r="Z36" i="9" s="1"/>
  <c r="S24" i="9"/>
  <c r="S36" i="9" s="1"/>
  <c r="AM24" i="9"/>
  <c r="AP24" i="9"/>
  <c r="AE24" i="9"/>
  <c r="AE30" i="9" s="1"/>
  <c r="AD24" i="9"/>
  <c r="AQ24" i="9"/>
  <c r="AQ30" i="9" s="1"/>
  <c r="R24" i="9"/>
  <c r="AH24" i="9"/>
  <c r="AG24" i="9"/>
  <c r="T24" i="9"/>
  <c r="T30" i="9" s="1"/>
  <c r="AC24" i="9"/>
  <c r="AC36" i="9" s="1"/>
  <c r="P24" i="9"/>
  <c r="U24" i="9"/>
  <c r="AL24" i="9"/>
  <c r="Q24" i="9"/>
  <c r="V24" i="9"/>
  <c r="AI24" i="9"/>
  <c r="AA24" i="9"/>
  <c r="AA36" i="9" s="1"/>
  <c r="AN24" i="9"/>
  <c r="AJ24" i="9"/>
  <c r="AF24" i="9"/>
  <c r="AO24" i="9"/>
  <c r="Y24" i="9"/>
  <c r="Y30" i="9" s="1"/>
  <c r="AB24" i="9"/>
  <c r="X24" i="9"/>
  <c r="X30" i="9" s="1"/>
  <c r="W24" i="9"/>
  <c r="AS24" i="9"/>
  <c r="AK33" i="9"/>
  <c r="AC27" i="9"/>
  <c r="AD34" i="9"/>
  <c r="R34" i="9"/>
  <c r="AL34" i="9"/>
  <c r="AJ34" i="9"/>
  <c r="T118" i="7"/>
  <c r="C118" i="7" s="1"/>
  <c r="AI34" i="9"/>
  <c r="U33" i="9"/>
  <c r="O20" i="9"/>
  <c r="AM20" i="9"/>
  <c r="AD20" i="9"/>
  <c r="Z20" i="9"/>
  <c r="U20" i="9"/>
  <c r="P20" i="9"/>
  <c r="Q20" i="9"/>
  <c r="AI20" i="9"/>
  <c r="AA20" i="9"/>
  <c r="AQ20" i="9"/>
  <c r="AP20" i="9"/>
  <c r="AE20" i="9"/>
  <c r="X20" i="9"/>
  <c r="AS20" i="9"/>
  <c r="T20" i="9"/>
  <c r="AK20" i="9"/>
  <c r="AL20" i="9"/>
  <c r="AG20" i="9"/>
  <c r="R20" i="9"/>
  <c r="AC20" i="9"/>
  <c r="S20" i="9"/>
  <c r="Y20" i="9"/>
  <c r="AH20" i="9"/>
  <c r="AR20" i="9"/>
  <c r="V20" i="9"/>
  <c r="AN20" i="9"/>
  <c r="AJ20" i="9"/>
  <c r="AO20" i="9"/>
  <c r="AF20" i="9"/>
  <c r="AB20" i="9"/>
  <c r="W20" i="9"/>
  <c r="CD26" i="10"/>
  <c r="CH26" i="10" s="1"/>
  <c r="CL26" i="10"/>
  <c r="S119" i="7"/>
  <c r="C119" i="7" s="1"/>
  <c r="BY21" i="10"/>
  <c r="DU21" i="10" s="1"/>
  <c r="DY21" i="10"/>
  <c r="O14" i="9"/>
  <c r="AI14" i="9"/>
  <c r="Z14" i="9"/>
  <c r="P14" i="9"/>
  <c r="AP14" i="9"/>
  <c r="AG14" i="9"/>
  <c r="AL14" i="9"/>
  <c r="AQ14" i="9"/>
  <c r="R14" i="9"/>
  <c r="AM14" i="9"/>
  <c r="AS14" i="9"/>
  <c r="AR14" i="9"/>
  <c r="Y14" i="9"/>
  <c r="AN14" i="9"/>
  <c r="Q14" i="9"/>
  <c r="AF14" i="9"/>
  <c r="AD14" i="9"/>
  <c r="AB14" i="9"/>
  <c r="V14" i="9"/>
  <c r="X14" i="9"/>
  <c r="AO14" i="9"/>
  <c r="T14" i="9"/>
  <c r="AC14" i="9"/>
  <c r="AE14" i="9"/>
  <c r="U14" i="9"/>
  <c r="AA14" i="9"/>
  <c r="W14" i="9"/>
  <c r="AJ14" i="9"/>
  <c r="S14" i="9"/>
  <c r="AK14" i="9"/>
  <c r="AH14" i="9"/>
  <c r="E82" i="7"/>
  <c r="DB15" i="10"/>
  <c r="DC15" i="10" s="1"/>
  <c r="DV15" i="10" s="1"/>
  <c r="O27" i="9"/>
  <c r="BY27" i="10"/>
  <c r="DU27" i="10" s="1"/>
  <c r="DY27" i="10"/>
  <c r="H87" i="7"/>
  <c r="G87" i="7"/>
  <c r="H95" i="7"/>
  <c r="G95" i="7"/>
  <c r="G80" i="7"/>
  <c r="H99" i="7"/>
  <c r="G99" i="7"/>
  <c r="M23" i="9"/>
  <c r="T14" i="3"/>
  <c r="T16" i="3" s="1"/>
  <c r="S16" i="3"/>
  <c r="W14" i="3"/>
  <c r="V16" i="3"/>
  <c r="AA14" i="3"/>
  <c r="Z16" i="3"/>
  <c r="Q14" i="3"/>
  <c r="P16" i="3"/>
  <c r="M14" i="3"/>
  <c r="L16" i="3"/>
  <c r="M16" i="3" s="1"/>
  <c r="E14" i="3"/>
  <c r="D16" i="3"/>
  <c r="E16" i="3" s="1"/>
  <c r="EJ775" i="10"/>
  <c r="EH775" i="10"/>
  <c r="EI775" i="10"/>
  <c r="DR775" i="10"/>
  <c r="EK775" i="10"/>
  <c r="G89" i="7" l="1"/>
  <c r="H89" i="7"/>
  <c r="I99" i="7"/>
  <c r="R28" i="9"/>
  <c r="Z27" i="9"/>
  <c r="AM28" i="9"/>
  <c r="M18" i="9"/>
  <c r="AP34" i="9"/>
  <c r="AS34" i="9"/>
  <c r="S33" i="9"/>
  <c r="AH27" i="9"/>
  <c r="H98" i="7"/>
  <c r="G98" i="7"/>
  <c r="H119" i="7"/>
  <c r="E119" i="7"/>
  <c r="G90" i="7"/>
  <c r="H90" i="7"/>
  <c r="AC29" i="9"/>
  <c r="T27" i="9"/>
  <c r="AN34" i="9"/>
  <c r="R27" i="9"/>
  <c r="AL27" i="9"/>
  <c r="AD33" i="9"/>
  <c r="P33" i="9"/>
  <c r="Y27" i="9"/>
  <c r="AE27" i="9"/>
  <c r="Z34" i="9"/>
  <c r="X27" i="9"/>
  <c r="G82" i="7"/>
  <c r="I82" i="7" s="1"/>
  <c r="H82" i="7"/>
  <c r="DP838" i="10"/>
  <c r="BQ838" i="10" s="1"/>
  <c r="DQ838" i="10" s="1"/>
  <c r="DP704" i="10"/>
  <c r="BQ704" i="10" s="1"/>
  <c r="DP423" i="10"/>
  <c r="BQ423" i="10" s="1"/>
  <c r="DQ423" i="10" s="1"/>
  <c r="DP181" i="10"/>
  <c r="BQ181" i="10" s="1"/>
  <c r="DQ181" i="10" s="1"/>
  <c r="DP392" i="10"/>
  <c r="BQ392" i="10" s="1"/>
  <c r="DQ392" i="10" s="1"/>
  <c r="DP217" i="10"/>
  <c r="BQ217" i="10" s="1"/>
  <c r="DQ217" i="10" s="1"/>
  <c r="G81" i="7"/>
  <c r="H81" i="7"/>
  <c r="S27" i="9"/>
  <c r="AR27" i="9"/>
  <c r="AB27" i="9"/>
  <c r="AI28" i="9"/>
  <c r="P28" i="9"/>
  <c r="Z26" i="9"/>
  <c r="Z28" i="9"/>
  <c r="AB34" i="9"/>
  <c r="AE26" i="9"/>
  <c r="AN33" i="9"/>
  <c r="AO27" i="9"/>
  <c r="AA27" i="9"/>
  <c r="P34" i="9"/>
  <c r="AP27" i="9"/>
  <c r="AI27" i="9"/>
  <c r="AK34" i="9"/>
  <c r="Q27" i="9"/>
  <c r="AG34" i="9"/>
  <c r="AP28" i="9"/>
  <c r="S34" i="9"/>
  <c r="AH34" i="9"/>
  <c r="AC34" i="9"/>
  <c r="AN28" i="9"/>
  <c r="AS28" i="9"/>
  <c r="O28" i="9"/>
  <c r="AR26" i="9"/>
  <c r="AO34" i="9"/>
  <c r="AC28" i="9"/>
  <c r="M15" i="9"/>
  <c r="AI32" i="9"/>
  <c r="AH28" i="9"/>
  <c r="AA34" i="9"/>
  <c r="H117" i="7"/>
  <c r="AF34" i="9"/>
  <c r="V34" i="9"/>
  <c r="AF29" i="9"/>
  <c r="AD28" i="9"/>
  <c r="U26" i="9"/>
  <c r="S28" i="9"/>
  <c r="AO33" i="9"/>
  <c r="DP326" i="10"/>
  <c r="BQ326" i="10" s="1"/>
  <c r="DQ326" i="10" s="1"/>
  <c r="AB28" i="9"/>
  <c r="P29" i="9"/>
  <c r="DP601" i="10"/>
  <c r="BQ601" i="10" s="1"/>
  <c r="DQ601" i="10" s="1"/>
  <c r="DP965" i="10"/>
  <c r="BQ965" i="10" s="1"/>
  <c r="DQ965" i="10" s="1"/>
  <c r="DP314" i="10"/>
  <c r="BQ314" i="10" s="1"/>
  <c r="DQ314" i="10" s="1"/>
  <c r="DP566" i="10"/>
  <c r="BQ566" i="10" s="1"/>
  <c r="DQ566" i="10" s="1"/>
  <c r="Q34" i="9"/>
  <c r="AQ28" i="9"/>
  <c r="DP849" i="10"/>
  <c r="BQ849" i="10" s="1"/>
  <c r="DQ849" i="10" s="1"/>
  <c r="Y29" i="9"/>
  <c r="I88" i="7"/>
  <c r="DP956" i="10"/>
  <c r="BQ956" i="10" s="1"/>
  <c r="DQ956" i="10" s="1"/>
  <c r="S29" i="9"/>
  <c r="AC30" i="9"/>
  <c r="X26" i="9"/>
  <c r="DP45" i="10"/>
  <c r="BQ45" i="10" s="1"/>
  <c r="DQ45" i="10" s="1"/>
  <c r="DP727" i="10"/>
  <c r="BQ727" i="10" s="1"/>
  <c r="DQ727" i="10" s="1"/>
  <c r="DP145" i="10"/>
  <c r="BQ145" i="10" s="1"/>
  <c r="DQ145" i="10" s="1"/>
  <c r="DP320" i="10"/>
  <c r="BQ320" i="10" s="1"/>
  <c r="DP1001" i="10"/>
  <c r="BQ1001" i="10" s="1"/>
  <c r="DQ1001" i="10" s="1"/>
  <c r="DP261" i="10"/>
  <c r="BQ261" i="10" s="1"/>
  <c r="DQ261" i="10" s="1"/>
  <c r="DP802" i="10"/>
  <c r="BQ802" i="10" s="1"/>
  <c r="DQ802" i="10" s="1"/>
  <c r="AF26" i="9"/>
  <c r="DP417" i="10"/>
  <c r="BQ417" i="10" s="1"/>
  <c r="DQ417" i="10" s="1"/>
  <c r="DP1006" i="10"/>
  <c r="BQ1006" i="10" s="1"/>
  <c r="DP396" i="10"/>
  <c r="BQ396" i="10" s="1"/>
  <c r="DQ396" i="10" s="1"/>
  <c r="DP515" i="10"/>
  <c r="BQ515" i="10" s="1"/>
  <c r="DQ515" i="10" s="1"/>
  <c r="AH26" i="9"/>
  <c r="Q26" i="9"/>
  <c r="Q28" i="9"/>
  <c r="AL29" i="9"/>
  <c r="AJ28" i="9"/>
  <c r="W29" i="9"/>
  <c r="AF28" i="9"/>
  <c r="U34" i="9"/>
  <c r="AE34" i="9"/>
  <c r="M22" i="9"/>
  <c r="W26" i="9"/>
  <c r="X34" i="9"/>
  <c r="AB32" i="9"/>
  <c r="Y34" i="9"/>
  <c r="V29" i="9"/>
  <c r="AQ34" i="9"/>
  <c r="I87" i="7"/>
  <c r="AM34" i="9"/>
  <c r="AG28" i="9"/>
  <c r="X28" i="9"/>
  <c r="AK29" i="9"/>
  <c r="AJ26" i="9"/>
  <c r="AD29" i="9"/>
  <c r="AQ36" i="9"/>
  <c r="AA30" i="9"/>
  <c r="Y28" i="9"/>
  <c r="W34" i="9"/>
  <c r="AR28" i="9"/>
  <c r="V28" i="9"/>
  <c r="AA28" i="9"/>
  <c r="AQ26" i="9"/>
  <c r="T36" i="9"/>
  <c r="AM29" i="9"/>
  <c r="M16" i="9"/>
  <c r="AA29" i="9"/>
  <c r="AR34" i="9"/>
  <c r="AD26" i="9"/>
  <c r="AB29" i="9"/>
  <c r="AK32" i="9"/>
  <c r="AN32" i="9"/>
  <c r="X29" i="9"/>
  <c r="Y36" i="9"/>
  <c r="AP26" i="9"/>
  <c r="T29" i="9"/>
  <c r="W28" i="9"/>
  <c r="O32" i="9"/>
  <c r="AR29" i="9"/>
  <c r="AP29" i="9"/>
  <c r="S32" i="9"/>
  <c r="T34" i="9"/>
  <c r="E118" i="7"/>
  <c r="H118" i="7"/>
  <c r="AD32" i="9"/>
  <c r="AL28" i="9"/>
  <c r="AO32" i="9"/>
  <c r="AL26" i="9"/>
  <c r="Q29" i="9"/>
  <c r="R32" i="9"/>
  <c r="T28" i="9"/>
  <c r="W33" i="9"/>
  <c r="AS33" i="9"/>
  <c r="AS27" i="9"/>
  <c r="AM32" i="9"/>
  <c r="AE28" i="9"/>
  <c r="Y26" i="9"/>
  <c r="AA32" i="9"/>
  <c r="P26" i="9"/>
  <c r="M21" i="9"/>
  <c r="X36" i="9"/>
  <c r="AM27" i="9"/>
  <c r="AM33" i="9"/>
  <c r="S30" i="9"/>
  <c r="R29" i="9"/>
  <c r="T32" i="9"/>
  <c r="P32" i="9"/>
  <c r="DP259" i="10"/>
  <c r="BQ259" i="10" s="1"/>
  <c r="DQ259" i="10" s="1"/>
  <c r="DN928" i="10"/>
  <c r="BP928" i="10" s="1"/>
  <c r="DP890" i="10"/>
  <c r="BQ890" i="10" s="1"/>
  <c r="DQ890" i="10" s="1"/>
  <c r="DT144" i="10"/>
  <c r="DN960" i="10"/>
  <c r="BP960" i="10" s="1"/>
  <c r="DO960" i="10" s="1"/>
  <c r="DP780" i="10"/>
  <c r="BQ780" i="10" s="1"/>
  <c r="DQ780" i="10" s="1"/>
  <c r="DP87" i="10"/>
  <c r="BQ87" i="10" s="1"/>
  <c r="DQ87" i="10" s="1"/>
  <c r="DP541" i="10"/>
  <c r="BQ541" i="10" s="1"/>
  <c r="DQ541" i="10" s="1"/>
  <c r="DP214" i="10"/>
  <c r="BQ214" i="10" s="1"/>
  <c r="DQ214" i="10" s="1"/>
  <c r="DP328" i="10"/>
  <c r="BQ328" i="10" s="1"/>
  <c r="DN691" i="10"/>
  <c r="BP691" i="10" s="1"/>
  <c r="DO691" i="10" s="1"/>
  <c r="DP976" i="10"/>
  <c r="BQ976" i="10" s="1"/>
  <c r="DQ976" i="10" s="1"/>
  <c r="DP814" i="10"/>
  <c r="BQ814" i="10" s="1"/>
  <c r="DQ814" i="10" s="1"/>
  <c r="DP950" i="10"/>
  <c r="BQ950" i="10" s="1"/>
  <c r="DP60" i="10"/>
  <c r="BQ60" i="10" s="1"/>
  <c r="DQ60" i="10" s="1"/>
  <c r="DT673" i="10"/>
  <c r="DN45" i="10"/>
  <c r="BP45" i="10" s="1"/>
  <c r="DP793" i="10"/>
  <c r="BQ793" i="10" s="1"/>
  <c r="DP473" i="10"/>
  <c r="BQ473" i="10" s="1"/>
  <c r="DQ473" i="10" s="1"/>
  <c r="DP811" i="10"/>
  <c r="BQ811" i="10" s="1"/>
  <c r="DP69" i="10"/>
  <c r="BQ69" i="10" s="1"/>
  <c r="DQ69" i="10" s="1"/>
  <c r="DN943" i="10"/>
  <c r="BP943" i="10" s="1"/>
  <c r="DO943" i="10" s="1"/>
  <c r="DN826" i="10"/>
  <c r="BP826" i="10" s="1"/>
  <c r="DO826" i="10" s="1"/>
  <c r="DN624" i="10"/>
  <c r="BP624" i="10" s="1"/>
  <c r="DO624" i="10" s="1"/>
  <c r="DN896" i="10"/>
  <c r="BP896" i="10" s="1"/>
  <c r="DO896" i="10" s="1"/>
  <c r="DP511" i="10"/>
  <c r="BQ511" i="10" s="1"/>
  <c r="DQ511" i="10" s="1"/>
  <c r="DP338" i="10"/>
  <c r="BQ338" i="10" s="1"/>
  <c r="DQ338" i="10" s="1"/>
  <c r="DP507" i="10"/>
  <c r="BQ507" i="10" s="1"/>
  <c r="DP82" i="10"/>
  <c r="BQ82" i="10" s="1"/>
  <c r="DQ82" i="10" s="1"/>
  <c r="DP384" i="10"/>
  <c r="BQ384" i="10" s="1"/>
  <c r="DQ384" i="10" s="1"/>
  <c r="DP612" i="10"/>
  <c r="BQ612" i="10" s="1"/>
  <c r="DQ612" i="10" s="1"/>
  <c r="DN339" i="10"/>
  <c r="BP339" i="10" s="1"/>
  <c r="DO339" i="10" s="1"/>
  <c r="DN793" i="10"/>
  <c r="BP793" i="10" s="1"/>
  <c r="DO793" i="10" s="1"/>
  <c r="DP148" i="10"/>
  <c r="BQ148" i="10" s="1"/>
  <c r="DQ148" i="10" s="1"/>
  <c r="DP516" i="10"/>
  <c r="BQ516" i="10" s="1"/>
  <c r="DP36" i="10"/>
  <c r="BQ36" i="10" s="1"/>
  <c r="DQ36" i="10" s="1"/>
  <c r="DN954" i="10"/>
  <c r="BP954" i="10" s="1"/>
  <c r="DO954" i="10" s="1"/>
  <c r="DP129" i="10"/>
  <c r="BQ129" i="10" s="1"/>
  <c r="DP971" i="10"/>
  <c r="BQ971" i="10" s="1"/>
  <c r="DQ971" i="10" s="1"/>
  <c r="DN516" i="10"/>
  <c r="BP516" i="10" s="1"/>
  <c r="DO516" i="10" s="1"/>
  <c r="DN531" i="10"/>
  <c r="BP531" i="10" s="1"/>
  <c r="DP330" i="10"/>
  <c r="BQ330" i="10" s="1"/>
  <c r="DQ330" i="10" s="1"/>
  <c r="DP804" i="10"/>
  <c r="BQ804" i="10" s="1"/>
  <c r="DQ804" i="10" s="1"/>
  <c r="DP50" i="10"/>
  <c r="BQ50" i="10" s="1"/>
  <c r="DP732" i="10"/>
  <c r="BQ732" i="10" s="1"/>
  <c r="DQ732" i="10" s="1"/>
  <c r="DP774" i="10"/>
  <c r="BQ774" i="10" s="1"/>
  <c r="DP894" i="10"/>
  <c r="BQ894" i="10" s="1"/>
  <c r="DP386" i="10"/>
  <c r="BQ386" i="10" s="1"/>
  <c r="DQ386" i="10" s="1"/>
  <c r="DN988" i="10"/>
  <c r="BP988" i="10" s="1"/>
  <c r="DO988" i="10" s="1"/>
  <c r="DN693" i="10"/>
  <c r="BP693" i="10" s="1"/>
  <c r="DO693" i="10" s="1"/>
  <c r="DN384" i="10"/>
  <c r="BP384" i="10" s="1"/>
  <c r="DO384" i="10" s="1"/>
  <c r="DP756" i="10"/>
  <c r="BQ756" i="10" s="1"/>
  <c r="DQ756" i="10" s="1"/>
  <c r="DP339" i="10"/>
  <c r="BQ339" i="10" s="1"/>
  <c r="DQ339" i="10" s="1"/>
  <c r="DN338" i="10"/>
  <c r="BP338" i="10" s="1"/>
  <c r="DO338" i="10" s="1"/>
  <c r="DP1000" i="10"/>
  <c r="BQ1000" i="10" s="1"/>
  <c r="DP808" i="10"/>
  <c r="BQ808" i="10" s="1"/>
  <c r="DQ808" i="10" s="1"/>
  <c r="DN811" i="10"/>
  <c r="BP811" i="10" s="1"/>
  <c r="DO811" i="10" s="1"/>
  <c r="DN556" i="10"/>
  <c r="BP556" i="10" s="1"/>
  <c r="DO556" i="10" s="1"/>
  <c r="DU20" i="10"/>
  <c r="DN839" i="10"/>
  <c r="BP839" i="10" s="1"/>
  <c r="CL274" i="10"/>
  <c r="CD274" i="10"/>
  <c r="CH274" i="10" s="1"/>
  <c r="CD390" i="10"/>
  <c r="CH390" i="10" s="1"/>
  <c r="CL390" i="10"/>
  <c r="DN636" i="10"/>
  <c r="BP636" i="10" s="1"/>
  <c r="DO636" i="10" s="1"/>
  <c r="CL476" i="10"/>
  <c r="CD476" i="10"/>
  <c r="CH476" i="10" s="1"/>
  <c r="CD293" i="10"/>
  <c r="CH293" i="10" s="1"/>
  <c r="CL293" i="10"/>
  <c r="DN558" i="10"/>
  <c r="BP558" i="10" s="1"/>
  <c r="DO558" i="10" s="1"/>
  <c r="CD202" i="10"/>
  <c r="CH202" i="10" s="1"/>
  <c r="CL202" i="10"/>
  <c r="CD76" i="10"/>
  <c r="CH76" i="10" s="1"/>
  <c r="CL76" i="10"/>
  <c r="DN942" i="10"/>
  <c r="BP942" i="10" s="1"/>
  <c r="DO942" i="10" s="1"/>
  <c r="CL78" i="10"/>
  <c r="CD78" i="10"/>
  <c r="CH78" i="10" s="1"/>
  <c r="CL338" i="10"/>
  <c r="CD338" i="10"/>
  <c r="CH338" i="10" s="1"/>
  <c r="CD178" i="10"/>
  <c r="CH178" i="10" s="1"/>
  <c r="CL178" i="10"/>
  <c r="DN924" i="10"/>
  <c r="BP924" i="10" s="1"/>
  <c r="DO924" i="10" s="1"/>
  <c r="DN1002" i="10"/>
  <c r="BP1002" i="10" s="1"/>
  <c r="DO1002" i="10" s="1"/>
  <c r="CL221" i="10"/>
  <c r="CD221" i="10"/>
  <c r="CH221" i="10" s="1"/>
  <c r="DN925" i="10"/>
  <c r="BP925" i="10" s="1"/>
  <c r="DO925" i="10" s="1"/>
  <c r="DU925" i="10"/>
  <c r="DP925" i="10" s="1"/>
  <c r="BQ925" i="10" s="1"/>
  <c r="DQ925" i="10" s="1"/>
  <c r="DN844" i="10"/>
  <c r="BP844" i="10" s="1"/>
  <c r="DO844" i="10" s="1"/>
  <c r="DN892" i="10"/>
  <c r="BP892" i="10" s="1"/>
  <c r="DO892" i="10" s="1"/>
  <c r="DN720" i="10"/>
  <c r="BP720" i="10" s="1"/>
  <c r="DO720" i="10" s="1"/>
  <c r="DP42" i="10"/>
  <c r="BQ42" i="10" s="1"/>
  <c r="DQ42" i="10" s="1"/>
  <c r="DN214" i="10"/>
  <c r="BP214" i="10" s="1"/>
  <c r="DO214" i="10" s="1"/>
  <c r="CD258" i="10"/>
  <c r="CH258" i="10" s="1"/>
  <c r="CL258" i="10"/>
  <c r="DN328" i="10"/>
  <c r="BP328" i="10" s="1"/>
  <c r="DO328" i="10" s="1"/>
  <c r="DN944" i="10"/>
  <c r="BP944" i="10" s="1"/>
  <c r="CD112" i="10"/>
  <c r="CH112" i="10" s="1"/>
  <c r="CL112" i="10"/>
  <c r="DN1008" i="10"/>
  <c r="BP1008" i="10" s="1"/>
  <c r="DO1008" i="10" s="1"/>
  <c r="DN841" i="10"/>
  <c r="BP841" i="10" s="1"/>
  <c r="DO841" i="10" s="1"/>
  <c r="DN984" i="10"/>
  <c r="BP984" i="10" s="1"/>
  <c r="DO984" i="10" s="1"/>
  <c r="DN505" i="10"/>
  <c r="BP505" i="10" s="1"/>
  <c r="DO505" i="10" s="1"/>
  <c r="CD404" i="10"/>
  <c r="CH404" i="10" s="1"/>
  <c r="CL404" i="10"/>
  <c r="DN258" i="10"/>
  <c r="BP258" i="10" s="1"/>
  <c r="DO258" i="10" s="1"/>
  <c r="CL267" i="10"/>
  <c r="CD267" i="10"/>
  <c r="CH267" i="10" s="1"/>
  <c r="CD420" i="10"/>
  <c r="CH420" i="10" s="1"/>
  <c r="CL420" i="10"/>
  <c r="CD232" i="10"/>
  <c r="CH232" i="10" s="1"/>
  <c r="CL232" i="10"/>
  <c r="DN938" i="10"/>
  <c r="BP938" i="10" s="1"/>
  <c r="DO938" i="10" s="1"/>
  <c r="CF178" i="10"/>
  <c r="DN178" i="10"/>
  <c r="BP178" i="10" s="1"/>
  <c r="DO178" i="10" s="1"/>
  <c r="CL345" i="10"/>
  <c r="CD345" i="10"/>
  <c r="CH345" i="10" s="1"/>
  <c r="CD347" i="10"/>
  <c r="CH347" i="10" s="1"/>
  <c r="CL347" i="10"/>
  <c r="CL180" i="10"/>
  <c r="CD180" i="10"/>
  <c r="CH180" i="10" s="1"/>
  <c r="DN966" i="10"/>
  <c r="BP966" i="10" s="1"/>
  <c r="DO966" i="10" s="1"/>
  <c r="DN978" i="10"/>
  <c r="BP978" i="10" s="1"/>
  <c r="DO978" i="10" s="1"/>
  <c r="DN853" i="10"/>
  <c r="BP853" i="10" s="1"/>
  <c r="DO853" i="10" s="1"/>
  <c r="CL416" i="10"/>
  <c r="CD416" i="10"/>
  <c r="CH416" i="10" s="1"/>
  <c r="CD427" i="10"/>
  <c r="CH427" i="10" s="1"/>
  <c r="CL427" i="10"/>
  <c r="DN997" i="10"/>
  <c r="BP997" i="10" s="1"/>
  <c r="DO997" i="10" s="1"/>
  <c r="DN884" i="10"/>
  <c r="BP884" i="10" s="1"/>
  <c r="DO884" i="10" s="1"/>
  <c r="CD316" i="10"/>
  <c r="CH316" i="10" s="1"/>
  <c r="CL316" i="10"/>
  <c r="DN808" i="10"/>
  <c r="BP808" i="10" s="1"/>
  <c r="DP544" i="10"/>
  <c r="BQ544" i="10" s="1"/>
  <c r="DU672" i="10"/>
  <c r="DP672" i="10" s="1"/>
  <c r="BQ672" i="10" s="1"/>
  <c r="DQ672" i="10" s="1"/>
  <c r="DN672" i="10"/>
  <c r="BP672" i="10" s="1"/>
  <c r="DO672" i="10" s="1"/>
  <c r="DN344" i="10"/>
  <c r="BP344" i="10" s="1"/>
  <c r="DO344" i="10" s="1"/>
  <c r="CL130" i="10"/>
  <c r="CD130" i="10"/>
  <c r="CH130" i="10" s="1"/>
  <c r="DN542" i="10"/>
  <c r="BP542" i="10" s="1"/>
  <c r="DO542" i="10" s="1"/>
  <c r="DN847" i="10"/>
  <c r="BP847" i="10" s="1"/>
  <c r="DO847" i="10" s="1"/>
  <c r="DN654" i="10"/>
  <c r="BP654" i="10" s="1"/>
  <c r="DO654" i="10" s="1"/>
  <c r="DP649" i="10"/>
  <c r="BQ649" i="10" s="1"/>
  <c r="CD460" i="10"/>
  <c r="CH460" i="10" s="1"/>
  <c r="CL460" i="10"/>
  <c r="CD536" i="10"/>
  <c r="CH536" i="10" s="1"/>
  <c r="CL536" i="10"/>
  <c r="CD298" i="10"/>
  <c r="CH298" i="10" s="1"/>
  <c r="CL298" i="10"/>
  <c r="CL388" i="10"/>
  <c r="CD388" i="10"/>
  <c r="CH388" i="10" s="1"/>
  <c r="DN802" i="10"/>
  <c r="BP802" i="10" s="1"/>
  <c r="CL216" i="10"/>
  <c r="CD216" i="10"/>
  <c r="CH216" i="10" s="1"/>
  <c r="CL400" i="10"/>
  <c r="CD400" i="10"/>
  <c r="CH400" i="10" s="1"/>
  <c r="CD509" i="10"/>
  <c r="CH509" i="10" s="1"/>
  <c r="CL509" i="10"/>
  <c r="CF190" i="10"/>
  <c r="DN190" i="10"/>
  <c r="BP190" i="10" s="1"/>
  <c r="DO190" i="10" s="1"/>
  <c r="DN918" i="10"/>
  <c r="BP918" i="10" s="1"/>
  <c r="DO918" i="10" s="1"/>
  <c r="CD428" i="10"/>
  <c r="CH428" i="10" s="1"/>
  <c r="CL428" i="10"/>
  <c r="DN285" i="10"/>
  <c r="BP285" i="10" s="1"/>
  <c r="DO285" i="10" s="1"/>
  <c r="DP586" i="10"/>
  <c r="BQ586" i="10" s="1"/>
  <c r="DQ586" i="10" s="1"/>
  <c r="CL208" i="10"/>
  <c r="CD208" i="10"/>
  <c r="CH208" i="10" s="1"/>
  <c r="DN949" i="10"/>
  <c r="BP949" i="10" s="1"/>
  <c r="CL348" i="10"/>
  <c r="CD348" i="10"/>
  <c r="CH348" i="10" s="1"/>
  <c r="DN348" i="10"/>
  <c r="BP348" i="10" s="1"/>
  <c r="DO348" i="10" s="1"/>
  <c r="DN660" i="10"/>
  <c r="BP660" i="10" s="1"/>
  <c r="DO660" i="10" s="1"/>
  <c r="CD408" i="10"/>
  <c r="CH408" i="10" s="1"/>
  <c r="CL408" i="10"/>
  <c r="DN545" i="10"/>
  <c r="BP545" i="10" s="1"/>
  <c r="DO545" i="10" s="1"/>
  <c r="DN772" i="10"/>
  <c r="BP772" i="10" s="1"/>
  <c r="DO772" i="10" s="1"/>
  <c r="DN835" i="10"/>
  <c r="BP835" i="10" s="1"/>
  <c r="DO835" i="10" s="1"/>
  <c r="CD256" i="10"/>
  <c r="CH256" i="10" s="1"/>
  <c r="CL256" i="10"/>
  <c r="DN1009" i="10"/>
  <c r="BP1009" i="10" s="1"/>
  <c r="DO1009" i="10" s="1"/>
  <c r="DN95" i="10"/>
  <c r="BP95" i="10" s="1"/>
  <c r="DO95" i="10" s="1"/>
  <c r="DP147" i="10"/>
  <c r="BQ147" i="10" s="1"/>
  <c r="DQ147" i="10" s="1"/>
  <c r="DP277" i="10"/>
  <c r="BQ277" i="10" s="1"/>
  <c r="DQ277" i="10" s="1"/>
  <c r="CD465" i="10"/>
  <c r="CH465" i="10" s="1"/>
  <c r="CL465" i="10"/>
  <c r="DN385" i="10"/>
  <c r="BP385" i="10" s="1"/>
  <c r="DO385" i="10" s="1"/>
  <c r="CD463" i="10"/>
  <c r="CH463" i="10" s="1"/>
  <c r="CL463" i="10"/>
  <c r="DP457" i="10"/>
  <c r="BQ457" i="10" s="1"/>
  <c r="DQ457" i="10" s="1"/>
  <c r="DP988" i="10"/>
  <c r="BQ988" i="10" s="1"/>
  <c r="DQ988" i="10" s="1"/>
  <c r="DP626" i="10"/>
  <c r="BQ626" i="10" s="1"/>
  <c r="DQ626" i="10" s="1"/>
  <c r="CL217" i="10"/>
  <c r="CD217" i="10"/>
  <c r="CH217" i="10" s="1"/>
  <c r="CL373" i="10"/>
  <c r="CD373" i="10"/>
  <c r="CH373" i="10" s="1"/>
  <c r="CD439" i="10"/>
  <c r="CH439" i="10" s="1"/>
  <c r="CL439" i="10"/>
  <c r="CD340" i="10"/>
  <c r="CH340" i="10" s="1"/>
  <c r="CL340" i="10"/>
  <c r="CD271" i="10"/>
  <c r="CH271" i="10" s="1"/>
  <c r="CL271" i="10"/>
  <c r="CD231" i="10"/>
  <c r="CH231" i="10" s="1"/>
  <c r="CL231" i="10"/>
  <c r="CL186" i="10"/>
  <c r="CD186" i="10"/>
  <c r="CH186" i="10" s="1"/>
  <c r="CL601" i="10"/>
  <c r="CD601" i="10"/>
  <c r="CH601" i="10" s="1"/>
  <c r="CD553" i="10"/>
  <c r="CH553" i="10" s="1"/>
  <c r="CL553" i="10"/>
  <c r="CD349" i="10"/>
  <c r="CH349" i="10" s="1"/>
  <c r="CL349" i="10"/>
  <c r="CD441" i="10"/>
  <c r="CH441" i="10" s="1"/>
  <c r="CL441" i="10"/>
  <c r="DN236" i="10"/>
  <c r="BP236" i="10" s="1"/>
  <c r="DO236" i="10" s="1"/>
  <c r="CL325" i="10"/>
  <c r="CD325" i="10"/>
  <c r="CH325" i="10" s="1"/>
  <c r="DN601" i="10"/>
  <c r="BP601" i="10" s="1"/>
  <c r="DO601" i="10" s="1"/>
  <c r="DP549" i="10"/>
  <c r="BQ549" i="10" s="1"/>
  <c r="DQ549" i="10" s="1"/>
  <c r="DP53" i="10"/>
  <c r="BQ53" i="10" s="1"/>
  <c r="DQ53" i="10" s="1"/>
  <c r="CD260" i="10"/>
  <c r="CH260" i="10" s="1"/>
  <c r="DN655" i="10"/>
  <c r="BP655" i="10" s="1"/>
  <c r="CD146" i="10"/>
  <c r="CH146" i="10" s="1"/>
  <c r="CL146" i="10"/>
  <c r="DN457" i="10"/>
  <c r="BP457" i="10" s="1"/>
  <c r="DO457" i="10" s="1"/>
  <c r="CL215" i="10"/>
  <c r="CD215" i="10"/>
  <c r="CH215" i="10" s="1"/>
  <c r="CL100" i="10"/>
  <c r="CD100" i="10"/>
  <c r="CH100" i="10" s="1"/>
  <c r="CD450" i="10"/>
  <c r="CH450" i="10" s="1"/>
  <c r="CL450" i="10"/>
  <c r="DN199" i="10"/>
  <c r="BP199" i="10" s="1"/>
  <c r="CL302" i="10"/>
  <c r="CD302" i="10"/>
  <c r="CH302" i="10" s="1"/>
  <c r="CD129" i="10"/>
  <c r="CH129" i="10" s="1"/>
  <c r="CL129" i="10"/>
  <c r="CL307" i="10"/>
  <c r="CD307" i="10"/>
  <c r="CH307" i="10" s="1"/>
  <c r="CL547" i="10"/>
  <c r="CD547" i="10"/>
  <c r="CH547" i="10" s="1"/>
  <c r="CD218" i="10"/>
  <c r="CH218" i="10" s="1"/>
  <c r="CL218" i="10"/>
  <c r="CD393" i="10"/>
  <c r="CH393" i="10" s="1"/>
  <c r="CL393" i="10"/>
  <c r="CD414" i="10"/>
  <c r="CH414" i="10" s="1"/>
  <c r="CL414" i="10"/>
  <c r="CL454" i="10"/>
  <c r="CD454" i="10"/>
  <c r="CH454" i="10" s="1"/>
  <c r="CL392" i="10"/>
  <c r="CD392" i="10"/>
  <c r="CH392" i="10" s="1"/>
  <c r="CD483" i="10"/>
  <c r="CH483" i="10" s="1"/>
  <c r="CL483" i="10"/>
  <c r="CL367" i="10"/>
  <c r="CD367" i="10"/>
  <c r="CH367" i="10" s="1"/>
  <c r="CD649" i="10"/>
  <c r="CH649" i="10" s="1"/>
  <c r="CL649" i="10"/>
  <c r="CD661" i="10"/>
  <c r="CH661" i="10" s="1"/>
  <c r="CL661" i="10"/>
  <c r="CD46" i="10"/>
  <c r="CH46" i="10" s="1"/>
  <c r="CL46" i="10"/>
  <c r="CD523" i="10"/>
  <c r="CH523" i="10" s="1"/>
  <c r="CL523" i="10"/>
  <c r="CL72" i="10"/>
  <c r="CD72" i="10"/>
  <c r="CH72" i="10" s="1"/>
  <c r="DN146" i="10"/>
  <c r="BP146" i="10" s="1"/>
  <c r="DO146" i="10" s="1"/>
  <c r="CF211" i="10"/>
  <c r="DN211" i="10"/>
  <c r="BP211" i="10" s="1"/>
  <c r="DO211" i="10" s="1"/>
  <c r="CD402" i="10"/>
  <c r="CH402" i="10" s="1"/>
  <c r="CL402" i="10"/>
  <c r="CL361" i="10"/>
  <c r="CD361" i="10"/>
  <c r="CH361" i="10" s="1"/>
  <c r="DN541" i="10"/>
  <c r="BP541" i="10" s="1"/>
  <c r="DN70" i="10"/>
  <c r="BP70" i="10" s="1"/>
  <c r="DO70" i="10" s="1"/>
  <c r="CL133" i="10"/>
  <c r="CD133" i="10"/>
  <c r="CH133" i="10" s="1"/>
  <c r="DP436" i="10"/>
  <c r="BQ436" i="10" s="1"/>
  <c r="DQ436" i="10" s="1"/>
  <c r="DP383" i="10"/>
  <c r="BQ383" i="10" s="1"/>
  <c r="DQ383" i="10" s="1"/>
  <c r="DV104" i="10"/>
  <c r="DN320" i="10"/>
  <c r="BP320" i="10" s="1"/>
  <c r="DO320" i="10" s="1"/>
  <c r="CD499" i="10"/>
  <c r="CH499" i="10" s="1"/>
  <c r="CL499" i="10"/>
  <c r="CD93" i="10"/>
  <c r="CH93" i="10" s="1"/>
  <c r="CL93" i="10"/>
  <c r="CD168" i="10"/>
  <c r="CH168" i="10" s="1"/>
  <c r="CL168" i="10"/>
  <c r="CD374" i="10"/>
  <c r="CH374" i="10" s="1"/>
  <c r="CL374" i="10"/>
  <c r="CD110" i="10"/>
  <c r="CH110" i="10" s="1"/>
  <c r="CL110" i="10"/>
  <c r="CD281" i="10"/>
  <c r="CH281" i="10" s="1"/>
  <c r="CL281" i="10"/>
  <c r="DN223" i="10"/>
  <c r="BP223" i="10" s="1"/>
  <c r="DO223" i="10" s="1"/>
  <c r="CD262" i="10"/>
  <c r="CH262" i="10" s="1"/>
  <c r="CL262" i="10"/>
  <c r="CD607" i="10"/>
  <c r="CH607" i="10" s="1"/>
  <c r="CL607" i="10"/>
  <c r="CD142" i="10"/>
  <c r="CH142" i="10" s="1"/>
  <c r="CL142" i="10"/>
  <c r="DN182" i="10"/>
  <c r="BP182" i="10" s="1"/>
  <c r="DO182" i="10" s="1"/>
  <c r="DN271" i="10"/>
  <c r="BP271" i="10" s="1"/>
  <c r="DO271" i="10" s="1"/>
  <c r="CD159" i="10"/>
  <c r="CH159" i="10" s="1"/>
  <c r="CL159" i="10"/>
  <c r="CL36" i="10"/>
  <c r="CD36" i="10"/>
  <c r="CH36" i="10" s="1"/>
  <c r="CD224" i="10"/>
  <c r="CH224" i="10" s="1"/>
  <c r="CL224" i="10"/>
  <c r="DN571" i="10"/>
  <c r="BP571" i="10" s="1"/>
  <c r="DO571" i="10" s="1"/>
  <c r="DP864" i="10"/>
  <c r="BQ864" i="10" s="1"/>
  <c r="DQ864" i="10" s="1"/>
  <c r="DP673" i="10"/>
  <c r="BQ673" i="10" s="1"/>
  <c r="DQ673" i="10" s="1"/>
  <c r="DP348" i="10"/>
  <c r="BQ348" i="10" s="1"/>
  <c r="DQ348" i="10" s="1"/>
  <c r="DP337" i="10"/>
  <c r="BQ337" i="10" s="1"/>
  <c r="DQ337" i="10" s="1"/>
  <c r="DP150" i="10"/>
  <c r="BQ150" i="10" s="1"/>
  <c r="DP691" i="10"/>
  <c r="BQ691" i="10" s="1"/>
  <c r="DQ691" i="10" s="1"/>
  <c r="DP77" i="10"/>
  <c r="BQ77" i="10" s="1"/>
  <c r="DQ77" i="10" s="1"/>
  <c r="DP116" i="10"/>
  <c r="BQ116" i="10" s="1"/>
  <c r="DQ116" i="10" s="1"/>
  <c r="DN633" i="10"/>
  <c r="BP633" i="10" s="1"/>
  <c r="DO633" i="10" s="1"/>
  <c r="DN956" i="10"/>
  <c r="BP956" i="10" s="1"/>
  <c r="DO956" i="10" s="1"/>
  <c r="DP431" i="10"/>
  <c r="BQ431" i="10" s="1"/>
  <c r="DQ431" i="10" s="1"/>
  <c r="CL604" i="10"/>
  <c r="DP211" i="10"/>
  <c r="BQ211" i="10" s="1"/>
  <c r="DQ211" i="10" s="1"/>
  <c r="CD487" i="10"/>
  <c r="CH487" i="10" s="1"/>
  <c r="CL487" i="10"/>
  <c r="CL77" i="10"/>
  <c r="CD77" i="10"/>
  <c r="CH77" i="10" s="1"/>
  <c r="CD379" i="10"/>
  <c r="CH379" i="10" s="1"/>
  <c r="CL379" i="10"/>
  <c r="DN116" i="10"/>
  <c r="BP116" i="10" s="1"/>
  <c r="DO116" i="10" s="1"/>
  <c r="CL115" i="10"/>
  <c r="CD115" i="10"/>
  <c r="CH115" i="10" s="1"/>
  <c r="CL387" i="10"/>
  <c r="CD387" i="10"/>
  <c r="CH387" i="10" s="1"/>
  <c r="DN667" i="10"/>
  <c r="BP667" i="10" s="1"/>
  <c r="CL151" i="10"/>
  <c r="CD151" i="10"/>
  <c r="CH151" i="10" s="1"/>
  <c r="CD360" i="10"/>
  <c r="CH360" i="10" s="1"/>
  <c r="CL360" i="10"/>
  <c r="CL529" i="10"/>
  <c r="CD529" i="10"/>
  <c r="CH529" i="10" s="1"/>
  <c r="CD179" i="10"/>
  <c r="CH179" i="10" s="1"/>
  <c r="CL179" i="10"/>
  <c r="DN529" i="10"/>
  <c r="BP529" i="10" s="1"/>
  <c r="DO529" i="10" s="1"/>
  <c r="CL415" i="10"/>
  <c r="CD415" i="10"/>
  <c r="CH415" i="10" s="1"/>
  <c r="DN183" i="10"/>
  <c r="BP183" i="10" s="1"/>
  <c r="DO183" i="10" s="1"/>
  <c r="CF183" i="10"/>
  <c r="DP438" i="10"/>
  <c r="BQ438" i="10" s="1"/>
  <c r="DQ438" i="10" s="1"/>
  <c r="DP352" i="10"/>
  <c r="BQ352" i="10" s="1"/>
  <c r="DQ352" i="10" s="1"/>
  <c r="DN352" i="10"/>
  <c r="BP352" i="10" s="1"/>
  <c r="DO352" i="10" s="1"/>
  <c r="DP121" i="10"/>
  <c r="BQ121" i="10" s="1"/>
  <c r="DQ121" i="10" s="1"/>
  <c r="CL571" i="10"/>
  <c r="CD571" i="10"/>
  <c r="CH571" i="10" s="1"/>
  <c r="CD201" i="10"/>
  <c r="CH201" i="10" s="1"/>
  <c r="CL201" i="10"/>
  <c r="CL312" i="10"/>
  <c r="CD312" i="10"/>
  <c r="CH312" i="10" s="1"/>
  <c r="CL280" i="10"/>
  <c r="CD280" i="10"/>
  <c r="CH280" i="10" s="1"/>
  <c r="DN451" i="10"/>
  <c r="BP451" i="10" s="1"/>
  <c r="DO451" i="10" s="1"/>
  <c r="CL421" i="10"/>
  <c r="CD421" i="10"/>
  <c r="CH421" i="10" s="1"/>
  <c r="CD366" i="10"/>
  <c r="CH366" i="10" s="1"/>
  <c r="CL366" i="10"/>
  <c r="CL273" i="10"/>
  <c r="CD273" i="10"/>
  <c r="CH273" i="10" s="1"/>
  <c r="CL101" i="10"/>
  <c r="CD101" i="10"/>
  <c r="CH101" i="10" s="1"/>
  <c r="CL63" i="10"/>
  <c r="CD63" i="10"/>
  <c r="CH63" i="10" s="1"/>
  <c r="DP576" i="10"/>
  <c r="BQ576" i="10" s="1"/>
  <c r="DQ576" i="10" s="1"/>
  <c r="DN968" i="10"/>
  <c r="BP968" i="10" s="1"/>
  <c r="DO968" i="10" s="1"/>
  <c r="CL375" i="10"/>
  <c r="DP826" i="10"/>
  <c r="BQ826" i="10" s="1"/>
  <c r="DQ826" i="10" s="1"/>
  <c r="DN897" i="10"/>
  <c r="BP897" i="10" s="1"/>
  <c r="DO897" i="10" s="1"/>
  <c r="CD512" i="10"/>
  <c r="CH512" i="10" s="1"/>
  <c r="CL512" i="10"/>
  <c r="DN193" i="10"/>
  <c r="BP193" i="10" s="1"/>
  <c r="CD331" i="10"/>
  <c r="CH331" i="10" s="1"/>
  <c r="CL331" i="10"/>
  <c r="CL276" i="10"/>
  <c r="CD276" i="10"/>
  <c r="CH276" i="10" s="1"/>
  <c r="CL89" i="10"/>
  <c r="CD89" i="10"/>
  <c r="CH89" i="10" s="1"/>
  <c r="CL278" i="10"/>
  <c r="CD278" i="10"/>
  <c r="CH278" i="10" s="1"/>
  <c r="CF72" i="10"/>
  <c r="DN72" i="10"/>
  <c r="BP72" i="10" s="1"/>
  <c r="DO72" i="10" s="1"/>
  <c r="DN523" i="10"/>
  <c r="BP523" i="10" s="1"/>
  <c r="DO523" i="10" s="1"/>
  <c r="DN186" i="10"/>
  <c r="BP186" i="10" s="1"/>
  <c r="DO186" i="10" s="1"/>
  <c r="CL475" i="10"/>
  <c r="CD475" i="10"/>
  <c r="CH475" i="10" s="1"/>
  <c r="DN247" i="10"/>
  <c r="BP247" i="10" s="1"/>
  <c r="DO247" i="10" s="1"/>
  <c r="DP286" i="10"/>
  <c r="BQ286" i="10" s="1"/>
  <c r="DQ286" i="10" s="1"/>
  <c r="CD223" i="10"/>
  <c r="CH223" i="10" s="1"/>
  <c r="CL223" i="10"/>
  <c r="CD118" i="10"/>
  <c r="CH118" i="10" s="1"/>
  <c r="CL118" i="10"/>
  <c r="CL531" i="10"/>
  <c r="CD531" i="10"/>
  <c r="CH531" i="10" s="1"/>
  <c r="CD397" i="10"/>
  <c r="CH397" i="10" s="1"/>
  <c r="CL397" i="10"/>
  <c r="DN595" i="10"/>
  <c r="BP595" i="10" s="1"/>
  <c r="DO595" i="10" s="1"/>
  <c r="CL355" i="10"/>
  <c r="CD355" i="10"/>
  <c r="CH355" i="10" s="1"/>
  <c r="CL619" i="10"/>
  <c r="CD619" i="10"/>
  <c r="CH619" i="10" s="1"/>
  <c r="CD319" i="10"/>
  <c r="CH319" i="10" s="1"/>
  <c r="CL319" i="10"/>
  <c r="DP91" i="10"/>
  <c r="BQ91" i="10" s="1"/>
  <c r="DQ91" i="10" s="1"/>
  <c r="DT577" i="10"/>
  <c r="CD282" i="10"/>
  <c r="CH282" i="10" s="1"/>
  <c r="CL445" i="10"/>
  <c r="CD445" i="10"/>
  <c r="CH445" i="10" s="1"/>
  <c r="CL242" i="10"/>
  <c r="CD242" i="10"/>
  <c r="CH242" i="10" s="1"/>
  <c r="CD532" i="10"/>
  <c r="CH532" i="10" s="1"/>
  <c r="CL532" i="10"/>
  <c r="CL667" i="10"/>
  <c r="CD667" i="10"/>
  <c r="CH667" i="10" s="1"/>
  <c r="CD235" i="10"/>
  <c r="CH235" i="10" s="1"/>
  <c r="CL235" i="10"/>
  <c r="CL336" i="10"/>
  <c r="CD336" i="10"/>
  <c r="CH336" i="10" s="1"/>
  <c r="CL286" i="10"/>
  <c r="CD286" i="10"/>
  <c r="CH286" i="10" s="1"/>
  <c r="CD488" i="10"/>
  <c r="CH488" i="10" s="1"/>
  <c r="CL488" i="10"/>
  <c r="DP361" i="10"/>
  <c r="BQ361" i="10" s="1"/>
  <c r="DQ361" i="10" s="1"/>
  <c r="DP518" i="10"/>
  <c r="BQ518" i="10" s="1"/>
  <c r="DQ518" i="10" s="1"/>
  <c r="DP203" i="10"/>
  <c r="BQ203" i="10" s="1"/>
  <c r="DQ203" i="10" s="1"/>
  <c r="DP765" i="10"/>
  <c r="BQ765" i="10" s="1"/>
  <c r="DQ765" i="10" s="1"/>
  <c r="DP278" i="10"/>
  <c r="BQ278" i="10" s="1"/>
  <c r="DQ278" i="10" s="1"/>
  <c r="CD288" i="10"/>
  <c r="CH288" i="10" s="1"/>
  <c r="CL288" i="10"/>
  <c r="CL505" i="10"/>
  <c r="CD505" i="10"/>
  <c r="CH505" i="10" s="1"/>
  <c r="CD187" i="10"/>
  <c r="CH187" i="10" s="1"/>
  <c r="CL187" i="10"/>
  <c r="CL214" i="10"/>
  <c r="CD214" i="10"/>
  <c r="CH214" i="10" s="1"/>
  <c r="CL417" i="10"/>
  <c r="CD417" i="10"/>
  <c r="CH417" i="10" s="1"/>
  <c r="DN661" i="10"/>
  <c r="BP661" i="10" s="1"/>
  <c r="DO661" i="10" s="1"/>
  <c r="CL132" i="10"/>
  <c r="CD132" i="10"/>
  <c r="CH132" i="10" s="1"/>
  <c r="CD501" i="10"/>
  <c r="CH501" i="10" s="1"/>
  <c r="CL501" i="10"/>
  <c r="CD391" i="10"/>
  <c r="CH391" i="10" s="1"/>
  <c r="CL391" i="10"/>
  <c r="CD422" i="10"/>
  <c r="CH422" i="10" s="1"/>
  <c r="CL422" i="10"/>
  <c r="CL191" i="10"/>
  <c r="CD191" i="10"/>
  <c r="CH191" i="10" s="1"/>
  <c r="CD377" i="10"/>
  <c r="CH377" i="10" s="1"/>
  <c r="CL377" i="10"/>
  <c r="DP321" i="10"/>
  <c r="BQ321" i="10" s="1"/>
  <c r="DQ321" i="10" s="1"/>
  <c r="DP437" i="10"/>
  <c r="BQ437" i="10" s="1"/>
  <c r="DP114" i="10"/>
  <c r="BQ114" i="10" s="1"/>
  <c r="DP186" i="10"/>
  <c r="BQ186" i="10" s="1"/>
  <c r="DQ186" i="10" s="1"/>
  <c r="CL637" i="10"/>
  <c r="CD637" i="10"/>
  <c r="CH637" i="10" s="1"/>
  <c r="CD343" i="10"/>
  <c r="CH343" i="10" s="1"/>
  <c r="CL343" i="10"/>
  <c r="DN649" i="10"/>
  <c r="BP649" i="10" s="1"/>
  <c r="DO649" i="10" s="1"/>
  <c r="CD332" i="10"/>
  <c r="CH332" i="10" s="1"/>
  <c r="CL332" i="10"/>
  <c r="CL442" i="10"/>
  <c r="CD442" i="10"/>
  <c r="CH442" i="10" s="1"/>
  <c r="CL277" i="10"/>
  <c r="CD277" i="10"/>
  <c r="CH277" i="10" s="1"/>
  <c r="CL167" i="10"/>
  <c r="CD167" i="10"/>
  <c r="CH167" i="10" s="1"/>
  <c r="CL384" i="10"/>
  <c r="CD384" i="10"/>
  <c r="CH384" i="10" s="1"/>
  <c r="CD433" i="10"/>
  <c r="CH433" i="10" s="1"/>
  <c r="CL433" i="10"/>
  <c r="CL253" i="10"/>
  <c r="CD253" i="10"/>
  <c r="CH253" i="10" s="1"/>
  <c r="CL458" i="10"/>
  <c r="CD458" i="10"/>
  <c r="CH458" i="10" s="1"/>
  <c r="CD250" i="10"/>
  <c r="CH250" i="10" s="1"/>
  <c r="CL250" i="10"/>
  <c r="CD631" i="10"/>
  <c r="CH631" i="10" s="1"/>
  <c r="CL631" i="10"/>
  <c r="CD376" i="10"/>
  <c r="CH376" i="10" s="1"/>
  <c r="CL376" i="10"/>
  <c r="DQ857" i="10"/>
  <c r="BR857" i="10"/>
  <c r="EK857" i="10" s="1"/>
  <c r="DP160" i="10"/>
  <c r="BQ160" i="10" s="1"/>
  <c r="DQ160" i="10" s="1"/>
  <c r="DP968" i="10"/>
  <c r="BQ968" i="10" s="1"/>
  <c r="DN585" i="10"/>
  <c r="BP585" i="10" s="1"/>
  <c r="DO585" i="10" s="1"/>
  <c r="DP303" i="10"/>
  <c r="BQ303" i="10" s="1"/>
  <c r="DQ303" i="10" s="1"/>
  <c r="DQ350" i="10"/>
  <c r="BR350" i="10"/>
  <c r="EJ350" i="10" s="1"/>
  <c r="DQ328" i="10"/>
  <c r="BR328" i="10"/>
  <c r="EH328" i="10" s="1"/>
  <c r="DQ563" i="10"/>
  <c r="BR563" i="10"/>
  <c r="DQ189" i="10"/>
  <c r="BR189" i="10"/>
  <c r="BR823" i="10"/>
  <c r="BR587" i="10"/>
  <c r="EI587" i="10" s="1"/>
  <c r="BR877" i="10"/>
  <c r="EI877" i="10" s="1"/>
  <c r="BR948" i="10"/>
  <c r="EJ948" i="10" s="1"/>
  <c r="BR278" i="10"/>
  <c r="EJ278" i="10" s="1"/>
  <c r="BR714" i="10"/>
  <c r="EJ714" i="10" s="1"/>
  <c r="DP677" i="10"/>
  <c r="BQ677" i="10" s="1"/>
  <c r="DP400" i="10"/>
  <c r="BQ400" i="10" s="1"/>
  <c r="DP285" i="10"/>
  <c r="BQ285" i="10" s="1"/>
  <c r="DQ285" i="10" s="1"/>
  <c r="DP739" i="10"/>
  <c r="BQ739" i="10" s="1"/>
  <c r="DQ739" i="10" s="1"/>
  <c r="BR296" i="10"/>
  <c r="EH296" i="10" s="1"/>
  <c r="DP494" i="10"/>
  <c r="BQ494" i="10" s="1"/>
  <c r="DQ494" i="10" s="1"/>
  <c r="BR651" i="10"/>
  <c r="DP344" i="10"/>
  <c r="BQ344" i="10" s="1"/>
  <c r="DP570" i="10"/>
  <c r="BQ570" i="10" s="1"/>
  <c r="DQ570" i="10" s="1"/>
  <c r="DP288" i="10"/>
  <c r="BQ288" i="10" s="1"/>
  <c r="DQ288" i="10" s="1"/>
  <c r="DP108" i="10"/>
  <c r="BQ108" i="10" s="1"/>
  <c r="DQ108" i="10" s="1"/>
  <c r="DP505" i="10"/>
  <c r="BQ505" i="10" s="1"/>
  <c r="DQ505" i="10" s="1"/>
  <c r="DQ989" i="10"/>
  <c r="BR989" i="10"/>
  <c r="EI989" i="10" s="1"/>
  <c r="DQ701" i="10"/>
  <c r="BR701" i="10"/>
  <c r="DQ841" i="10"/>
  <c r="BR841" i="10"/>
  <c r="DQ322" i="10"/>
  <c r="BR322" i="10"/>
  <c r="EI322" i="10" s="1"/>
  <c r="DP859" i="10"/>
  <c r="BQ859" i="10" s="1"/>
  <c r="DQ859" i="10" s="1"/>
  <c r="BR147" i="10"/>
  <c r="EK147" i="10" s="1"/>
  <c r="DP685" i="10"/>
  <c r="BQ685" i="10" s="1"/>
  <c r="DP65" i="10"/>
  <c r="BQ65" i="10" s="1"/>
  <c r="DQ65" i="10" s="1"/>
  <c r="BR247" i="10"/>
  <c r="BR659" i="10"/>
  <c r="EI659" i="10" s="1"/>
  <c r="BR780" i="10"/>
  <c r="EK780" i="10" s="1"/>
  <c r="BR159" i="10"/>
  <c r="DR159" i="10" s="1"/>
  <c r="DP405" i="10"/>
  <c r="BQ405" i="10" s="1"/>
  <c r="DT313" i="10"/>
  <c r="DP313" i="10" s="1"/>
  <c r="BQ313" i="10" s="1"/>
  <c r="DP467" i="10"/>
  <c r="BQ467" i="10" s="1"/>
  <c r="DQ467" i="10" s="1"/>
  <c r="DP201" i="10"/>
  <c r="BQ201" i="10" s="1"/>
  <c r="DQ201" i="10" s="1"/>
  <c r="DP264" i="10"/>
  <c r="BQ264" i="10" s="1"/>
  <c r="DQ264" i="10" s="1"/>
  <c r="CD437" i="10"/>
  <c r="CH437" i="10" s="1"/>
  <c r="CL437" i="10"/>
  <c r="BR191" i="10"/>
  <c r="EI191" i="10" s="1"/>
  <c r="DP520" i="10"/>
  <c r="BQ520" i="10" s="1"/>
  <c r="DQ520" i="10" s="1"/>
  <c r="BR482" i="10"/>
  <c r="DR482" i="10" s="1"/>
  <c r="DN39" i="10"/>
  <c r="BP39" i="10" s="1"/>
  <c r="DO39" i="10" s="1"/>
  <c r="BR898" i="10"/>
  <c r="DR898" i="10" s="1"/>
  <c r="BR1004" i="10"/>
  <c r="EK1004" i="10" s="1"/>
  <c r="DN921" i="10"/>
  <c r="BP921" i="10" s="1"/>
  <c r="DO921" i="10" s="1"/>
  <c r="DP580" i="10"/>
  <c r="BQ580" i="10" s="1"/>
  <c r="DQ580" i="10" s="1"/>
  <c r="BR232" i="10"/>
  <c r="EK232" i="10" s="1"/>
  <c r="BR930" i="10"/>
  <c r="EI930" i="10" s="1"/>
  <c r="BR333" i="10"/>
  <c r="EI333" i="10" s="1"/>
  <c r="DP943" i="10"/>
  <c r="BQ943" i="10" s="1"/>
  <c r="BR958" i="10"/>
  <c r="EH958" i="10" s="1"/>
  <c r="CL467" i="10"/>
  <c r="BR365" i="10"/>
  <c r="EH365" i="10" s="1"/>
  <c r="BR176" i="10"/>
  <c r="DP693" i="10"/>
  <c r="BQ693" i="10" s="1"/>
  <c r="DQ693" i="10" s="1"/>
  <c r="EA675" i="10"/>
  <c r="ED675" i="10"/>
  <c r="DQ194" i="10"/>
  <c r="BR194" i="10"/>
  <c r="DR194" i="10" s="1"/>
  <c r="DN861" i="10"/>
  <c r="BP861" i="10" s="1"/>
  <c r="DO861" i="10" s="1"/>
  <c r="DN358" i="10"/>
  <c r="BP358" i="10" s="1"/>
  <c r="DP37" i="10"/>
  <c r="BQ37" i="10" s="1"/>
  <c r="DQ37" i="10" s="1"/>
  <c r="EA506" i="10"/>
  <c r="BR155" i="10"/>
  <c r="DN771" i="10"/>
  <c r="BP771" i="10" s="1"/>
  <c r="DO771" i="10" s="1"/>
  <c r="DN431" i="10"/>
  <c r="BP431" i="10" s="1"/>
  <c r="DP237" i="10"/>
  <c r="BQ237" i="10" s="1"/>
  <c r="DQ237" i="10" s="1"/>
  <c r="DP717" i="10"/>
  <c r="BQ717" i="10" s="1"/>
  <c r="DQ717" i="10" s="1"/>
  <c r="DN1000" i="10"/>
  <c r="BP1000" i="10" s="1"/>
  <c r="DO1000" i="10" s="1"/>
  <c r="DP886" i="10"/>
  <c r="BQ886" i="10" s="1"/>
  <c r="EI790" i="10"/>
  <c r="DN269" i="10"/>
  <c r="BP269" i="10" s="1"/>
  <c r="BR269" i="10" s="1"/>
  <c r="DN683" i="10"/>
  <c r="BP683" i="10" s="1"/>
  <c r="DO683" i="10" s="1"/>
  <c r="DN903" i="10"/>
  <c r="BP903" i="10" s="1"/>
  <c r="DO903" i="10" s="1"/>
  <c r="DP269" i="10"/>
  <c r="BQ269" i="10" s="1"/>
  <c r="DQ269" i="10" s="1"/>
  <c r="DQ896" i="10"/>
  <c r="DP885" i="10"/>
  <c r="BQ885" i="10" s="1"/>
  <c r="ED937" i="10"/>
  <c r="EA937" i="10"/>
  <c r="DP995" i="10"/>
  <c r="BQ995" i="10" s="1"/>
  <c r="DQ995" i="10" s="1"/>
  <c r="DP225" i="10"/>
  <c r="BQ225" i="10" s="1"/>
  <c r="DQ225" i="10" s="1"/>
  <c r="DP560" i="10"/>
  <c r="BQ560" i="10" s="1"/>
  <c r="DQ560" i="10" s="1"/>
  <c r="DP224" i="10"/>
  <c r="BQ224" i="10" s="1"/>
  <c r="DQ224" i="10" s="1"/>
  <c r="DP245" i="10"/>
  <c r="BQ245" i="10" s="1"/>
  <c r="DQ245" i="10" s="1"/>
  <c r="DP335" i="10"/>
  <c r="BQ335" i="10" s="1"/>
  <c r="DQ335" i="10" s="1"/>
  <c r="DN612" i="10"/>
  <c r="BP612" i="10" s="1"/>
  <c r="DO612" i="10" s="1"/>
  <c r="DP879" i="10"/>
  <c r="BQ879" i="10" s="1"/>
  <c r="BR977" i="10"/>
  <c r="EJ977" i="10" s="1"/>
  <c r="DP992" i="10"/>
  <c r="BQ992" i="10" s="1"/>
  <c r="DQ992" i="10" s="1"/>
  <c r="BR103" i="10"/>
  <c r="DN947" i="10"/>
  <c r="BP947" i="10" s="1"/>
  <c r="DO947" i="10" s="1"/>
  <c r="DQ713" i="10"/>
  <c r="BR713" i="10"/>
  <c r="DR713" i="10" s="1"/>
  <c r="DQ605" i="10"/>
  <c r="BR605" i="10"/>
  <c r="EH605" i="10" s="1"/>
  <c r="DQ736" i="10"/>
  <c r="BR736" i="10"/>
  <c r="EJ736" i="10" s="1"/>
  <c r="DQ665" i="10"/>
  <c r="BR665" i="10"/>
  <c r="DQ215" i="10"/>
  <c r="BR215" i="10"/>
  <c r="EH215" i="10" s="1"/>
  <c r="BR908" i="10"/>
  <c r="DQ908" i="10"/>
  <c r="DQ817" i="10"/>
  <c r="BR817" i="10"/>
  <c r="EH817" i="10" s="1"/>
  <c r="DQ871" i="10"/>
  <c r="BR871" i="10"/>
  <c r="ED885" i="10"/>
  <c r="EA885" i="10"/>
  <c r="ED299" i="10"/>
  <c r="EA299" i="10"/>
  <c r="DP253" i="10"/>
  <c r="BQ253" i="10" s="1"/>
  <c r="DQ253" i="10" s="1"/>
  <c r="BR281" i="10"/>
  <c r="ED1001" i="10"/>
  <c r="EA1001" i="10"/>
  <c r="ED813" i="10"/>
  <c r="EA813" i="10"/>
  <c r="EA897" i="10"/>
  <c r="ED897" i="10"/>
  <c r="ED751" i="10"/>
  <c r="EA751" i="10"/>
  <c r="ED983" i="10"/>
  <c r="EA983" i="10"/>
  <c r="EA310" i="10"/>
  <c r="ED310" i="10"/>
  <c r="EA545" i="10"/>
  <c r="ED545" i="10"/>
  <c r="EA915" i="10"/>
  <c r="ED915" i="10"/>
  <c r="EA861" i="10"/>
  <c r="ED861" i="10"/>
  <c r="DP730" i="10"/>
  <c r="BQ730" i="10" s="1"/>
  <c r="DQ730" i="10" s="1"/>
  <c r="DO103" i="10"/>
  <c r="DP569" i="10"/>
  <c r="BQ569" i="10" s="1"/>
  <c r="DQ569" i="10" s="1"/>
  <c r="DP640" i="10"/>
  <c r="BQ640" i="10" s="1"/>
  <c r="DQ640" i="10" s="1"/>
  <c r="ED458" i="10"/>
  <c r="BR826" i="10"/>
  <c r="EK826" i="10" s="1"/>
  <c r="DP289" i="10"/>
  <c r="BQ289" i="10" s="1"/>
  <c r="ED462" i="10"/>
  <c r="EA462" i="10"/>
  <c r="ED992" i="10"/>
  <c r="EA992" i="10"/>
  <c r="EA952" i="10"/>
  <c r="ED952" i="10"/>
  <c r="ED894" i="10"/>
  <c r="EA894" i="10"/>
  <c r="ED228" i="10"/>
  <c r="EA228" i="10"/>
  <c r="ED807" i="10"/>
  <c r="EA807" i="10"/>
  <c r="DP768" i="10"/>
  <c r="BQ768" i="10" s="1"/>
  <c r="DQ768" i="10" s="1"/>
  <c r="BR346" i="10"/>
  <c r="EI346" i="10" s="1"/>
  <c r="EA669" i="10"/>
  <c r="ED669" i="10"/>
  <c r="EH176" i="10"/>
  <c r="BR645" i="10"/>
  <c r="EI645" i="10" s="1"/>
  <c r="DP229" i="10"/>
  <c r="BQ229" i="10" s="1"/>
  <c r="DQ229" i="10" s="1"/>
  <c r="DP784" i="10"/>
  <c r="BQ784" i="10" s="1"/>
  <c r="DQ784" i="10" s="1"/>
  <c r="BR268" i="10"/>
  <c r="EH268" i="10" s="1"/>
  <c r="BR526" i="10"/>
  <c r="EJ526" i="10" s="1"/>
  <c r="DP435" i="10"/>
  <c r="BQ435" i="10" s="1"/>
  <c r="DQ435" i="10" s="1"/>
  <c r="DP798" i="10"/>
  <c r="BQ798" i="10" s="1"/>
  <c r="DQ798" i="10" s="1"/>
  <c r="DP1008" i="10"/>
  <c r="BQ1008" i="10" s="1"/>
  <c r="DQ1008" i="10" s="1"/>
  <c r="DP534" i="10"/>
  <c r="BQ534" i="10" s="1"/>
  <c r="EA566" i="10"/>
  <c r="ED566" i="10"/>
  <c r="EA280" i="10"/>
  <c r="ED280" i="10"/>
  <c r="DP451" i="10"/>
  <c r="BQ451" i="10" s="1"/>
  <c r="EA771" i="10"/>
  <c r="ED771" i="10"/>
  <c r="BR1001" i="10"/>
  <c r="EH1001" i="10" s="1"/>
  <c r="DT695" i="10"/>
  <c r="DP695" i="10" s="1"/>
  <c r="BQ695" i="10" s="1"/>
  <c r="DQ695" i="10" s="1"/>
  <c r="DP248" i="10"/>
  <c r="BQ248" i="10" s="1"/>
  <c r="DQ248" i="10" s="1"/>
  <c r="DP996" i="10"/>
  <c r="BQ996" i="10" s="1"/>
  <c r="DQ996" i="10" s="1"/>
  <c r="DP983" i="10"/>
  <c r="BQ983" i="10" s="1"/>
  <c r="DQ983" i="10" s="1"/>
  <c r="DP969" i="10"/>
  <c r="BQ969" i="10" s="1"/>
  <c r="DQ969" i="10" s="1"/>
  <c r="CL473" i="10"/>
  <c r="EA998" i="10"/>
  <c r="ED998" i="10"/>
  <c r="EA956" i="10"/>
  <c r="ED956" i="10"/>
  <c r="DP990" i="10"/>
  <c r="BQ990" i="10" s="1"/>
  <c r="DQ990" i="10" s="1"/>
  <c r="EA1006" i="10"/>
  <c r="ED1006" i="10"/>
  <c r="EA921" i="10"/>
  <c r="ED921" i="10"/>
  <c r="EA1004" i="10"/>
  <c r="ED1004" i="10"/>
  <c r="EA971" i="10"/>
  <c r="ED971" i="10"/>
  <c r="DN586" i="10"/>
  <c r="BP586" i="10" s="1"/>
  <c r="DO586" i="10" s="1"/>
  <c r="EA920" i="10"/>
  <c r="ED920" i="10"/>
  <c r="EA995" i="10"/>
  <c r="ED995" i="10"/>
  <c r="ED965" i="10"/>
  <c r="EA965" i="10"/>
  <c r="EJ176" i="10"/>
  <c r="BR218" i="10"/>
  <c r="EJ394" i="10"/>
  <c r="DP789" i="10"/>
  <c r="BQ789" i="10" s="1"/>
  <c r="DQ789" i="10" s="1"/>
  <c r="ED61" i="10"/>
  <c r="BR515" i="10"/>
  <c r="EJ515" i="10" s="1"/>
  <c r="ED237" i="10"/>
  <c r="DP165" i="10"/>
  <c r="BQ165" i="10" s="1"/>
  <c r="DP156" i="10"/>
  <c r="BQ156" i="10" s="1"/>
  <c r="DT44" i="10"/>
  <c r="DP44" i="10" s="1"/>
  <c r="BQ44" i="10" s="1"/>
  <c r="DQ44" i="10" s="1"/>
  <c r="DP146" i="10"/>
  <c r="BQ146" i="10" s="1"/>
  <c r="DQ146" i="10" s="1"/>
  <c r="BR957" i="10"/>
  <c r="EK957" i="10" s="1"/>
  <c r="ED931" i="10"/>
  <c r="EA931" i="10"/>
  <c r="EA986" i="10"/>
  <c r="ED986" i="10"/>
  <c r="EA612" i="10"/>
  <c r="ED612" i="10"/>
  <c r="EA977" i="10"/>
  <c r="ED977" i="10"/>
  <c r="DN306" i="10"/>
  <c r="BP306" i="10" s="1"/>
  <c r="DO306" i="10" s="1"/>
  <c r="ED891" i="10"/>
  <c r="EA891" i="10"/>
  <c r="EA585" i="10"/>
  <c r="ED585" i="10"/>
  <c r="EA444" i="10"/>
  <c r="ED444" i="10"/>
  <c r="DP424" i="10"/>
  <c r="BQ424" i="10" s="1"/>
  <c r="DQ424" i="10" s="1"/>
  <c r="DP443" i="10"/>
  <c r="BQ443" i="10" s="1"/>
  <c r="DQ443" i="10" s="1"/>
  <c r="DP786" i="10"/>
  <c r="BQ786" i="10" s="1"/>
  <c r="DQ786" i="10" s="1"/>
  <c r="BR929" i="10"/>
  <c r="EH929" i="10" s="1"/>
  <c r="DP915" i="10"/>
  <c r="BQ915" i="10" s="1"/>
  <c r="EA406" i="10"/>
  <c r="ED406" i="10"/>
  <c r="DP39" i="10"/>
  <c r="BQ39" i="10" s="1"/>
  <c r="DQ39" i="10" s="1"/>
  <c r="ED968" i="10"/>
  <c r="EA968" i="10"/>
  <c r="EA988" i="10"/>
  <c r="ED988" i="10"/>
  <c r="EA873" i="10"/>
  <c r="ED873" i="10"/>
  <c r="EA903" i="10"/>
  <c r="ED903" i="10"/>
  <c r="ED389" i="10"/>
  <c r="EA389" i="10"/>
  <c r="BR868" i="10"/>
  <c r="EH868" i="10" s="1"/>
  <c r="BR905" i="10"/>
  <c r="EH394" i="10"/>
  <c r="BR385" i="10"/>
  <c r="EH385" i="10" s="1"/>
  <c r="BR796" i="10"/>
  <c r="BR669" i="10"/>
  <c r="EH669" i="10" s="1"/>
  <c r="DP62" i="10"/>
  <c r="BQ62" i="10" s="1"/>
  <c r="DQ62" i="10" s="1"/>
  <c r="DP909" i="10"/>
  <c r="BQ909" i="10" s="1"/>
  <c r="DQ909" i="10" s="1"/>
  <c r="DP863" i="10"/>
  <c r="BQ863" i="10" s="1"/>
  <c r="EA683" i="10"/>
  <c r="ED683" i="10"/>
  <c r="EA233" i="10"/>
  <c r="ED233" i="10"/>
  <c r="EA980" i="10"/>
  <c r="ED980" i="10"/>
  <c r="EA765" i="10"/>
  <c r="ED765" i="10"/>
  <c r="ED395" i="10"/>
  <c r="EA395" i="10"/>
  <c r="BR742" i="10"/>
  <c r="EJ742" i="10" s="1"/>
  <c r="DP195" i="10"/>
  <c r="BQ195" i="10" s="1"/>
  <c r="DQ195" i="10" s="1"/>
  <c r="EI394" i="10"/>
  <c r="DP360" i="10"/>
  <c r="BQ360" i="10" s="1"/>
  <c r="ED552" i="10"/>
  <c r="DP819" i="10"/>
  <c r="BQ819" i="10" s="1"/>
  <c r="DN602" i="10"/>
  <c r="BP602" i="10" s="1"/>
  <c r="DP912" i="10"/>
  <c r="BQ912" i="10" s="1"/>
  <c r="DP985" i="10"/>
  <c r="BQ985" i="10" s="1"/>
  <c r="DQ985" i="10" s="1"/>
  <c r="DP621" i="10"/>
  <c r="BQ621" i="10" s="1"/>
  <c r="DP643" i="10"/>
  <c r="BQ643" i="10" s="1"/>
  <c r="DQ643" i="10" s="1"/>
  <c r="ED900" i="10"/>
  <c r="EA900" i="10"/>
  <c r="EA976" i="10"/>
  <c r="ED976" i="10"/>
  <c r="EA1013" i="10"/>
  <c r="ED1013" i="10"/>
  <c r="DP683" i="10"/>
  <c r="BQ683" i="10" s="1"/>
  <c r="ED317" i="10"/>
  <c r="EA317" i="10"/>
  <c r="ED962" i="10"/>
  <c r="EA962" i="10"/>
  <c r="EA926" i="10"/>
  <c r="ED926" i="10"/>
  <c r="EA741" i="10"/>
  <c r="ED741" i="10"/>
  <c r="EA1010" i="10"/>
  <c r="ED1010" i="10"/>
  <c r="DP881" i="10"/>
  <c r="BQ881" i="10" s="1"/>
  <c r="DQ881" i="10" s="1"/>
  <c r="EA879" i="10"/>
  <c r="ED879" i="10"/>
  <c r="DP687" i="10"/>
  <c r="BQ687" i="10" s="1"/>
  <c r="DQ687" i="10" s="1"/>
  <c r="BR897" i="10"/>
  <c r="EI897" i="10" s="1"/>
  <c r="DP398" i="10"/>
  <c r="BQ398" i="10" s="1"/>
  <c r="DQ398" i="10" s="1"/>
  <c r="EK394" i="10"/>
  <c r="DP670" i="10"/>
  <c r="BQ670" i="10" s="1"/>
  <c r="DQ670" i="10" s="1"/>
  <c r="DN337" i="10"/>
  <c r="BP337" i="10" s="1"/>
  <c r="DP503" i="10"/>
  <c r="BQ503" i="10" s="1"/>
  <c r="DQ503" i="10" s="1"/>
  <c r="DN425" i="10"/>
  <c r="BP425" i="10" s="1"/>
  <c r="BR425" i="10" s="1"/>
  <c r="BR523" i="10"/>
  <c r="DR523" i="10" s="1"/>
  <c r="ED531" i="10"/>
  <c r="DP122" i="10"/>
  <c r="BQ122" i="10" s="1"/>
  <c r="DQ122" i="10" s="1"/>
  <c r="DP521" i="10"/>
  <c r="BQ521" i="10" s="1"/>
  <c r="EA837" i="10"/>
  <c r="ED837" i="10"/>
  <c r="EA641" i="10"/>
  <c r="ED641" i="10"/>
  <c r="EA974" i="10"/>
  <c r="ED974" i="10"/>
  <c r="EA264" i="10"/>
  <c r="ED264" i="10"/>
  <c r="EA1000" i="10"/>
  <c r="ED1000" i="10"/>
  <c r="EA663" i="10"/>
  <c r="ED663" i="10"/>
  <c r="DN765" i="10"/>
  <c r="BP765" i="10" s="1"/>
  <c r="DO765" i="10" s="1"/>
  <c r="EA947" i="10"/>
  <c r="ED947" i="10"/>
  <c r="DP382" i="10"/>
  <c r="BQ382" i="10" s="1"/>
  <c r="DQ382" i="10" s="1"/>
  <c r="DN458" i="10"/>
  <c r="BP458" i="10" s="1"/>
  <c r="DN682" i="10"/>
  <c r="BP682" i="10" s="1"/>
  <c r="DO682" i="10" s="1"/>
  <c r="ED959" i="10"/>
  <c r="EA959" i="10"/>
  <c r="EA953" i="10"/>
  <c r="ED953" i="10"/>
  <c r="EA250" i="10"/>
  <c r="ED250" i="10"/>
  <c r="EA687" i="10"/>
  <c r="ED687" i="10"/>
  <c r="EA909" i="10"/>
  <c r="ED909" i="10"/>
  <c r="ED1007" i="10"/>
  <c r="EA1007" i="10"/>
  <c r="DQ389" i="10"/>
  <c r="BR389" i="10"/>
  <c r="EH389" i="10" s="1"/>
  <c r="DQ455" i="10"/>
  <c r="BR455" i="10"/>
  <c r="EI455" i="10" s="1"/>
  <c r="DQ946" i="10"/>
  <c r="BR946" i="10"/>
  <c r="DQ466" i="10"/>
  <c r="BR466" i="10"/>
  <c r="EH466" i="10" s="1"/>
  <c r="DQ460" i="10"/>
  <c r="BR460" i="10"/>
  <c r="EI460" i="10" s="1"/>
  <c r="BR121" i="10"/>
  <c r="DQ638" i="10"/>
  <c r="BR638" i="10"/>
  <c r="EH638" i="10" s="1"/>
  <c r="DQ654" i="10"/>
  <c r="BR223" i="10"/>
  <c r="EJ223" i="10" s="1"/>
  <c r="BR454" i="10"/>
  <c r="DR790" i="10"/>
  <c r="BR473" i="10"/>
  <c r="EH790" i="10"/>
  <c r="DP297" i="10"/>
  <c r="BQ297" i="10" s="1"/>
  <c r="DQ297" i="10" s="1"/>
  <c r="BR93" i="10"/>
  <c r="EK93" i="10" s="1"/>
  <c r="BR197" i="10"/>
  <c r="EJ790" i="10"/>
  <c r="DP329" i="10"/>
  <c r="BQ329" i="10" s="1"/>
  <c r="DQ329" i="10" s="1"/>
  <c r="DP787" i="10"/>
  <c r="BQ787" i="10" s="1"/>
  <c r="DQ787" i="10" s="1"/>
  <c r="DP205" i="10"/>
  <c r="BQ205" i="10" s="1"/>
  <c r="DQ205" i="10" s="1"/>
  <c r="BR464" i="10"/>
  <c r="EH131" i="10"/>
  <c r="BR348" i="10"/>
  <c r="EI348" i="10" s="1"/>
  <c r="DP577" i="10"/>
  <c r="BQ577" i="10" s="1"/>
  <c r="DQ577" i="10" s="1"/>
  <c r="BR190" i="10"/>
  <c r="BR514" i="10"/>
  <c r="EJ514" i="10" s="1"/>
  <c r="BR446" i="10"/>
  <c r="DR446" i="10" s="1"/>
  <c r="DP984" i="10"/>
  <c r="BQ984" i="10" s="1"/>
  <c r="DP408" i="10"/>
  <c r="BQ408" i="10" s="1"/>
  <c r="DQ408" i="10" s="1"/>
  <c r="DP696" i="10"/>
  <c r="BQ696" i="10" s="1"/>
  <c r="DQ696" i="10" s="1"/>
  <c r="BR494" i="10"/>
  <c r="EJ131" i="10"/>
  <c r="EI131" i="10"/>
  <c r="DR131" i="10"/>
  <c r="DP221" i="10"/>
  <c r="BQ221" i="10" s="1"/>
  <c r="DQ221" i="10" s="1"/>
  <c r="BR571" i="10"/>
  <c r="DP290" i="10"/>
  <c r="BQ290" i="10" s="1"/>
  <c r="DQ290" i="10" s="1"/>
  <c r="DP872" i="10"/>
  <c r="BQ872" i="10" s="1"/>
  <c r="BR693" i="10"/>
  <c r="EJ902" i="10"/>
  <c r="BR719" i="10"/>
  <c r="EH719" i="10" s="1"/>
  <c r="BR936" i="10"/>
  <c r="EI936" i="10" s="1"/>
  <c r="DP184" i="10"/>
  <c r="BQ184" i="10" s="1"/>
  <c r="DQ184" i="10" s="1"/>
  <c r="BR187" i="10"/>
  <c r="DQ524" i="10"/>
  <c r="BR524" i="10"/>
  <c r="DQ476" i="10"/>
  <c r="BR476" i="10"/>
  <c r="DQ1011" i="10"/>
  <c r="BR1011" i="10"/>
  <c r="EJ1011" i="10" s="1"/>
  <c r="BR932" i="10"/>
  <c r="EI932" i="10" s="1"/>
  <c r="DP166" i="10"/>
  <c r="BQ166" i="10" s="1"/>
  <c r="DQ166" i="10" s="1"/>
  <c r="BR410" i="10"/>
  <c r="DP315" i="10"/>
  <c r="BQ315" i="10" s="1"/>
  <c r="DQ315" i="10" s="1"/>
  <c r="DP235" i="10"/>
  <c r="BQ235" i="10" s="1"/>
  <c r="DQ235" i="10" s="1"/>
  <c r="DQ292" i="10"/>
  <c r="BR292" i="10"/>
  <c r="BR286" i="10"/>
  <c r="DP982" i="10"/>
  <c r="BQ982" i="10" s="1"/>
  <c r="DQ982" i="10" s="1"/>
  <c r="DP309" i="10"/>
  <c r="BQ309" i="10" s="1"/>
  <c r="DQ309" i="10" s="1"/>
  <c r="DP432" i="10"/>
  <c r="BQ432" i="10" s="1"/>
  <c r="DQ432" i="10" s="1"/>
  <c r="BR963" i="10"/>
  <c r="EI963" i="10" s="1"/>
  <c r="DQ987" i="10"/>
  <c r="BR987" i="10"/>
  <c r="EI987" i="10" s="1"/>
  <c r="DQ173" i="10"/>
  <c r="BR173" i="10"/>
  <c r="EJ173" i="10" s="1"/>
  <c r="DQ647" i="10"/>
  <c r="BR647" i="10"/>
  <c r="DQ884" i="10"/>
  <c r="DQ675" i="10"/>
  <c r="BR675" i="10"/>
  <c r="DQ892" i="10"/>
  <c r="BR892" i="10"/>
  <c r="DR892" i="10" s="1"/>
  <c r="DQ636" i="10"/>
  <c r="BR636" i="10"/>
  <c r="DR636" i="10" s="1"/>
  <c r="DP763" i="10"/>
  <c r="BQ763" i="10" s="1"/>
  <c r="DQ763" i="10" s="1"/>
  <c r="BR688" i="10"/>
  <c r="DR688" i="10" s="1"/>
  <c r="DP98" i="10"/>
  <c r="BQ98" i="10" s="1"/>
  <c r="DQ98" i="10" s="1"/>
  <c r="DP869" i="10"/>
  <c r="BQ869" i="10" s="1"/>
  <c r="DQ869" i="10" s="1"/>
  <c r="DQ320" i="10"/>
  <c r="DQ901" i="10"/>
  <c r="BR901" i="10"/>
  <c r="CD403" i="10"/>
  <c r="CH403" i="10" s="1"/>
  <c r="CL403" i="10"/>
  <c r="BR317" i="10"/>
  <c r="CL55" i="10"/>
  <c r="CD55" i="10"/>
  <c r="CH55" i="10" s="1"/>
  <c r="DQ951" i="10"/>
  <c r="BR951" i="10"/>
  <c r="BR200" i="10"/>
  <c r="EI200" i="10" s="1"/>
  <c r="BR927" i="10"/>
  <c r="EH927" i="10" s="1"/>
  <c r="DN926" i="10"/>
  <c r="BP926" i="10" s="1"/>
  <c r="DO926" i="10" s="1"/>
  <c r="BR549" i="10"/>
  <c r="DP251" i="10"/>
  <c r="BQ251" i="10" s="1"/>
  <c r="DQ251" i="10" s="1"/>
  <c r="BR452" i="10"/>
  <c r="DQ731" i="10"/>
  <c r="BR731" i="10"/>
  <c r="BR430" i="10"/>
  <c r="EH430" i="10" s="1"/>
  <c r="BR999" i="10"/>
  <c r="EH999" i="10" s="1"/>
  <c r="DP465" i="10"/>
  <c r="BQ465" i="10" s="1"/>
  <c r="DQ465" i="10" s="1"/>
  <c r="BR364" i="10"/>
  <c r="BR979" i="10"/>
  <c r="EI979" i="10" s="1"/>
  <c r="BR910" i="10"/>
  <c r="EI910" i="10" s="1"/>
  <c r="DP917" i="10"/>
  <c r="BQ917" i="10" s="1"/>
  <c r="DQ917" i="10" s="1"/>
  <c r="DO410" i="10"/>
  <c r="DP816" i="10"/>
  <c r="BQ816" i="10" s="1"/>
  <c r="DQ816" i="10" s="1"/>
  <c r="DN261" i="10"/>
  <c r="BP261" i="10" s="1"/>
  <c r="DP231" i="10"/>
  <c r="BQ231" i="10" s="1"/>
  <c r="DQ231" i="10" s="1"/>
  <c r="BR956" i="10"/>
  <c r="DN228" i="10"/>
  <c r="BP228" i="10" s="1"/>
  <c r="DO228" i="10" s="1"/>
  <c r="DN885" i="10"/>
  <c r="BP885" i="10" s="1"/>
  <c r="DO885" i="10" s="1"/>
  <c r="DP867" i="10"/>
  <c r="BQ867" i="10" s="1"/>
  <c r="DQ867" i="10" s="1"/>
  <c r="DP271" i="10"/>
  <c r="BQ271" i="10" s="1"/>
  <c r="DO291" i="10"/>
  <c r="DP421" i="10"/>
  <c r="BQ421" i="10" s="1"/>
  <c r="DQ421" i="10" s="1"/>
  <c r="DP425" i="10"/>
  <c r="BQ425" i="10" s="1"/>
  <c r="DQ425" i="10" s="1"/>
  <c r="BR167" i="10"/>
  <c r="EJ167" i="10" s="1"/>
  <c r="BR240" i="10"/>
  <c r="CD341" i="10"/>
  <c r="CH341" i="10" s="1"/>
  <c r="CL341" i="10"/>
  <c r="BR164" i="10"/>
  <c r="CL697" i="10"/>
  <c r="CD697" i="10"/>
  <c r="CH697" i="10" s="1"/>
  <c r="DN879" i="10"/>
  <c r="BP879" i="10" s="1"/>
  <c r="DO879" i="10" s="1"/>
  <c r="CL311" i="10"/>
  <c r="CD311" i="10"/>
  <c r="CH311" i="10" s="1"/>
  <c r="CL809" i="10"/>
  <c r="CD809" i="10"/>
  <c r="CH809" i="10" s="1"/>
  <c r="CD317" i="10"/>
  <c r="CH317" i="10" s="1"/>
  <c r="CL317" i="10"/>
  <c r="CD815" i="10"/>
  <c r="CH815" i="10" s="1"/>
  <c r="CL815" i="10"/>
  <c r="CD266" i="10"/>
  <c r="CH266" i="10" s="1"/>
  <c r="CL266" i="10"/>
  <c r="CD833" i="10"/>
  <c r="CH833" i="10" s="1"/>
  <c r="CL833" i="10"/>
  <c r="CD761" i="10"/>
  <c r="CH761" i="10" s="1"/>
  <c r="CL761" i="10"/>
  <c r="DU1007" i="10"/>
  <c r="DP1007" i="10" s="1"/>
  <c r="BQ1007" i="10" s="1"/>
  <c r="DQ1007" i="10" s="1"/>
  <c r="DN1007" i="10"/>
  <c r="BP1007" i="10" s="1"/>
  <c r="DO1007" i="10" s="1"/>
  <c r="CD738" i="10"/>
  <c r="CH738" i="10" s="1"/>
  <c r="CL738" i="10"/>
  <c r="DN687" i="10"/>
  <c r="BP687" i="10" s="1"/>
  <c r="CD791" i="10"/>
  <c r="CH791" i="10" s="1"/>
  <c r="CL791" i="10"/>
  <c r="DO431" i="10"/>
  <c r="BR431" i="10"/>
  <c r="DN260" i="10"/>
  <c r="BP260" i="10" s="1"/>
  <c r="DO260" i="10" s="1"/>
  <c r="DP682" i="10"/>
  <c r="BQ682" i="10" s="1"/>
  <c r="DQ682" i="10" s="1"/>
  <c r="CL785" i="10"/>
  <c r="CD785" i="10"/>
  <c r="CH785" i="10" s="1"/>
  <c r="CD803" i="10"/>
  <c r="CH803" i="10" s="1"/>
  <c r="CL803" i="10"/>
  <c r="CL839" i="10"/>
  <c r="CD839" i="10"/>
  <c r="CH839" i="10" s="1"/>
  <c r="CL983" i="10"/>
  <c r="CD983" i="10"/>
  <c r="CH983" i="10" s="1"/>
  <c r="DN663" i="10"/>
  <c r="BP663" i="10" s="1"/>
  <c r="CD895" i="10"/>
  <c r="CH895" i="10" s="1"/>
  <c r="CL895" i="10"/>
  <c r="CF437" i="10"/>
  <c r="DN437" i="10"/>
  <c r="BP437" i="10" s="1"/>
  <c r="DO437" i="10" s="1"/>
  <c r="DN741" i="10"/>
  <c r="BP741" i="10" s="1"/>
  <c r="DO741" i="10" s="1"/>
  <c r="DN891" i="10"/>
  <c r="BP891" i="10" s="1"/>
  <c r="CL900" i="10"/>
  <c r="CD900" i="10"/>
  <c r="CH900" i="10" s="1"/>
  <c r="DN289" i="10"/>
  <c r="BP289" i="10" s="1"/>
  <c r="DO289" i="10" s="1"/>
  <c r="CF289" i="10"/>
  <c r="DN909" i="10"/>
  <c r="BP909" i="10" s="1"/>
  <c r="DO909" i="10" s="1"/>
  <c r="DR460" i="10"/>
  <c r="DP104" i="10"/>
  <c r="BQ104" i="10" s="1"/>
  <c r="DQ104" i="10" s="1"/>
  <c r="CL827" i="10"/>
  <c r="CD827" i="10"/>
  <c r="CH827" i="10" s="1"/>
  <c r="CL915" i="10"/>
  <c r="CD915" i="10"/>
  <c r="CH915" i="10" s="1"/>
  <c r="CD863" i="10"/>
  <c r="CH863" i="10" s="1"/>
  <c r="CL863" i="10"/>
  <c r="CD369" i="10"/>
  <c r="CH369" i="10" s="1"/>
  <c r="CL369" i="10"/>
  <c r="DN873" i="10"/>
  <c r="BP873" i="10" s="1"/>
  <c r="DO873" i="10" s="1"/>
  <c r="DN915" i="10"/>
  <c r="BP915" i="10" s="1"/>
  <c r="DO915" i="10" s="1"/>
  <c r="DP449" i="10"/>
  <c r="BQ449" i="10" s="1"/>
  <c r="DQ449" i="10" s="1"/>
  <c r="DP600" i="10"/>
  <c r="BQ600" i="10" s="1"/>
  <c r="DQ600" i="10" s="1"/>
  <c r="DP336" i="10"/>
  <c r="BQ336" i="10" s="1"/>
  <c r="DQ336" i="10" s="1"/>
  <c r="DN462" i="10"/>
  <c r="BP462" i="10" s="1"/>
  <c r="DO462" i="10" s="1"/>
  <c r="CD431" i="10"/>
  <c r="CH431" i="10" s="1"/>
  <c r="CL431" i="10"/>
  <c r="CD971" i="10"/>
  <c r="CH971" i="10" s="1"/>
  <c r="CL971" i="10"/>
  <c r="CD239" i="10"/>
  <c r="CH239" i="10" s="1"/>
  <c r="CL239" i="10"/>
  <c r="CD959" i="10"/>
  <c r="CH959" i="10" s="1"/>
  <c r="CL959" i="10"/>
  <c r="CL586" i="10"/>
  <c r="CD586" i="10"/>
  <c r="CH586" i="10" s="1"/>
  <c r="DN807" i="10"/>
  <c r="BP807" i="10" s="1"/>
  <c r="DO807" i="10" s="1"/>
  <c r="CD851" i="10"/>
  <c r="CH851" i="10" s="1"/>
  <c r="CL851" i="10"/>
  <c r="EI841" i="10"/>
  <c r="DN201" i="10"/>
  <c r="BP201" i="10" s="1"/>
  <c r="DP411" i="10"/>
  <c r="BQ411" i="10" s="1"/>
  <c r="DQ411" i="10" s="1"/>
  <c r="DN560" i="10"/>
  <c r="BP560" i="10" s="1"/>
  <c r="CD289" i="10"/>
  <c r="CH289" i="10" s="1"/>
  <c r="CL289" i="10"/>
  <c r="CL703" i="10"/>
  <c r="CD703" i="10"/>
  <c r="CH703" i="10" s="1"/>
  <c r="CD939" i="10"/>
  <c r="CH939" i="10" s="1"/>
  <c r="CL939" i="10"/>
  <c r="CD709" i="10"/>
  <c r="CH709" i="10" s="1"/>
  <c r="CL709" i="10"/>
  <c r="DN813" i="10"/>
  <c r="BP813" i="10" s="1"/>
  <c r="DO813" i="10" s="1"/>
  <c r="DP198" i="10"/>
  <c r="BQ198" i="10" s="1"/>
  <c r="DQ198" i="10" s="1"/>
  <c r="DP792" i="10"/>
  <c r="BQ792" i="10" s="1"/>
  <c r="CD227" i="10"/>
  <c r="CH227" i="10" s="1"/>
  <c r="CL227" i="10"/>
  <c r="CL443" i="10"/>
  <c r="CD443" i="10"/>
  <c r="CH443" i="10" s="1"/>
  <c r="CL358" i="10"/>
  <c r="CD358" i="10"/>
  <c r="CH358" i="10" s="1"/>
  <c r="CL715" i="10"/>
  <c r="CD715" i="10"/>
  <c r="CH715" i="10" s="1"/>
  <c r="DN971" i="10"/>
  <c r="BP971" i="10" s="1"/>
  <c r="EJ713" i="10"/>
  <c r="DN870" i="10"/>
  <c r="BP870" i="10" s="1"/>
  <c r="DO870" i="10" s="1"/>
  <c r="CL592" i="10"/>
  <c r="CD592" i="10"/>
  <c r="CH592" i="10" s="1"/>
  <c r="CL779" i="10"/>
  <c r="CD779" i="10"/>
  <c r="CH779" i="10" s="1"/>
  <c r="DN250" i="10"/>
  <c r="BP250" i="10" s="1"/>
  <c r="DT250" i="10"/>
  <c r="DP250" i="10" s="1"/>
  <c r="BQ250" i="10" s="1"/>
  <c r="DQ250" i="10" s="1"/>
  <c r="DN833" i="10"/>
  <c r="BP833" i="10" s="1"/>
  <c r="CL419" i="10"/>
  <c r="CD419" i="10"/>
  <c r="CH419" i="10" s="1"/>
  <c r="DN920" i="10"/>
  <c r="BP920" i="10" s="1"/>
  <c r="CD767" i="10"/>
  <c r="CH767" i="10" s="1"/>
  <c r="CL767" i="10"/>
  <c r="DN399" i="10"/>
  <c r="BP399" i="10" s="1"/>
  <c r="CL323" i="10"/>
  <c r="CD323" i="10"/>
  <c r="CH323" i="10" s="1"/>
  <c r="CL680" i="10"/>
  <c r="CD680" i="10"/>
  <c r="CH680" i="10" s="1"/>
  <c r="CD255" i="10"/>
  <c r="CH255" i="10" s="1"/>
  <c r="CL255" i="10"/>
  <c r="DN983" i="10"/>
  <c r="BP983" i="10" s="1"/>
  <c r="CL306" i="10"/>
  <c r="CD306" i="10"/>
  <c r="CH306" i="10" s="1"/>
  <c r="DN443" i="10"/>
  <c r="BP443" i="10" s="1"/>
  <c r="DO443" i="10" s="1"/>
  <c r="CL633" i="10"/>
  <c r="CD633" i="10"/>
  <c r="CH633" i="10" s="1"/>
  <c r="CD598" i="10"/>
  <c r="CH598" i="10" s="1"/>
  <c r="CL598" i="10"/>
  <c r="DN610" i="10"/>
  <c r="BP610" i="10" s="1"/>
  <c r="CL49" i="10"/>
  <c r="CD49" i="10"/>
  <c r="CH49" i="10" s="1"/>
  <c r="CD43" i="10"/>
  <c r="CH43" i="10" s="1"/>
  <c r="CL43" i="10"/>
  <c r="CD61" i="10"/>
  <c r="CH61" i="10" s="1"/>
  <c r="CL61" i="10"/>
  <c r="CD31" i="10"/>
  <c r="CH31" i="10" s="1"/>
  <c r="CL31" i="10"/>
  <c r="DP110" i="10"/>
  <c r="BQ110" i="10" s="1"/>
  <c r="DQ110" i="10" s="1"/>
  <c r="CL32" i="10"/>
  <c r="CD32" i="10"/>
  <c r="CH32" i="10" s="1"/>
  <c r="DP85" i="10"/>
  <c r="BQ85" i="10" s="1"/>
  <c r="DQ85" i="10" s="1"/>
  <c r="DP101" i="10"/>
  <c r="BQ101" i="10" s="1"/>
  <c r="DQ101" i="10" s="1"/>
  <c r="CL73" i="10"/>
  <c r="CD73" i="10"/>
  <c r="CH73" i="10" s="1"/>
  <c r="DN80" i="10"/>
  <c r="BP80" i="10" s="1"/>
  <c r="DP80" i="10"/>
  <c r="BQ80" i="10" s="1"/>
  <c r="DQ80" i="10" s="1"/>
  <c r="CD38" i="10"/>
  <c r="CH38" i="10" s="1"/>
  <c r="CL38" i="10"/>
  <c r="CD20" i="10"/>
  <c r="CH20" i="10" s="1"/>
  <c r="CL20" i="10"/>
  <c r="DQ70" i="10"/>
  <c r="BR70" i="10"/>
  <c r="EI70" i="10" s="1"/>
  <c r="DQ50" i="10"/>
  <c r="BR50" i="10"/>
  <c r="EH50" i="10" s="1"/>
  <c r="CD846" i="10"/>
  <c r="CH846" i="10" s="1"/>
  <c r="CL846" i="10"/>
  <c r="DN980" i="10"/>
  <c r="BP980" i="10" s="1"/>
  <c r="DT980" i="10"/>
  <c r="DP980" i="10" s="1"/>
  <c r="BQ980" i="10" s="1"/>
  <c r="DQ980" i="10" s="1"/>
  <c r="EA63" i="10"/>
  <c r="ED63" i="10"/>
  <c r="CL560" i="10"/>
  <c r="CD560" i="10"/>
  <c r="CH560" i="10" s="1"/>
  <c r="CL858" i="10"/>
  <c r="CD858" i="10"/>
  <c r="CH858" i="10" s="1"/>
  <c r="EK536" i="10"/>
  <c r="DP471" i="10"/>
  <c r="BQ471" i="10" s="1"/>
  <c r="DQ471" i="10" s="1"/>
  <c r="DP661" i="10"/>
  <c r="BQ661" i="10" s="1"/>
  <c r="DQ661" i="10" s="1"/>
  <c r="DP204" i="10"/>
  <c r="BQ204" i="10" s="1"/>
  <c r="DQ204" i="10" s="1"/>
  <c r="DN406" i="10"/>
  <c r="BP406" i="10" s="1"/>
  <c r="DO406" i="10" s="1"/>
  <c r="CL890" i="10"/>
  <c r="CD890" i="10"/>
  <c r="CH890" i="10" s="1"/>
  <c r="DU931" i="10"/>
  <c r="DP931" i="10" s="1"/>
  <c r="BQ931" i="10" s="1"/>
  <c r="DQ931" i="10" s="1"/>
  <c r="DN931" i="10"/>
  <c r="BP931" i="10" s="1"/>
  <c r="DO931" i="10" s="1"/>
  <c r="DN899" i="10"/>
  <c r="BP899" i="10" s="1"/>
  <c r="DO899" i="10" s="1"/>
  <c r="DN479" i="10"/>
  <c r="BP479" i="10" s="1"/>
  <c r="CD768" i="10"/>
  <c r="CH768" i="10" s="1"/>
  <c r="CL768" i="10"/>
  <c r="DN974" i="10"/>
  <c r="BP974" i="10" s="1"/>
  <c r="DT974" i="10"/>
  <c r="DP974" i="10" s="1"/>
  <c r="BQ974" i="10" s="1"/>
  <c r="DQ974" i="10" s="1"/>
  <c r="DN935" i="10"/>
  <c r="BP935" i="10" s="1"/>
  <c r="DO935" i="10" s="1"/>
  <c r="CF935" i="10"/>
  <c r="DP967" i="10"/>
  <c r="BQ967" i="10" s="1"/>
  <c r="CL705" i="10"/>
  <c r="CD705" i="10"/>
  <c r="CH705" i="10" s="1"/>
  <c r="DN952" i="10"/>
  <c r="BP952" i="10" s="1"/>
  <c r="DO952" i="10" s="1"/>
  <c r="EI536" i="10"/>
  <c r="DP433" i="10"/>
  <c r="BQ433" i="10" s="1"/>
  <c r="DQ433" i="10" s="1"/>
  <c r="DN816" i="10"/>
  <c r="BP816" i="10" s="1"/>
  <c r="DP458" i="10"/>
  <c r="BQ458" i="10" s="1"/>
  <c r="DQ458" i="10" s="1"/>
  <c r="EI754" i="10"/>
  <c r="DP280" i="10"/>
  <c r="BQ280" i="10" s="1"/>
  <c r="DQ280" i="10" s="1"/>
  <c r="DP699" i="10"/>
  <c r="BQ699" i="10" s="1"/>
  <c r="DQ699" i="10" s="1"/>
  <c r="DP502" i="10"/>
  <c r="BQ502" i="10" s="1"/>
  <c r="DQ502" i="10" s="1"/>
  <c r="DP182" i="10"/>
  <c r="BQ182" i="10" s="1"/>
  <c r="DN998" i="10"/>
  <c r="BP998" i="10" s="1"/>
  <c r="DO998" i="10" s="1"/>
  <c r="DU986" i="10"/>
  <c r="DP986" i="10" s="1"/>
  <c r="BQ986" i="10" s="1"/>
  <c r="DQ986" i="10" s="1"/>
  <c r="DN986" i="10"/>
  <c r="BP986" i="10" s="1"/>
  <c r="DO986" i="10" s="1"/>
  <c r="DN858" i="10"/>
  <c r="BP858" i="10" s="1"/>
  <c r="DO858" i="10" s="1"/>
  <c r="DN917" i="10"/>
  <c r="BP917" i="10" s="1"/>
  <c r="DN992" i="10"/>
  <c r="BP992" i="10" s="1"/>
  <c r="DN894" i="10"/>
  <c r="BP894" i="10" s="1"/>
  <c r="DO894" i="10" s="1"/>
  <c r="BR508" i="10"/>
  <c r="DO508" i="10"/>
  <c r="CL762" i="10"/>
  <c r="CD762" i="10"/>
  <c r="CH762" i="10" s="1"/>
  <c r="EK754" i="10"/>
  <c r="DR754" i="10"/>
  <c r="CD780" i="10"/>
  <c r="CH780" i="10" s="1"/>
  <c r="CL780" i="10"/>
  <c r="CL497" i="10"/>
  <c r="CD497" i="10"/>
  <c r="CH497" i="10" s="1"/>
  <c r="CD166" i="10"/>
  <c r="CH166" i="10" s="1"/>
  <c r="CL166" i="10"/>
  <c r="CL804" i="10"/>
  <c r="CD804" i="10"/>
  <c r="CH804" i="10" s="1"/>
  <c r="DN792" i="10"/>
  <c r="BP792" i="10" s="1"/>
  <c r="DO792" i="10" s="1"/>
  <c r="CL257" i="10"/>
  <c r="CD257" i="10"/>
  <c r="CH257" i="10" s="1"/>
  <c r="CD461" i="10"/>
  <c r="CH461" i="10" s="1"/>
  <c r="CL461" i="10"/>
  <c r="CL870" i="10"/>
  <c r="CD870" i="10"/>
  <c r="CH870" i="10" s="1"/>
  <c r="CD917" i="10"/>
  <c r="CH917" i="10" s="1"/>
  <c r="CL917" i="10"/>
  <c r="DN1006" i="10"/>
  <c r="BP1006" i="10" s="1"/>
  <c r="DO1006" i="10" s="1"/>
  <c r="DU1010" i="10"/>
  <c r="DP1010" i="10" s="1"/>
  <c r="BQ1010" i="10" s="1"/>
  <c r="DQ1010" i="10" s="1"/>
  <c r="DN1010" i="10"/>
  <c r="BP1010" i="10" s="1"/>
  <c r="DO1010" i="10" s="1"/>
  <c r="CD351" i="10"/>
  <c r="CH351" i="10" s="1"/>
  <c r="CL351" i="10"/>
  <c r="CL265" i="10"/>
  <c r="CD265" i="10"/>
  <c r="CH265" i="10" s="1"/>
  <c r="DR749" i="10"/>
  <c r="DP213" i="10"/>
  <c r="BQ213" i="10" s="1"/>
  <c r="DQ213" i="10" s="1"/>
  <c r="DN990" i="10"/>
  <c r="BP990" i="10" s="1"/>
  <c r="DO990" i="10" s="1"/>
  <c r="CF990" i="10"/>
  <c r="DN497" i="10"/>
  <c r="BP497" i="10" s="1"/>
  <c r="CF497" i="10"/>
  <c r="DN756" i="10"/>
  <c r="BP756" i="10" s="1"/>
  <c r="DN98" i="10"/>
  <c r="BP98" i="10" s="1"/>
  <c r="DO98" i="10" s="1"/>
  <c r="CL852" i="10"/>
  <c r="CD852" i="10"/>
  <c r="CH852" i="10" s="1"/>
  <c r="CD383" i="10"/>
  <c r="CH383" i="10" s="1"/>
  <c r="CL383" i="10"/>
  <c r="CD357" i="10"/>
  <c r="CH357" i="10" s="1"/>
  <c r="CL357" i="10"/>
  <c r="DP911" i="10"/>
  <c r="BQ911" i="10" s="1"/>
  <c r="DQ911" i="10" s="1"/>
  <c r="CL990" i="10"/>
  <c r="CD990" i="10"/>
  <c r="CH990" i="10" s="1"/>
  <c r="CL149" i="10"/>
  <c r="CD149" i="10"/>
  <c r="CH149" i="10" s="1"/>
  <c r="DU641" i="10"/>
  <c r="DP641" i="10" s="1"/>
  <c r="BQ641" i="10" s="1"/>
  <c r="DQ641" i="10" s="1"/>
  <c r="DN641" i="10"/>
  <c r="BP641" i="10" s="1"/>
  <c r="DN774" i="10"/>
  <c r="BP774" i="10" s="1"/>
  <c r="DO774" i="10" s="1"/>
  <c r="DN995" i="10"/>
  <c r="BP995" i="10" s="1"/>
  <c r="DO995" i="10" s="1"/>
  <c r="EI749" i="10"/>
  <c r="EJ749" i="10"/>
  <c r="DP461" i="10"/>
  <c r="BQ461" i="10" s="1"/>
  <c r="DQ461" i="10" s="1"/>
  <c r="DN280" i="10"/>
  <c r="BP280" i="10" s="1"/>
  <c r="DO280" i="10" s="1"/>
  <c r="DN264" i="10"/>
  <c r="BP264" i="10" s="1"/>
  <c r="CD840" i="10"/>
  <c r="CH840" i="10" s="1"/>
  <c r="CL840" i="10"/>
  <c r="DN837" i="10"/>
  <c r="BP837" i="10" s="1"/>
  <c r="DO837" i="10" s="1"/>
  <c r="DR300" i="10"/>
  <c r="EJ754" i="10"/>
  <c r="DP492" i="10"/>
  <c r="BQ492" i="10" s="1"/>
  <c r="DQ492" i="10" s="1"/>
  <c r="EK897" i="10"/>
  <c r="DP598" i="10"/>
  <c r="BQ598" i="10" s="1"/>
  <c r="CL98" i="10"/>
  <c r="CD98" i="10"/>
  <c r="CH98" i="10" s="1"/>
  <c r="DN890" i="10"/>
  <c r="BP890" i="10" s="1"/>
  <c r="DO890" i="10" s="1"/>
  <c r="CL792" i="10"/>
  <c r="CD792" i="10"/>
  <c r="CH792" i="10" s="1"/>
  <c r="CL935" i="10"/>
  <c r="CD935" i="10"/>
  <c r="CH935" i="10" s="1"/>
  <c r="BR869" i="10"/>
  <c r="EJ869" i="10" s="1"/>
  <c r="DP144" i="10"/>
  <c r="BQ144" i="10" s="1"/>
  <c r="DQ144" i="10" s="1"/>
  <c r="BR108" i="10"/>
  <c r="EI108" i="10" s="1"/>
  <c r="DP970" i="10"/>
  <c r="BQ970" i="10" s="1"/>
  <c r="CL756" i="10"/>
  <c r="CD756" i="10"/>
  <c r="CH756" i="10" s="1"/>
  <c r="DU1013" i="10"/>
  <c r="DP1013" i="10" s="1"/>
  <c r="BQ1013" i="10" s="1"/>
  <c r="DQ1013" i="10" s="1"/>
  <c r="DN1013" i="10"/>
  <c r="BP1013" i="10" s="1"/>
  <c r="CL171" i="10"/>
  <c r="CD171" i="10"/>
  <c r="CH171" i="10" s="1"/>
  <c r="DN976" i="10"/>
  <c r="BP976" i="10" s="1"/>
  <c r="DO976" i="10" s="1"/>
  <c r="DN242" i="10"/>
  <c r="BP242" i="10" s="1"/>
  <c r="DO242" i="10" s="1"/>
  <c r="DT242" i="10"/>
  <c r="DP242" i="10" s="1"/>
  <c r="BQ242" i="10" s="1"/>
  <c r="DQ242" i="10" s="1"/>
  <c r="EH536" i="10"/>
  <c r="DP531" i="10"/>
  <c r="BQ531" i="10" s="1"/>
  <c r="DQ531" i="10" s="1"/>
  <c r="DP318" i="10"/>
  <c r="BQ318" i="10" s="1"/>
  <c r="DQ318" i="10" s="1"/>
  <c r="ED82" i="10"/>
  <c r="EA82" i="10"/>
  <c r="DU959" i="10"/>
  <c r="DP959" i="10" s="1"/>
  <c r="BQ959" i="10" s="1"/>
  <c r="DQ959" i="10" s="1"/>
  <c r="DN959" i="10"/>
  <c r="BP959" i="10" s="1"/>
  <c r="DO959" i="10" s="1"/>
  <c r="DN467" i="10"/>
  <c r="BP467" i="10" s="1"/>
  <c r="DN881" i="10"/>
  <c r="BP881" i="10" s="1"/>
  <c r="DN751" i="10"/>
  <c r="BP751" i="10" s="1"/>
  <c r="DT751" i="10"/>
  <c r="DP751" i="10" s="1"/>
  <c r="BQ751" i="10" s="1"/>
  <c r="DQ751" i="10" s="1"/>
  <c r="CF166" i="10"/>
  <c r="DN166" i="10"/>
  <c r="BP166" i="10" s="1"/>
  <c r="CD798" i="10"/>
  <c r="CH798" i="10" s="1"/>
  <c r="CL798" i="10"/>
  <c r="CL682" i="10"/>
  <c r="CD682" i="10"/>
  <c r="CH682" i="10" s="1"/>
  <c r="DN786" i="10"/>
  <c r="BP786" i="10" s="1"/>
  <c r="DO786" i="10" s="1"/>
  <c r="DP845" i="10"/>
  <c r="BQ845" i="10" s="1"/>
  <c r="DQ845" i="10" s="1"/>
  <c r="CD899" i="10"/>
  <c r="CH899" i="10" s="1"/>
  <c r="CL899" i="10"/>
  <c r="DU953" i="10"/>
  <c r="DP953" i="10" s="1"/>
  <c r="BQ953" i="10" s="1"/>
  <c r="DQ953" i="10" s="1"/>
  <c r="DN953" i="10"/>
  <c r="BP953" i="10" s="1"/>
  <c r="DN461" i="10"/>
  <c r="BP461" i="10" s="1"/>
  <c r="DN161" i="10"/>
  <c r="BP161" i="10" s="1"/>
  <c r="DO161" i="10" s="1"/>
  <c r="DU233" i="10"/>
  <c r="DP233" i="10" s="1"/>
  <c r="BQ233" i="10" s="1"/>
  <c r="DQ233" i="10" s="1"/>
  <c r="DN233" i="10"/>
  <c r="BP233" i="10" s="1"/>
  <c r="CL525" i="10"/>
  <c r="CD525" i="10"/>
  <c r="CH525" i="10" s="1"/>
  <c r="DQ105" i="10"/>
  <c r="BR105" i="10"/>
  <c r="DR105" i="10" s="1"/>
  <c r="BR107" i="10"/>
  <c r="EI107" i="10" s="1"/>
  <c r="DP29" i="10"/>
  <c r="BQ29" i="10" s="1"/>
  <c r="DQ29" i="10" s="1"/>
  <c r="EH93" i="10"/>
  <c r="BR42" i="10"/>
  <c r="DR42" i="10" s="1"/>
  <c r="BR110" i="10"/>
  <c r="EK110" i="10" s="1"/>
  <c r="DP56" i="10"/>
  <c r="BQ56" i="10" s="1"/>
  <c r="DQ56" i="10" s="1"/>
  <c r="BR62" i="10"/>
  <c r="DR62" i="10" s="1"/>
  <c r="BR83" i="10"/>
  <c r="DR83" i="10" s="1"/>
  <c r="CL65" i="10"/>
  <c r="CD65" i="10"/>
  <c r="CH65" i="10" s="1"/>
  <c r="DO61" i="10"/>
  <c r="BR88" i="10"/>
  <c r="EJ88" i="10" s="1"/>
  <c r="BR51" i="10"/>
  <c r="EK51" i="10" s="1"/>
  <c r="CL71" i="10"/>
  <c r="CD71" i="10"/>
  <c r="CH71" i="10" s="1"/>
  <c r="CD33" i="10"/>
  <c r="CH33" i="10" s="1"/>
  <c r="CL33" i="10"/>
  <c r="BR60" i="10"/>
  <c r="DR60" i="10" s="1"/>
  <c r="CD39" i="10"/>
  <c r="CH39" i="10" s="1"/>
  <c r="CL39" i="10"/>
  <c r="CD105" i="10"/>
  <c r="CH105" i="10" s="1"/>
  <c r="CL105" i="10"/>
  <c r="DP61" i="10"/>
  <c r="BQ61" i="10" s="1"/>
  <c r="DQ61" i="10" s="1"/>
  <c r="EH300" i="10"/>
  <c r="EK426" i="10"/>
  <c r="CL230" i="10"/>
  <c r="CD230" i="10"/>
  <c r="CH230" i="10" s="1"/>
  <c r="CL246" i="10"/>
  <c r="CD246" i="10"/>
  <c r="CH246" i="10" s="1"/>
  <c r="DN619" i="10"/>
  <c r="BP619" i="10" s="1"/>
  <c r="BR619" i="10" s="1"/>
  <c r="DP681" i="10"/>
  <c r="BQ681" i="10" s="1"/>
  <c r="DQ681" i="10" s="1"/>
  <c r="EI426" i="10"/>
  <c r="DP595" i="10"/>
  <c r="BQ595" i="10" s="1"/>
  <c r="CF290" i="10"/>
  <c r="DN290" i="10"/>
  <c r="BP290" i="10" s="1"/>
  <c r="CD583" i="10"/>
  <c r="CH583" i="10" s="1"/>
  <c r="CL583" i="10"/>
  <c r="CD241" i="10"/>
  <c r="CH241" i="10" s="1"/>
  <c r="CL241" i="10"/>
  <c r="DN603" i="10"/>
  <c r="BP603" i="10" s="1"/>
  <c r="DO603" i="10" s="1"/>
  <c r="DT603" i="10"/>
  <c r="DP603" i="10" s="1"/>
  <c r="BQ603" i="10" s="1"/>
  <c r="DQ603" i="10" s="1"/>
  <c r="DP619" i="10"/>
  <c r="BQ619" i="10" s="1"/>
  <c r="DQ619" i="10" s="1"/>
  <c r="DN689" i="10"/>
  <c r="BP689" i="10" s="1"/>
  <c r="DO689" i="10" s="1"/>
  <c r="DT689" i="10"/>
  <c r="DP689" i="10" s="1"/>
  <c r="BQ689" i="10" s="1"/>
  <c r="DQ689" i="10" s="1"/>
  <c r="DP96" i="10"/>
  <c r="BQ96" i="10" s="1"/>
  <c r="DQ96" i="10" s="1"/>
  <c r="DN900" i="10"/>
  <c r="BP900" i="10" s="1"/>
  <c r="DO900" i="10" s="1"/>
  <c r="CD299" i="10"/>
  <c r="CH299" i="10" s="1"/>
  <c r="CL299" i="10"/>
  <c r="BR43" i="10"/>
  <c r="EI43" i="10" s="1"/>
  <c r="DR272" i="10"/>
  <c r="BR401" i="10"/>
  <c r="EK401" i="10" s="1"/>
  <c r="DP255" i="10"/>
  <c r="BQ255" i="10" s="1"/>
  <c r="DQ255" i="10" s="1"/>
  <c r="CD572" i="10"/>
  <c r="CH572" i="10" s="1"/>
  <c r="CL572" i="10"/>
  <c r="DO509" i="10"/>
  <c r="BR509" i="10"/>
  <c r="EK272" i="10"/>
  <c r="BR682" i="10"/>
  <c r="DR682" i="10" s="1"/>
  <c r="DP725" i="10"/>
  <c r="BQ725" i="10" s="1"/>
  <c r="DQ725" i="10" s="1"/>
  <c r="CL261" i="10"/>
  <c r="CD261" i="10"/>
  <c r="CH261" i="10" s="1"/>
  <c r="CL290" i="10"/>
  <c r="CD290" i="10"/>
  <c r="CH290" i="10" s="1"/>
  <c r="CF251" i="10"/>
  <c r="DN251" i="10"/>
  <c r="BP251" i="10" s="1"/>
  <c r="DO251" i="10" s="1"/>
  <c r="CD330" i="10"/>
  <c r="CH330" i="10" s="1"/>
  <c r="CL330" i="10"/>
  <c r="EI300" i="10"/>
  <c r="CD295" i="10"/>
  <c r="CH295" i="10" s="1"/>
  <c r="CL295" i="10"/>
  <c r="DU310" i="10"/>
  <c r="DP310" i="10" s="1"/>
  <c r="BQ310" i="10" s="1"/>
  <c r="DQ310" i="10" s="1"/>
  <c r="DN310" i="10"/>
  <c r="BP310" i="10" s="1"/>
  <c r="DN566" i="10"/>
  <c r="BP566" i="10" s="1"/>
  <c r="CL335" i="10"/>
  <c r="CD335" i="10"/>
  <c r="CH335" i="10" s="1"/>
  <c r="EJ300" i="10"/>
  <c r="DP399" i="10"/>
  <c r="BQ399" i="10" s="1"/>
  <c r="DQ399" i="10" s="1"/>
  <c r="DN405" i="10"/>
  <c r="BP405" i="10" s="1"/>
  <c r="DO405" i="10" s="1"/>
  <c r="DN128" i="10"/>
  <c r="BP128" i="10" s="1"/>
  <c r="DO128" i="10" s="1"/>
  <c r="DT128" i="10"/>
  <c r="DP128" i="10" s="1"/>
  <c r="BQ128" i="10" s="1"/>
  <c r="DQ128" i="10" s="1"/>
  <c r="CF299" i="10"/>
  <c r="DN299" i="10"/>
  <c r="BP299" i="10" s="1"/>
  <c r="DO299" i="10" s="1"/>
  <c r="DQ621" i="10"/>
  <c r="BR621" i="10"/>
  <c r="DR621" i="10" s="1"/>
  <c r="DQ258" i="10"/>
  <c r="DQ276" i="10"/>
  <c r="BR276" i="10"/>
  <c r="DQ760" i="10"/>
  <c r="BR760" i="10"/>
  <c r="EH760" i="10" s="1"/>
  <c r="BR911" i="10"/>
  <c r="BR1008" i="10"/>
  <c r="DQ639" i="10"/>
  <c r="BR639" i="10"/>
  <c r="DQ973" i="10"/>
  <c r="BR973" i="10"/>
  <c r="DQ950" i="10"/>
  <c r="BR950" i="10"/>
  <c r="DQ880" i="10"/>
  <c r="BR880" i="10"/>
  <c r="DQ938" i="10"/>
  <c r="BR938" i="10"/>
  <c r="DQ429" i="10"/>
  <c r="BR429" i="10"/>
  <c r="BR890" i="10"/>
  <c r="BR338" i="10"/>
  <c r="EJ338" i="10" s="1"/>
  <c r="DQ486" i="10"/>
  <c r="BR486" i="10"/>
  <c r="DQ913" i="10"/>
  <c r="BR913" i="10"/>
  <c r="DQ937" i="10"/>
  <c r="BR937" i="10"/>
  <c r="DQ745" i="10"/>
  <c r="BR745" i="10"/>
  <c r="EK745" i="10" s="1"/>
  <c r="DQ633" i="10"/>
  <c r="BR633" i="10"/>
  <c r="EK633" i="10" s="1"/>
  <c r="DQ537" i="10"/>
  <c r="BR537" i="10"/>
  <c r="EI537" i="10" s="1"/>
  <c r="BR985" i="10"/>
  <c r="DQ588" i="10"/>
  <c r="BR588" i="10"/>
  <c r="EK588" i="10" s="1"/>
  <c r="DQ955" i="10"/>
  <c r="BR955" i="10"/>
  <c r="BR814" i="10"/>
  <c r="EI814" i="10" s="1"/>
  <c r="DQ720" i="10"/>
  <c r="BR720" i="10"/>
  <c r="DQ907" i="10"/>
  <c r="BR907" i="10"/>
  <c r="DQ997" i="10"/>
  <c r="BR672" i="10"/>
  <c r="DQ137" i="10"/>
  <c r="BR137" i="10"/>
  <c r="EK137" i="10" s="1"/>
  <c r="DQ960" i="10"/>
  <c r="BR960" i="10"/>
  <c r="DQ660" i="10"/>
  <c r="BR660" i="10"/>
  <c r="DQ1012" i="10"/>
  <c r="BR1012" i="10"/>
  <c r="DQ624" i="10"/>
  <c r="BR624" i="10"/>
  <c r="EH624" i="10" s="1"/>
  <c r="DQ149" i="10"/>
  <c r="BR149" i="10"/>
  <c r="DR149" i="10" s="1"/>
  <c r="DQ293" i="10"/>
  <c r="BR293" i="10"/>
  <c r="DR293" i="10" s="1"/>
  <c r="DQ850" i="10"/>
  <c r="BR850" i="10"/>
  <c r="DQ912" i="10"/>
  <c r="BR912" i="10"/>
  <c r="DQ637" i="10"/>
  <c r="BR637" i="10"/>
  <c r="DQ287" i="10"/>
  <c r="BR287" i="10"/>
  <c r="DQ822" i="10"/>
  <c r="BR822" i="10"/>
  <c r="DR822" i="10" s="1"/>
  <c r="DQ906" i="10"/>
  <c r="BR906" i="10"/>
  <c r="BR457" i="10"/>
  <c r="DQ434" i="10"/>
  <c r="BR434" i="10"/>
  <c r="DQ843" i="10"/>
  <c r="BR843" i="10"/>
  <c r="EH843" i="10" s="1"/>
  <c r="DQ68" i="10"/>
  <c r="BR68" i="10"/>
  <c r="DQ940" i="10"/>
  <c r="BR940" i="10"/>
  <c r="DQ33" i="10"/>
  <c r="BR33" i="10"/>
  <c r="DQ342" i="10"/>
  <c r="BR342" i="10"/>
  <c r="EH342" i="10" s="1"/>
  <c r="DQ395" i="10"/>
  <c r="BR395" i="10"/>
  <c r="EH395" i="10" s="1"/>
  <c r="DQ994" i="10"/>
  <c r="BR994" i="10"/>
  <c r="DQ545" i="10"/>
  <c r="BR545" i="10"/>
  <c r="BR352" i="10"/>
  <c r="EJ352" i="10" s="1"/>
  <c r="DQ904" i="10"/>
  <c r="BR904" i="10"/>
  <c r="DQ175" i="10"/>
  <c r="BR175" i="10"/>
  <c r="EI175" i="10" s="1"/>
  <c r="DQ774" i="10"/>
  <c r="DQ516" i="10"/>
  <c r="BR516" i="10"/>
  <c r="EK516" i="10" s="1"/>
  <c r="BR612" i="10"/>
  <c r="DQ143" i="10"/>
  <c r="BR143" i="10"/>
  <c r="EI143" i="10" s="1"/>
  <c r="DQ952" i="10"/>
  <c r="DQ735" i="10"/>
  <c r="BR735" i="10"/>
  <c r="EH735" i="10" s="1"/>
  <c r="DQ962" i="10"/>
  <c r="BR962" i="10"/>
  <c r="DQ921" i="10"/>
  <c r="BR921" i="10"/>
  <c r="EJ296" i="10"/>
  <c r="EI350" i="10"/>
  <c r="BR384" i="10"/>
  <c r="EH384" i="10" s="1"/>
  <c r="DR1004" i="10"/>
  <c r="EI1004" i="10"/>
  <c r="EJ1004" i="10"/>
  <c r="DQ1005" i="10"/>
  <c r="BR1005" i="10"/>
  <c r="EH941" i="10"/>
  <c r="EI941" i="10"/>
  <c r="EJ941" i="10"/>
  <c r="DR941" i="10"/>
  <c r="EK941" i="10"/>
  <c r="DQ975" i="10"/>
  <c r="BR975" i="10"/>
  <c r="DP504" i="10"/>
  <c r="BQ504" i="10" s="1"/>
  <c r="EI385" i="10"/>
  <c r="DR296" i="10"/>
  <c r="BR275" i="10"/>
  <c r="DR275" i="10" s="1"/>
  <c r="BR86" i="10"/>
  <c r="EK86" i="10" s="1"/>
  <c r="DP495" i="10"/>
  <c r="BQ495" i="10" s="1"/>
  <c r="DQ495" i="10" s="1"/>
  <c r="DQ1003" i="10"/>
  <c r="BR1003" i="10"/>
  <c r="DQ903" i="10"/>
  <c r="BR903" i="10"/>
  <c r="DQ885" i="10"/>
  <c r="BR885" i="10"/>
  <c r="DQ882" i="10"/>
  <c r="BR882" i="10"/>
  <c r="BR982" i="10"/>
  <c r="EI946" i="10"/>
  <c r="EH946" i="10"/>
  <c r="DR946" i="10"/>
  <c r="EJ946" i="10"/>
  <c r="EK946" i="10"/>
  <c r="DQ935" i="10"/>
  <c r="DQ968" i="10"/>
  <c r="EK977" i="10"/>
  <c r="EH977" i="10"/>
  <c r="EJ385" i="10"/>
  <c r="BR35" i="10"/>
  <c r="BR488" i="10"/>
  <c r="DP525" i="10"/>
  <c r="BQ525" i="10" s="1"/>
  <c r="DQ525" i="10" s="1"/>
  <c r="DQ942" i="10"/>
  <c r="BR942" i="10"/>
  <c r="DQ945" i="10"/>
  <c r="BR945" i="10"/>
  <c r="EK893" i="10"/>
  <c r="DR893" i="10"/>
  <c r="EJ893" i="10"/>
  <c r="EH893" i="10"/>
  <c r="EI893" i="10"/>
  <c r="DQ924" i="10"/>
  <c r="BR924" i="10"/>
  <c r="DQ943" i="10"/>
  <c r="BR943" i="10"/>
  <c r="DO502" i="10"/>
  <c r="BR502" i="10"/>
  <c r="DQ1009" i="10"/>
  <c r="BR1009" i="10"/>
  <c r="DQ888" i="10"/>
  <c r="BR888" i="10"/>
  <c r="DN255" i="10"/>
  <c r="BP255" i="10" s="1"/>
  <c r="DO255" i="10" s="1"/>
  <c r="DQ1014" i="10"/>
  <c r="BR1014" i="10"/>
  <c r="DQ939" i="10"/>
  <c r="BR939" i="10"/>
  <c r="DQ919" i="10"/>
  <c r="BR919" i="10"/>
  <c r="DR934" i="10"/>
  <c r="EJ934" i="10"/>
  <c r="EH934" i="10"/>
  <c r="EI934" i="10"/>
  <c r="EK934" i="10"/>
  <c r="EJ897" i="10"/>
  <c r="BR1007" i="10"/>
  <c r="DQ993" i="10"/>
  <c r="BR993" i="10"/>
  <c r="EJ187" i="10"/>
  <c r="DP690" i="10"/>
  <c r="BQ690" i="10" s="1"/>
  <c r="DQ690" i="10" s="1"/>
  <c r="DP249" i="10"/>
  <c r="BQ249" i="10" s="1"/>
  <c r="DQ249" i="10" s="1"/>
  <c r="DQ1006" i="10"/>
  <c r="BR1006" i="10"/>
  <c r="BR966" i="10"/>
  <c r="DQ887" i="10"/>
  <c r="BR887" i="10"/>
  <c r="DQ964" i="10"/>
  <c r="BR964" i="10"/>
  <c r="DQ1002" i="10"/>
  <c r="BR925" i="10"/>
  <c r="EK929" i="10"/>
  <c r="DQ961" i="10"/>
  <c r="BR961" i="10"/>
  <c r="DP210" i="10"/>
  <c r="BQ210" i="10" s="1"/>
  <c r="DQ210" i="10" s="1"/>
  <c r="DQ883" i="10"/>
  <c r="BR883" i="10"/>
  <c r="DQ899" i="10"/>
  <c r="DQ895" i="10"/>
  <c r="BR895" i="10"/>
  <c r="BR931" i="10"/>
  <c r="DN206" i="10"/>
  <c r="BP206" i="10" s="1"/>
  <c r="DT206" i="10"/>
  <c r="DP206" i="10" s="1"/>
  <c r="BQ206" i="10" s="1"/>
  <c r="DQ206" i="10" s="1"/>
  <c r="BR969" i="10"/>
  <c r="EK908" i="10"/>
  <c r="DR908" i="10"/>
  <c r="EH908" i="10"/>
  <c r="EJ908" i="10"/>
  <c r="EI908" i="10"/>
  <c r="BR988" i="10"/>
  <c r="DQ947" i="10"/>
  <c r="BR947" i="10"/>
  <c r="EA206" i="10"/>
  <c r="ED206" i="10"/>
  <c r="BR239" i="10"/>
  <c r="DO239" i="10"/>
  <c r="EH910" i="10"/>
  <c r="EJ910" i="10"/>
  <c r="BR642" i="10"/>
  <c r="BR263" i="10"/>
  <c r="EJ263" i="10" s="1"/>
  <c r="BR671" i="10"/>
  <c r="EK671" i="10" s="1"/>
  <c r="DQ879" i="10"/>
  <c r="BR879" i="10"/>
  <c r="DQ923" i="10"/>
  <c r="BR923" i="10"/>
  <c r="DQ933" i="10"/>
  <c r="BR933" i="10"/>
  <c r="EI922" i="10"/>
  <c r="DR922" i="10"/>
  <c r="EJ922" i="10"/>
  <c r="EK922" i="10"/>
  <c r="EH922" i="10"/>
  <c r="DP340" i="10"/>
  <c r="BQ340" i="10" s="1"/>
  <c r="BR468" i="10"/>
  <c r="EH468" i="10" s="1"/>
  <c r="DN220" i="10"/>
  <c r="BP220" i="10" s="1"/>
  <c r="DO220" i="10" s="1"/>
  <c r="DQ926" i="10"/>
  <c r="BR926" i="10"/>
  <c r="DQ981" i="10"/>
  <c r="BR981" i="10"/>
  <c r="DQ886" i="10"/>
  <c r="BR886" i="10"/>
  <c r="BR732" i="10"/>
  <c r="DQ978" i="10"/>
  <c r="BR978" i="10"/>
  <c r="BR996" i="10"/>
  <c r="DQ915" i="10"/>
  <c r="BR915" i="10"/>
  <c r="DQ914" i="10"/>
  <c r="BR914" i="10"/>
  <c r="DQ741" i="10"/>
  <c r="DR902" i="10"/>
  <c r="EK902" i="10"/>
  <c r="EI902" i="10"/>
  <c r="EH957" i="10"/>
  <c r="DO965" i="10"/>
  <c r="BR965" i="10"/>
  <c r="BR314" i="10"/>
  <c r="DO314" i="10"/>
  <c r="DP78" i="10"/>
  <c r="BQ78" i="10" s="1"/>
  <c r="DQ78" i="10" s="1"/>
  <c r="DN704" i="10"/>
  <c r="BP704" i="10" s="1"/>
  <c r="DO704" i="10" s="1"/>
  <c r="EK936" i="10"/>
  <c r="DQ991" i="10"/>
  <c r="BR991" i="10"/>
  <c r="DQ889" i="10"/>
  <c r="BR889" i="10"/>
  <c r="DQ900" i="10"/>
  <c r="EH905" i="10"/>
  <c r="EJ905" i="10"/>
  <c r="EK905" i="10"/>
  <c r="DR905" i="10"/>
  <c r="EI905" i="10"/>
  <c r="DQ894" i="10"/>
  <c r="DQ918" i="10"/>
  <c r="BR918" i="10"/>
  <c r="EI898" i="10"/>
  <c r="DP778" i="10"/>
  <c r="BQ778" i="10" s="1"/>
  <c r="EI958" i="10"/>
  <c r="DP180" i="10"/>
  <c r="BQ180" i="10" s="1"/>
  <c r="DQ180" i="10" s="1"/>
  <c r="BR29" i="10"/>
  <c r="EJ29" i="10" s="1"/>
  <c r="EK350" i="10"/>
  <c r="DP583" i="10"/>
  <c r="BQ583" i="10" s="1"/>
  <c r="DQ583" i="10" s="1"/>
  <c r="BR209" i="10"/>
  <c r="DR209" i="10" s="1"/>
  <c r="DQ916" i="10"/>
  <c r="BR916" i="10"/>
  <c r="DQ954" i="10"/>
  <c r="BR954" i="10"/>
  <c r="DQ998" i="10"/>
  <c r="BR998" i="10"/>
  <c r="DR972" i="10"/>
  <c r="EH972" i="10"/>
  <c r="EI972" i="10"/>
  <c r="EJ972" i="10"/>
  <c r="EK972" i="10"/>
  <c r="DQ1000" i="10"/>
  <c r="BR1000" i="10"/>
  <c r="EI956" i="10"/>
  <c r="EJ956" i="10"/>
  <c r="DR956" i="10"/>
  <c r="EH956" i="10"/>
  <c r="EK956" i="10"/>
  <c r="DO180" i="10"/>
  <c r="DN525" i="10"/>
  <c r="BP525" i="10" s="1"/>
  <c r="DO525" i="10" s="1"/>
  <c r="DN495" i="10"/>
  <c r="BP495" i="10" s="1"/>
  <c r="DO495" i="10" s="1"/>
  <c r="DQ704" i="10"/>
  <c r="DU632" i="10"/>
  <c r="DP632" i="10" s="1"/>
  <c r="BQ632" i="10" s="1"/>
  <c r="DQ632" i="10" s="1"/>
  <c r="DN632" i="10"/>
  <c r="BP632" i="10" s="1"/>
  <c r="DN327" i="10"/>
  <c r="BP327" i="10" s="1"/>
  <c r="DO327" i="10" s="1"/>
  <c r="DT327" i="10"/>
  <c r="DP327" i="10" s="1"/>
  <c r="BQ327" i="10" s="1"/>
  <c r="DQ327" i="10" s="1"/>
  <c r="EA513" i="10"/>
  <c r="ED513" i="10"/>
  <c r="EA469" i="10"/>
  <c r="ED469" i="10"/>
  <c r="EA196" i="10"/>
  <c r="ED196" i="10"/>
  <c r="ED405" i="10"/>
  <c r="EA405" i="10"/>
  <c r="DN267" i="10"/>
  <c r="BP267" i="10" s="1"/>
  <c r="EA201" i="10"/>
  <c r="ED201" i="10"/>
  <c r="EA459" i="10"/>
  <c r="ED459" i="10"/>
  <c r="EA630" i="10"/>
  <c r="ED630" i="10"/>
  <c r="EA371" i="10"/>
  <c r="ED371" i="10"/>
  <c r="ED64" i="10"/>
  <c r="EA64" i="10"/>
  <c r="BR323" i="10"/>
  <c r="DR323" i="10" s="1"/>
  <c r="BR695" i="10"/>
  <c r="DR695" i="10" s="1"/>
  <c r="BR66" i="10"/>
  <c r="EH66" i="10" s="1"/>
  <c r="BR772" i="10"/>
  <c r="EH772" i="10" s="1"/>
  <c r="BR153" i="10"/>
  <c r="EK153" i="10" s="1"/>
  <c r="EA584" i="10"/>
  <c r="ED584" i="10"/>
  <c r="ED474" i="10"/>
  <c r="EA474" i="10"/>
  <c r="DU513" i="10"/>
  <c r="DP513" i="10" s="1"/>
  <c r="BQ513" i="10" s="1"/>
  <c r="DN513" i="10"/>
  <c r="BP513" i="10" s="1"/>
  <c r="DO513" i="10" s="1"/>
  <c r="DN469" i="10"/>
  <c r="BP469" i="10" s="1"/>
  <c r="DT469" i="10"/>
  <c r="DP469" i="10" s="1"/>
  <c r="BQ469" i="10" s="1"/>
  <c r="DQ469" i="10" s="1"/>
  <c r="DN196" i="10"/>
  <c r="BP196" i="10" s="1"/>
  <c r="DT196" i="10"/>
  <c r="DP196" i="10" s="1"/>
  <c r="BQ196" i="10" s="1"/>
  <c r="DQ196" i="10" s="1"/>
  <c r="DN417" i="10"/>
  <c r="BP417" i="10" s="1"/>
  <c r="DU459" i="10"/>
  <c r="DP459" i="10" s="1"/>
  <c r="BQ459" i="10" s="1"/>
  <c r="DQ459" i="10" s="1"/>
  <c r="DN459" i="10"/>
  <c r="BP459" i="10" s="1"/>
  <c r="DN630" i="10"/>
  <c r="BP630" i="10" s="1"/>
  <c r="DO630" i="10" s="1"/>
  <c r="DT630" i="10"/>
  <c r="DP630" i="10" s="1"/>
  <c r="BQ630" i="10" s="1"/>
  <c r="DQ630" i="10" s="1"/>
  <c r="DN435" i="10"/>
  <c r="BP435" i="10" s="1"/>
  <c r="DO435" i="10" s="1"/>
  <c r="DN371" i="10"/>
  <c r="BP371" i="10" s="1"/>
  <c r="DT371" i="10"/>
  <c r="DP371" i="10" s="1"/>
  <c r="BQ371" i="10" s="1"/>
  <c r="DQ371" i="10" s="1"/>
  <c r="DU64" i="10"/>
  <c r="DP64" i="10" s="1"/>
  <c r="BQ64" i="10" s="1"/>
  <c r="DQ64" i="10" s="1"/>
  <c r="DN64" i="10"/>
  <c r="BP64" i="10" s="1"/>
  <c r="BR691" i="10"/>
  <c r="BR185" i="10"/>
  <c r="EH185" i="10" s="1"/>
  <c r="BR77" i="10"/>
  <c r="EH77" i="10" s="1"/>
  <c r="BR36" i="10"/>
  <c r="EI36" i="10" s="1"/>
  <c r="EA123" i="10"/>
  <c r="ED123" i="10"/>
  <c r="DU584" i="10"/>
  <c r="DP584" i="10" s="1"/>
  <c r="BQ584" i="10" s="1"/>
  <c r="DQ584" i="10" s="1"/>
  <c r="DN584" i="10"/>
  <c r="BP584" i="10" s="1"/>
  <c r="DN474" i="10"/>
  <c r="BP474" i="10" s="1"/>
  <c r="DT474" i="10"/>
  <c r="DP474" i="10" s="1"/>
  <c r="BQ474" i="10" s="1"/>
  <c r="DQ474" i="10" s="1"/>
  <c r="ED411" i="10"/>
  <c r="EA411" i="10"/>
  <c r="DN249" i="10"/>
  <c r="BP249" i="10" s="1"/>
  <c r="EA274" i="10"/>
  <c r="ED274" i="10"/>
  <c r="EA267" i="10"/>
  <c r="ED267" i="10"/>
  <c r="EA367" i="10"/>
  <c r="ED367" i="10"/>
  <c r="EA399" i="10"/>
  <c r="ED399" i="10"/>
  <c r="ED704" i="10"/>
  <c r="EA704" i="10"/>
  <c r="EA257" i="10"/>
  <c r="ED257" i="10"/>
  <c r="DN123" i="10"/>
  <c r="BP123" i="10" s="1"/>
  <c r="DO123" i="10" s="1"/>
  <c r="DT123" i="10"/>
  <c r="DP123" i="10" s="1"/>
  <c r="BQ123" i="10" s="1"/>
  <c r="DQ123" i="10" s="1"/>
  <c r="EA208" i="10"/>
  <c r="ED208" i="10"/>
  <c r="ED678" i="10"/>
  <c r="EA678" i="10"/>
  <c r="DN411" i="10"/>
  <c r="BP411" i="10" s="1"/>
  <c r="DO411" i="10" s="1"/>
  <c r="DN274" i="10"/>
  <c r="BP274" i="10" s="1"/>
  <c r="DT274" i="10"/>
  <c r="DP274" i="10" s="1"/>
  <c r="BQ274" i="10" s="1"/>
  <c r="DQ274" i="10" s="1"/>
  <c r="DN367" i="10"/>
  <c r="BP367" i="10" s="1"/>
  <c r="DT367" i="10"/>
  <c r="DP367" i="10" s="1"/>
  <c r="BQ367" i="10" s="1"/>
  <c r="DQ367" i="10" s="1"/>
  <c r="ED295" i="10"/>
  <c r="EA295" i="10"/>
  <c r="DN257" i="10"/>
  <c r="BP257" i="10" s="1"/>
  <c r="DO257" i="10" s="1"/>
  <c r="DT257" i="10"/>
  <c r="DP257" i="10" s="1"/>
  <c r="BQ257" i="10" s="1"/>
  <c r="EA525" i="10"/>
  <c r="ED525" i="10"/>
  <c r="EA860" i="10"/>
  <c r="ED860" i="10"/>
  <c r="DU208" i="10"/>
  <c r="DP208" i="10" s="1"/>
  <c r="BQ208" i="10" s="1"/>
  <c r="DQ208" i="10" s="1"/>
  <c r="DN208" i="10"/>
  <c r="BP208" i="10" s="1"/>
  <c r="DO208" i="10" s="1"/>
  <c r="DN678" i="10"/>
  <c r="BP678" i="10" s="1"/>
  <c r="DO678" i="10" s="1"/>
  <c r="DT678" i="10"/>
  <c r="DP678" i="10" s="1"/>
  <c r="BQ678" i="10" s="1"/>
  <c r="EA273" i="10"/>
  <c r="ED273" i="10"/>
  <c r="EA343" i="10"/>
  <c r="ED343" i="10"/>
  <c r="ED244" i="10"/>
  <c r="EA244" i="10"/>
  <c r="EA726" i="10"/>
  <c r="ED726" i="10"/>
  <c r="EA266" i="10"/>
  <c r="ED266" i="10"/>
  <c r="DN295" i="10"/>
  <c r="BP295" i="10" s="1"/>
  <c r="DO295" i="10" s="1"/>
  <c r="DT295" i="10"/>
  <c r="DP295" i="10" s="1"/>
  <c r="BQ295" i="10" s="1"/>
  <c r="DQ295" i="10" s="1"/>
  <c r="EA602" i="10"/>
  <c r="ED602" i="10"/>
  <c r="EA854" i="10"/>
  <c r="ED854" i="10"/>
  <c r="EA319" i="10"/>
  <c r="ED319" i="10"/>
  <c r="BR601" i="10"/>
  <c r="EK601" i="10" s="1"/>
  <c r="BR591" i="10"/>
  <c r="DR591" i="10" s="1"/>
  <c r="BR84" i="10"/>
  <c r="EK84" i="10" s="1"/>
  <c r="DP220" i="10"/>
  <c r="BQ220" i="10" s="1"/>
  <c r="DQ220" i="10" s="1"/>
  <c r="DN860" i="10"/>
  <c r="BP860" i="10" s="1"/>
  <c r="DT860" i="10"/>
  <c r="DP860" i="10" s="1"/>
  <c r="BQ860" i="10" s="1"/>
  <c r="DQ860" i="10" s="1"/>
  <c r="EA58" i="10"/>
  <c r="ED58" i="10"/>
  <c r="DU273" i="10"/>
  <c r="DP273" i="10" s="1"/>
  <c r="BQ273" i="10" s="1"/>
  <c r="DQ273" i="10" s="1"/>
  <c r="DN273" i="10"/>
  <c r="BP273" i="10" s="1"/>
  <c r="DO273" i="10" s="1"/>
  <c r="DN343" i="10"/>
  <c r="BP343" i="10" s="1"/>
  <c r="DO343" i="10" s="1"/>
  <c r="DT343" i="10"/>
  <c r="DP343" i="10" s="1"/>
  <c r="BQ343" i="10" s="1"/>
  <c r="DQ343" i="10" s="1"/>
  <c r="DN244" i="10"/>
  <c r="BP244" i="10" s="1"/>
  <c r="DO244" i="10" s="1"/>
  <c r="DT244" i="10"/>
  <c r="DP244" i="10" s="1"/>
  <c r="BQ244" i="10" s="1"/>
  <c r="DQ244" i="10" s="1"/>
  <c r="ED734" i="10"/>
  <c r="EA734" i="10"/>
  <c r="DN726" i="10"/>
  <c r="BP726" i="10" s="1"/>
  <c r="DO726" i="10" s="1"/>
  <c r="DT726" i="10"/>
  <c r="DP726" i="10" s="1"/>
  <c r="BQ726" i="10" s="1"/>
  <c r="DQ726" i="10" s="1"/>
  <c r="DN266" i="10"/>
  <c r="BP266" i="10" s="1"/>
  <c r="DT266" i="10"/>
  <c r="DP266" i="10" s="1"/>
  <c r="BQ266" i="10" s="1"/>
  <c r="DQ266" i="10" s="1"/>
  <c r="EA866" i="10"/>
  <c r="ED866" i="10"/>
  <c r="ED489" i="10"/>
  <c r="EA489" i="10"/>
  <c r="DN854" i="10"/>
  <c r="BP854" i="10" s="1"/>
  <c r="DT854" i="10"/>
  <c r="DP854" i="10" s="1"/>
  <c r="BQ854" i="10" s="1"/>
  <c r="DQ854" i="10" s="1"/>
  <c r="DT319" i="10"/>
  <c r="DP319" i="10" s="1"/>
  <c r="BQ319" i="10" s="1"/>
  <c r="DQ319" i="10" s="1"/>
  <c r="DN319" i="10"/>
  <c r="BP319" i="10" s="1"/>
  <c r="ED417" i="10"/>
  <c r="EA417" i="10"/>
  <c r="DU58" i="10"/>
  <c r="DP58" i="10" s="1"/>
  <c r="BQ58" i="10" s="1"/>
  <c r="DN58" i="10"/>
  <c r="BP58" i="10" s="1"/>
  <c r="DO58" i="10" s="1"/>
  <c r="EA746" i="10"/>
  <c r="ED746" i="10"/>
  <c r="ED528" i="10"/>
  <c r="EA528" i="10"/>
  <c r="ED842" i="10"/>
  <c r="EA842" i="10"/>
  <c r="DU734" i="10"/>
  <c r="DP734" i="10" s="1"/>
  <c r="BQ734" i="10" s="1"/>
  <c r="DQ734" i="10" s="1"/>
  <c r="DN734" i="10"/>
  <c r="BP734" i="10" s="1"/>
  <c r="EA608" i="10"/>
  <c r="ED608" i="10"/>
  <c r="DU489" i="10"/>
  <c r="DP489" i="10" s="1"/>
  <c r="BQ489" i="10" s="1"/>
  <c r="DQ489" i="10" s="1"/>
  <c r="DN489" i="10"/>
  <c r="BP489" i="10" s="1"/>
  <c r="DO489" i="10" s="1"/>
  <c r="EA76" i="10"/>
  <c r="ED76" i="10"/>
  <c r="EA347" i="10"/>
  <c r="ED347" i="10"/>
  <c r="EA582" i="10"/>
  <c r="ED582" i="10"/>
  <c r="DN231" i="10"/>
  <c r="BP231" i="10" s="1"/>
  <c r="BR231" i="10" s="1"/>
  <c r="EA192" i="10"/>
  <c r="ED192" i="10"/>
  <c r="DU746" i="10"/>
  <c r="DP746" i="10" s="1"/>
  <c r="BQ746" i="10" s="1"/>
  <c r="DQ746" i="10" s="1"/>
  <c r="DN746" i="10"/>
  <c r="BP746" i="10" s="1"/>
  <c r="DO746" i="10" s="1"/>
  <c r="DN528" i="10"/>
  <c r="BP528" i="10" s="1"/>
  <c r="DO528" i="10" s="1"/>
  <c r="DT528" i="10"/>
  <c r="DP528" i="10" s="1"/>
  <c r="BQ528" i="10" s="1"/>
  <c r="DQ528" i="10" s="1"/>
  <c r="DN842" i="10"/>
  <c r="BP842" i="10" s="1"/>
  <c r="DT842" i="10"/>
  <c r="DP842" i="10" s="1"/>
  <c r="BQ842" i="10" s="1"/>
  <c r="DQ842" i="10" s="1"/>
  <c r="DO602" i="10"/>
  <c r="BR602" i="10"/>
  <c r="DU608" i="10"/>
  <c r="DP608" i="10" s="1"/>
  <c r="BQ608" i="10" s="1"/>
  <c r="DQ608" i="10" s="1"/>
  <c r="DN608" i="10"/>
  <c r="BP608" i="10" s="1"/>
  <c r="EA255" i="10"/>
  <c r="ED255" i="10"/>
  <c r="DU76" i="10"/>
  <c r="DP76" i="10" s="1"/>
  <c r="BQ76" i="10" s="1"/>
  <c r="DQ76" i="10" s="1"/>
  <c r="DN76" i="10"/>
  <c r="BP76" i="10" s="1"/>
  <c r="DN347" i="10"/>
  <c r="BP347" i="10" s="1"/>
  <c r="DT347" i="10"/>
  <c r="DP347" i="10" s="1"/>
  <c r="BQ347" i="10" s="1"/>
  <c r="DQ347" i="10" s="1"/>
  <c r="DN582" i="10"/>
  <c r="BP582" i="10" s="1"/>
  <c r="DT582" i="10"/>
  <c r="DP582" i="10" s="1"/>
  <c r="BQ582" i="10" s="1"/>
  <c r="DQ582" i="10" s="1"/>
  <c r="EA279" i="10"/>
  <c r="ED279" i="10"/>
  <c r="DN192" i="10"/>
  <c r="BP192" i="10" s="1"/>
  <c r="DO192" i="10" s="1"/>
  <c r="DT192" i="10"/>
  <c r="DP192" i="10" s="1"/>
  <c r="BQ192" i="10" s="1"/>
  <c r="DQ192" i="10" s="1"/>
  <c r="EA620" i="10"/>
  <c r="ED620" i="10"/>
  <c r="ED162" i="10"/>
  <c r="EA162" i="10"/>
  <c r="EA94" i="10"/>
  <c r="ED94" i="10"/>
  <c r="ED548" i="10"/>
  <c r="EA548" i="10"/>
  <c r="ED28" i="10"/>
  <c r="EA28" i="10"/>
  <c r="ED435" i="10"/>
  <c r="EA435" i="10"/>
  <c r="ED226" i="10"/>
  <c r="EA226" i="10"/>
  <c r="DU279" i="10"/>
  <c r="DP279" i="10" s="1"/>
  <c r="BQ279" i="10" s="1"/>
  <c r="DQ279" i="10" s="1"/>
  <c r="DN279" i="10"/>
  <c r="BP279" i="10" s="1"/>
  <c r="ED270" i="10"/>
  <c r="EA270" i="10"/>
  <c r="DU620" i="10"/>
  <c r="DP620" i="10" s="1"/>
  <c r="BQ620" i="10" s="1"/>
  <c r="DQ620" i="10" s="1"/>
  <c r="DN620" i="10"/>
  <c r="BP620" i="10" s="1"/>
  <c r="ED171" i="10"/>
  <c r="EA171" i="10"/>
  <c r="DN162" i="10"/>
  <c r="BP162" i="10" s="1"/>
  <c r="DO162" i="10" s="1"/>
  <c r="DT162" i="10"/>
  <c r="DP162" i="10" s="1"/>
  <c r="BQ162" i="10" s="1"/>
  <c r="DQ162" i="10" s="1"/>
  <c r="DU94" i="10"/>
  <c r="DP94" i="10" s="1"/>
  <c r="BQ94" i="10" s="1"/>
  <c r="DQ94" i="10" s="1"/>
  <c r="DN94" i="10"/>
  <c r="BP94" i="10" s="1"/>
  <c r="DU548" i="10"/>
  <c r="DP548" i="10" s="1"/>
  <c r="BQ548" i="10" s="1"/>
  <c r="DQ548" i="10" s="1"/>
  <c r="DN548" i="10"/>
  <c r="BP548" i="10" s="1"/>
  <c r="EA355" i="10"/>
  <c r="ED355" i="10"/>
  <c r="DU28" i="10"/>
  <c r="DP28" i="10" s="1"/>
  <c r="BQ28" i="10" s="1"/>
  <c r="DQ28" i="10" s="1"/>
  <c r="DN28" i="10"/>
  <c r="BP28" i="10" s="1"/>
  <c r="DU226" i="10"/>
  <c r="DP226" i="10" s="1"/>
  <c r="BQ226" i="10" s="1"/>
  <c r="DQ226" i="10" s="1"/>
  <c r="DN226" i="10"/>
  <c r="BP226" i="10" s="1"/>
  <c r="BR39" i="10"/>
  <c r="ED391" i="10"/>
  <c r="EA391" i="10"/>
  <c r="DO866" i="10"/>
  <c r="BR866" i="10"/>
  <c r="DN270" i="10"/>
  <c r="BP270" i="10" s="1"/>
  <c r="DO270" i="10" s="1"/>
  <c r="DT270" i="10"/>
  <c r="DP270" i="10" s="1"/>
  <c r="BQ270" i="10" s="1"/>
  <c r="ED614" i="10"/>
  <c r="EA614" i="10"/>
  <c r="EA132" i="10"/>
  <c r="ED132" i="10"/>
  <c r="EA52" i="10"/>
  <c r="ED52" i="10"/>
  <c r="DN171" i="10"/>
  <c r="BP171" i="10" s="1"/>
  <c r="DT171" i="10"/>
  <c r="DP171" i="10" s="1"/>
  <c r="BQ171" i="10" s="1"/>
  <c r="DQ171" i="10" s="1"/>
  <c r="EA512" i="10"/>
  <c r="ED512" i="10"/>
  <c r="EA46" i="10"/>
  <c r="ED46" i="10"/>
  <c r="EA495" i="10"/>
  <c r="ED495" i="10"/>
  <c r="EA539" i="10"/>
  <c r="ED539" i="10"/>
  <c r="ED34" i="10"/>
  <c r="EA34" i="10"/>
  <c r="DN355" i="10"/>
  <c r="BP355" i="10" s="1"/>
  <c r="DT355" i="10"/>
  <c r="DP355" i="10" s="1"/>
  <c r="BQ355" i="10" s="1"/>
  <c r="DQ355" i="10" s="1"/>
  <c r="ED249" i="10"/>
  <c r="EA249" i="10"/>
  <c r="ED220" i="10"/>
  <c r="EA220" i="10"/>
  <c r="DN391" i="10"/>
  <c r="BP391" i="10" s="1"/>
  <c r="DO391" i="10" s="1"/>
  <c r="DT391" i="10"/>
  <c r="DP391" i="10" s="1"/>
  <c r="BQ391" i="10" s="1"/>
  <c r="DQ391" i="10" s="1"/>
  <c r="ED632" i="10"/>
  <c r="EA632" i="10"/>
  <c r="EA327" i="10"/>
  <c r="ED327" i="10"/>
  <c r="DN614" i="10"/>
  <c r="BP614" i="10" s="1"/>
  <c r="DT614" i="10"/>
  <c r="DP614" i="10" s="1"/>
  <c r="BQ614" i="10" s="1"/>
  <c r="DQ614" i="10" s="1"/>
  <c r="DN132" i="10"/>
  <c r="BP132" i="10" s="1"/>
  <c r="DT132" i="10"/>
  <c r="DP132" i="10" s="1"/>
  <c r="BQ132" i="10" s="1"/>
  <c r="DQ132" i="10" s="1"/>
  <c r="DU52" i="10"/>
  <c r="DP52" i="10" s="1"/>
  <c r="BQ52" i="10" s="1"/>
  <c r="DQ52" i="10" s="1"/>
  <c r="DN52" i="10"/>
  <c r="BP52" i="10" s="1"/>
  <c r="DN512" i="10"/>
  <c r="BP512" i="10" s="1"/>
  <c r="DO512" i="10" s="1"/>
  <c r="DT512" i="10"/>
  <c r="DP512" i="10" s="1"/>
  <c r="BQ512" i="10" s="1"/>
  <c r="DQ512" i="10" s="1"/>
  <c r="DU46" i="10"/>
  <c r="DP46" i="10" s="1"/>
  <c r="BQ46" i="10" s="1"/>
  <c r="DQ46" i="10" s="1"/>
  <c r="DN46" i="10"/>
  <c r="BP46" i="10" s="1"/>
  <c r="DN539" i="10"/>
  <c r="BP539" i="10" s="1"/>
  <c r="DT539" i="10"/>
  <c r="DP539" i="10" s="1"/>
  <c r="BQ539" i="10" s="1"/>
  <c r="DQ539" i="10" s="1"/>
  <c r="DU34" i="10"/>
  <c r="DP34" i="10" s="1"/>
  <c r="BQ34" i="10" s="1"/>
  <c r="DQ34" i="10" s="1"/>
  <c r="DN34" i="10"/>
  <c r="BP34" i="10" s="1"/>
  <c r="DQ807" i="10"/>
  <c r="BR807" i="10"/>
  <c r="DQ306" i="10"/>
  <c r="BR306" i="10"/>
  <c r="DQ529" i="10"/>
  <c r="BR529" i="10"/>
  <c r="DQ759" i="10"/>
  <c r="BR759" i="10"/>
  <c r="DQ631" i="10"/>
  <c r="BR631" i="10"/>
  <c r="EJ631" i="10" s="1"/>
  <c r="DQ301" i="10"/>
  <c r="BR301" i="10"/>
  <c r="BR82" i="10"/>
  <c r="EH82" i="10" s="1"/>
  <c r="DQ792" i="10"/>
  <c r="DQ544" i="10"/>
  <c r="BR544" i="10"/>
  <c r="EH544" i="10" s="1"/>
  <c r="DQ856" i="10"/>
  <c r="BR856" i="10"/>
  <c r="EJ856" i="10" s="1"/>
  <c r="BR321" i="10"/>
  <c r="DR321" i="10" s="1"/>
  <c r="DQ748" i="10"/>
  <c r="BR748" i="10"/>
  <c r="DR748" i="10" s="1"/>
  <c r="DQ437" i="10"/>
  <c r="DQ873" i="10"/>
  <c r="DQ252" i="10"/>
  <c r="BR252" i="10"/>
  <c r="DR252" i="10" s="1"/>
  <c r="DQ858" i="10"/>
  <c r="BR858" i="10"/>
  <c r="EH858" i="10" s="1"/>
  <c r="DQ156" i="10"/>
  <c r="BR156" i="10"/>
  <c r="EJ156" i="10" s="1"/>
  <c r="DQ178" i="10"/>
  <c r="BR178" i="10"/>
  <c r="EI178" i="10" s="1"/>
  <c r="BR318" i="10"/>
  <c r="EI318" i="10" s="1"/>
  <c r="DQ831" i="10"/>
  <c r="BR831" i="10"/>
  <c r="BR867" i="10"/>
  <c r="DQ604" i="10"/>
  <c r="BR604" i="10"/>
  <c r="EJ604" i="10" s="1"/>
  <c r="DQ405" i="10"/>
  <c r="DQ262" i="10"/>
  <c r="BR262" i="10"/>
  <c r="EI262" i="10" s="1"/>
  <c r="DQ861" i="10"/>
  <c r="DQ819" i="10"/>
  <c r="BR819" i="10"/>
  <c r="EH819" i="10" s="1"/>
  <c r="DQ177" i="10"/>
  <c r="BR177" i="10"/>
  <c r="DR177" i="10" s="1"/>
  <c r="DQ532" i="10"/>
  <c r="BR532" i="10"/>
  <c r="EJ532" i="10" s="1"/>
  <c r="DQ837" i="10"/>
  <c r="BR837" i="10"/>
  <c r="EK837" i="10" s="1"/>
  <c r="DQ700" i="10"/>
  <c r="BR700" i="10"/>
  <c r="DR700" i="10" s="1"/>
  <c r="DQ795" i="10"/>
  <c r="BR795" i="10"/>
  <c r="DR795" i="10" s="1"/>
  <c r="DQ813" i="10"/>
  <c r="DQ150" i="10"/>
  <c r="BR150" i="10"/>
  <c r="EI150" i="10" s="1"/>
  <c r="BR853" i="10"/>
  <c r="EK853" i="10" s="1"/>
  <c r="DQ853" i="10"/>
  <c r="DQ585" i="10"/>
  <c r="BR585" i="10"/>
  <c r="EI585" i="10" s="1"/>
  <c r="BR765" i="10"/>
  <c r="EK765" i="10" s="1"/>
  <c r="DQ844" i="10"/>
  <c r="BR844" i="10"/>
  <c r="EI844" i="10" s="1"/>
  <c r="DQ47" i="10"/>
  <c r="BR47" i="10"/>
  <c r="DQ835" i="10"/>
  <c r="BR804" i="10"/>
  <c r="EH804" i="10" s="1"/>
  <c r="BR339" i="10"/>
  <c r="EH339" i="10" s="1"/>
  <c r="DQ781" i="10"/>
  <c r="BR781" i="10"/>
  <c r="DQ370" i="10"/>
  <c r="BR370" i="10"/>
  <c r="DQ556" i="10"/>
  <c r="BR556" i="10"/>
  <c r="DQ393" i="10"/>
  <c r="BR393" i="10"/>
  <c r="DQ811" i="10"/>
  <c r="BR811" i="10"/>
  <c r="DR811" i="10" s="1"/>
  <c r="DQ552" i="10"/>
  <c r="BR552" i="10"/>
  <c r="DR552" i="10" s="1"/>
  <c r="DQ757" i="10"/>
  <c r="BR757" i="10"/>
  <c r="DQ402" i="10"/>
  <c r="BR402" i="10"/>
  <c r="DQ510" i="10"/>
  <c r="BR510" i="10"/>
  <c r="DQ555" i="10"/>
  <c r="BR555" i="10"/>
  <c r="EK555" i="10" s="1"/>
  <c r="DQ793" i="10"/>
  <c r="BR793" i="10"/>
  <c r="EH793" i="10" s="1"/>
  <c r="DQ542" i="10"/>
  <c r="BR542" i="10"/>
  <c r="DQ483" i="10"/>
  <c r="BR483" i="10"/>
  <c r="EK483" i="10" s="1"/>
  <c r="DQ685" i="10"/>
  <c r="BR685" i="10"/>
  <c r="DQ117" i="10"/>
  <c r="BR117" i="10"/>
  <c r="DQ750" i="10"/>
  <c r="BR750" i="10"/>
  <c r="EI750" i="10" s="1"/>
  <c r="DQ462" i="10"/>
  <c r="BR462" i="10"/>
  <c r="DR462" i="10" s="1"/>
  <c r="DQ507" i="10"/>
  <c r="BR507" i="10"/>
  <c r="EI507" i="10" s="1"/>
  <c r="DQ265" i="10"/>
  <c r="BR265" i="10"/>
  <c r="DQ470" i="10"/>
  <c r="BR470" i="10"/>
  <c r="EJ470" i="10" s="1"/>
  <c r="DQ126" i="10"/>
  <c r="BR126" i="10"/>
  <c r="DQ289" i="10"/>
  <c r="DQ530" i="10"/>
  <c r="BR530" i="10"/>
  <c r="DQ649" i="10"/>
  <c r="BR649" i="10"/>
  <c r="EK649" i="10" s="1"/>
  <c r="DQ414" i="10"/>
  <c r="BR414" i="10"/>
  <c r="DQ158" i="10"/>
  <c r="BR158" i="10"/>
  <c r="DQ165" i="10"/>
  <c r="BR165" i="10"/>
  <c r="DQ865" i="10"/>
  <c r="BR865" i="10"/>
  <c r="BR54" i="10"/>
  <c r="DR54" i="10" s="1"/>
  <c r="BR234" i="10"/>
  <c r="DQ519" i="10"/>
  <c r="BR519" i="10"/>
  <c r="DQ183" i="10"/>
  <c r="BR183" i="10"/>
  <c r="DQ769" i="10"/>
  <c r="BR769" i="10"/>
  <c r="EI272" i="10"/>
  <c r="DQ448" i="10"/>
  <c r="BR448" i="10"/>
  <c r="DQ299" i="10"/>
  <c r="BR299" i="10"/>
  <c r="DQ534" i="10"/>
  <c r="BR534" i="10"/>
  <c r="BR303" i="10"/>
  <c r="DR51" i="10"/>
  <c r="BR44" i="10"/>
  <c r="EJ44" i="10" s="1"/>
  <c r="BR444" i="10"/>
  <c r="EH444" i="10" s="1"/>
  <c r="DQ312" i="10"/>
  <c r="BR312" i="10"/>
  <c r="EJ272" i="10"/>
  <c r="BR564" i="10"/>
  <c r="DR564" i="10" s="1"/>
  <c r="BR69" i="10"/>
  <c r="EJ69" i="10" s="1"/>
  <c r="BR228" i="10"/>
  <c r="EJ228" i="10" s="1"/>
  <c r="BR616" i="10"/>
  <c r="DR616" i="10" s="1"/>
  <c r="DQ283" i="10"/>
  <c r="BR283" i="10"/>
  <c r="BR673" i="10"/>
  <c r="EJ673" i="10" s="1"/>
  <c r="BR186" i="10"/>
  <c r="DQ161" i="10"/>
  <c r="BR161" i="10"/>
  <c r="DQ129" i="10"/>
  <c r="BR129" i="10"/>
  <c r="BR285" i="10"/>
  <c r="EI285" i="10" s="1"/>
  <c r="BR335" i="10"/>
  <c r="EH335" i="10" s="1"/>
  <c r="BR212" i="10"/>
  <c r="EJ212" i="10" s="1"/>
  <c r="BR829" i="10"/>
  <c r="EH829" i="10" s="1"/>
  <c r="DQ48" i="10"/>
  <c r="BR48" i="10"/>
  <c r="DQ72" i="10"/>
  <c r="BR72" i="10"/>
  <c r="DQ40" i="10"/>
  <c r="BR40" i="10"/>
  <c r="BR134" i="10"/>
  <c r="EI134" i="10" s="1"/>
  <c r="DQ304" i="10"/>
  <c r="BR304" i="10"/>
  <c r="DR386" i="10"/>
  <c r="EI386" i="10"/>
  <c r="EH386" i="10"/>
  <c r="EJ386" i="10"/>
  <c r="EK386" i="10"/>
  <c r="DQ284" i="10"/>
  <c r="BR284" i="10"/>
  <c r="DQ114" i="10"/>
  <c r="BR114" i="10"/>
  <c r="DQ138" i="10"/>
  <c r="BR138" i="10"/>
  <c r="DP855" i="10"/>
  <c r="BQ855" i="10" s="1"/>
  <c r="DQ855" i="10" s="1"/>
  <c r="DP664" i="10"/>
  <c r="BQ664" i="10" s="1"/>
  <c r="DQ664" i="10" s="1"/>
  <c r="BR170" i="10"/>
  <c r="EH170" i="10" s="1"/>
  <c r="DQ141" i="10"/>
  <c r="BR141" i="10"/>
  <c r="BR298" i="10"/>
  <c r="EI298" i="10" s="1"/>
  <c r="BR135" i="10"/>
  <c r="EK135" i="10" s="1"/>
  <c r="DP676" i="10"/>
  <c r="BQ676" i="10" s="1"/>
  <c r="DQ676" i="10" s="1"/>
  <c r="EA801" i="10"/>
  <c r="ED801" i="10"/>
  <c r="DR563" i="10"/>
  <c r="EI563" i="10"/>
  <c r="EK563" i="10"/>
  <c r="EJ563" i="10"/>
  <c r="EH563" i="10"/>
  <c r="BR330" i="10"/>
  <c r="DO330" i="10"/>
  <c r="EA428" i="10"/>
  <c r="ED428" i="10"/>
  <c r="EA697" i="10"/>
  <c r="ED697" i="10"/>
  <c r="ED613" i="10"/>
  <c r="EA613" i="10"/>
  <c r="ED825" i="10"/>
  <c r="EA825" i="10"/>
  <c r="EA680" i="10"/>
  <c r="ED680" i="10"/>
  <c r="ED578" i="10"/>
  <c r="EA578" i="10"/>
  <c r="EA463" i="10"/>
  <c r="ED463" i="10"/>
  <c r="EK189" i="10"/>
  <c r="EH189" i="10"/>
  <c r="EJ189" i="10"/>
  <c r="DR189" i="10"/>
  <c r="EI189" i="10"/>
  <c r="BR217" i="10"/>
  <c r="DO217" i="10"/>
  <c r="EK522" i="10"/>
  <c r="EI522" i="10"/>
  <c r="EH522" i="10"/>
  <c r="EJ522" i="10"/>
  <c r="DR522" i="10"/>
  <c r="EK256" i="10"/>
  <c r="EI256" i="10"/>
  <c r="EH256" i="10"/>
  <c r="DR256" i="10"/>
  <c r="EJ256" i="10"/>
  <c r="DO145" i="10"/>
  <c r="BR145" i="10"/>
  <c r="DR843" i="10"/>
  <c r="EI843" i="10"/>
  <c r="DN728" i="10"/>
  <c r="BP728" i="10" s="1"/>
  <c r="DT728" i="10"/>
  <c r="DP728" i="10" s="1"/>
  <c r="BQ728" i="10" s="1"/>
  <c r="DQ728" i="10" s="1"/>
  <c r="ED216" i="10"/>
  <c r="EA216" i="10"/>
  <c r="EA609" i="10"/>
  <c r="ED609" i="10"/>
  <c r="ED815" i="10"/>
  <c r="EA815" i="10"/>
  <c r="EA485" i="10"/>
  <c r="ED485" i="10"/>
  <c r="EA703" i="10"/>
  <c r="ED703" i="10"/>
  <c r="EA383" i="10"/>
  <c r="ED383" i="10"/>
  <c r="DO201" i="10"/>
  <c r="BR201" i="10"/>
  <c r="DR624" i="10"/>
  <c r="EJ624" i="10"/>
  <c r="ED628" i="10"/>
  <c r="EA628" i="10"/>
  <c r="EJ626" i="10"/>
  <c r="ED154" i="10"/>
  <c r="EA154" i="10"/>
  <c r="EA729" i="10"/>
  <c r="ED729" i="10"/>
  <c r="EA827" i="10"/>
  <c r="ED827" i="10"/>
  <c r="ED785" i="10"/>
  <c r="EA785" i="10"/>
  <c r="EA761" i="10"/>
  <c r="ED761" i="10"/>
  <c r="ED565" i="10"/>
  <c r="EA565" i="10"/>
  <c r="EA794" i="10"/>
  <c r="ED794" i="10"/>
  <c r="EJ607" i="10"/>
  <c r="EI607" i="10"/>
  <c r="EA573" i="10"/>
  <c r="ED573" i="10"/>
  <c r="EA674" i="10"/>
  <c r="ED674" i="10"/>
  <c r="EA481" i="10"/>
  <c r="ED481" i="10"/>
  <c r="BR363" i="10"/>
  <c r="EH363" i="10" s="1"/>
  <c r="EA20" i="10"/>
  <c r="ED20" i="10"/>
  <c r="EA102" i="10"/>
  <c r="ED102" i="10"/>
  <c r="EA79" i="10"/>
  <c r="ED79" i="10"/>
  <c r="EA567" i="10"/>
  <c r="ED567" i="10"/>
  <c r="EK247" i="10"/>
  <c r="EI247" i="10"/>
  <c r="DR247" i="10"/>
  <c r="EH247" i="10"/>
  <c r="EJ247" i="10"/>
  <c r="EH799" i="10"/>
  <c r="EK799" i="10"/>
  <c r="DR799" i="10"/>
  <c r="EI799" i="10"/>
  <c r="EJ799" i="10"/>
  <c r="EK675" i="10"/>
  <c r="DR675" i="10"/>
  <c r="EJ675" i="10"/>
  <c r="EH675" i="10"/>
  <c r="EI675" i="10"/>
  <c r="EH851" i="10"/>
  <c r="EK851" i="10"/>
  <c r="DR851" i="10"/>
  <c r="EJ851" i="10"/>
  <c r="EI851" i="10"/>
  <c r="EH671" i="10"/>
  <c r="EI671" i="10"/>
  <c r="EJ671" i="10"/>
  <c r="EJ292" i="10"/>
  <c r="EK292" i="10"/>
  <c r="DR292" i="10"/>
  <c r="EI292" i="10"/>
  <c r="EH292" i="10"/>
  <c r="ED27" i="10"/>
  <c r="EA27" i="10"/>
  <c r="EA418" i="10"/>
  <c r="ED418" i="10"/>
  <c r="EA724" i="10"/>
  <c r="ED724" i="10"/>
  <c r="EA590" i="10"/>
  <c r="ED590" i="10"/>
  <c r="EA722" i="10"/>
  <c r="ED722" i="10"/>
  <c r="DU834" i="10"/>
  <c r="DP834" i="10" s="1"/>
  <c r="BQ834" i="10" s="1"/>
  <c r="DQ834" i="10" s="1"/>
  <c r="DN834" i="10"/>
  <c r="BP834" i="10" s="1"/>
  <c r="EA803" i="10"/>
  <c r="ED803" i="10"/>
  <c r="ED694" i="10"/>
  <c r="EA694" i="10"/>
  <c r="EA168" i="10"/>
  <c r="ED168" i="10"/>
  <c r="ED618" i="10"/>
  <c r="EA618" i="10"/>
  <c r="EH607" i="10"/>
  <c r="EA450" i="10"/>
  <c r="ED450" i="10"/>
  <c r="EA477" i="10"/>
  <c r="ED477" i="10"/>
  <c r="ED615" i="10"/>
  <c r="EA615" i="10"/>
  <c r="EA415" i="10"/>
  <c r="ED415" i="10"/>
  <c r="ED97" i="10"/>
  <c r="EA97" i="10"/>
  <c r="EA413" i="10"/>
  <c r="ED413" i="10"/>
  <c r="EA112" i="10"/>
  <c r="ED112" i="10"/>
  <c r="EA715" i="10"/>
  <c r="ED715" i="10"/>
  <c r="EA478" i="10"/>
  <c r="ED478" i="10"/>
  <c r="ED374" i="10"/>
  <c r="EA374" i="10"/>
  <c r="EA662" i="10"/>
  <c r="ED662" i="10"/>
  <c r="EI636" i="10"/>
  <c r="BR207" i="10"/>
  <c r="DO207" i="10"/>
  <c r="EI326" i="10"/>
  <c r="EH326" i="10"/>
  <c r="EJ326" i="10"/>
  <c r="EK326" i="10"/>
  <c r="DR326" i="10"/>
  <c r="EJ651" i="10"/>
  <c r="EK651" i="10"/>
  <c r="DR651" i="10"/>
  <c r="EI651" i="10"/>
  <c r="EH651" i="10"/>
  <c r="EI498" i="10"/>
  <c r="EH498" i="10"/>
  <c r="EJ498" i="10"/>
  <c r="EK498" i="10"/>
  <c r="DR498" i="10"/>
  <c r="DR875" i="10"/>
  <c r="EJ875" i="10"/>
  <c r="EH875" i="10"/>
  <c r="EI875" i="10"/>
  <c r="EK875" i="10"/>
  <c r="BR324" i="10"/>
  <c r="EI317" i="10"/>
  <c r="EK317" i="10"/>
  <c r="DR317" i="10"/>
  <c r="EH317" i="10"/>
  <c r="EJ317" i="10"/>
  <c r="EJ665" i="10"/>
  <c r="EK665" i="10"/>
  <c r="DR665" i="10"/>
  <c r="EI665" i="10"/>
  <c r="EH665" i="10"/>
  <c r="EH871" i="10"/>
  <c r="EJ871" i="10"/>
  <c r="EI871" i="10"/>
  <c r="DR871" i="10"/>
  <c r="EK871" i="10"/>
  <c r="DO71" i="10"/>
  <c r="BR71" i="10"/>
  <c r="ED638" i="10"/>
  <c r="EA638" i="10"/>
  <c r="EH190" i="10"/>
  <c r="EJ190" i="10"/>
  <c r="EK190" i="10"/>
  <c r="EI190" i="10"/>
  <c r="DR190" i="10"/>
  <c r="BR538" i="10"/>
  <c r="EJ240" i="10"/>
  <c r="EH240" i="10"/>
  <c r="EK240" i="10"/>
  <c r="EI240" i="10"/>
  <c r="DR240" i="10"/>
  <c r="EI74" i="10"/>
  <c r="EJ74" i="10"/>
  <c r="EH74" i="10"/>
  <c r="DR74" i="10"/>
  <c r="EK74" i="10"/>
  <c r="DN172" i="10"/>
  <c r="BP172" i="10" s="1"/>
  <c r="DT172" i="10"/>
  <c r="DP172" i="10" s="1"/>
  <c r="BQ172" i="10" s="1"/>
  <c r="DQ172" i="10" s="1"/>
  <c r="BR75" i="10"/>
  <c r="DO75" i="10"/>
  <c r="ED30" i="10"/>
  <c r="EA30" i="10"/>
  <c r="EA596" i="10"/>
  <c r="ED596" i="10"/>
  <c r="EI626" i="10"/>
  <c r="EA373" i="10"/>
  <c r="ED373" i="10"/>
  <c r="EA222" i="10"/>
  <c r="ED222" i="10"/>
  <c r="EA376" i="10"/>
  <c r="ED376" i="10"/>
  <c r="ED776" i="10"/>
  <c r="EA776" i="10"/>
  <c r="ED491" i="10"/>
  <c r="EA491" i="10"/>
  <c r="ED254" i="10"/>
  <c r="EA254" i="10"/>
  <c r="DR607" i="10"/>
  <c r="EA752" i="10"/>
  <c r="ED752" i="10"/>
  <c r="EA568" i="10"/>
  <c r="ED568" i="10"/>
  <c r="ED755" i="10"/>
  <c r="EA755" i="10"/>
  <c r="EA109" i="10"/>
  <c r="ED109" i="10"/>
  <c r="EA416" i="10"/>
  <c r="ED416" i="10"/>
  <c r="EA115" i="10"/>
  <c r="ED115" i="10"/>
  <c r="EA493" i="10"/>
  <c r="ED493" i="10"/>
  <c r="EA26" i="10"/>
  <c r="ED26" i="10"/>
  <c r="EA547" i="10"/>
  <c r="ED547" i="10"/>
  <c r="EA119" i="10"/>
  <c r="ED119" i="10"/>
  <c r="ED627" i="10"/>
  <c r="EA627" i="10"/>
  <c r="EA113" i="10"/>
  <c r="ED113" i="10"/>
  <c r="EA874" i="10"/>
  <c r="ED874" i="10"/>
  <c r="EA476" i="10"/>
  <c r="ED476" i="10"/>
  <c r="EA876" i="10"/>
  <c r="ED876" i="10"/>
  <c r="CF432" i="10"/>
  <c r="DN432" i="10"/>
  <c r="BP432" i="10" s="1"/>
  <c r="EK713" i="10"/>
  <c r="EI713" i="10"/>
  <c r="DO45" i="10"/>
  <c r="BR45" i="10"/>
  <c r="DR346" i="10"/>
  <c r="EH346" i="10"/>
  <c r="EK346" i="10"/>
  <c r="DO204" i="10"/>
  <c r="BR204" i="10"/>
  <c r="BR506" i="10"/>
  <c r="EI553" i="10"/>
  <c r="EJ553" i="10"/>
  <c r="EH553" i="10"/>
  <c r="EK553" i="10"/>
  <c r="DR553" i="10"/>
  <c r="EA762" i="10"/>
  <c r="ED762" i="10"/>
  <c r="ED686" i="10"/>
  <c r="EA686" i="10"/>
  <c r="EA174" i="10"/>
  <c r="ED174" i="10"/>
  <c r="DO31" i="10"/>
  <c r="BR31" i="10"/>
  <c r="EK365" i="10"/>
  <c r="DR365" i="10"/>
  <c r="EA136" i="10"/>
  <c r="ED136" i="10"/>
  <c r="ED21" i="10"/>
  <c r="EA21" i="10"/>
  <c r="ED25" i="10"/>
  <c r="EA25" i="10"/>
  <c r="ED19" i="10"/>
  <c r="EA19" i="10"/>
  <c r="EH626" i="10"/>
  <c r="EA439" i="10"/>
  <c r="ED439" i="10"/>
  <c r="EA230" i="10"/>
  <c r="ED230" i="10"/>
  <c r="EA445" i="10"/>
  <c r="ED445" i="10"/>
  <c r="EA716" i="10"/>
  <c r="ED716" i="10"/>
  <c r="EA767" i="10"/>
  <c r="ED767" i="10"/>
  <c r="EA527" i="10"/>
  <c r="ED527" i="10"/>
  <c r="EA480" i="10"/>
  <c r="ED480" i="10"/>
  <c r="EA124" i="10"/>
  <c r="ED124" i="10"/>
  <c r="EA599" i="10"/>
  <c r="ED599" i="10"/>
  <c r="EA139" i="10"/>
  <c r="ED139" i="10"/>
  <c r="ED351" i="10"/>
  <c r="EA351" i="10"/>
  <c r="BR859" i="10"/>
  <c r="EI859" i="10" s="1"/>
  <c r="ED490" i="10"/>
  <c r="EA490" i="10"/>
  <c r="EA625" i="10"/>
  <c r="ED625" i="10"/>
  <c r="ED403" i="10"/>
  <c r="EA403" i="10"/>
  <c r="ED397" i="10"/>
  <c r="EA397" i="10"/>
  <c r="EA441" i="10"/>
  <c r="ED441" i="10"/>
  <c r="ED848" i="10"/>
  <c r="EA848" i="10"/>
  <c r="DO575" i="10"/>
  <c r="BR575" i="10"/>
  <c r="DU876" i="10"/>
  <c r="DP876" i="10" s="1"/>
  <c r="BQ876" i="10" s="1"/>
  <c r="DQ876" i="10" s="1"/>
  <c r="DN876" i="10"/>
  <c r="BP876" i="10" s="1"/>
  <c r="EI464" i="10"/>
  <c r="EH464" i="10"/>
  <c r="EJ464" i="10"/>
  <c r="EK464" i="10"/>
  <c r="DR464" i="10"/>
  <c r="DO151" i="10"/>
  <c r="BR151" i="10"/>
  <c r="BR297" i="10"/>
  <c r="DO399" i="10"/>
  <c r="EK814" i="10"/>
  <c r="DR364" i="10"/>
  <c r="EJ364" i="10"/>
  <c r="EH364" i="10"/>
  <c r="EK364" i="10"/>
  <c r="EI364" i="10"/>
  <c r="EJ605" i="10"/>
  <c r="DR605" i="10"/>
  <c r="EA311" i="10"/>
  <c r="ED311" i="10"/>
  <c r="EA806" i="10"/>
  <c r="ED806" i="10"/>
  <c r="ED535" i="10"/>
  <c r="EA535" i="10"/>
  <c r="EA118" i="10"/>
  <c r="ED118" i="10"/>
  <c r="EA368" i="10"/>
  <c r="ED368" i="10"/>
  <c r="EK693" i="10"/>
  <c r="EI693" i="10"/>
  <c r="EJ693" i="10"/>
  <c r="DR693" i="10"/>
  <c r="EH693" i="10"/>
  <c r="EA120" i="10"/>
  <c r="ED120" i="10"/>
  <c r="EA89" i="10"/>
  <c r="ED89" i="10"/>
  <c r="ED404" i="10"/>
  <c r="EA404" i="10"/>
  <c r="EA653" i="10"/>
  <c r="ED653" i="10"/>
  <c r="EA791" i="10"/>
  <c r="ED791" i="10"/>
  <c r="EA238" i="10"/>
  <c r="ED238" i="10"/>
  <c r="ED447" i="10"/>
  <c r="EA447" i="10"/>
  <c r="EA246" i="10"/>
  <c r="ED246" i="10"/>
  <c r="EA496" i="10"/>
  <c r="ED496" i="10"/>
  <c r="EA782" i="10"/>
  <c r="ED782" i="10"/>
  <c r="EA366" i="10"/>
  <c r="ED366" i="10"/>
  <c r="EA133" i="10"/>
  <c r="ED133" i="10"/>
  <c r="EA709" i="10"/>
  <c r="ED709" i="10"/>
  <c r="EA419" i="10"/>
  <c r="ED419" i="10"/>
  <c r="EH278" i="10"/>
  <c r="EA375" i="10"/>
  <c r="ED375" i="10"/>
  <c r="EA840" i="10"/>
  <c r="ED840" i="10"/>
  <c r="EA67" i="10"/>
  <c r="ED67" i="10"/>
  <c r="ED617" i="10"/>
  <c r="EA617" i="10"/>
  <c r="EA629" i="10"/>
  <c r="ED629" i="10"/>
  <c r="EA427" i="10"/>
  <c r="ED427" i="10"/>
  <c r="BR49" i="10"/>
  <c r="DO49" i="10"/>
  <c r="EJ701" i="10"/>
  <c r="EK701" i="10"/>
  <c r="EH701" i="10"/>
  <c r="DR701" i="10"/>
  <c r="EI701" i="10"/>
  <c r="DO53" i="10"/>
  <c r="BR53" i="10"/>
  <c r="DR707" i="10"/>
  <c r="EJ707" i="10"/>
  <c r="EH707" i="10"/>
  <c r="EI707" i="10"/>
  <c r="BR91" i="10"/>
  <c r="DO91" i="10"/>
  <c r="EI796" i="10"/>
  <c r="EK796" i="10"/>
  <c r="EJ796" i="10"/>
  <c r="EH796" i="10"/>
  <c r="DR796" i="10"/>
  <c r="BR99" i="10"/>
  <c r="DO99" i="10"/>
  <c r="EA331" i="10"/>
  <c r="ED331" i="10"/>
  <c r="ED634" i="10"/>
  <c r="EA634" i="10"/>
  <c r="EA592" i="10"/>
  <c r="ED592" i="10"/>
  <c r="EA738" i="10"/>
  <c r="ED738" i="10"/>
  <c r="DO59" i="10"/>
  <c r="BR59" i="10"/>
  <c r="EJ93" i="10"/>
  <c r="EI93" i="10"/>
  <c r="EA442" i="10"/>
  <c r="ED442" i="10"/>
  <c r="EA407" i="10"/>
  <c r="ED407" i="10"/>
  <c r="ED219" i="10"/>
  <c r="EA219" i="10"/>
  <c r="EA546" i="10"/>
  <c r="ED546" i="10"/>
  <c r="EA710" i="10"/>
  <c r="ED710" i="10"/>
  <c r="EA733" i="10"/>
  <c r="ED733" i="10"/>
  <c r="ED381" i="10"/>
  <c r="EA381" i="10"/>
  <c r="EI669" i="10"/>
  <c r="EA140" i="10"/>
  <c r="ED140" i="10"/>
  <c r="EA359" i="10"/>
  <c r="ED359" i="10"/>
  <c r="EA797" i="10"/>
  <c r="ED797" i="10"/>
  <c r="ED345" i="10"/>
  <c r="EA345" i="10"/>
  <c r="EA325" i="10"/>
  <c r="ED325" i="10"/>
  <c r="EA706" i="10"/>
  <c r="ED706" i="10"/>
  <c r="ED475" i="10"/>
  <c r="EA475" i="10"/>
  <c r="BR423" i="10"/>
  <c r="EJ423" i="10" s="1"/>
  <c r="EA130" i="10"/>
  <c r="ED130" i="10"/>
  <c r="EI278" i="10"/>
  <c r="EA422" i="10"/>
  <c r="ED422" i="10"/>
  <c r="ED832" i="10"/>
  <c r="EA832" i="10"/>
  <c r="EA572" i="10"/>
  <c r="ED572" i="10"/>
  <c r="EA125" i="10"/>
  <c r="ED125" i="10"/>
  <c r="EH749" i="10"/>
  <c r="EA611" i="10"/>
  <c r="ED611" i="10"/>
  <c r="EA517" i="10"/>
  <c r="ED517" i="10"/>
  <c r="EA501" i="10"/>
  <c r="ED501" i="10"/>
  <c r="BR580" i="10"/>
  <c r="DO580" i="10"/>
  <c r="DU427" i="10"/>
  <c r="DP427" i="10" s="1"/>
  <c r="BQ427" i="10" s="1"/>
  <c r="DQ427" i="10" s="1"/>
  <c r="DN427" i="10"/>
  <c r="BP427" i="10" s="1"/>
  <c r="DO55" i="10"/>
  <c r="BR55" i="10"/>
  <c r="CL535" i="10"/>
  <c r="CD535" i="10"/>
  <c r="CH535" i="10" s="1"/>
  <c r="EA424" i="10"/>
  <c r="ED424" i="10"/>
  <c r="DR515" i="10"/>
  <c r="EA852" i="10"/>
  <c r="ED852" i="10"/>
  <c r="EI550" i="10"/>
  <c r="EK550" i="10"/>
  <c r="DR550" i="10"/>
  <c r="EJ550" i="10"/>
  <c r="EH550" i="10"/>
  <c r="BR57" i="10"/>
  <c r="DO57" i="10"/>
  <c r="DQ356" i="10"/>
  <c r="BR356" i="10"/>
  <c r="BR225" i="10"/>
  <c r="DO225" i="10"/>
  <c r="EA692" i="10"/>
  <c r="ED692" i="10"/>
  <c r="EA41" i="10"/>
  <c r="ED41" i="10"/>
  <c r="EA702" i="10"/>
  <c r="ED702" i="10"/>
  <c r="EA379" i="10"/>
  <c r="ED379" i="10"/>
  <c r="EA728" i="10"/>
  <c r="ED728" i="10"/>
  <c r="ED38" i="10"/>
  <c r="EA38" i="10"/>
  <c r="EA650" i="10"/>
  <c r="ED650" i="10"/>
  <c r="EA758" i="10"/>
  <c r="ED758" i="10"/>
  <c r="EA562" i="10"/>
  <c r="ED562" i="10"/>
  <c r="BR95" i="10"/>
  <c r="EJ95" i="10" s="1"/>
  <c r="EA202" i="10"/>
  <c r="ED202" i="10"/>
  <c r="EA711" i="10"/>
  <c r="ED711" i="10"/>
  <c r="EA818" i="10"/>
  <c r="ED818" i="10"/>
  <c r="EA554" i="10"/>
  <c r="ED554" i="10"/>
  <c r="EA623" i="10"/>
  <c r="ED623" i="10"/>
  <c r="EA656" i="10"/>
  <c r="ED656" i="10"/>
  <c r="EA779" i="10"/>
  <c r="ED779" i="10"/>
  <c r="EA499" i="10"/>
  <c r="ED499" i="10"/>
  <c r="EA812" i="10"/>
  <c r="ED812" i="10"/>
  <c r="EA472" i="10"/>
  <c r="ED472" i="10"/>
  <c r="EA378" i="10"/>
  <c r="ED378" i="10"/>
  <c r="EH745" i="10"/>
  <c r="ED357" i="10"/>
  <c r="EA357" i="10"/>
  <c r="EA721" i="10"/>
  <c r="ED721" i="10"/>
  <c r="EA142" i="10"/>
  <c r="ED142" i="10"/>
  <c r="EA593" i="10"/>
  <c r="ED593" i="10"/>
  <c r="DR278" i="10"/>
  <c r="ED635" i="10"/>
  <c r="EA635" i="10"/>
  <c r="EA73" i="10"/>
  <c r="ED73" i="10"/>
  <c r="EA606" i="10"/>
  <c r="ED606" i="10"/>
  <c r="EA740" i="10"/>
  <c r="ED740" i="10"/>
  <c r="ED810" i="10"/>
  <c r="EA810" i="10"/>
  <c r="EA316" i="10"/>
  <c r="ED316" i="10"/>
  <c r="DR426" i="10"/>
  <c r="DO198" i="10"/>
  <c r="BR198" i="10"/>
  <c r="EI159" i="10"/>
  <c r="DU852" i="10"/>
  <c r="DP852" i="10" s="1"/>
  <c r="BQ852" i="10" s="1"/>
  <c r="DQ852" i="10" s="1"/>
  <c r="DN852" i="10"/>
  <c r="BP852" i="10" s="1"/>
  <c r="EA846" i="10"/>
  <c r="ED846" i="10"/>
  <c r="EA788" i="10"/>
  <c r="ED788" i="10"/>
  <c r="EA362" i="10"/>
  <c r="ED362" i="10"/>
  <c r="EA557" i="10"/>
  <c r="ED557" i="10"/>
  <c r="EA188" i="10"/>
  <c r="ED188" i="10"/>
  <c r="ED354" i="10"/>
  <c r="EA354" i="10"/>
  <c r="EA821" i="10"/>
  <c r="ED821" i="10"/>
  <c r="EA388" i="10"/>
  <c r="ED388" i="10"/>
  <c r="EA773" i="10"/>
  <c r="ED773" i="10"/>
  <c r="EA387" i="10"/>
  <c r="ED387" i="10"/>
  <c r="ED390" i="10"/>
  <c r="EA390" i="10"/>
  <c r="ED243" i="10"/>
  <c r="EA243" i="10"/>
  <c r="EA157" i="10"/>
  <c r="ED157" i="10"/>
  <c r="EA770" i="10"/>
  <c r="ED770" i="10"/>
  <c r="ED809" i="10"/>
  <c r="EA809" i="10"/>
  <c r="EA241" i="10"/>
  <c r="ED241" i="10"/>
  <c r="EA282" i="10"/>
  <c r="ED282" i="10"/>
  <c r="EA800" i="10"/>
  <c r="ED800" i="10"/>
  <c r="ED718" i="10"/>
  <c r="EA718" i="10"/>
  <c r="EA487" i="10"/>
  <c r="ED487" i="10"/>
  <c r="EA100" i="10"/>
  <c r="ED100" i="10"/>
  <c r="EA372" i="10"/>
  <c r="ED372" i="10"/>
  <c r="EK278" i="10"/>
  <c r="EA766" i="10"/>
  <c r="ED766" i="10"/>
  <c r="EA594" i="10"/>
  <c r="ED594" i="10"/>
  <c r="ED830" i="10"/>
  <c r="EA830" i="10"/>
  <c r="DR93" i="10"/>
  <c r="ED363" i="10"/>
  <c r="EA363" i="10"/>
  <c r="EA836" i="10"/>
  <c r="ED836" i="10"/>
  <c r="ED657" i="10"/>
  <c r="EA657" i="10"/>
  <c r="EH426" i="10"/>
  <c r="EA231" i="10"/>
  <c r="ED231" i="10"/>
  <c r="EA730" i="10"/>
  <c r="ED730" i="10"/>
  <c r="BR574" i="10"/>
  <c r="DO574" i="10"/>
  <c r="BR63" i="10"/>
  <c r="DO63" i="10"/>
  <c r="EA409" i="10"/>
  <c r="ED409" i="10"/>
  <c r="BR87" i="10"/>
  <c r="DO87" i="10"/>
  <c r="DU846" i="10"/>
  <c r="DP846" i="10" s="1"/>
  <c r="BQ846" i="10" s="1"/>
  <c r="DQ846" i="10" s="1"/>
  <c r="DN846" i="10"/>
  <c r="BP846" i="10" s="1"/>
  <c r="ED332" i="10"/>
  <c r="EA332" i="10"/>
  <c r="DO163" i="10"/>
  <c r="BR163" i="10"/>
  <c r="EA32" i="10"/>
  <c r="ED32" i="10"/>
  <c r="BR111" i="10"/>
  <c r="EJ384" i="10"/>
  <c r="EI384" i="10"/>
  <c r="DR384" i="10"/>
  <c r="EK384" i="10"/>
  <c r="EA308" i="10"/>
  <c r="ED308" i="10"/>
  <c r="DO210" i="10"/>
  <c r="BR210" i="10"/>
  <c r="ED737" i="10"/>
  <c r="EA737" i="10"/>
  <c r="ED744" i="10"/>
  <c r="EA744" i="10"/>
  <c r="EK626" i="10"/>
  <c r="EA708" i="10"/>
  <c r="ED708" i="10"/>
  <c r="EA302" i="10"/>
  <c r="ED302" i="10"/>
  <c r="ED92" i="10"/>
  <c r="EA92" i="10"/>
  <c r="EA334" i="10"/>
  <c r="ED334" i="10"/>
  <c r="EA764" i="10"/>
  <c r="ED764" i="10"/>
  <c r="EA305" i="10"/>
  <c r="ED305" i="10"/>
  <c r="ED705" i="10"/>
  <c r="EA705" i="10"/>
  <c r="ED824" i="10"/>
  <c r="EA824" i="10"/>
  <c r="EA747" i="10"/>
  <c r="ED747" i="10"/>
  <c r="EA484" i="10"/>
  <c r="ED484" i="10"/>
  <c r="EA543" i="10"/>
  <c r="ED543" i="10"/>
  <c r="ED369" i="10"/>
  <c r="EA369" i="10"/>
  <c r="EA127" i="10"/>
  <c r="ED127" i="10"/>
  <c r="EA712" i="10"/>
  <c r="ED712" i="10"/>
  <c r="EA106" i="10"/>
  <c r="ED106" i="10"/>
  <c r="EA540" i="10"/>
  <c r="ED540" i="10"/>
  <c r="EA805" i="10"/>
  <c r="ED805" i="10"/>
  <c r="ED820" i="10"/>
  <c r="EA820" i="10"/>
  <c r="EA90" i="10"/>
  <c r="ED90" i="10"/>
  <c r="ED420" i="10"/>
  <c r="EA420" i="10"/>
  <c r="EA294" i="10"/>
  <c r="ED294" i="10"/>
  <c r="EA780" i="10"/>
  <c r="ED780" i="10"/>
  <c r="BR723" i="10"/>
  <c r="EH723" i="10" s="1"/>
  <c r="BR260" i="10"/>
  <c r="BR561" i="10"/>
  <c r="DO561" i="10"/>
  <c r="EI516" i="10"/>
  <c r="EJ516" i="10"/>
  <c r="DR516" i="10"/>
  <c r="EH516" i="10"/>
  <c r="EH500" i="10"/>
  <c r="EI500" i="10"/>
  <c r="EJ500" i="10"/>
  <c r="DR500" i="10"/>
  <c r="EK500" i="10"/>
  <c r="BR581" i="10"/>
  <c r="DO581" i="10"/>
  <c r="BR169" i="10"/>
  <c r="DO169" i="10"/>
  <c r="DU409" i="10"/>
  <c r="DP409" i="10" s="1"/>
  <c r="BQ409" i="10" s="1"/>
  <c r="DQ409" i="10" s="1"/>
  <c r="DN409" i="10"/>
  <c r="BP409" i="10" s="1"/>
  <c r="DO81" i="10"/>
  <c r="BR81" i="10"/>
  <c r="EA172" i="10"/>
  <c r="ED172" i="10"/>
  <c r="DU332" i="10"/>
  <c r="DP332" i="10" s="1"/>
  <c r="BQ332" i="10" s="1"/>
  <c r="DQ332" i="10" s="1"/>
  <c r="DN332" i="10"/>
  <c r="BP332" i="10" s="1"/>
  <c r="EI658" i="10"/>
  <c r="DR658" i="10"/>
  <c r="EH658" i="10"/>
  <c r="EK658" i="10"/>
  <c r="EJ658" i="10"/>
  <c r="BR520" i="10"/>
  <c r="EA834" i="10"/>
  <c r="ED834" i="10"/>
  <c r="EJ155" i="10"/>
  <c r="EH155" i="10"/>
  <c r="DR155" i="10"/>
  <c r="EK155" i="10"/>
  <c r="EI155" i="10"/>
  <c r="BR148" i="10"/>
  <c r="DO148" i="10"/>
  <c r="DO438" i="10"/>
  <c r="BR438" i="10"/>
  <c r="DO361" i="10"/>
  <c r="BR361" i="10"/>
  <c r="BR307" i="10"/>
  <c r="EH307" i="10" s="1"/>
  <c r="DU463" i="10"/>
  <c r="DP463" i="10" s="1"/>
  <c r="BQ463" i="10" s="1"/>
  <c r="DQ463" i="10" s="1"/>
  <c r="DN463" i="10"/>
  <c r="BP463" i="10" s="1"/>
  <c r="DO531" i="10"/>
  <c r="DO492" i="10"/>
  <c r="BR492" i="10"/>
  <c r="BR684" i="10"/>
  <c r="DO684" i="10"/>
  <c r="DO235" i="10"/>
  <c r="BR235" i="10"/>
  <c r="DO203" i="10"/>
  <c r="BR203" i="10"/>
  <c r="BR789" i="10"/>
  <c r="DO789" i="10"/>
  <c r="DO828" i="10"/>
  <c r="BR828" i="10"/>
  <c r="DO456" i="10"/>
  <c r="BR456" i="10"/>
  <c r="DR780" i="10"/>
  <c r="DU381" i="10"/>
  <c r="DP381" i="10" s="1"/>
  <c r="BQ381" i="10" s="1"/>
  <c r="DQ381" i="10" s="1"/>
  <c r="DN381" i="10"/>
  <c r="BP381" i="10" s="1"/>
  <c r="DU738" i="10"/>
  <c r="DP738" i="10" s="1"/>
  <c r="BQ738" i="10" s="1"/>
  <c r="DQ738" i="10" s="1"/>
  <c r="DN738" i="10"/>
  <c r="BP738" i="10" s="1"/>
  <c r="DU294" i="10"/>
  <c r="DP294" i="10" s="1"/>
  <c r="BQ294" i="10" s="1"/>
  <c r="DQ294" i="10" s="1"/>
  <c r="DN294" i="10"/>
  <c r="BP294" i="10" s="1"/>
  <c r="DU441" i="10"/>
  <c r="DP441" i="10" s="1"/>
  <c r="BQ441" i="10" s="1"/>
  <c r="DQ441" i="10" s="1"/>
  <c r="DN441" i="10"/>
  <c r="BP441" i="10" s="1"/>
  <c r="DU836" i="10"/>
  <c r="DP836" i="10" s="1"/>
  <c r="BQ836" i="10" s="1"/>
  <c r="DQ836" i="10" s="1"/>
  <c r="DN836" i="10"/>
  <c r="BP836" i="10" s="1"/>
  <c r="DU578" i="10"/>
  <c r="DP578" i="10" s="1"/>
  <c r="BQ578" i="10" s="1"/>
  <c r="DQ578" i="10" s="1"/>
  <c r="DN578" i="10"/>
  <c r="BP578" i="10" s="1"/>
  <c r="DU848" i="10"/>
  <c r="DP848" i="10" s="1"/>
  <c r="BQ848" i="10" s="1"/>
  <c r="DQ848" i="10" s="1"/>
  <c r="DN848" i="10"/>
  <c r="BP848" i="10" s="1"/>
  <c r="DU629" i="10"/>
  <c r="DP629" i="10" s="1"/>
  <c r="BQ629" i="10" s="1"/>
  <c r="DQ629" i="10" s="1"/>
  <c r="DN629" i="10"/>
  <c r="BP629" i="10" s="1"/>
  <c r="DU517" i="10"/>
  <c r="DP517" i="10" s="1"/>
  <c r="BQ517" i="10" s="1"/>
  <c r="DQ517" i="10" s="1"/>
  <c r="DN517" i="10"/>
  <c r="BP517" i="10" s="1"/>
  <c r="EJ780" i="10"/>
  <c r="DU567" i="10"/>
  <c r="DP567" i="10" s="1"/>
  <c r="BQ567" i="10" s="1"/>
  <c r="DQ567" i="10" s="1"/>
  <c r="DN567" i="10"/>
  <c r="BP567" i="10" s="1"/>
  <c r="DU501" i="10"/>
  <c r="DP501" i="10" s="1"/>
  <c r="BQ501" i="10" s="1"/>
  <c r="DQ501" i="10" s="1"/>
  <c r="DN501" i="10"/>
  <c r="BP501" i="10" s="1"/>
  <c r="DU420" i="10"/>
  <c r="DP420" i="10" s="1"/>
  <c r="BQ420" i="10" s="1"/>
  <c r="DQ420" i="10" s="1"/>
  <c r="DN420" i="10"/>
  <c r="BP420" i="10" s="1"/>
  <c r="DU316" i="10"/>
  <c r="DP316" i="10" s="1"/>
  <c r="BQ316" i="10" s="1"/>
  <c r="DQ316" i="10" s="1"/>
  <c r="DN316" i="10"/>
  <c r="BP316" i="10" s="1"/>
  <c r="DU722" i="10"/>
  <c r="DP722" i="10" s="1"/>
  <c r="BQ722" i="10" s="1"/>
  <c r="DQ722" i="10" s="1"/>
  <c r="DN722" i="10"/>
  <c r="BP722" i="10" s="1"/>
  <c r="BR368" i="10"/>
  <c r="DO368" i="10"/>
  <c r="DU733" i="10"/>
  <c r="DP733" i="10" s="1"/>
  <c r="BQ733" i="10" s="1"/>
  <c r="DQ733" i="10" s="1"/>
  <c r="DN733" i="10"/>
  <c r="BP733" i="10" s="1"/>
  <c r="DU397" i="10"/>
  <c r="DP397" i="10" s="1"/>
  <c r="BQ397" i="10" s="1"/>
  <c r="DQ397" i="10" s="1"/>
  <c r="DN397" i="10"/>
  <c r="BP397" i="10" s="1"/>
  <c r="EH780" i="10"/>
  <c r="DO780" i="10"/>
  <c r="DU680" i="10"/>
  <c r="DP680" i="10" s="1"/>
  <c r="BQ680" i="10" s="1"/>
  <c r="DQ680" i="10" s="1"/>
  <c r="DN680" i="10"/>
  <c r="BP680" i="10" s="1"/>
  <c r="DU702" i="10"/>
  <c r="DP702" i="10" s="1"/>
  <c r="BQ702" i="10" s="1"/>
  <c r="DQ702" i="10" s="1"/>
  <c r="DN702" i="10"/>
  <c r="BP702" i="10" s="1"/>
  <c r="EI780" i="10"/>
  <c r="DU611" i="10"/>
  <c r="DP611" i="10" s="1"/>
  <c r="BQ611" i="10" s="1"/>
  <c r="DQ611" i="10" s="1"/>
  <c r="DN611" i="10"/>
  <c r="BP611" i="10" s="1"/>
  <c r="DO227" i="10"/>
  <c r="BR227" i="10"/>
  <c r="EH642" i="10"/>
  <c r="EK642" i="10"/>
  <c r="EJ642" i="10"/>
  <c r="EI642" i="10"/>
  <c r="DR642" i="10"/>
  <c r="EK285" i="10"/>
  <c r="EJ285" i="10"/>
  <c r="DO740" i="10"/>
  <c r="EH285" i="10"/>
  <c r="BR862" i="10"/>
  <c r="DO862" i="10"/>
  <c r="DO583" i="10"/>
  <c r="BR787" i="10"/>
  <c r="DO787" i="10"/>
  <c r="BR259" i="10"/>
  <c r="DO259" i="10"/>
  <c r="BR440" i="10"/>
  <c r="DO440" i="10"/>
  <c r="DO382" i="10"/>
  <c r="DO341" i="10"/>
  <c r="BR341" i="10"/>
  <c r="DU388" i="10"/>
  <c r="DP388" i="10" s="1"/>
  <c r="BQ388" i="10" s="1"/>
  <c r="DQ388" i="10" s="1"/>
  <c r="DN388" i="10"/>
  <c r="BP388" i="10" s="1"/>
  <c r="DU403" i="10"/>
  <c r="DP403" i="10" s="1"/>
  <c r="BQ403" i="10" s="1"/>
  <c r="DQ403" i="10" s="1"/>
  <c r="DN403" i="10"/>
  <c r="BP403" i="10" s="1"/>
  <c r="BR569" i="10"/>
  <c r="DO569" i="10"/>
  <c r="DO717" i="10"/>
  <c r="BR739" i="10"/>
  <c r="DO739" i="10"/>
  <c r="DO37" i="10"/>
  <c r="BR37" i="10"/>
  <c r="DO816" i="10"/>
  <c r="BR816" i="10"/>
  <c r="BR195" i="10"/>
  <c r="DO195" i="10"/>
  <c r="DO253" i="10"/>
  <c r="BR253" i="10"/>
  <c r="DO221" i="10"/>
  <c r="BR221" i="10"/>
  <c r="DU874" i="10"/>
  <c r="DP874" i="10" s="1"/>
  <c r="BQ874" i="10" s="1"/>
  <c r="DQ874" i="10" s="1"/>
  <c r="DN874" i="10"/>
  <c r="BP874" i="10" s="1"/>
  <c r="DR285" i="10"/>
  <c r="DO380" i="10"/>
  <c r="BR380" i="10"/>
  <c r="DO577" i="10"/>
  <c r="DO753" i="10"/>
  <c r="BR753" i="10"/>
  <c r="BR181" i="10"/>
  <c r="DO181" i="10"/>
  <c r="DU592" i="10"/>
  <c r="DP592" i="10" s="1"/>
  <c r="BQ592" i="10" s="1"/>
  <c r="DQ592" i="10" s="1"/>
  <c r="DN592" i="10"/>
  <c r="BP592" i="10" s="1"/>
  <c r="DO855" i="10"/>
  <c r="DO597" i="10"/>
  <c r="BR597" i="10"/>
  <c r="DU102" i="10"/>
  <c r="DP102" i="10" s="1"/>
  <c r="BQ102" i="10" s="1"/>
  <c r="DQ102" i="10" s="1"/>
  <c r="DN102" i="10"/>
  <c r="BP102" i="10" s="1"/>
  <c r="DU125" i="10"/>
  <c r="DP125" i="10" s="1"/>
  <c r="BQ125" i="10" s="1"/>
  <c r="DQ125" i="10" s="1"/>
  <c r="DN125" i="10"/>
  <c r="BP125" i="10" s="1"/>
  <c r="DO777" i="10"/>
  <c r="BR777" i="10"/>
  <c r="DO453" i="10"/>
  <c r="BR453" i="10"/>
  <c r="DU710" i="10"/>
  <c r="DP710" i="10" s="1"/>
  <c r="BQ710" i="10" s="1"/>
  <c r="DQ710" i="10" s="1"/>
  <c r="DN710" i="10"/>
  <c r="BP710" i="10" s="1"/>
  <c r="DO229" i="10"/>
  <c r="BR229" i="10"/>
  <c r="BR696" i="10"/>
  <c r="DO696" i="10"/>
  <c r="BR213" i="10"/>
  <c r="DO213" i="10"/>
  <c r="DO421" i="10"/>
  <c r="BR421" i="10"/>
  <c r="DO784" i="10"/>
  <c r="BR784" i="10"/>
  <c r="BR424" i="10"/>
  <c r="DO424" i="10"/>
  <c r="DU617" i="10"/>
  <c r="DP617" i="10" s="1"/>
  <c r="BQ617" i="10" s="1"/>
  <c r="DQ617" i="10" s="1"/>
  <c r="DN617" i="10"/>
  <c r="BP617" i="10" s="1"/>
  <c r="DU73" i="10"/>
  <c r="DP73" i="10" s="1"/>
  <c r="BQ73" i="10" s="1"/>
  <c r="DQ73" i="10" s="1"/>
  <c r="DN73" i="10"/>
  <c r="BP73" i="10" s="1"/>
  <c r="DO768" i="10"/>
  <c r="DO377" i="10"/>
  <c r="BR377" i="10"/>
  <c r="DO237" i="10"/>
  <c r="BR237" i="10"/>
  <c r="DO353" i="10"/>
  <c r="BR353" i="10"/>
  <c r="BR277" i="10"/>
  <c r="DO277" i="10"/>
  <c r="DO533" i="10"/>
  <c r="BR533" i="10"/>
  <c r="DO205" i="10"/>
  <c r="DO676" i="10"/>
  <c r="BR329" i="10"/>
  <c r="DO329" i="10"/>
  <c r="DN830" i="10"/>
  <c r="BP830" i="10" s="1"/>
  <c r="DU830" i="10"/>
  <c r="DP830" i="10" s="1"/>
  <c r="BQ830" i="10" s="1"/>
  <c r="DQ830" i="10" s="1"/>
  <c r="DO864" i="10"/>
  <c r="BR864" i="10"/>
  <c r="DO96" i="10"/>
  <c r="BR96" i="10"/>
  <c r="BR436" i="10"/>
  <c r="DO436" i="10"/>
  <c r="DO269" i="10"/>
  <c r="BR85" i="10"/>
  <c r="DO85" i="10"/>
  <c r="BR179" i="10"/>
  <c r="DO179" i="10"/>
  <c r="DO668" i="10"/>
  <c r="BR668" i="10"/>
  <c r="BR666" i="10"/>
  <c r="DO666" i="10"/>
  <c r="DU820" i="10"/>
  <c r="DP820" i="10" s="1"/>
  <c r="BQ820" i="10" s="1"/>
  <c r="DQ820" i="10" s="1"/>
  <c r="DN820" i="10"/>
  <c r="BP820" i="10" s="1"/>
  <c r="DO845" i="10"/>
  <c r="BR845" i="10"/>
  <c r="DO570" i="10"/>
  <c r="BR570" i="10"/>
  <c r="DO511" i="10"/>
  <c r="BR511" i="10"/>
  <c r="DU810" i="10"/>
  <c r="DP810" i="10" s="1"/>
  <c r="BQ810" i="10" s="1"/>
  <c r="DQ810" i="10" s="1"/>
  <c r="DN810" i="10"/>
  <c r="BP810" i="10" s="1"/>
  <c r="BR337" i="10"/>
  <c r="DO337" i="10"/>
  <c r="BR838" i="10"/>
  <c r="DO838" i="10"/>
  <c r="BR412" i="10"/>
  <c r="DO412" i="10"/>
  <c r="DU662" i="10"/>
  <c r="DP662" i="10" s="1"/>
  <c r="BQ662" i="10" s="1"/>
  <c r="DQ662" i="10" s="1"/>
  <c r="DN662" i="10"/>
  <c r="BP662" i="10" s="1"/>
  <c r="DO849" i="10"/>
  <c r="BR849" i="10"/>
  <c r="DO398" i="10"/>
  <c r="BR398" i="10"/>
  <c r="DU67" i="10"/>
  <c r="DP67" i="10" s="1"/>
  <c r="BQ67" i="10" s="1"/>
  <c r="DQ67" i="10" s="1"/>
  <c r="DN67" i="10"/>
  <c r="BP67" i="10" s="1"/>
  <c r="DO551" i="10"/>
  <c r="BR551" i="10"/>
  <c r="DU119" i="10"/>
  <c r="DP119" i="10" s="1"/>
  <c r="BQ119" i="10" s="1"/>
  <c r="DQ119" i="10" s="1"/>
  <c r="DN119" i="10"/>
  <c r="BP119" i="10" s="1"/>
  <c r="DU627" i="10"/>
  <c r="DP627" i="10" s="1"/>
  <c r="BQ627" i="10" s="1"/>
  <c r="DQ627" i="10" s="1"/>
  <c r="DN627" i="10"/>
  <c r="BP627" i="10" s="1"/>
  <c r="DO144" i="10"/>
  <c r="BR144" i="10"/>
  <c r="BR690" i="10"/>
  <c r="DO690" i="10"/>
  <c r="BR184" i="10"/>
  <c r="DO184" i="10"/>
  <c r="DO458" i="10"/>
  <c r="BR458" i="10"/>
  <c r="DO152" i="10"/>
  <c r="BR152" i="10"/>
  <c r="BR622" i="10"/>
  <c r="DO622" i="10"/>
  <c r="BR408" i="10"/>
  <c r="DO408" i="10"/>
  <c r="DO619" i="10"/>
  <c r="DO433" i="10"/>
  <c r="DO315" i="10"/>
  <c r="BR315" i="10"/>
  <c r="DO763" i="10"/>
  <c r="BR763" i="10"/>
  <c r="DU90" i="10"/>
  <c r="DP90" i="10" s="1"/>
  <c r="BQ90" i="10" s="1"/>
  <c r="DQ90" i="10" s="1"/>
  <c r="DN90" i="10"/>
  <c r="BP90" i="10" s="1"/>
  <c r="DU686" i="10"/>
  <c r="DP686" i="10" s="1"/>
  <c r="BQ686" i="10" s="1"/>
  <c r="DQ686" i="10" s="1"/>
  <c r="DN686" i="10"/>
  <c r="BP686" i="10" s="1"/>
  <c r="DO648" i="10"/>
  <c r="BR648" i="10"/>
  <c r="BR449" i="10"/>
  <c r="DO449" i="10"/>
  <c r="BR600" i="10"/>
  <c r="DO600" i="10"/>
  <c r="DU606" i="10"/>
  <c r="DP606" i="10" s="1"/>
  <c r="BQ606" i="10" s="1"/>
  <c r="DQ606" i="10" s="1"/>
  <c r="DN606" i="10"/>
  <c r="BP606" i="10" s="1"/>
  <c r="DU825" i="10"/>
  <c r="DP825" i="10" s="1"/>
  <c r="BQ825" i="10" s="1"/>
  <c r="DQ825" i="10" s="1"/>
  <c r="DN825" i="10"/>
  <c r="BP825" i="10" s="1"/>
  <c r="DO349" i="10"/>
  <c r="BR349" i="10"/>
  <c r="DO670" i="10"/>
  <c r="DO465" i="10"/>
  <c r="BR465" i="10"/>
  <c r="DU113" i="10"/>
  <c r="DP113" i="10" s="1"/>
  <c r="BQ113" i="10" s="1"/>
  <c r="DQ113" i="10" s="1"/>
  <c r="DN113" i="10"/>
  <c r="BP113" i="10" s="1"/>
  <c r="BR503" i="10"/>
  <c r="DO503" i="10"/>
  <c r="DO392" i="10"/>
  <c r="BR392" i="10"/>
  <c r="BR261" i="10"/>
  <c r="DO261" i="10"/>
  <c r="DU174" i="10"/>
  <c r="DP174" i="10" s="1"/>
  <c r="BQ174" i="10" s="1"/>
  <c r="DQ174" i="10" s="1"/>
  <c r="DN174" i="10"/>
  <c r="BP174" i="10" s="1"/>
  <c r="DO783" i="10"/>
  <c r="BR783" i="10"/>
  <c r="BR743" i="10"/>
  <c r="DO743" i="10"/>
  <c r="DO652" i="10"/>
  <c r="BR652" i="10"/>
  <c r="DU547" i="10"/>
  <c r="DP547" i="10" s="1"/>
  <c r="BQ547" i="10" s="1"/>
  <c r="DQ547" i="10" s="1"/>
  <c r="DN547" i="10"/>
  <c r="BP547" i="10" s="1"/>
  <c r="BR646" i="10"/>
  <c r="DO646" i="10"/>
  <c r="BR878" i="10"/>
  <c r="DO878" i="10"/>
  <c r="BR160" i="10"/>
  <c r="DO160" i="10"/>
  <c r="DU572" i="10"/>
  <c r="DP572" i="10" s="1"/>
  <c r="BQ572" i="10" s="1"/>
  <c r="DQ572" i="10" s="1"/>
  <c r="DN572" i="10"/>
  <c r="BP572" i="10" s="1"/>
  <c r="DU374" i="10"/>
  <c r="DP374" i="10" s="1"/>
  <c r="BQ374" i="10" s="1"/>
  <c r="DQ374" i="10" s="1"/>
  <c r="DN374" i="10"/>
  <c r="BP374" i="10" s="1"/>
  <c r="BR589" i="10"/>
  <c r="DO589" i="10"/>
  <c r="BR383" i="10"/>
  <c r="DO383" i="10"/>
  <c r="DO657" i="10"/>
  <c r="BR657" i="10"/>
  <c r="BR698" i="10"/>
  <c r="DO698" i="10"/>
  <c r="DO518" i="10"/>
  <c r="BR518" i="10"/>
  <c r="DO471" i="10"/>
  <c r="DO664" i="10"/>
  <c r="BR644" i="10"/>
  <c r="DO644" i="10"/>
  <c r="BR640" i="10"/>
  <c r="DO640" i="10"/>
  <c r="DU79" i="10"/>
  <c r="DP79" i="10" s="1"/>
  <c r="BQ79" i="10" s="1"/>
  <c r="DQ79" i="10" s="1"/>
  <c r="DN79" i="10"/>
  <c r="BP79" i="10" s="1"/>
  <c r="BR396" i="10"/>
  <c r="DO396" i="10"/>
  <c r="DU766" i="10"/>
  <c r="DP766" i="10" s="1"/>
  <c r="BQ766" i="10" s="1"/>
  <c r="DQ766" i="10" s="1"/>
  <c r="DN766" i="10"/>
  <c r="BP766" i="10" s="1"/>
  <c r="DU805" i="10"/>
  <c r="DP805" i="10" s="1"/>
  <c r="BQ805" i="10" s="1"/>
  <c r="DQ805" i="10" s="1"/>
  <c r="DN805" i="10"/>
  <c r="BP805" i="10" s="1"/>
  <c r="DU613" i="10"/>
  <c r="DP613" i="10" s="1"/>
  <c r="BQ613" i="10" s="1"/>
  <c r="DQ613" i="10" s="1"/>
  <c r="DN613" i="10"/>
  <c r="BP613" i="10" s="1"/>
  <c r="DU762" i="10"/>
  <c r="DP762" i="10" s="1"/>
  <c r="BQ762" i="10" s="1"/>
  <c r="DQ762" i="10" s="1"/>
  <c r="DN762" i="10"/>
  <c r="BP762" i="10" s="1"/>
  <c r="DU635" i="10"/>
  <c r="DP635" i="10" s="1"/>
  <c r="BQ635" i="10" s="1"/>
  <c r="DQ635" i="10" s="1"/>
  <c r="DN635" i="10"/>
  <c r="BP635" i="10" s="1"/>
  <c r="DU628" i="10"/>
  <c r="DP628" i="10" s="1"/>
  <c r="BQ628" i="10" s="1"/>
  <c r="DQ628" i="10" s="1"/>
  <c r="DN628" i="10"/>
  <c r="BP628" i="10" s="1"/>
  <c r="EI291" i="10"/>
  <c r="EJ291" i="10"/>
  <c r="EH291" i="10"/>
  <c r="EK291" i="10"/>
  <c r="DR291" i="10"/>
  <c r="EK466" i="10"/>
  <c r="DR466" i="10"/>
  <c r="DU594" i="10"/>
  <c r="DP594" i="10" s="1"/>
  <c r="BQ594" i="10" s="1"/>
  <c r="DQ594" i="10" s="1"/>
  <c r="DN594" i="10"/>
  <c r="BP594" i="10" s="1"/>
  <c r="DU840" i="10"/>
  <c r="DP840" i="10" s="1"/>
  <c r="BQ840" i="10" s="1"/>
  <c r="DQ840" i="10" s="1"/>
  <c r="DN840" i="10"/>
  <c r="BP840" i="10" s="1"/>
  <c r="DO363" i="10"/>
  <c r="DU832" i="10"/>
  <c r="DP832" i="10" s="1"/>
  <c r="BQ832" i="10" s="1"/>
  <c r="DQ832" i="10" s="1"/>
  <c r="DN832" i="10"/>
  <c r="BP832" i="10" s="1"/>
  <c r="DU609" i="10"/>
  <c r="DP609" i="10" s="1"/>
  <c r="BQ609" i="10" s="1"/>
  <c r="DQ609" i="10" s="1"/>
  <c r="DN609" i="10"/>
  <c r="BP609" i="10" s="1"/>
  <c r="EJ740" i="10"/>
  <c r="EI740" i="10"/>
  <c r="EK740" i="10"/>
  <c r="EH740" i="10"/>
  <c r="DR740" i="10"/>
  <c r="DU801" i="10"/>
  <c r="DP801" i="10" s="1"/>
  <c r="BQ801" i="10" s="1"/>
  <c r="DQ801" i="10" s="1"/>
  <c r="DN801" i="10"/>
  <c r="BP801" i="10" s="1"/>
  <c r="EH401" i="10"/>
  <c r="EJ401" i="10"/>
  <c r="EI401" i="10"/>
  <c r="DR401" i="10"/>
  <c r="EH410" i="10"/>
  <c r="DR410" i="10"/>
  <c r="EI410" i="10"/>
  <c r="EJ410" i="10"/>
  <c r="EK410" i="10"/>
  <c r="DN484" i="10"/>
  <c r="BP484" i="10" s="1"/>
  <c r="DT484" i="10"/>
  <c r="DP484" i="10" s="1"/>
  <c r="BQ484" i="10" s="1"/>
  <c r="DQ484" i="10" s="1"/>
  <c r="DN543" i="10"/>
  <c r="BP543" i="10" s="1"/>
  <c r="DT543" i="10"/>
  <c r="DP543" i="10" s="1"/>
  <c r="BQ543" i="10" s="1"/>
  <c r="DQ543" i="10" s="1"/>
  <c r="DN139" i="10"/>
  <c r="BP139" i="10" s="1"/>
  <c r="DT139" i="10"/>
  <c r="DP139" i="10" s="1"/>
  <c r="BQ139" i="10" s="1"/>
  <c r="DQ139" i="10" s="1"/>
  <c r="EK549" i="10"/>
  <c r="EJ549" i="10"/>
  <c r="DR549" i="10"/>
  <c r="EH549" i="10"/>
  <c r="EI549" i="10"/>
  <c r="DN41" i="10"/>
  <c r="BP41" i="10" s="1"/>
  <c r="DT41" i="10"/>
  <c r="DP41" i="10" s="1"/>
  <c r="BQ41" i="10" s="1"/>
  <c r="DQ41" i="10" s="1"/>
  <c r="DN596" i="10"/>
  <c r="BP596" i="10" s="1"/>
  <c r="DT596" i="10"/>
  <c r="DP596" i="10" s="1"/>
  <c r="BQ596" i="10" s="1"/>
  <c r="DQ596" i="10" s="1"/>
  <c r="DN142" i="10"/>
  <c r="BP142" i="10" s="1"/>
  <c r="DT142" i="10"/>
  <c r="DP142" i="10" s="1"/>
  <c r="BQ142" i="10" s="1"/>
  <c r="DQ142" i="10" s="1"/>
  <c r="DN130" i="10"/>
  <c r="BP130" i="10" s="1"/>
  <c r="DT130" i="10"/>
  <c r="DP130" i="10" s="1"/>
  <c r="BQ130" i="10" s="1"/>
  <c r="DQ130" i="10" s="1"/>
  <c r="DN493" i="10"/>
  <c r="BP493" i="10" s="1"/>
  <c r="DT493" i="10"/>
  <c r="DP493" i="10" s="1"/>
  <c r="BQ493" i="10" s="1"/>
  <c r="DQ493" i="10" s="1"/>
  <c r="DN703" i="10"/>
  <c r="BP703" i="10" s="1"/>
  <c r="DT703" i="10"/>
  <c r="DP703" i="10" s="1"/>
  <c r="BQ703" i="10" s="1"/>
  <c r="DQ703" i="10" s="1"/>
  <c r="DN706" i="10"/>
  <c r="BP706" i="10" s="1"/>
  <c r="DT706" i="10"/>
  <c r="DP706" i="10" s="1"/>
  <c r="BQ706" i="10" s="1"/>
  <c r="DQ706" i="10" s="1"/>
  <c r="DN475" i="10"/>
  <c r="BP475" i="10" s="1"/>
  <c r="DT475" i="10"/>
  <c r="DP475" i="10" s="1"/>
  <c r="BQ475" i="10" s="1"/>
  <c r="DQ475" i="10" s="1"/>
  <c r="EK191" i="10"/>
  <c r="EH191" i="10"/>
  <c r="DN599" i="10"/>
  <c r="BP599" i="10" s="1"/>
  <c r="DT599" i="10"/>
  <c r="DP599" i="10" s="1"/>
  <c r="BQ599" i="10" s="1"/>
  <c r="DQ599" i="10" s="1"/>
  <c r="DN136" i="10"/>
  <c r="BP136" i="10" s="1"/>
  <c r="DT136" i="10"/>
  <c r="DP136" i="10" s="1"/>
  <c r="BQ136" i="10" s="1"/>
  <c r="DQ136" i="10" s="1"/>
  <c r="DN744" i="10"/>
  <c r="BP744" i="10" s="1"/>
  <c r="DT744" i="10"/>
  <c r="DP744" i="10" s="1"/>
  <c r="BQ744" i="10" s="1"/>
  <c r="DQ744" i="10" s="1"/>
  <c r="DN715" i="10"/>
  <c r="BP715" i="10" s="1"/>
  <c r="DT715" i="10"/>
  <c r="DP715" i="10" s="1"/>
  <c r="BQ715" i="10" s="1"/>
  <c r="DQ715" i="10" s="1"/>
  <c r="DR587" i="10"/>
  <c r="EK587" i="10"/>
  <c r="EJ587" i="10"/>
  <c r="EK103" i="10"/>
  <c r="EI103" i="10"/>
  <c r="EH103" i="10"/>
  <c r="EJ103" i="10"/>
  <c r="DR103" i="10"/>
  <c r="DN372" i="10"/>
  <c r="BP372" i="10" s="1"/>
  <c r="DT372" i="10"/>
  <c r="DP372" i="10" s="1"/>
  <c r="BQ372" i="10" s="1"/>
  <c r="DQ372" i="10" s="1"/>
  <c r="DN419" i="10"/>
  <c r="BP419" i="10" s="1"/>
  <c r="DT419" i="10"/>
  <c r="DP419" i="10" s="1"/>
  <c r="BQ419" i="10" s="1"/>
  <c r="DQ419" i="10" s="1"/>
  <c r="DN625" i="10"/>
  <c r="BP625" i="10" s="1"/>
  <c r="DT625" i="10"/>
  <c r="DP625" i="10" s="1"/>
  <c r="BQ625" i="10" s="1"/>
  <c r="DQ625" i="10" s="1"/>
  <c r="DN546" i="10"/>
  <c r="BP546" i="10" s="1"/>
  <c r="DT546" i="10"/>
  <c r="DP546" i="10" s="1"/>
  <c r="BQ546" i="10" s="1"/>
  <c r="DQ546" i="10" s="1"/>
  <c r="DN718" i="10"/>
  <c r="BP718" i="10" s="1"/>
  <c r="DT718" i="10"/>
  <c r="DP718" i="10" s="1"/>
  <c r="BQ718" i="10" s="1"/>
  <c r="DQ718" i="10" s="1"/>
  <c r="DN487" i="10"/>
  <c r="BP487" i="10" s="1"/>
  <c r="DT487" i="10"/>
  <c r="DP487" i="10" s="1"/>
  <c r="BQ487" i="10" s="1"/>
  <c r="DQ487" i="10" s="1"/>
  <c r="EJ859" i="10"/>
  <c r="DR859" i="10"/>
  <c r="EK859" i="10"/>
  <c r="DN416" i="10"/>
  <c r="BP416" i="10" s="1"/>
  <c r="DT416" i="10"/>
  <c r="DP416" i="10" s="1"/>
  <c r="BQ416" i="10" s="1"/>
  <c r="DQ416" i="10" s="1"/>
  <c r="DN590" i="10"/>
  <c r="BP590" i="10" s="1"/>
  <c r="DT590" i="10"/>
  <c r="DP590" i="10" s="1"/>
  <c r="BQ590" i="10" s="1"/>
  <c r="DQ590" i="10" s="1"/>
  <c r="DN375" i="10"/>
  <c r="BP375" i="10" s="1"/>
  <c r="DT375" i="10"/>
  <c r="DP375" i="10" s="1"/>
  <c r="BQ375" i="10" s="1"/>
  <c r="DQ375" i="10" s="1"/>
  <c r="DN97" i="10"/>
  <c r="BP97" i="10" s="1"/>
  <c r="DT97" i="10"/>
  <c r="DP97" i="10" s="1"/>
  <c r="BQ97" i="10" s="1"/>
  <c r="DQ97" i="10" s="1"/>
  <c r="DN413" i="10"/>
  <c r="BP413" i="10" s="1"/>
  <c r="DT413" i="10"/>
  <c r="DP413" i="10" s="1"/>
  <c r="BQ413" i="10" s="1"/>
  <c r="DQ413" i="10" s="1"/>
  <c r="DN351" i="10"/>
  <c r="BP351" i="10" s="1"/>
  <c r="DT351" i="10"/>
  <c r="DP351" i="10" s="1"/>
  <c r="BQ351" i="10" s="1"/>
  <c r="DQ351" i="10" s="1"/>
  <c r="EK559" i="10"/>
  <c r="DR559" i="10"/>
  <c r="EJ559" i="10"/>
  <c r="EH559" i="10"/>
  <c r="EI559" i="10"/>
  <c r="DN593" i="10"/>
  <c r="BP593" i="10" s="1"/>
  <c r="DT593" i="10"/>
  <c r="DP593" i="10" s="1"/>
  <c r="BQ593" i="10" s="1"/>
  <c r="DQ593" i="10" s="1"/>
  <c r="DN422" i="10"/>
  <c r="BP422" i="10" s="1"/>
  <c r="DT422" i="10"/>
  <c r="DP422" i="10" s="1"/>
  <c r="BQ422" i="10" s="1"/>
  <c r="DQ422" i="10" s="1"/>
  <c r="DN109" i="10"/>
  <c r="BP109" i="10" s="1"/>
  <c r="DT109" i="10"/>
  <c r="DP109" i="10" s="1"/>
  <c r="BQ109" i="10" s="1"/>
  <c r="DQ109" i="10" s="1"/>
  <c r="DN354" i="10"/>
  <c r="BP354" i="10" s="1"/>
  <c r="DT354" i="10"/>
  <c r="DP354" i="10" s="1"/>
  <c r="BQ354" i="10" s="1"/>
  <c r="DQ354" i="10" s="1"/>
  <c r="DN133" i="10"/>
  <c r="BP133" i="10" s="1"/>
  <c r="DT133" i="10"/>
  <c r="DP133" i="10" s="1"/>
  <c r="BQ133" i="10" s="1"/>
  <c r="DQ133" i="10" s="1"/>
  <c r="DN709" i="10"/>
  <c r="BP709" i="10" s="1"/>
  <c r="DT709" i="10"/>
  <c r="DP709" i="10" s="1"/>
  <c r="BQ709" i="10" s="1"/>
  <c r="DQ709" i="10" s="1"/>
  <c r="DN694" i="10"/>
  <c r="BP694" i="10" s="1"/>
  <c r="DT694" i="10"/>
  <c r="DP694" i="10" s="1"/>
  <c r="BQ694" i="10" s="1"/>
  <c r="DQ694" i="10" s="1"/>
  <c r="EH673" i="10"/>
  <c r="DN124" i="10"/>
  <c r="BP124" i="10" s="1"/>
  <c r="DT124" i="10"/>
  <c r="DP124" i="10" s="1"/>
  <c r="BQ124" i="10" s="1"/>
  <c r="DQ124" i="10" s="1"/>
  <c r="DN712" i="10"/>
  <c r="BP712" i="10" s="1"/>
  <c r="DT712" i="10"/>
  <c r="DP712" i="10" s="1"/>
  <c r="BQ712" i="10" s="1"/>
  <c r="DQ712" i="10" s="1"/>
  <c r="DN106" i="10"/>
  <c r="BP106" i="10" s="1"/>
  <c r="DT106" i="10"/>
  <c r="DP106" i="10" s="1"/>
  <c r="BQ106" i="10" s="1"/>
  <c r="DQ106" i="10" s="1"/>
  <c r="EI121" i="10"/>
  <c r="EJ121" i="10"/>
  <c r="EK121" i="10"/>
  <c r="DR121" i="10"/>
  <c r="EH121" i="10"/>
  <c r="DN366" i="10"/>
  <c r="BP366" i="10" s="1"/>
  <c r="DT366" i="10"/>
  <c r="DP366" i="10" s="1"/>
  <c r="BQ366" i="10" s="1"/>
  <c r="DQ366" i="10" s="1"/>
  <c r="DN357" i="10"/>
  <c r="BP357" i="10" s="1"/>
  <c r="DT357" i="10"/>
  <c r="DP357" i="10" s="1"/>
  <c r="BQ357" i="10" s="1"/>
  <c r="DQ357" i="10" s="1"/>
  <c r="DN721" i="10"/>
  <c r="BP721" i="10" s="1"/>
  <c r="DT721" i="10"/>
  <c r="DP721" i="10" s="1"/>
  <c r="BQ721" i="10" s="1"/>
  <c r="DQ721" i="10" s="1"/>
  <c r="DN478" i="10"/>
  <c r="BP478" i="10" s="1"/>
  <c r="DT478" i="10"/>
  <c r="DP478" i="10" s="1"/>
  <c r="BQ478" i="10" s="1"/>
  <c r="DQ478" i="10" s="1"/>
  <c r="DR659" i="10"/>
  <c r="EJ659" i="10"/>
  <c r="DN32" i="10"/>
  <c r="BP32" i="10" s="1"/>
  <c r="DT32" i="10"/>
  <c r="DP32" i="10" s="1"/>
  <c r="BQ32" i="10" s="1"/>
  <c r="DQ32" i="10" s="1"/>
  <c r="DN540" i="10"/>
  <c r="BP540" i="10" s="1"/>
  <c r="DT540" i="10"/>
  <c r="DP540" i="10" s="1"/>
  <c r="BQ540" i="10" s="1"/>
  <c r="DQ540" i="10" s="1"/>
  <c r="DN100" i="10"/>
  <c r="BP100" i="10" s="1"/>
  <c r="DT100" i="10"/>
  <c r="DP100" i="10" s="1"/>
  <c r="BQ100" i="10" s="1"/>
  <c r="DQ100" i="10" s="1"/>
  <c r="EI470" i="10"/>
  <c r="DR470" i="10"/>
  <c r="DN115" i="10"/>
  <c r="BP115" i="10" s="1"/>
  <c r="DT115" i="10"/>
  <c r="DP115" i="10" s="1"/>
  <c r="BQ115" i="10" s="1"/>
  <c r="DQ115" i="10" s="1"/>
  <c r="DO579" i="10"/>
  <c r="BR579" i="10"/>
  <c r="DN118" i="10"/>
  <c r="BP118" i="10" s="1"/>
  <c r="DT118" i="10"/>
  <c r="DP118" i="10" s="1"/>
  <c r="BQ118" i="10" s="1"/>
  <c r="DQ118" i="10" s="1"/>
  <c r="DN472" i="10"/>
  <c r="BP472" i="10" s="1"/>
  <c r="DT472" i="10"/>
  <c r="DP472" i="10" s="1"/>
  <c r="BQ472" i="10" s="1"/>
  <c r="DQ472" i="10" s="1"/>
  <c r="DN378" i="10"/>
  <c r="BP378" i="10" s="1"/>
  <c r="DT378" i="10"/>
  <c r="DP378" i="10" s="1"/>
  <c r="BQ378" i="10" s="1"/>
  <c r="DQ378" i="10" s="1"/>
  <c r="DN112" i="10"/>
  <c r="BP112" i="10" s="1"/>
  <c r="DT112" i="10"/>
  <c r="DP112" i="10" s="1"/>
  <c r="BQ112" i="10" s="1"/>
  <c r="DQ112" i="10" s="1"/>
  <c r="DN369" i="10"/>
  <c r="BP369" i="10" s="1"/>
  <c r="DT369" i="10"/>
  <c r="DP369" i="10" s="1"/>
  <c r="BQ369" i="10" s="1"/>
  <c r="DQ369" i="10" s="1"/>
  <c r="DN127" i="10"/>
  <c r="BP127" i="10" s="1"/>
  <c r="DT127" i="10"/>
  <c r="DP127" i="10" s="1"/>
  <c r="BQ127" i="10" s="1"/>
  <c r="DQ127" i="10" s="1"/>
  <c r="DN490" i="10"/>
  <c r="BP490" i="10" s="1"/>
  <c r="DT490" i="10"/>
  <c r="DP490" i="10" s="1"/>
  <c r="BQ490" i="10" s="1"/>
  <c r="DQ490" i="10" s="1"/>
  <c r="DN697" i="10"/>
  <c r="BP697" i="10" s="1"/>
  <c r="DT697" i="10"/>
  <c r="DP697" i="10" s="1"/>
  <c r="BQ697" i="10" s="1"/>
  <c r="DQ697" i="10" s="1"/>
  <c r="EJ601" i="10"/>
  <c r="DR601" i="10"/>
  <c r="DT674" i="10"/>
  <c r="DP674" i="10" s="1"/>
  <c r="BQ674" i="10" s="1"/>
  <c r="DQ674" i="10" s="1"/>
  <c r="DN674" i="10"/>
  <c r="BP674" i="10" s="1"/>
  <c r="DN481" i="10"/>
  <c r="BP481" i="10" s="1"/>
  <c r="DT481" i="10"/>
  <c r="DP481" i="10" s="1"/>
  <c r="BQ481" i="10" s="1"/>
  <c r="DQ481" i="10" s="1"/>
  <c r="DN708" i="10"/>
  <c r="BP708" i="10" s="1"/>
  <c r="DT708" i="10"/>
  <c r="DP708" i="10" s="1"/>
  <c r="BQ708" i="10" s="1"/>
  <c r="DQ708" i="10" s="1"/>
  <c r="DN415" i="10"/>
  <c r="BP415" i="10" s="1"/>
  <c r="DT415" i="10"/>
  <c r="DP415" i="10" s="1"/>
  <c r="BQ415" i="10" s="1"/>
  <c r="DQ415" i="10" s="1"/>
  <c r="DN692" i="10"/>
  <c r="BP692" i="10" s="1"/>
  <c r="DT692" i="10"/>
  <c r="DP692" i="10" s="1"/>
  <c r="BQ692" i="10" s="1"/>
  <c r="DQ692" i="10" s="1"/>
  <c r="DN788" i="10"/>
  <c r="BP788" i="10" s="1"/>
  <c r="DT788" i="10"/>
  <c r="DP788" i="10" s="1"/>
  <c r="BQ788" i="10" s="1"/>
  <c r="DQ788" i="10" s="1"/>
  <c r="DN331" i="10"/>
  <c r="BP331" i="10" s="1"/>
  <c r="DT331" i="10"/>
  <c r="DP331" i="10" s="1"/>
  <c r="BQ331" i="10" s="1"/>
  <c r="DQ331" i="10" s="1"/>
  <c r="DN362" i="10"/>
  <c r="BP362" i="10" s="1"/>
  <c r="DT362" i="10"/>
  <c r="DP362" i="10" s="1"/>
  <c r="BQ362" i="10" s="1"/>
  <c r="DQ362" i="10" s="1"/>
  <c r="DN418" i="10"/>
  <c r="BP418" i="10" s="1"/>
  <c r="DT418" i="10"/>
  <c r="DP418" i="10" s="1"/>
  <c r="BQ418" i="10" s="1"/>
  <c r="DQ418" i="10" s="1"/>
  <c r="EH750" i="10"/>
  <c r="DN770" i="10"/>
  <c r="BP770" i="10" s="1"/>
  <c r="DT770" i="10"/>
  <c r="DP770" i="10" s="1"/>
  <c r="BQ770" i="10" s="1"/>
  <c r="DQ770" i="10" s="1"/>
  <c r="DN809" i="10"/>
  <c r="BP809" i="10" s="1"/>
  <c r="DT809" i="10"/>
  <c r="DP809" i="10" s="1"/>
  <c r="BQ809" i="10" s="1"/>
  <c r="DQ809" i="10" s="1"/>
  <c r="DN755" i="10"/>
  <c r="BP755" i="10" s="1"/>
  <c r="DT755" i="10"/>
  <c r="DP755" i="10" s="1"/>
  <c r="BQ755" i="10" s="1"/>
  <c r="DQ755" i="10" s="1"/>
  <c r="DN188" i="10"/>
  <c r="BP188" i="10" s="1"/>
  <c r="DT188" i="10"/>
  <c r="DP188" i="10" s="1"/>
  <c r="BQ188" i="10" s="1"/>
  <c r="DQ188" i="10" s="1"/>
  <c r="DN311" i="10"/>
  <c r="BP311" i="10" s="1"/>
  <c r="DT311" i="10"/>
  <c r="DP311" i="10" s="1"/>
  <c r="BQ311" i="10" s="1"/>
  <c r="DQ311" i="10" s="1"/>
  <c r="DN815" i="10"/>
  <c r="BP815" i="10" s="1"/>
  <c r="DT815" i="10"/>
  <c r="DP815" i="10" s="1"/>
  <c r="BQ815" i="10" s="1"/>
  <c r="DQ815" i="10" s="1"/>
  <c r="DN485" i="10"/>
  <c r="BP485" i="10" s="1"/>
  <c r="DT485" i="10"/>
  <c r="DP485" i="10" s="1"/>
  <c r="BQ485" i="10" s="1"/>
  <c r="DQ485" i="10" s="1"/>
  <c r="DN442" i="10"/>
  <c r="BP442" i="10" s="1"/>
  <c r="DT442" i="10"/>
  <c r="DP442" i="10" s="1"/>
  <c r="BQ442" i="10" s="1"/>
  <c r="DQ442" i="10" s="1"/>
  <c r="DN806" i="10"/>
  <c r="BP806" i="10" s="1"/>
  <c r="DT806" i="10"/>
  <c r="DP806" i="10" s="1"/>
  <c r="BQ806" i="10" s="1"/>
  <c r="DQ806" i="10" s="1"/>
  <c r="DN379" i="10"/>
  <c r="BP379" i="10" s="1"/>
  <c r="DT379" i="10"/>
  <c r="DP379" i="10" s="1"/>
  <c r="BQ379" i="10" s="1"/>
  <c r="DQ379" i="10" s="1"/>
  <c r="DN305" i="10"/>
  <c r="BP305" i="10" s="1"/>
  <c r="DT305" i="10"/>
  <c r="DP305" i="10" s="1"/>
  <c r="BQ305" i="10" s="1"/>
  <c r="DQ305" i="10" s="1"/>
  <c r="DN767" i="10"/>
  <c r="BP767" i="10" s="1"/>
  <c r="DT767" i="10"/>
  <c r="DP767" i="10" s="1"/>
  <c r="BQ767" i="10" s="1"/>
  <c r="DQ767" i="10" s="1"/>
  <c r="EJ727" i="10"/>
  <c r="EK727" i="10"/>
  <c r="DR727" i="10"/>
  <c r="EH727" i="10"/>
  <c r="EI727" i="10"/>
  <c r="DN803" i="10"/>
  <c r="BP803" i="10" s="1"/>
  <c r="DT803" i="10"/>
  <c r="DP803" i="10" s="1"/>
  <c r="BQ803" i="10" s="1"/>
  <c r="DQ803" i="10" s="1"/>
  <c r="DN737" i="10"/>
  <c r="BP737" i="10" s="1"/>
  <c r="DT737" i="10"/>
  <c r="DP737" i="10" s="1"/>
  <c r="BQ737" i="10" s="1"/>
  <c r="DQ737" i="10" s="1"/>
  <c r="DN216" i="10"/>
  <c r="BP216" i="10" s="1"/>
  <c r="DT216" i="10"/>
  <c r="DP216" i="10" s="1"/>
  <c r="BQ216" i="10" s="1"/>
  <c r="DQ216" i="10" s="1"/>
  <c r="DN782" i="10"/>
  <c r="BP782" i="10" s="1"/>
  <c r="DT782" i="10"/>
  <c r="DP782" i="10" s="1"/>
  <c r="BQ782" i="10" s="1"/>
  <c r="DQ782" i="10" s="1"/>
  <c r="DN154" i="10"/>
  <c r="BP154" i="10" s="1"/>
  <c r="DT154" i="10"/>
  <c r="DP154" i="10" s="1"/>
  <c r="BQ154" i="10" s="1"/>
  <c r="DQ154" i="10" s="1"/>
  <c r="DN729" i="10"/>
  <c r="BP729" i="10" s="1"/>
  <c r="DT729" i="10"/>
  <c r="DP729" i="10" s="1"/>
  <c r="BQ729" i="10" s="1"/>
  <c r="DQ729" i="10" s="1"/>
  <c r="DN827" i="10"/>
  <c r="BP827" i="10" s="1"/>
  <c r="DT827" i="10"/>
  <c r="DP827" i="10" s="1"/>
  <c r="BQ827" i="10" s="1"/>
  <c r="DQ827" i="10" s="1"/>
  <c r="DN785" i="10"/>
  <c r="BP785" i="10" s="1"/>
  <c r="DT785" i="10"/>
  <c r="DP785" i="10" s="1"/>
  <c r="BQ785" i="10" s="1"/>
  <c r="DQ785" i="10" s="1"/>
  <c r="DN761" i="10"/>
  <c r="BP761" i="10" s="1"/>
  <c r="DT761" i="10"/>
  <c r="DP761" i="10" s="1"/>
  <c r="BQ761" i="10" s="1"/>
  <c r="DQ761" i="10" s="1"/>
  <c r="DN565" i="10"/>
  <c r="BP565" i="10" s="1"/>
  <c r="DT565" i="10"/>
  <c r="DP565" i="10" s="1"/>
  <c r="BQ565" i="10" s="1"/>
  <c r="DQ565" i="10" s="1"/>
  <c r="DN794" i="10"/>
  <c r="BP794" i="10" s="1"/>
  <c r="DT794" i="10"/>
  <c r="DP794" i="10" s="1"/>
  <c r="BQ794" i="10" s="1"/>
  <c r="DQ794" i="10" s="1"/>
  <c r="DN407" i="10"/>
  <c r="BP407" i="10" s="1"/>
  <c r="DT407" i="10"/>
  <c r="DP407" i="10" s="1"/>
  <c r="BQ407" i="10" s="1"/>
  <c r="DQ407" i="10" s="1"/>
  <c r="DN535" i="10"/>
  <c r="BP535" i="10" s="1"/>
  <c r="DT535" i="10"/>
  <c r="DP535" i="10" s="1"/>
  <c r="BQ535" i="10" s="1"/>
  <c r="DQ535" i="10" s="1"/>
  <c r="DN821" i="10"/>
  <c r="BP821" i="10" s="1"/>
  <c r="DT821" i="10"/>
  <c r="DP821" i="10" s="1"/>
  <c r="BQ821" i="10" s="1"/>
  <c r="DQ821" i="10" s="1"/>
  <c r="DR869" i="10"/>
  <c r="DN168" i="10"/>
  <c r="BP168" i="10" s="1"/>
  <c r="DT168" i="10"/>
  <c r="DP168" i="10" s="1"/>
  <c r="BQ168" i="10" s="1"/>
  <c r="DQ168" i="10" s="1"/>
  <c r="DN618" i="10"/>
  <c r="BP618" i="10" s="1"/>
  <c r="DT618" i="10"/>
  <c r="DP618" i="10" s="1"/>
  <c r="BQ618" i="10" s="1"/>
  <c r="DQ618" i="10" s="1"/>
  <c r="EK700" i="10"/>
  <c r="DN499" i="10"/>
  <c r="BP499" i="10" s="1"/>
  <c r="DT499" i="10"/>
  <c r="DP499" i="10" s="1"/>
  <c r="BQ499" i="10" s="1"/>
  <c r="DQ499" i="10" s="1"/>
  <c r="DN812" i="10"/>
  <c r="BP812" i="10" s="1"/>
  <c r="DT812" i="10"/>
  <c r="DP812" i="10" s="1"/>
  <c r="BQ812" i="10" s="1"/>
  <c r="DQ812" i="10" s="1"/>
  <c r="DN92" i="10"/>
  <c r="BP92" i="10" s="1"/>
  <c r="DT92" i="10"/>
  <c r="DP92" i="10" s="1"/>
  <c r="BQ92" i="10" s="1"/>
  <c r="DQ92" i="10" s="1"/>
  <c r="DN334" i="10"/>
  <c r="BP334" i="10" s="1"/>
  <c r="DT334" i="10"/>
  <c r="DP334" i="10" s="1"/>
  <c r="BQ334" i="10" s="1"/>
  <c r="DQ334" i="10" s="1"/>
  <c r="DN764" i="10"/>
  <c r="BP764" i="10" s="1"/>
  <c r="DT764" i="10"/>
  <c r="DP764" i="10" s="1"/>
  <c r="BQ764" i="10" s="1"/>
  <c r="DQ764" i="10" s="1"/>
  <c r="DN656" i="10"/>
  <c r="BP656" i="10" s="1"/>
  <c r="DT656" i="10"/>
  <c r="DP656" i="10" s="1"/>
  <c r="BQ656" i="10" s="1"/>
  <c r="DQ656" i="10" s="1"/>
  <c r="DN373" i="10"/>
  <c r="BP373" i="10" s="1"/>
  <c r="DT373" i="10"/>
  <c r="DP373" i="10" s="1"/>
  <c r="BQ373" i="10" s="1"/>
  <c r="DQ373" i="10" s="1"/>
  <c r="DN222" i="10"/>
  <c r="BP222" i="10" s="1"/>
  <c r="DT222" i="10"/>
  <c r="DP222" i="10" s="1"/>
  <c r="BQ222" i="10" s="1"/>
  <c r="DQ222" i="10" s="1"/>
  <c r="DN376" i="10"/>
  <c r="BP376" i="10" s="1"/>
  <c r="DT376" i="10"/>
  <c r="DP376" i="10" s="1"/>
  <c r="BQ376" i="10" s="1"/>
  <c r="DQ376" i="10" s="1"/>
  <c r="DN776" i="10"/>
  <c r="BP776" i="10" s="1"/>
  <c r="DT776" i="10"/>
  <c r="DP776" i="10" s="1"/>
  <c r="BQ776" i="10" s="1"/>
  <c r="DQ776" i="10" s="1"/>
  <c r="DN491" i="10"/>
  <c r="BP491" i="10" s="1"/>
  <c r="DT491" i="10"/>
  <c r="DP491" i="10" s="1"/>
  <c r="BQ491" i="10" s="1"/>
  <c r="DQ491" i="10" s="1"/>
  <c r="DN254" i="10"/>
  <c r="BP254" i="10" s="1"/>
  <c r="DT254" i="10"/>
  <c r="DP254" i="10" s="1"/>
  <c r="BQ254" i="10" s="1"/>
  <c r="DQ254" i="10" s="1"/>
  <c r="EJ858" i="10"/>
  <c r="EK858" i="10"/>
  <c r="DN241" i="10"/>
  <c r="BP241" i="10" s="1"/>
  <c r="DT241" i="10"/>
  <c r="DP241" i="10" s="1"/>
  <c r="BQ241" i="10" s="1"/>
  <c r="DQ241" i="10" s="1"/>
  <c r="DN282" i="10"/>
  <c r="BP282" i="10" s="1"/>
  <c r="DT282" i="10"/>
  <c r="DP282" i="10" s="1"/>
  <c r="BQ282" i="10" s="1"/>
  <c r="DQ282" i="10" s="1"/>
  <c r="DN302" i="10"/>
  <c r="BP302" i="10" s="1"/>
  <c r="DT302" i="10"/>
  <c r="DP302" i="10" s="1"/>
  <c r="BQ302" i="10" s="1"/>
  <c r="DQ302" i="10" s="1"/>
  <c r="DN779" i="10"/>
  <c r="BP779" i="10" s="1"/>
  <c r="DT779" i="10"/>
  <c r="DP779" i="10" s="1"/>
  <c r="BQ779" i="10" s="1"/>
  <c r="DQ779" i="10" s="1"/>
  <c r="DN439" i="10"/>
  <c r="BP439" i="10" s="1"/>
  <c r="DT439" i="10"/>
  <c r="DP439" i="10" s="1"/>
  <c r="BQ439" i="10" s="1"/>
  <c r="DQ439" i="10" s="1"/>
  <c r="DN230" i="10"/>
  <c r="BP230" i="10" s="1"/>
  <c r="DT230" i="10"/>
  <c r="DP230" i="10" s="1"/>
  <c r="BQ230" i="10" s="1"/>
  <c r="DQ230" i="10" s="1"/>
  <c r="EI363" i="10"/>
  <c r="EK363" i="10"/>
  <c r="DN450" i="10"/>
  <c r="BP450" i="10" s="1"/>
  <c r="DT450" i="10"/>
  <c r="DP450" i="10" s="1"/>
  <c r="BQ450" i="10" s="1"/>
  <c r="DQ450" i="10" s="1"/>
  <c r="DN477" i="10"/>
  <c r="BP477" i="10" s="1"/>
  <c r="DT477" i="10"/>
  <c r="DP477" i="10" s="1"/>
  <c r="BQ477" i="10" s="1"/>
  <c r="DQ477" i="10" s="1"/>
  <c r="DN705" i="10"/>
  <c r="BP705" i="10" s="1"/>
  <c r="DT705" i="10"/>
  <c r="DP705" i="10" s="1"/>
  <c r="BQ705" i="10" s="1"/>
  <c r="DQ705" i="10" s="1"/>
  <c r="DN824" i="10"/>
  <c r="BP824" i="10" s="1"/>
  <c r="DT824" i="10"/>
  <c r="DP824" i="10" s="1"/>
  <c r="BQ824" i="10" s="1"/>
  <c r="DQ824" i="10" s="1"/>
  <c r="DN747" i="10"/>
  <c r="BP747" i="10" s="1"/>
  <c r="DT747" i="10"/>
  <c r="DP747" i="10" s="1"/>
  <c r="BQ747" i="10" s="1"/>
  <c r="DQ747" i="10" s="1"/>
  <c r="DN527" i="10"/>
  <c r="BP527" i="10" s="1"/>
  <c r="DT527" i="10"/>
  <c r="DP527" i="10" s="1"/>
  <c r="BQ527" i="10" s="1"/>
  <c r="DQ527" i="10" s="1"/>
  <c r="DN480" i="10"/>
  <c r="BP480" i="10" s="1"/>
  <c r="DT480" i="10"/>
  <c r="DP480" i="10" s="1"/>
  <c r="BQ480" i="10" s="1"/>
  <c r="DQ480" i="10" s="1"/>
  <c r="DN120" i="10"/>
  <c r="BP120" i="10" s="1"/>
  <c r="DT120" i="10"/>
  <c r="DP120" i="10" s="1"/>
  <c r="BQ120" i="10" s="1"/>
  <c r="DQ120" i="10" s="1"/>
  <c r="DN89" i="10"/>
  <c r="BP89" i="10" s="1"/>
  <c r="DT89" i="10"/>
  <c r="DP89" i="10" s="1"/>
  <c r="BQ89" i="10" s="1"/>
  <c r="DQ89" i="10" s="1"/>
  <c r="DN404" i="10"/>
  <c r="BP404" i="10" s="1"/>
  <c r="DT404" i="10"/>
  <c r="DP404" i="10" s="1"/>
  <c r="BQ404" i="10" s="1"/>
  <c r="DQ404" i="10" s="1"/>
  <c r="DN653" i="10"/>
  <c r="BP653" i="10" s="1"/>
  <c r="DT653" i="10"/>
  <c r="DP653" i="10" s="1"/>
  <c r="BQ653" i="10" s="1"/>
  <c r="DQ653" i="10" s="1"/>
  <c r="DN791" i="10"/>
  <c r="BP791" i="10" s="1"/>
  <c r="DT791" i="10"/>
  <c r="DP791" i="10" s="1"/>
  <c r="BQ791" i="10" s="1"/>
  <c r="DQ791" i="10" s="1"/>
  <c r="DO576" i="10"/>
  <c r="BR576" i="10"/>
  <c r="DN238" i="10"/>
  <c r="BP238" i="10" s="1"/>
  <c r="DT238" i="10"/>
  <c r="DP238" i="10" s="1"/>
  <c r="BQ238" i="10" s="1"/>
  <c r="DQ238" i="10" s="1"/>
  <c r="DN447" i="10"/>
  <c r="BP447" i="10" s="1"/>
  <c r="DT447" i="10"/>
  <c r="DP447" i="10" s="1"/>
  <c r="BQ447" i="10" s="1"/>
  <c r="DQ447" i="10" s="1"/>
  <c r="DN246" i="10"/>
  <c r="BP246" i="10" s="1"/>
  <c r="DT246" i="10"/>
  <c r="DP246" i="10" s="1"/>
  <c r="BQ246" i="10" s="1"/>
  <c r="DQ246" i="10" s="1"/>
  <c r="DN752" i="10"/>
  <c r="BP752" i="10" s="1"/>
  <c r="DT752" i="10"/>
  <c r="DP752" i="10" s="1"/>
  <c r="BQ752" i="10" s="1"/>
  <c r="DQ752" i="10" s="1"/>
  <c r="DN568" i="10"/>
  <c r="BP568" i="10" s="1"/>
  <c r="DT568" i="10"/>
  <c r="DP568" i="10" s="1"/>
  <c r="BQ568" i="10" s="1"/>
  <c r="DQ568" i="10" s="1"/>
  <c r="DN724" i="10"/>
  <c r="BP724" i="10" s="1"/>
  <c r="DT724" i="10"/>
  <c r="DP724" i="10" s="1"/>
  <c r="BQ724" i="10" s="1"/>
  <c r="DQ724" i="10" s="1"/>
  <c r="DN557" i="10"/>
  <c r="BP557" i="10" s="1"/>
  <c r="DT557" i="10"/>
  <c r="DP557" i="10" s="1"/>
  <c r="BQ557" i="10" s="1"/>
  <c r="DQ557" i="10" s="1"/>
  <c r="DN634" i="10"/>
  <c r="BP634" i="10" s="1"/>
  <c r="DT634" i="10"/>
  <c r="DP634" i="10" s="1"/>
  <c r="BQ634" i="10" s="1"/>
  <c r="DQ634" i="10" s="1"/>
  <c r="DN140" i="10"/>
  <c r="BP140" i="10" s="1"/>
  <c r="DT140" i="10"/>
  <c r="DP140" i="10" s="1"/>
  <c r="BQ140" i="10" s="1"/>
  <c r="DQ140" i="10" s="1"/>
  <c r="DN359" i="10"/>
  <c r="BP359" i="10" s="1"/>
  <c r="DT359" i="10"/>
  <c r="DP359" i="10" s="1"/>
  <c r="BQ359" i="10" s="1"/>
  <c r="DQ359" i="10" s="1"/>
  <c r="DN445" i="10"/>
  <c r="BP445" i="10" s="1"/>
  <c r="DT445" i="10"/>
  <c r="DP445" i="10" s="1"/>
  <c r="BQ445" i="10" s="1"/>
  <c r="DQ445" i="10" s="1"/>
  <c r="DN716" i="10"/>
  <c r="BP716" i="10" s="1"/>
  <c r="DT716" i="10"/>
  <c r="DP716" i="10" s="1"/>
  <c r="BQ716" i="10" s="1"/>
  <c r="DQ716" i="10" s="1"/>
  <c r="DN308" i="10"/>
  <c r="BP308" i="10" s="1"/>
  <c r="DT308" i="10"/>
  <c r="DP308" i="10" s="1"/>
  <c r="BQ308" i="10" s="1"/>
  <c r="DQ308" i="10" s="1"/>
  <c r="DN219" i="10"/>
  <c r="BP219" i="10" s="1"/>
  <c r="DT219" i="10"/>
  <c r="DP219" i="10" s="1"/>
  <c r="BQ219" i="10" s="1"/>
  <c r="DQ219" i="10" s="1"/>
  <c r="DN345" i="10"/>
  <c r="BP345" i="10" s="1"/>
  <c r="DT345" i="10"/>
  <c r="DP345" i="10" s="1"/>
  <c r="BQ345" i="10" s="1"/>
  <c r="DQ345" i="10" s="1"/>
  <c r="DN325" i="10"/>
  <c r="BP325" i="10" s="1"/>
  <c r="DT325" i="10"/>
  <c r="DP325" i="10" s="1"/>
  <c r="BQ325" i="10" s="1"/>
  <c r="DQ325" i="10" s="1"/>
  <c r="DN615" i="10"/>
  <c r="BP615" i="10" s="1"/>
  <c r="DT615" i="10"/>
  <c r="DP615" i="10" s="1"/>
  <c r="BQ615" i="10" s="1"/>
  <c r="DQ615" i="10" s="1"/>
  <c r="DN650" i="10"/>
  <c r="BP650" i="10" s="1"/>
  <c r="DT650" i="10"/>
  <c r="DP650" i="10" s="1"/>
  <c r="BQ650" i="10" s="1"/>
  <c r="DQ650" i="10" s="1"/>
  <c r="DN758" i="10"/>
  <c r="BP758" i="10" s="1"/>
  <c r="DT758" i="10"/>
  <c r="DP758" i="10" s="1"/>
  <c r="BQ758" i="10" s="1"/>
  <c r="DQ758" i="10" s="1"/>
  <c r="DN562" i="10"/>
  <c r="BP562" i="10" s="1"/>
  <c r="DT562" i="10"/>
  <c r="DP562" i="10" s="1"/>
  <c r="BQ562" i="10" s="1"/>
  <c r="DQ562" i="10" s="1"/>
  <c r="DN202" i="10"/>
  <c r="BP202" i="10" s="1"/>
  <c r="DT202" i="10"/>
  <c r="DP202" i="10" s="1"/>
  <c r="BQ202" i="10" s="1"/>
  <c r="DQ202" i="10" s="1"/>
  <c r="DN711" i="10"/>
  <c r="BP711" i="10" s="1"/>
  <c r="DT711" i="10"/>
  <c r="DP711" i="10" s="1"/>
  <c r="BQ711" i="10" s="1"/>
  <c r="DQ711" i="10" s="1"/>
  <c r="DN818" i="10"/>
  <c r="BP818" i="10" s="1"/>
  <c r="DT818" i="10"/>
  <c r="DP818" i="10" s="1"/>
  <c r="BQ818" i="10" s="1"/>
  <c r="DQ818" i="10" s="1"/>
  <c r="DN554" i="10"/>
  <c r="BP554" i="10" s="1"/>
  <c r="DT554" i="10"/>
  <c r="DP554" i="10" s="1"/>
  <c r="BQ554" i="10" s="1"/>
  <c r="DQ554" i="10" s="1"/>
  <c r="DN623" i="10"/>
  <c r="BP623" i="10" s="1"/>
  <c r="DT623" i="10"/>
  <c r="DP623" i="10" s="1"/>
  <c r="BQ623" i="10" s="1"/>
  <c r="DQ623" i="10" s="1"/>
  <c r="DN496" i="10"/>
  <c r="BP496" i="10" s="1"/>
  <c r="DT496" i="10"/>
  <c r="DP496" i="10" s="1"/>
  <c r="BQ496" i="10" s="1"/>
  <c r="DQ496" i="10" s="1"/>
  <c r="DN30" i="10"/>
  <c r="BP30" i="10" s="1"/>
  <c r="DT30" i="10"/>
  <c r="DP30" i="10" s="1"/>
  <c r="BQ30" i="10" s="1"/>
  <c r="DQ30" i="10" s="1"/>
  <c r="DN428" i="10"/>
  <c r="BP428" i="10" s="1"/>
  <c r="DT428" i="10"/>
  <c r="DP428" i="10" s="1"/>
  <c r="BQ428" i="10" s="1"/>
  <c r="DQ428" i="10" s="1"/>
  <c r="DN773" i="10"/>
  <c r="BP773" i="10" s="1"/>
  <c r="DT773" i="10"/>
  <c r="DP773" i="10" s="1"/>
  <c r="BQ773" i="10" s="1"/>
  <c r="DQ773" i="10" s="1"/>
  <c r="DN387" i="10"/>
  <c r="BP387" i="10" s="1"/>
  <c r="DT387" i="10"/>
  <c r="DP387" i="10" s="1"/>
  <c r="BQ387" i="10" s="1"/>
  <c r="DQ387" i="10" s="1"/>
  <c r="DN390" i="10"/>
  <c r="BP390" i="10" s="1"/>
  <c r="DT390" i="10"/>
  <c r="DP390" i="10" s="1"/>
  <c r="BQ390" i="10" s="1"/>
  <c r="DQ390" i="10" s="1"/>
  <c r="DN243" i="10"/>
  <c r="BP243" i="10" s="1"/>
  <c r="DT243" i="10"/>
  <c r="DP243" i="10" s="1"/>
  <c r="BQ243" i="10" s="1"/>
  <c r="DQ243" i="10" s="1"/>
  <c r="DN157" i="10"/>
  <c r="BP157" i="10" s="1"/>
  <c r="DT157" i="10"/>
  <c r="DP157" i="10" s="1"/>
  <c r="BQ157" i="10" s="1"/>
  <c r="DQ157" i="10" s="1"/>
  <c r="DN38" i="10"/>
  <c r="BP38" i="10" s="1"/>
  <c r="DT38" i="10"/>
  <c r="DP38" i="10" s="1"/>
  <c r="BQ38" i="10" s="1"/>
  <c r="DQ38" i="10" s="1"/>
  <c r="DN797" i="10"/>
  <c r="BP797" i="10" s="1"/>
  <c r="DT797" i="10"/>
  <c r="DP797" i="10" s="1"/>
  <c r="BQ797" i="10" s="1"/>
  <c r="DQ797" i="10" s="1"/>
  <c r="DN573" i="10"/>
  <c r="BP573" i="10" s="1"/>
  <c r="DT573" i="10"/>
  <c r="DP573" i="10" s="1"/>
  <c r="BQ573" i="10" s="1"/>
  <c r="DQ573" i="10" s="1"/>
  <c r="DN800" i="10"/>
  <c r="BP800" i="10" s="1"/>
  <c r="DT800" i="10"/>
  <c r="DP800" i="10" s="1"/>
  <c r="BQ800" i="10" s="1"/>
  <c r="DQ800" i="10" s="1"/>
  <c r="AI30" i="9"/>
  <c r="AI36" i="9"/>
  <c r="V26" i="9"/>
  <c r="V36" i="9"/>
  <c r="V30" i="9"/>
  <c r="Y32" i="9"/>
  <c r="W32" i="9"/>
  <c r="I91" i="7"/>
  <c r="AK26" i="9"/>
  <c r="AB26" i="9"/>
  <c r="AG26" i="9"/>
  <c r="AO29" i="9"/>
  <c r="AS36" i="9"/>
  <c r="AS30" i="9"/>
  <c r="Q36" i="9"/>
  <c r="Q30" i="9"/>
  <c r="AP30" i="9"/>
  <c r="AP36" i="9"/>
  <c r="AJ32" i="9"/>
  <c r="V32" i="9"/>
  <c r="AD36" i="9"/>
  <c r="AD30" i="9"/>
  <c r="S26" i="9"/>
  <c r="AE29" i="9"/>
  <c r="U29" i="9"/>
  <c r="W30" i="9"/>
  <c r="W36" i="9"/>
  <c r="AL36" i="9"/>
  <c r="AL30" i="9"/>
  <c r="AM30" i="9"/>
  <c r="AM36" i="9"/>
  <c r="AE32" i="9"/>
  <c r="AS29" i="9"/>
  <c r="U36" i="9"/>
  <c r="U30" i="9"/>
  <c r="X32" i="9"/>
  <c r="AB30" i="9"/>
  <c r="AB36" i="9"/>
  <c r="P36" i="9"/>
  <c r="P30" i="9"/>
  <c r="AL32" i="9"/>
  <c r="I90" i="7"/>
  <c r="AA26" i="9"/>
  <c r="AN26" i="9"/>
  <c r="AI26" i="9"/>
  <c r="Z29" i="9"/>
  <c r="AQ29" i="9"/>
  <c r="AR30" i="9"/>
  <c r="AR36" i="9"/>
  <c r="AF32" i="9"/>
  <c r="M14" i="9"/>
  <c r="O26" i="9"/>
  <c r="AN29" i="9"/>
  <c r="AO30" i="9"/>
  <c r="AO36" i="9"/>
  <c r="Z30" i="9"/>
  <c r="AG36" i="9"/>
  <c r="AG30" i="9"/>
  <c r="H116" i="7"/>
  <c r="M20" i="9"/>
  <c r="AF36" i="9"/>
  <c r="AF30" i="9"/>
  <c r="M24" i="9"/>
  <c r="O36" i="9"/>
  <c r="AH32" i="9"/>
  <c r="AC26" i="9"/>
  <c r="AS26" i="9"/>
  <c r="AJ29" i="9"/>
  <c r="AJ36" i="9"/>
  <c r="AJ30" i="9"/>
  <c r="AH30" i="9"/>
  <c r="AH36" i="9"/>
  <c r="ED15" i="10"/>
  <c r="EA15" i="10"/>
  <c r="AG32" i="9"/>
  <c r="AC32" i="9"/>
  <c r="AS32" i="9"/>
  <c r="M17" i="9"/>
  <c r="O30" i="9"/>
  <c r="O35" i="9"/>
  <c r="M35" i="9" s="1"/>
  <c r="J107" i="7" s="1"/>
  <c r="K105" i="7"/>
  <c r="T26" i="9"/>
  <c r="AM26" i="9"/>
  <c r="AI29" i="9"/>
  <c r="AG29" i="9"/>
  <c r="AN30" i="9"/>
  <c r="AN36" i="9"/>
  <c r="R36" i="9"/>
  <c r="R30" i="9"/>
  <c r="AP32" i="9"/>
  <c r="Z32" i="9"/>
  <c r="Q32" i="9"/>
  <c r="AO26" i="9"/>
  <c r="R26" i="9"/>
  <c r="AH29" i="9"/>
  <c r="AK36" i="9"/>
  <c r="AQ32" i="9"/>
  <c r="U32" i="9"/>
  <c r="AR32" i="9"/>
  <c r="AE36" i="9"/>
  <c r="I89" i="7"/>
  <c r="X14" i="3"/>
  <c r="W16" i="3"/>
  <c r="AB14" i="3"/>
  <c r="AA16" i="3"/>
  <c r="F14" i="3"/>
  <c r="G14" i="3" s="1"/>
  <c r="F16" i="3"/>
  <c r="G16" i="3" s="1"/>
  <c r="Q16" i="3"/>
  <c r="O16" i="3"/>
  <c r="I81" i="7" l="1"/>
  <c r="I98" i="7"/>
  <c r="K107" i="7" s="1"/>
  <c r="M27" i="9"/>
  <c r="S105" i="7" s="1"/>
  <c r="DR263" i="10"/>
  <c r="EJ958" i="10"/>
  <c r="EK194" i="10"/>
  <c r="EJ194" i="10"/>
  <c r="EH263" i="10"/>
  <c r="DR958" i="10"/>
  <c r="EK150" i="10"/>
  <c r="EK898" i="10"/>
  <c r="EH194" i="10"/>
  <c r="EH898" i="10"/>
  <c r="EJ979" i="10"/>
  <c r="EI194" i="10"/>
  <c r="DR772" i="10"/>
  <c r="EK958" i="10"/>
  <c r="EJ898" i="10"/>
  <c r="EH963" i="10"/>
  <c r="K106" i="7"/>
  <c r="K104" i="7"/>
  <c r="EH713" i="10"/>
  <c r="M34" i="9"/>
  <c r="J106" i="7" s="1"/>
  <c r="EI748" i="10"/>
  <c r="EI673" i="10"/>
  <c r="EH587" i="10"/>
  <c r="EJ191" i="10"/>
  <c r="EJ466" i="10"/>
  <c r="EH159" i="10"/>
  <c r="DR669" i="10"/>
  <c r="EI605" i="10"/>
  <c r="DR814" i="10"/>
  <c r="DR817" i="10"/>
  <c r="DR430" i="10"/>
  <c r="EI624" i="10"/>
  <c r="EJ936" i="10"/>
  <c r="DR350" i="10"/>
  <c r="EJ700" i="10"/>
  <c r="DR673" i="10"/>
  <c r="EI466" i="10"/>
  <c r="EI212" i="10"/>
  <c r="EJ760" i="10"/>
  <c r="EK605" i="10"/>
  <c r="EH814" i="10"/>
  <c r="EI88" i="10"/>
  <c r="EI857" i="10"/>
  <c r="EI817" i="10"/>
  <c r="EK430" i="10"/>
  <c r="EK624" i="10"/>
  <c r="DR897" i="10"/>
  <c r="EK460" i="10"/>
  <c r="EI268" i="10"/>
  <c r="EH350" i="10"/>
  <c r="EK760" i="10"/>
  <c r="DR88" i="10"/>
  <c r="EI430" i="10"/>
  <c r="EK673" i="10"/>
  <c r="EJ323" i="10"/>
  <c r="DR385" i="10"/>
  <c r="DR760" i="10"/>
  <c r="EK817" i="10"/>
  <c r="EJ857" i="10"/>
  <c r="EJ430" i="10"/>
  <c r="EH173" i="10"/>
  <c r="EH897" i="10"/>
  <c r="EI149" i="10"/>
  <c r="EK159" i="10"/>
  <c r="EK385" i="10"/>
  <c r="EH857" i="10"/>
  <c r="DR936" i="10"/>
  <c r="EH989" i="10"/>
  <c r="EH200" i="10"/>
  <c r="DR191" i="10"/>
  <c r="EJ159" i="10"/>
  <c r="DR857" i="10"/>
  <c r="EH936" i="10"/>
  <c r="EJ989" i="10"/>
  <c r="EK669" i="10"/>
  <c r="EJ669" i="10"/>
  <c r="EJ817" i="10"/>
  <c r="M33" i="9"/>
  <c r="J105" i="7" s="1"/>
  <c r="M28" i="9"/>
  <c r="S106" i="7" s="1"/>
  <c r="T107" i="7"/>
  <c r="M29" i="9"/>
  <c r="S107" i="7" s="1"/>
  <c r="M32" i="9"/>
  <c r="J104" i="7" s="1"/>
  <c r="DR963" i="10"/>
  <c r="EH932" i="10"/>
  <c r="EK963" i="10"/>
  <c r="BR406" i="10"/>
  <c r="EI406" i="10" s="1"/>
  <c r="EK200" i="10"/>
  <c r="BR873" i="10"/>
  <c r="EJ963" i="10"/>
  <c r="EK719" i="10"/>
  <c r="DR979" i="10"/>
  <c r="EJ930" i="10"/>
  <c r="BR214" i="10"/>
  <c r="DR977" i="10"/>
  <c r="EH979" i="10"/>
  <c r="EK930" i="10"/>
  <c r="EI977" i="10"/>
  <c r="EK979" i="10"/>
  <c r="BR896" i="10"/>
  <c r="EI719" i="10"/>
  <c r="DO928" i="10"/>
  <c r="BR928" i="10"/>
  <c r="EJ645" i="10"/>
  <c r="DR212" i="10"/>
  <c r="DR910" i="10"/>
  <c r="DR929" i="10"/>
  <c r="DR927" i="10"/>
  <c r="DO802" i="10"/>
  <c r="BR802" i="10"/>
  <c r="BR884" i="10"/>
  <c r="EI884" i="10" s="1"/>
  <c r="EK645" i="10"/>
  <c r="EH588" i="10"/>
  <c r="EJ929" i="10"/>
  <c r="EJ927" i="10"/>
  <c r="BR997" i="10"/>
  <c r="EI997" i="10" s="1"/>
  <c r="BR258" i="10"/>
  <c r="EH258" i="10" s="1"/>
  <c r="EK877" i="10"/>
  <c r="EI588" i="10"/>
  <c r="BR242" i="10"/>
  <c r="BR835" i="10"/>
  <c r="BR847" i="10"/>
  <c r="EJ847" i="10" s="1"/>
  <c r="EH645" i="10"/>
  <c r="EH470" i="10"/>
  <c r="DR645" i="10"/>
  <c r="EJ552" i="10"/>
  <c r="DO425" i="10"/>
  <c r="DR844" i="10"/>
  <c r="EH877" i="10"/>
  <c r="EJ814" i="10"/>
  <c r="EJ588" i="10"/>
  <c r="EJ877" i="10"/>
  <c r="DR588" i="10"/>
  <c r="BR1002" i="10"/>
  <c r="DR736" i="10"/>
  <c r="EI822" i="10"/>
  <c r="BR813" i="10"/>
  <c r="EJ813" i="10" s="1"/>
  <c r="EI929" i="10"/>
  <c r="EJ822" i="10"/>
  <c r="EH352" i="10"/>
  <c r="BR98" i="10"/>
  <c r="DR98" i="10" s="1"/>
  <c r="BR236" i="10"/>
  <c r="EI515" i="10"/>
  <c r="EK822" i="10"/>
  <c r="BR861" i="10"/>
  <c r="EI861" i="10" s="1"/>
  <c r="BR437" i="10"/>
  <c r="BR661" i="10"/>
  <c r="EH661" i="10" s="1"/>
  <c r="BR741" i="10"/>
  <c r="EI741" i="10" s="1"/>
  <c r="EH930" i="10"/>
  <c r="BR586" i="10"/>
  <c r="BR558" i="10"/>
  <c r="DO808" i="10"/>
  <c r="BR808" i="10"/>
  <c r="EK149" i="10"/>
  <c r="EH515" i="10"/>
  <c r="EK910" i="10"/>
  <c r="BR968" i="10"/>
  <c r="EJ968" i="10" s="1"/>
  <c r="DR930" i="10"/>
  <c r="BR654" i="10"/>
  <c r="EI654" i="10" s="1"/>
  <c r="DO949" i="10"/>
  <c r="BR949" i="10"/>
  <c r="DO944" i="10"/>
  <c r="BR944" i="10"/>
  <c r="EJ149" i="10"/>
  <c r="EK515" i="10"/>
  <c r="DR877" i="10"/>
  <c r="EK736" i="10"/>
  <c r="DO839" i="10"/>
  <c r="BR839" i="10"/>
  <c r="EK223" i="10"/>
  <c r="EH223" i="10"/>
  <c r="EK173" i="10"/>
  <c r="EJ395" i="10"/>
  <c r="DR1001" i="10"/>
  <c r="EH736" i="10"/>
  <c r="DR858" i="10"/>
  <c r="EK750" i="10"/>
  <c r="EJ275" i="10"/>
  <c r="BR211" i="10"/>
  <c r="EI211" i="10" s="1"/>
  <c r="EK636" i="10"/>
  <c r="EI1001" i="10"/>
  <c r="EH1004" i="10"/>
  <c r="EK322" i="10"/>
  <c r="EH322" i="10"/>
  <c r="EH869" i="10"/>
  <c r="EK659" i="10"/>
  <c r="DR853" i="10"/>
  <c r="DR631" i="10"/>
  <c r="EI365" i="10"/>
  <c r="DR389" i="10"/>
  <c r="EK772" i="10"/>
  <c r="EK321" i="10"/>
  <c r="EI858" i="10"/>
  <c r="EK869" i="10"/>
  <c r="DR750" i="10"/>
  <c r="EI601" i="10"/>
  <c r="EI853" i="10"/>
  <c r="EH149" i="10"/>
  <c r="EH822" i="10"/>
  <c r="DR826" i="10"/>
  <c r="EK178" i="10"/>
  <c r="EJ389" i="10"/>
  <c r="EI173" i="10"/>
  <c r="EI772" i="10"/>
  <c r="BR771" i="10"/>
  <c r="EI771" i="10" s="1"/>
  <c r="EH321" i="10"/>
  <c r="DR483" i="10"/>
  <c r="EJ750" i="10"/>
  <c r="EH601" i="10"/>
  <c r="EJ853" i="10"/>
  <c r="EJ661" i="10"/>
  <c r="EK212" i="10"/>
  <c r="EI826" i="10"/>
  <c r="EI482" i="10"/>
  <c r="EI389" i="10"/>
  <c r="EJ772" i="10"/>
  <c r="BR792" i="10"/>
  <c r="EH792" i="10" s="1"/>
  <c r="EJ1001" i="10"/>
  <c r="EI296" i="10"/>
  <c r="BR952" i="10"/>
  <c r="EK952" i="10" s="1"/>
  <c r="EI223" i="10"/>
  <c r="EJ826" i="10"/>
  <c r="EJ215" i="10"/>
  <c r="EI638" i="10"/>
  <c r="EH298" i="10"/>
  <c r="EH826" i="10"/>
  <c r="EK526" i="10"/>
  <c r="EJ482" i="10"/>
  <c r="EK389" i="10"/>
  <c r="BR986" i="10"/>
  <c r="DR986" i="10" s="1"/>
  <c r="BR899" i="10"/>
  <c r="EI899" i="10" s="1"/>
  <c r="EK1001" i="10"/>
  <c r="EK638" i="10"/>
  <c r="EJ523" i="10"/>
  <c r="DR526" i="10"/>
  <c r="EH482" i="10"/>
  <c r="EH523" i="10"/>
  <c r="EJ268" i="10"/>
  <c r="EI736" i="10"/>
  <c r="EK296" i="10"/>
  <c r="EI321" i="10"/>
  <c r="EJ638" i="10"/>
  <c r="EK523" i="10"/>
  <c r="EH636" i="10"/>
  <c r="EI526" i="10"/>
  <c r="EK482" i="10"/>
  <c r="EK843" i="10"/>
  <c r="BR320" i="10"/>
  <c r="EH320" i="10" s="1"/>
  <c r="EJ321" i="10"/>
  <c r="DR638" i="10"/>
  <c r="EK537" i="10"/>
  <c r="EH526" i="10"/>
  <c r="EH591" i="10"/>
  <c r="EJ843" i="10"/>
  <c r="BR405" i="10"/>
  <c r="EJ405" i="10" s="1"/>
  <c r="BR116" i="10"/>
  <c r="EI116" i="10" s="1"/>
  <c r="DO667" i="10"/>
  <c r="BR667" i="10"/>
  <c r="DO541" i="10"/>
  <c r="BR541" i="10"/>
  <c r="EI760" i="10"/>
  <c r="EK591" i="10"/>
  <c r="EK989" i="10"/>
  <c r="DR223" i="10"/>
  <c r="BR655" i="10"/>
  <c r="DO655" i="10"/>
  <c r="EI869" i="10"/>
  <c r="BR870" i="10"/>
  <c r="DR870" i="10" s="1"/>
  <c r="EK209" i="10"/>
  <c r="EJ365" i="10"/>
  <c r="DR173" i="10"/>
  <c r="BR289" i="10"/>
  <c r="DR989" i="10"/>
  <c r="EH659" i="10"/>
  <c r="EJ636" i="10"/>
  <c r="EH137" i="10"/>
  <c r="DO193" i="10"/>
  <c r="BR193" i="10"/>
  <c r="DO199" i="10"/>
  <c r="BR199" i="10"/>
  <c r="DQ313" i="10"/>
  <c r="BR313" i="10"/>
  <c r="EK932" i="10"/>
  <c r="EH742" i="10"/>
  <c r="EI135" i="10"/>
  <c r="DR932" i="10"/>
  <c r="EK948" i="10"/>
  <c r="EK348" i="10"/>
  <c r="EK742" i="10"/>
  <c r="EH147" i="10"/>
  <c r="BR443" i="10"/>
  <c r="EI443" i="10" s="1"/>
  <c r="EJ932" i="10"/>
  <c r="EH948" i="10"/>
  <c r="DR348" i="10"/>
  <c r="DR742" i="10"/>
  <c r="EI147" i="10"/>
  <c r="EH333" i="10"/>
  <c r="EI948" i="10"/>
  <c r="EK333" i="10"/>
  <c r="EI742" i="10"/>
  <c r="DR50" i="10"/>
  <c r="EJ147" i="10"/>
  <c r="EJ348" i="10"/>
  <c r="EH348" i="10"/>
  <c r="BR382" i="10"/>
  <c r="EJ50" i="10"/>
  <c r="DR333" i="10"/>
  <c r="DR147" i="10"/>
  <c r="BR245" i="10"/>
  <c r="EH245" i="10" s="1"/>
  <c r="EI50" i="10"/>
  <c r="BR730" i="10"/>
  <c r="EK730" i="10" s="1"/>
  <c r="DR948" i="10"/>
  <c r="EJ333" i="10"/>
  <c r="BR670" i="10"/>
  <c r="EJ83" i="10"/>
  <c r="BR336" i="10"/>
  <c r="DR336" i="10" s="1"/>
  <c r="BR288" i="10"/>
  <c r="EH288" i="10" s="1"/>
  <c r="EK83" i="10"/>
  <c r="EI232" i="10"/>
  <c r="DR957" i="10"/>
  <c r="BR65" i="10"/>
  <c r="DR65" i="10" s="1"/>
  <c r="EJ957" i="10"/>
  <c r="DR455" i="10"/>
  <c r="EH714" i="10"/>
  <c r="EJ232" i="10"/>
  <c r="EI957" i="10"/>
  <c r="EJ455" i="10"/>
  <c r="BR505" i="10"/>
  <c r="BR717" i="10"/>
  <c r="DR717" i="10" s="1"/>
  <c r="BR798" i="10"/>
  <c r="EJ798" i="10" s="1"/>
  <c r="DQ344" i="10"/>
  <c r="BR344" i="10"/>
  <c r="EK455" i="10"/>
  <c r="EJ823" i="10"/>
  <c r="EH823" i="10"/>
  <c r="EI823" i="10"/>
  <c r="EK823" i="10"/>
  <c r="DR823" i="10"/>
  <c r="BR995" i="10"/>
  <c r="EI995" i="10" s="1"/>
  <c r="EH455" i="10"/>
  <c r="K108" i="7"/>
  <c r="BR664" i="10"/>
  <c r="BR205" i="10"/>
  <c r="BR768" i="10"/>
  <c r="BR122" i="10"/>
  <c r="DR714" i="10"/>
  <c r="EI714" i="10"/>
  <c r="BR248" i="10"/>
  <c r="EH248" i="10" s="1"/>
  <c r="EI688" i="10"/>
  <c r="DQ400" i="10"/>
  <c r="BR400" i="10"/>
  <c r="DR328" i="10"/>
  <c r="EI328" i="10"/>
  <c r="EK328" i="10"/>
  <c r="EJ328" i="10"/>
  <c r="EJ66" i="10"/>
  <c r="EK714" i="10"/>
  <c r="DQ677" i="10"/>
  <c r="BR677" i="10"/>
  <c r="DR232" i="10"/>
  <c r="EH232" i="10"/>
  <c r="EI591" i="10"/>
  <c r="EJ346" i="10"/>
  <c r="EJ322" i="10"/>
  <c r="DR322" i="10"/>
  <c r="EJ591" i="10"/>
  <c r="DR176" i="10"/>
  <c r="EK176" i="10"/>
  <c r="EI176" i="10"/>
  <c r="DR841" i="10"/>
  <c r="EH841" i="10"/>
  <c r="EJ841" i="10"/>
  <c r="EK841" i="10"/>
  <c r="DR395" i="10"/>
  <c r="BR224" i="10"/>
  <c r="EJ298" i="10"/>
  <c r="EK604" i="10"/>
  <c r="BR146" i="10"/>
  <c r="EI215" i="10"/>
  <c r="DR813" i="10"/>
  <c r="EH228" i="10"/>
  <c r="EK868" i="10"/>
  <c r="EK215" i="10"/>
  <c r="DO358" i="10"/>
  <c r="BR358" i="10"/>
  <c r="DR268" i="10"/>
  <c r="DR215" i="10"/>
  <c r="EK268" i="10"/>
  <c r="DQ360" i="10"/>
  <c r="BR360" i="10"/>
  <c r="DR281" i="10"/>
  <c r="EK281" i="10"/>
  <c r="EH281" i="10"/>
  <c r="EJ281" i="10"/>
  <c r="EI281" i="10"/>
  <c r="DQ451" i="10"/>
  <c r="BR451" i="10"/>
  <c r="EI868" i="10"/>
  <c r="DQ863" i="10"/>
  <c r="BR863" i="10"/>
  <c r="EI523" i="10"/>
  <c r="EK218" i="10"/>
  <c r="EH218" i="10"/>
  <c r="EJ218" i="10"/>
  <c r="EI218" i="10"/>
  <c r="DR218" i="10"/>
  <c r="DR745" i="10"/>
  <c r="BR643" i="10"/>
  <c r="EH643" i="10" s="1"/>
  <c r="DQ521" i="10"/>
  <c r="BR521" i="10"/>
  <c r="DR868" i="10"/>
  <c r="EJ868" i="10"/>
  <c r="DQ683" i="10"/>
  <c r="BR683" i="10"/>
  <c r="BR1010" i="10"/>
  <c r="EH1010" i="10" s="1"/>
  <c r="EK748" i="10"/>
  <c r="EJ999" i="10"/>
  <c r="EH748" i="10"/>
  <c r="EJ654" i="10"/>
  <c r="EI999" i="10"/>
  <c r="DQ872" i="10"/>
  <c r="BR872" i="10"/>
  <c r="EH494" i="10"/>
  <c r="EI494" i="10"/>
  <c r="EK494" i="10"/>
  <c r="DR494" i="10"/>
  <c r="EJ494" i="10"/>
  <c r="EI197" i="10"/>
  <c r="EJ197" i="10"/>
  <c r="DR197" i="10"/>
  <c r="EK197" i="10"/>
  <c r="EH197" i="10"/>
  <c r="EJ748" i="10"/>
  <c r="BR471" i="10"/>
  <c r="EJ471" i="10" s="1"/>
  <c r="EK654" i="10"/>
  <c r="EK999" i="10"/>
  <c r="DR999" i="10"/>
  <c r="EH167" i="10"/>
  <c r="EK1011" i="10"/>
  <c r="EK571" i="10"/>
  <c r="EH571" i="10"/>
  <c r="EI571" i="10"/>
  <c r="DR571" i="10"/>
  <c r="EJ571" i="10"/>
  <c r="BR577" i="10"/>
  <c r="BR583" i="10"/>
  <c r="EK583" i="10" s="1"/>
  <c r="EI1011" i="10"/>
  <c r="EJ688" i="10"/>
  <c r="EK187" i="10"/>
  <c r="DR187" i="10"/>
  <c r="EH187" i="10"/>
  <c r="EI187" i="10"/>
  <c r="EH460" i="10"/>
  <c r="EJ460" i="10"/>
  <c r="EJ621" i="10"/>
  <c r="BR433" i="10"/>
  <c r="EH1011" i="10"/>
  <c r="DQ984" i="10"/>
  <c r="BR984" i="10"/>
  <c r="EK473" i="10"/>
  <c r="EH473" i="10"/>
  <c r="EI473" i="10"/>
  <c r="DR473" i="10"/>
  <c r="EJ473" i="10"/>
  <c r="DR82" i="10"/>
  <c r="EI167" i="10"/>
  <c r="EK167" i="10"/>
  <c r="DR1011" i="10"/>
  <c r="EK446" i="10"/>
  <c r="EI446" i="10"/>
  <c r="EH446" i="10"/>
  <c r="EJ446" i="10"/>
  <c r="EJ82" i="10"/>
  <c r="EJ719" i="10"/>
  <c r="DR719" i="10"/>
  <c r="EK514" i="10"/>
  <c r="EH514" i="10"/>
  <c r="DR514" i="10"/>
  <c r="EI514" i="10"/>
  <c r="EK454" i="10"/>
  <c r="DR454" i="10"/>
  <c r="EH454" i="10"/>
  <c r="EI454" i="10"/>
  <c r="EJ454" i="10"/>
  <c r="DR167" i="10"/>
  <c r="BR309" i="10"/>
  <c r="DR309" i="10" s="1"/>
  <c r="DR987" i="10"/>
  <c r="EH987" i="10"/>
  <c r="BR699" i="10"/>
  <c r="EJ699" i="10" s="1"/>
  <c r="BR104" i="10"/>
  <c r="EH104" i="10" s="1"/>
  <c r="EK987" i="10"/>
  <c r="EJ987" i="10"/>
  <c r="EK892" i="10"/>
  <c r="EJ892" i="10"/>
  <c r="EI476" i="10"/>
  <c r="EJ476" i="10"/>
  <c r="EH476" i="10"/>
  <c r="EK476" i="10"/>
  <c r="DR476" i="10"/>
  <c r="EH892" i="10"/>
  <c r="EI892" i="10"/>
  <c r="EI524" i="10"/>
  <c r="EK524" i="10"/>
  <c r="EJ524" i="10"/>
  <c r="EH524" i="10"/>
  <c r="DR524" i="10"/>
  <c r="DR286" i="10"/>
  <c r="EH286" i="10"/>
  <c r="EI286" i="10"/>
  <c r="EJ286" i="10"/>
  <c r="EK286" i="10"/>
  <c r="DR298" i="10"/>
  <c r="DR604" i="10"/>
  <c r="EK621" i="10"/>
  <c r="EK470" i="10"/>
  <c r="EI275" i="10"/>
  <c r="EK552" i="10"/>
  <c r="EH844" i="10"/>
  <c r="DR66" i="10"/>
  <c r="DR135" i="10"/>
  <c r="EI137" i="10"/>
  <c r="EH293" i="10"/>
  <c r="BR180" i="10"/>
  <c r="EK180" i="10" s="1"/>
  <c r="BR909" i="10"/>
  <c r="EK909" i="10" s="1"/>
  <c r="BR725" i="10"/>
  <c r="EK927" i="10"/>
  <c r="EI927" i="10"/>
  <c r="EK901" i="10"/>
  <c r="EI901" i="10"/>
  <c r="EH901" i="10"/>
  <c r="EJ901" i="10"/>
  <c r="DR901" i="10"/>
  <c r="DQ598" i="10"/>
  <c r="BR598" i="10"/>
  <c r="EI621" i="10"/>
  <c r="EK29" i="10"/>
  <c r="EH275" i="10"/>
  <c r="EI552" i="10"/>
  <c r="BR855" i="10"/>
  <c r="EK844" i="10"/>
  <c r="DR649" i="10"/>
  <c r="EK66" i="10"/>
  <c r="EH765" i="10"/>
  <c r="EJ135" i="10"/>
  <c r="BR399" i="10"/>
  <c r="EJ137" i="10"/>
  <c r="EI293" i="10"/>
  <c r="BR681" i="10"/>
  <c r="EH681" i="10" s="1"/>
  <c r="DQ595" i="10"/>
  <c r="BR595" i="10"/>
  <c r="DR200" i="10"/>
  <c r="EJ200" i="10"/>
  <c r="EH621" i="10"/>
  <c r="EI29" i="10"/>
  <c r="EH552" i="10"/>
  <c r="EI66" i="10"/>
  <c r="EH135" i="10"/>
  <c r="DR137" i="10"/>
  <c r="EK293" i="10"/>
  <c r="DR320" i="10"/>
  <c r="EI320" i="10"/>
  <c r="EK320" i="10"/>
  <c r="EH29" i="10"/>
  <c r="EJ819" i="10"/>
  <c r="DR819" i="10"/>
  <c r="DR507" i="10"/>
  <c r="EJ951" i="10"/>
  <c r="DR951" i="10"/>
  <c r="EK951" i="10"/>
  <c r="EH951" i="10"/>
  <c r="EI951" i="10"/>
  <c r="EI323" i="10"/>
  <c r="EK507" i="10"/>
  <c r="EJ884" i="10"/>
  <c r="BR676" i="10"/>
  <c r="EH676" i="10" s="1"/>
  <c r="DR338" i="10"/>
  <c r="BR774" i="10"/>
  <c r="EK774" i="10" s="1"/>
  <c r="BR101" i="10"/>
  <c r="EH731" i="10"/>
  <c r="EI731" i="10"/>
  <c r="EJ731" i="10"/>
  <c r="EK731" i="10"/>
  <c r="DR731" i="10"/>
  <c r="DQ182" i="10"/>
  <c r="BR182" i="10"/>
  <c r="EH688" i="10"/>
  <c r="EK688" i="10"/>
  <c r="EJ647" i="10"/>
  <c r="EI647" i="10"/>
  <c r="EK647" i="10"/>
  <c r="DR647" i="10"/>
  <c r="EH647" i="10"/>
  <c r="EH813" i="10"/>
  <c r="DQ271" i="10"/>
  <c r="BR271" i="10"/>
  <c r="EI452" i="10"/>
  <c r="EJ452" i="10"/>
  <c r="EK452" i="10"/>
  <c r="DR452" i="10"/>
  <c r="EH452" i="10"/>
  <c r="BR531" i="10"/>
  <c r="EK531" i="10" s="1"/>
  <c r="DQ967" i="10"/>
  <c r="BR967" i="10"/>
  <c r="BR959" i="10"/>
  <c r="EI959" i="10" s="1"/>
  <c r="EI813" i="10"/>
  <c r="EK275" i="10"/>
  <c r="EK813" i="10"/>
  <c r="EJ695" i="10"/>
  <c r="EJ564" i="10"/>
  <c r="BR56" i="10"/>
  <c r="EH56" i="10" s="1"/>
  <c r="DQ970" i="10"/>
  <c r="BR970" i="10"/>
  <c r="EH847" i="10"/>
  <c r="DR847" i="10"/>
  <c r="EK847" i="10"/>
  <c r="EI847" i="10"/>
  <c r="DR164" i="10"/>
  <c r="EJ164" i="10"/>
  <c r="EK164" i="10"/>
  <c r="EI164" i="10"/>
  <c r="EH164" i="10"/>
  <c r="BR513" i="10"/>
  <c r="DR513" i="10" s="1"/>
  <c r="DQ513" i="10"/>
  <c r="EI437" i="10"/>
  <c r="BR411" i="10"/>
  <c r="EH411" i="10" s="1"/>
  <c r="EH695" i="10"/>
  <c r="EJ804" i="10"/>
  <c r="EI444" i="10"/>
  <c r="EI631" i="10"/>
  <c r="DR352" i="10"/>
  <c r="EI105" i="10"/>
  <c r="EI468" i="10"/>
  <c r="EJ293" i="10"/>
  <c r="EI263" i="10"/>
  <c r="EI395" i="10"/>
  <c r="BR280" i="10"/>
  <c r="BR603" i="10"/>
  <c r="EJ603" i="10" s="1"/>
  <c r="DO920" i="10"/>
  <c r="BR920" i="10"/>
  <c r="DO971" i="10"/>
  <c r="BR971" i="10"/>
  <c r="EK437" i="10"/>
  <c r="DR765" i="10"/>
  <c r="EI252" i="10"/>
  <c r="EK695" i="10"/>
  <c r="DR804" i="10"/>
  <c r="EI555" i="10"/>
  <c r="EI352" i="10"/>
  <c r="EK468" i="10"/>
  <c r="EK585" i="10"/>
  <c r="EK395" i="10"/>
  <c r="BR786" i="10"/>
  <c r="EJ786" i="10" s="1"/>
  <c r="BR976" i="10"/>
  <c r="EJ976" i="10" s="1"/>
  <c r="EH555" i="10"/>
  <c r="EJ468" i="10"/>
  <c r="EH585" i="10"/>
  <c r="DO983" i="10"/>
  <c r="BR983" i="10"/>
  <c r="DO687" i="10"/>
  <c r="BR687" i="10"/>
  <c r="DR156" i="10"/>
  <c r="DR555" i="10"/>
  <c r="DO833" i="10"/>
  <c r="BR833" i="10"/>
  <c r="EI156" i="10"/>
  <c r="EJ555" i="10"/>
  <c r="DO250" i="10"/>
  <c r="BR250" i="10"/>
  <c r="BR891" i="10"/>
  <c r="DO891" i="10"/>
  <c r="DO610" i="10"/>
  <c r="BR610" i="10"/>
  <c r="EH837" i="10"/>
  <c r="DR837" i="10"/>
  <c r="BR251" i="10"/>
  <c r="DO560" i="10"/>
  <c r="BR560" i="10"/>
  <c r="EH83" i="10"/>
  <c r="DR437" i="10"/>
  <c r="EH853" i="10"/>
  <c r="EI695" i="10"/>
  <c r="EI837" i="10"/>
  <c r="EH212" i="10"/>
  <c r="EK352" i="10"/>
  <c r="EH105" i="10"/>
  <c r="EH604" i="10"/>
  <c r="EK263" i="10"/>
  <c r="EH431" i="10"/>
  <c r="DR431" i="10"/>
  <c r="EJ431" i="10"/>
  <c r="EI431" i="10"/>
  <c r="EK431" i="10"/>
  <c r="EJ837" i="10"/>
  <c r="EJ765" i="10"/>
  <c r="EI604" i="10"/>
  <c r="DO663" i="10"/>
  <c r="BR663" i="10"/>
  <c r="EK62" i="10"/>
  <c r="EI62" i="10"/>
  <c r="EI60" i="10"/>
  <c r="EK60" i="10"/>
  <c r="EH88" i="10"/>
  <c r="DR86" i="10"/>
  <c r="EK88" i="10"/>
  <c r="EK105" i="10"/>
  <c r="EJ105" i="10"/>
  <c r="EI83" i="10"/>
  <c r="EH60" i="10"/>
  <c r="EK50" i="10"/>
  <c r="EJ60" i="10"/>
  <c r="EK101" i="10"/>
  <c r="EK108" i="10"/>
  <c r="DR108" i="10"/>
  <c r="DO80" i="10"/>
  <c r="BR80" i="10"/>
  <c r="EJ43" i="10"/>
  <c r="EJ65" i="10"/>
  <c r="EJ108" i="10"/>
  <c r="EH108" i="10"/>
  <c r="EH508" i="10"/>
  <c r="EI508" i="10"/>
  <c r="EJ508" i="10"/>
  <c r="EK508" i="10"/>
  <c r="DR508" i="10"/>
  <c r="EH700" i="10"/>
  <c r="EJ178" i="10"/>
  <c r="EI793" i="10"/>
  <c r="EI564" i="10"/>
  <c r="EK811" i="10"/>
  <c r="DR585" i="10"/>
  <c r="BR992" i="10"/>
  <c r="DO992" i="10"/>
  <c r="DO974" i="10"/>
  <c r="BR974" i="10"/>
  <c r="EJ110" i="10"/>
  <c r="EI700" i="10"/>
  <c r="EI811" i="10"/>
  <c r="DR178" i="10"/>
  <c r="EI177" i="10"/>
  <c r="EK793" i="10"/>
  <c r="EJ585" i="10"/>
  <c r="BR894" i="10"/>
  <c r="EJ894" i="10" s="1"/>
  <c r="DO751" i="10"/>
  <c r="BR751" i="10"/>
  <c r="DO917" i="10"/>
  <c r="BR917" i="10"/>
  <c r="DO980" i="10"/>
  <c r="BR980" i="10"/>
  <c r="EJ462" i="10"/>
  <c r="EH178" i="10"/>
  <c r="EJ682" i="10"/>
  <c r="EJ793" i="10"/>
  <c r="DR633" i="10"/>
  <c r="BR935" i="10"/>
  <c r="EK935" i="10" s="1"/>
  <c r="DO881" i="10"/>
  <c r="BR881" i="10"/>
  <c r="DO166" i="10"/>
  <c r="BR166" i="10"/>
  <c r="DR793" i="10"/>
  <c r="EH633" i="10"/>
  <c r="EI682" i="10"/>
  <c r="DR544" i="10"/>
  <c r="EI51" i="10"/>
  <c r="EJ51" i="10"/>
  <c r="DO467" i="10"/>
  <c r="BR467" i="10"/>
  <c r="DO641" i="10"/>
  <c r="BR641" i="10"/>
  <c r="DO479" i="10"/>
  <c r="BR479" i="10"/>
  <c r="DO461" i="10"/>
  <c r="BR461" i="10"/>
  <c r="EH338" i="10"/>
  <c r="EJ811" i="10"/>
  <c r="EH682" i="10"/>
  <c r="EI544" i="10"/>
  <c r="EI633" i="10"/>
  <c r="BR128" i="10"/>
  <c r="EI128" i="10" s="1"/>
  <c r="BR689" i="10"/>
  <c r="DO1013" i="10"/>
  <c r="BR1013" i="10"/>
  <c r="EJ185" i="10"/>
  <c r="EK682" i="10"/>
  <c r="EJ633" i="10"/>
  <c r="EJ544" i="10"/>
  <c r="EJ42" i="10"/>
  <c r="EK544" i="10"/>
  <c r="BR295" i="10"/>
  <c r="EH295" i="10" s="1"/>
  <c r="DO756" i="10"/>
  <c r="BR756" i="10"/>
  <c r="EI101" i="10"/>
  <c r="EH101" i="10"/>
  <c r="EJ363" i="10"/>
  <c r="EI338" i="10"/>
  <c r="EI65" i="10"/>
  <c r="EI829" i="10"/>
  <c r="BR990" i="10"/>
  <c r="EI990" i="10" s="1"/>
  <c r="DO233" i="10"/>
  <c r="BR233" i="10"/>
  <c r="DO264" i="10"/>
  <c r="BR264" i="10"/>
  <c r="EH65" i="10"/>
  <c r="DO953" i="10"/>
  <c r="BR953" i="10"/>
  <c r="DR363" i="10"/>
  <c r="EK338" i="10"/>
  <c r="EH462" i="10"/>
  <c r="EK65" i="10"/>
  <c r="DR829" i="10"/>
  <c r="EH51" i="10"/>
  <c r="DO497" i="10"/>
  <c r="BR497" i="10"/>
  <c r="EH70" i="10"/>
  <c r="DR70" i="10"/>
  <c r="EJ70" i="10"/>
  <c r="EK70" i="10"/>
  <c r="EK462" i="10"/>
  <c r="EH811" i="10"/>
  <c r="BR255" i="10"/>
  <c r="EI255" i="10" s="1"/>
  <c r="DR110" i="10"/>
  <c r="DR84" i="10"/>
  <c r="EI84" i="10"/>
  <c r="EJ84" i="10"/>
  <c r="EI42" i="10"/>
  <c r="EK54" i="10"/>
  <c r="DR69" i="10"/>
  <c r="EH69" i="10"/>
  <c r="EJ62" i="10"/>
  <c r="EJ107" i="10"/>
  <c r="EH107" i="10"/>
  <c r="DR107" i="10"/>
  <c r="EK107" i="10"/>
  <c r="EI69" i="10"/>
  <c r="EH62" i="10"/>
  <c r="EI110" i="10"/>
  <c r="EK69" i="10"/>
  <c r="EH110" i="10"/>
  <c r="DR29" i="10"/>
  <c r="EI44" i="10"/>
  <c r="EI86" i="10"/>
  <c r="EK77" i="10"/>
  <c r="EH86" i="10"/>
  <c r="EK43" i="10"/>
  <c r="DR77" i="10"/>
  <c r="EJ86" i="10"/>
  <c r="EH43" i="10"/>
  <c r="EJ77" i="10"/>
  <c r="DR43" i="10"/>
  <c r="EH42" i="10"/>
  <c r="EK42" i="10"/>
  <c r="BR61" i="10"/>
  <c r="DO310" i="10"/>
  <c r="BR310" i="10"/>
  <c r="EH859" i="10"/>
  <c r="EK252" i="10"/>
  <c r="EK335" i="10"/>
  <c r="EK631" i="10"/>
  <c r="EK177" i="10"/>
  <c r="DR468" i="10"/>
  <c r="DR671" i="10"/>
  <c r="EJ829" i="10"/>
  <c r="EJ795" i="10"/>
  <c r="EJ252" i="10"/>
  <c r="EI335" i="10"/>
  <c r="DR170" i="10"/>
  <c r="EJ177" i="10"/>
  <c r="EK829" i="10"/>
  <c r="DR150" i="10"/>
  <c r="EK795" i="10"/>
  <c r="EH318" i="10"/>
  <c r="EK298" i="10"/>
  <c r="EH84" i="10"/>
  <c r="EH252" i="10"/>
  <c r="EK228" i="10"/>
  <c r="DR335" i="10"/>
  <c r="EH631" i="10"/>
  <c r="EH177" i="10"/>
  <c r="BR630" i="10"/>
  <c r="EI630" i="10" s="1"/>
  <c r="BR900" i="10"/>
  <c r="DR900" i="10" s="1"/>
  <c r="DR509" i="10"/>
  <c r="EI509" i="10"/>
  <c r="EH509" i="10"/>
  <c r="EK509" i="10"/>
  <c r="EJ509" i="10"/>
  <c r="EK36" i="10"/>
  <c r="EI795" i="10"/>
  <c r="EK318" i="10"/>
  <c r="EJ335" i="10"/>
  <c r="EJ170" i="10"/>
  <c r="DR36" i="10"/>
  <c r="EH795" i="10"/>
  <c r="DR318" i="10"/>
  <c r="DO290" i="10"/>
  <c r="BR290" i="10"/>
  <c r="DR339" i="10"/>
  <c r="EJ36" i="10"/>
  <c r="EI170" i="10"/>
  <c r="BR495" i="10"/>
  <c r="EI495" i="10" s="1"/>
  <c r="DR406" i="10"/>
  <c r="EK406" i="10"/>
  <c r="EH406" i="10"/>
  <c r="EK339" i="10"/>
  <c r="EH36" i="10"/>
  <c r="EK170" i="10"/>
  <c r="EJ339" i="10"/>
  <c r="EK870" i="10"/>
  <c r="EI339" i="10"/>
  <c r="EK134" i="10"/>
  <c r="EJ134" i="10"/>
  <c r="EH156" i="10"/>
  <c r="DR444" i="10"/>
  <c r="EJ507" i="10"/>
  <c r="DO566" i="10"/>
  <c r="BR566" i="10"/>
  <c r="EI942" i="10"/>
  <c r="EH942" i="10"/>
  <c r="EJ942" i="10"/>
  <c r="DR942" i="10"/>
  <c r="EK942" i="10"/>
  <c r="EJ995" i="10"/>
  <c r="EI434" i="10"/>
  <c r="DR434" i="10"/>
  <c r="EH434" i="10"/>
  <c r="EJ434" i="10"/>
  <c r="EK434" i="10"/>
  <c r="DR185" i="10"/>
  <c r="EI185" i="10"/>
  <c r="DR947" i="10"/>
  <c r="EK947" i="10"/>
  <c r="EH947" i="10"/>
  <c r="EI947" i="10"/>
  <c r="EJ947" i="10"/>
  <c r="DO206" i="10"/>
  <c r="BR206" i="10"/>
  <c r="EH882" i="10"/>
  <c r="DR882" i="10"/>
  <c r="EK882" i="10"/>
  <c r="EI882" i="10"/>
  <c r="EJ882" i="10"/>
  <c r="EI978" i="10"/>
  <c r="EK978" i="10"/>
  <c r="EH978" i="10"/>
  <c r="EJ978" i="10"/>
  <c r="DR978" i="10"/>
  <c r="EI1012" i="10"/>
  <c r="DR1012" i="10"/>
  <c r="EH1012" i="10"/>
  <c r="EK1012" i="10"/>
  <c r="EJ1012" i="10"/>
  <c r="EH143" i="10"/>
  <c r="EI792" i="10"/>
  <c r="BR525" i="10"/>
  <c r="DR525" i="10" s="1"/>
  <c r="EJ954" i="10"/>
  <c r="EH954" i="10"/>
  <c r="EI954" i="10"/>
  <c r="EK954" i="10"/>
  <c r="DR954" i="10"/>
  <c r="DR959" i="10"/>
  <c r="EJ959" i="10"/>
  <c r="EH732" i="10"/>
  <c r="EK732" i="10"/>
  <c r="EI732" i="10"/>
  <c r="EJ732" i="10"/>
  <c r="DR732" i="10"/>
  <c r="EI931" i="10"/>
  <c r="EK931" i="10"/>
  <c r="EH931" i="10"/>
  <c r="DR931" i="10"/>
  <c r="EJ931" i="10"/>
  <c r="EH887" i="10"/>
  <c r="EI887" i="10"/>
  <c r="DR887" i="10"/>
  <c r="EJ887" i="10"/>
  <c r="EK887" i="10"/>
  <c r="EI888" i="10"/>
  <c r="EJ888" i="10"/>
  <c r="EK888" i="10"/>
  <c r="EH888" i="10"/>
  <c r="DR888" i="10"/>
  <c r="EH975" i="10"/>
  <c r="EI975" i="10"/>
  <c r="DR975" i="10"/>
  <c r="EJ975" i="10"/>
  <c r="EK975" i="10"/>
  <c r="EI921" i="10"/>
  <c r="EK921" i="10"/>
  <c r="EJ921" i="10"/>
  <c r="DR921" i="10"/>
  <c r="EH921" i="10"/>
  <c r="EK904" i="10"/>
  <c r="EH904" i="10"/>
  <c r="DR904" i="10"/>
  <c r="EI904" i="10"/>
  <c r="EJ904" i="10"/>
  <c r="DR33" i="10"/>
  <c r="EK33" i="10"/>
  <c r="EH33" i="10"/>
  <c r="EJ33" i="10"/>
  <c r="EI33" i="10"/>
  <c r="EJ457" i="10"/>
  <c r="DR457" i="10"/>
  <c r="EH457" i="10"/>
  <c r="EI457" i="10"/>
  <c r="EK457" i="10"/>
  <c r="EJ912" i="10"/>
  <c r="EI912" i="10"/>
  <c r="DR912" i="10"/>
  <c r="EK912" i="10"/>
  <c r="EH912" i="10"/>
  <c r="EI660" i="10"/>
  <c r="EK660" i="10"/>
  <c r="DR660" i="10"/>
  <c r="EH660" i="10"/>
  <c r="EJ660" i="10"/>
  <c r="EH907" i="10"/>
  <c r="EI907" i="10"/>
  <c r="EJ907" i="10"/>
  <c r="EK907" i="10"/>
  <c r="DR907" i="10"/>
  <c r="DR537" i="10"/>
  <c r="EH537" i="10"/>
  <c r="EJ537" i="10"/>
  <c r="DR486" i="10"/>
  <c r="EH486" i="10"/>
  <c r="EI486" i="10"/>
  <c r="EK486" i="10"/>
  <c r="EJ486" i="10"/>
  <c r="DR880" i="10"/>
  <c r="EH880" i="10"/>
  <c r="EJ880" i="10"/>
  <c r="EI880" i="10"/>
  <c r="EK880" i="10"/>
  <c r="EH997" i="10"/>
  <c r="EK143" i="10"/>
  <c r="DR175" i="10"/>
  <c r="EJ792" i="10"/>
  <c r="DR889" i="10"/>
  <c r="EH889" i="10"/>
  <c r="EI889" i="10"/>
  <c r="EJ889" i="10"/>
  <c r="EK889" i="10"/>
  <c r="EK988" i="10"/>
  <c r="EH988" i="10"/>
  <c r="EI988" i="10"/>
  <c r="DR988" i="10"/>
  <c r="EJ988" i="10"/>
  <c r="EK925" i="10"/>
  <c r="EJ925" i="10"/>
  <c r="DR925" i="10"/>
  <c r="EI925" i="10"/>
  <c r="EH925" i="10"/>
  <c r="DQ504" i="10"/>
  <c r="BR504" i="10"/>
  <c r="EH1000" i="10"/>
  <c r="EI1000" i="10"/>
  <c r="DR1000" i="10"/>
  <c r="EJ1000" i="10"/>
  <c r="EK1000" i="10"/>
  <c r="DR911" i="10"/>
  <c r="EH911" i="10"/>
  <c r="EJ911" i="10"/>
  <c r="EI911" i="10"/>
  <c r="EK911" i="10"/>
  <c r="EJ143" i="10"/>
  <c r="EK156" i="10"/>
  <c r="EH616" i="10"/>
  <c r="EH175" i="10"/>
  <c r="EK792" i="10"/>
  <c r="EH150" i="10"/>
  <c r="EI916" i="10"/>
  <c r="EH916" i="10"/>
  <c r="EJ916" i="10"/>
  <c r="DR916" i="10"/>
  <c r="EK916" i="10"/>
  <c r="EJ741" i="10"/>
  <c r="DR741" i="10"/>
  <c r="EK741" i="10"/>
  <c r="EH741" i="10"/>
  <c r="EI886" i="10"/>
  <c r="EH886" i="10"/>
  <c r="EK886" i="10"/>
  <c r="EJ886" i="10"/>
  <c r="DR886" i="10"/>
  <c r="EI933" i="10"/>
  <c r="EH933" i="10"/>
  <c r="DR933" i="10"/>
  <c r="EJ933" i="10"/>
  <c r="EK933" i="10"/>
  <c r="EK895" i="10"/>
  <c r="EI895" i="10"/>
  <c r="DR895" i="10"/>
  <c r="EH895" i="10"/>
  <c r="EJ895" i="10"/>
  <c r="DR966" i="10"/>
  <c r="EH966" i="10"/>
  <c r="EK966" i="10"/>
  <c r="EJ966" i="10"/>
  <c r="EI966" i="10"/>
  <c r="EJ1009" i="10"/>
  <c r="EI1009" i="10"/>
  <c r="DR1009" i="10"/>
  <c r="EK1009" i="10"/>
  <c r="EH1009" i="10"/>
  <c r="EI488" i="10"/>
  <c r="DR488" i="10"/>
  <c r="EK488" i="10"/>
  <c r="EH488" i="10"/>
  <c r="EJ488" i="10"/>
  <c r="EI885" i="10"/>
  <c r="EK885" i="10"/>
  <c r="EH885" i="10"/>
  <c r="DR885" i="10"/>
  <c r="EJ885" i="10"/>
  <c r="DR962" i="10"/>
  <c r="EJ962" i="10"/>
  <c r="EH962" i="10"/>
  <c r="EI962" i="10"/>
  <c r="EK962" i="10"/>
  <c r="EJ116" i="10"/>
  <c r="EH116" i="10"/>
  <c r="EK940" i="10"/>
  <c r="EI940" i="10"/>
  <c r="EJ940" i="10"/>
  <c r="DR940" i="10"/>
  <c r="EH940" i="10"/>
  <c r="EI906" i="10"/>
  <c r="DR906" i="10"/>
  <c r="EJ906" i="10"/>
  <c r="EH906" i="10"/>
  <c r="EK906" i="10"/>
  <c r="EH850" i="10"/>
  <c r="EI850" i="10"/>
  <c r="DR850" i="10"/>
  <c r="EJ850" i="10"/>
  <c r="EK850" i="10"/>
  <c r="EK960" i="10"/>
  <c r="DR960" i="10"/>
  <c r="EI960" i="10"/>
  <c r="EH960" i="10"/>
  <c r="EJ960" i="10"/>
  <c r="EH720" i="10"/>
  <c r="EI720" i="10"/>
  <c r="EJ720" i="10"/>
  <c r="EK720" i="10"/>
  <c r="DR720" i="10"/>
  <c r="EI950" i="10"/>
  <c r="DR950" i="10"/>
  <c r="EJ950" i="10"/>
  <c r="EK950" i="10"/>
  <c r="EH950" i="10"/>
  <c r="DR938" i="10"/>
  <c r="EI938" i="10"/>
  <c r="EH938" i="10"/>
  <c r="EK938" i="10"/>
  <c r="EJ938" i="10"/>
  <c r="DR423" i="10"/>
  <c r="DR143" i="10"/>
  <c r="EJ723" i="10"/>
  <c r="EH153" i="10"/>
  <c r="EK616" i="10"/>
  <c r="EJ175" i="10"/>
  <c r="DR792" i="10"/>
  <c r="EJ150" i="10"/>
  <c r="EI991" i="10"/>
  <c r="EK991" i="10"/>
  <c r="DR991" i="10"/>
  <c r="EJ991" i="10"/>
  <c r="EH991" i="10"/>
  <c r="EJ314" i="10"/>
  <c r="EK314" i="10"/>
  <c r="EH314" i="10"/>
  <c r="DR314" i="10"/>
  <c r="EI314" i="10"/>
  <c r="EK239" i="10"/>
  <c r="EJ239" i="10"/>
  <c r="EH239" i="10"/>
  <c r="DR239" i="10"/>
  <c r="EI239" i="10"/>
  <c r="EJ1002" i="10"/>
  <c r="EK1002" i="10"/>
  <c r="EH1002" i="10"/>
  <c r="EI1002" i="10"/>
  <c r="DR1002" i="10"/>
  <c r="DR993" i="10"/>
  <c r="EI993" i="10"/>
  <c r="EJ993" i="10"/>
  <c r="EH993" i="10"/>
  <c r="EK993" i="10"/>
  <c r="EH939" i="10"/>
  <c r="EK939" i="10"/>
  <c r="EI939" i="10"/>
  <c r="DR939" i="10"/>
  <c r="EJ939" i="10"/>
  <c r="EJ35" i="10"/>
  <c r="EI35" i="10"/>
  <c r="EH35" i="10"/>
  <c r="DR35" i="10"/>
  <c r="EK35" i="10"/>
  <c r="EH637" i="10"/>
  <c r="EJ637" i="10"/>
  <c r="DR637" i="10"/>
  <c r="EK637" i="10"/>
  <c r="EI637" i="10"/>
  <c r="EK423" i="10"/>
  <c r="EJ616" i="10"/>
  <c r="EI228" i="10"/>
  <c r="EK185" i="10"/>
  <c r="EK175" i="10"/>
  <c r="EI153" i="10"/>
  <c r="EH236" i="10"/>
  <c r="EI236" i="10"/>
  <c r="EJ236" i="10"/>
  <c r="EK236" i="10"/>
  <c r="DR236" i="10"/>
  <c r="DQ778" i="10"/>
  <c r="BR778" i="10"/>
  <c r="EI965" i="10"/>
  <c r="DR965" i="10"/>
  <c r="EH965" i="10"/>
  <c r="EJ965" i="10"/>
  <c r="EK965" i="10"/>
  <c r="EH914" i="10"/>
  <c r="EK914" i="10"/>
  <c r="DR914" i="10"/>
  <c r="EJ914" i="10"/>
  <c r="EI914" i="10"/>
  <c r="EK981" i="10"/>
  <c r="EJ981" i="10"/>
  <c r="DR981" i="10"/>
  <c r="EH981" i="10"/>
  <c r="EI981" i="10"/>
  <c r="EK923" i="10"/>
  <c r="EH923" i="10"/>
  <c r="DR923" i="10"/>
  <c r="EJ923" i="10"/>
  <c r="EI923" i="10"/>
  <c r="EH899" i="10"/>
  <c r="DR502" i="10"/>
  <c r="EJ502" i="10"/>
  <c r="EH502" i="10"/>
  <c r="EI502" i="10"/>
  <c r="EK502" i="10"/>
  <c r="EK903" i="10"/>
  <c r="EJ903" i="10"/>
  <c r="EI903" i="10"/>
  <c r="EH903" i="10"/>
  <c r="DR903" i="10"/>
  <c r="EK735" i="10"/>
  <c r="EJ735" i="10"/>
  <c r="EI735" i="10"/>
  <c r="DR735" i="10"/>
  <c r="DR612" i="10"/>
  <c r="EJ612" i="10"/>
  <c r="EH612" i="10"/>
  <c r="EI612" i="10"/>
  <c r="EK612" i="10"/>
  <c r="EK545" i="10"/>
  <c r="DR545" i="10"/>
  <c r="EJ545" i="10"/>
  <c r="EH545" i="10"/>
  <c r="EI545" i="10"/>
  <c r="EJ68" i="10"/>
  <c r="EK68" i="10"/>
  <c r="EI68" i="10"/>
  <c r="DR68" i="10"/>
  <c r="EH68" i="10"/>
  <c r="EJ745" i="10"/>
  <c r="EI745" i="10"/>
  <c r="EK890" i="10"/>
  <c r="EJ890" i="10"/>
  <c r="DR890" i="10"/>
  <c r="EI890" i="10"/>
  <c r="EH890" i="10"/>
  <c r="EH973" i="10"/>
  <c r="EI973" i="10"/>
  <c r="DR973" i="10"/>
  <c r="EJ973" i="10"/>
  <c r="EK973" i="10"/>
  <c r="DR276" i="10"/>
  <c r="EJ276" i="10"/>
  <c r="EK276" i="10"/>
  <c r="EI276" i="10"/>
  <c r="EH276" i="10"/>
  <c r="EJ913" i="10"/>
  <c r="DR913" i="10"/>
  <c r="EK913" i="10"/>
  <c r="EI913" i="10"/>
  <c r="EH913" i="10"/>
  <c r="BR78" i="10"/>
  <c r="EJ78" i="10" s="1"/>
  <c r="EI616" i="10"/>
  <c r="DR228" i="10"/>
  <c r="EJ444" i="10"/>
  <c r="EK342" i="10"/>
  <c r="EJ209" i="10"/>
  <c r="EI209" i="10"/>
  <c r="EH209" i="10"/>
  <c r="EH964" i="10"/>
  <c r="EK964" i="10"/>
  <c r="DR964" i="10"/>
  <c r="EI964" i="10"/>
  <c r="EJ964" i="10"/>
  <c r="DR1007" i="10"/>
  <c r="EH1007" i="10"/>
  <c r="EI1007" i="10"/>
  <c r="EJ1007" i="10"/>
  <c r="EK1007" i="10"/>
  <c r="DR1014" i="10"/>
  <c r="EK1014" i="10"/>
  <c r="EJ1014" i="10"/>
  <c r="EH1014" i="10"/>
  <c r="EI1014" i="10"/>
  <c r="DR918" i="10"/>
  <c r="EI918" i="10"/>
  <c r="EK918" i="10"/>
  <c r="EH918" i="10"/>
  <c r="EJ918" i="10"/>
  <c r="EK985" i="10"/>
  <c r="EH985" i="10"/>
  <c r="EI985" i="10"/>
  <c r="DR985" i="10"/>
  <c r="EJ985" i="10"/>
  <c r="EI423" i="10"/>
  <c r="EI483" i="10"/>
  <c r="EH423" i="10"/>
  <c r="EK444" i="10"/>
  <c r="EJ342" i="10"/>
  <c r="BR704" i="10"/>
  <c r="DR915" i="10"/>
  <c r="EH915" i="10"/>
  <c r="EI915" i="10"/>
  <c r="EJ915" i="10"/>
  <c r="EK915" i="10"/>
  <c r="DR926" i="10"/>
  <c r="EJ926" i="10"/>
  <c r="EH926" i="10"/>
  <c r="EI926" i="10"/>
  <c r="EK926" i="10"/>
  <c r="EJ879" i="10"/>
  <c r="EH879" i="10"/>
  <c r="DR879" i="10"/>
  <c r="EI879" i="10"/>
  <c r="EK879" i="10"/>
  <c r="EJ883" i="10"/>
  <c r="DR883" i="10"/>
  <c r="EK883" i="10"/>
  <c r="EI883" i="10"/>
  <c r="EH883" i="10"/>
  <c r="EK961" i="10"/>
  <c r="EJ961" i="10"/>
  <c r="EI961" i="10"/>
  <c r="DR961" i="10"/>
  <c r="EH961" i="10"/>
  <c r="EI943" i="10"/>
  <c r="DR943" i="10"/>
  <c r="EH943" i="10"/>
  <c r="EJ943" i="10"/>
  <c r="EK943" i="10"/>
  <c r="EI1003" i="10"/>
  <c r="EK1003" i="10"/>
  <c r="DR1003" i="10"/>
  <c r="EH1003" i="10"/>
  <c r="EJ1003" i="10"/>
  <c r="DR1010" i="10"/>
  <c r="EJ1010" i="10"/>
  <c r="EK1010" i="10"/>
  <c r="EK994" i="10"/>
  <c r="EH994" i="10"/>
  <c r="EI994" i="10"/>
  <c r="DR994" i="10"/>
  <c r="EJ994" i="10"/>
  <c r="EI672" i="10"/>
  <c r="EK672" i="10"/>
  <c r="DR672" i="10"/>
  <c r="EH672" i="10"/>
  <c r="EJ672" i="10"/>
  <c r="EK955" i="10"/>
  <c r="EI955" i="10"/>
  <c r="DR955" i="10"/>
  <c r="EH955" i="10"/>
  <c r="EJ955" i="10"/>
  <c r="DR937" i="10"/>
  <c r="EJ937" i="10"/>
  <c r="EK937" i="10"/>
  <c r="EI937" i="10"/>
  <c r="EH937" i="10"/>
  <c r="DR429" i="10"/>
  <c r="EI429" i="10"/>
  <c r="EJ429" i="10"/>
  <c r="EH429" i="10"/>
  <c r="EK429" i="10"/>
  <c r="EK639" i="10"/>
  <c r="EI639" i="10"/>
  <c r="EJ639" i="10"/>
  <c r="DR639" i="10"/>
  <c r="EH639" i="10"/>
  <c r="EJ483" i="10"/>
  <c r="EI342" i="10"/>
  <c r="DR1005" i="10"/>
  <c r="EJ1005" i="10"/>
  <c r="EH1005" i="10"/>
  <c r="EI1005" i="10"/>
  <c r="EK1005" i="10"/>
  <c r="EK998" i="10"/>
  <c r="EJ998" i="10"/>
  <c r="EI998" i="10"/>
  <c r="DR998" i="10"/>
  <c r="EH998" i="10"/>
  <c r="EH483" i="10"/>
  <c r="DR342" i="10"/>
  <c r="EJ996" i="10"/>
  <c r="DR996" i="10"/>
  <c r="EK996" i="10"/>
  <c r="EH996" i="10"/>
  <c r="EI996" i="10"/>
  <c r="DQ340" i="10"/>
  <c r="BR340" i="10"/>
  <c r="EJ969" i="10"/>
  <c r="EK969" i="10"/>
  <c r="EH969" i="10"/>
  <c r="DR969" i="10"/>
  <c r="EI969" i="10"/>
  <c r="DR1006" i="10"/>
  <c r="EI1006" i="10"/>
  <c r="EK1006" i="10"/>
  <c r="EH1006" i="10"/>
  <c r="EJ1006" i="10"/>
  <c r="EI919" i="10"/>
  <c r="EK919" i="10"/>
  <c r="DR919" i="10"/>
  <c r="EH919" i="10"/>
  <c r="EJ919" i="10"/>
  <c r="EH924" i="10"/>
  <c r="EI924" i="10"/>
  <c r="EJ924" i="10"/>
  <c r="DR924" i="10"/>
  <c r="EK924" i="10"/>
  <c r="EI945" i="10"/>
  <c r="EH945" i="10"/>
  <c r="EK945" i="10"/>
  <c r="DR945" i="10"/>
  <c r="EJ945" i="10"/>
  <c r="EI952" i="10"/>
  <c r="EJ952" i="10"/>
  <c r="EH952" i="10"/>
  <c r="DR952" i="10"/>
  <c r="EH287" i="10"/>
  <c r="DR287" i="10"/>
  <c r="EI287" i="10"/>
  <c r="EJ287" i="10"/>
  <c r="EK287" i="10"/>
  <c r="DR603" i="10"/>
  <c r="EI725" i="10"/>
  <c r="EJ725" i="10"/>
  <c r="EH725" i="10"/>
  <c r="DR725" i="10"/>
  <c r="EK725" i="10"/>
  <c r="EH1008" i="10"/>
  <c r="EK1008" i="10"/>
  <c r="EI1008" i="10"/>
  <c r="DR1008" i="10"/>
  <c r="EJ1008" i="10"/>
  <c r="DR982" i="10"/>
  <c r="EK982" i="10"/>
  <c r="EH982" i="10"/>
  <c r="EI982" i="10"/>
  <c r="EJ982" i="10"/>
  <c r="BR270" i="10"/>
  <c r="DR270" i="10" s="1"/>
  <c r="DQ270" i="10"/>
  <c r="DQ257" i="10"/>
  <c r="BR257" i="10"/>
  <c r="EJ257" i="10" s="1"/>
  <c r="EI307" i="10"/>
  <c r="BR244" i="10"/>
  <c r="EI244" i="10" s="1"/>
  <c r="BR746" i="10"/>
  <c r="BR273" i="10"/>
  <c r="EJ273" i="10" s="1"/>
  <c r="BR58" i="10"/>
  <c r="EK58" i="10" s="1"/>
  <c r="DQ58" i="10"/>
  <c r="DQ678" i="10"/>
  <c r="BR678" i="10"/>
  <c r="EJ870" i="10"/>
  <c r="EI54" i="10"/>
  <c r="EJ318" i="10"/>
  <c r="EJ844" i="10"/>
  <c r="BR512" i="10"/>
  <c r="EH512" i="10" s="1"/>
  <c r="EH649" i="10"/>
  <c r="EH532" i="10"/>
  <c r="DR134" i="10"/>
  <c r="DO231" i="10"/>
  <c r="DR262" i="10"/>
  <c r="DO614" i="10"/>
  <c r="BR614" i="10"/>
  <c r="DO854" i="10"/>
  <c r="BR854" i="10"/>
  <c r="DO274" i="10"/>
  <c r="BR274" i="10"/>
  <c r="DO417" i="10"/>
  <c r="BR417" i="10"/>
  <c r="DR153" i="10"/>
  <c r="EJ153" i="10"/>
  <c r="EK861" i="10"/>
  <c r="EJ649" i="10"/>
  <c r="EI765" i="10"/>
  <c r="EI532" i="10"/>
  <c r="EH134" i="10"/>
  <c r="EJ262" i="10"/>
  <c r="BR192" i="10"/>
  <c r="DR192" i="10" s="1"/>
  <c r="BR327" i="10"/>
  <c r="DR327" i="10" s="1"/>
  <c r="BR343" i="10"/>
  <c r="EI343" i="10" s="1"/>
  <c r="BR528" i="10"/>
  <c r="DR528" i="10" s="1"/>
  <c r="BR220" i="10"/>
  <c r="DO347" i="10"/>
  <c r="BR347" i="10"/>
  <c r="DR691" i="10"/>
  <c r="EH691" i="10"/>
  <c r="EI691" i="10"/>
  <c r="EK691" i="10"/>
  <c r="EJ691" i="10"/>
  <c r="EI649" i="10"/>
  <c r="EK532" i="10"/>
  <c r="EH564" i="10"/>
  <c r="EK262" i="10"/>
  <c r="BR162" i="10"/>
  <c r="BR489" i="10"/>
  <c r="EK489" i="10" s="1"/>
  <c r="DO539" i="10"/>
  <c r="BR539" i="10"/>
  <c r="EH866" i="10"/>
  <c r="EI866" i="10"/>
  <c r="EJ866" i="10"/>
  <c r="EK866" i="10"/>
  <c r="DR866" i="10"/>
  <c r="DO548" i="10"/>
  <c r="BR548" i="10"/>
  <c r="DO279" i="10"/>
  <c r="BR279" i="10"/>
  <c r="BR76" i="10"/>
  <c r="DO76" i="10"/>
  <c r="DO196" i="10"/>
  <c r="BR196" i="10"/>
  <c r="EK307" i="10"/>
  <c r="DR532" i="10"/>
  <c r="EK564" i="10"/>
  <c r="EI77" i="10"/>
  <c r="EH507" i="10"/>
  <c r="EH262" i="10"/>
  <c r="BR391" i="10"/>
  <c r="BR123" i="10"/>
  <c r="EK123" i="10" s="1"/>
  <c r="BR208" i="10"/>
  <c r="EJ208" i="10" s="1"/>
  <c r="DO46" i="10"/>
  <c r="BR46" i="10"/>
  <c r="DO474" i="10"/>
  <c r="BR474" i="10"/>
  <c r="DO64" i="10"/>
  <c r="BR64" i="10"/>
  <c r="DO94" i="10"/>
  <c r="BR94" i="10"/>
  <c r="DO584" i="10"/>
  <c r="BR584" i="10"/>
  <c r="DO469" i="10"/>
  <c r="BR469" i="10"/>
  <c r="DO632" i="10"/>
  <c r="BR632" i="10"/>
  <c r="EJ307" i="10"/>
  <c r="BR726" i="10"/>
  <c r="EK726" i="10" s="1"/>
  <c r="BR435" i="10"/>
  <c r="DO355" i="10"/>
  <c r="BR355" i="10"/>
  <c r="DO171" i="10"/>
  <c r="BR171" i="10"/>
  <c r="EK323" i="10"/>
  <c r="EH323" i="10"/>
  <c r="DO267" i="10"/>
  <c r="BR267" i="10"/>
  <c r="EH39" i="10"/>
  <c r="EI39" i="10"/>
  <c r="DR39" i="10"/>
  <c r="EJ39" i="10"/>
  <c r="EK39" i="10"/>
  <c r="DO608" i="10"/>
  <c r="BR608" i="10"/>
  <c r="DO266" i="10"/>
  <c r="BR266" i="10"/>
  <c r="DO371" i="10"/>
  <c r="BR371" i="10"/>
  <c r="DO52" i="10"/>
  <c r="BR52" i="10"/>
  <c r="DO734" i="10"/>
  <c r="BR734" i="10"/>
  <c r="DO226" i="10"/>
  <c r="BR226" i="10"/>
  <c r="EI602" i="10"/>
  <c r="EJ602" i="10"/>
  <c r="DR602" i="10"/>
  <c r="EK602" i="10"/>
  <c r="EH602" i="10"/>
  <c r="DO860" i="10"/>
  <c r="BR860" i="10"/>
  <c r="DO319" i="10"/>
  <c r="BR319" i="10"/>
  <c r="EI681" i="10"/>
  <c r="DO132" i="10"/>
  <c r="BR132" i="10"/>
  <c r="DO28" i="10"/>
  <c r="BR28" i="10"/>
  <c r="DO620" i="10"/>
  <c r="BR620" i="10"/>
  <c r="DO367" i="10"/>
  <c r="BR367" i="10"/>
  <c r="DO459" i="10"/>
  <c r="BR459" i="10"/>
  <c r="DO34" i="10"/>
  <c r="BR34" i="10"/>
  <c r="DO582" i="10"/>
  <c r="BR582" i="10"/>
  <c r="DO842" i="10"/>
  <c r="BR842" i="10"/>
  <c r="DO249" i="10"/>
  <c r="BR249" i="10"/>
  <c r="DR211" i="10"/>
  <c r="EH211" i="10"/>
  <c r="EJ283" i="10"/>
  <c r="EK283" i="10"/>
  <c r="EI283" i="10"/>
  <c r="EH283" i="10"/>
  <c r="DR283" i="10"/>
  <c r="DR303" i="10"/>
  <c r="EK303" i="10"/>
  <c r="EI303" i="10"/>
  <c r="EJ303" i="10"/>
  <c r="EH303" i="10"/>
  <c r="EI865" i="10"/>
  <c r="EH865" i="10"/>
  <c r="DR865" i="10"/>
  <c r="EJ865" i="10"/>
  <c r="EK865" i="10"/>
  <c r="EK530" i="10"/>
  <c r="EI530" i="10"/>
  <c r="EH530" i="10"/>
  <c r="DR530" i="10"/>
  <c r="EJ530" i="10"/>
  <c r="EH757" i="10"/>
  <c r="EI757" i="10"/>
  <c r="DR757" i="10"/>
  <c r="EJ757" i="10"/>
  <c r="EK757" i="10"/>
  <c r="EH556" i="10"/>
  <c r="EJ556" i="10"/>
  <c r="DR556" i="10"/>
  <c r="EI556" i="10"/>
  <c r="EK556" i="10"/>
  <c r="EK804" i="10"/>
  <c r="EI804" i="10"/>
  <c r="EH313" i="10"/>
  <c r="DR313" i="10"/>
  <c r="EJ313" i="10"/>
  <c r="EI723" i="10"/>
  <c r="EK114" i="10"/>
  <c r="DR114" i="10"/>
  <c r="EJ114" i="10"/>
  <c r="EH114" i="10"/>
  <c r="EI114" i="10"/>
  <c r="EK48" i="10"/>
  <c r="EJ48" i="10"/>
  <c r="DR48" i="10"/>
  <c r="EH48" i="10"/>
  <c r="EI48" i="10"/>
  <c r="DR161" i="10"/>
  <c r="EH161" i="10"/>
  <c r="EK161" i="10"/>
  <c r="EI161" i="10"/>
  <c r="EJ161" i="10"/>
  <c r="EJ769" i="10"/>
  <c r="EK769" i="10"/>
  <c r="EH769" i="10"/>
  <c r="EI769" i="10"/>
  <c r="DR769" i="10"/>
  <c r="EI462" i="10"/>
  <c r="EH304" i="10"/>
  <c r="EI304" i="10"/>
  <c r="EJ304" i="10"/>
  <c r="DR304" i="10"/>
  <c r="EK304" i="10"/>
  <c r="EK534" i="10"/>
  <c r="DR534" i="10"/>
  <c r="EI534" i="10"/>
  <c r="EJ534" i="10"/>
  <c r="EH534" i="10"/>
  <c r="DR289" i="10"/>
  <c r="EH289" i="10"/>
  <c r="EK289" i="10"/>
  <c r="EI289" i="10"/>
  <c r="EJ289" i="10"/>
  <c r="EI542" i="10"/>
  <c r="DR542" i="10"/>
  <c r="EJ542" i="10"/>
  <c r="EK542" i="10"/>
  <c r="EH542" i="10"/>
  <c r="DR343" i="10"/>
  <c r="EK819" i="10"/>
  <c r="EI819" i="10"/>
  <c r="EI856" i="10"/>
  <c r="EK856" i="10"/>
  <c r="EH856" i="10"/>
  <c r="DR856" i="10"/>
  <c r="EK759" i="10"/>
  <c r="EH759" i="10"/>
  <c r="EI759" i="10"/>
  <c r="DR759" i="10"/>
  <c r="EJ759" i="10"/>
  <c r="EH122" i="10"/>
  <c r="DR122" i="10"/>
  <c r="EJ122" i="10"/>
  <c r="EK122" i="10"/>
  <c r="EI122" i="10"/>
  <c r="EI312" i="10"/>
  <c r="EK312" i="10"/>
  <c r="EH312" i="10"/>
  <c r="DR312" i="10"/>
  <c r="EJ312" i="10"/>
  <c r="DR183" i="10"/>
  <c r="EI183" i="10"/>
  <c r="EK183" i="10"/>
  <c r="EJ183" i="10"/>
  <c r="EH183" i="10"/>
  <c r="EK299" i="10"/>
  <c r="DR299" i="10"/>
  <c r="EI299" i="10"/>
  <c r="EJ299" i="10"/>
  <c r="EH299" i="10"/>
  <c r="EI165" i="10"/>
  <c r="EK165" i="10"/>
  <c r="DR165" i="10"/>
  <c r="EJ165" i="10"/>
  <c r="EH165" i="10"/>
  <c r="EK126" i="10"/>
  <c r="DR126" i="10"/>
  <c r="EJ126" i="10"/>
  <c r="EH126" i="10"/>
  <c r="EI126" i="10"/>
  <c r="EJ117" i="10"/>
  <c r="EK117" i="10"/>
  <c r="EH117" i="10"/>
  <c r="EI117" i="10"/>
  <c r="DR117" i="10"/>
  <c r="EJ835" i="10"/>
  <c r="EI835" i="10"/>
  <c r="DR835" i="10"/>
  <c r="EK835" i="10"/>
  <c r="EH835" i="10"/>
  <c r="EH867" i="10"/>
  <c r="EI867" i="10"/>
  <c r="EJ867" i="10"/>
  <c r="DR867" i="10"/>
  <c r="EK867" i="10"/>
  <c r="EI873" i="10"/>
  <c r="DR873" i="10"/>
  <c r="EJ873" i="10"/>
  <c r="EK873" i="10"/>
  <c r="EH873" i="10"/>
  <c r="EH529" i="10"/>
  <c r="EI529" i="10"/>
  <c r="DR529" i="10"/>
  <c r="EK529" i="10"/>
  <c r="EJ529" i="10"/>
  <c r="DR186" i="10"/>
  <c r="EI186" i="10"/>
  <c r="EJ186" i="10"/>
  <c r="EK186" i="10"/>
  <c r="EH186" i="10"/>
  <c r="EJ448" i="10"/>
  <c r="EK448" i="10"/>
  <c r="DR448" i="10"/>
  <c r="EI448" i="10"/>
  <c r="EH448" i="10"/>
  <c r="EJ158" i="10"/>
  <c r="DR158" i="10"/>
  <c r="EI158" i="10"/>
  <c r="EH158" i="10"/>
  <c r="EK158" i="10"/>
  <c r="EK685" i="10"/>
  <c r="DR685" i="10"/>
  <c r="EI685" i="10"/>
  <c r="EJ685" i="10"/>
  <c r="EH685" i="10"/>
  <c r="EJ370" i="10"/>
  <c r="DR370" i="10"/>
  <c r="EK370" i="10"/>
  <c r="EH370" i="10"/>
  <c r="EI370" i="10"/>
  <c r="DR47" i="10"/>
  <c r="EI47" i="10"/>
  <c r="EK47" i="10"/>
  <c r="EH47" i="10"/>
  <c r="EJ47" i="10"/>
  <c r="EH306" i="10"/>
  <c r="DR306" i="10"/>
  <c r="EI306" i="10"/>
  <c r="EJ306" i="10"/>
  <c r="EK306" i="10"/>
  <c r="EH284" i="10"/>
  <c r="EJ284" i="10"/>
  <c r="EK284" i="10"/>
  <c r="EI284" i="10"/>
  <c r="DR284" i="10"/>
  <c r="EH40" i="10"/>
  <c r="EK40" i="10"/>
  <c r="DR40" i="10"/>
  <c r="EJ40" i="10"/>
  <c r="EI40" i="10"/>
  <c r="EH44" i="10"/>
  <c r="EK44" i="10"/>
  <c r="DR44" i="10"/>
  <c r="EH519" i="10"/>
  <c r="EJ519" i="10"/>
  <c r="EK519" i="10"/>
  <c r="EI519" i="10"/>
  <c r="DR519" i="10"/>
  <c r="EH414" i="10"/>
  <c r="EJ414" i="10"/>
  <c r="DR414" i="10"/>
  <c r="EI414" i="10"/>
  <c r="EK414" i="10"/>
  <c r="DR265" i="10"/>
  <c r="EH265" i="10"/>
  <c r="EI265" i="10"/>
  <c r="EK265" i="10"/>
  <c r="EJ265" i="10"/>
  <c r="EJ510" i="10"/>
  <c r="EK510" i="10"/>
  <c r="EH510" i="10"/>
  <c r="EI510" i="10"/>
  <c r="DR510" i="10"/>
  <c r="DR393" i="10"/>
  <c r="EJ393" i="10"/>
  <c r="EH393" i="10"/>
  <c r="EI393" i="10"/>
  <c r="EK393" i="10"/>
  <c r="DR781" i="10"/>
  <c r="EI781" i="10"/>
  <c r="EJ781" i="10"/>
  <c r="EK781" i="10"/>
  <c r="EH781" i="10"/>
  <c r="DR831" i="10"/>
  <c r="EH831" i="10"/>
  <c r="EI831" i="10"/>
  <c r="EJ831" i="10"/>
  <c r="EK831" i="10"/>
  <c r="EI82" i="10"/>
  <c r="EK82" i="10"/>
  <c r="DR72" i="10"/>
  <c r="EH72" i="10"/>
  <c r="EJ72" i="10"/>
  <c r="EI72" i="10"/>
  <c r="EK72" i="10"/>
  <c r="DR242" i="10"/>
  <c r="EJ242" i="10"/>
  <c r="EH242" i="10"/>
  <c r="EK242" i="10"/>
  <c r="EI242" i="10"/>
  <c r="EJ234" i="10"/>
  <c r="EK234" i="10"/>
  <c r="EI234" i="10"/>
  <c r="DR234" i="10"/>
  <c r="EH234" i="10"/>
  <c r="EH54" i="10"/>
  <c r="EJ54" i="10"/>
  <c r="EI402" i="10"/>
  <c r="DR402" i="10"/>
  <c r="EJ402" i="10"/>
  <c r="EH402" i="10"/>
  <c r="EK402" i="10"/>
  <c r="DR301" i="10"/>
  <c r="EI301" i="10"/>
  <c r="EJ301" i="10"/>
  <c r="EH301" i="10"/>
  <c r="EK301" i="10"/>
  <c r="DR807" i="10"/>
  <c r="EK807" i="10"/>
  <c r="EJ807" i="10"/>
  <c r="EH807" i="10"/>
  <c r="EI807" i="10"/>
  <c r="EJ141" i="10"/>
  <c r="EK141" i="10"/>
  <c r="EI141" i="10"/>
  <c r="DR141" i="10"/>
  <c r="EH141" i="10"/>
  <c r="EK138" i="10"/>
  <c r="DR138" i="10"/>
  <c r="EI138" i="10"/>
  <c r="EH138" i="10"/>
  <c r="EJ138" i="10"/>
  <c r="EK129" i="10"/>
  <c r="DR129" i="10"/>
  <c r="EI129" i="10"/>
  <c r="EH129" i="10"/>
  <c r="EJ129" i="10"/>
  <c r="BR876" i="10"/>
  <c r="DO876" i="10"/>
  <c r="EK49" i="10"/>
  <c r="DR49" i="10"/>
  <c r="EI49" i="10"/>
  <c r="EJ49" i="10"/>
  <c r="EH49" i="10"/>
  <c r="DO432" i="10"/>
  <c r="BR432" i="10"/>
  <c r="EJ231" i="10"/>
  <c r="EH231" i="10"/>
  <c r="EI231" i="10"/>
  <c r="EK231" i="10"/>
  <c r="DR231" i="10"/>
  <c r="DR574" i="10"/>
  <c r="EJ574" i="10"/>
  <c r="EK574" i="10"/>
  <c r="EH574" i="10"/>
  <c r="EI574" i="10"/>
  <c r="EI87" i="10"/>
  <c r="DR87" i="10"/>
  <c r="EK87" i="10"/>
  <c r="EJ87" i="10"/>
  <c r="EH87" i="10"/>
  <c r="EI95" i="10"/>
  <c r="EK59" i="10"/>
  <c r="EH59" i="10"/>
  <c r="EI59" i="10"/>
  <c r="DR59" i="10"/>
  <c r="EJ59" i="10"/>
  <c r="EI575" i="10"/>
  <c r="EK575" i="10"/>
  <c r="DR575" i="10"/>
  <c r="EJ575" i="10"/>
  <c r="EH575" i="10"/>
  <c r="EJ145" i="10"/>
  <c r="DR145" i="10"/>
  <c r="EK145" i="10"/>
  <c r="EI145" i="10"/>
  <c r="EH145" i="10"/>
  <c r="EI330" i="10"/>
  <c r="EH330" i="10"/>
  <c r="DR330" i="10"/>
  <c r="EK330" i="10"/>
  <c r="EJ330" i="10"/>
  <c r="EK95" i="10"/>
  <c r="DR307" i="10"/>
  <c r="EH75" i="10"/>
  <c r="EJ75" i="10"/>
  <c r="EI75" i="10"/>
  <c r="DR75" i="10"/>
  <c r="EK75" i="10"/>
  <c r="EJ71" i="10"/>
  <c r="EK71" i="10"/>
  <c r="DR71" i="10"/>
  <c r="EH71" i="10"/>
  <c r="EI71" i="10"/>
  <c r="EI260" i="10"/>
  <c r="EH260" i="10"/>
  <c r="EJ260" i="10"/>
  <c r="EK260" i="10"/>
  <c r="DR260" i="10"/>
  <c r="EJ411" i="10"/>
  <c r="EI411" i="10"/>
  <c r="DR411" i="10"/>
  <c r="EJ309" i="10"/>
  <c r="DO834" i="10"/>
  <c r="BR834" i="10"/>
  <c r="DR95" i="10"/>
  <c r="EK81" i="10"/>
  <c r="EH81" i="10"/>
  <c r="EJ81" i="10"/>
  <c r="EI81" i="10"/>
  <c r="DR81" i="10"/>
  <c r="EH581" i="10"/>
  <c r="EJ581" i="10"/>
  <c r="EI581" i="10"/>
  <c r="DR581" i="10"/>
  <c r="EK581" i="10"/>
  <c r="EJ561" i="10"/>
  <c r="EK561" i="10"/>
  <c r="EH561" i="10"/>
  <c r="EI561" i="10"/>
  <c r="DR561" i="10"/>
  <c r="EK336" i="10"/>
  <c r="EH580" i="10"/>
  <c r="DR580" i="10"/>
  <c r="EJ580" i="10"/>
  <c r="EI580" i="10"/>
  <c r="EK580" i="10"/>
  <c r="EJ151" i="10"/>
  <c r="EI151" i="10"/>
  <c r="EH151" i="10"/>
  <c r="DR151" i="10"/>
  <c r="EK151" i="10"/>
  <c r="DR538" i="10"/>
  <c r="EJ538" i="10"/>
  <c r="EI538" i="10"/>
  <c r="EH538" i="10"/>
  <c r="EK538" i="10"/>
  <c r="EJ207" i="10"/>
  <c r="EK207" i="10"/>
  <c r="DR207" i="10"/>
  <c r="EH207" i="10"/>
  <c r="EI207" i="10"/>
  <c r="EK210" i="10"/>
  <c r="EH210" i="10"/>
  <c r="EI210" i="10"/>
  <c r="EJ210" i="10"/>
  <c r="DR210" i="10"/>
  <c r="EJ201" i="10"/>
  <c r="DR201" i="10"/>
  <c r="EH201" i="10"/>
  <c r="EI201" i="10"/>
  <c r="EK201" i="10"/>
  <c r="EJ163" i="10"/>
  <c r="DR163" i="10"/>
  <c r="EK163" i="10"/>
  <c r="EH163" i="10"/>
  <c r="EI163" i="10"/>
  <c r="DR198" i="10"/>
  <c r="EH198" i="10"/>
  <c r="EK198" i="10"/>
  <c r="EI198" i="10"/>
  <c r="EJ198" i="10"/>
  <c r="EH111" i="10"/>
  <c r="EK111" i="10"/>
  <c r="DR111" i="10"/>
  <c r="EI111" i="10"/>
  <c r="EJ111" i="10"/>
  <c r="EJ225" i="10"/>
  <c r="EK225" i="10"/>
  <c r="EH225" i="10"/>
  <c r="DR225" i="10"/>
  <c r="EI225" i="10"/>
  <c r="BR728" i="10"/>
  <c r="DO728" i="10"/>
  <c r="EH95" i="10"/>
  <c r="DR723" i="10"/>
  <c r="EK723" i="10"/>
  <c r="DR512" i="10"/>
  <c r="DO172" i="10"/>
  <c r="BR172" i="10"/>
  <c r="EH217" i="10"/>
  <c r="EK217" i="10"/>
  <c r="EJ217" i="10"/>
  <c r="EI217" i="10"/>
  <c r="DR217" i="10"/>
  <c r="DO409" i="10"/>
  <c r="BR409" i="10"/>
  <c r="EK55" i="10"/>
  <c r="EH55" i="10"/>
  <c r="EJ55" i="10"/>
  <c r="DR55" i="10"/>
  <c r="EI55" i="10"/>
  <c r="EK399" i="10"/>
  <c r="DR399" i="10"/>
  <c r="EH399" i="10"/>
  <c r="EI399" i="10"/>
  <c r="EJ399" i="10"/>
  <c r="DO332" i="10"/>
  <c r="BR332" i="10"/>
  <c r="EK356" i="10"/>
  <c r="EH356" i="10"/>
  <c r="EI356" i="10"/>
  <c r="DR356" i="10"/>
  <c r="EJ356" i="10"/>
  <c r="DR99" i="10"/>
  <c r="EH99" i="10"/>
  <c r="EJ99" i="10"/>
  <c r="EK99" i="10"/>
  <c r="EI99" i="10"/>
  <c r="EK53" i="10"/>
  <c r="EI53" i="10"/>
  <c r="EH53" i="10"/>
  <c r="DR53" i="10"/>
  <c r="EJ53" i="10"/>
  <c r="DR506" i="10"/>
  <c r="EI506" i="10"/>
  <c r="EK506" i="10"/>
  <c r="EH506" i="10"/>
  <c r="EJ506" i="10"/>
  <c r="EH324" i="10"/>
  <c r="EK324" i="10"/>
  <c r="EI324" i="10"/>
  <c r="DR324" i="10"/>
  <c r="EJ324" i="10"/>
  <c r="EJ520" i="10"/>
  <c r="EH520" i="10"/>
  <c r="EI520" i="10"/>
  <c r="EK520" i="10"/>
  <c r="DR520" i="10"/>
  <c r="BR427" i="10"/>
  <c r="DO427" i="10"/>
  <c r="EI297" i="10"/>
  <c r="EK297" i="10"/>
  <c r="EH297" i="10"/>
  <c r="EJ297" i="10"/>
  <c r="DR297" i="10"/>
  <c r="EI31" i="10"/>
  <c r="EK31" i="10"/>
  <c r="DR31" i="10"/>
  <c r="EJ31" i="10"/>
  <c r="EH31" i="10"/>
  <c r="DR204" i="10"/>
  <c r="EJ204" i="10"/>
  <c r="EK204" i="10"/>
  <c r="EI204" i="10"/>
  <c r="EH204" i="10"/>
  <c r="EH57" i="10"/>
  <c r="EK57" i="10"/>
  <c r="EI57" i="10"/>
  <c r="EJ57" i="10"/>
  <c r="DR57" i="10"/>
  <c r="EH169" i="10"/>
  <c r="DR169" i="10"/>
  <c r="EK169" i="10"/>
  <c r="EJ169" i="10"/>
  <c r="EI169" i="10"/>
  <c r="BR846" i="10"/>
  <c r="DO846" i="10"/>
  <c r="EH63" i="10"/>
  <c r="EK63" i="10"/>
  <c r="DR63" i="10"/>
  <c r="EJ63" i="10"/>
  <c r="EI63" i="10"/>
  <c r="DO852" i="10"/>
  <c r="BR852" i="10"/>
  <c r="EI91" i="10"/>
  <c r="DR91" i="10"/>
  <c r="EH91" i="10"/>
  <c r="EK91" i="10"/>
  <c r="EJ91" i="10"/>
  <c r="EH45" i="10"/>
  <c r="EJ45" i="10"/>
  <c r="EI45" i="10"/>
  <c r="EK45" i="10"/>
  <c r="DR45" i="10"/>
  <c r="EH203" i="10"/>
  <c r="EI203" i="10"/>
  <c r="EK203" i="10"/>
  <c r="EJ203" i="10"/>
  <c r="DR203" i="10"/>
  <c r="EJ789" i="10"/>
  <c r="DR789" i="10"/>
  <c r="EK789" i="10"/>
  <c r="EI789" i="10"/>
  <c r="EH789" i="10"/>
  <c r="DR235" i="10"/>
  <c r="EH235" i="10"/>
  <c r="EK235" i="10"/>
  <c r="EI235" i="10"/>
  <c r="EJ235" i="10"/>
  <c r="EK425" i="10"/>
  <c r="DR425" i="10"/>
  <c r="EH425" i="10"/>
  <c r="EJ425" i="10"/>
  <c r="EI425" i="10"/>
  <c r="DO463" i="10"/>
  <c r="BR463" i="10"/>
  <c r="EJ361" i="10"/>
  <c r="EK361" i="10"/>
  <c r="DR361" i="10"/>
  <c r="EI361" i="10"/>
  <c r="EH361" i="10"/>
  <c r="EJ684" i="10"/>
  <c r="EK684" i="10"/>
  <c r="EI684" i="10"/>
  <c r="DR684" i="10"/>
  <c r="EH684" i="10"/>
  <c r="EJ438" i="10"/>
  <c r="EH438" i="10"/>
  <c r="EK438" i="10"/>
  <c r="EI438" i="10"/>
  <c r="DR438" i="10"/>
  <c r="EK492" i="10"/>
  <c r="EJ492" i="10"/>
  <c r="EI492" i="10"/>
  <c r="EH492" i="10"/>
  <c r="DR492" i="10"/>
  <c r="DR828" i="10"/>
  <c r="EI828" i="10"/>
  <c r="EJ828" i="10"/>
  <c r="EK828" i="10"/>
  <c r="EH828" i="10"/>
  <c r="EH456" i="10"/>
  <c r="EI456" i="10"/>
  <c r="EK456" i="10"/>
  <c r="DR456" i="10"/>
  <c r="EJ456" i="10"/>
  <c r="EI148" i="10"/>
  <c r="EJ148" i="10"/>
  <c r="DR148" i="10"/>
  <c r="EK148" i="10"/>
  <c r="EH148" i="10"/>
  <c r="DO381" i="10"/>
  <c r="BR381" i="10"/>
  <c r="DO733" i="10"/>
  <c r="BR733" i="10"/>
  <c r="DO611" i="10"/>
  <c r="BR611" i="10"/>
  <c r="DO578" i="10"/>
  <c r="BR578" i="10"/>
  <c r="BR848" i="10"/>
  <c r="DO848" i="10"/>
  <c r="EK368" i="10"/>
  <c r="EI368" i="10"/>
  <c r="DR368" i="10"/>
  <c r="EH368" i="10"/>
  <c r="EJ368" i="10"/>
  <c r="BR501" i="10"/>
  <c r="DO501" i="10"/>
  <c r="DO702" i="10"/>
  <c r="BR702" i="10"/>
  <c r="DO722" i="10"/>
  <c r="BR722" i="10"/>
  <c r="DO836" i="10"/>
  <c r="BR836" i="10"/>
  <c r="DO567" i="10"/>
  <c r="BR567" i="10"/>
  <c r="BR680" i="10"/>
  <c r="DO680" i="10"/>
  <c r="BR316" i="10"/>
  <c r="DO316" i="10"/>
  <c r="DO441" i="10"/>
  <c r="BR441" i="10"/>
  <c r="BR420" i="10"/>
  <c r="DO420" i="10"/>
  <c r="DO517" i="10"/>
  <c r="BR517" i="10"/>
  <c r="BR294" i="10"/>
  <c r="DO294" i="10"/>
  <c r="DO397" i="10"/>
  <c r="BR397" i="10"/>
  <c r="DO629" i="10"/>
  <c r="BR629" i="10"/>
  <c r="BR738" i="10"/>
  <c r="DO738" i="10"/>
  <c r="EI227" i="10"/>
  <c r="DR227" i="10"/>
  <c r="EH227" i="10"/>
  <c r="EJ227" i="10"/>
  <c r="EK227" i="10"/>
  <c r="EI644" i="10"/>
  <c r="EK644" i="10"/>
  <c r="EH644" i="10"/>
  <c r="DR644" i="10"/>
  <c r="EJ644" i="10"/>
  <c r="EJ383" i="10"/>
  <c r="EI383" i="10"/>
  <c r="DR383" i="10"/>
  <c r="EK383" i="10"/>
  <c r="EH383" i="10"/>
  <c r="EK646" i="10"/>
  <c r="EH646" i="10"/>
  <c r="DR646" i="10"/>
  <c r="EI646" i="10"/>
  <c r="EJ646" i="10"/>
  <c r="EJ261" i="10"/>
  <c r="EH261" i="10"/>
  <c r="DR261" i="10"/>
  <c r="EK261" i="10"/>
  <c r="EI261" i="10"/>
  <c r="EK408" i="10"/>
  <c r="EJ408" i="10"/>
  <c r="EI408" i="10"/>
  <c r="DR408" i="10"/>
  <c r="EH408" i="10"/>
  <c r="EJ179" i="10"/>
  <c r="EH179" i="10"/>
  <c r="DR179" i="10"/>
  <c r="EI179" i="10"/>
  <c r="EK179" i="10"/>
  <c r="BR830" i="10"/>
  <c r="DO830" i="10"/>
  <c r="EH424" i="10"/>
  <c r="EJ424" i="10"/>
  <c r="EI424" i="10"/>
  <c r="DR424" i="10"/>
  <c r="EK424" i="10"/>
  <c r="EH855" i="10"/>
  <c r="EI855" i="10"/>
  <c r="DR855" i="10"/>
  <c r="EK855" i="10"/>
  <c r="EJ855" i="10"/>
  <c r="DO874" i="10"/>
  <c r="BR874" i="10"/>
  <c r="DR382" i="10"/>
  <c r="EJ382" i="10"/>
  <c r="EK382" i="10"/>
  <c r="EH382" i="10"/>
  <c r="EI382" i="10"/>
  <c r="BR547" i="10"/>
  <c r="DO547" i="10"/>
  <c r="EK392" i="10"/>
  <c r="EJ392" i="10"/>
  <c r="EH392" i="10"/>
  <c r="DR392" i="10"/>
  <c r="EI392" i="10"/>
  <c r="BR825" i="10"/>
  <c r="DO825" i="10"/>
  <c r="BR90" i="10"/>
  <c r="DO90" i="10"/>
  <c r="DO627" i="10"/>
  <c r="BR627" i="10"/>
  <c r="DO662" i="10"/>
  <c r="BR662" i="10"/>
  <c r="DR570" i="10"/>
  <c r="EJ570" i="10"/>
  <c r="EI570" i="10"/>
  <c r="EK570" i="10"/>
  <c r="EH570" i="10"/>
  <c r="EJ237" i="10"/>
  <c r="DR237" i="10"/>
  <c r="EI237" i="10"/>
  <c r="EK237" i="10"/>
  <c r="EH237" i="10"/>
  <c r="EI784" i="10"/>
  <c r="DR784" i="10"/>
  <c r="EJ784" i="10"/>
  <c r="EH784" i="10"/>
  <c r="EK784" i="10"/>
  <c r="EK453" i="10"/>
  <c r="DR453" i="10"/>
  <c r="EH453" i="10"/>
  <c r="EJ453" i="10"/>
  <c r="EI453" i="10"/>
  <c r="DO592" i="10"/>
  <c r="BR592" i="10"/>
  <c r="EJ739" i="10"/>
  <c r="EI739" i="10"/>
  <c r="EH739" i="10"/>
  <c r="DR739" i="10"/>
  <c r="EK739" i="10"/>
  <c r="EH619" i="10"/>
  <c r="EI619" i="10"/>
  <c r="EK619" i="10"/>
  <c r="EJ619" i="10"/>
  <c r="DR619" i="10"/>
  <c r="DR664" i="10"/>
  <c r="EH664" i="10"/>
  <c r="EI664" i="10"/>
  <c r="EK664" i="10"/>
  <c r="EJ664" i="10"/>
  <c r="EJ589" i="10"/>
  <c r="EK589" i="10"/>
  <c r="EH589" i="10"/>
  <c r="EI589" i="10"/>
  <c r="DR589" i="10"/>
  <c r="EH622" i="10"/>
  <c r="DR622" i="10"/>
  <c r="EJ622" i="10"/>
  <c r="EK622" i="10"/>
  <c r="EI622" i="10"/>
  <c r="EI85" i="10"/>
  <c r="EK85" i="10"/>
  <c r="DR85" i="10"/>
  <c r="EJ85" i="10"/>
  <c r="EH85" i="10"/>
  <c r="EJ329" i="10"/>
  <c r="EK329" i="10"/>
  <c r="EH329" i="10"/>
  <c r="DR329" i="10"/>
  <c r="EI329" i="10"/>
  <c r="EH221" i="10"/>
  <c r="EI221" i="10"/>
  <c r="EK221" i="10"/>
  <c r="EJ221" i="10"/>
  <c r="DR221" i="10"/>
  <c r="DR471" i="10"/>
  <c r="DO374" i="10"/>
  <c r="BR374" i="10"/>
  <c r="EK652" i="10"/>
  <c r="EH652" i="10"/>
  <c r="EJ652" i="10"/>
  <c r="DR652" i="10"/>
  <c r="EI652" i="10"/>
  <c r="DO606" i="10"/>
  <c r="BR606" i="10"/>
  <c r="EI763" i="10"/>
  <c r="EH763" i="10"/>
  <c r="EJ763" i="10"/>
  <c r="DR763" i="10"/>
  <c r="EK763" i="10"/>
  <c r="EH152" i="10"/>
  <c r="DR152" i="10"/>
  <c r="EI152" i="10"/>
  <c r="EK152" i="10"/>
  <c r="EJ152" i="10"/>
  <c r="DO119" i="10"/>
  <c r="BR119" i="10"/>
  <c r="EJ845" i="10"/>
  <c r="EK845" i="10"/>
  <c r="EH845" i="10"/>
  <c r="EI845" i="10"/>
  <c r="DR845" i="10"/>
  <c r="EJ377" i="10"/>
  <c r="EK377" i="10"/>
  <c r="DR377" i="10"/>
  <c r="EH377" i="10"/>
  <c r="EI377" i="10"/>
  <c r="EH421" i="10"/>
  <c r="DR421" i="10"/>
  <c r="EJ421" i="10"/>
  <c r="EK421" i="10"/>
  <c r="EI421" i="10"/>
  <c r="EH777" i="10"/>
  <c r="EK777" i="10"/>
  <c r="EJ777" i="10"/>
  <c r="DR777" i="10"/>
  <c r="EI777" i="10"/>
  <c r="EI440" i="10"/>
  <c r="EJ440" i="10"/>
  <c r="EK440" i="10"/>
  <c r="EH440" i="10"/>
  <c r="DR440" i="10"/>
  <c r="EK503" i="10"/>
  <c r="EI503" i="10"/>
  <c r="EH503" i="10"/>
  <c r="EJ503" i="10"/>
  <c r="DR503" i="10"/>
  <c r="EK412" i="10"/>
  <c r="DR412" i="10"/>
  <c r="EH412" i="10"/>
  <c r="EI412" i="10"/>
  <c r="EJ412" i="10"/>
  <c r="DR269" i="10"/>
  <c r="EH269" i="10"/>
  <c r="EJ269" i="10"/>
  <c r="EK269" i="10"/>
  <c r="EI269" i="10"/>
  <c r="DR181" i="10"/>
  <c r="EI181" i="10"/>
  <c r="EJ181" i="10"/>
  <c r="EH181" i="10"/>
  <c r="EK181" i="10"/>
  <c r="EK253" i="10"/>
  <c r="EI253" i="10"/>
  <c r="EJ253" i="10"/>
  <c r="DR253" i="10"/>
  <c r="EH253" i="10"/>
  <c r="EI518" i="10"/>
  <c r="EH518" i="10"/>
  <c r="EK518" i="10"/>
  <c r="DR518" i="10"/>
  <c r="EJ518" i="10"/>
  <c r="BR572" i="10"/>
  <c r="DO572" i="10"/>
  <c r="BR113" i="10"/>
  <c r="DO113" i="10"/>
  <c r="EI315" i="10"/>
  <c r="EK315" i="10"/>
  <c r="EJ315" i="10"/>
  <c r="DR315" i="10"/>
  <c r="EH315" i="10"/>
  <c r="EK458" i="10"/>
  <c r="EJ458" i="10"/>
  <c r="EI458" i="10"/>
  <c r="EH458" i="10"/>
  <c r="DR458" i="10"/>
  <c r="EI551" i="10"/>
  <c r="DR551" i="10"/>
  <c r="EK551" i="10"/>
  <c r="EH551" i="10"/>
  <c r="EJ551" i="10"/>
  <c r="BR820" i="10"/>
  <c r="DO820" i="10"/>
  <c r="EJ205" i="10"/>
  <c r="EK205" i="10"/>
  <c r="DR205" i="10"/>
  <c r="EH205" i="10"/>
  <c r="EI205" i="10"/>
  <c r="EK768" i="10"/>
  <c r="EH768" i="10"/>
  <c r="DR768" i="10"/>
  <c r="EJ768" i="10"/>
  <c r="EI768" i="10"/>
  <c r="BR125" i="10"/>
  <c r="DO125" i="10"/>
  <c r="EH753" i="10"/>
  <c r="DR753" i="10"/>
  <c r="EI753" i="10"/>
  <c r="EK753" i="10"/>
  <c r="EJ753" i="10"/>
  <c r="EH569" i="10"/>
  <c r="EI569" i="10"/>
  <c r="DR569" i="10"/>
  <c r="EK569" i="10"/>
  <c r="EJ569" i="10"/>
  <c r="EI259" i="10"/>
  <c r="EJ259" i="10"/>
  <c r="DR259" i="10"/>
  <c r="EH259" i="10"/>
  <c r="EK259" i="10"/>
  <c r="EJ396" i="10"/>
  <c r="DR396" i="10"/>
  <c r="EK396" i="10"/>
  <c r="EI396" i="10"/>
  <c r="EH396" i="10"/>
  <c r="EH743" i="10"/>
  <c r="EI743" i="10"/>
  <c r="DR743" i="10"/>
  <c r="EJ743" i="10"/>
  <c r="EK743" i="10"/>
  <c r="DR600" i="10"/>
  <c r="EI600" i="10"/>
  <c r="EK600" i="10"/>
  <c r="EJ600" i="10"/>
  <c r="EH600" i="10"/>
  <c r="EI838" i="10"/>
  <c r="DR838" i="10"/>
  <c r="EJ838" i="10"/>
  <c r="EH838" i="10"/>
  <c r="EK838" i="10"/>
  <c r="EK436" i="10"/>
  <c r="EH436" i="10"/>
  <c r="EJ436" i="10"/>
  <c r="EI436" i="10"/>
  <c r="DR436" i="10"/>
  <c r="EJ213" i="10"/>
  <c r="EK213" i="10"/>
  <c r="EH213" i="10"/>
  <c r="DR213" i="10"/>
  <c r="EI213" i="10"/>
  <c r="BR403" i="10"/>
  <c r="DO403" i="10"/>
  <c r="DO79" i="10"/>
  <c r="BR79" i="10"/>
  <c r="DR783" i="10"/>
  <c r="EI783" i="10"/>
  <c r="EJ783" i="10"/>
  <c r="EH783" i="10"/>
  <c r="EK783" i="10"/>
  <c r="DR465" i="10"/>
  <c r="EK465" i="10"/>
  <c r="EH465" i="10"/>
  <c r="EJ465" i="10"/>
  <c r="EI465" i="10"/>
  <c r="EK433" i="10"/>
  <c r="DR433" i="10"/>
  <c r="EI433" i="10"/>
  <c r="EJ433" i="10"/>
  <c r="EH433" i="10"/>
  <c r="BR67" i="10"/>
  <c r="DO67" i="10"/>
  <c r="EH96" i="10"/>
  <c r="EK96" i="10"/>
  <c r="DR96" i="10"/>
  <c r="EI96" i="10"/>
  <c r="EJ96" i="10"/>
  <c r="EH533" i="10"/>
  <c r="EI533" i="10"/>
  <c r="DR533" i="10"/>
  <c r="EK533" i="10"/>
  <c r="EJ533" i="10"/>
  <c r="DO73" i="10"/>
  <c r="BR73" i="10"/>
  <c r="DO102" i="10"/>
  <c r="BR102" i="10"/>
  <c r="EH195" i="10"/>
  <c r="DR195" i="10"/>
  <c r="EJ195" i="10"/>
  <c r="EK195" i="10"/>
  <c r="EI195" i="10"/>
  <c r="EI787" i="10"/>
  <c r="EH787" i="10"/>
  <c r="EJ787" i="10"/>
  <c r="DR787" i="10"/>
  <c r="EK787" i="10"/>
  <c r="EJ698" i="10"/>
  <c r="EH698" i="10"/>
  <c r="DR698" i="10"/>
  <c r="EK698" i="10"/>
  <c r="EI698" i="10"/>
  <c r="EH160" i="10"/>
  <c r="EI160" i="10"/>
  <c r="EK160" i="10"/>
  <c r="EJ160" i="10"/>
  <c r="DR160" i="10"/>
  <c r="EK449" i="10"/>
  <c r="EH449" i="10"/>
  <c r="DR449" i="10"/>
  <c r="EJ449" i="10"/>
  <c r="EI449" i="10"/>
  <c r="EI184" i="10"/>
  <c r="DR184" i="10"/>
  <c r="EJ184" i="10"/>
  <c r="EK184" i="10"/>
  <c r="EH184" i="10"/>
  <c r="EK337" i="10"/>
  <c r="EI337" i="10"/>
  <c r="DR337" i="10"/>
  <c r="EJ337" i="10"/>
  <c r="EH337" i="10"/>
  <c r="EH666" i="10"/>
  <c r="DR666" i="10"/>
  <c r="EI666" i="10"/>
  <c r="EK666" i="10"/>
  <c r="EJ666" i="10"/>
  <c r="EI696" i="10"/>
  <c r="EK696" i="10"/>
  <c r="DR696" i="10"/>
  <c r="EH696" i="10"/>
  <c r="EJ696" i="10"/>
  <c r="DR577" i="10"/>
  <c r="EJ577" i="10"/>
  <c r="EK577" i="10"/>
  <c r="EH577" i="10"/>
  <c r="EI577" i="10"/>
  <c r="EI816" i="10"/>
  <c r="EH816" i="10"/>
  <c r="EJ816" i="10"/>
  <c r="DR816" i="10"/>
  <c r="EK816" i="10"/>
  <c r="DO388" i="10"/>
  <c r="BR388" i="10"/>
  <c r="DR657" i="10"/>
  <c r="EI657" i="10"/>
  <c r="EK657" i="10"/>
  <c r="EH657" i="10"/>
  <c r="EJ657" i="10"/>
  <c r="DO174" i="10"/>
  <c r="BR174" i="10"/>
  <c r="DR670" i="10"/>
  <c r="EK670" i="10"/>
  <c r="EJ670" i="10"/>
  <c r="EH670" i="10"/>
  <c r="EI670" i="10"/>
  <c r="EK648" i="10"/>
  <c r="EH648" i="10"/>
  <c r="EI648" i="10"/>
  <c r="DR648" i="10"/>
  <c r="EJ648" i="10"/>
  <c r="DR398" i="10"/>
  <c r="EI398" i="10"/>
  <c r="EK398" i="10"/>
  <c r="EJ398" i="10"/>
  <c r="EH398" i="10"/>
  <c r="DO810" i="10"/>
  <c r="BR810" i="10"/>
  <c r="EH668" i="10"/>
  <c r="EJ668" i="10"/>
  <c r="EK668" i="10"/>
  <c r="EI668" i="10"/>
  <c r="DR668" i="10"/>
  <c r="EK864" i="10"/>
  <c r="DR864" i="10"/>
  <c r="EH864" i="10"/>
  <c r="EI864" i="10"/>
  <c r="EJ864" i="10"/>
  <c r="DO617" i="10"/>
  <c r="BR617" i="10"/>
  <c r="EK229" i="10"/>
  <c r="DR229" i="10"/>
  <c r="EJ229" i="10"/>
  <c r="EI229" i="10"/>
  <c r="EH229" i="10"/>
  <c r="DR597" i="10"/>
  <c r="EJ597" i="10"/>
  <c r="EK597" i="10"/>
  <c r="EI597" i="10"/>
  <c r="EH597" i="10"/>
  <c r="DR380" i="10"/>
  <c r="EH380" i="10"/>
  <c r="EK380" i="10"/>
  <c r="EJ380" i="10"/>
  <c r="EI380" i="10"/>
  <c r="EH640" i="10"/>
  <c r="DR640" i="10"/>
  <c r="EI640" i="10"/>
  <c r="EJ640" i="10"/>
  <c r="EK640" i="10"/>
  <c r="EK878" i="10"/>
  <c r="EI878" i="10"/>
  <c r="EH878" i="10"/>
  <c r="DR878" i="10"/>
  <c r="EJ878" i="10"/>
  <c r="EJ690" i="10"/>
  <c r="DR690" i="10"/>
  <c r="EI690" i="10"/>
  <c r="EH690" i="10"/>
  <c r="EK690" i="10"/>
  <c r="EJ277" i="10"/>
  <c r="EH277" i="10"/>
  <c r="DR277" i="10"/>
  <c r="EI277" i="10"/>
  <c r="EK277" i="10"/>
  <c r="EJ37" i="10"/>
  <c r="EK37" i="10"/>
  <c r="EI37" i="10"/>
  <c r="EH37" i="10"/>
  <c r="DR37" i="10"/>
  <c r="DR341" i="10"/>
  <c r="EI341" i="10"/>
  <c r="EJ341" i="10"/>
  <c r="EK341" i="10"/>
  <c r="EH341" i="10"/>
  <c r="DR349" i="10"/>
  <c r="EI349" i="10"/>
  <c r="EJ349" i="10"/>
  <c r="EH349" i="10"/>
  <c r="EK349" i="10"/>
  <c r="BR686" i="10"/>
  <c r="DO686" i="10"/>
  <c r="EJ144" i="10"/>
  <c r="EH144" i="10"/>
  <c r="EK144" i="10"/>
  <c r="EI144" i="10"/>
  <c r="DR144" i="10"/>
  <c r="EK849" i="10"/>
  <c r="EJ849" i="10"/>
  <c r="EH849" i="10"/>
  <c r="EI849" i="10"/>
  <c r="DR849" i="10"/>
  <c r="EJ511" i="10"/>
  <c r="EK511" i="10"/>
  <c r="EI511" i="10"/>
  <c r="DR511" i="10"/>
  <c r="EH511" i="10"/>
  <c r="DR353" i="10"/>
  <c r="EK353" i="10"/>
  <c r="EI353" i="10"/>
  <c r="EH353" i="10"/>
  <c r="EJ353" i="10"/>
  <c r="DO710" i="10"/>
  <c r="BR710" i="10"/>
  <c r="EK862" i="10"/>
  <c r="EH862" i="10"/>
  <c r="DR862" i="10"/>
  <c r="EI862" i="10"/>
  <c r="EJ862" i="10"/>
  <c r="BR801" i="10"/>
  <c r="DO801" i="10"/>
  <c r="DO840" i="10"/>
  <c r="BR840" i="10"/>
  <c r="DO594" i="10"/>
  <c r="BR594" i="10"/>
  <c r="DO635" i="10"/>
  <c r="BR635" i="10"/>
  <c r="DO762" i="10"/>
  <c r="BR762" i="10"/>
  <c r="BR613" i="10"/>
  <c r="DO613" i="10"/>
  <c r="DO609" i="10"/>
  <c r="BR609" i="10"/>
  <c r="BR628" i="10"/>
  <c r="DO628" i="10"/>
  <c r="DO805" i="10"/>
  <c r="BR805" i="10"/>
  <c r="BR766" i="10"/>
  <c r="DO766" i="10"/>
  <c r="BR832" i="10"/>
  <c r="DO832" i="10"/>
  <c r="BR490" i="10"/>
  <c r="DO490" i="10"/>
  <c r="BR118" i="10"/>
  <c r="DO118" i="10"/>
  <c r="DO721" i="10"/>
  <c r="BR721" i="10"/>
  <c r="BR413" i="10"/>
  <c r="DO413" i="10"/>
  <c r="BR546" i="10"/>
  <c r="DO546" i="10"/>
  <c r="DO599" i="10"/>
  <c r="BR599" i="10"/>
  <c r="BR475" i="10"/>
  <c r="DO475" i="10"/>
  <c r="BR41" i="10"/>
  <c r="DO41" i="10"/>
  <c r="DR579" i="10"/>
  <c r="EJ579" i="10"/>
  <c r="EK579" i="10"/>
  <c r="EH579" i="10"/>
  <c r="EI579" i="10"/>
  <c r="DO540" i="10"/>
  <c r="BR540" i="10"/>
  <c r="BR712" i="10"/>
  <c r="DO712" i="10"/>
  <c r="DO422" i="10"/>
  <c r="BR422" i="10"/>
  <c r="BR130" i="10"/>
  <c r="DO130" i="10"/>
  <c r="BR357" i="10"/>
  <c r="DO357" i="10"/>
  <c r="BR97" i="10"/>
  <c r="DO97" i="10"/>
  <c r="BR625" i="10"/>
  <c r="DO625" i="10"/>
  <c r="BR127" i="10"/>
  <c r="DO127" i="10"/>
  <c r="DO706" i="10"/>
  <c r="BR706" i="10"/>
  <c r="DO32" i="10"/>
  <c r="BR32" i="10"/>
  <c r="DO124" i="10"/>
  <c r="BR124" i="10"/>
  <c r="DO694" i="10"/>
  <c r="BR694" i="10"/>
  <c r="BR593" i="10"/>
  <c r="DO593" i="10"/>
  <c r="BR487" i="10"/>
  <c r="DO487" i="10"/>
  <c r="DO142" i="10"/>
  <c r="BR142" i="10"/>
  <c r="BR369" i="10"/>
  <c r="DO369" i="10"/>
  <c r="BR115" i="10"/>
  <c r="DO115" i="10"/>
  <c r="DO366" i="10"/>
  <c r="BR366" i="10"/>
  <c r="BR375" i="10"/>
  <c r="DO375" i="10"/>
  <c r="BR419" i="10"/>
  <c r="DO419" i="10"/>
  <c r="DO703" i="10"/>
  <c r="BR703" i="10"/>
  <c r="BR709" i="10"/>
  <c r="DO709" i="10"/>
  <c r="DO718" i="10"/>
  <c r="BR718" i="10"/>
  <c r="BR596" i="10"/>
  <c r="DO596" i="10"/>
  <c r="BR112" i="10"/>
  <c r="DO112" i="10"/>
  <c r="BR715" i="10"/>
  <c r="DO715" i="10"/>
  <c r="DO590" i="10"/>
  <c r="BR590" i="10"/>
  <c r="BR372" i="10"/>
  <c r="DO372" i="10"/>
  <c r="BR133" i="10"/>
  <c r="DO133" i="10"/>
  <c r="BR139" i="10"/>
  <c r="DO139" i="10"/>
  <c r="DO481" i="10"/>
  <c r="BR481" i="10"/>
  <c r="BR378" i="10"/>
  <c r="DO378" i="10"/>
  <c r="BR416" i="10"/>
  <c r="DO416" i="10"/>
  <c r="DO744" i="10"/>
  <c r="BR744" i="10"/>
  <c r="DO674" i="10"/>
  <c r="BR674" i="10"/>
  <c r="DO354" i="10"/>
  <c r="BR354" i="10"/>
  <c r="DO543" i="10"/>
  <c r="BR543" i="10"/>
  <c r="BR697" i="10"/>
  <c r="DO697" i="10"/>
  <c r="BR472" i="10"/>
  <c r="DO472" i="10"/>
  <c r="DO478" i="10"/>
  <c r="BR478" i="10"/>
  <c r="BR351" i="10"/>
  <c r="DO351" i="10"/>
  <c r="DO136" i="10"/>
  <c r="BR136" i="10"/>
  <c r="BR100" i="10"/>
  <c r="DO100" i="10"/>
  <c r="DO106" i="10"/>
  <c r="BR106" i="10"/>
  <c r="DO109" i="10"/>
  <c r="BR109" i="10"/>
  <c r="DO493" i="10"/>
  <c r="BR493" i="10"/>
  <c r="DO484" i="10"/>
  <c r="BR484" i="10"/>
  <c r="DO120" i="10"/>
  <c r="BR120" i="10"/>
  <c r="BR818" i="10"/>
  <c r="DO818" i="10"/>
  <c r="DO376" i="10"/>
  <c r="BR376" i="10"/>
  <c r="DO243" i="10"/>
  <c r="BR243" i="10"/>
  <c r="DO496" i="10"/>
  <c r="BR496" i="10"/>
  <c r="BR724" i="10"/>
  <c r="DO724" i="10"/>
  <c r="BR230" i="10"/>
  <c r="DO230" i="10"/>
  <c r="DO764" i="10"/>
  <c r="BR764" i="10"/>
  <c r="DO821" i="10"/>
  <c r="BR821" i="10"/>
  <c r="DO785" i="10"/>
  <c r="BR785" i="10"/>
  <c r="BR803" i="10"/>
  <c r="DO803" i="10"/>
  <c r="DO362" i="10"/>
  <c r="BR362" i="10"/>
  <c r="BR157" i="10"/>
  <c r="DO157" i="10"/>
  <c r="DO238" i="10"/>
  <c r="BR238" i="10"/>
  <c r="DO445" i="10"/>
  <c r="BR445" i="10"/>
  <c r="DO824" i="10"/>
  <c r="BR824" i="10"/>
  <c r="BR755" i="10"/>
  <c r="DO755" i="10"/>
  <c r="DO711" i="10"/>
  <c r="BR711" i="10"/>
  <c r="BR325" i="10"/>
  <c r="DO325" i="10"/>
  <c r="DO705" i="10"/>
  <c r="BR705" i="10"/>
  <c r="BR222" i="10"/>
  <c r="DO222" i="10"/>
  <c r="BR809" i="10"/>
  <c r="DO809" i="10"/>
  <c r="BR241" i="10"/>
  <c r="DO241" i="10"/>
  <c r="DO761" i="10"/>
  <c r="BR761" i="10"/>
  <c r="DO708" i="10"/>
  <c r="BR708" i="10"/>
  <c r="DO615" i="10"/>
  <c r="BR615" i="10"/>
  <c r="EH576" i="10"/>
  <c r="EJ576" i="10"/>
  <c r="EI576" i="10"/>
  <c r="DR576" i="10"/>
  <c r="EK576" i="10"/>
  <c r="DO800" i="10"/>
  <c r="BR800" i="10"/>
  <c r="DO390" i="10"/>
  <c r="BR390" i="10"/>
  <c r="DO623" i="10"/>
  <c r="BR623" i="10"/>
  <c r="BR568" i="10"/>
  <c r="DO568" i="10"/>
  <c r="BR791" i="10"/>
  <c r="DO791" i="10"/>
  <c r="DO439" i="10"/>
  <c r="BR439" i="10"/>
  <c r="DO334" i="10"/>
  <c r="BR334" i="10"/>
  <c r="BR535" i="10"/>
  <c r="DO535" i="10"/>
  <c r="BR827" i="10"/>
  <c r="DO827" i="10"/>
  <c r="BR305" i="10"/>
  <c r="DO305" i="10"/>
  <c r="BR331" i="10"/>
  <c r="DO331" i="10"/>
  <c r="BR30" i="10"/>
  <c r="DO30" i="10"/>
  <c r="DO216" i="10"/>
  <c r="BR216" i="10"/>
  <c r="DO418" i="10"/>
  <c r="BR418" i="10"/>
  <c r="BR345" i="10"/>
  <c r="DO345" i="10"/>
  <c r="DO373" i="10"/>
  <c r="BR373" i="10"/>
  <c r="BR618" i="10"/>
  <c r="DO618" i="10"/>
  <c r="BR573" i="10"/>
  <c r="DO573" i="10"/>
  <c r="BR387" i="10"/>
  <c r="DO387" i="10"/>
  <c r="BR554" i="10"/>
  <c r="DO554" i="10"/>
  <c r="DO752" i="10"/>
  <c r="BR752" i="10"/>
  <c r="DO653" i="10"/>
  <c r="BR653" i="10"/>
  <c r="BR779" i="10"/>
  <c r="DO779" i="10"/>
  <c r="BR92" i="10"/>
  <c r="DO92" i="10"/>
  <c r="DO407" i="10"/>
  <c r="BR407" i="10"/>
  <c r="BR729" i="10"/>
  <c r="DO729" i="10"/>
  <c r="BR379" i="10"/>
  <c r="DO379" i="10"/>
  <c r="BR788" i="10"/>
  <c r="DO788" i="10"/>
  <c r="DO485" i="10"/>
  <c r="BR485" i="10"/>
  <c r="BR202" i="10"/>
  <c r="DO202" i="10"/>
  <c r="DO477" i="10"/>
  <c r="BR477" i="10"/>
  <c r="DO562" i="10"/>
  <c r="BR562" i="10"/>
  <c r="BR219" i="10"/>
  <c r="DO219" i="10"/>
  <c r="DO480" i="10"/>
  <c r="BR480" i="10"/>
  <c r="BR450" i="10"/>
  <c r="DO450" i="10"/>
  <c r="BR254" i="10"/>
  <c r="DO254" i="10"/>
  <c r="BR168" i="10"/>
  <c r="DO168" i="10"/>
  <c r="DO737" i="10"/>
  <c r="BR737" i="10"/>
  <c r="DO815" i="10"/>
  <c r="BR815" i="10"/>
  <c r="DO557" i="10"/>
  <c r="BR557" i="10"/>
  <c r="BR770" i="10"/>
  <c r="DO770" i="10"/>
  <c r="DO797" i="10"/>
  <c r="BR797" i="10"/>
  <c r="DO773" i="10"/>
  <c r="BR773" i="10"/>
  <c r="DO359" i="10"/>
  <c r="BR359" i="10"/>
  <c r="DO246" i="10"/>
  <c r="BR246" i="10"/>
  <c r="BR404" i="10"/>
  <c r="DO404" i="10"/>
  <c r="BR302" i="10"/>
  <c r="DO302" i="10"/>
  <c r="DO812" i="10"/>
  <c r="BR812" i="10"/>
  <c r="DO794" i="10"/>
  <c r="BR794" i="10"/>
  <c r="BR154" i="10"/>
  <c r="DO154" i="10"/>
  <c r="BR806" i="10"/>
  <c r="DO806" i="10"/>
  <c r="BR692" i="10"/>
  <c r="DO692" i="10"/>
  <c r="BR758" i="10"/>
  <c r="DO758" i="10"/>
  <c r="DO527" i="10"/>
  <c r="BR527" i="10"/>
  <c r="DO491" i="10"/>
  <c r="BR491" i="10"/>
  <c r="BR311" i="10"/>
  <c r="DO311" i="10"/>
  <c r="BR38" i="10"/>
  <c r="DO38" i="10"/>
  <c r="DO428" i="10"/>
  <c r="BR428" i="10"/>
  <c r="BR140" i="10"/>
  <c r="DO140" i="10"/>
  <c r="BR634" i="10"/>
  <c r="DO634" i="10"/>
  <c r="DO447" i="10"/>
  <c r="BR447" i="10"/>
  <c r="DO89" i="10"/>
  <c r="BR89" i="10"/>
  <c r="BR282" i="10"/>
  <c r="DO282" i="10"/>
  <c r="DO499" i="10"/>
  <c r="BR499" i="10"/>
  <c r="DO565" i="10"/>
  <c r="BR565" i="10"/>
  <c r="BR782" i="10"/>
  <c r="DO782" i="10"/>
  <c r="DO442" i="10"/>
  <c r="BR442" i="10"/>
  <c r="BR415" i="10"/>
  <c r="DO415" i="10"/>
  <c r="DO656" i="10"/>
  <c r="BR656" i="10"/>
  <c r="BR308" i="10"/>
  <c r="DO308" i="10"/>
  <c r="BR767" i="10"/>
  <c r="DO767" i="10"/>
  <c r="BR650" i="10"/>
  <c r="DO650" i="10"/>
  <c r="BR716" i="10"/>
  <c r="DO716" i="10"/>
  <c r="DO747" i="10"/>
  <c r="BR747" i="10"/>
  <c r="BR776" i="10"/>
  <c r="DO776" i="10"/>
  <c r="DO188" i="10"/>
  <c r="BR188" i="10"/>
  <c r="M36" i="9"/>
  <c r="M26" i="9"/>
  <c r="S104" i="7" s="1"/>
  <c r="M30" i="9"/>
  <c r="S108" i="7" s="1"/>
  <c r="AC14" i="3"/>
  <c r="AB16" i="3"/>
  <c r="Y14" i="3"/>
  <c r="X16" i="3"/>
  <c r="T106" i="7" l="1"/>
  <c r="T104" i="7"/>
  <c r="EK116" i="10"/>
  <c r="EK997" i="10"/>
  <c r="EJ406" i="10"/>
  <c r="DR884" i="10"/>
  <c r="EJ320" i="10"/>
  <c r="EJ180" i="10"/>
  <c r="EH730" i="10"/>
  <c r="EK245" i="10"/>
  <c r="EI336" i="10"/>
  <c r="EI513" i="10"/>
  <c r="EK211" i="10"/>
  <c r="EI180" i="10"/>
  <c r="EH336" i="10"/>
  <c r="EJ771" i="10"/>
  <c r="EI676" i="10"/>
  <c r="EJ336" i="10"/>
  <c r="EJ211" i="10"/>
  <c r="DR968" i="10"/>
  <c r="EH771" i="10"/>
  <c r="EJ676" i="10"/>
  <c r="EI98" i="10"/>
  <c r="EK771" i="10"/>
  <c r="EK98" i="10"/>
  <c r="EJ98" i="10"/>
  <c r="EK676" i="10"/>
  <c r="EI245" i="10"/>
  <c r="DR676" i="10"/>
  <c r="EJ258" i="10"/>
  <c r="EI248" i="10"/>
  <c r="DR245" i="10"/>
  <c r="EH603" i="10"/>
  <c r="EH98" i="10"/>
  <c r="T105" i="7"/>
  <c r="EK343" i="10"/>
  <c r="DR214" i="10"/>
  <c r="EI214" i="10"/>
  <c r="EJ214" i="10"/>
  <c r="EK928" i="10"/>
  <c r="EI928" i="10"/>
  <c r="EJ928" i="10"/>
  <c r="DR928" i="10"/>
  <c r="EH928" i="10"/>
  <c r="EH214" i="10"/>
  <c r="EK896" i="10"/>
  <c r="EH896" i="10"/>
  <c r="EI896" i="10"/>
  <c r="DR896" i="10"/>
  <c r="EJ896" i="10"/>
  <c r="EK214" i="10"/>
  <c r="EI1010" i="10"/>
  <c r="EH995" i="10"/>
  <c r="EK798" i="10"/>
  <c r="EJ288" i="10"/>
  <c r="EJ944" i="10"/>
  <c r="EH944" i="10"/>
  <c r="EK944" i="10"/>
  <c r="DR944" i="10"/>
  <c r="EI944" i="10"/>
  <c r="EH558" i="10"/>
  <c r="DR558" i="10"/>
  <c r="EI558" i="10"/>
  <c r="EK558" i="10"/>
  <c r="EJ558" i="10"/>
  <c r="EK995" i="10"/>
  <c r="EI798" i="10"/>
  <c r="DR586" i="10"/>
  <c r="EI586" i="10"/>
  <c r="EH586" i="10"/>
  <c r="EK586" i="10"/>
  <c r="EJ586" i="10"/>
  <c r="EH968" i="10"/>
  <c r="EJ997" i="10"/>
  <c r="DR288" i="10"/>
  <c r="EI258" i="10"/>
  <c r="EK949" i="10"/>
  <c r="EH949" i="10"/>
  <c r="EI949" i="10"/>
  <c r="DR949" i="10"/>
  <c r="EJ949" i="10"/>
  <c r="DR861" i="10"/>
  <c r="EI968" i="10"/>
  <c r="DR997" i="10"/>
  <c r="EJ861" i="10"/>
  <c r="EK968" i="10"/>
  <c r="EJ245" i="10"/>
  <c r="EK258" i="10"/>
  <c r="EH654" i="10"/>
  <c r="DR654" i="10"/>
  <c r="EK661" i="10"/>
  <c r="EI661" i="10"/>
  <c r="DR661" i="10"/>
  <c r="EK884" i="10"/>
  <c r="EH884" i="10"/>
  <c r="EH798" i="10"/>
  <c r="DR258" i="10"/>
  <c r="EJ437" i="10"/>
  <c r="EH437" i="10"/>
  <c r="EI802" i="10"/>
  <c r="DR802" i="10"/>
  <c r="EJ802" i="10"/>
  <c r="EK802" i="10"/>
  <c r="EH802" i="10"/>
  <c r="EI839" i="10"/>
  <c r="EJ839" i="10"/>
  <c r="EH839" i="10"/>
  <c r="EK839" i="10"/>
  <c r="DR839" i="10"/>
  <c r="EH861" i="10"/>
  <c r="EK808" i="10"/>
  <c r="EH808" i="10"/>
  <c r="DR808" i="10"/>
  <c r="EJ808" i="10"/>
  <c r="EI808" i="10"/>
  <c r="EJ528" i="10"/>
  <c r="EI288" i="10"/>
  <c r="EK288" i="10"/>
  <c r="EH986" i="10"/>
  <c r="EK986" i="10"/>
  <c r="EH405" i="10"/>
  <c r="EK899" i="10"/>
  <c r="DR116" i="10"/>
  <c r="EH180" i="10"/>
  <c r="DR995" i="10"/>
  <c r="EK655" i="10"/>
  <c r="DR655" i="10"/>
  <c r="EJ655" i="10"/>
  <c r="EH655" i="10"/>
  <c r="EI655" i="10"/>
  <c r="DR193" i="10"/>
  <c r="EH193" i="10"/>
  <c r="EK193" i="10"/>
  <c r="EI193" i="10"/>
  <c r="EJ193" i="10"/>
  <c r="EJ443" i="10"/>
  <c r="EJ986" i="10"/>
  <c r="EI405" i="10"/>
  <c r="DR180" i="10"/>
  <c r="EK405" i="10"/>
  <c r="EI512" i="10"/>
  <c r="DR443" i="10"/>
  <c r="EI986" i="10"/>
  <c r="DR771" i="10"/>
  <c r="EH443" i="10"/>
  <c r="EK443" i="10"/>
  <c r="EH513" i="10"/>
  <c r="EH870" i="10"/>
  <c r="EJ541" i="10"/>
  <c r="EI541" i="10"/>
  <c r="DR541" i="10"/>
  <c r="EK541" i="10"/>
  <c r="EH541" i="10"/>
  <c r="DR899" i="10"/>
  <c r="EJ248" i="10"/>
  <c r="EK248" i="10"/>
  <c r="EI870" i="10"/>
  <c r="DR667" i="10"/>
  <c r="EK667" i="10"/>
  <c r="EJ667" i="10"/>
  <c r="EI667" i="10"/>
  <c r="EH667" i="10"/>
  <c r="DR248" i="10"/>
  <c r="EK255" i="10"/>
  <c r="EJ899" i="10"/>
  <c r="EH255" i="10"/>
  <c r="DR405" i="10"/>
  <c r="EJ199" i="10"/>
  <c r="DR199" i="10"/>
  <c r="EI199" i="10"/>
  <c r="EK199" i="10"/>
  <c r="EH199" i="10"/>
  <c r="EK313" i="10"/>
  <c r="EI313" i="10"/>
  <c r="DR798" i="10"/>
  <c r="EH343" i="10"/>
  <c r="DR730" i="10"/>
  <c r="EI730" i="10"/>
  <c r="EJ730" i="10"/>
  <c r="EI717" i="10"/>
  <c r="EI471" i="10"/>
  <c r="DR990" i="10"/>
  <c r="DR505" i="10"/>
  <c r="EH505" i="10"/>
  <c r="EK505" i="10"/>
  <c r="EJ505" i="10"/>
  <c r="EI505" i="10"/>
  <c r="DR583" i="10"/>
  <c r="EJ717" i="10"/>
  <c r="EK471" i="10"/>
  <c r="EH990" i="10"/>
  <c r="EH400" i="10"/>
  <c r="EK400" i="10"/>
  <c r="DR400" i="10"/>
  <c r="EJ400" i="10"/>
  <c r="EI400" i="10"/>
  <c r="EJ531" i="10"/>
  <c r="EI583" i="10"/>
  <c r="EK717" i="10"/>
  <c r="DR531" i="10"/>
  <c r="DR699" i="10"/>
  <c r="EH717" i="10"/>
  <c r="EH583" i="10"/>
  <c r="EH531" i="10"/>
  <c r="EJ583" i="10"/>
  <c r="EJ104" i="10"/>
  <c r="EH677" i="10"/>
  <c r="EK677" i="10"/>
  <c r="DR677" i="10"/>
  <c r="EJ677" i="10"/>
  <c r="EI677" i="10"/>
  <c r="EH471" i="10"/>
  <c r="EH699" i="10"/>
  <c r="EH786" i="10"/>
  <c r="EI344" i="10"/>
  <c r="EJ344" i="10"/>
  <c r="EK344" i="10"/>
  <c r="DR344" i="10"/>
  <c r="EH344" i="10"/>
  <c r="EI309" i="10"/>
  <c r="EK309" i="10"/>
  <c r="EH309" i="10"/>
  <c r="EI935" i="10"/>
  <c r="EI976" i="10"/>
  <c r="EI56" i="10"/>
  <c r="DR935" i="10"/>
  <c r="DR295" i="10"/>
  <c r="EH935" i="10"/>
  <c r="EH128" i="10"/>
  <c r="EK146" i="10"/>
  <c r="EJ146" i="10"/>
  <c r="EH146" i="10"/>
  <c r="EI146" i="10"/>
  <c r="DR146" i="10"/>
  <c r="EI643" i="10"/>
  <c r="EJ643" i="10"/>
  <c r="EK643" i="10"/>
  <c r="EK224" i="10"/>
  <c r="EH224" i="10"/>
  <c r="EJ224" i="10"/>
  <c r="EI224" i="10"/>
  <c r="DR224" i="10"/>
  <c r="DR643" i="10"/>
  <c r="EI358" i="10"/>
  <c r="EJ358" i="10"/>
  <c r="DR358" i="10"/>
  <c r="EK358" i="10"/>
  <c r="EH358" i="10"/>
  <c r="DR863" i="10"/>
  <c r="EJ863" i="10"/>
  <c r="EK863" i="10"/>
  <c r="EI863" i="10"/>
  <c r="EH863" i="10"/>
  <c r="EJ521" i="10"/>
  <c r="EK521" i="10"/>
  <c r="EH521" i="10"/>
  <c r="DR521" i="10"/>
  <c r="EI521" i="10"/>
  <c r="EH451" i="10"/>
  <c r="EK451" i="10"/>
  <c r="EJ451" i="10"/>
  <c r="DR451" i="10"/>
  <c r="EI451" i="10"/>
  <c r="DR683" i="10"/>
  <c r="EJ683" i="10"/>
  <c r="EH683" i="10"/>
  <c r="EK683" i="10"/>
  <c r="EI683" i="10"/>
  <c r="EH360" i="10"/>
  <c r="EJ360" i="10"/>
  <c r="DR360" i="10"/>
  <c r="EI360" i="10"/>
  <c r="EK360" i="10"/>
  <c r="EK104" i="10"/>
  <c r="DR976" i="10"/>
  <c r="DR104" i="10"/>
  <c r="EK984" i="10"/>
  <c r="EH984" i="10"/>
  <c r="DR984" i="10"/>
  <c r="EJ984" i="10"/>
  <c r="EI984" i="10"/>
  <c r="EI872" i="10"/>
  <c r="EK872" i="10"/>
  <c r="EJ872" i="10"/>
  <c r="DR872" i="10"/>
  <c r="EH872" i="10"/>
  <c r="EI257" i="10"/>
  <c r="DR909" i="10"/>
  <c r="EK699" i="10"/>
  <c r="EH909" i="10"/>
  <c r="EK56" i="10"/>
  <c r="EI699" i="10"/>
  <c r="EJ909" i="10"/>
  <c r="EI104" i="10"/>
  <c r="EI894" i="10"/>
  <c r="DR894" i="10"/>
  <c r="EJ343" i="10"/>
  <c r="EJ726" i="10"/>
  <c r="EJ495" i="10"/>
  <c r="EI531" i="10"/>
  <c r="EK411" i="10"/>
  <c r="EH598" i="10"/>
  <c r="DR598" i="10"/>
  <c r="EI598" i="10"/>
  <c r="EJ598" i="10"/>
  <c r="EK598" i="10"/>
  <c r="EI182" i="10"/>
  <c r="EJ182" i="10"/>
  <c r="EH182" i="10"/>
  <c r="EK182" i="10"/>
  <c r="DR182" i="10"/>
  <c r="EI295" i="10"/>
  <c r="EH123" i="10"/>
  <c r="EH976" i="10"/>
  <c r="EK976" i="10"/>
  <c r="DR271" i="10"/>
  <c r="EK271" i="10"/>
  <c r="EJ271" i="10"/>
  <c r="EH271" i="10"/>
  <c r="EI271" i="10"/>
  <c r="EJ595" i="10"/>
  <c r="DR595" i="10"/>
  <c r="EH595" i="10"/>
  <c r="EK595" i="10"/>
  <c r="EI595" i="10"/>
  <c r="EI909" i="10"/>
  <c r="EH959" i="10"/>
  <c r="DR681" i="10"/>
  <c r="EK681" i="10"/>
  <c r="EJ681" i="10"/>
  <c r="DR56" i="10"/>
  <c r="EK959" i="10"/>
  <c r="EI970" i="10"/>
  <c r="EJ970" i="10"/>
  <c r="EK970" i="10"/>
  <c r="DR970" i="10"/>
  <c r="EH970" i="10"/>
  <c r="EJ967" i="10"/>
  <c r="EK967" i="10"/>
  <c r="EH967" i="10"/>
  <c r="EI967" i="10"/>
  <c r="DR967" i="10"/>
  <c r="EH495" i="10"/>
  <c r="EJ56" i="10"/>
  <c r="DR101" i="10"/>
  <c r="EJ101" i="10"/>
  <c r="DR774" i="10"/>
  <c r="EI774" i="10"/>
  <c r="EH774" i="10"/>
  <c r="EJ774" i="10"/>
  <c r="DR255" i="10"/>
  <c r="DR726" i="10"/>
  <c r="EI603" i="10"/>
  <c r="EH894" i="10"/>
  <c r="EI251" i="10"/>
  <c r="DR251" i="10"/>
  <c r="EH251" i="10"/>
  <c r="EJ251" i="10"/>
  <c r="EK251" i="10"/>
  <c r="EJ255" i="10"/>
  <c r="EI726" i="10"/>
  <c r="EK513" i="10"/>
  <c r="EK603" i="10"/>
  <c r="EK894" i="10"/>
  <c r="EK663" i="10"/>
  <c r="DR663" i="10"/>
  <c r="EI663" i="10"/>
  <c r="EJ663" i="10"/>
  <c r="EH663" i="10"/>
  <c r="EK833" i="10"/>
  <c r="EI833" i="10"/>
  <c r="DR833" i="10"/>
  <c r="EJ833" i="10"/>
  <c r="EH833" i="10"/>
  <c r="DR786" i="10"/>
  <c r="EI786" i="10"/>
  <c r="EK786" i="10"/>
  <c r="EI971" i="10"/>
  <c r="EH971" i="10"/>
  <c r="EJ971" i="10"/>
  <c r="DR971" i="10"/>
  <c r="EK971" i="10"/>
  <c r="DR920" i="10"/>
  <c r="EI920" i="10"/>
  <c r="EK920" i="10"/>
  <c r="EH920" i="10"/>
  <c r="EJ920" i="10"/>
  <c r="EI528" i="10"/>
  <c r="DR610" i="10"/>
  <c r="EJ610" i="10"/>
  <c r="EK610" i="10"/>
  <c r="EI610" i="10"/>
  <c r="EH610" i="10"/>
  <c r="EK687" i="10"/>
  <c r="EJ687" i="10"/>
  <c r="EI687" i="10"/>
  <c r="DR687" i="10"/>
  <c r="EH687" i="10"/>
  <c r="DR280" i="10"/>
  <c r="EK280" i="10"/>
  <c r="EH280" i="10"/>
  <c r="EI280" i="10"/>
  <c r="EJ280" i="10"/>
  <c r="EK295" i="10"/>
  <c r="EI208" i="10"/>
  <c r="EI192" i="10"/>
  <c r="EJ513" i="10"/>
  <c r="EK990" i="10"/>
  <c r="EJ935" i="10"/>
  <c r="EH983" i="10"/>
  <c r="EI983" i="10"/>
  <c r="EK983" i="10"/>
  <c r="EJ983" i="10"/>
  <c r="DR983" i="10"/>
  <c r="EK525" i="10"/>
  <c r="EJ295" i="10"/>
  <c r="EH192" i="10"/>
  <c r="EJ990" i="10"/>
  <c r="EJ891" i="10"/>
  <c r="EI891" i="10"/>
  <c r="EH891" i="10"/>
  <c r="DR891" i="10"/>
  <c r="EK891" i="10"/>
  <c r="EJ250" i="10"/>
  <c r="EH250" i="10"/>
  <c r="EI250" i="10"/>
  <c r="DR250" i="10"/>
  <c r="EK250" i="10"/>
  <c r="EI489" i="10"/>
  <c r="EK560" i="10"/>
  <c r="EH560" i="10"/>
  <c r="EI560" i="10"/>
  <c r="DR560" i="10"/>
  <c r="EJ560" i="10"/>
  <c r="EH80" i="10"/>
  <c r="EI80" i="10"/>
  <c r="EK80" i="10"/>
  <c r="DR80" i="10"/>
  <c r="EJ80" i="10"/>
  <c r="EJ689" i="10"/>
  <c r="DR689" i="10"/>
  <c r="EK689" i="10"/>
  <c r="EH689" i="10"/>
  <c r="EI689" i="10"/>
  <c r="EJ525" i="10"/>
  <c r="EJ900" i="10"/>
  <c r="DR756" i="10"/>
  <c r="EJ756" i="10"/>
  <c r="EI756" i="10"/>
  <c r="EH756" i="10"/>
  <c r="EK756" i="10"/>
  <c r="DR128" i="10"/>
  <c r="EK128" i="10"/>
  <c r="EJ128" i="10"/>
  <c r="DR467" i="10"/>
  <c r="EJ467" i="10"/>
  <c r="EI467" i="10"/>
  <c r="EK467" i="10"/>
  <c r="EH467" i="10"/>
  <c r="EI525" i="10"/>
  <c r="EH900" i="10"/>
  <c r="DR264" i="10"/>
  <c r="EK264" i="10"/>
  <c r="EI264" i="10"/>
  <c r="EJ264" i="10"/>
  <c r="EH264" i="10"/>
  <c r="EJ992" i="10"/>
  <c r="DR992" i="10"/>
  <c r="EK992" i="10"/>
  <c r="EH992" i="10"/>
  <c r="EI992" i="10"/>
  <c r="EH525" i="10"/>
  <c r="DR497" i="10"/>
  <c r="EJ497" i="10"/>
  <c r="EI497" i="10"/>
  <c r="EK497" i="10"/>
  <c r="EH497" i="10"/>
  <c r="EK233" i="10"/>
  <c r="EJ233" i="10"/>
  <c r="EH233" i="10"/>
  <c r="DR233" i="10"/>
  <c r="EI233" i="10"/>
  <c r="EK461" i="10"/>
  <c r="EI461" i="10"/>
  <c r="DR461" i="10"/>
  <c r="EJ461" i="10"/>
  <c r="EH461" i="10"/>
  <c r="EK980" i="10"/>
  <c r="EJ980" i="10"/>
  <c r="EI980" i="10"/>
  <c r="EH980" i="10"/>
  <c r="DR980" i="10"/>
  <c r="EH479" i="10"/>
  <c r="EJ479" i="10"/>
  <c r="EK479" i="10"/>
  <c r="EI479" i="10"/>
  <c r="DR479" i="10"/>
  <c r="EH166" i="10"/>
  <c r="EJ166" i="10"/>
  <c r="EI166" i="10"/>
  <c r="DR166" i="10"/>
  <c r="EK166" i="10"/>
  <c r="EI917" i="10"/>
  <c r="EH917" i="10"/>
  <c r="EK917" i="10"/>
  <c r="DR917" i="10"/>
  <c r="EJ917" i="10"/>
  <c r="EK974" i="10"/>
  <c r="EH974" i="10"/>
  <c r="EI974" i="10"/>
  <c r="DR974" i="10"/>
  <c r="EJ974" i="10"/>
  <c r="EH1013" i="10"/>
  <c r="EK1013" i="10"/>
  <c r="EI1013" i="10"/>
  <c r="DR1013" i="10"/>
  <c r="EJ1013" i="10"/>
  <c r="DR953" i="10"/>
  <c r="EJ953" i="10"/>
  <c r="EH953" i="10"/>
  <c r="EK953" i="10"/>
  <c r="EI953" i="10"/>
  <c r="EJ641" i="10"/>
  <c r="DR641" i="10"/>
  <c r="EI641" i="10"/>
  <c r="EK641" i="10"/>
  <c r="EH641" i="10"/>
  <c r="EJ881" i="10"/>
  <c r="EK881" i="10"/>
  <c r="EI881" i="10"/>
  <c r="EH881" i="10"/>
  <c r="DR881" i="10"/>
  <c r="EH751" i="10"/>
  <c r="EK751" i="10"/>
  <c r="DR751" i="10"/>
  <c r="EJ751" i="10"/>
  <c r="EI751" i="10"/>
  <c r="DR78" i="10"/>
  <c r="EK61" i="10"/>
  <c r="EH61" i="10"/>
  <c r="DR61" i="10"/>
  <c r="EI61" i="10"/>
  <c r="EJ61" i="10"/>
  <c r="DR630" i="10"/>
  <c r="EJ244" i="10"/>
  <c r="EH630" i="10"/>
  <c r="EH244" i="10"/>
  <c r="EJ123" i="10"/>
  <c r="DR123" i="10"/>
  <c r="EJ489" i="10"/>
  <c r="EI566" i="10"/>
  <c r="EH566" i="10"/>
  <c r="EK566" i="10"/>
  <c r="DR566" i="10"/>
  <c r="EJ566" i="10"/>
  <c r="DR290" i="10"/>
  <c r="EJ290" i="10"/>
  <c r="EK290" i="10"/>
  <c r="EI290" i="10"/>
  <c r="EH290" i="10"/>
  <c r="EI900" i="10"/>
  <c r="EK900" i="10"/>
  <c r="EJ630" i="10"/>
  <c r="EK630" i="10"/>
  <c r="EK495" i="10"/>
  <c r="DR495" i="10"/>
  <c r="EI310" i="10"/>
  <c r="DR310" i="10"/>
  <c r="EJ310" i="10"/>
  <c r="EK310" i="10"/>
  <c r="EH310" i="10"/>
  <c r="EH78" i="10"/>
  <c r="EK78" i="10"/>
  <c r="EI58" i="10"/>
  <c r="EH270" i="10"/>
  <c r="EI78" i="10"/>
  <c r="DR489" i="10"/>
  <c r="EK270" i="10"/>
  <c r="EI778" i="10"/>
  <c r="EK778" i="10"/>
  <c r="EH778" i="10"/>
  <c r="DR778" i="10"/>
  <c r="EJ778" i="10"/>
  <c r="EH208" i="10"/>
  <c r="EH489" i="10"/>
  <c r="EI270" i="10"/>
  <c r="EJ512" i="10"/>
  <c r="EK208" i="10"/>
  <c r="EJ270" i="10"/>
  <c r="EK512" i="10"/>
  <c r="DR208" i="10"/>
  <c r="DR206" i="10"/>
  <c r="EK206" i="10"/>
  <c r="EJ206" i="10"/>
  <c r="EH206" i="10"/>
  <c r="EI206" i="10"/>
  <c r="EH704" i="10"/>
  <c r="EJ704" i="10"/>
  <c r="EI704" i="10"/>
  <c r="DR704" i="10"/>
  <c r="EK704" i="10"/>
  <c r="EH504" i="10"/>
  <c r="EI504" i="10"/>
  <c r="DR504" i="10"/>
  <c r="EJ504" i="10"/>
  <c r="EK504" i="10"/>
  <c r="EI340" i="10"/>
  <c r="EK340" i="10"/>
  <c r="DR340" i="10"/>
  <c r="EJ340" i="10"/>
  <c r="EH340" i="10"/>
  <c r="DR273" i="10"/>
  <c r="EI273" i="10"/>
  <c r="EK273" i="10"/>
  <c r="EH273" i="10"/>
  <c r="DR746" i="10"/>
  <c r="EH746" i="10"/>
  <c r="EK746" i="10"/>
  <c r="EJ746" i="10"/>
  <c r="DR244" i="10"/>
  <c r="EK244" i="10"/>
  <c r="EH257" i="10"/>
  <c r="DR257" i="10"/>
  <c r="EK257" i="10"/>
  <c r="EJ192" i="10"/>
  <c r="EI746" i="10"/>
  <c r="EH726" i="10"/>
  <c r="EI327" i="10"/>
  <c r="EI249" i="10"/>
  <c r="EK249" i="10"/>
  <c r="EJ249" i="10"/>
  <c r="EH249" i="10"/>
  <c r="DR249" i="10"/>
  <c r="EJ620" i="10"/>
  <c r="EI620" i="10"/>
  <c r="EH620" i="10"/>
  <c r="DR620" i="10"/>
  <c r="EK620" i="10"/>
  <c r="DR860" i="10"/>
  <c r="EI860" i="10"/>
  <c r="EK860" i="10"/>
  <c r="EH860" i="10"/>
  <c r="EJ860" i="10"/>
  <c r="EJ267" i="10"/>
  <c r="EH267" i="10"/>
  <c r="EI267" i="10"/>
  <c r="DR267" i="10"/>
  <c r="EK267" i="10"/>
  <c r="EH632" i="10"/>
  <c r="EJ632" i="10"/>
  <c r="DR632" i="10"/>
  <c r="EK632" i="10"/>
  <c r="EI632" i="10"/>
  <c r="DR46" i="10"/>
  <c r="EH46" i="10"/>
  <c r="EI46" i="10"/>
  <c r="EJ46" i="10"/>
  <c r="EK46" i="10"/>
  <c r="EI539" i="10"/>
  <c r="EK539" i="10"/>
  <c r="EH539" i="10"/>
  <c r="EJ539" i="10"/>
  <c r="DR539" i="10"/>
  <c r="EI854" i="10"/>
  <c r="DR854" i="10"/>
  <c r="EJ854" i="10"/>
  <c r="EK854" i="10"/>
  <c r="EH854" i="10"/>
  <c r="EH678" i="10"/>
  <c r="DR678" i="10"/>
  <c r="EJ678" i="10"/>
  <c r="EK678" i="10"/>
  <c r="EI678" i="10"/>
  <c r="EK327" i="10"/>
  <c r="DR371" i="10"/>
  <c r="EJ371" i="10"/>
  <c r="EK371" i="10"/>
  <c r="EH371" i="10"/>
  <c r="EI371" i="10"/>
  <c r="EI123" i="10"/>
  <c r="EH327" i="10"/>
  <c r="EK192" i="10"/>
  <c r="EJ842" i="10"/>
  <c r="DR842" i="10"/>
  <c r="EH842" i="10"/>
  <c r="EK842" i="10"/>
  <c r="EI842" i="10"/>
  <c r="EI28" i="10"/>
  <c r="EK28" i="10"/>
  <c r="EJ28" i="10"/>
  <c r="DR28" i="10"/>
  <c r="EH28" i="10"/>
  <c r="EH469" i="10"/>
  <c r="EI469" i="10"/>
  <c r="DR469" i="10"/>
  <c r="EJ469" i="10"/>
  <c r="EK469" i="10"/>
  <c r="EI76" i="10"/>
  <c r="DR76" i="10"/>
  <c r="EK76" i="10"/>
  <c r="EJ76" i="10"/>
  <c r="EH76" i="10"/>
  <c r="EJ614" i="10"/>
  <c r="DR614" i="10"/>
  <c r="EH614" i="10"/>
  <c r="EK614" i="10"/>
  <c r="EI614" i="10"/>
  <c r="EK528" i="10"/>
  <c r="EJ327" i="10"/>
  <c r="EK266" i="10"/>
  <c r="EJ266" i="10"/>
  <c r="EI266" i="10"/>
  <c r="EH266" i="10"/>
  <c r="DR266" i="10"/>
  <c r="EI279" i="10"/>
  <c r="EH279" i="10"/>
  <c r="EJ279" i="10"/>
  <c r="DR279" i="10"/>
  <c r="EK279" i="10"/>
  <c r="EK162" i="10"/>
  <c r="DR162" i="10"/>
  <c r="EI162" i="10"/>
  <c r="EJ162" i="10"/>
  <c r="EH162" i="10"/>
  <c r="DR347" i="10"/>
  <c r="EJ347" i="10"/>
  <c r="EI347" i="10"/>
  <c r="EH347" i="10"/>
  <c r="EK347" i="10"/>
  <c r="EH528" i="10"/>
  <c r="DR582" i="10"/>
  <c r="EH582" i="10"/>
  <c r="EI582" i="10"/>
  <c r="EJ582" i="10"/>
  <c r="EK582" i="10"/>
  <c r="EJ132" i="10"/>
  <c r="EI132" i="10"/>
  <c r="EH132" i="10"/>
  <c r="DR132" i="10"/>
  <c r="EK132" i="10"/>
  <c r="EI171" i="10"/>
  <c r="EK171" i="10"/>
  <c r="EJ171" i="10"/>
  <c r="DR171" i="10"/>
  <c r="EH171" i="10"/>
  <c r="DR584" i="10"/>
  <c r="EI584" i="10"/>
  <c r="EH584" i="10"/>
  <c r="EJ584" i="10"/>
  <c r="EK584" i="10"/>
  <c r="EI391" i="10"/>
  <c r="EH391" i="10"/>
  <c r="DR391" i="10"/>
  <c r="EJ391" i="10"/>
  <c r="EK391" i="10"/>
  <c r="EH608" i="10"/>
  <c r="EK608" i="10"/>
  <c r="DR608" i="10"/>
  <c r="EI608" i="10"/>
  <c r="EJ608" i="10"/>
  <c r="DR548" i="10"/>
  <c r="EH548" i="10"/>
  <c r="EI548" i="10"/>
  <c r="EK548" i="10"/>
  <c r="EJ548" i="10"/>
  <c r="EK220" i="10"/>
  <c r="EJ220" i="10"/>
  <c r="EH220" i="10"/>
  <c r="EI220" i="10"/>
  <c r="DR220" i="10"/>
  <c r="EK34" i="10"/>
  <c r="EI34" i="10"/>
  <c r="EJ34" i="10"/>
  <c r="DR34" i="10"/>
  <c r="EH34" i="10"/>
  <c r="EH355" i="10"/>
  <c r="EK355" i="10"/>
  <c r="DR355" i="10"/>
  <c r="EI355" i="10"/>
  <c r="EJ355" i="10"/>
  <c r="EH94" i="10"/>
  <c r="EI94" i="10"/>
  <c r="EJ94" i="10"/>
  <c r="DR94" i="10"/>
  <c r="EK94" i="10"/>
  <c r="EH226" i="10"/>
  <c r="EK226" i="10"/>
  <c r="EI226" i="10"/>
  <c r="DR226" i="10"/>
  <c r="EJ226" i="10"/>
  <c r="EH459" i="10"/>
  <c r="EI459" i="10"/>
  <c r="EJ459" i="10"/>
  <c r="DR459" i="10"/>
  <c r="EK459" i="10"/>
  <c r="EI319" i="10"/>
  <c r="EK319" i="10"/>
  <c r="DR319" i="10"/>
  <c r="EH319" i="10"/>
  <c r="EJ319" i="10"/>
  <c r="DR435" i="10"/>
  <c r="EI435" i="10"/>
  <c r="EH435" i="10"/>
  <c r="EJ435" i="10"/>
  <c r="EK435" i="10"/>
  <c r="EI64" i="10"/>
  <c r="EK64" i="10"/>
  <c r="EJ64" i="10"/>
  <c r="DR64" i="10"/>
  <c r="EH64" i="10"/>
  <c r="EH417" i="10"/>
  <c r="DR417" i="10"/>
  <c r="EK417" i="10"/>
  <c r="EJ417" i="10"/>
  <c r="EI417" i="10"/>
  <c r="EJ58" i="10"/>
  <c r="DR58" i="10"/>
  <c r="EH58" i="10"/>
  <c r="EJ734" i="10"/>
  <c r="EH734" i="10"/>
  <c r="EK734" i="10"/>
  <c r="EI734" i="10"/>
  <c r="DR734" i="10"/>
  <c r="EI367" i="10"/>
  <c r="EK367" i="10"/>
  <c r="EH367" i="10"/>
  <c r="DR367" i="10"/>
  <c r="EJ367" i="10"/>
  <c r="EJ474" i="10"/>
  <c r="EI474" i="10"/>
  <c r="EH474" i="10"/>
  <c r="EK474" i="10"/>
  <c r="DR474" i="10"/>
  <c r="EJ274" i="10"/>
  <c r="EK274" i="10"/>
  <c r="DR274" i="10"/>
  <c r="EI274" i="10"/>
  <c r="EH274" i="10"/>
  <c r="EJ52" i="10"/>
  <c r="DR52" i="10"/>
  <c r="EI52" i="10"/>
  <c r="EK52" i="10"/>
  <c r="EH52" i="10"/>
  <c r="EK196" i="10"/>
  <c r="EI196" i="10"/>
  <c r="DR196" i="10"/>
  <c r="EH196" i="10"/>
  <c r="EJ196" i="10"/>
  <c r="EJ172" i="10"/>
  <c r="EH172" i="10"/>
  <c r="EK172" i="10"/>
  <c r="DR172" i="10"/>
  <c r="EI172" i="10"/>
  <c r="EK432" i="10"/>
  <c r="EJ432" i="10"/>
  <c r="EH432" i="10"/>
  <c r="DR432" i="10"/>
  <c r="EI432" i="10"/>
  <c r="EH834" i="10"/>
  <c r="EK834" i="10"/>
  <c r="EI834" i="10"/>
  <c r="DR834" i="10"/>
  <c r="EJ834" i="10"/>
  <c r="EI728" i="10"/>
  <c r="EK728" i="10"/>
  <c r="EJ728" i="10"/>
  <c r="EH728" i="10"/>
  <c r="DR728" i="10"/>
  <c r="EK852" i="10"/>
  <c r="EJ852" i="10"/>
  <c r="EH852" i="10"/>
  <c r="DR852" i="10"/>
  <c r="EI852" i="10"/>
  <c r="EJ332" i="10"/>
  <c r="EH332" i="10"/>
  <c r="DR332" i="10"/>
  <c r="EI332" i="10"/>
  <c r="EK332" i="10"/>
  <c r="EH409" i="10"/>
  <c r="DR409" i="10"/>
  <c r="EK409" i="10"/>
  <c r="EJ409" i="10"/>
  <c r="EI409" i="10"/>
  <c r="EI846" i="10"/>
  <c r="EJ846" i="10"/>
  <c r="EH846" i="10"/>
  <c r="DR846" i="10"/>
  <c r="EK846" i="10"/>
  <c r="EI427" i="10"/>
  <c r="DR427" i="10"/>
  <c r="EH427" i="10"/>
  <c r="EJ427" i="10"/>
  <c r="EK427" i="10"/>
  <c r="EI876" i="10"/>
  <c r="EJ876" i="10"/>
  <c r="EK876" i="10"/>
  <c r="DR876" i="10"/>
  <c r="EH876" i="10"/>
  <c r="EH463" i="10"/>
  <c r="EJ463" i="10"/>
  <c r="DR463" i="10"/>
  <c r="EK463" i="10"/>
  <c r="EI463" i="10"/>
  <c r="EK381" i="10"/>
  <c r="EJ381" i="10"/>
  <c r="DR381" i="10"/>
  <c r="EH381" i="10"/>
  <c r="EI381" i="10"/>
  <c r="DR567" i="10"/>
  <c r="EJ567" i="10"/>
  <c r="EK567" i="10"/>
  <c r="EH567" i="10"/>
  <c r="EI567" i="10"/>
  <c r="DR294" i="10"/>
  <c r="EJ294" i="10"/>
  <c r="EH294" i="10"/>
  <c r="EI294" i="10"/>
  <c r="EK294" i="10"/>
  <c r="EI680" i="10"/>
  <c r="EK680" i="10"/>
  <c r="DR680" i="10"/>
  <c r="EH680" i="10"/>
  <c r="EJ680" i="10"/>
  <c r="EH517" i="10"/>
  <c r="DR517" i="10"/>
  <c r="EI517" i="10"/>
  <c r="EJ517" i="10"/>
  <c r="EK517" i="10"/>
  <c r="EI836" i="10"/>
  <c r="EK836" i="10"/>
  <c r="DR836" i="10"/>
  <c r="EH836" i="10"/>
  <c r="EJ836" i="10"/>
  <c r="EK722" i="10"/>
  <c r="EH722" i="10"/>
  <c r="EJ722" i="10"/>
  <c r="DR722" i="10"/>
  <c r="EI722" i="10"/>
  <c r="EH848" i="10"/>
  <c r="DR848" i="10"/>
  <c r="EK848" i="10"/>
  <c r="EJ848" i="10"/>
  <c r="EI848" i="10"/>
  <c r="EI420" i="10"/>
  <c r="EK420" i="10"/>
  <c r="EH420" i="10"/>
  <c r="EJ420" i="10"/>
  <c r="DR420" i="10"/>
  <c r="EK578" i="10"/>
  <c r="EH578" i="10"/>
  <c r="DR578" i="10"/>
  <c r="EI578" i="10"/>
  <c r="EJ578" i="10"/>
  <c r="EK441" i="10"/>
  <c r="EH441" i="10"/>
  <c r="DR441" i="10"/>
  <c r="EI441" i="10"/>
  <c r="EJ441" i="10"/>
  <c r="EK702" i="10"/>
  <c r="EJ702" i="10"/>
  <c r="EH702" i="10"/>
  <c r="DR702" i="10"/>
  <c r="EI702" i="10"/>
  <c r="EI738" i="10"/>
  <c r="EH738" i="10"/>
  <c r="EJ738" i="10"/>
  <c r="DR738" i="10"/>
  <c r="EK738" i="10"/>
  <c r="EK611" i="10"/>
  <c r="EJ611" i="10"/>
  <c r="DR611" i="10"/>
  <c r="EH611" i="10"/>
  <c r="EI611" i="10"/>
  <c r="EK316" i="10"/>
  <c r="DR316" i="10"/>
  <c r="EJ316" i="10"/>
  <c r="EI316" i="10"/>
  <c r="EH316" i="10"/>
  <c r="EJ501" i="10"/>
  <c r="EI501" i="10"/>
  <c r="EH501" i="10"/>
  <c r="DR501" i="10"/>
  <c r="EK501" i="10"/>
  <c r="EJ733" i="10"/>
  <c r="DR733" i="10"/>
  <c r="EK733" i="10"/>
  <c r="EH733" i="10"/>
  <c r="EI733" i="10"/>
  <c r="EJ629" i="10"/>
  <c r="EH629" i="10"/>
  <c r="EK629" i="10"/>
  <c r="EI629" i="10"/>
  <c r="DR629" i="10"/>
  <c r="EH397" i="10"/>
  <c r="EI397" i="10"/>
  <c r="EJ397" i="10"/>
  <c r="DR397" i="10"/>
  <c r="EK397" i="10"/>
  <c r="DR119" i="10"/>
  <c r="EJ119" i="10"/>
  <c r="EI119" i="10"/>
  <c r="EK119" i="10"/>
  <c r="EH119" i="10"/>
  <c r="EK686" i="10"/>
  <c r="EH686" i="10"/>
  <c r="EJ686" i="10"/>
  <c r="DR686" i="10"/>
  <c r="EI686" i="10"/>
  <c r="EH79" i="10"/>
  <c r="EJ79" i="10"/>
  <c r="EI79" i="10"/>
  <c r="DR79" i="10"/>
  <c r="EK79" i="10"/>
  <c r="EK90" i="10"/>
  <c r="DR90" i="10"/>
  <c r="EI90" i="10"/>
  <c r="EJ90" i="10"/>
  <c r="EH90" i="10"/>
  <c r="EJ710" i="10"/>
  <c r="DR710" i="10"/>
  <c r="EK710" i="10"/>
  <c r="EI710" i="10"/>
  <c r="EH710" i="10"/>
  <c r="EK125" i="10"/>
  <c r="EI125" i="10"/>
  <c r="DR125" i="10"/>
  <c r="EJ125" i="10"/>
  <c r="EH125" i="10"/>
  <c r="EH820" i="10"/>
  <c r="EK820" i="10"/>
  <c r="DR820" i="10"/>
  <c r="EI820" i="10"/>
  <c r="EJ820" i="10"/>
  <c r="EH825" i="10"/>
  <c r="DR825" i="10"/>
  <c r="EJ825" i="10"/>
  <c r="EI825" i="10"/>
  <c r="EK825" i="10"/>
  <c r="DR606" i="10"/>
  <c r="EK606" i="10"/>
  <c r="EH606" i="10"/>
  <c r="EJ606" i="10"/>
  <c r="EI606" i="10"/>
  <c r="EK810" i="10"/>
  <c r="EJ810" i="10"/>
  <c r="EI810" i="10"/>
  <c r="DR810" i="10"/>
  <c r="EH810" i="10"/>
  <c r="EI403" i="10"/>
  <c r="DR403" i="10"/>
  <c r="EH403" i="10"/>
  <c r="EJ403" i="10"/>
  <c r="EK403" i="10"/>
  <c r="EI830" i="10"/>
  <c r="DR830" i="10"/>
  <c r="EJ830" i="10"/>
  <c r="EK830" i="10"/>
  <c r="EH830" i="10"/>
  <c r="EK874" i="10"/>
  <c r="EJ874" i="10"/>
  <c r="EI874" i="10"/>
  <c r="EH874" i="10"/>
  <c r="DR874" i="10"/>
  <c r="EH102" i="10"/>
  <c r="EK102" i="10"/>
  <c r="DR102" i="10"/>
  <c r="EI102" i="10"/>
  <c r="EJ102" i="10"/>
  <c r="EK617" i="10"/>
  <c r="DR617" i="10"/>
  <c r="EH617" i="10"/>
  <c r="EJ617" i="10"/>
  <c r="EI617" i="10"/>
  <c r="EK73" i="10"/>
  <c r="EJ73" i="10"/>
  <c r="EH73" i="10"/>
  <c r="DR73" i="10"/>
  <c r="EI73" i="10"/>
  <c r="EI113" i="10"/>
  <c r="EJ113" i="10"/>
  <c r="EH113" i="10"/>
  <c r="DR113" i="10"/>
  <c r="EK113" i="10"/>
  <c r="EJ662" i="10"/>
  <c r="EK662" i="10"/>
  <c r="DR662" i="10"/>
  <c r="EI662" i="10"/>
  <c r="EH662" i="10"/>
  <c r="DR174" i="10"/>
  <c r="EI174" i="10"/>
  <c r="EH174" i="10"/>
  <c r="EK174" i="10"/>
  <c r="EJ174" i="10"/>
  <c r="DR388" i="10"/>
  <c r="EI388" i="10"/>
  <c r="EK388" i="10"/>
  <c r="EJ388" i="10"/>
  <c r="EH388" i="10"/>
  <c r="EI67" i="10"/>
  <c r="EJ67" i="10"/>
  <c r="DR67" i="10"/>
  <c r="EK67" i="10"/>
  <c r="EH67" i="10"/>
  <c r="DR572" i="10"/>
  <c r="EK572" i="10"/>
  <c r="EJ572" i="10"/>
  <c r="EI572" i="10"/>
  <c r="EH572" i="10"/>
  <c r="EI592" i="10"/>
  <c r="EJ592" i="10"/>
  <c r="EK592" i="10"/>
  <c r="EH592" i="10"/>
  <c r="DR592" i="10"/>
  <c r="EK627" i="10"/>
  <c r="EJ627" i="10"/>
  <c r="EI627" i="10"/>
  <c r="DR627" i="10"/>
  <c r="EH627" i="10"/>
  <c r="EK547" i="10"/>
  <c r="EI547" i="10"/>
  <c r="EH547" i="10"/>
  <c r="EJ547" i="10"/>
  <c r="DR547" i="10"/>
  <c r="EI374" i="10"/>
  <c r="DR374" i="10"/>
  <c r="EJ374" i="10"/>
  <c r="EH374" i="10"/>
  <c r="EK374" i="10"/>
  <c r="EH613" i="10"/>
  <c r="DR613" i="10"/>
  <c r="EJ613" i="10"/>
  <c r="EI613" i="10"/>
  <c r="EK613" i="10"/>
  <c r="DR832" i="10"/>
  <c r="EK832" i="10"/>
  <c r="EH832" i="10"/>
  <c r="EI832" i="10"/>
  <c r="EJ832" i="10"/>
  <c r="EK635" i="10"/>
  <c r="EH635" i="10"/>
  <c r="EJ635" i="10"/>
  <c r="EI635" i="10"/>
  <c r="DR635" i="10"/>
  <c r="EI762" i="10"/>
  <c r="EJ762" i="10"/>
  <c r="EH762" i="10"/>
  <c r="EK762" i="10"/>
  <c r="DR762" i="10"/>
  <c r="EH766" i="10"/>
  <c r="EK766" i="10"/>
  <c r="EI766" i="10"/>
  <c r="DR766" i="10"/>
  <c r="EJ766" i="10"/>
  <c r="EK805" i="10"/>
  <c r="EJ805" i="10"/>
  <c r="EH805" i="10"/>
  <c r="EI805" i="10"/>
  <c r="DR805" i="10"/>
  <c r="EK594" i="10"/>
  <c r="EH594" i="10"/>
  <c r="DR594" i="10"/>
  <c r="EI594" i="10"/>
  <c r="EJ594" i="10"/>
  <c r="EK628" i="10"/>
  <c r="EH628" i="10"/>
  <c r="EI628" i="10"/>
  <c r="EJ628" i="10"/>
  <c r="DR628" i="10"/>
  <c r="EH609" i="10"/>
  <c r="EJ609" i="10"/>
  <c r="EI609" i="10"/>
  <c r="EK609" i="10"/>
  <c r="DR609" i="10"/>
  <c r="EI840" i="10"/>
  <c r="EH840" i="10"/>
  <c r="DR840" i="10"/>
  <c r="EJ840" i="10"/>
  <c r="EK840" i="10"/>
  <c r="EJ801" i="10"/>
  <c r="EI801" i="10"/>
  <c r="DR801" i="10"/>
  <c r="EH801" i="10"/>
  <c r="EK801" i="10"/>
  <c r="DR416" i="10"/>
  <c r="EI416" i="10"/>
  <c r="EK416" i="10"/>
  <c r="EH416" i="10"/>
  <c r="EJ416" i="10"/>
  <c r="EK106" i="10"/>
  <c r="EI106" i="10"/>
  <c r="DR106" i="10"/>
  <c r="EJ106" i="10"/>
  <c r="EH106" i="10"/>
  <c r="DR378" i="10"/>
  <c r="EJ378" i="10"/>
  <c r="EI378" i="10"/>
  <c r="EH378" i="10"/>
  <c r="EK378" i="10"/>
  <c r="DR419" i="10"/>
  <c r="EK419" i="10"/>
  <c r="EJ419" i="10"/>
  <c r="EH419" i="10"/>
  <c r="EI419" i="10"/>
  <c r="EI127" i="10"/>
  <c r="DR127" i="10"/>
  <c r="EH127" i="10"/>
  <c r="EJ127" i="10"/>
  <c r="EK127" i="10"/>
  <c r="EI712" i="10"/>
  <c r="DR712" i="10"/>
  <c r="EH712" i="10"/>
  <c r="EK712" i="10"/>
  <c r="EJ712" i="10"/>
  <c r="EJ543" i="10"/>
  <c r="EH543" i="10"/>
  <c r="EK543" i="10"/>
  <c r="DR543" i="10"/>
  <c r="EI543" i="10"/>
  <c r="EJ481" i="10"/>
  <c r="EH481" i="10"/>
  <c r="EK481" i="10"/>
  <c r="EI481" i="10"/>
  <c r="DR481" i="10"/>
  <c r="EI540" i="10"/>
  <c r="EK540" i="10"/>
  <c r="EH540" i="10"/>
  <c r="DR540" i="10"/>
  <c r="EJ540" i="10"/>
  <c r="DR472" i="10"/>
  <c r="EJ472" i="10"/>
  <c r="EI472" i="10"/>
  <c r="EH472" i="10"/>
  <c r="EK472" i="10"/>
  <c r="EI697" i="10"/>
  <c r="EJ697" i="10"/>
  <c r="EK697" i="10"/>
  <c r="DR697" i="10"/>
  <c r="EH697" i="10"/>
  <c r="EH715" i="10"/>
  <c r="EK715" i="10"/>
  <c r="DR715" i="10"/>
  <c r="EJ715" i="10"/>
  <c r="EI715" i="10"/>
  <c r="EK487" i="10"/>
  <c r="EI487" i="10"/>
  <c r="EH487" i="10"/>
  <c r="EJ487" i="10"/>
  <c r="DR487" i="10"/>
  <c r="EJ599" i="10"/>
  <c r="EH599" i="10"/>
  <c r="EK599" i="10"/>
  <c r="EI599" i="10"/>
  <c r="DR599" i="10"/>
  <c r="EH100" i="10"/>
  <c r="EI100" i="10"/>
  <c r="DR100" i="10"/>
  <c r="EK100" i="10"/>
  <c r="EJ100" i="10"/>
  <c r="DR112" i="10"/>
  <c r="EK112" i="10"/>
  <c r="EI112" i="10"/>
  <c r="EH112" i="10"/>
  <c r="EJ112" i="10"/>
  <c r="EK375" i="10"/>
  <c r="EI375" i="10"/>
  <c r="DR375" i="10"/>
  <c r="EJ375" i="10"/>
  <c r="EH375" i="10"/>
  <c r="EH593" i="10"/>
  <c r="EI593" i="10"/>
  <c r="DR593" i="10"/>
  <c r="EJ593" i="10"/>
  <c r="EK593" i="10"/>
  <c r="EK625" i="10"/>
  <c r="EJ625" i="10"/>
  <c r="EI625" i="10"/>
  <c r="EH625" i="10"/>
  <c r="DR625" i="10"/>
  <c r="DR490" i="10"/>
  <c r="EJ490" i="10"/>
  <c r="EK490" i="10"/>
  <c r="EH490" i="10"/>
  <c r="EI490" i="10"/>
  <c r="EI136" i="10"/>
  <c r="EK136" i="10"/>
  <c r="EJ136" i="10"/>
  <c r="DR136" i="10"/>
  <c r="EH136" i="10"/>
  <c r="EK366" i="10"/>
  <c r="EJ366" i="10"/>
  <c r="DR366" i="10"/>
  <c r="EH366" i="10"/>
  <c r="EI366" i="10"/>
  <c r="EH139" i="10"/>
  <c r="EK139" i="10"/>
  <c r="EI139" i="10"/>
  <c r="EJ139" i="10"/>
  <c r="DR139" i="10"/>
  <c r="EJ596" i="10"/>
  <c r="EH596" i="10"/>
  <c r="EK596" i="10"/>
  <c r="EI596" i="10"/>
  <c r="DR596" i="10"/>
  <c r="EK97" i="10"/>
  <c r="DR97" i="10"/>
  <c r="EI97" i="10"/>
  <c r="EH97" i="10"/>
  <c r="EJ97" i="10"/>
  <c r="EI475" i="10"/>
  <c r="EK475" i="10"/>
  <c r="DR475" i="10"/>
  <c r="EJ475" i="10"/>
  <c r="EH475" i="10"/>
  <c r="EK484" i="10"/>
  <c r="DR484" i="10"/>
  <c r="EH484" i="10"/>
  <c r="EI484" i="10"/>
  <c r="EJ484" i="10"/>
  <c r="DR674" i="10"/>
  <c r="EH674" i="10"/>
  <c r="EI674" i="10"/>
  <c r="EK674" i="10"/>
  <c r="EJ674" i="10"/>
  <c r="EH718" i="10"/>
  <c r="EK718" i="10"/>
  <c r="EI718" i="10"/>
  <c r="DR718" i="10"/>
  <c r="EJ718" i="10"/>
  <c r="EI124" i="10"/>
  <c r="EK124" i="10"/>
  <c r="EH124" i="10"/>
  <c r="EJ124" i="10"/>
  <c r="DR124" i="10"/>
  <c r="EJ413" i="10"/>
  <c r="EK413" i="10"/>
  <c r="EI413" i="10"/>
  <c r="EH413" i="10"/>
  <c r="DR413" i="10"/>
  <c r="EH354" i="10"/>
  <c r="EK354" i="10"/>
  <c r="EI354" i="10"/>
  <c r="DR354" i="10"/>
  <c r="EJ354" i="10"/>
  <c r="DR694" i="10"/>
  <c r="EI694" i="10"/>
  <c r="EH694" i="10"/>
  <c r="EK694" i="10"/>
  <c r="EJ694" i="10"/>
  <c r="DR546" i="10"/>
  <c r="EH546" i="10"/>
  <c r="EJ546" i="10"/>
  <c r="EI546" i="10"/>
  <c r="EK546" i="10"/>
  <c r="EH351" i="10"/>
  <c r="EJ351" i="10"/>
  <c r="EI351" i="10"/>
  <c r="EK351" i="10"/>
  <c r="DR351" i="10"/>
  <c r="EH133" i="10"/>
  <c r="DR133" i="10"/>
  <c r="EJ133" i="10"/>
  <c r="EK133" i="10"/>
  <c r="EI133" i="10"/>
  <c r="EK115" i="10"/>
  <c r="EJ115" i="10"/>
  <c r="DR115" i="10"/>
  <c r="EH115" i="10"/>
  <c r="EI115" i="10"/>
  <c r="DR357" i="10"/>
  <c r="EI357" i="10"/>
  <c r="EJ357" i="10"/>
  <c r="EK357" i="10"/>
  <c r="EH357" i="10"/>
  <c r="EJ721" i="10"/>
  <c r="EK721" i="10"/>
  <c r="EI721" i="10"/>
  <c r="DR721" i="10"/>
  <c r="EH721" i="10"/>
  <c r="EJ493" i="10"/>
  <c r="EI493" i="10"/>
  <c r="DR493" i="10"/>
  <c r="EK493" i="10"/>
  <c r="EH493" i="10"/>
  <c r="DR478" i="10"/>
  <c r="EK478" i="10"/>
  <c r="EH478" i="10"/>
  <c r="EI478" i="10"/>
  <c r="EJ478" i="10"/>
  <c r="EI744" i="10"/>
  <c r="DR744" i="10"/>
  <c r="EJ744" i="10"/>
  <c r="EK744" i="10"/>
  <c r="EH744" i="10"/>
  <c r="EH32" i="10"/>
  <c r="DR32" i="10"/>
  <c r="EK32" i="10"/>
  <c r="EJ32" i="10"/>
  <c r="EI32" i="10"/>
  <c r="EH372" i="10"/>
  <c r="EK372" i="10"/>
  <c r="DR372" i="10"/>
  <c r="EI372" i="10"/>
  <c r="EJ372" i="10"/>
  <c r="EH709" i="10"/>
  <c r="DR709" i="10"/>
  <c r="EI709" i="10"/>
  <c r="EJ709" i="10"/>
  <c r="EK709" i="10"/>
  <c r="EI369" i="10"/>
  <c r="EH369" i="10"/>
  <c r="EK369" i="10"/>
  <c r="EJ369" i="10"/>
  <c r="DR369" i="10"/>
  <c r="EI130" i="10"/>
  <c r="DR130" i="10"/>
  <c r="EJ130" i="10"/>
  <c r="EK130" i="10"/>
  <c r="EH130" i="10"/>
  <c r="EH109" i="10"/>
  <c r="EI109" i="10"/>
  <c r="EK109" i="10"/>
  <c r="EJ109" i="10"/>
  <c r="DR109" i="10"/>
  <c r="EH590" i="10"/>
  <c r="EJ590" i="10"/>
  <c r="DR590" i="10"/>
  <c r="EI590" i="10"/>
  <c r="EK590" i="10"/>
  <c r="EH703" i="10"/>
  <c r="EK703" i="10"/>
  <c r="EJ703" i="10"/>
  <c r="EI703" i="10"/>
  <c r="DR703" i="10"/>
  <c r="DR142" i="10"/>
  <c r="EJ142" i="10"/>
  <c r="EH142" i="10"/>
  <c r="EI142" i="10"/>
  <c r="EK142" i="10"/>
  <c r="EJ706" i="10"/>
  <c r="EK706" i="10"/>
  <c r="EI706" i="10"/>
  <c r="EH706" i="10"/>
  <c r="DR706" i="10"/>
  <c r="EJ422" i="10"/>
  <c r="EH422" i="10"/>
  <c r="EK422" i="10"/>
  <c r="EI422" i="10"/>
  <c r="DR422" i="10"/>
  <c r="EI41" i="10"/>
  <c r="EK41" i="10"/>
  <c r="EJ41" i="10"/>
  <c r="EH41" i="10"/>
  <c r="DR41" i="10"/>
  <c r="EH118" i="10"/>
  <c r="EI118" i="10"/>
  <c r="DR118" i="10"/>
  <c r="EK118" i="10"/>
  <c r="EJ118" i="10"/>
  <c r="EI415" i="10"/>
  <c r="EK415" i="10"/>
  <c r="DR415" i="10"/>
  <c r="EJ415" i="10"/>
  <c r="EH415" i="10"/>
  <c r="DR711" i="10"/>
  <c r="EJ711" i="10"/>
  <c r="EH711" i="10"/>
  <c r="EI711" i="10"/>
  <c r="EK711" i="10"/>
  <c r="EJ491" i="10"/>
  <c r="DR491" i="10"/>
  <c r="EI491" i="10"/>
  <c r="EK491" i="10"/>
  <c r="EH491" i="10"/>
  <c r="EI773" i="10"/>
  <c r="EH773" i="10"/>
  <c r="EK773" i="10"/>
  <c r="DR773" i="10"/>
  <c r="EJ773" i="10"/>
  <c r="EH477" i="10"/>
  <c r="DR477" i="10"/>
  <c r="EI477" i="10"/>
  <c r="EJ477" i="10"/>
  <c r="EK477" i="10"/>
  <c r="EK407" i="10"/>
  <c r="EJ407" i="10"/>
  <c r="EI407" i="10"/>
  <c r="DR407" i="10"/>
  <c r="EH407" i="10"/>
  <c r="EH216" i="10"/>
  <c r="EK216" i="10"/>
  <c r="DR216" i="10"/>
  <c r="EI216" i="10"/>
  <c r="EJ216" i="10"/>
  <c r="DR334" i="10"/>
  <c r="EI334" i="10"/>
  <c r="EJ334" i="10"/>
  <c r="EK334" i="10"/>
  <c r="EH334" i="10"/>
  <c r="EH800" i="10"/>
  <c r="EI800" i="10"/>
  <c r="EK800" i="10"/>
  <c r="DR800" i="10"/>
  <c r="EJ800" i="10"/>
  <c r="EI724" i="10"/>
  <c r="EJ724" i="10"/>
  <c r="EK724" i="10"/>
  <c r="DR724" i="10"/>
  <c r="EH724" i="10"/>
  <c r="EK737" i="10"/>
  <c r="EJ737" i="10"/>
  <c r="DR737" i="10"/>
  <c r="EI737" i="10"/>
  <c r="EH737" i="10"/>
  <c r="EK362" i="10"/>
  <c r="EI362" i="10"/>
  <c r="DR362" i="10"/>
  <c r="EH362" i="10"/>
  <c r="EJ362" i="10"/>
  <c r="EJ442" i="10"/>
  <c r="EH442" i="10"/>
  <c r="EI442" i="10"/>
  <c r="DR442" i="10"/>
  <c r="EK442" i="10"/>
  <c r="EK168" i="10"/>
  <c r="EI168" i="10"/>
  <c r="DR168" i="10"/>
  <c r="EH168" i="10"/>
  <c r="EJ168" i="10"/>
  <c r="EI387" i="10"/>
  <c r="EJ387" i="10"/>
  <c r="EH387" i="10"/>
  <c r="EK387" i="10"/>
  <c r="DR387" i="10"/>
  <c r="EI496" i="10"/>
  <c r="EJ496" i="10"/>
  <c r="EK496" i="10"/>
  <c r="DR496" i="10"/>
  <c r="EH496" i="10"/>
  <c r="EK747" i="10"/>
  <c r="EJ747" i="10"/>
  <c r="EH747" i="10"/>
  <c r="EI747" i="10"/>
  <c r="DR747" i="10"/>
  <c r="EJ562" i="10"/>
  <c r="DR562" i="10"/>
  <c r="EH562" i="10"/>
  <c r="EK562" i="10"/>
  <c r="EI562" i="10"/>
  <c r="EJ418" i="10"/>
  <c r="EI418" i="10"/>
  <c r="EK418" i="10"/>
  <c r="DR418" i="10"/>
  <c r="EH418" i="10"/>
  <c r="EK535" i="10"/>
  <c r="EI535" i="10"/>
  <c r="DR535" i="10"/>
  <c r="EJ535" i="10"/>
  <c r="EH535" i="10"/>
  <c r="EI447" i="10"/>
  <c r="EH447" i="10"/>
  <c r="DR447" i="10"/>
  <c r="EJ447" i="10"/>
  <c r="EK447" i="10"/>
  <c r="EK794" i="10"/>
  <c r="EH794" i="10"/>
  <c r="EI794" i="10"/>
  <c r="DR794" i="10"/>
  <c r="EJ794" i="10"/>
  <c r="EH716" i="10"/>
  <c r="EI716" i="10"/>
  <c r="EK716" i="10"/>
  <c r="DR716" i="10"/>
  <c r="EJ716" i="10"/>
  <c r="EI527" i="10"/>
  <c r="EK527" i="10"/>
  <c r="EH527" i="10"/>
  <c r="DR527" i="10"/>
  <c r="EJ527" i="10"/>
  <c r="EI812" i="10"/>
  <c r="EJ812" i="10"/>
  <c r="EK812" i="10"/>
  <c r="EH812" i="10"/>
  <c r="DR812" i="10"/>
  <c r="DR797" i="10"/>
  <c r="EI797" i="10"/>
  <c r="EJ797" i="10"/>
  <c r="EH797" i="10"/>
  <c r="EK797" i="10"/>
  <c r="DR439" i="10"/>
  <c r="EK439" i="10"/>
  <c r="EH439" i="10"/>
  <c r="EJ439" i="10"/>
  <c r="EI439" i="10"/>
  <c r="EH241" i="10"/>
  <c r="DR241" i="10"/>
  <c r="EJ241" i="10"/>
  <c r="EK241" i="10"/>
  <c r="EI241" i="10"/>
  <c r="EI755" i="10"/>
  <c r="DR755" i="10"/>
  <c r="EJ755" i="10"/>
  <c r="EK755" i="10"/>
  <c r="EH755" i="10"/>
  <c r="EH803" i="10"/>
  <c r="EI803" i="10"/>
  <c r="EJ803" i="10"/>
  <c r="DR803" i="10"/>
  <c r="EK803" i="10"/>
  <c r="EJ230" i="10"/>
  <c r="EK230" i="10"/>
  <c r="EH230" i="10"/>
  <c r="DR230" i="10"/>
  <c r="EI230" i="10"/>
  <c r="EJ761" i="10"/>
  <c r="DR761" i="10"/>
  <c r="EK761" i="10"/>
  <c r="EH761" i="10"/>
  <c r="EI761" i="10"/>
  <c r="EH634" i="10"/>
  <c r="EI634" i="10"/>
  <c r="DR634" i="10"/>
  <c r="EJ634" i="10"/>
  <c r="EK634" i="10"/>
  <c r="EK202" i="10"/>
  <c r="EH202" i="10"/>
  <c r="EI202" i="10"/>
  <c r="DR202" i="10"/>
  <c r="EJ202" i="10"/>
  <c r="DR243" i="10"/>
  <c r="EK243" i="10"/>
  <c r="EJ243" i="10"/>
  <c r="EH243" i="10"/>
  <c r="EI243" i="10"/>
  <c r="EH565" i="10"/>
  <c r="DR565" i="10"/>
  <c r="EJ565" i="10"/>
  <c r="EI565" i="10"/>
  <c r="EK565" i="10"/>
  <c r="DR485" i="10"/>
  <c r="EK485" i="10"/>
  <c r="EJ485" i="10"/>
  <c r="EH485" i="10"/>
  <c r="EI485" i="10"/>
  <c r="EI809" i="10"/>
  <c r="DR809" i="10"/>
  <c r="EJ809" i="10"/>
  <c r="EK809" i="10"/>
  <c r="EH809" i="10"/>
  <c r="EI89" i="10"/>
  <c r="EJ89" i="10"/>
  <c r="DR89" i="10"/>
  <c r="EK89" i="10"/>
  <c r="EH89" i="10"/>
  <c r="DR157" i="10"/>
  <c r="EK157" i="10"/>
  <c r="EJ157" i="10"/>
  <c r="EI157" i="10"/>
  <c r="EH157" i="10"/>
  <c r="DR311" i="10"/>
  <c r="EJ311" i="10"/>
  <c r="EK311" i="10"/>
  <c r="EH311" i="10"/>
  <c r="EI311" i="10"/>
  <c r="DR554" i="10"/>
  <c r="EK554" i="10"/>
  <c r="EH554" i="10"/>
  <c r="EI554" i="10"/>
  <c r="EJ554" i="10"/>
  <c r="DR782" i="10"/>
  <c r="EK782" i="10"/>
  <c r="EH782" i="10"/>
  <c r="EI782" i="10"/>
  <c r="EJ782" i="10"/>
  <c r="EH92" i="10"/>
  <c r="EK92" i="10"/>
  <c r="EI92" i="10"/>
  <c r="DR92" i="10"/>
  <c r="EJ92" i="10"/>
  <c r="EK30" i="10"/>
  <c r="EH30" i="10"/>
  <c r="EI30" i="10"/>
  <c r="EJ30" i="10"/>
  <c r="DR30" i="10"/>
  <c r="EJ785" i="10"/>
  <c r="DR785" i="10"/>
  <c r="EI785" i="10"/>
  <c r="EK785" i="10"/>
  <c r="EH785" i="10"/>
  <c r="EH767" i="10"/>
  <c r="DR767" i="10"/>
  <c r="EJ767" i="10"/>
  <c r="EK767" i="10"/>
  <c r="EI767" i="10"/>
  <c r="DR140" i="10"/>
  <c r="EJ140" i="10"/>
  <c r="EI140" i="10"/>
  <c r="EH140" i="10"/>
  <c r="EK140" i="10"/>
  <c r="EH758" i="10"/>
  <c r="EI758" i="10"/>
  <c r="DR758" i="10"/>
  <c r="EK758" i="10"/>
  <c r="EJ758" i="10"/>
  <c r="DR302" i="10"/>
  <c r="EK302" i="10"/>
  <c r="EJ302" i="10"/>
  <c r="EI302" i="10"/>
  <c r="EH302" i="10"/>
  <c r="EJ770" i="10"/>
  <c r="EH770" i="10"/>
  <c r="DR770" i="10"/>
  <c r="EK770" i="10"/>
  <c r="EI770" i="10"/>
  <c r="EK450" i="10"/>
  <c r="EJ450" i="10"/>
  <c r="DR450" i="10"/>
  <c r="EH450" i="10"/>
  <c r="EI450" i="10"/>
  <c r="EI779" i="10"/>
  <c r="EH779" i="10"/>
  <c r="EJ779" i="10"/>
  <c r="DR779" i="10"/>
  <c r="EK779" i="10"/>
  <c r="EJ618" i="10"/>
  <c r="EH618" i="10"/>
  <c r="EI618" i="10"/>
  <c r="EK618" i="10"/>
  <c r="DR618" i="10"/>
  <c r="EI331" i="10"/>
  <c r="EK331" i="10"/>
  <c r="DR331" i="10"/>
  <c r="EJ331" i="10"/>
  <c r="EH331" i="10"/>
  <c r="DR791" i="10"/>
  <c r="EI791" i="10"/>
  <c r="EJ791" i="10"/>
  <c r="EH791" i="10"/>
  <c r="EK791" i="10"/>
  <c r="EI445" i="10"/>
  <c r="DR445" i="10"/>
  <c r="EK445" i="10"/>
  <c r="EJ445" i="10"/>
  <c r="EH445" i="10"/>
  <c r="DR821" i="10"/>
  <c r="EI821" i="10"/>
  <c r="EJ821" i="10"/>
  <c r="EH821" i="10"/>
  <c r="EK821" i="10"/>
  <c r="EK376" i="10"/>
  <c r="EJ376" i="10"/>
  <c r="EI376" i="10"/>
  <c r="DR376" i="10"/>
  <c r="EH376" i="10"/>
  <c r="EK359" i="10"/>
  <c r="EH359" i="10"/>
  <c r="DR359" i="10"/>
  <c r="EJ359" i="10"/>
  <c r="EI359" i="10"/>
  <c r="EH390" i="10"/>
  <c r="EI390" i="10"/>
  <c r="DR390" i="10"/>
  <c r="EJ390" i="10"/>
  <c r="EK390" i="10"/>
  <c r="EH154" i="10"/>
  <c r="DR154" i="10"/>
  <c r="EI154" i="10"/>
  <c r="EJ154" i="10"/>
  <c r="EK154" i="10"/>
  <c r="EK573" i="10"/>
  <c r="EI573" i="10"/>
  <c r="EJ573" i="10"/>
  <c r="EH573" i="10"/>
  <c r="DR573" i="10"/>
  <c r="DR824" i="10"/>
  <c r="EK824" i="10"/>
  <c r="EH824" i="10"/>
  <c r="EI824" i="10"/>
  <c r="EJ824" i="10"/>
  <c r="EJ188" i="10"/>
  <c r="EK188" i="10"/>
  <c r="EH188" i="10"/>
  <c r="DR188" i="10"/>
  <c r="EI188" i="10"/>
  <c r="EI499" i="10"/>
  <c r="EH499" i="10"/>
  <c r="EJ499" i="10"/>
  <c r="EK499" i="10"/>
  <c r="DR499" i="10"/>
  <c r="EJ428" i="10"/>
  <c r="EH428" i="10"/>
  <c r="EI428" i="10"/>
  <c r="DR428" i="10"/>
  <c r="EK428" i="10"/>
  <c r="EH557" i="10"/>
  <c r="EI557" i="10"/>
  <c r="EK557" i="10"/>
  <c r="EJ557" i="10"/>
  <c r="DR557" i="10"/>
  <c r="DR480" i="10"/>
  <c r="EK480" i="10"/>
  <c r="EI480" i="10"/>
  <c r="EJ480" i="10"/>
  <c r="EH480" i="10"/>
  <c r="EK653" i="10"/>
  <c r="EJ653" i="10"/>
  <c r="DR653" i="10"/>
  <c r="EI653" i="10"/>
  <c r="EH653" i="10"/>
  <c r="EH373" i="10"/>
  <c r="EJ373" i="10"/>
  <c r="DR373" i="10"/>
  <c r="EI373" i="10"/>
  <c r="EK373" i="10"/>
  <c r="EI222" i="10"/>
  <c r="EH222" i="10"/>
  <c r="EJ222" i="10"/>
  <c r="EK222" i="10"/>
  <c r="DR222" i="10"/>
  <c r="DR325" i="10"/>
  <c r="EH325" i="10"/>
  <c r="EJ325" i="10"/>
  <c r="EI325" i="10"/>
  <c r="EK325" i="10"/>
  <c r="EI692" i="10"/>
  <c r="EK692" i="10"/>
  <c r="EH692" i="10"/>
  <c r="EJ692" i="10"/>
  <c r="DR692" i="10"/>
  <c r="DR404" i="10"/>
  <c r="EK404" i="10"/>
  <c r="EJ404" i="10"/>
  <c r="EI404" i="10"/>
  <c r="EH404" i="10"/>
  <c r="EK305" i="10"/>
  <c r="EI305" i="10"/>
  <c r="DR305" i="10"/>
  <c r="EH305" i="10"/>
  <c r="EJ305" i="10"/>
  <c r="EK568" i="10"/>
  <c r="EH568" i="10"/>
  <c r="EI568" i="10"/>
  <c r="DR568" i="10"/>
  <c r="EJ568" i="10"/>
  <c r="EK615" i="10"/>
  <c r="EI615" i="10"/>
  <c r="DR615" i="10"/>
  <c r="EJ615" i="10"/>
  <c r="EH615" i="10"/>
  <c r="DR705" i="10"/>
  <c r="EI705" i="10"/>
  <c r="EJ705" i="10"/>
  <c r="EH705" i="10"/>
  <c r="EK705" i="10"/>
  <c r="EI238" i="10"/>
  <c r="DR238" i="10"/>
  <c r="EK238" i="10"/>
  <c r="EJ238" i="10"/>
  <c r="EH238" i="10"/>
  <c r="EK764" i="10"/>
  <c r="EH764" i="10"/>
  <c r="EI764" i="10"/>
  <c r="EJ764" i="10"/>
  <c r="DR764" i="10"/>
  <c r="EH656" i="10"/>
  <c r="EI656" i="10"/>
  <c r="DR656" i="10"/>
  <c r="EK656" i="10"/>
  <c r="EJ656" i="10"/>
  <c r="EJ246" i="10"/>
  <c r="EK246" i="10"/>
  <c r="EH246" i="10"/>
  <c r="DR246" i="10"/>
  <c r="EI246" i="10"/>
  <c r="EH815" i="10"/>
  <c r="EJ815" i="10"/>
  <c r="EK815" i="10"/>
  <c r="EI815" i="10"/>
  <c r="DR815" i="10"/>
  <c r="EK752" i="10"/>
  <c r="EJ752" i="10"/>
  <c r="DR752" i="10"/>
  <c r="EI752" i="10"/>
  <c r="EH752" i="10"/>
  <c r="EJ623" i="10"/>
  <c r="EH623" i="10"/>
  <c r="EI623" i="10"/>
  <c r="DR623" i="10"/>
  <c r="EK623" i="10"/>
  <c r="EI818" i="10"/>
  <c r="DR818" i="10"/>
  <c r="EJ818" i="10"/>
  <c r="EH818" i="10"/>
  <c r="EK818" i="10"/>
  <c r="EI729" i="10"/>
  <c r="DR729" i="10"/>
  <c r="EJ729" i="10"/>
  <c r="EH729" i="10"/>
  <c r="EK729" i="10"/>
  <c r="EI650" i="10"/>
  <c r="EH650" i="10"/>
  <c r="EK650" i="10"/>
  <c r="EJ650" i="10"/>
  <c r="DR650" i="10"/>
  <c r="EJ254" i="10"/>
  <c r="EH254" i="10"/>
  <c r="EI254" i="10"/>
  <c r="EK254" i="10"/>
  <c r="DR254" i="10"/>
  <c r="DR308" i="10"/>
  <c r="EH308" i="10"/>
  <c r="EJ308" i="10"/>
  <c r="EK308" i="10"/>
  <c r="EI308" i="10"/>
  <c r="EI788" i="10"/>
  <c r="EJ788" i="10"/>
  <c r="DR788" i="10"/>
  <c r="EH788" i="10"/>
  <c r="EK788" i="10"/>
  <c r="DR776" i="10"/>
  <c r="EI776" i="10"/>
  <c r="EJ776" i="10"/>
  <c r="EK776" i="10"/>
  <c r="EH776" i="10"/>
  <c r="DR282" i="10"/>
  <c r="EJ282" i="10"/>
  <c r="EK282" i="10"/>
  <c r="EI282" i="10"/>
  <c r="EH282" i="10"/>
  <c r="DR38" i="10"/>
  <c r="EH38" i="10"/>
  <c r="EJ38" i="10"/>
  <c r="EI38" i="10"/>
  <c r="EK38" i="10"/>
  <c r="DR806" i="10"/>
  <c r="EI806" i="10"/>
  <c r="EK806" i="10"/>
  <c r="EJ806" i="10"/>
  <c r="EH806" i="10"/>
  <c r="DR219" i="10"/>
  <c r="EH219" i="10"/>
  <c r="EI219" i="10"/>
  <c r="EJ219" i="10"/>
  <c r="EK219" i="10"/>
  <c r="DR379" i="10"/>
  <c r="EI379" i="10"/>
  <c r="EH379" i="10"/>
  <c r="EK379" i="10"/>
  <c r="EJ379" i="10"/>
  <c r="EH345" i="10"/>
  <c r="EK345" i="10"/>
  <c r="EI345" i="10"/>
  <c r="DR345" i="10"/>
  <c r="EJ345" i="10"/>
  <c r="EJ827" i="10"/>
  <c r="EI827" i="10"/>
  <c r="EK827" i="10"/>
  <c r="DR827" i="10"/>
  <c r="EH827" i="10"/>
  <c r="EI708" i="10"/>
  <c r="EJ708" i="10"/>
  <c r="EK708" i="10"/>
  <c r="EH708" i="10"/>
  <c r="DR708" i="10"/>
  <c r="EK120" i="10"/>
  <c r="DR120" i="10"/>
  <c r="EI120" i="10"/>
  <c r="EJ120" i="10"/>
  <c r="EH120" i="10"/>
  <c r="J108" i="7"/>
  <c r="T108" i="7"/>
  <c r="Y16" i="3"/>
  <c r="D6" i="1" s="1" a="1"/>
  <c r="AD14" i="3"/>
  <c r="AD16" i="3" s="1"/>
  <c r="AC16" i="3"/>
  <c r="D21" i="1" l="1"/>
  <c r="D13" i="1"/>
  <c r="D6" i="1"/>
  <c r="D28" i="1"/>
  <c r="D11" i="1"/>
  <c r="D34" i="1"/>
  <c r="D26" i="1"/>
  <c r="D18" i="1"/>
  <c r="D10" i="1"/>
  <c r="D33" i="1"/>
  <c r="D25" i="1"/>
  <c r="D14" i="1"/>
  <c r="D20" i="1"/>
  <c r="D12" i="1"/>
  <c r="D35" i="1"/>
  <c r="D27" i="1"/>
  <c r="D19" i="1"/>
  <c r="D17" i="1"/>
  <c r="D9" i="1"/>
  <c r="D24" i="1"/>
  <c r="D16" i="1"/>
  <c r="D31" i="1"/>
  <c r="D23" i="1"/>
  <c r="D8" i="1"/>
  <c r="D7" i="1"/>
  <c r="D32" i="1"/>
  <c r="D15" i="1"/>
  <c r="D30" i="1"/>
  <c r="D22" i="1"/>
  <c r="D29" i="1"/>
  <c r="D36" i="1"/>
  <c r="G498" i="11" s="1"/>
  <c r="C6" i="1" a="1"/>
  <c r="G400" i="11" l="1"/>
  <c r="G394" i="11"/>
  <c r="G399" i="11"/>
  <c r="G404" i="11"/>
  <c r="G397" i="11"/>
  <c r="G398" i="11"/>
  <c r="G403" i="11"/>
  <c r="G407" i="11"/>
  <c r="G401" i="11"/>
  <c r="G402" i="11"/>
  <c r="G396" i="11"/>
  <c r="G395" i="11"/>
  <c r="G405" i="11"/>
  <c r="G406" i="11"/>
  <c r="G496" i="11"/>
  <c r="G497" i="11"/>
  <c r="G437" i="11"/>
  <c r="G439" i="11"/>
  <c r="G440" i="11"/>
  <c r="G441" i="11"/>
  <c r="G435" i="11"/>
  <c r="G443" i="11"/>
  <c r="G434" i="11"/>
  <c r="G433" i="11"/>
  <c r="G438" i="11"/>
  <c r="G436" i="11"/>
  <c r="G442" i="11"/>
  <c r="C19" i="1"/>
  <c r="E19" i="1" s="1"/>
  <c r="C29" i="1"/>
  <c r="E29" i="1" s="1"/>
  <c r="C25" i="1"/>
  <c r="E25" i="1" s="1"/>
  <c r="C8" i="1"/>
  <c r="E8" i="1" s="1"/>
  <c r="C21" i="1"/>
  <c r="E21" i="1" s="1"/>
  <c r="C23" i="1"/>
  <c r="E23" i="1" s="1"/>
  <c r="C9" i="1"/>
  <c r="E9" i="1" s="1"/>
  <c r="C36" i="1"/>
  <c r="E36" i="1" s="1"/>
  <c r="H498" i="11" s="1"/>
  <c r="C7" i="1"/>
  <c r="E7" i="1" s="1"/>
  <c r="C24" i="1"/>
  <c r="E24" i="1" s="1"/>
  <c r="C27" i="1"/>
  <c r="E27" i="1" s="1"/>
  <c r="C15" i="1"/>
  <c r="E15" i="1" s="1"/>
  <c r="C11" i="1"/>
  <c r="E11" i="1" s="1"/>
  <c r="C17" i="1"/>
  <c r="E17" i="1" s="1"/>
  <c r="C12" i="1"/>
  <c r="E12" i="1" s="1"/>
  <c r="C13" i="1"/>
  <c r="E13" i="1" s="1"/>
  <c r="C34" i="1"/>
  <c r="E34" i="1" s="1"/>
  <c r="C31" i="1"/>
  <c r="E31" i="1" s="1"/>
  <c r="C28" i="1"/>
  <c r="E28" i="1" s="1"/>
  <c r="C30" i="1"/>
  <c r="E30" i="1" s="1"/>
  <c r="C26" i="1"/>
  <c r="E26" i="1" s="1"/>
  <c r="C20" i="1"/>
  <c r="E20" i="1" s="1"/>
  <c r="C18" i="1"/>
  <c r="E18" i="1" s="1"/>
  <c r="C35" i="1"/>
  <c r="E35" i="1" s="1"/>
  <c r="C10" i="1"/>
  <c r="E10" i="1" s="1"/>
  <c r="C16" i="1"/>
  <c r="E16" i="1" s="1"/>
  <c r="C6" i="1"/>
  <c r="E6" i="1" s="1"/>
  <c r="C32" i="1"/>
  <c r="E32" i="1" s="1"/>
  <c r="C22" i="1"/>
  <c r="E22" i="1" s="1"/>
  <c r="C14" i="1"/>
  <c r="E14" i="1" s="1"/>
  <c r="C33" i="1"/>
  <c r="E33" i="1" s="1"/>
  <c r="G466" i="11"/>
  <c r="G470" i="11"/>
  <c r="G463" i="11"/>
  <c r="G464" i="11"/>
  <c r="G468" i="11"/>
  <c r="G467" i="11"/>
  <c r="G465" i="11"/>
  <c r="G469" i="11"/>
  <c r="G481" i="11"/>
  <c r="G478" i="11"/>
  <c r="G482" i="11"/>
  <c r="G480" i="11"/>
  <c r="G483" i="11"/>
  <c r="G479" i="11"/>
  <c r="G196" i="11"/>
  <c r="G179" i="11"/>
  <c r="G186" i="11"/>
  <c r="G190" i="11"/>
  <c r="G181" i="11"/>
  <c r="G189" i="11"/>
  <c r="G184" i="11"/>
  <c r="G188" i="11"/>
  <c r="G191" i="11"/>
  <c r="G178" i="11"/>
  <c r="G194" i="11"/>
  <c r="G175" i="11"/>
  <c r="G176" i="11"/>
  <c r="G192" i="11"/>
  <c r="G183" i="11"/>
  <c r="CB15" i="10" s="1"/>
  <c r="G193" i="11"/>
  <c r="G177" i="11"/>
  <c r="G185" i="11"/>
  <c r="G182" i="11"/>
  <c r="G187" i="11"/>
  <c r="G174" i="11"/>
  <c r="G180" i="11"/>
  <c r="G198" i="11"/>
  <c r="G195" i="11"/>
  <c r="G197" i="11"/>
  <c r="G493" i="11"/>
  <c r="G494" i="11"/>
  <c r="G495" i="11"/>
  <c r="G445" i="11"/>
  <c r="G452" i="11"/>
  <c r="G449" i="11"/>
  <c r="G451" i="11"/>
  <c r="G453" i="11"/>
  <c r="G450" i="11"/>
  <c r="G447" i="11"/>
  <c r="G444" i="11"/>
  <c r="G446" i="11"/>
  <c r="G448" i="11"/>
  <c r="G381" i="11"/>
  <c r="G387" i="11"/>
  <c r="G390" i="11"/>
  <c r="G388" i="11"/>
  <c r="G385" i="11"/>
  <c r="G391" i="11"/>
  <c r="G383" i="11"/>
  <c r="CD15" i="10" s="1"/>
  <c r="CH15" i="10" s="1"/>
  <c r="G392" i="11"/>
  <c r="G389" i="11"/>
  <c r="G382" i="11"/>
  <c r="G380" i="11"/>
  <c r="G379" i="11"/>
  <c r="G393" i="11"/>
  <c r="G386" i="11"/>
  <c r="G384" i="11"/>
  <c r="G281" i="11"/>
  <c r="G271" i="11"/>
  <c r="G278" i="11"/>
  <c r="G286" i="11"/>
  <c r="G279" i="11"/>
  <c r="G276" i="11"/>
  <c r="G284" i="11"/>
  <c r="G270" i="11"/>
  <c r="G285" i="11"/>
  <c r="G268" i="11"/>
  <c r="G283" i="11"/>
  <c r="G269" i="11"/>
  <c r="G277" i="11"/>
  <c r="G288" i="11"/>
  <c r="G274" i="11"/>
  <c r="G282" i="11"/>
  <c r="G275" i="11"/>
  <c r="G272" i="11"/>
  <c r="G280" i="11"/>
  <c r="G287" i="11"/>
  <c r="G273" i="11"/>
  <c r="G354" i="11"/>
  <c r="G347" i="11"/>
  <c r="G360" i="11"/>
  <c r="G361" i="11"/>
  <c r="G359" i="11"/>
  <c r="G349" i="11"/>
  <c r="G355" i="11"/>
  <c r="G348" i="11"/>
  <c r="G358" i="11"/>
  <c r="G346" i="11"/>
  <c r="G351" i="11"/>
  <c r="G352" i="11"/>
  <c r="G353" i="11"/>
  <c r="G350" i="11"/>
  <c r="G362" i="11"/>
  <c r="G356" i="11"/>
  <c r="G357" i="11"/>
  <c r="G153" i="11"/>
  <c r="G158" i="11"/>
  <c r="G173" i="11"/>
  <c r="G150" i="11"/>
  <c r="G156" i="11"/>
  <c r="G170" i="11"/>
  <c r="G148" i="11"/>
  <c r="G165" i="11"/>
  <c r="G168" i="11"/>
  <c r="G151" i="11"/>
  <c r="G162" i="11"/>
  <c r="G167" i="11"/>
  <c r="G149" i="11"/>
  <c r="G157" i="11"/>
  <c r="G160" i="11"/>
  <c r="G171" i="11"/>
  <c r="G163" i="11"/>
  <c r="G154" i="11"/>
  <c r="G169" i="11"/>
  <c r="G172" i="11"/>
  <c r="G159" i="11"/>
  <c r="G152" i="11"/>
  <c r="G166" i="11"/>
  <c r="G155" i="11"/>
  <c r="G161" i="11"/>
  <c r="G164" i="11"/>
  <c r="G473" i="11"/>
  <c r="G477" i="11"/>
  <c r="G471" i="11"/>
  <c r="G475" i="11"/>
  <c r="G474" i="11"/>
  <c r="G472" i="11"/>
  <c r="G476" i="11"/>
  <c r="G419" i="11"/>
  <c r="G420" i="11"/>
  <c r="G413" i="11"/>
  <c r="G410" i="11"/>
  <c r="G408" i="11"/>
  <c r="G414" i="11"/>
  <c r="G417" i="11"/>
  <c r="G418" i="11"/>
  <c r="G412" i="11"/>
  <c r="G409" i="11"/>
  <c r="G415" i="11"/>
  <c r="G411" i="11"/>
  <c r="G416" i="11"/>
  <c r="G240" i="11"/>
  <c r="G223" i="11"/>
  <c r="G234" i="11"/>
  <c r="G241" i="11"/>
  <c r="G235" i="11"/>
  <c r="G232" i="11"/>
  <c r="G227" i="11"/>
  <c r="G226" i="11"/>
  <c r="G233" i="11"/>
  <c r="G244" i="11"/>
  <c r="G224" i="11"/>
  <c r="G238" i="11"/>
  <c r="G245" i="11"/>
  <c r="G225" i="11"/>
  <c r="G236" i="11"/>
  <c r="G231" i="11"/>
  <c r="G230" i="11"/>
  <c r="G237" i="11"/>
  <c r="G239" i="11"/>
  <c r="G228" i="11"/>
  <c r="G242" i="11"/>
  <c r="G243" i="11"/>
  <c r="G229" i="11"/>
  <c r="G459" i="11"/>
  <c r="G455" i="11"/>
  <c r="G456" i="11"/>
  <c r="G457" i="11"/>
  <c r="G460" i="11"/>
  <c r="G461" i="11"/>
  <c r="G458" i="11"/>
  <c r="G454" i="11"/>
  <c r="G462" i="11"/>
  <c r="G313" i="11"/>
  <c r="G325" i="11"/>
  <c r="G309" i="11"/>
  <c r="G326" i="11"/>
  <c r="G327" i="11"/>
  <c r="G322" i="11"/>
  <c r="G323" i="11"/>
  <c r="G310" i="11"/>
  <c r="G324" i="11"/>
  <c r="G317" i="11"/>
  <c r="G312" i="11"/>
  <c r="G311" i="11"/>
  <c r="G314" i="11"/>
  <c r="G315" i="11"/>
  <c r="G316" i="11"/>
  <c r="G321" i="11"/>
  <c r="G318" i="11"/>
  <c r="G319" i="11"/>
  <c r="G320" i="11"/>
  <c r="G259" i="11"/>
  <c r="G252" i="11"/>
  <c r="G266" i="11"/>
  <c r="G263" i="11"/>
  <c r="G253" i="11"/>
  <c r="G264" i="11"/>
  <c r="G246" i="11"/>
  <c r="G258" i="11"/>
  <c r="G251" i="11"/>
  <c r="G256" i="11"/>
  <c r="G265" i="11"/>
  <c r="G250" i="11"/>
  <c r="G257" i="11"/>
  <c r="G255" i="11"/>
  <c r="G248" i="11"/>
  <c r="G262" i="11"/>
  <c r="G267" i="11"/>
  <c r="G249" i="11"/>
  <c r="G260" i="11"/>
  <c r="G247" i="11"/>
  <c r="G254" i="11"/>
  <c r="G261" i="11"/>
  <c r="G113" i="11"/>
  <c r="G112" i="11"/>
  <c r="G120" i="11"/>
  <c r="G103" i="11"/>
  <c r="G110" i="11"/>
  <c r="G93" i="11"/>
  <c r="G101" i="11"/>
  <c r="G104" i="11"/>
  <c r="G115" i="11"/>
  <c r="G98" i="11"/>
  <c r="G117" i="11"/>
  <c r="G95" i="11"/>
  <c r="G119" i="11"/>
  <c r="G114" i="11"/>
  <c r="G116" i="11"/>
  <c r="G107" i="11"/>
  <c r="G109" i="11"/>
  <c r="G108" i="11"/>
  <c r="G97" i="11"/>
  <c r="G105" i="11"/>
  <c r="G106" i="11"/>
  <c r="G111" i="11"/>
  <c r="G94" i="11"/>
  <c r="G102" i="11"/>
  <c r="G100" i="11"/>
  <c r="G118" i="11"/>
  <c r="G99" i="11"/>
  <c r="G96" i="11"/>
  <c r="G427" i="11"/>
  <c r="G423" i="11"/>
  <c r="G421" i="11"/>
  <c r="G424" i="11"/>
  <c r="G425" i="11"/>
  <c r="G428" i="11"/>
  <c r="G426" i="11"/>
  <c r="G429" i="11"/>
  <c r="G430" i="11"/>
  <c r="G432" i="11"/>
  <c r="G431" i="11"/>
  <c r="G422" i="11"/>
  <c r="G28" i="11"/>
  <c r="C108" i="7" a="1"/>
  <c r="C108" i="7" s="1"/>
  <c r="G3" i="11"/>
  <c r="G22" i="11"/>
  <c r="G23" i="11"/>
  <c r="C106" i="7" a="1"/>
  <c r="C106" i="7" s="1"/>
  <c r="G32" i="11"/>
  <c r="G8" i="11"/>
  <c r="G30" i="11"/>
  <c r="G13" i="11"/>
  <c r="G25" i="11"/>
  <c r="G15" i="11"/>
  <c r="G16" i="11"/>
  <c r="G6" i="11"/>
  <c r="G17" i="11"/>
  <c r="G18" i="11"/>
  <c r="G33" i="11"/>
  <c r="G9" i="11"/>
  <c r="G19" i="11"/>
  <c r="G10" i="11"/>
  <c r="G4" i="11"/>
  <c r="G26" i="11"/>
  <c r="G27" i="11"/>
  <c r="G24" i="11"/>
  <c r="G7" i="11"/>
  <c r="G11" i="11"/>
  <c r="G12" i="11"/>
  <c r="G31" i="11"/>
  <c r="G21" i="11"/>
  <c r="C104" i="7" a="1"/>
  <c r="C104" i="7" s="1"/>
  <c r="C105" i="7" a="1"/>
  <c r="C105" i="7" s="1"/>
  <c r="G20" i="11"/>
  <c r="G14" i="11"/>
  <c r="G29" i="11"/>
  <c r="G5" i="11"/>
  <c r="C107" i="7" a="1"/>
  <c r="C107" i="7" s="1"/>
  <c r="G485" i="11"/>
  <c r="G486" i="11"/>
  <c r="G487" i="11"/>
  <c r="G484" i="11"/>
  <c r="G488" i="11"/>
  <c r="G294" i="11"/>
  <c r="G301" i="11"/>
  <c r="G299" i="11"/>
  <c r="G304" i="11"/>
  <c r="G306" i="11"/>
  <c r="G292" i="11"/>
  <c r="G293" i="11"/>
  <c r="G291" i="11"/>
  <c r="G303" i="11"/>
  <c r="G298" i="11"/>
  <c r="G305" i="11"/>
  <c r="G296" i="11"/>
  <c r="G308" i="11"/>
  <c r="G307" i="11"/>
  <c r="G290" i="11"/>
  <c r="G297" i="11"/>
  <c r="G300" i="11"/>
  <c r="G302" i="11"/>
  <c r="G289" i="11"/>
  <c r="G295" i="11"/>
  <c r="G492" i="11"/>
  <c r="G489" i="11"/>
  <c r="G490" i="11"/>
  <c r="G491" i="11"/>
  <c r="G214" i="11"/>
  <c r="G215" i="11"/>
  <c r="G200" i="11"/>
  <c r="G212" i="11"/>
  <c r="G199" i="11"/>
  <c r="G205" i="11"/>
  <c r="G217" i="11"/>
  <c r="G211" i="11"/>
  <c r="G206" i="11"/>
  <c r="G218" i="11"/>
  <c r="G219" i="11"/>
  <c r="G204" i="11"/>
  <c r="G216" i="11"/>
  <c r="G203" i="11"/>
  <c r="G209" i="11"/>
  <c r="G221" i="11"/>
  <c r="G207" i="11"/>
  <c r="G210" i="11"/>
  <c r="G222" i="11"/>
  <c r="G201" i="11"/>
  <c r="G208" i="11"/>
  <c r="G213" i="11"/>
  <c r="G220" i="11"/>
  <c r="G202" i="11"/>
  <c r="G70" i="11"/>
  <c r="G78" i="11"/>
  <c r="G76" i="11"/>
  <c r="G69" i="11"/>
  <c r="G71" i="11"/>
  <c r="G68" i="11"/>
  <c r="G87" i="11"/>
  <c r="G66" i="11"/>
  <c r="G92" i="11"/>
  <c r="G67" i="11"/>
  <c r="G90" i="11"/>
  <c r="G79" i="11"/>
  <c r="G77" i="11"/>
  <c r="G85" i="11"/>
  <c r="G80" i="11"/>
  <c r="G88" i="11"/>
  <c r="G74" i="11"/>
  <c r="G82" i="11"/>
  <c r="G65" i="11"/>
  <c r="G64" i="11"/>
  <c r="G72" i="11"/>
  <c r="G91" i="11"/>
  <c r="G83" i="11"/>
  <c r="G89" i="11"/>
  <c r="G75" i="11"/>
  <c r="G73" i="11"/>
  <c r="G81" i="11"/>
  <c r="G86" i="11"/>
  <c r="G84" i="11"/>
  <c r="G56" i="11"/>
  <c r="G35" i="11"/>
  <c r="G40" i="11"/>
  <c r="G48" i="11"/>
  <c r="CB16" i="10" s="1"/>
  <c r="G53" i="11"/>
  <c r="G61" i="11"/>
  <c r="G41" i="11"/>
  <c r="G58" i="11"/>
  <c r="G34" i="11"/>
  <c r="G42" i="11"/>
  <c r="G63" i="11"/>
  <c r="G52" i="11"/>
  <c r="G51" i="11"/>
  <c r="G36" i="11"/>
  <c r="G50" i="11"/>
  <c r="G60" i="11"/>
  <c r="G55" i="11"/>
  <c r="G44" i="11"/>
  <c r="G49" i="11"/>
  <c r="G57" i="11"/>
  <c r="G37" i="11"/>
  <c r="G45" i="11"/>
  <c r="CB18" i="10" s="1"/>
  <c r="G59" i="11"/>
  <c r="G38" i="11"/>
  <c r="G39" i="11"/>
  <c r="G43" i="11"/>
  <c r="CB17" i="10" s="1"/>
  <c r="G62" i="11"/>
  <c r="CB19" i="10" s="1"/>
  <c r="G47" i="11"/>
  <c r="G46" i="11"/>
  <c r="G54" i="11"/>
  <c r="G330" i="11"/>
  <c r="G337" i="11"/>
  <c r="G340" i="11"/>
  <c r="G342" i="11"/>
  <c r="G329" i="11"/>
  <c r="G341" i="11"/>
  <c r="G334" i="11"/>
  <c r="G343" i="11"/>
  <c r="G344" i="11"/>
  <c r="G345" i="11"/>
  <c r="G333" i="11"/>
  <c r="G328" i="11"/>
  <c r="G335" i="11"/>
  <c r="G338" i="11"/>
  <c r="G331" i="11"/>
  <c r="G336" i="11"/>
  <c r="G339" i="11"/>
  <c r="G332" i="11"/>
  <c r="G145" i="11"/>
  <c r="G123" i="11"/>
  <c r="G143" i="11"/>
  <c r="G142" i="11"/>
  <c r="G144" i="11"/>
  <c r="G127" i="11"/>
  <c r="G136" i="11"/>
  <c r="G125" i="11"/>
  <c r="G133" i="11"/>
  <c r="G135" i="11"/>
  <c r="G122" i="11"/>
  <c r="G130" i="11"/>
  <c r="G146" i="11"/>
  <c r="G147" i="11"/>
  <c r="G124" i="11"/>
  <c r="G141" i="11"/>
  <c r="G140" i="11"/>
  <c r="G131" i="11"/>
  <c r="G137" i="11"/>
  <c r="G138" i="11"/>
  <c r="G121" i="11"/>
  <c r="G129" i="11"/>
  <c r="G134" i="11"/>
  <c r="G132" i="11"/>
  <c r="G139" i="11"/>
  <c r="G126" i="11"/>
  <c r="G128" i="11"/>
  <c r="G367" i="11"/>
  <c r="G364" i="11"/>
  <c r="G365" i="11"/>
  <c r="G363" i="11"/>
  <c r="G378" i="11"/>
  <c r="G368" i="11"/>
  <c r="G369" i="11"/>
  <c r="G366" i="11"/>
  <c r="G371" i="11"/>
  <c r="G372" i="11"/>
  <c r="G370" i="11"/>
  <c r="G373" i="11"/>
  <c r="G376" i="11"/>
  <c r="G375" i="11"/>
  <c r="G374" i="11"/>
  <c r="G377" i="11"/>
  <c r="W104" i="7" l="1"/>
  <c r="V104" i="7"/>
  <c r="W106" i="7"/>
  <c r="V106" i="7"/>
  <c r="H392" i="11"/>
  <c r="H393" i="11"/>
  <c r="H379" i="11"/>
  <c r="H380" i="11"/>
  <c r="H381" i="11"/>
  <c r="H382" i="11"/>
  <c r="H383" i="11"/>
  <c r="CL15" i="10" s="1"/>
  <c r="H384" i="11"/>
  <c r="H385" i="11"/>
  <c r="H386" i="11"/>
  <c r="H387" i="11"/>
  <c r="H388" i="11"/>
  <c r="H389" i="11"/>
  <c r="H390" i="11"/>
  <c r="H391" i="11"/>
  <c r="H438" i="11"/>
  <c r="H441" i="11"/>
  <c r="H442" i="11"/>
  <c r="H440" i="11"/>
  <c r="H435" i="11"/>
  <c r="H439" i="11"/>
  <c r="H433" i="11"/>
  <c r="H443" i="11"/>
  <c r="H437" i="11"/>
  <c r="H434" i="11"/>
  <c r="H436" i="11"/>
  <c r="H161" i="11"/>
  <c r="H156" i="11"/>
  <c r="H154" i="11"/>
  <c r="H166" i="11"/>
  <c r="H173" i="11"/>
  <c r="H163" i="11"/>
  <c r="H148" i="11"/>
  <c r="H155" i="11"/>
  <c r="H168" i="11"/>
  <c r="H165" i="11"/>
  <c r="H160" i="11"/>
  <c r="H153" i="11"/>
  <c r="H170" i="11"/>
  <c r="H150" i="11"/>
  <c r="H158" i="11"/>
  <c r="H157" i="11"/>
  <c r="H152" i="11"/>
  <c r="H159" i="11"/>
  <c r="H167" i="11"/>
  <c r="H162" i="11"/>
  <c r="H169" i="11"/>
  <c r="H164" i="11"/>
  <c r="H172" i="11"/>
  <c r="H171" i="11"/>
  <c r="H151" i="11"/>
  <c r="H149" i="11"/>
  <c r="H375" i="11"/>
  <c r="H376" i="11"/>
  <c r="H366" i="11"/>
  <c r="H365" i="11"/>
  <c r="H364" i="11"/>
  <c r="H363" i="11"/>
  <c r="H370" i="11"/>
  <c r="H369" i="11"/>
  <c r="H368" i="11"/>
  <c r="H367" i="11"/>
  <c r="H373" i="11"/>
  <c r="H374" i="11"/>
  <c r="H371" i="11"/>
  <c r="H372" i="11"/>
  <c r="H377" i="11"/>
  <c r="H378" i="11"/>
  <c r="CF15" i="10"/>
  <c r="DN15" i="10"/>
  <c r="BP15" i="10" s="1"/>
  <c r="H485" i="11"/>
  <c r="H488" i="11"/>
  <c r="H486" i="11"/>
  <c r="H487" i="11"/>
  <c r="H484" i="11"/>
  <c r="H476" i="11"/>
  <c r="H473" i="11"/>
  <c r="H477" i="11"/>
  <c r="H474" i="11"/>
  <c r="H471" i="11"/>
  <c r="H475" i="11"/>
  <c r="H472" i="11"/>
  <c r="H258" i="11"/>
  <c r="H261" i="11"/>
  <c r="H264" i="11"/>
  <c r="H267" i="11"/>
  <c r="H247" i="11"/>
  <c r="H250" i="11"/>
  <c r="H253" i="11"/>
  <c r="H256" i="11"/>
  <c r="H259" i="11"/>
  <c r="H262" i="11"/>
  <c r="H265" i="11"/>
  <c r="H254" i="11"/>
  <c r="H248" i="11"/>
  <c r="H251" i="11"/>
  <c r="H263" i="11"/>
  <c r="H257" i="11"/>
  <c r="H260" i="11"/>
  <c r="H266" i="11"/>
  <c r="H246" i="11"/>
  <c r="H249" i="11"/>
  <c r="H252" i="11"/>
  <c r="H255" i="11"/>
  <c r="H78" i="11"/>
  <c r="H86" i="11"/>
  <c r="H68" i="11"/>
  <c r="H83" i="11"/>
  <c r="H91" i="11"/>
  <c r="H66" i="11"/>
  <c r="H84" i="11"/>
  <c r="H92" i="11"/>
  <c r="H71" i="11"/>
  <c r="H69" i="11"/>
  <c r="H77" i="11"/>
  <c r="H85" i="11"/>
  <c r="H72" i="11"/>
  <c r="H74" i="11"/>
  <c r="H82" i="11"/>
  <c r="H90" i="11"/>
  <c r="H65" i="11"/>
  <c r="H79" i="11"/>
  <c r="H87" i="11"/>
  <c r="H64" i="11"/>
  <c r="H70" i="11"/>
  <c r="H80" i="11"/>
  <c r="H88" i="11"/>
  <c r="H89" i="11"/>
  <c r="H75" i="11"/>
  <c r="H73" i="11"/>
  <c r="H81" i="11"/>
  <c r="H67" i="11"/>
  <c r="H76" i="11"/>
  <c r="DN18" i="10"/>
  <c r="BP18" i="10" s="1"/>
  <c r="CF18" i="10"/>
  <c r="V107" i="7"/>
  <c r="W107" i="7"/>
  <c r="I104" i="7" a="1"/>
  <c r="I104" i="7" s="1"/>
  <c r="E104" i="7" s="1"/>
  <c r="X104" i="7" s="1"/>
  <c r="F104" i="7" s="1"/>
  <c r="H11" i="11"/>
  <c r="H19" i="11"/>
  <c r="H27" i="11"/>
  <c r="H4" i="11"/>
  <c r="I106" i="7" a="1"/>
  <c r="I106" i="7" s="1"/>
  <c r="E106" i="7" s="1"/>
  <c r="X106" i="7" s="1"/>
  <c r="F106" i="7" s="1"/>
  <c r="H12" i="11"/>
  <c r="H20" i="11"/>
  <c r="H28" i="11"/>
  <c r="H3" i="11"/>
  <c r="H9" i="11"/>
  <c r="H17" i="11"/>
  <c r="H25" i="11"/>
  <c r="H33" i="11"/>
  <c r="H10" i="11"/>
  <c r="H18" i="11"/>
  <c r="H26" i="11"/>
  <c r="H7" i="11"/>
  <c r="H15" i="11"/>
  <c r="H23" i="11"/>
  <c r="H31" i="11"/>
  <c r="I107" i="7" a="1"/>
  <c r="I107" i="7" s="1"/>
  <c r="E107" i="7" s="1"/>
  <c r="X107" i="7" s="1"/>
  <c r="F107" i="7" s="1"/>
  <c r="H8" i="11"/>
  <c r="H16" i="11"/>
  <c r="H24" i="11"/>
  <c r="H32" i="11"/>
  <c r="I108" i="7" a="1"/>
  <c r="I108" i="7" s="1"/>
  <c r="E108" i="7" s="1"/>
  <c r="X108" i="7" s="1"/>
  <c r="F108" i="7" s="1"/>
  <c r="H5" i="11"/>
  <c r="H13" i="11"/>
  <c r="H21" i="11"/>
  <c r="H29" i="11"/>
  <c r="I105" i="7" a="1"/>
  <c r="I105" i="7" s="1"/>
  <c r="E105" i="7" s="1"/>
  <c r="X105" i="7" s="1"/>
  <c r="F105" i="7" s="1"/>
  <c r="H6" i="11"/>
  <c r="H14" i="11"/>
  <c r="H22" i="11"/>
  <c r="H30" i="11"/>
  <c r="H458" i="11"/>
  <c r="H455" i="11"/>
  <c r="H462" i="11"/>
  <c r="H459" i="11"/>
  <c r="H456" i="11"/>
  <c r="H457" i="11"/>
  <c r="H460" i="11"/>
  <c r="H461" i="11"/>
  <c r="H454" i="11"/>
  <c r="H447" i="11"/>
  <c r="H451" i="11"/>
  <c r="H444" i="11"/>
  <c r="H449" i="11"/>
  <c r="H445" i="11"/>
  <c r="H452" i="11"/>
  <c r="H448" i="11"/>
  <c r="H453" i="11"/>
  <c r="H446" i="11"/>
  <c r="H450" i="11"/>
  <c r="H422" i="11"/>
  <c r="H425" i="11"/>
  <c r="H432" i="11"/>
  <c r="H424" i="11"/>
  <c r="H426" i="11"/>
  <c r="H429" i="11"/>
  <c r="H430" i="11"/>
  <c r="H428" i="11"/>
  <c r="H423" i="11"/>
  <c r="H427" i="11"/>
  <c r="H421" i="11"/>
  <c r="H431" i="11"/>
  <c r="H275" i="11"/>
  <c r="H287" i="11"/>
  <c r="H273" i="11"/>
  <c r="H284" i="11"/>
  <c r="H278" i="11"/>
  <c r="H286" i="11"/>
  <c r="H285" i="11"/>
  <c r="H268" i="11"/>
  <c r="H276" i="11"/>
  <c r="H279" i="11"/>
  <c r="H269" i="11"/>
  <c r="H277" i="11"/>
  <c r="H288" i="11"/>
  <c r="H282" i="11"/>
  <c r="H271" i="11"/>
  <c r="H270" i="11"/>
  <c r="H272" i="11"/>
  <c r="H280" i="11"/>
  <c r="H283" i="11"/>
  <c r="H281" i="11"/>
  <c r="H274" i="11"/>
  <c r="H481" i="11"/>
  <c r="H478" i="11"/>
  <c r="H482" i="11"/>
  <c r="H479" i="11"/>
  <c r="H483" i="11"/>
  <c r="H480" i="11"/>
  <c r="H411" i="11"/>
  <c r="H415" i="11"/>
  <c r="H409" i="11"/>
  <c r="H410" i="11"/>
  <c r="H419" i="11"/>
  <c r="H416" i="11"/>
  <c r="H413" i="11"/>
  <c r="H414" i="11"/>
  <c r="H408" i="11"/>
  <c r="H420" i="11"/>
  <c r="H417" i="11"/>
  <c r="H418" i="11"/>
  <c r="H412" i="11"/>
  <c r="H467" i="11"/>
  <c r="H464" i="11"/>
  <c r="H468" i="11"/>
  <c r="H465" i="11"/>
  <c r="H469" i="11"/>
  <c r="H466" i="11"/>
  <c r="H470" i="11"/>
  <c r="H463" i="11"/>
  <c r="DN16" i="10"/>
  <c r="BP16" i="10" s="1"/>
  <c r="CF16" i="10"/>
  <c r="W108" i="7"/>
  <c r="V108" i="7"/>
  <c r="H145" i="11"/>
  <c r="H131" i="11"/>
  <c r="H130" i="11"/>
  <c r="H122" i="11"/>
  <c r="H136" i="11"/>
  <c r="H143" i="11"/>
  <c r="H121" i="11"/>
  <c r="H141" i="11"/>
  <c r="H138" i="11"/>
  <c r="H129" i="11"/>
  <c r="H125" i="11"/>
  <c r="H135" i="11"/>
  <c r="H147" i="11"/>
  <c r="H134" i="11"/>
  <c r="H123" i="11"/>
  <c r="H140" i="11"/>
  <c r="H146" i="11"/>
  <c r="H133" i="11"/>
  <c r="H128" i="11"/>
  <c r="H126" i="11"/>
  <c r="H124" i="11"/>
  <c r="H137" i="11"/>
  <c r="H127" i="11"/>
  <c r="H139" i="11"/>
  <c r="H142" i="11"/>
  <c r="H132" i="11"/>
  <c r="H144" i="11"/>
  <c r="H493" i="11"/>
  <c r="H494" i="11"/>
  <c r="H495" i="11"/>
  <c r="H44" i="11"/>
  <c r="H52" i="11"/>
  <c r="H60" i="11"/>
  <c r="H36" i="11"/>
  <c r="H49" i="11"/>
  <c r="H57" i="11"/>
  <c r="H37" i="11"/>
  <c r="H50" i="11"/>
  <c r="H58" i="11"/>
  <c r="H34" i="11"/>
  <c r="H45" i="11"/>
  <c r="CJ18" i="10" s="1"/>
  <c r="DT18" i="10" s="1"/>
  <c r="DP18" i="10" s="1"/>
  <c r="BQ18" i="10" s="1"/>
  <c r="DQ18" i="10" s="1"/>
  <c r="H47" i="11"/>
  <c r="H55" i="11"/>
  <c r="H35" i="11"/>
  <c r="H42" i="11"/>
  <c r="H48" i="11"/>
  <c r="CJ16" i="10" s="1"/>
  <c r="DT16" i="10" s="1"/>
  <c r="DP16" i="10" s="1"/>
  <c r="BQ16" i="10" s="1"/>
  <c r="DQ16" i="10" s="1"/>
  <c r="H56" i="11"/>
  <c r="H63" i="11"/>
  <c r="H43" i="11"/>
  <c r="CJ17" i="10" s="1"/>
  <c r="DT17" i="10" s="1"/>
  <c r="DP17" i="10" s="1"/>
  <c r="BQ17" i="10" s="1"/>
  <c r="DQ17" i="10" s="1"/>
  <c r="H53" i="11"/>
  <c r="H61" i="11"/>
  <c r="H41" i="11"/>
  <c r="H40" i="11"/>
  <c r="H54" i="11"/>
  <c r="H62" i="11"/>
  <c r="CJ19" i="10" s="1"/>
  <c r="DT19" i="10" s="1"/>
  <c r="DP19" i="10" s="1"/>
  <c r="BQ19" i="10" s="1"/>
  <c r="DQ19" i="10" s="1"/>
  <c r="H38" i="11"/>
  <c r="H46" i="11"/>
  <c r="H51" i="11"/>
  <c r="H59" i="11"/>
  <c r="H39" i="11"/>
  <c r="H338" i="11"/>
  <c r="H337" i="11"/>
  <c r="H336" i="11"/>
  <c r="H335" i="11"/>
  <c r="H329" i="11"/>
  <c r="H341" i="11"/>
  <c r="H342" i="11"/>
  <c r="H339" i="11"/>
  <c r="H330" i="11"/>
  <c r="H340" i="11"/>
  <c r="H345" i="11"/>
  <c r="H328" i="11"/>
  <c r="H333" i="11"/>
  <c r="H343" i="11"/>
  <c r="H334" i="11"/>
  <c r="H331" i="11"/>
  <c r="H332" i="11"/>
  <c r="H344" i="11"/>
  <c r="H497" i="11"/>
  <c r="H496" i="11"/>
  <c r="H210" i="11"/>
  <c r="H213" i="11"/>
  <c r="H212" i="11"/>
  <c r="H215" i="11"/>
  <c r="H222" i="11"/>
  <c r="H202" i="11"/>
  <c r="H205" i="11"/>
  <c r="H204" i="11"/>
  <c r="H207" i="11"/>
  <c r="H214" i="11"/>
  <c r="H217" i="11"/>
  <c r="H216" i="11"/>
  <c r="H219" i="11"/>
  <c r="H199" i="11"/>
  <c r="H206" i="11"/>
  <c r="H209" i="11"/>
  <c r="H208" i="11"/>
  <c r="H211" i="11"/>
  <c r="H218" i="11"/>
  <c r="H221" i="11"/>
  <c r="H220" i="11"/>
  <c r="H201" i="11"/>
  <c r="H200" i="11"/>
  <c r="H203" i="11"/>
  <c r="CF19" i="10"/>
  <c r="DN19" i="10"/>
  <c r="BP19" i="10" s="1"/>
  <c r="CF17" i="10"/>
  <c r="DN17" i="10"/>
  <c r="BP17" i="10" s="1"/>
  <c r="CB25" i="10"/>
  <c r="CB24" i="10"/>
  <c r="CB23" i="10"/>
  <c r="CB26" i="10"/>
  <c r="CB20" i="10"/>
  <c r="CB27" i="10"/>
  <c r="CB22" i="10"/>
  <c r="CB21" i="10"/>
  <c r="H490" i="11"/>
  <c r="H491" i="11"/>
  <c r="H492" i="11"/>
  <c r="H489" i="11"/>
  <c r="H309" i="11"/>
  <c r="H324" i="11"/>
  <c r="H327" i="11"/>
  <c r="H322" i="11"/>
  <c r="H321" i="11"/>
  <c r="H318" i="11"/>
  <c r="H316" i="11"/>
  <c r="H315" i="11"/>
  <c r="H312" i="11"/>
  <c r="H313" i="11"/>
  <c r="H325" i="11"/>
  <c r="H326" i="11"/>
  <c r="H319" i="11"/>
  <c r="H320" i="11"/>
  <c r="H310" i="11"/>
  <c r="H317" i="11"/>
  <c r="H323" i="11"/>
  <c r="H311" i="11"/>
  <c r="H314" i="11"/>
  <c r="H193" i="11"/>
  <c r="H174" i="11"/>
  <c r="H182" i="11"/>
  <c r="H194" i="11"/>
  <c r="H179" i="11"/>
  <c r="H187" i="11"/>
  <c r="H176" i="11"/>
  <c r="H188" i="11"/>
  <c r="H196" i="11"/>
  <c r="H197" i="11"/>
  <c r="H177" i="11"/>
  <c r="H185" i="11"/>
  <c r="H198" i="11"/>
  <c r="H178" i="11"/>
  <c r="H186" i="11"/>
  <c r="H189" i="11"/>
  <c r="H180" i="11"/>
  <c r="H183" i="11"/>
  <c r="CJ15" i="10" s="1"/>
  <c r="H191" i="11"/>
  <c r="H190" i="11"/>
  <c r="H175" i="11"/>
  <c r="H192" i="11"/>
  <c r="H195" i="11"/>
  <c r="H184" i="11"/>
  <c r="H181" i="11"/>
  <c r="H103" i="11"/>
  <c r="H111" i="11"/>
  <c r="H119" i="11"/>
  <c r="H108" i="11"/>
  <c r="H116" i="11"/>
  <c r="H113" i="11"/>
  <c r="H97" i="11"/>
  <c r="H105" i="11"/>
  <c r="H118" i="11"/>
  <c r="H94" i="11"/>
  <c r="H102" i="11"/>
  <c r="H110" i="11"/>
  <c r="H96" i="11"/>
  <c r="H99" i="11"/>
  <c r="H107" i="11"/>
  <c r="H115" i="11"/>
  <c r="H117" i="11"/>
  <c r="H104" i="11"/>
  <c r="H112" i="11"/>
  <c r="H120" i="11"/>
  <c r="H95" i="11"/>
  <c r="H93" i="11"/>
  <c r="H101" i="11"/>
  <c r="H109" i="11"/>
  <c r="H100" i="11"/>
  <c r="H98" i="11"/>
  <c r="H106" i="11"/>
  <c r="H114" i="11"/>
  <c r="W105" i="7"/>
  <c r="V105" i="7"/>
  <c r="H243" i="11"/>
  <c r="H223" i="11"/>
  <c r="H226" i="11"/>
  <c r="H229" i="11"/>
  <c r="H232" i="11"/>
  <c r="H235" i="11"/>
  <c r="H238" i="11"/>
  <c r="H241" i="11"/>
  <c r="H244" i="11"/>
  <c r="H224" i="11"/>
  <c r="H227" i="11"/>
  <c r="H230" i="11"/>
  <c r="H233" i="11"/>
  <c r="H236" i="11"/>
  <c r="H239" i="11"/>
  <c r="H242" i="11"/>
  <c r="H245" i="11"/>
  <c r="H225" i="11"/>
  <c r="H228" i="11"/>
  <c r="H231" i="11"/>
  <c r="H234" i="11"/>
  <c r="H237" i="11"/>
  <c r="H240" i="11"/>
  <c r="H350" i="11"/>
  <c r="H360" i="11"/>
  <c r="H358" i="11"/>
  <c r="H348" i="11"/>
  <c r="H353" i="11"/>
  <c r="H357" i="11"/>
  <c r="H354" i="11"/>
  <c r="H347" i="11"/>
  <c r="H351" i="11"/>
  <c r="H352" i="11"/>
  <c r="H361" i="11"/>
  <c r="H355" i="11"/>
  <c r="H356" i="11"/>
  <c r="H346" i="11"/>
  <c r="H349" i="11"/>
  <c r="H359" i="11"/>
  <c r="H362" i="11"/>
  <c r="H291" i="11"/>
  <c r="H303" i="11"/>
  <c r="H289" i="11"/>
  <c r="H304" i="11"/>
  <c r="H294" i="11"/>
  <c r="H302" i="11"/>
  <c r="H301" i="11"/>
  <c r="H307" i="11"/>
  <c r="H296" i="11"/>
  <c r="H295" i="11"/>
  <c r="H298" i="11"/>
  <c r="H293" i="11"/>
  <c r="H308" i="11"/>
  <c r="H292" i="11"/>
  <c r="H306" i="11"/>
  <c r="H305" i="11"/>
  <c r="H300" i="11"/>
  <c r="H299" i="11"/>
  <c r="H297" i="11"/>
  <c r="H290" i="11"/>
  <c r="H403" i="11"/>
  <c r="H404" i="11"/>
  <c r="H405" i="11"/>
  <c r="H406" i="11"/>
  <c r="H407" i="11"/>
  <c r="H395" i="11"/>
  <c r="H394" i="11"/>
  <c r="H397" i="11"/>
  <c r="H396" i="11"/>
  <c r="H399" i="11"/>
  <c r="H398" i="11"/>
  <c r="H400" i="11"/>
  <c r="H401" i="11"/>
  <c r="H402" i="11"/>
  <c r="DT15" i="10" l="1"/>
  <c r="DP15" i="10" s="1"/>
  <c r="BQ15" i="10" s="1"/>
  <c r="DQ15" i="10" s="1"/>
  <c r="DN22" i="10"/>
  <c r="BP22" i="10" s="1"/>
  <c r="CF22" i="10"/>
  <c r="CF21" i="10"/>
  <c r="DN21" i="10"/>
  <c r="BP21" i="10" s="1"/>
  <c r="CF27" i="10"/>
  <c r="DN27" i="10"/>
  <c r="BP27" i="10" s="1"/>
  <c r="BR19" i="10"/>
  <c r="DO19" i="10"/>
  <c r="D105" i="7"/>
  <c r="Y105" i="7"/>
  <c r="DN20" i="10"/>
  <c r="BP20" i="10" s="1"/>
  <c r="CF20" i="10"/>
  <c r="Y107" i="7"/>
  <c r="D107" i="7"/>
  <c r="BR17" i="10"/>
  <c r="DO17" i="10"/>
  <c r="CF26" i="10"/>
  <c r="DN26" i="10"/>
  <c r="BP26" i="10" s="1"/>
  <c r="CJ23" i="10"/>
  <c r="DT23" i="10" s="1"/>
  <c r="DP23" i="10" s="1"/>
  <c r="BQ23" i="10" s="1"/>
  <c r="DQ23" i="10" s="1"/>
  <c r="CJ24" i="10"/>
  <c r="DT24" i="10" s="1"/>
  <c r="DP24" i="10" s="1"/>
  <c r="BQ24" i="10" s="1"/>
  <c r="DQ24" i="10" s="1"/>
  <c r="CJ22" i="10"/>
  <c r="DT22" i="10" s="1"/>
  <c r="DP22" i="10" s="1"/>
  <c r="BQ22" i="10" s="1"/>
  <c r="DQ22" i="10" s="1"/>
  <c r="CJ21" i="10"/>
  <c r="DT21" i="10" s="1"/>
  <c r="DP21" i="10" s="1"/>
  <c r="BQ21" i="10" s="1"/>
  <c r="DQ21" i="10" s="1"/>
  <c r="CJ20" i="10"/>
  <c r="DT20" i="10" s="1"/>
  <c r="DP20" i="10" s="1"/>
  <c r="BQ20" i="10" s="1"/>
  <c r="DQ20" i="10" s="1"/>
  <c r="CJ27" i="10"/>
  <c r="DT27" i="10" s="1"/>
  <c r="DP27" i="10" s="1"/>
  <c r="BQ27" i="10" s="1"/>
  <c r="DQ27" i="10" s="1"/>
  <c r="CJ26" i="10"/>
  <c r="DT26" i="10" s="1"/>
  <c r="DP26" i="10" s="1"/>
  <c r="BQ26" i="10" s="1"/>
  <c r="DQ26" i="10" s="1"/>
  <c r="CJ25" i="10"/>
  <c r="DT25" i="10" s="1"/>
  <c r="DP25" i="10" s="1"/>
  <c r="BQ25" i="10" s="1"/>
  <c r="DQ25" i="10" s="1"/>
  <c r="CF23" i="10"/>
  <c r="DN23" i="10"/>
  <c r="BP23" i="10" s="1"/>
  <c r="D108" i="7"/>
  <c r="Y108" i="7"/>
  <c r="D106" i="7"/>
  <c r="Y106" i="7"/>
  <c r="CF24" i="10"/>
  <c r="DN24" i="10"/>
  <c r="BP24" i="10" s="1"/>
  <c r="BR18" i="10"/>
  <c r="DO18" i="10"/>
  <c r="DO15" i="10"/>
  <c r="BR15" i="10"/>
  <c r="CF25" i="10"/>
  <c r="DN25" i="10"/>
  <c r="BP25" i="10" s="1"/>
  <c r="BR16" i="10"/>
  <c r="DO16" i="10"/>
  <c r="Y104" i="7"/>
  <c r="D104" i="7"/>
  <c r="DO25" i="10" l="1"/>
  <c r="BR25" i="10"/>
  <c r="EI17" i="10"/>
  <c r="EJ17" i="10"/>
  <c r="EH17" i="10"/>
  <c r="EK17" i="10"/>
  <c r="DR17" i="10"/>
  <c r="EI19" i="10"/>
  <c r="EH19" i="10"/>
  <c r="EK19" i="10"/>
  <c r="EJ19" i="10"/>
  <c r="DR19" i="10"/>
  <c r="BR27" i="10"/>
  <c r="DO27" i="10"/>
  <c r="E128" i="7"/>
  <c r="G108" i="7"/>
  <c r="F128" i="7"/>
  <c r="D128" i="7"/>
  <c r="G128" i="7"/>
  <c r="D127" i="7"/>
  <c r="G127" i="7"/>
  <c r="E127" i="7"/>
  <c r="G107" i="7"/>
  <c r="F127" i="7"/>
  <c r="DO21" i="10"/>
  <c r="BR21" i="10"/>
  <c r="DR15" i="10"/>
  <c r="EJ15" i="10"/>
  <c r="EH15" i="10"/>
  <c r="EK15" i="10"/>
  <c r="EI15" i="10"/>
  <c r="EJ18" i="10"/>
  <c r="EK18" i="10"/>
  <c r="EH18" i="10"/>
  <c r="DR18" i="10"/>
  <c r="EI18" i="10"/>
  <c r="BR20" i="10"/>
  <c r="DO20" i="10"/>
  <c r="BR23" i="10"/>
  <c r="DO23" i="10"/>
  <c r="BR24" i="10"/>
  <c r="DO24" i="10"/>
  <c r="BR26" i="10"/>
  <c r="DO26" i="10"/>
  <c r="D125" i="7"/>
  <c r="G105" i="7"/>
  <c r="G125" i="7"/>
  <c r="E125" i="7"/>
  <c r="F125" i="7"/>
  <c r="G106" i="7"/>
  <c r="F126" i="7"/>
  <c r="E126" i="7"/>
  <c r="D126" i="7"/>
  <c r="G126" i="7"/>
  <c r="E124" i="7"/>
  <c r="G124" i="7"/>
  <c r="F124" i="7"/>
  <c r="D124" i="7"/>
  <c r="G104" i="7"/>
  <c r="EK16" i="10"/>
  <c r="EH16" i="10"/>
  <c r="EJ16" i="10"/>
  <c r="DR16" i="10"/>
  <c r="EI16" i="10"/>
  <c r="DO22" i="10"/>
  <c r="BR22" i="10"/>
  <c r="EK20" i="10" l="1"/>
  <c r="EJ20" i="10"/>
  <c r="EH20" i="10"/>
  <c r="EI20" i="10"/>
  <c r="DR20" i="10"/>
  <c r="EH27" i="10"/>
  <c r="EI27" i="10"/>
  <c r="EJ27" i="10"/>
  <c r="EK27" i="10"/>
  <c r="DR27" i="10"/>
  <c r="EK23" i="10"/>
  <c r="EJ23" i="10"/>
  <c r="EI23" i="10"/>
  <c r="DR23" i="10"/>
  <c r="EH23" i="10"/>
  <c r="EK26" i="10"/>
  <c r="EI26" i="10"/>
  <c r="EH26" i="10"/>
  <c r="DR26" i="10"/>
  <c r="EJ26" i="10"/>
  <c r="EJ22" i="10"/>
  <c r="DR22" i="10"/>
  <c r="EK22" i="10"/>
  <c r="EH22" i="10"/>
  <c r="EI22" i="10"/>
  <c r="EI21" i="10"/>
  <c r="EH21" i="10"/>
  <c r="EJ21" i="10"/>
  <c r="DR21" i="10"/>
  <c r="EK21" i="10"/>
  <c r="EI25" i="10"/>
  <c r="EK25" i="10"/>
  <c r="DR25" i="10"/>
  <c r="EJ25" i="10"/>
  <c r="EH25" i="10"/>
  <c r="DR24" i="10"/>
  <c r="EH24" i="10"/>
  <c r="EK24" i="10"/>
  <c r="EI24" i="10"/>
  <c r="EJ24"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tc={04B385B0-C3AD-4689-B529-BB53CB756478}</author>
    <author>tc={6C80A211-3B45-4E0B-9EEA-418728759AD6}</author>
  </authors>
  <commentList>
    <comment ref="K6" authorId="0" shapeId="0" xr:uid="{04B385B0-C3AD-4689-B529-BB53CB756478}">
      <text>
        <t xml:space="preserve">[Threaded comment]
Your version of Excel allows you to read this threaded comment; however, any edits to it will get removed if the file is opened in a newer version of Excel. Learn more: https://go.microsoft.com/fwlink/?linkid=870924
Comment:
    There's a better way to do this, I'll think of it eventually </t>
      </text>
    </comment>
    <comment ref="DK14" authorId="1" shapeId="0" xr:uid="{6C80A211-3B45-4E0B-9EEA-418728759AD6}">
      <text>
        <t xml:space="preserve">[Threaded comment]
Your version of Excel allows you to read this threaded comment; however, any edits to it will get removed if the file is opened in a newer version of Excel. Learn more: https://go.microsoft.com/fwlink/?linkid=870924
Comment:
    Needs to be fixed with input from Mike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Gabe Mantegna</author>
    <author>Microsoft Office User</author>
  </authors>
  <commentList>
    <comment ref="A1" authorId="0" shapeId="0" xr:uid="{97F377FD-610B-4A7B-861C-43BC28036D32}">
      <text>
        <r>
          <rPr>
            <b/>
            <sz val="9"/>
            <color rgb="FF000000"/>
            <rFont val="Tahoma"/>
            <family val="2"/>
          </rPr>
          <t>Gabe Mantegna:</t>
        </r>
        <r>
          <rPr>
            <sz val="9"/>
            <color rgb="FF000000"/>
            <rFont val="Tahoma"/>
            <family val="2"/>
          </rPr>
          <t xml:space="preserve">
</t>
        </r>
        <r>
          <rPr>
            <sz val="9"/>
            <color rgb="FF000000"/>
            <rFont val="Tahoma"/>
            <family val="2"/>
          </rPr>
          <t>This tab copied from ACC.</t>
        </r>
      </text>
    </comment>
    <comment ref="H1" authorId="1" shapeId="0" xr:uid="{CB6EF2F2-E5FE-4EA4-BC29-414A6CCF7E54}">
      <text>
        <r>
          <rPr>
            <b/>
            <sz val="10"/>
            <color rgb="FF000000"/>
            <rFont val="Tahoma"/>
            <family val="2"/>
          </rPr>
          <t>Microsoft Office User:</t>
        </r>
        <r>
          <rPr>
            <sz val="10"/>
            <color rgb="FF000000"/>
            <rFont val="Tahoma"/>
            <family val="2"/>
          </rPr>
          <t xml:space="preserve">
</t>
        </r>
        <r>
          <rPr>
            <sz val="10"/>
            <color rgb="FF000000"/>
            <rFont val="Tahoma"/>
            <family val="2"/>
          </rPr>
          <t>Primary values for use from this tab. Equal to (q_ann,i * t_i + q_EOL,i * (1 - q_ann,i * t_EOL,i)) in documentation</t>
        </r>
      </text>
    </comment>
    <comment ref="I1" authorId="1" shapeId="0" xr:uid="{759808A2-2260-491D-9180-340F83B54A9E}">
      <text>
        <r>
          <rPr>
            <b/>
            <sz val="10"/>
            <color rgb="FF000000"/>
            <rFont val="Tahoma"/>
            <family val="2"/>
          </rPr>
          <t>Microsoft Office User:</t>
        </r>
        <r>
          <rPr>
            <sz val="10"/>
            <color rgb="FF000000"/>
            <rFont val="Tahoma"/>
            <family val="2"/>
          </rPr>
          <t xml:space="preserve">
</t>
        </r>
        <r>
          <rPr>
            <sz val="10"/>
            <color rgb="FF000000"/>
            <rFont val="Tahoma"/>
            <family val="2"/>
          </rPr>
          <t>Illustrative only. Must use actual refrigerant charge for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Gabe Mantegna</author>
  </authors>
  <commentList>
    <comment ref="A1" authorId="0" shapeId="0" xr:uid="{CEAE6C45-792E-46F9-9C1F-C1F6EFF8304F}">
      <text>
        <r>
          <rPr>
            <b/>
            <sz val="9"/>
            <color rgb="FF000000"/>
            <rFont val="Tahoma"/>
            <family val="2"/>
          </rPr>
          <t>Gabe Mantegna:</t>
        </r>
        <r>
          <rPr>
            <sz val="9"/>
            <color rgb="FF000000"/>
            <rFont val="Tahoma"/>
            <family val="2"/>
          </rPr>
          <t xml:space="preserve">
</t>
        </r>
        <r>
          <rPr>
            <sz val="9"/>
            <color rgb="FF000000"/>
            <rFont val="Tahoma"/>
            <family val="2"/>
          </rPr>
          <t>This tab copied from ACC.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<sst xmlns="http://schemas.openxmlformats.org/spreadsheetml/2006/main" count="980" uniqueCount="711">
  <si>
    <t xml:space="preserve">Fuel Substitution Calculator
</t>
  </si>
  <si>
    <t>Change log (recent changes first)</t>
  </si>
  <si>
    <t>Date</t>
  </si>
  <si>
    <t>Description of changes</t>
  </si>
  <si>
    <t>1. Reference values updated to match the 2022 ACC values.
2. Updated calculations to include emissions due to methane and refrigerant leakage. 
3. Increased customization by allowing users to enter custom refrigerant and device information.</t>
  </si>
  <si>
    <t>1. Section 2 subheaders changed to Section 2.1, 2.2, and 2.3, in line with technical guidance document.
2. Unlock cells for optional indexing columns in Deemed workbook.
3. Update Introduction.
4. Password protect all sheets.</t>
  </si>
  <si>
    <t xml:space="preserve">1. Added new sheet "Fuel Sub Calcs-Deemed" to conveniently enter workpaper measures. </t>
  </si>
  <si>
    <t>1. Added Reduced Goals of the Original Fuel in Section 3. 
2.For information only, in Section 2, the CO2 emissions were split between electricty and natural gas. This will not impact the Lifecycle emissions savings (Metric tCO2).</t>
  </si>
  <si>
    <t>1. Clarify instructive language in Introduction, Fuel Sub Calcs, and Time series tables tabs.
2. Remove fields to input savings for first and second baseline.</t>
  </si>
  <si>
    <t>1. Add this revision log sheet
2. Describe methodology supported by calculator
3. Update examples, etc.</t>
  </si>
  <si>
    <t>1. In section 2, updated formula for emissions intensity to refer to metric tons per kWh instead of short tons per kWh.
2. In section 3, clarified “savings claims toward goals” with columns for both kWh and therms.
3. In section 3, also added a box of copy/paste inputs to CET.
4. Some other related formatting and hidden formula updates.</t>
  </si>
  <si>
    <t>Initial draft version</t>
  </si>
  <si>
    <t>Cell color code</t>
  </si>
  <si>
    <t>Please do not Cut-and-Paste cells or ranges. To review formulas, use password FuelSub2019.</t>
  </si>
  <si>
    <t>These columns are reserved for hidden calculations.</t>
  </si>
  <si>
    <t>Headings</t>
  </si>
  <si>
    <t>Input cell</t>
  </si>
  <si>
    <t>Requires attention</t>
  </si>
  <si>
    <t>Ignored based on current inputs</t>
  </si>
  <si>
    <t>Calculated cell</t>
  </si>
  <si>
    <t>Section 1. EE Workpaper/Custom Measure Inputs</t>
  </si>
  <si>
    <t>Fill out this block for all measures (including Normal Replacement and Accelerated Replacement)</t>
  </si>
  <si>
    <t>Index</t>
  </si>
  <si>
    <t>Measure Description</t>
  </si>
  <si>
    <t>Quantity (# units)</t>
  </si>
  <si>
    <t>Residential</t>
  </si>
  <si>
    <t>EUL (years)</t>
  </si>
  <si>
    <t>Install Year</t>
  </si>
  <si>
    <t>Original fuel</t>
  </si>
  <si>
    <t>New fuel</t>
  </si>
  <si>
    <t>Skip AR?</t>
  </si>
  <si>
    <t>1st Baseline period years</t>
  </si>
  <si>
    <t>RUL yrs</t>
  </si>
  <si>
    <t>Measure defined?</t>
  </si>
  <si>
    <t>Commercial packaged Heat Pump 12 EER--EXAMPLE</t>
  </si>
  <si>
    <t>No</t>
  </si>
  <si>
    <t>natural gas + electricity</t>
  </si>
  <si>
    <t>electricity</t>
  </si>
  <si>
    <t>Residential split Heat Pump 15 SEER; 8.7 HSPF--EXAMPLE</t>
  </si>
  <si>
    <t>Annual usage of "first" baseline (existing) technology</t>
  </si>
  <si>
    <t>"First" Baseline (existing) Refrigerant and Device Description</t>
  </si>
  <si>
    <t>Annual electric usage
(kWh)</t>
  </si>
  <si>
    <t>Annual fuel usage
(Therms)</t>
  </si>
  <si>
    <t>Original Device</t>
  </si>
  <si>
    <t xml:space="preserve">Original Refrigerant </t>
  </si>
  <si>
    <t>Baseline Refrigerant GWP</t>
  </si>
  <si>
    <t>Average refrigerant charge size (amount of refrigerant) in lbs. per unit</t>
  </si>
  <si>
    <t>Average refrigerant annual leak rate (q_ann)</t>
  </si>
  <si>
    <t>Average end-of-life loss rate of remaining refrigerant (q_EOL)</t>
  </si>
  <si>
    <t>Number of years prior to EOL with no "top-off" refrigerant added (t_EOL)</t>
  </si>
  <si>
    <t>"First" Baseline Life</t>
  </si>
  <si>
    <t>Have 1BL Usage kWh?</t>
  </si>
  <si>
    <t>Have 1BL
Usage Therms?</t>
  </si>
  <si>
    <t>Null usage and
null savings?</t>
  </si>
  <si>
    <t>kWh Savings (1 BL)</t>
  </si>
  <si>
    <t>Therm Savings (1 BL)</t>
  </si>
  <si>
    <t>Commercial Unitary AC 50-200 lbs., &gt; 135,000 BTUh size</t>
  </si>
  <si>
    <t>R-516A</t>
  </si>
  <si>
    <t>HFC-245fa</t>
  </si>
  <si>
    <t>Fill out this block for user specified GWP for the "first" baseline</t>
  </si>
  <si>
    <t>Fill out this block for user specified devices for the "first" baseline</t>
  </si>
  <si>
    <t>User Defined Refrigerant Characteristics of "first" baseline (existing) technology</t>
  </si>
  <si>
    <t>"First Baseline" Refrigerant GWP</t>
  </si>
  <si>
    <t>Annual usage of measure technology</t>
  </si>
  <si>
    <t>Measure  Refrigerant and Device Description</t>
  </si>
  <si>
    <t xml:space="preserve">Measure Device </t>
  </si>
  <si>
    <t>New Refrigerant</t>
  </si>
  <si>
    <t>Measure Refrigerant GWP</t>
  </si>
  <si>
    <t>Measure Life</t>
  </si>
  <si>
    <t>Residential Heat Pumps</t>
  </si>
  <si>
    <t>Fill out this block for user specified GWP for the measure</t>
  </si>
  <si>
    <t>Fill out this block for user specified devices for the measure</t>
  </si>
  <si>
    <t>User Defined Refrigerant Characteristics of measure technology</t>
  </si>
  <si>
    <t>Measure GWP</t>
  </si>
  <si>
    <t>Fill out this block for measures with Install Type = [AR], requiring Dual Baseline.</t>
  </si>
  <si>
    <t>Annual usage of "second" baseline technology</t>
  </si>
  <si>
    <t>"Second" Baseline  Refrigerant and Device Description</t>
  </si>
  <si>
    <t>Measure Application Type</t>
  </si>
  <si>
    <t>RUL of existing
equipment (years)</t>
  </si>
  <si>
    <t>Annual electric usage of
the code baseline (kWh)</t>
  </si>
  <si>
    <t>Annual gas usage of the code baseline (Therms)</t>
  </si>
  <si>
    <t>Second  Refrigerant</t>
  </si>
  <si>
    <t>Second Baseline Device</t>
  </si>
  <si>
    <t>Second Refrigerant GWP</t>
  </si>
  <si>
    <t>"Second" Baseline Life</t>
  </si>
  <si>
    <t>AR</t>
  </si>
  <si>
    <t>MVAC Off-Road</t>
  </si>
  <si>
    <t>NR</t>
  </si>
  <si>
    <t>SP34E</t>
  </si>
  <si>
    <t>Halon 1211</t>
  </si>
  <si>
    <t>CFC-114</t>
  </si>
  <si>
    <t>Transport Refrigerated Units (TRUs)</t>
  </si>
  <si>
    <t>Fill out this block for user specified GWP for the "second" baseline</t>
  </si>
  <si>
    <t>Fill out this block for user specified devices for the "second" baseline</t>
  </si>
  <si>
    <t>User Defined Refrigerant Characteristics of "second" baseline technology</t>
  </si>
  <si>
    <t>"Second" Baseline Refrigerant GWP</t>
  </si>
  <si>
    <t>"Second" Baselined Life</t>
  </si>
  <si>
    <t>Section 2. Fuel Substitution Test, Part One and Part Two</t>
  </si>
  <si>
    <t>Refrigerant GWP</t>
  </si>
  <si>
    <t>Annual Refrig. Leakage %</t>
  </si>
  <si>
    <t>EOL Refrig. Leakage %</t>
  </si>
  <si>
    <t>t_EOL</t>
  </si>
  <si>
    <t>Annual Leakage (tCO2)</t>
  </si>
  <si>
    <t>EOL Leakage (tCO2)</t>
  </si>
  <si>
    <t>Life Leakage (tCO2)</t>
  </si>
  <si>
    <t>Second Baseline Full Life Leakage (tCO2)</t>
  </si>
  <si>
    <t>Section 2.2.1: Supplemental Information</t>
  </si>
  <si>
    <t>Section 2.1: Source Energy Savings Calculations</t>
  </si>
  <si>
    <t>Section 2.2: CO2 Emission Savings</t>
  </si>
  <si>
    <t>Section 2.3: Results</t>
  </si>
  <si>
    <t>Electric</t>
  </si>
  <si>
    <t>Gas</t>
  </si>
  <si>
    <t>Refrigerant</t>
  </si>
  <si>
    <t>Lifecycle Primary Energy Savings
(MMBTU at generation source)</t>
  </si>
  <si>
    <t>Test Pass/Fail</t>
  </si>
  <si>
    <t>Lifecycle emissions savings
Metric tCO2</t>
  </si>
  <si>
    <t>Conclusion of Fuel Substitution Test</t>
  </si>
  <si>
    <t>Lifecycle emissions savings (Metric tCO2)</t>
  </si>
  <si>
    <t>kWh Lifecycle
Savings</t>
  </si>
  <si>
    <t>Therm Savings</t>
  </si>
  <si>
    <t>Original Fuel Units</t>
  </si>
  <si>
    <t>Full Measure Savings (original fuel)</t>
  </si>
  <si>
    <t>Test1 Pass?</t>
  </si>
  <si>
    <t>Test2 Pass?</t>
  </si>
  <si>
    <t>Eligible?</t>
  </si>
  <si>
    <t>Section 3. EE Program Reporting for Savings Claims towards Program Goals</t>
  </si>
  <si>
    <t>The following refer to (first year) annual energy savings.</t>
  </si>
  <si>
    <t>Full Energy Savings
(MMBTU equivalent)</t>
  </si>
  <si>
    <t>New Fuel Units</t>
  </si>
  <si>
    <t>Full Energy Savings
Claimed - kWh</t>
  </si>
  <si>
    <t>Full Energy Savings
Claimed - Therms</t>
  </si>
  <si>
    <t>Reduced Goals for Original Fuel - kWh</t>
  </si>
  <si>
    <t>Reduced Goals for Original Fuel  - Therm</t>
  </si>
  <si>
    <t>kWh savings</t>
  </si>
  <si>
    <t>Therm savings</t>
  </si>
  <si>
    <t>Values to input into Cost-Effectiveness Tool</t>
  </si>
  <si>
    <t xml:space="preserve">Index
</t>
  </si>
  <si>
    <t>NumUnits</t>
  </si>
  <si>
    <t>UnitkWh1stBaseline</t>
  </si>
  <si>
    <t>UnitTherm1stBaseline</t>
  </si>
  <si>
    <t>UnitkWh2ndBaseline</t>
  </si>
  <si>
    <t>UnitTherm2ndBaseline</t>
  </si>
  <si>
    <t>EUL_Yrs</t>
  </si>
  <si>
    <t>RUL_Yrs</t>
  </si>
  <si>
    <t>Calcs -&gt;</t>
  </si>
  <si>
    <t>Hidden: background calcs &lt;-</t>
  </si>
  <si>
    <t>Hidden: Program goals &lt;-</t>
  </si>
  <si>
    <t>Hidden: Inputs to CET &lt;-</t>
  </si>
  <si>
    <t>Active GWP Time Horizon</t>
  </si>
  <si>
    <t>Optional indexing info (paste from EAD tables)</t>
  </si>
  <si>
    <t>Section 1. EE Workpaper Measure Inputs</t>
  </si>
  <si>
    <t>Section 2. Fuel Substitution Test Part 1 and Part 2</t>
  </si>
  <si>
    <t>Section 2.2.1 Supplemental Info</t>
  </si>
  <si>
    <t>Project annual savings (Unit Energy Savings * Number of units)</t>
  </si>
  <si>
    <t>Cumulative project savings over Nth baseline period</t>
  </si>
  <si>
    <t>Primary (read "source fuel") energy intensity over Nth baseline period</t>
  </si>
  <si>
    <t>Rearranging terms… Use these coefficients with your annual savings table for a quick check.</t>
  </si>
  <si>
    <t>Emissions intensity</t>
  </si>
  <si>
    <t>Fill out this block for measures with
Install Type = [AR], requiring Dual Baseline.</t>
  </si>
  <si>
    <t>Paste here values copied from ExAnteData workbook, table EnergyImpactExAnte</t>
  </si>
  <si>
    <t>Annual usage of "first" baseline technology</t>
  </si>
  <si>
    <t>Existing Device Refrigerant Leakage Calculations</t>
  </si>
  <si>
    <t>New Device Refrigerant Leakage Calculations</t>
  </si>
  <si>
    <t>Second Baseline Refrigerant Leakage Calculations [For AR]</t>
  </si>
  <si>
    <t>Part 1: Lifecycle Savings of Primary Energy</t>
  </si>
  <si>
    <t>Part 2: Lifecycle savings of CO2e emissions</t>
  </si>
  <si>
    <t>PA</t>
  </si>
  <si>
    <t>EnergyImpactID</t>
  </si>
  <si>
    <t>BldgType</t>
  </si>
  <si>
    <t>BldgVint</t>
  </si>
  <si>
    <t>BldgLoc</t>
  </si>
  <si>
    <t>BldgHVAC</t>
  </si>
  <si>
    <t>Original Refrigerant (GWP)</t>
  </si>
  <si>
    <t>New Device</t>
  </si>
  <si>
    <t xml:space="preserve">New Refrigerant </t>
  </si>
  <si>
    <t>New Refrigerant (GWP)</t>
  </si>
  <si>
    <t>Original Refrigerant GWP [If User Specified]</t>
  </si>
  <si>
    <t>New Refrigerant GWP [If User Specified]</t>
  </si>
  <si>
    <t>Second Second Device</t>
  </si>
  <si>
    <t xml:space="preserve">Second Refrigerant </t>
  </si>
  <si>
    <t>Second Refrigerant (GWP)</t>
  </si>
  <si>
    <t>Second Refrigerant GWP [If User Specified]</t>
  </si>
  <si>
    <t>APreWBkWh
Per-unit, measure savings over pre-existing, whole-building, kWh</t>
  </si>
  <si>
    <t>APreWBkW
Per-unit, measure savings over pre-existing, whole-building, kW (ignored)</t>
  </si>
  <si>
    <t>APreWBtherm
Per-unit, measure savings over pre-existing, whole-building, Therms</t>
  </si>
  <si>
    <t>AStdWBkWh
Per-unit, measure savings over standard, whole-building, kWh</t>
  </si>
  <si>
    <t>AStdWBkW
Per-unit, measure savings over standard, whole-building, kW (ignored)</t>
  </si>
  <si>
    <t>AStdWBtherm
Per-unit, measure savings over standard, whole-building, Therms</t>
  </si>
  <si>
    <t>Warning messages</t>
  </si>
  <si>
    <t>Annual gas usage of the
code baseline (Therms)</t>
  </si>
  <si>
    <t>2nd Baseline period yrs</t>
  </si>
  <si>
    <t>1BL period</t>
  </si>
  <si>
    <t>2BL period</t>
  </si>
  <si>
    <t>Have 2BL Usage kWh?</t>
  </si>
  <si>
    <t>Have 2BL
Usage Therms?</t>
  </si>
  <si>
    <t>kWh Savings (2 BL)</t>
  </si>
  <si>
    <t>Therm Savings (2 BL)</t>
  </si>
  <si>
    <t>1BL
project annual
kWh savings</t>
  </si>
  <si>
    <t>1BL
project annual
Therm savings</t>
  </si>
  <si>
    <t>2BL
project annual
kWh savings</t>
  </si>
  <si>
    <t>2BL
project annual
Therm savings</t>
  </si>
  <si>
    <t>Project kWh savings
over 1st BL period</t>
  </si>
  <si>
    <t>Project therm savings
over 1st BL period</t>
  </si>
  <si>
    <t>Project kWh savings
over 2nd BL period</t>
  </si>
  <si>
    <t>Project therm savings
over 2nd BL period</t>
  </si>
  <si>
    <t>1BL 
Primary energy intensity
BTU per kWh</t>
  </si>
  <si>
    <t>1BL
Primary energy intensity
(BTU per therm)</t>
  </si>
  <si>
    <t>2BL
Primary energy intensity
BTU per kWh</t>
  </si>
  <si>
    <t>2BL
Primary energy intensity
(BTU per therm)</t>
  </si>
  <si>
    <t>1BL duration (yr) *
Primary MMBTU per kWh</t>
  </si>
  <si>
    <t>1BL duration (yr) *
Primary energy intensity
(MMBTU per therm)</t>
  </si>
  <si>
    <t>2BL duration (yr) *
Primary MMBTU per kWh</t>
  </si>
  <si>
    <t>2BL duration (yr) *
Primary energy intensity
(MMBTU per therm)</t>
  </si>
  <si>
    <t>1BL
Metric Ton
per kWh</t>
  </si>
  <si>
    <t>1BL
Metric Ton
per Therm</t>
  </si>
  <si>
    <t>2BL
Metric Ton
per kWh</t>
  </si>
  <si>
    <t>2BL
Metric Ton
per Therm</t>
  </si>
  <si>
    <t xml:space="preserve">Large retail food refrigeration 2,000 lbs. + </t>
  </si>
  <si>
    <t>2-BTP</t>
  </si>
  <si>
    <t>Methane</t>
  </si>
  <si>
    <t>Residential Unitary AC</t>
  </si>
  <si>
    <t>User Specified</t>
  </si>
  <si>
    <t>HFC-227ea</t>
  </si>
  <si>
    <t>HFC-134a</t>
  </si>
  <si>
    <t>Dehumidifiers</t>
  </si>
  <si>
    <t>natural gas</t>
  </si>
  <si>
    <t>Isceon MO89</t>
  </si>
  <si>
    <t>Portable AC</t>
  </si>
  <si>
    <t>R-438A</t>
  </si>
  <si>
    <t>Ships</t>
  </si>
  <si>
    <t>Hot Shot 2</t>
  </si>
  <si>
    <t>Heat Pump Water Heaters</t>
  </si>
  <si>
    <t>R-417B</t>
  </si>
  <si>
    <t>R-410A</t>
  </si>
  <si>
    <t>There are no user inputs on this sheet. Use "Protect Sheet" to prevent accidental changes.</t>
  </si>
  <si>
    <t>This sheet performs background calculations and is expected to remain hidden; however, advanced users can view the time series kWh and Therm savings by measure index here.</t>
  </si>
  <si>
    <t>These time series are fed into the formulas (in Fuel Sub Calcs tab, Section 2) for Lifecycle Savings - Primary Energy and Emissions.</t>
  </si>
  <si>
    <t>Key</t>
  </si>
  <si>
    <t>Impact</t>
  </si>
  <si>
    <t>Description</t>
  </si>
  <si>
    <t>yrs1BL</t>
  </si>
  <si>
    <t>In a given year, represents what fraction of the year the measure is active and considered part of the "first baseline".</t>
  </si>
  <si>
    <t>yrs2BL</t>
  </si>
  <si>
    <t>In a given year, represents what fraction of the year the measure is active and considered part of the "second baseline" (for AR measures only).</t>
  </si>
  <si>
    <t>kWh</t>
  </si>
  <si>
    <t>In a given year, represents kWh savings at the meter.</t>
  </si>
  <si>
    <t>Therm</t>
  </si>
  <si>
    <t>In a given year, represents Therms savings at the meter.</t>
  </si>
  <si>
    <t>Savings</t>
  </si>
  <si>
    <t>Year</t>
  </si>
  <si>
    <t>Quantity (number of units)</t>
  </si>
  <si>
    <t>Install Type</t>
  </si>
  <si>
    <t>1st Baseline Life</t>
  </si>
  <si>
    <t>EUL</t>
  </si>
  <si>
    <t>1BL</t>
  </si>
  <si>
    <t>2BL</t>
  </si>
  <si>
    <t>End 1st BL</t>
  </si>
  <si>
    <t>End EUL</t>
  </si>
  <si>
    <t xml:space="preserve">Lifetime total (no methane leakage) </t>
  </si>
  <si>
    <t>Averages over specified period</t>
  </si>
  <si>
    <t>Start year</t>
  </si>
  <si>
    <t>Final year</t>
  </si>
  <si>
    <t>Duration</t>
  </si>
  <si>
    <t>IndexA</t>
  </si>
  <si>
    <t>IndexB</t>
  </si>
  <si>
    <t>Source Energy (Btu/kWh)</t>
  </si>
  <si>
    <t>Emissions Intensity
(metric tonnes/MWh)</t>
  </si>
  <si>
    <t>​</t>
  </si>
  <si>
    <t>Fuel Substitution: Annual Factors</t>
  </si>
  <si>
    <t>FuelSub_Annual Factors</t>
  </si>
  <si>
    <t>Prepared by:</t>
  </si>
  <si>
    <t>Energy and Environmental Economics, Inc.</t>
  </si>
  <si>
    <t>44 Montgomery Street, Suite 1500</t>
  </si>
  <si>
    <t>San Francisco, CA 94104</t>
  </si>
  <si>
    <t>Phone: 415-391-5100</t>
  </si>
  <si>
    <t>dropdown_MAT</t>
  </si>
  <si>
    <t>dropdown_Fuel</t>
  </si>
  <si>
    <t>lookup_fuel_units</t>
  </si>
  <si>
    <t>therms</t>
  </si>
  <si>
    <t>Long Run System Characteristics</t>
  </si>
  <si>
    <t>Emissions Intensity (short tons/MWh)</t>
  </si>
  <si>
    <t>Load</t>
  </si>
  <si>
    <t>GWh</t>
  </si>
  <si>
    <t>Total Retail Sales</t>
  </si>
  <si>
    <t>Total CAISO Emissions</t>
  </si>
  <si>
    <t>MMtCO2</t>
  </si>
  <si>
    <t>Million Short Tons CO2</t>
  </si>
  <si>
    <r>
      <t>CO</t>
    </r>
    <r>
      <rPr>
        <vertAlign val="subscript"/>
        <sz val="10"/>
        <color theme="1"/>
        <rFont val="Calibri"/>
        <family val="2"/>
        <scheme val="minor"/>
      </rPr>
      <t>2</t>
    </r>
    <r>
      <rPr>
        <sz val="10"/>
        <color theme="1"/>
        <rFont val="Calibri"/>
        <family val="2"/>
        <scheme val="minor"/>
      </rPr>
      <t xml:space="preserve"> emissions of NG combustion</t>
    </r>
  </si>
  <si>
    <t>short tons/MMBtu</t>
  </si>
  <si>
    <r>
      <t>Million Short Tons CO</t>
    </r>
    <r>
      <rPr>
        <i/>
        <vertAlign val="subscript"/>
        <sz val="10"/>
        <color theme="2" tint="-0.499984740745262"/>
        <rFont val="Calibri"/>
        <family val="2"/>
        <scheme val="minor"/>
      </rPr>
      <t>2</t>
    </r>
  </si>
  <si>
    <t>Emissions Intensity</t>
  </si>
  <si>
    <t>short tons/MWh</t>
  </si>
  <si>
    <t>Source Energy</t>
  </si>
  <si>
    <t>Btu/kWh</t>
  </si>
  <si>
    <t>Sector</t>
  </si>
  <si>
    <t>Device type</t>
  </si>
  <si>
    <t>Average lifetime (years)</t>
  </si>
  <si>
    <t>Average charge size (amount of refrigerant) in lbs. per unit</t>
  </si>
  <si>
    <t>Average annual leak rate (q_ann)</t>
  </si>
  <si>
    <t>Number of years prior to EOL with no "top-off" refrigerant added to replace full charge (t_EOL)</t>
  </si>
  <si>
    <t>Percentage of refrigerant charge lost during lifetime</t>
  </si>
  <si>
    <t>Mass of refrigerant lost during lifetime for average unit (lbs)</t>
  </si>
  <si>
    <t>Stationary Refrigeration</t>
  </si>
  <si>
    <t xml:space="preserve">Medium retail food refrigeration 200-2,000 lbs. </t>
  </si>
  <si>
    <t xml:space="preserve">Small retail food refrigeration 50-200 lbs. </t>
  </si>
  <si>
    <t>Sub-small retail food refrigeration &lt; 50 lbs.</t>
  </si>
  <si>
    <t xml:space="preserve">Large commercial refrigeration 2,000 lbs. + </t>
  </si>
  <si>
    <t xml:space="preserve">Medium commercial refrigeration 200-2,000 lbs. </t>
  </si>
  <si>
    <t xml:space="preserve">Small commercial refrigeration 50-200 lbs. </t>
  </si>
  <si>
    <t>Sub-small commercial refrigeration &lt; 50 lbs.</t>
  </si>
  <si>
    <t>Large cold storage 2,000 lbs. +</t>
  </si>
  <si>
    <t>Medium cold storage 200-2,000 lbs.</t>
  </si>
  <si>
    <t>Small cold storage 50-200 lbs.</t>
  </si>
  <si>
    <t>Large industrial process cooling 2,000 lbs. +</t>
  </si>
  <si>
    <t>Medium industrial process cooling 200-2,000 lbs.</t>
  </si>
  <si>
    <t>Small industrial process cooling 50-200 lbs.</t>
  </si>
  <si>
    <t>Stand alone (self-contained) refrig units</t>
  </si>
  <si>
    <t>Refrigerated Food Processing and Dispensing Equipment</t>
  </si>
  <si>
    <t>Commercial Ice Machines</t>
  </si>
  <si>
    <t>Water Coolers - Drinking Fountains</t>
  </si>
  <si>
    <t>Refrigerated vending machines</t>
  </si>
  <si>
    <t>Heat Pump Clothes Dryers</t>
  </si>
  <si>
    <t>Household refrigerator freezer</t>
  </si>
  <si>
    <t>Stationary Air-conditioning</t>
  </si>
  <si>
    <t>Large Chiller 2,000 lbs. +</t>
  </si>
  <si>
    <t>Medium Chiller 200-2,000 lbs.</t>
  </si>
  <si>
    <t>Commercial Unitary AC, &lt; 50-lbs., &lt; 135,000 BTUh size (includes smaller "residential-type" central AC and heat pumps)</t>
  </si>
  <si>
    <t>Window/Room AC and PTAC Units, commercial</t>
  </si>
  <si>
    <t>Window/Room/Wall AC and Packaged Terminal AC (PTAC) Units, residential</t>
  </si>
  <si>
    <t>MVAC and Transport Refrigeration</t>
  </si>
  <si>
    <t>Mobile Vehicle AC (MVAC) Light Duty (LD)</t>
  </si>
  <si>
    <t>MVAC Heavy Duty (HD) (non-bus)</t>
  </si>
  <si>
    <t>MVAC Bus</t>
  </si>
  <si>
    <t>Refrigerated Shipping Containers</t>
  </si>
  <si>
    <t>No device</t>
  </si>
  <si>
    <t>Common name of refrigerant/GHG</t>
  </si>
  <si>
    <t xml:space="preserve">Full Name </t>
  </si>
  <si>
    <t>Atmospheric Life Time in Years</t>
  </si>
  <si>
    <t>100-year GWP Values from IPCC Fourth Assessment Report (AR4) (2007)</t>
  </si>
  <si>
    <t>20-year GWP Values from IPCC Fourth Assessment Report (AR4) (2007)</t>
  </si>
  <si>
    <t>Notes</t>
  </si>
  <si>
    <t>Active GWP</t>
  </si>
  <si>
    <t>CFC-11</t>
  </si>
  <si>
    <r>
      <t>Trichlorofluoromethane (CCl</t>
    </r>
    <r>
      <rPr>
        <vertAlign val="subscript"/>
        <sz val="10"/>
        <rFont val="Arial"/>
        <family val="2"/>
      </rPr>
      <t>3</t>
    </r>
    <r>
      <rPr>
        <sz val="11"/>
        <color theme="1"/>
        <rFont val="Calibri"/>
        <family val="2"/>
        <scheme val="minor"/>
      </rPr>
      <t>F)</t>
    </r>
  </si>
  <si>
    <t>Controlled by Montreal Protocol; not included in ARB inventory by international convention</t>
  </si>
  <si>
    <t>CFC-12</t>
  </si>
  <si>
    <r>
      <t>Dichlorodifluoromethane (CCl</t>
    </r>
    <r>
      <rPr>
        <vertAlign val="subscript"/>
        <sz val="10"/>
        <rFont val="Arial"/>
        <family val="2"/>
      </rPr>
      <t>2</t>
    </r>
    <r>
      <rPr>
        <sz val="11"/>
        <color theme="1"/>
        <rFont val="Calibri"/>
        <family val="2"/>
        <scheme val="minor"/>
      </rPr>
      <t>F</t>
    </r>
    <r>
      <rPr>
        <vertAlign val="subscript"/>
        <sz val="10"/>
        <rFont val="Arial"/>
        <family val="2"/>
      </rPr>
      <t>2</t>
    </r>
    <r>
      <rPr>
        <sz val="11"/>
        <color theme="1"/>
        <rFont val="Calibri"/>
        <family val="2"/>
        <scheme val="minor"/>
      </rPr>
      <t xml:space="preserve">) </t>
    </r>
  </si>
  <si>
    <t>CFC-13</t>
  </si>
  <si>
    <r>
      <t>Chlorotrifluoromethane (CClF</t>
    </r>
    <r>
      <rPr>
        <vertAlign val="subscript"/>
        <sz val="10"/>
        <rFont val="Arial"/>
        <family val="2"/>
      </rPr>
      <t>3</t>
    </r>
    <r>
      <rPr>
        <sz val="11"/>
        <color theme="1"/>
        <rFont val="Calibri"/>
        <family val="2"/>
        <scheme val="minor"/>
      </rPr>
      <t>)</t>
    </r>
  </si>
  <si>
    <t>CFC-113</t>
  </si>
  <si>
    <r>
      <t>1,1,2-Trichlorotrifluoroethane (C</t>
    </r>
    <r>
      <rPr>
        <vertAlign val="subscript"/>
        <sz val="10"/>
        <rFont val="Arial"/>
        <family val="2"/>
      </rPr>
      <t>2</t>
    </r>
    <r>
      <rPr>
        <sz val="11"/>
        <color theme="1"/>
        <rFont val="Calibri"/>
        <family val="2"/>
        <scheme val="minor"/>
      </rPr>
      <t>F</t>
    </r>
    <r>
      <rPr>
        <vertAlign val="subscript"/>
        <sz val="10"/>
        <rFont val="Arial"/>
        <family val="2"/>
      </rPr>
      <t>3</t>
    </r>
    <r>
      <rPr>
        <sz val="11"/>
        <color theme="1"/>
        <rFont val="Calibri"/>
        <family val="2"/>
        <scheme val="minor"/>
      </rPr>
      <t>Cl</t>
    </r>
    <r>
      <rPr>
        <vertAlign val="subscript"/>
        <sz val="10"/>
        <rFont val="Arial"/>
        <family val="2"/>
      </rPr>
      <t>3</t>
    </r>
    <r>
      <rPr>
        <sz val="11"/>
        <color theme="1"/>
        <rFont val="Calibri"/>
        <family val="2"/>
        <scheme val="minor"/>
      </rPr>
      <t xml:space="preserve">)    </t>
    </r>
  </si>
  <si>
    <r>
      <t>Dichlorotetrafluoroethane (C</t>
    </r>
    <r>
      <rPr>
        <vertAlign val="subscript"/>
        <sz val="10"/>
        <rFont val="Arial"/>
        <family val="2"/>
      </rPr>
      <t>2</t>
    </r>
    <r>
      <rPr>
        <sz val="11"/>
        <color theme="1"/>
        <rFont val="Calibri"/>
        <family val="2"/>
        <scheme val="minor"/>
      </rPr>
      <t>F</t>
    </r>
    <r>
      <rPr>
        <vertAlign val="subscript"/>
        <sz val="10"/>
        <rFont val="Arial"/>
        <family val="2"/>
      </rPr>
      <t>4</t>
    </r>
    <r>
      <rPr>
        <sz val="11"/>
        <color theme="1"/>
        <rFont val="Calibri"/>
        <family val="2"/>
        <scheme val="minor"/>
      </rPr>
      <t>Cl</t>
    </r>
    <r>
      <rPr>
        <vertAlign val="subscript"/>
        <sz val="10"/>
        <rFont val="Arial"/>
        <family val="2"/>
      </rPr>
      <t>2</t>
    </r>
    <r>
      <rPr>
        <sz val="11"/>
        <color theme="1"/>
        <rFont val="Calibri"/>
        <family val="2"/>
        <scheme val="minor"/>
      </rPr>
      <t>)</t>
    </r>
  </si>
  <si>
    <t>CFC-115</t>
  </si>
  <si>
    <r>
      <t>Monochloropentafluoroethane (C</t>
    </r>
    <r>
      <rPr>
        <vertAlign val="subscript"/>
        <sz val="10"/>
        <rFont val="Arial"/>
        <family val="2"/>
      </rPr>
      <t>2</t>
    </r>
    <r>
      <rPr>
        <sz val="11"/>
        <color theme="1"/>
        <rFont val="Calibri"/>
        <family val="2"/>
        <scheme val="minor"/>
      </rPr>
      <t>F</t>
    </r>
    <r>
      <rPr>
        <vertAlign val="subscript"/>
        <sz val="10"/>
        <rFont val="Arial"/>
        <family val="2"/>
      </rPr>
      <t>5</t>
    </r>
    <r>
      <rPr>
        <sz val="11"/>
        <color theme="1"/>
        <rFont val="Calibri"/>
        <family val="2"/>
        <scheme val="minor"/>
      </rPr>
      <t>Cl)</t>
    </r>
  </si>
  <si>
    <r>
      <t>Bromochlorodifluoromethane (CF</t>
    </r>
    <r>
      <rPr>
        <vertAlign val="subscript"/>
        <sz val="10"/>
        <rFont val="Arial"/>
        <family val="2"/>
      </rPr>
      <t>2</t>
    </r>
    <r>
      <rPr>
        <sz val="11"/>
        <color theme="1"/>
        <rFont val="Calibri"/>
        <family val="2"/>
        <scheme val="minor"/>
      </rPr>
      <t>ClBr)</t>
    </r>
  </si>
  <si>
    <t>Halon 1301</t>
  </si>
  <si>
    <r>
      <t>Bromotrifluoromethane (CF</t>
    </r>
    <r>
      <rPr>
        <vertAlign val="subscript"/>
        <sz val="10"/>
        <rFont val="Arial"/>
        <family val="2"/>
      </rPr>
      <t>3</t>
    </r>
    <r>
      <rPr>
        <sz val="11"/>
        <color theme="1"/>
        <rFont val="Calibri"/>
        <family val="2"/>
        <scheme val="minor"/>
      </rPr>
      <t>Br)</t>
    </r>
  </si>
  <si>
    <t>Halon 2402</t>
  </si>
  <si>
    <r>
      <t>Dibromotetrafluoroethane (C</t>
    </r>
    <r>
      <rPr>
        <vertAlign val="subscript"/>
        <sz val="10"/>
        <rFont val="Arial"/>
        <family val="2"/>
      </rPr>
      <t>2</t>
    </r>
    <r>
      <rPr>
        <sz val="11"/>
        <color theme="1"/>
        <rFont val="Calibri"/>
        <family val="2"/>
        <scheme val="minor"/>
      </rPr>
      <t>F</t>
    </r>
    <r>
      <rPr>
        <vertAlign val="subscript"/>
        <sz val="10"/>
        <rFont val="Arial"/>
        <family val="2"/>
      </rPr>
      <t>4</t>
    </r>
    <r>
      <rPr>
        <sz val="11"/>
        <color theme="1"/>
        <rFont val="Calibri"/>
        <family val="2"/>
        <scheme val="minor"/>
      </rPr>
      <t>Br</t>
    </r>
    <r>
      <rPr>
        <vertAlign val="subscript"/>
        <sz val="10"/>
        <rFont val="Arial"/>
        <family val="2"/>
      </rPr>
      <t>2</t>
    </r>
    <r>
      <rPr>
        <sz val="11"/>
        <color theme="1"/>
        <rFont val="Calibri"/>
        <family val="2"/>
        <scheme val="minor"/>
      </rPr>
      <t>)</t>
    </r>
  </si>
  <si>
    <t>Carbon tetrachloride</t>
  </si>
  <si>
    <r>
      <t>Carbon tetrachloride (CCl</t>
    </r>
    <r>
      <rPr>
        <vertAlign val="subscript"/>
        <sz val="10"/>
        <rFont val="Arial"/>
        <family val="2"/>
      </rPr>
      <t>4</t>
    </r>
    <r>
      <rPr>
        <sz val="11"/>
        <color theme="1"/>
        <rFont val="Calibri"/>
        <family val="2"/>
        <scheme val="minor"/>
      </rPr>
      <t>)</t>
    </r>
  </si>
  <si>
    <t>Methyl bromide</t>
  </si>
  <si>
    <r>
      <t>Methyl bromide (CH</t>
    </r>
    <r>
      <rPr>
        <vertAlign val="subscript"/>
        <sz val="10"/>
        <rFont val="Arial"/>
        <family val="2"/>
      </rPr>
      <t>3</t>
    </r>
    <r>
      <rPr>
        <sz val="11"/>
        <color theme="1"/>
        <rFont val="Calibri"/>
        <family val="2"/>
        <scheme val="minor"/>
      </rPr>
      <t>Br)</t>
    </r>
  </si>
  <si>
    <t>Methyl chloroform (R-140a)</t>
  </si>
  <si>
    <r>
      <t>1,1,1-trichloroethane (C</t>
    </r>
    <r>
      <rPr>
        <vertAlign val="subscript"/>
        <sz val="10"/>
        <rFont val="Arial"/>
        <family val="2"/>
      </rPr>
      <t>2</t>
    </r>
    <r>
      <rPr>
        <sz val="11"/>
        <color theme="1"/>
        <rFont val="Calibri"/>
        <family val="2"/>
        <scheme val="minor"/>
      </rPr>
      <t>H</t>
    </r>
    <r>
      <rPr>
        <vertAlign val="subscript"/>
        <sz val="10"/>
        <rFont val="Arial"/>
        <family val="2"/>
      </rPr>
      <t>3</t>
    </r>
    <r>
      <rPr>
        <sz val="11"/>
        <color theme="1"/>
        <rFont val="Calibri"/>
        <family val="2"/>
        <scheme val="minor"/>
      </rPr>
      <t>Cl</t>
    </r>
    <r>
      <rPr>
        <vertAlign val="subscript"/>
        <sz val="10"/>
        <rFont val="Arial"/>
        <family val="2"/>
      </rPr>
      <t>3</t>
    </r>
    <r>
      <rPr>
        <sz val="11"/>
        <color theme="1"/>
        <rFont val="Calibri"/>
        <family val="2"/>
        <scheme val="minor"/>
      </rPr>
      <t>)</t>
    </r>
  </si>
  <si>
    <t>Methylene chloride</t>
  </si>
  <si>
    <r>
      <t>Dichloromethane (CH</t>
    </r>
    <r>
      <rPr>
        <vertAlign val="subscript"/>
        <sz val="10"/>
        <rFont val="Arial"/>
        <family val="2"/>
      </rPr>
      <t>2</t>
    </r>
    <r>
      <rPr>
        <sz val="11"/>
        <color theme="1"/>
        <rFont val="Calibri"/>
        <family val="2"/>
        <scheme val="minor"/>
      </rPr>
      <t>Cl</t>
    </r>
    <r>
      <rPr>
        <vertAlign val="subscript"/>
        <sz val="10"/>
        <rFont val="Arial"/>
        <family val="2"/>
      </rPr>
      <t>2</t>
    </r>
    <r>
      <rPr>
        <sz val="11"/>
        <color theme="1"/>
        <rFont val="Calibri"/>
        <family val="2"/>
        <scheme val="minor"/>
      </rPr>
      <t>)</t>
    </r>
  </si>
  <si>
    <t>HCFC-21</t>
  </si>
  <si>
    <r>
      <t>Dichlorofluoromethane (CHFCl</t>
    </r>
    <r>
      <rPr>
        <vertAlign val="subscript"/>
        <sz val="10"/>
        <rFont val="Arial"/>
        <family val="2"/>
      </rPr>
      <t>2</t>
    </r>
    <r>
      <rPr>
        <sz val="10"/>
        <rFont val="Arial"/>
        <family val="2"/>
      </rPr>
      <t>)</t>
    </r>
  </si>
  <si>
    <t>HCFC-22</t>
  </si>
  <si>
    <r>
      <t>Monochlorodifluoromethane (CHClF</t>
    </r>
    <r>
      <rPr>
        <vertAlign val="subscript"/>
        <sz val="10"/>
        <rFont val="Arial"/>
        <family val="2"/>
      </rPr>
      <t>2</t>
    </r>
    <r>
      <rPr>
        <sz val="11"/>
        <color theme="1"/>
        <rFont val="Calibri"/>
        <family val="2"/>
        <scheme val="minor"/>
      </rPr>
      <t>)</t>
    </r>
  </si>
  <si>
    <t>HCFC-123</t>
  </si>
  <si>
    <r>
      <t>Dichlorotrifluoroethane (C</t>
    </r>
    <r>
      <rPr>
        <vertAlign val="subscript"/>
        <sz val="10"/>
        <rFont val="Arial"/>
        <family val="2"/>
      </rPr>
      <t>2</t>
    </r>
    <r>
      <rPr>
        <sz val="11"/>
        <color theme="1"/>
        <rFont val="Calibri"/>
        <family val="2"/>
        <scheme val="minor"/>
      </rPr>
      <t>HF</t>
    </r>
    <r>
      <rPr>
        <vertAlign val="subscript"/>
        <sz val="10"/>
        <rFont val="Arial"/>
        <family val="2"/>
      </rPr>
      <t>3</t>
    </r>
    <r>
      <rPr>
        <sz val="11"/>
        <color theme="1"/>
        <rFont val="Calibri"/>
        <family val="2"/>
        <scheme val="minor"/>
      </rPr>
      <t>Cl</t>
    </r>
    <r>
      <rPr>
        <vertAlign val="subscript"/>
        <sz val="10"/>
        <rFont val="Arial"/>
        <family val="2"/>
      </rPr>
      <t>2</t>
    </r>
    <r>
      <rPr>
        <sz val="11"/>
        <color theme="1"/>
        <rFont val="Calibri"/>
        <family val="2"/>
        <scheme val="minor"/>
      </rPr>
      <t>)</t>
    </r>
  </si>
  <si>
    <t>HCFC-124</t>
  </si>
  <si>
    <r>
      <t>Monochlorotetrafluoroethane (C</t>
    </r>
    <r>
      <rPr>
        <vertAlign val="subscript"/>
        <sz val="10"/>
        <rFont val="Arial"/>
        <family val="2"/>
      </rPr>
      <t>2</t>
    </r>
    <r>
      <rPr>
        <sz val="11"/>
        <color theme="1"/>
        <rFont val="Calibri"/>
        <family val="2"/>
        <scheme val="minor"/>
      </rPr>
      <t>HF</t>
    </r>
    <r>
      <rPr>
        <vertAlign val="subscript"/>
        <sz val="10"/>
        <rFont val="Arial"/>
        <family val="2"/>
      </rPr>
      <t>4</t>
    </r>
    <r>
      <rPr>
        <sz val="11"/>
        <color theme="1"/>
        <rFont val="Calibri"/>
        <family val="2"/>
        <scheme val="minor"/>
      </rPr>
      <t>Cl)</t>
    </r>
  </si>
  <si>
    <t>HCFC-141b</t>
  </si>
  <si>
    <r>
      <t>Dichlorofluoroethane (C</t>
    </r>
    <r>
      <rPr>
        <vertAlign val="subscript"/>
        <sz val="10"/>
        <rFont val="Arial"/>
        <family val="2"/>
      </rPr>
      <t>2</t>
    </r>
    <r>
      <rPr>
        <sz val="11"/>
        <color theme="1"/>
        <rFont val="Calibri"/>
        <family val="2"/>
        <scheme val="minor"/>
      </rPr>
      <t>H</t>
    </r>
    <r>
      <rPr>
        <vertAlign val="subscript"/>
        <sz val="10"/>
        <rFont val="Arial"/>
        <family val="2"/>
      </rPr>
      <t>3</t>
    </r>
    <r>
      <rPr>
        <sz val="11"/>
        <color theme="1"/>
        <rFont val="Calibri"/>
        <family val="2"/>
        <scheme val="minor"/>
      </rPr>
      <t>FCl</t>
    </r>
    <r>
      <rPr>
        <vertAlign val="subscript"/>
        <sz val="10"/>
        <rFont val="Arial"/>
        <family val="2"/>
      </rPr>
      <t>2</t>
    </r>
    <r>
      <rPr>
        <sz val="11"/>
        <color theme="1"/>
        <rFont val="Calibri"/>
        <family val="2"/>
        <scheme val="minor"/>
      </rPr>
      <t>)</t>
    </r>
  </si>
  <si>
    <t>HCFC-142b</t>
  </si>
  <si>
    <r>
      <t>Monochlorodifluoroethane (C</t>
    </r>
    <r>
      <rPr>
        <vertAlign val="subscript"/>
        <sz val="10"/>
        <rFont val="Arial"/>
        <family val="2"/>
      </rPr>
      <t>2</t>
    </r>
    <r>
      <rPr>
        <sz val="11"/>
        <color theme="1"/>
        <rFont val="Calibri"/>
        <family val="2"/>
        <scheme val="minor"/>
      </rPr>
      <t>H</t>
    </r>
    <r>
      <rPr>
        <vertAlign val="subscript"/>
        <sz val="10"/>
        <rFont val="Arial"/>
        <family val="2"/>
      </rPr>
      <t>3</t>
    </r>
    <r>
      <rPr>
        <sz val="11"/>
        <color theme="1"/>
        <rFont val="Calibri"/>
        <family val="2"/>
        <scheme val="minor"/>
      </rPr>
      <t>F</t>
    </r>
    <r>
      <rPr>
        <vertAlign val="subscript"/>
        <sz val="10"/>
        <rFont val="Arial"/>
        <family val="2"/>
      </rPr>
      <t>2</t>
    </r>
    <r>
      <rPr>
        <sz val="11"/>
        <color theme="1"/>
        <rFont val="Calibri"/>
        <family val="2"/>
        <scheme val="minor"/>
      </rPr>
      <t>Cl)</t>
    </r>
  </si>
  <si>
    <t>HCFC-225ca</t>
  </si>
  <si>
    <r>
      <t>Dichloropentafluoropropane (C</t>
    </r>
    <r>
      <rPr>
        <vertAlign val="subscript"/>
        <sz val="10"/>
        <rFont val="Arial"/>
        <family val="2"/>
      </rPr>
      <t>3</t>
    </r>
    <r>
      <rPr>
        <sz val="11"/>
        <color theme="1"/>
        <rFont val="Calibri"/>
        <family val="2"/>
        <scheme val="minor"/>
      </rPr>
      <t>HF</t>
    </r>
    <r>
      <rPr>
        <vertAlign val="subscript"/>
        <sz val="10"/>
        <rFont val="Arial"/>
        <family val="2"/>
      </rPr>
      <t>5</t>
    </r>
    <r>
      <rPr>
        <sz val="11"/>
        <color theme="1"/>
        <rFont val="Calibri"/>
        <family val="2"/>
        <scheme val="minor"/>
      </rPr>
      <t>Cl</t>
    </r>
    <r>
      <rPr>
        <vertAlign val="subscript"/>
        <sz val="10"/>
        <rFont val="Arial"/>
        <family val="2"/>
      </rPr>
      <t>2</t>
    </r>
    <r>
      <rPr>
        <sz val="11"/>
        <color theme="1"/>
        <rFont val="Calibri"/>
        <family val="2"/>
        <scheme val="minor"/>
      </rPr>
      <t>)</t>
    </r>
  </si>
  <si>
    <t>HCFC-225cb</t>
  </si>
  <si>
    <r>
      <t>Dichloropentafluoropropane (CHClFCF</t>
    </r>
    <r>
      <rPr>
        <vertAlign val="subscript"/>
        <sz val="10"/>
        <rFont val="Arial"/>
        <family val="2"/>
      </rPr>
      <t>2</t>
    </r>
    <r>
      <rPr>
        <sz val="11"/>
        <color theme="1"/>
        <rFont val="Calibri"/>
        <family val="2"/>
        <scheme val="minor"/>
      </rPr>
      <t>CClF</t>
    </r>
    <r>
      <rPr>
        <vertAlign val="subscript"/>
        <sz val="10"/>
        <rFont val="Arial"/>
        <family val="2"/>
      </rPr>
      <t>2</t>
    </r>
    <r>
      <rPr>
        <sz val="11"/>
        <color theme="1"/>
        <rFont val="Calibri"/>
        <family val="2"/>
        <scheme val="minor"/>
      </rPr>
      <t>)</t>
    </r>
  </si>
  <si>
    <t>Carbon Dioxide</t>
  </si>
  <si>
    <r>
      <t>Carbon Dioxide (CO</t>
    </r>
    <r>
      <rPr>
        <vertAlign val="subscript"/>
        <sz val="10"/>
        <rFont val="Arial"/>
        <family val="2"/>
      </rPr>
      <t>2</t>
    </r>
    <r>
      <rPr>
        <sz val="11"/>
        <color theme="1"/>
        <rFont val="Calibri"/>
        <family val="2"/>
        <scheme val="minor"/>
      </rPr>
      <t>)</t>
    </r>
  </si>
  <si>
    <t>50-200</t>
  </si>
  <si>
    <r>
      <t>Methane (CH</t>
    </r>
    <r>
      <rPr>
        <vertAlign val="subscript"/>
        <sz val="10"/>
        <rFont val="Arial"/>
        <family val="2"/>
      </rPr>
      <t>4</t>
    </r>
    <r>
      <rPr>
        <sz val="11"/>
        <color theme="1"/>
        <rFont val="Calibri"/>
        <family val="2"/>
        <scheme val="minor"/>
      </rPr>
      <t>)</t>
    </r>
  </si>
  <si>
    <t>Nitrous Oxide</t>
  </si>
  <si>
    <r>
      <t>Nitrous Oxide (N</t>
    </r>
    <r>
      <rPr>
        <vertAlign val="subscript"/>
        <sz val="10"/>
        <rFont val="Arial"/>
        <family val="2"/>
      </rPr>
      <t>2</t>
    </r>
    <r>
      <rPr>
        <sz val="11"/>
        <color theme="1"/>
        <rFont val="Calibri"/>
        <family val="2"/>
        <scheme val="minor"/>
      </rPr>
      <t>O)</t>
    </r>
  </si>
  <si>
    <t>HFC-23</t>
  </si>
  <si>
    <r>
      <t>Trifluoromethane (CHF</t>
    </r>
    <r>
      <rPr>
        <vertAlign val="subscript"/>
        <sz val="10"/>
        <rFont val="Arial"/>
        <family val="2"/>
      </rPr>
      <t>3</t>
    </r>
    <r>
      <rPr>
        <sz val="11"/>
        <color theme="1"/>
        <rFont val="Calibri"/>
        <family val="2"/>
        <scheme val="minor"/>
      </rPr>
      <t xml:space="preserve">) </t>
    </r>
  </si>
  <si>
    <t>HFC-32</t>
  </si>
  <si>
    <r>
      <t>Difluoromethane (CH</t>
    </r>
    <r>
      <rPr>
        <vertAlign val="subscript"/>
        <sz val="10"/>
        <rFont val="Arial"/>
        <family val="2"/>
      </rPr>
      <t>2</t>
    </r>
    <r>
      <rPr>
        <sz val="11"/>
        <color theme="1"/>
        <rFont val="Calibri"/>
        <family val="2"/>
        <scheme val="minor"/>
      </rPr>
      <t>F</t>
    </r>
    <r>
      <rPr>
        <vertAlign val="subscript"/>
        <sz val="10"/>
        <rFont val="Arial"/>
        <family val="2"/>
      </rPr>
      <t>2</t>
    </r>
    <r>
      <rPr>
        <sz val="11"/>
        <color theme="1"/>
        <rFont val="Calibri"/>
        <family val="2"/>
        <scheme val="minor"/>
      </rPr>
      <t xml:space="preserve">) </t>
    </r>
  </si>
  <si>
    <t>HFC-125</t>
  </si>
  <si>
    <r>
      <t>Pentafluoroethane (C</t>
    </r>
    <r>
      <rPr>
        <vertAlign val="subscript"/>
        <sz val="10"/>
        <rFont val="Arial"/>
        <family val="2"/>
      </rPr>
      <t>2</t>
    </r>
    <r>
      <rPr>
        <sz val="11"/>
        <color theme="1"/>
        <rFont val="Calibri"/>
        <family val="2"/>
        <scheme val="minor"/>
      </rPr>
      <t>HF</t>
    </r>
    <r>
      <rPr>
        <vertAlign val="subscript"/>
        <sz val="10"/>
        <rFont val="Arial"/>
        <family val="2"/>
      </rPr>
      <t>5</t>
    </r>
    <r>
      <rPr>
        <sz val="11"/>
        <color theme="1"/>
        <rFont val="Calibri"/>
        <family val="2"/>
        <scheme val="minor"/>
      </rPr>
      <t>)</t>
    </r>
  </si>
  <si>
    <r>
      <t>1,1,1,2-Tetrafluoroethane (CH</t>
    </r>
    <r>
      <rPr>
        <vertAlign val="subscript"/>
        <sz val="10"/>
        <rFont val="Arial"/>
        <family val="2"/>
      </rPr>
      <t>2</t>
    </r>
    <r>
      <rPr>
        <sz val="11"/>
        <color theme="1"/>
        <rFont val="Calibri"/>
        <family val="2"/>
        <scheme val="minor"/>
      </rPr>
      <t>FCF</t>
    </r>
    <r>
      <rPr>
        <vertAlign val="subscript"/>
        <sz val="10"/>
        <rFont val="Arial"/>
        <family val="2"/>
      </rPr>
      <t>3</t>
    </r>
    <r>
      <rPr>
        <sz val="11"/>
        <color theme="1"/>
        <rFont val="Calibri"/>
        <family val="2"/>
        <scheme val="minor"/>
      </rPr>
      <t>)</t>
    </r>
  </si>
  <si>
    <t>HFC-143a</t>
  </si>
  <si>
    <r>
      <t>1,1,1-Trifluoroethane (C</t>
    </r>
    <r>
      <rPr>
        <vertAlign val="subscript"/>
        <sz val="10"/>
        <rFont val="Arial"/>
        <family val="2"/>
      </rPr>
      <t>2</t>
    </r>
    <r>
      <rPr>
        <sz val="11"/>
        <color theme="1"/>
        <rFont val="Calibri"/>
        <family val="2"/>
        <scheme val="minor"/>
      </rPr>
      <t>H</t>
    </r>
    <r>
      <rPr>
        <vertAlign val="subscript"/>
        <sz val="10"/>
        <rFont val="Arial"/>
        <family val="2"/>
      </rPr>
      <t>3</t>
    </r>
    <r>
      <rPr>
        <sz val="11"/>
        <color theme="1"/>
        <rFont val="Calibri"/>
        <family val="2"/>
        <scheme val="minor"/>
      </rPr>
      <t>F</t>
    </r>
    <r>
      <rPr>
        <vertAlign val="subscript"/>
        <sz val="10"/>
        <rFont val="Arial"/>
        <family val="2"/>
      </rPr>
      <t>3</t>
    </r>
    <r>
      <rPr>
        <sz val="11"/>
        <color theme="1"/>
        <rFont val="Calibri"/>
        <family val="2"/>
        <scheme val="minor"/>
      </rPr>
      <t>)</t>
    </r>
  </si>
  <si>
    <t>HFC-152a</t>
  </si>
  <si>
    <r>
      <t>1,1-Difluoroethane (C</t>
    </r>
    <r>
      <rPr>
        <vertAlign val="subscript"/>
        <sz val="10"/>
        <rFont val="Arial"/>
        <family val="2"/>
      </rPr>
      <t>2</t>
    </r>
    <r>
      <rPr>
        <sz val="11"/>
        <color theme="1"/>
        <rFont val="Calibri"/>
        <family val="2"/>
        <scheme val="minor"/>
      </rPr>
      <t>H</t>
    </r>
    <r>
      <rPr>
        <vertAlign val="subscript"/>
        <sz val="10"/>
        <rFont val="Arial"/>
        <family val="2"/>
      </rPr>
      <t>4</t>
    </r>
    <r>
      <rPr>
        <sz val="11"/>
        <color theme="1"/>
        <rFont val="Calibri"/>
        <family val="2"/>
        <scheme val="minor"/>
      </rPr>
      <t>F</t>
    </r>
    <r>
      <rPr>
        <vertAlign val="subscript"/>
        <sz val="10"/>
        <rFont val="Arial"/>
        <family val="2"/>
      </rPr>
      <t>2</t>
    </r>
    <r>
      <rPr>
        <sz val="11"/>
        <color theme="1"/>
        <rFont val="Calibri"/>
        <family val="2"/>
        <scheme val="minor"/>
      </rPr>
      <t>)</t>
    </r>
  </si>
  <si>
    <t>HFC-161</t>
  </si>
  <si>
    <r>
      <t>Fluoroethane [ethyl fluoride] (CH</t>
    </r>
    <r>
      <rPr>
        <vertAlign val="subscript"/>
        <sz val="10"/>
        <rFont val="Arial"/>
        <family val="2"/>
      </rPr>
      <t>3</t>
    </r>
    <r>
      <rPr>
        <sz val="11"/>
        <color theme="1"/>
        <rFont val="Calibri"/>
        <family val="2"/>
        <scheme val="minor"/>
      </rPr>
      <t>CH</t>
    </r>
    <r>
      <rPr>
        <vertAlign val="subscript"/>
        <sz val="10"/>
        <rFont val="Arial"/>
        <family val="2"/>
      </rPr>
      <t>2</t>
    </r>
    <r>
      <rPr>
        <sz val="11"/>
        <color theme="1"/>
        <rFont val="Calibri"/>
        <family val="2"/>
        <scheme val="minor"/>
      </rPr>
      <t>F)</t>
    </r>
  </si>
  <si>
    <t>Not Available</t>
  </si>
  <si>
    <r>
      <t xml:space="preserve"> 1,1,1,2,3,3,3-Heptafluoropropane (C</t>
    </r>
    <r>
      <rPr>
        <vertAlign val="subscript"/>
        <sz val="10"/>
        <rFont val="Arial"/>
        <family val="2"/>
      </rPr>
      <t>3</t>
    </r>
    <r>
      <rPr>
        <sz val="11"/>
        <color theme="1"/>
        <rFont val="Calibri"/>
        <family val="2"/>
        <scheme val="minor"/>
      </rPr>
      <t>HF</t>
    </r>
    <r>
      <rPr>
        <vertAlign val="subscript"/>
        <sz val="10"/>
        <rFont val="Arial"/>
        <family val="2"/>
      </rPr>
      <t>7</t>
    </r>
    <r>
      <rPr>
        <sz val="11"/>
        <color theme="1"/>
        <rFont val="Calibri"/>
        <family val="2"/>
        <scheme val="minor"/>
      </rPr>
      <t>)</t>
    </r>
  </si>
  <si>
    <t>HFC-236fa</t>
  </si>
  <si>
    <r>
      <t>1,1,1,3,3,3-hexafluoropropane (C</t>
    </r>
    <r>
      <rPr>
        <vertAlign val="subscript"/>
        <sz val="10"/>
        <rFont val="Arial"/>
        <family val="2"/>
      </rPr>
      <t>3</t>
    </r>
    <r>
      <rPr>
        <sz val="11"/>
        <color theme="1"/>
        <rFont val="Calibri"/>
        <family val="2"/>
        <scheme val="minor"/>
      </rPr>
      <t>H</t>
    </r>
    <r>
      <rPr>
        <vertAlign val="subscript"/>
        <sz val="10"/>
        <rFont val="Arial"/>
        <family val="2"/>
      </rPr>
      <t>2</t>
    </r>
    <r>
      <rPr>
        <sz val="11"/>
        <color theme="1"/>
        <rFont val="Calibri"/>
        <family val="2"/>
        <scheme val="minor"/>
      </rPr>
      <t>F</t>
    </r>
    <r>
      <rPr>
        <vertAlign val="subscript"/>
        <sz val="10"/>
        <rFont val="Arial"/>
        <family val="2"/>
      </rPr>
      <t>6</t>
    </r>
    <r>
      <rPr>
        <sz val="11"/>
        <color theme="1"/>
        <rFont val="Calibri"/>
        <family val="2"/>
        <scheme val="minor"/>
      </rPr>
      <t>)</t>
    </r>
  </si>
  <si>
    <r>
      <t>1,1,1,3,3-pentafluoropropane (C</t>
    </r>
    <r>
      <rPr>
        <vertAlign val="subscript"/>
        <sz val="10"/>
        <rFont val="Arial"/>
        <family val="2"/>
      </rPr>
      <t>3</t>
    </r>
    <r>
      <rPr>
        <sz val="11"/>
        <color theme="1"/>
        <rFont val="Calibri"/>
        <family val="2"/>
        <scheme val="minor"/>
      </rPr>
      <t>H</t>
    </r>
    <r>
      <rPr>
        <vertAlign val="subscript"/>
        <sz val="10"/>
        <rFont val="Arial"/>
        <family val="2"/>
      </rPr>
      <t>3</t>
    </r>
    <r>
      <rPr>
        <sz val="11"/>
        <color theme="1"/>
        <rFont val="Calibri"/>
        <family val="2"/>
        <scheme val="minor"/>
      </rPr>
      <t>F</t>
    </r>
    <r>
      <rPr>
        <vertAlign val="subscript"/>
        <sz val="10"/>
        <rFont val="Arial"/>
        <family val="2"/>
      </rPr>
      <t>5</t>
    </r>
    <r>
      <rPr>
        <sz val="11"/>
        <color theme="1"/>
        <rFont val="Calibri"/>
        <family val="2"/>
        <scheme val="minor"/>
      </rPr>
      <t>)</t>
    </r>
  </si>
  <si>
    <t>HFC-365mfc</t>
  </si>
  <si>
    <r>
      <t>1,1,1,3,3-pentafluorobutane (C</t>
    </r>
    <r>
      <rPr>
        <vertAlign val="subscript"/>
        <sz val="10"/>
        <rFont val="Arial"/>
        <family val="2"/>
      </rPr>
      <t>4</t>
    </r>
    <r>
      <rPr>
        <sz val="11"/>
        <color theme="1"/>
        <rFont val="Calibri"/>
        <family val="2"/>
        <scheme val="minor"/>
      </rPr>
      <t>H</t>
    </r>
    <r>
      <rPr>
        <vertAlign val="subscript"/>
        <sz val="10"/>
        <rFont val="Arial"/>
        <family val="2"/>
      </rPr>
      <t>5</t>
    </r>
    <r>
      <rPr>
        <sz val="11"/>
        <color theme="1"/>
        <rFont val="Calibri"/>
        <family val="2"/>
        <scheme val="minor"/>
      </rPr>
      <t>F</t>
    </r>
    <r>
      <rPr>
        <vertAlign val="subscript"/>
        <sz val="10"/>
        <rFont val="Arial"/>
        <family val="2"/>
      </rPr>
      <t>5</t>
    </r>
    <r>
      <rPr>
        <sz val="11"/>
        <color theme="1"/>
        <rFont val="Calibri"/>
        <family val="2"/>
        <scheme val="minor"/>
      </rPr>
      <t>)</t>
    </r>
  </si>
  <si>
    <t>HFC-43-10mee</t>
  </si>
  <si>
    <r>
      <t>1,1,1,2,2,3,4,5,5,5-decafluoropentane (C</t>
    </r>
    <r>
      <rPr>
        <vertAlign val="subscript"/>
        <sz val="10"/>
        <rFont val="Arial"/>
        <family val="2"/>
      </rPr>
      <t>5</t>
    </r>
    <r>
      <rPr>
        <sz val="11"/>
        <color theme="1"/>
        <rFont val="Calibri"/>
        <family val="2"/>
        <scheme val="minor"/>
      </rPr>
      <t>H</t>
    </r>
    <r>
      <rPr>
        <vertAlign val="subscript"/>
        <sz val="10"/>
        <rFont val="Arial"/>
        <family val="2"/>
      </rPr>
      <t>2</t>
    </r>
    <r>
      <rPr>
        <sz val="11"/>
        <color theme="1"/>
        <rFont val="Calibri"/>
        <family val="2"/>
        <scheme val="minor"/>
      </rPr>
      <t>F</t>
    </r>
    <r>
      <rPr>
        <vertAlign val="subscript"/>
        <sz val="10"/>
        <rFont val="Arial"/>
        <family val="2"/>
      </rPr>
      <t>10</t>
    </r>
    <r>
      <rPr>
        <sz val="11"/>
        <color theme="1"/>
        <rFont val="Calibri"/>
        <family val="2"/>
        <scheme val="minor"/>
      </rPr>
      <t>)</t>
    </r>
  </si>
  <si>
    <t>HFE-7100</t>
  </si>
  <si>
    <r>
      <t>HFE-449s1 (C</t>
    </r>
    <r>
      <rPr>
        <vertAlign val="subscript"/>
        <sz val="10"/>
        <rFont val="Arial"/>
        <family val="2"/>
      </rPr>
      <t>4</t>
    </r>
    <r>
      <rPr>
        <sz val="11"/>
        <color theme="1"/>
        <rFont val="Calibri"/>
        <family val="2"/>
        <scheme val="minor"/>
      </rPr>
      <t>F</t>
    </r>
    <r>
      <rPr>
        <vertAlign val="subscript"/>
        <sz val="10"/>
        <rFont val="Arial"/>
        <family val="2"/>
      </rPr>
      <t>9</t>
    </r>
    <r>
      <rPr>
        <sz val="11"/>
        <color theme="1"/>
        <rFont val="Calibri"/>
        <family val="2"/>
        <scheme val="minor"/>
      </rPr>
      <t>OCH</t>
    </r>
    <r>
      <rPr>
        <vertAlign val="subscript"/>
        <sz val="10"/>
        <rFont val="Arial"/>
        <family val="2"/>
      </rPr>
      <t>3</t>
    </r>
    <r>
      <rPr>
        <sz val="11"/>
        <color theme="1"/>
        <rFont val="Calibri"/>
        <family val="2"/>
        <scheme val="minor"/>
      </rPr>
      <t>)</t>
    </r>
  </si>
  <si>
    <t>HFE-7200</t>
  </si>
  <si>
    <r>
      <t>HFE-569sf2 (C</t>
    </r>
    <r>
      <rPr>
        <vertAlign val="subscript"/>
        <sz val="10"/>
        <rFont val="Arial"/>
        <family val="2"/>
      </rPr>
      <t>4</t>
    </r>
    <r>
      <rPr>
        <sz val="11"/>
        <color theme="1"/>
        <rFont val="Calibri"/>
        <family val="2"/>
        <scheme val="minor"/>
      </rPr>
      <t>F</t>
    </r>
    <r>
      <rPr>
        <vertAlign val="subscript"/>
        <sz val="10"/>
        <rFont val="Arial"/>
        <family val="2"/>
      </rPr>
      <t>9</t>
    </r>
    <r>
      <rPr>
        <sz val="11"/>
        <color theme="1"/>
        <rFont val="Calibri"/>
        <family val="2"/>
        <scheme val="minor"/>
      </rPr>
      <t>OC</t>
    </r>
    <r>
      <rPr>
        <vertAlign val="subscript"/>
        <sz val="10"/>
        <rFont val="Arial"/>
        <family val="2"/>
      </rPr>
      <t>2</t>
    </r>
    <r>
      <rPr>
        <sz val="11"/>
        <color theme="1"/>
        <rFont val="Calibri"/>
        <family val="2"/>
        <scheme val="minor"/>
      </rPr>
      <t>H</t>
    </r>
    <r>
      <rPr>
        <vertAlign val="subscript"/>
        <sz val="10"/>
        <rFont val="Arial"/>
        <family val="2"/>
      </rPr>
      <t>5</t>
    </r>
    <r>
      <rPr>
        <sz val="11"/>
        <color theme="1"/>
        <rFont val="Calibri"/>
        <family val="2"/>
        <scheme val="minor"/>
      </rPr>
      <t>)</t>
    </r>
  </si>
  <si>
    <t>HFE-8200</t>
  </si>
  <si>
    <t>blend ethyl nonafluoroisobutyl ether and ethyl nonafluorobutyl ether</t>
  </si>
  <si>
    <t>PFC-14</t>
  </si>
  <si>
    <r>
      <t>Tetrafluoromethane (CF</t>
    </r>
    <r>
      <rPr>
        <vertAlign val="subscript"/>
        <sz val="10"/>
        <rFont val="Arial"/>
        <family val="2"/>
      </rPr>
      <t>4</t>
    </r>
    <r>
      <rPr>
        <sz val="11"/>
        <color theme="1"/>
        <rFont val="Calibri"/>
        <family val="2"/>
        <scheme val="minor"/>
      </rPr>
      <t>)</t>
    </r>
  </si>
  <si>
    <t>PFC-116</t>
  </si>
  <si>
    <r>
      <t>Hexafluoroethane (C</t>
    </r>
    <r>
      <rPr>
        <vertAlign val="subscript"/>
        <sz val="10"/>
        <rFont val="Arial"/>
        <family val="2"/>
      </rPr>
      <t>2</t>
    </r>
    <r>
      <rPr>
        <sz val="11"/>
        <color theme="1"/>
        <rFont val="Calibri"/>
        <family val="2"/>
        <scheme val="minor"/>
      </rPr>
      <t>F</t>
    </r>
    <r>
      <rPr>
        <vertAlign val="subscript"/>
        <sz val="10"/>
        <rFont val="Arial"/>
        <family val="2"/>
      </rPr>
      <t>6</t>
    </r>
    <r>
      <rPr>
        <sz val="11"/>
        <color theme="1"/>
        <rFont val="Calibri"/>
        <family val="2"/>
        <scheme val="minor"/>
      </rPr>
      <t>)</t>
    </r>
  </si>
  <si>
    <t>PFC-218</t>
  </si>
  <si>
    <r>
      <t>Octafluoropropane (C</t>
    </r>
    <r>
      <rPr>
        <vertAlign val="subscript"/>
        <sz val="10"/>
        <rFont val="Arial"/>
        <family val="2"/>
      </rPr>
      <t>3</t>
    </r>
    <r>
      <rPr>
        <sz val="11"/>
        <color theme="1"/>
        <rFont val="Calibri"/>
        <family val="2"/>
        <scheme val="minor"/>
      </rPr>
      <t>F</t>
    </r>
    <r>
      <rPr>
        <vertAlign val="subscript"/>
        <sz val="10"/>
        <rFont val="Arial"/>
        <family val="2"/>
      </rPr>
      <t>8</t>
    </r>
    <r>
      <rPr>
        <sz val="11"/>
        <color theme="1"/>
        <rFont val="Calibri"/>
        <family val="2"/>
        <scheme val="minor"/>
      </rPr>
      <t>)</t>
    </r>
  </si>
  <si>
    <t>PFC-318</t>
  </si>
  <si>
    <r>
      <t>Perfluorocyclobutane (C</t>
    </r>
    <r>
      <rPr>
        <vertAlign val="subscript"/>
        <sz val="10"/>
        <rFont val="Arial"/>
        <family val="2"/>
      </rPr>
      <t>4</t>
    </r>
    <r>
      <rPr>
        <sz val="11"/>
        <color theme="1"/>
        <rFont val="Calibri"/>
        <family val="2"/>
        <scheme val="minor"/>
      </rPr>
      <t>F</t>
    </r>
    <r>
      <rPr>
        <vertAlign val="subscript"/>
        <sz val="10"/>
        <rFont val="Arial"/>
        <family val="2"/>
      </rPr>
      <t>8</t>
    </r>
    <r>
      <rPr>
        <sz val="11"/>
        <color theme="1"/>
        <rFont val="Calibri"/>
        <family val="2"/>
        <scheme val="minor"/>
      </rPr>
      <t>)</t>
    </r>
  </si>
  <si>
    <t>PFC-31-10</t>
  </si>
  <si>
    <r>
      <t>Perfluorobutane (C</t>
    </r>
    <r>
      <rPr>
        <vertAlign val="subscript"/>
        <sz val="10"/>
        <rFont val="Arial"/>
        <family val="2"/>
      </rPr>
      <t>4</t>
    </r>
    <r>
      <rPr>
        <sz val="11"/>
        <color theme="1"/>
        <rFont val="Calibri"/>
        <family val="2"/>
        <scheme val="minor"/>
      </rPr>
      <t>F</t>
    </r>
    <r>
      <rPr>
        <vertAlign val="subscript"/>
        <sz val="10"/>
        <rFont val="Arial"/>
        <family val="2"/>
      </rPr>
      <t>10</t>
    </r>
    <r>
      <rPr>
        <sz val="11"/>
        <color theme="1"/>
        <rFont val="Calibri"/>
        <family val="2"/>
        <scheme val="minor"/>
      </rPr>
      <t>)</t>
    </r>
  </si>
  <si>
    <t>PFC-41-12</t>
  </si>
  <si>
    <r>
      <t>Perfluoropentane (C</t>
    </r>
    <r>
      <rPr>
        <vertAlign val="subscript"/>
        <sz val="10"/>
        <rFont val="Arial"/>
        <family val="2"/>
      </rPr>
      <t>5</t>
    </r>
    <r>
      <rPr>
        <sz val="11"/>
        <color theme="1"/>
        <rFont val="Calibri"/>
        <family val="2"/>
        <scheme val="minor"/>
      </rPr>
      <t>F</t>
    </r>
    <r>
      <rPr>
        <vertAlign val="subscript"/>
        <sz val="10"/>
        <rFont val="Arial"/>
        <family val="2"/>
      </rPr>
      <t>12</t>
    </r>
    <r>
      <rPr>
        <sz val="11"/>
        <color theme="1"/>
        <rFont val="Calibri"/>
        <family val="2"/>
        <scheme val="minor"/>
      </rPr>
      <t>)</t>
    </r>
  </si>
  <si>
    <t>PFC-51-14</t>
  </si>
  <si>
    <r>
      <t>Perfluorohexane (C</t>
    </r>
    <r>
      <rPr>
        <vertAlign val="subscript"/>
        <sz val="10"/>
        <rFont val="Arial"/>
        <family val="2"/>
      </rPr>
      <t>6</t>
    </r>
    <r>
      <rPr>
        <sz val="11"/>
        <color theme="1"/>
        <rFont val="Calibri"/>
        <family val="2"/>
        <scheme val="minor"/>
      </rPr>
      <t>F</t>
    </r>
    <r>
      <rPr>
        <vertAlign val="subscript"/>
        <sz val="10"/>
        <rFont val="Arial"/>
        <family val="2"/>
      </rPr>
      <t>14</t>
    </r>
    <r>
      <rPr>
        <sz val="11"/>
        <color theme="1"/>
        <rFont val="Calibri"/>
        <family val="2"/>
        <scheme val="minor"/>
      </rPr>
      <t>)</t>
    </r>
  </si>
  <si>
    <t>PFC-91-18</t>
  </si>
  <si>
    <r>
      <t>Perfluorodecalin (C</t>
    </r>
    <r>
      <rPr>
        <vertAlign val="subscript"/>
        <sz val="10"/>
        <rFont val="Arial"/>
        <family val="2"/>
      </rPr>
      <t>10</t>
    </r>
    <r>
      <rPr>
        <sz val="11"/>
        <color theme="1"/>
        <rFont val="Calibri"/>
        <family val="2"/>
        <scheme val="minor"/>
      </rPr>
      <t>F</t>
    </r>
    <r>
      <rPr>
        <vertAlign val="subscript"/>
        <sz val="10"/>
        <rFont val="Arial"/>
        <family val="2"/>
      </rPr>
      <t>18</t>
    </r>
    <r>
      <rPr>
        <sz val="11"/>
        <color theme="1"/>
        <rFont val="Calibri"/>
        <family val="2"/>
        <scheme val="minor"/>
      </rPr>
      <t>)</t>
    </r>
  </si>
  <si>
    <t>&gt;1000</t>
  </si>
  <si>
    <t>&gt;5500</t>
  </si>
  <si>
    <r>
      <t>SF</t>
    </r>
    <r>
      <rPr>
        <b/>
        <vertAlign val="subscript"/>
        <sz val="10"/>
        <rFont val="Arial"/>
        <family val="2"/>
      </rPr>
      <t xml:space="preserve">6 </t>
    </r>
    <r>
      <rPr>
        <b/>
        <sz val="10"/>
        <rFont val="Arial"/>
        <family val="2"/>
      </rPr>
      <t>Sulphur Hexafluoride</t>
    </r>
  </si>
  <si>
    <r>
      <t>Sulphur Hexafluoride (SF</t>
    </r>
    <r>
      <rPr>
        <vertAlign val="subscript"/>
        <sz val="10"/>
        <rFont val="Arial"/>
        <family val="2"/>
      </rPr>
      <t>6</t>
    </r>
    <r>
      <rPr>
        <sz val="11"/>
        <color theme="1"/>
        <rFont val="Calibri"/>
        <family val="2"/>
        <scheme val="minor"/>
      </rPr>
      <t>)</t>
    </r>
  </si>
  <si>
    <r>
      <t>NF</t>
    </r>
    <r>
      <rPr>
        <b/>
        <vertAlign val="subscript"/>
        <sz val="10"/>
        <rFont val="Arial"/>
        <family val="2"/>
      </rPr>
      <t>3</t>
    </r>
    <r>
      <rPr>
        <b/>
        <sz val="11"/>
        <color theme="1"/>
        <rFont val="Calibri"/>
        <family val="2"/>
        <scheme val="minor"/>
      </rPr>
      <t xml:space="preserve"> Nitrogen Trifluoride</t>
    </r>
  </si>
  <si>
    <r>
      <t>Nitrogen Trifluoride (NF</t>
    </r>
    <r>
      <rPr>
        <vertAlign val="subscript"/>
        <sz val="10"/>
        <rFont val="Arial"/>
        <family val="2"/>
      </rPr>
      <t>3</t>
    </r>
    <r>
      <rPr>
        <sz val="11"/>
        <color theme="1"/>
        <rFont val="Calibri"/>
        <family val="2"/>
        <scheme val="minor"/>
      </rPr>
      <t>)</t>
    </r>
  </si>
  <si>
    <r>
      <t>SO</t>
    </r>
    <r>
      <rPr>
        <b/>
        <vertAlign val="subscript"/>
        <sz val="10"/>
        <rFont val="Arial"/>
        <family val="2"/>
      </rPr>
      <t>2</t>
    </r>
    <r>
      <rPr>
        <b/>
        <sz val="11"/>
        <color theme="1"/>
        <rFont val="Calibri"/>
        <family val="2"/>
        <scheme val="minor"/>
      </rPr>
      <t>F</t>
    </r>
    <r>
      <rPr>
        <b/>
        <vertAlign val="subscript"/>
        <sz val="10"/>
        <rFont val="Arial"/>
        <family val="2"/>
      </rPr>
      <t>2</t>
    </r>
    <r>
      <rPr>
        <b/>
        <sz val="11"/>
        <color theme="1"/>
        <rFont val="Calibri"/>
        <family val="2"/>
        <scheme val="minor"/>
      </rPr>
      <t xml:space="preserve"> Sulfuryl fluoride</t>
    </r>
  </si>
  <si>
    <r>
      <t>Sulfuryl fluoride (SO</t>
    </r>
    <r>
      <rPr>
        <vertAlign val="subscript"/>
        <sz val="10"/>
        <rFont val="Arial"/>
        <family val="2"/>
      </rPr>
      <t>2</t>
    </r>
    <r>
      <rPr>
        <sz val="11"/>
        <color theme="1"/>
        <rFont val="Calibri"/>
        <family val="2"/>
        <scheme val="minor"/>
      </rPr>
      <t>F</t>
    </r>
    <r>
      <rPr>
        <vertAlign val="subscript"/>
        <sz val="10"/>
        <rFont val="Arial"/>
        <family val="2"/>
      </rPr>
      <t>2</t>
    </r>
    <r>
      <rPr>
        <sz val="11"/>
        <color theme="1"/>
        <rFont val="Calibri"/>
        <family val="2"/>
        <scheme val="minor"/>
      </rPr>
      <t>)</t>
    </r>
  </si>
  <si>
    <t xml:space="preserve">Trifluoromethyl sulfur pentafluoride </t>
  </si>
  <si>
    <r>
      <t>Trifluoromethyl sulfur pentafluoride 
(SF</t>
    </r>
    <r>
      <rPr>
        <vertAlign val="subscript"/>
        <sz val="10"/>
        <rFont val="Arial"/>
        <family val="2"/>
      </rPr>
      <t>5</t>
    </r>
    <r>
      <rPr>
        <sz val="11"/>
        <color theme="1"/>
        <rFont val="Calibri"/>
        <family val="2"/>
        <scheme val="minor"/>
      </rPr>
      <t>CF</t>
    </r>
    <r>
      <rPr>
        <vertAlign val="subscript"/>
        <sz val="10"/>
        <rFont val="Arial"/>
        <family val="2"/>
      </rPr>
      <t>3</t>
    </r>
    <r>
      <rPr>
        <sz val="11"/>
        <color theme="1"/>
        <rFont val="Calibri"/>
        <family val="2"/>
        <scheme val="minor"/>
      </rPr>
      <t>)</t>
    </r>
  </si>
  <si>
    <r>
      <t>Trifluoromethyl iodide (CF3</t>
    </r>
    <r>
      <rPr>
        <b/>
        <sz val="11"/>
        <rFont val="Times New Roman"/>
        <family val="1"/>
      </rPr>
      <t>I</t>
    </r>
    <r>
      <rPr>
        <b/>
        <sz val="11"/>
        <color theme="1"/>
        <rFont val="Calibri"/>
        <family val="2"/>
        <scheme val="minor"/>
      </rPr>
      <t>)</t>
    </r>
  </si>
  <si>
    <r>
      <t>Trifluoromethyl iodide (CF3</t>
    </r>
    <r>
      <rPr>
        <sz val="11"/>
        <rFont val="Times New Roman"/>
        <family val="1"/>
      </rPr>
      <t>I</t>
    </r>
    <r>
      <rPr>
        <sz val="11"/>
        <color theme="1"/>
        <rFont val="Calibri"/>
        <family val="2"/>
        <scheme val="minor"/>
      </rPr>
      <t>), trifluoroiodomethane</t>
    </r>
  </si>
  <si>
    <t>Dimethyl ether (DME)</t>
  </si>
  <si>
    <r>
      <t>Dimethyl ether (DME) (CH</t>
    </r>
    <r>
      <rPr>
        <vertAlign val="subscript"/>
        <sz val="10"/>
        <rFont val="Arial"/>
        <family val="2"/>
      </rPr>
      <t>3</t>
    </r>
    <r>
      <rPr>
        <sz val="10"/>
        <rFont val="Arial"/>
        <family val="2"/>
      </rPr>
      <t>OCH</t>
    </r>
    <r>
      <rPr>
        <vertAlign val="subscript"/>
        <sz val="10"/>
        <rFont val="Arial"/>
        <family val="2"/>
      </rPr>
      <t>3</t>
    </r>
    <r>
      <rPr>
        <sz val="10"/>
        <rFont val="Arial"/>
        <family val="2"/>
      </rPr>
      <t xml:space="preserve"> (C</t>
    </r>
    <r>
      <rPr>
        <vertAlign val="subscript"/>
        <sz val="10"/>
        <rFont val="Arial"/>
        <family val="2"/>
      </rPr>
      <t>2</t>
    </r>
    <r>
      <rPr>
        <sz val="10"/>
        <rFont val="Arial"/>
        <family val="2"/>
      </rPr>
      <t>H</t>
    </r>
    <r>
      <rPr>
        <vertAlign val="subscript"/>
        <sz val="10"/>
        <rFont val="Arial"/>
        <family val="2"/>
      </rPr>
      <t>6</t>
    </r>
    <r>
      <rPr>
        <sz val="10"/>
        <rFont val="Arial"/>
        <family val="2"/>
      </rPr>
      <t>O))</t>
    </r>
  </si>
  <si>
    <t>FOR12A</t>
  </si>
  <si>
    <r>
      <t>HFC-134a 1,1,1,2-Tetrafluoroethane 80%; 
HFC-152a 1,1-Difluoroethane 4%; 
CF</t>
    </r>
    <r>
      <rPr>
        <vertAlign val="subscript"/>
        <sz val="10"/>
        <rFont val="Arial"/>
        <family val="2"/>
      </rPr>
      <t>3</t>
    </r>
    <r>
      <rPr>
        <sz val="10"/>
        <rFont val="Arial"/>
        <family val="2"/>
      </rPr>
      <t>I (Trifluoroiodomethane) 11%</t>
    </r>
  </si>
  <si>
    <t>FOR12B</t>
  </si>
  <si>
    <r>
      <t>HFC-134a 1,1,1,2-Tetrafluoroethane 77%; 
Dimethyl ether (DME) (C</t>
    </r>
    <r>
      <rPr>
        <vertAlign val="subscript"/>
        <sz val="10"/>
        <color indexed="8"/>
        <rFont val="Arial"/>
        <family val="2"/>
      </rPr>
      <t>2</t>
    </r>
    <r>
      <rPr>
        <sz val="10"/>
        <color indexed="8"/>
        <rFont val="Arial"/>
        <family val="2"/>
      </rPr>
      <t>H</t>
    </r>
    <r>
      <rPr>
        <vertAlign val="subscript"/>
        <sz val="10"/>
        <color indexed="8"/>
        <rFont val="Arial"/>
        <family val="2"/>
      </rPr>
      <t>6</t>
    </r>
    <r>
      <rPr>
        <sz val="10"/>
        <color indexed="8"/>
        <rFont val="Arial"/>
        <family val="2"/>
      </rPr>
      <t>O) 2%; 
CF</t>
    </r>
    <r>
      <rPr>
        <vertAlign val="subscript"/>
        <sz val="10"/>
        <color indexed="8"/>
        <rFont val="Arial"/>
        <family val="2"/>
      </rPr>
      <t>3</t>
    </r>
    <r>
      <rPr>
        <sz val="10"/>
        <color indexed="8"/>
        <rFont val="Arial"/>
        <family val="2"/>
      </rPr>
      <t>I (Trifluoroiodomethane) 21%</t>
    </r>
  </si>
  <si>
    <t>Freeze 12</t>
  </si>
  <si>
    <t>HCFC-142b Monochlorodifluoroethane 20%; 
HFC-134a 1,1,1,2-Tetrafluoroethane 80%</t>
  </si>
  <si>
    <t>Free Zone</t>
  </si>
  <si>
    <t>HCFC-142b Monochlorodifluoroethane 19%; 
HFC-134a 1,1,1,2-Tetrafluoroethane 79%</t>
  </si>
  <si>
    <t>FRIGC FR-12</t>
  </si>
  <si>
    <t>HCFC-124 2-Chloro-1,1,1,2-Tetrafluoroethane  39%; 
HFC-134a 1,1,1,2-Tetrafluoroethane 59%; 
n-Butane 2%</t>
  </si>
  <si>
    <t>G2018C</t>
  </si>
  <si>
    <t>HCFC-22 Chlorodifluoromethane 95.5%;  
HFC-152a 1,1-Difluoroethane 1.5%; 
Propylene R-1270 3%</t>
  </si>
  <si>
    <t>GHG-HP</t>
  </si>
  <si>
    <t>HCFC-22 Chlorodifluoromethane 65%; 
HCFC-142B Monochlorodifluoroethane 31%
Isobutane R-600a 4%</t>
  </si>
  <si>
    <t>GHG-X5</t>
  </si>
  <si>
    <t>HCFC-22 Chlorodifluoromethane 41%; 
HCFC-142B Monochlorodifluoroethane 15%;
HFC-227ea 1,1,1,2,3,3,3-Heptafluoropropane 40%
Isobutane R-600a 4%</t>
  </si>
  <si>
    <t>HFC-134a 1,1,1,2-Tetrafluoroethane 78.8%;
HFC-125 Pentafluoroethane 19.5%; 
R-600a (Isobutane) 1.7%</t>
  </si>
  <si>
    <t>Ikon A</t>
  </si>
  <si>
    <t>HFC-152a (unknown %);
CF3I (trifluoroiodomethane) (unknown %)</t>
  </si>
  <si>
    <t>Ikon B</t>
  </si>
  <si>
    <t>HFC-134a (unknown %); 
HFC-152a (unknown %);
CF3I (trifluoroiodomethane) (unknown %)</t>
  </si>
  <si>
    <t>HFC-125 Pentafluoroethane 86%;
PFC-218 Octafluoropropane 9%;
Propane (R-290) 5%</t>
  </si>
  <si>
    <t>NARM-502</t>
  </si>
  <si>
    <t>HCFC-22 Chlorodifluoromethane 90%; 
HFC-23 Trifluoromethane 5%; 
HFC-152a 1,1-Difluoroethane 5%</t>
  </si>
  <si>
    <t>R-401A</t>
  </si>
  <si>
    <t>HCFC-22 Chlorodifluoromethane 53%;  
HCFC-124  2-Chloro-1,1,1,2-Tetrafluoroethane 34%;
HFC-152a 1,1-Difluoroethane 13%</t>
  </si>
  <si>
    <t>R-401B</t>
  </si>
  <si>
    <t>HCFC-22 Chlorodifluoromethane 61%;  
HCFC-124  2-Chloro-1,1,1,2-Tetrafluoroethane 28%;
HFC-152a 1,1-Difluoroethane 11%</t>
  </si>
  <si>
    <t>R-401C</t>
  </si>
  <si>
    <t>HCFC-22 Chlorodifluoromethane 33%;  
HCFC-124  2-Chloro-1,1,1,2-Tetrafluoroethane 52%;
HFC-152a 1,1-Difluoroethane 15%</t>
  </si>
  <si>
    <t>R-402A</t>
  </si>
  <si>
    <t>HCFC-22 Chlorodifluoromethane 38%; 
HFC-125 Pentafluoroethane 60%; 
Propane (R-290) 2%</t>
  </si>
  <si>
    <t>R-402B</t>
  </si>
  <si>
    <t>HCFC-22 Chlorodifluoromethane 60%; 
HFC-125 Pentafluoroethane 38%; 
Propane (R-290) 2%</t>
  </si>
  <si>
    <t>R-403B</t>
  </si>
  <si>
    <t>HCFC-22 Chlorodifluoromethane 56%; 
PFC-218 Octafluoropropane 39%;
Propane (R-290) 5%</t>
  </si>
  <si>
    <t>R-404A</t>
  </si>
  <si>
    <t>HFC-125 Pentafluoroethane 44%; 
HFC-134a 1,1,1,2-Tetrafluoroethane 4% 
HFC-143a 1,1,1-Trifluoroethane 52%</t>
  </si>
  <si>
    <t>52 years (143a); 
29 years (125); 
14.6 years (134a)</t>
  </si>
  <si>
    <t>R-406A</t>
  </si>
  <si>
    <t>HCFC-22 Chlorodifluoromethane 55%; 
HCFC-142B Monochlorodifluoroethane 41%
Isobutane R-600a 4%</t>
  </si>
  <si>
    <t>R-407A</t>
  </si>
  <si>
    <t>HFC-32 Difluoromethane 20%; 
HFC-125 Pentafluoroethane 40%; 
HFC-134a 1,1,1,2-Tetrafluoroethane 40%</t>
  </si>
  <si>
    <t>29 years (R-125); 
4.9 years (R-32)</t>
  </si>
  <si>
    <t>R-407B</t>
  </si>
  <si>
    <t>HFC-32 Difluoromethane 10%; 
HFC-125 Pentafluoroethane 70%; 
HFC-134a 1,1,1,2-Tetrafluoroethane 20%</t>
  </si>
  <si>
    <t>R-407C</t>
  </si>
  <si>
    <t>HFC-32 Difluoromethane 23%: 
HFC-125 Pentafluoroethane 25%; 
HFC-134a 1,1,1,2-Tetrafluoroethane 52%</t>
  </si>
  <si>
    <t>R-407D</t>
  </si>
  <si>
    <t>HFC-32 Difluoromethane 15%: 
HFC-125 Pentafluoroethane 15%; 
HFC-134a 1,1,1,2-Tetrafluoroethane 70%</t>
  </si>
  <si>
    <t>R-407F</t>
  </si>
  <si>
    <t>HFC-32 Difluoromethane 30%: 
HFC-125 Pentafluoroethane 30%; 
HFC-134a 1,1,1,2-Tetrafluoroethane 40%</t>
  </si>
  <si>
    <t>R-407H</t>
  </si>
  <si>
    <t>HFC-32 Difluoromethane 32.5%: 
HFC-125 Pentafluoroethane 15.0%; 
HFC-134a 1,1,1,2-Tetrafluoroethane 52.5%</t>
  </si>
  <si>
    <t>R-408A</t>
  </si>
  <si>
    <t>HCFC-22 Chlorodifluoromethane 47%; 
HFC-125 Pentafluoroethane 7%; 
HFC-143A 1-1-1 Trifluoroethane 46%</t>
  </si>
  <si>
    <t>R-409A</t>
  </si>
  <si>
    <r>
      <t xml:space="preserve">HCFC-22 Chlorodifluoromethane 60%;  
HCFC-124  2-Chloro-1,1,1,2-Tetrafluoroethane 25%; 
HCFC-142b </t>
    </r>
    <r>
      <rPr>
        <sz val="9"/>
        <color indexed="8"/>
        <rFont val="Arial"/>
        <family val="2"/>
      </rPr>
      <t>1-Chloro-1,1-Difluoroethane 15%</t>
    </r>
  </si>
  <si>
    <t>HFC-32 Difluoromethane 50%;
HFC-125 Pentafluoroethane 50%</t>
  </si>
  <si>
    <t>R-410B</t>
  </si>
  <si>
    <t>HFC-32 Difluoromethane 45%;
HFC-125 Pentafluoroethane 55%</t>
  </si>
  <si>
    <t>R-411A</t>
  </si>
  <si>
    <t>HCFC-22 Chlorodifluoromethane 87.5%;  
HFC-152a 1,1-Difluoroethane 11%; 
Propylene R-1270 1.5%</t>
  </si>
  <si>
    <t>R-411B</t>
  </si>
  <si>
    <t>HCFC-22 Chlorodifluoromethane 94%;  
HFC-152a 1,1-Difluoroethane 3%; 
Propylene R-1270 3%</t>
  </si>
  <si>
    <t>R-413A</t>
  </si>
  <si>
    <t>HFC-134a 1,1,1,2-Tetrafluoroethane 88%;
PFC-218 Octafluoropropane 9%;
Isobutane 3%</t>
  </si>
  <si>
    <t>R-414A</t>
  </si>
  <si>
    <t>HCFC-22 Chlorodifluoromethane 51%; 
HCFC-124 Monochlorotetrafluoroethane 39%; 
HCFC-142b Monochlorodifluoroethane 6%; 
R-600a Isobutane (hydrocarbon) 4%</t>
  </si>
  <si>
    <t>R-414B</t>
  </si>
  <si>
    <t>HCFC-22 Chlorodifluoromethane 50%; 
HCFC-124 Monochlorotetrafluoroethane 39%; 
HCFC-142b Monochlorodifluoroethane 9.5%; 
R-600a Isobutane (hydrocarbon) 1.5%</t>
  </si>
  <si>
    <t>R-416A</t>
  </si>
  <si>
    <t>HFC-134a 1,1,1,2-Tetrafluoroethane 59%; 
HCFC-124 1-Chloro-1,2,2,2-tetrafluoroethane 39.5%;
R-600a Isobutane (hydrocarbon) 1.5%</t>
  </si>
  <si>
    <t>R-417A</t>
  </si>
  <si>
    <t>HFC-134a 1,1,1,2-Tetrafluoroethane 50%;
HFC-125 Pentafluoroethane 46.6%; 
Butane 3.4%</t>
  </si>
  <si>
    <t>HFC-125 Pentafluoroethane 79%; 
HFC-134a 1,1,1,2-Tetrafluoroethane 18.25%;
R-600 Butane 2.75%</t>
  </si>
  <si>
    <t>R-417C</t>
  </si>
  <si>
    <t>R-420A</t>
  </si>
  <si>
    <t>HCFC-142b Monochlorodifluoroethane 12%; 
HFC-134a 1,1,1,2-Tetrafluoroethane 88%</t>
  </si>
  <si>
    <t>R-421A</t>
  </si>
  <si>
    <t>HFC-125 Pentafluoroethane 58%
HFC-134a 1,1,1,2-Tetrafluoroethane 42%</t>
  </si>
  <si>
    <t>R-421B</t>
  </si>
  <si>
    <t>HFC-125 Pentafluoroethane 85%
HFC-134a 1,1,1,2-Tetrafluoroethane 15%</t>
  </si>
  <si>
    <t>R-422A</t>
  </si>
  <si>
    <t>HFC-134a 1,1,1,2-Tetrafluoroethane 11.5%;
HFC-125 Pentafluoroethane 85.1%; 
Isobutane 3.4%</t>
  </si>
  <si>
    <t>R-422B</t>
  </si>
  <si>
    <t>HFC-134a 1,1,1,2-Tetrafluoroethane 42%;
HFC-125 Pentafluoroethane 55%; 
Isobutane 3%</t>
  </si>
  <si>
    <t>R-422C</t>
  </si>
  <si>
    <t>HFC-125 Pentafluoroethane 82%; 
HFC-134a 1,1,1,2-Tetrafluoroethane 15%;
Isobutane R-600a 3%</t>
  </si>
  <si>
    <t>R-422D</t>
  </si>
  <si>
    <t>HFC-125 Pentafluoroethane 65.1%; 
HFC-134a 1,1,1,2-Tetrafluoroethane 31.5%;
Isobutane 3.4%</t>
  </si>
  <si>
    <t>R-423A</t>
  </si>
  <si>
    <t>HFC-134a 1,1,1,2-Tetrafluoroethane 52.5%;
HFC-227ea 1,1,1,2,3,3,3-Heptafluoropropane 47.5%</t>
  </si>
  <si>
    <t>R-424A</t>
  </si>
  <si>
    <t>HFC-125 Pentafluoroethane 50.5%; 
HFC-134a 1,1,1,2-Tetrafluoroethane 47.0%;
Butane (R-600) 1.0%
Isobutane (R-600a) 0.9%
Isopentane (R-601a) 0.6%</t>
  </si>
  <si>
    <t>R-426A</t>
  </si>
  <si>
    <t>HFC-125 Pentafluoroethane 5.1%; 
HFC-134a 1,1,1,2-Tetrafluoroethane 93.0%;
Butane (R-600) 1.3%
Isobutane (R-600a) 0.6%</t>
  </si>
  <si>
    <t>R-427A</t>
  </si>
  <si>
    <t>HFC-32 Difluoromethane 15%; 
HFC-125 Pentafluoroethane 25%;
HFC-134a 1,1,1,2-Tetrafluoroethane 50%;
HFC-143a 1,1,1-Trifluoroethane 10%</t>
  </si>
  <si>
    <t>R-428A</t>
  </si>
  <si>
    <t>HFC-125 Pentafluoroethane 77.5%;
HFC-143a 1,1,1-Trifluoroethane 20.0%; 
Propane (R-290) 0.6%; 
Isobutane (R-600a) 1.9%</t>
  </si>
  <si>
    <t>R-434A</t>
  </si>
  <si>
    <t>HFC-125 Pentafluoroethane 63.2%;
HFC-143a 1,1,1-Trifluoroethane 18%; 
HFC-134a 1,1,1,2-Tetrafluoroethane 16%;
Isobutane (R-600a) 2.8%</t>
  </si>
  <si>
    <t>R-436A</t>
  </si>
  <si>
    <t>Hydrocarbon blend of 54% propane (R-290), 
46% isobutane (R-600a)</t>
  </si>
  <si>
    <t>R-437A</t>
  </si>
  <si>
    <t>HFC-125 Pentafluoroethane 19.5%;
HFC-134a 1,1,1,2-Tetrafluoroethane 78.5%;
Butane (R-600) 1.4%;
Pentane (R-601) 0.6%</t>
  </si>
  <si>
    <t>HFC-125 Pentafluoroethane 45%;
HFC-134a 1,1,1,2-Tetrafluoroethane 44.2%;
HFC-32 Difluoromethane 8.5%; 
IsoButane (R-600a) 1.7%;
Isopentane (R-601) 0.6%</t>
  </si>
  <si>
    <t>R-441A</t>
  </si>
  <si>
    <t>Hydrocarbon blend of 3.1% ethane (R-170); 
54.8% propane (R-290), 
36.1% n-Butane (R-600), and 
6.0% isobutane (R-660a)</t>
  </si>
  <si>
    <t>R-442A</t>
  </si>
  <si>
    <t>HFC-32 Difluoromethane 31%; 
HFC-125 Pentafluoroethane 31%;
HFC-134a 1,1,1,2-Tetrafluoroethane 30%;
HFC-152a 1,1-Difluoroethane 3%;
HFC-227ea 1,1,1,2,3,3,3-Heptafluoropropane 5%</t>
  </si>
  <si>
    <t>R-443A</t>
  </si>
  <si>
    <t>Propane, isobutane, butane &gt; 75%, hydrocarbon blend (Unacceptable for AC, SNAP list)</t>
  </si>
  <si>
    <t>R-444A</t>
  </si>
  <si>
    <t>HFC-32 Difluoromethane 12%; 
HFC-152a 1,1-Difluoroethane 5%;
R-1234ze HFO-1234ze(E) 83%</t>
  </si>
  <si>
    <t>no MSDS yet</t>
  </si>
  <si>
    <t>R-444B</t>
  </si>
  <si>
    <t xml:space="preserve">HFC-32 Difluoromethane 41.5%; 
R-152a 1,1-Difluoroethane 10%;
R-1234ze HFO-1234ze 48.5% </t>
  </si>
  <si>
    <t>R-445A</t>
  </si>
  <si>
    <r>
      <t>HFC-134a 1,1,1,2-Tetrafluoroethane 9%;
R-744 CO</t>
    </r>
    <r>
      <rPr>
        <vertAlign val="subscript"/>
        <sz val="10"/>
        <color indexed="8"/>
        <rFont val="Arial"/>
        <family val="2"/>
      </rPr>
      <t>2</t>
    </r>
    <r>
      <rPr>
        <sz val="10"/>
        <color indexed="8"/>
        <rFont val="Arial"/>
        <family val="2"/>
      </rPr>
      <t xml:space="preserve"> 6%;
R-1234ze HFO-1234ze 85%</t>
    </r>
  </si>
  <si>
    <t>R-446A</t>
  </si>
  <si>
    <t>HFC-32 Difluoromethane 68%; 
R-1234ze HFO-1234ze 29%; 
R-600a isobutane 3%</t>
  </si>
  <si>
    <t>R-447A</t>
  </si>
  <si>
    <t>HFC-32 Difluoromethane 68%; 
HFC-125 Pentafluoroethane 3.5%;
R-1234ze HFO-1234ze(E) 28.5%</t>
  </si>
  <si>
    <t>R-447B</t>
  </si>
  <si>
    <t>HFC-32 Difluoromethane 68%; 
R-1234ze HFO-1234ze(E) 24%; 
HFC-125 Pentafluoroethane 8%</t>
  </si>
  <si>
    <t>R-448A</t>
  </si>
  <si>
    <t>HFC-32 Difluoromethane 26%; 
HFC-125 Pentafluoroethane 26%;
HFC-134a 1,1,1,2-Tetrafluoroethane 21%;
R-1234yf HFO-1234yf 2,3,3,3-Tetrafluoropropene 20%; 
R-1234ze HFO-1234ze 7%</t>
  </si>
  <si>
    <t>R-449A</t>
  </si>
  <si>
    <t>HFC-32 Difluoromethane 24.3%; 
HFC-125 Pentafluoroethane 24.7%;
HFC-134a 1,1,1,2-Tetrafluoroethane 25.7%;
R-1234yf HFO-1234yf 2,3,3,3-Tetrafluoropropene 25.3%</t>
  </si>
  <si>
    <t>R-449B</t>
  </si>
  <si>
    <t>HFC-32 Difluoromethane 25.2%; 
HFC-125 Pentafluoroethane 24.3%;
HFC-134a 1,1,1,2-Tetrafluoroethane 27.3%;
R-1234yf HFO-1234yf 2,3,3,3-Tetrafluoropropene 23.2%</t>
  </si>
  <si>
    <t>R-450A</t>
  </si>
  <si>
    <t>HFC-134a 1,1,1,2-Tetrafluoroethane 42%;
R-1234ze HFO-1234ze 58%</t>
  </si>
  <si>
    <t>R-451A</t>
  </si>
  <si>
    <t>HFC-134a 1,1,1,2-Tetrafluoroethane 10.2%;
R-1234ze HFO-1234ze 89.8%</t>
  </si>
  <si>
    <t>R-451B</t>
  </si>
  <si>
    <t>HFC-134a 1,1,1,2-Tetrafluoroethane 11.2%;
R-1234ze HFO-1234ze 88.8%</t>
  </si>
  <si>
    <t>R-452A</t>
  </si>
  <si>
    <t>HFC-32 Difluoromethane 11%
HFC-125 Pentafluoroethane 59%;
HFO-1234yf 2,3,3,3-Tetrafluoropropene 30%</t>
  </si>
  <si>
    <t>R-452B</t>
  </si>
  <si>
    <t>HFC-32 Difluoromethane 67%
HFC-125 Pentafluoroethane 7%;
HFO-1234yf 2,3,3,3-Tetrafluoropropene 26%</t>
  </si>
  <si>
    <t>R-452C</t>
  </si>
  <si>
    <t>HFC-32 Difluoromethane 12.5%
HFC-125 Pentafluoroethane 61.0%;
HFO-1234yf 2,3,3,3-Tetrafluoropropene 26.5%</t>
  </si>
  <si>
    <t>R-453A</t>
  </si>
  <si>
    <t>HFC-32 Difluoromethane 20%; 
HFC-125 Pentafluoroethane 20%; 
HFC-134a 1,1,1,2-Tetrafluoroethane (norflurane on MSDS) 53.8%; 
HFC-227ea 1,1,1,2,3,3,3-Heptafluoropropane 5%; 
R-600 Butane 0.6%;
R-600a Isobutane 0.6%</t>
  </si>
  <si>
    <t>R-454A</t>
  </si>
  <si>
    <t>HFC-32 Difluoromethane 35%; 
HFO-1234yf 2,3,3,3-Tetrafluoropropene 65%</t>
  </si>
  <si>
    <t>R-454B</t>
  </si>
  <si>
    <t>HFC-32 Difluoromethane 68.9%; 
HFO-1234yf 2,3,3,3-Tetrafluoropropene 31.1%</t>
  </si>
  <si>
    <t>R-454C</t>
  </si>
  <si>
    <t xml:space="preserve">HFO-1234yf 2,3,3,3-Tetrafluoropropene 78.5%; 
HFC-32 Difluoromethane 21.5%
</t>
  </si>
  <si>
    <t>R-455A</t>
  </si>
  <si>
    <r>
      <t>HFC-32 Difluoromethane 21.5%; 
HFO-1234yf 2,3,3,3-Tetrafluoropropene 75.5%;
R-744 CO</t>
    </r>
    <r>
      <rPr>
        <vertAlign val="subscript"/>
        <sz val="10"/>
        <color indexed="8"/>
        <rFont val="Arial"/>
        <family val="2"/>
      </rPr>
      <t xml:space="preserve">2 </t>
    </r>
    <r>
      <rPr>
        <sz val="10"/>
        <color indexed="8"/>
        <rFont val="Arial"/>
        <family val="2"/>
      </rPr>
      <t xml:space="preserve"> 3.0%</t>
    </r>
  </si>
  <si>
    <t>R-456A</t>
  </si>
  <si>
    <t xml:space="preserve">HFO-1234ze(E) 49%; 
HFC-134a 1,1,1,2-Tetrafluoroethane 45%; 
HFC-32 Difluoromethane 6% </t>
  </si>
  <si>
    <t>R-457A</t>
  </si>
  <si>
    <t>HFO-1234yf 2,3,3,3-Tetrafluoropropene 70.0%; 
HFC-32 Difluoromethane 18.0%; 
HFC-152a 1,1-Difluoroethane 12.0%</t>
  </si>
  <si>
    <t>R-458A</t>
  </si>
  <si>
    <t>See also Tdx 20 by Bluon. 
HFC-134a - 61.4%;
HFC-32 - 20.5%;
HFC-227ea - 13.5%; 
HFC-125 - 4.0%; 
HFC-236fa - 0.6%</t>
  </si>
  <si>
    <t>R-461A</t>
  </si>
  <si>
    <t>HFC-125 Pentafluoroethane 55%; 
HFC-134a 1,1,1,2-Tetrafluoroethane 32%; 
HFC-143a 1,1,1-Trifluoroethane 5%;
HFC-227ea 1,1,1,2,3,3,3-Heptafluoropropane 5%;
R-600a isobutane 3%</t>
  </si>
  <si>
    <t>R-462A</t>
  </si>
  <si>
    <t>HFC-134a 1,1,1,2-Tetrafluoroethane 44%; 
HFC-125 Pentafluoroethane 42%; 
HFC-32 Difluoromethane 9%; 
R-600a isobutane 3%; 
HFC-143a 1,1,1-Trifluoroethane 2%</t>
  </si>
  <si>
    <t>R-466A</t>
  </si>
  <si>
    <t>HFC-32 Difluoromethane 49%; 
HFC-125 Pentafluoroethane 11.5%; 
CF3I (trifluoroiodide) 39.5%</t>
  </si>
  <si>
    <t>R-500</t>
  </si>
  <si>
    <t>CFC-12 Dichlorodifluoromethane (73.8%); 
HFC-152a 1,1, Difluoroethane (26.2%)</t>
  </si>
  <si>
    <t>R-502</t>
  </si>
  <si>
    <t>HCFC-22  Monochlorodifluoromethane 48.8%; 
CFC-115 Monochloropentafluoroethane 51.2%</t>
  </si>
  <si>
    <t>12 years (R-22); 
7100 years (R-115)</t>
  </si>
  <si>
    <t>R-503</t>
  </si>
  <si>
    <t>CFC-13 Chlorotrifluoromethane 60% 
HFC-23 Trifluoromethane 40%</t>
  </si>
  <si>
    <t>R-507</t>
  </si>
  <si>
    <t>HFC-125 Pentafluoroethane 50%; 
HFC-143a 1,1,1-Trifluoroethane 50%</t>
  </si>
  <si>
    <t>29 years (R-125); 
52 years (R-143a)</t>
  </si>
  <si>
    <t>R-508A</t>
  </si>
  <si>
    <t>HFC-23 Trifluoromethane 39%
PFC-116 Hexafluoroethane 61%</t>
  </si>
  <si>
    <t>R-508B</t>
  </si>
  <si>
    <t>HFC-23 Trifluoromethane 46%
PFC-116 Hexafluoroethane 54%</t>
  </si>
  <si>
    <t>R-513A</t>
  </si>
  <si>
    <t>HFO-1234yf 2,3,3,3-Tetrafluoropropene 56%; 
HFC-134a 1,1,1,2-Tetrafluoroethane 44%</t>
  </si>
  <si>
    <t>R-514A</t>
  </si>
  <si>
    <t>HFO 1336mzz(Z) - 74.7%; 
Trans-1,2-dichloroethylene (t-DCE) - 25.3%</t>
  </si>
  <si>
    <t>R-515A</t>
  </si>
  <si>
    <t>R-1234ze(E) HFO 88%; 
HFC-227ea heptafluoropropane - 12%</t>
  </si>
  <si>
    <t>HFO-1234yf 2,3,3,3-Tetrafluoropropene 77.5%;
HFC-152a, 1,1-Difluoroethane 14%; 
HFC-134a 1,1,1,2-Tetrafluoroethane 8.5%</t>
  </si>
  <si>
    <r>
      <t>HFC-134a 1,1,1,2-Tetrafluoroethane &gt; 96%;
Butane (R-600) C</t>
    </r>
    <r>
      <rPr>
        <vertAlign val="subscript"/>
        <sz val="10"/>
        <color indexed="8"/>
        <rFont val="Arial"/>
        <family val="2"/>
      </rPr>
      <t>5</t>
    </r>
    <r>
      <rPr>
        <sz val="10"/>
        <color indexed="8"/>
        <rFont val="Arial"/>
        <family val="2"/>
      </rPr>
      <t>H</t>
    </r>
    <r>
      <rPr>
        <vertAlign val="subscript"/>
        <sz val="10"/>
        <color indexed="8"/>
        <rFont val="Arial"/>
        <family val="2"/>
      </rPr>
      <t>10</t>
    </r>
    <r>
      <rPr>
        <sz val="10"/>
        <color indexed="8"/>
        <rFont val="Arial"/>
        <family val="2"/>
      </rPr>
      <t xml:space="preserve"> &lt; 3.9%
Additive &lt; 0.1%</t>
    </r>
  </si>
  <si>
    <t>TDX20 see also R-458A</t>
  </si>
  <si>
    <t>TDX20 from Bluon Energy; see also R-458A</t>
  </si>
  <si>
    <t>THR-03</t>
  </si>
  <si>
    <t>THR-03, also THR03</t>
  </si>
  <si>
    <t>DR-3</t>
  </si>
  <si>
    <t>DR-3 is "developmental refrigerant" 3, and is pre-commercial as of May 2016</t>
  </si>
  <si>
    <r>
      <t>2-bromotrifluoropropene (C</t>
    </r>
    <r>
      <rPr>
        <vertAlign val="subscript"/>
        <sz val="10"/>
        <rFont val="Arial"/>
        <family val="2"/>
      </rPr>
      <t>3</t>
    </r>
    <r>
      <rPr>
        <sz val="10"/>
        <rFont val="Arial"/>
        <family val="2"/>
      </rPr>
      <t>H</t>
    </r>
    <r>
      <rPr>
        <vertAlign val="subscript"/>
        <sz val="10"/>
        <rFont val="Arial"/>
        <family val="2"/>
      </rPr>
      <t>2</t>
    </r>
    <r>
      <rPr>
        <sz val="10"/>
        <rFont val="Arial"/>
        <family val="2"/>
      </rPr>
      <t>BrF</t>
    </r>
    <r>
      <rPr>
        <vertAlign val="subscript"/>
        <sz val="10"/>
        <rFont val="Arial"/>
        <family val="2"/>
      </rPr>
      <t>3</t>
    </r>
    <r>
      <rPr>
        <sz val="10"/>
        <rFont val="Arial"/>
        <family val="2"/>
      </rPr>
      <t>) (BTP) fire suppressant</t>
    </r>
  </si>
  <si>
    <t>User must specify refrigerant GWP on the Dashboard sheet. Note that the California Air Resources Board maintains a list of common refrigerants available at: https://ww2.arb.ca.gov/resources/documents/high-gwp-refrigerants</t>
  </si>
  <si>
    <t>Sources:</t>
  </si>
  <si>
    <t xml:space="preserve">1)  http://www.ipcc.ch/pdf/assessment-report/ar4/wg1/ar4-wg1-chapter2.pdf (see Table 2.14 for GWP values) </t>
  </si>
  <si>
    <t>2)  http://www.epa.gov/climatechange/emissions/downloads/ghg_gwp.pdf   (not a primary source for GWPs)</t>
  </si>
  <si>
    <t>3)  http://www.grida.no/climate/ipcc_tar/wg1/130.htm#tab41a</t>
  </si>
  <si>
    <t>Name</t>
  </si>
  <si>
    <t>Value</t>
  </si>
  <si>
    <t>Units</t>
  </si>
  <si>
    <t>Ton to Tonne</t>
  </si>
  <si>
    <t>short tons/metric tonne</t>
  </si>
  <si>
    <t>MMBtu to Therms</t>
  </si>
  <si>
    <t>MMBtu/therm</t>
  </si>
  <si>
    <t>Btu to Therm</t>
  </si>
  <si>
    <t>Btu/therm</t>
  </si>
  <si>
    <t>Btu to kWh</t>
  </si>
  <si>
    <t>Natural Gas Carbon Content</t>
  </si>
  <si>
    <t>metric tons/therm</t>
  </si>
  <si>
    <t>CCGT Characteristics</t>
  </si>
  <si>
    <t>Heat Rate</t>
  </si>
  <si>
    <t>&lt;&lt; Consistent with 2022 ACC high efficiency gas plant cut off</t>
  </si>
  <si>
    <t>Natural Gas Emissions (at generator)</t>
  </si>
  <si>
    <t>tonnes/MWh generated</t>
  </si>
  <si>
    <t>Natural Gas Emissions (delivered)</t>
  </si>
  <si>
    <t>tonnes/MWh delivered</t>
  </si>
  <si>
    <t>PG&amp;E</t>
  </si>
  <si>
    <t>SCE</t>
  </si>
  <si>
    <t>SDG&amp;E</t>
  </si>
  <si>
    <t>Weighted Average Loss Factor</t>
  </si>
  <si>
    <t>Statewide Average</t>
  </si>
  <si>
    <t>TOU Period</t>
  </si>
  <si>
    <t>Summer Peak</t>
  </si>
  <si>
    <t>Summer Shoulder</t>
  </si>
  <si>
    <t>Summer Off-Peak</t>
  </si>
  <si>
    <t>Winter Peak</t>
  </si>
  <si>
    <t>Winter Shoulder</t>
  </si>
  <si>
    <t>Winter Off-Peak</t>
  </si>
  <si>
    <t>Number of hours by TOU Period</t>
  </si>
  <si>
    <t>Total Hours</t>
  </si>
  <si>
    <t>Methane leakage adders from 2022 ACC Electric Model v1b</t>
  </si>
  <si>
    <t>Variable</t>
  </si>
  <si>
    <t xml:space="preserve">Included in Electrcity? </t>
  </si>
  <si>
    <t>Value for Electricity</t>
  </si>
  <si>
    <t>Included in Gas?</t>
  </si>
  <si>
    <t>Value for Gas</t>
  </si>
  <si>
    <t>Note</t>
  </si>
  <si>
    <t>Source</t>
  </si>
  <si>
    <t>Upstream in-state methane leakage</t>
  </si>
  <si>
    <t>Yes</t>
  </si>
  <si>
    <t>Methane leakage upstream of natural gas power plants. Also applies to programs that change natural gas consumption only.  Methane leakage avoided cost is this percentage times the value of GHG emissions</t>
  </si>
  <si>
    <t>ACC</t>
  </si>
  <si>
    <t>Residential behind-the-meter methane leakage</t>
  </si>
  <si>
    <t>Applies only to programs that eliminate natural gas appliances from a residential building.</t>
  </si>
  <si>
    <t>Select  GWP time horizon</t>
  </si>
  <si>
    <t>100-yr GWP</t>
  </si>
  <si>
    <t>Methane leakage GWPs (AR4)</t>
  </si>
  <si>
    <t>20-yr GWP</t>
  </si>
  <si>
    <t>Type</t>
  </si>
  <si>
    <t>Commerical</t>
  </si>
  <si>
    <t>N/A</t>
  </si>
  <si>
    <t>Defaults to 100-yr GWP, consistent with CARB recommendation, edit on "Reference" sheet</t>
  </si>
  <si>
    <t>2.2.2: "First" Baseline (Existing) Device Refrigerant Leakage Calculations (Per Unit)</t>
  </si>
  <si>
    <t>2.2.3: Measure Device Refrigerant Leakage Calculations (Per Unit)</t>
  </si>
  <si>
    <t>2.2.4: Second Baseline Refrigerant Leakage Calculations (Per Unit) [For AR]</t>
  </si>
  <si>
    <t xml:space="preserve">Device does not use refrigerant </t>
  </si>
  <si>
    <t>2022 ACC Electric Model v1b - IRP 2021 Reference System Plan</t>
  </si>
  <si>
    <t>Loss Factors from 2022 ACC Electric Model v1b</t>
  </si>
  <si>
    <t>Residential 50 Gallons Heat Pump Domestic Water Heater--EXAMPLE</t>
  </si>
  <si>
    <t>Please do not Cut-and-Paste cells or ranges. To review formulas, use password FuelSub2022.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</si>
</sst>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_(* #,##0_);_(* \(#,##0\);_(* &quot;-&quot;??_);_(@_)"/>
    <numFmt numFmtId="165" formatCode="_(* #,##0.0_);_(* \(#,##0.0\);_(* &quot;-&quot;??_);_(@_)"/>
    <numFmt numFmtId="166" formatCode="0.000"/>
    <numFmt numFmtId="167" formatCode="_(* #,##0.000_);_(* \(#,##0.000\);_(* &quot;-&quot;??_);_(@_)"/>
    <numFmt numFmtId="168" formatCode="[$-409]mmmm\ d\,\ yyyy;@"/>
    <numFmt numFmtId="169" formatCode="0.0"/>
    <numFmt numFmtId="170" formatCode="#,##0.0"/>
    <numFmt numFmtId="171" formatCode="#,##0.000"/>
    <numFmt numFmtId="172" formatCode="0.000E+00"/>
    <numFmt numFmtId="173" formatCode="0.0%"/>
    <numFmt numFmtId="174" formatCode="_(&quot;$&quot;* #,##0_);_(&quot;$&quot;* \(#,##0\);_(&quot;$&quot;* &quot;-&quot;??_);_(@_)"/>
    <numFmt numFmtId="175" formatCode="0.000000"/>
    <numFmt numFmtId="176" formatCode="#,##0.000_);\(#,##0.000\)"/>
    <numFmt numFmtId="177" formatCode="#,##0.0_);\(#,##0.0\)"/>
    <numFmt numFmtId="178" formatCode="0.00000"/>
  </numFmts>
  <fonts count="80">
    <font>
      <sz val="11"/>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sz val="10"/>
      <color rgb="FF000000"/>
      <name val="Calibri"/>
      <family val="2"/>
    </font>
    <font>
      <i/>
      <sz val="10"/>
      <color rgb="FF757171"/>
      <name val="Calibri"/>
      <family val="2"/>
    </font>
    <font>
      <sz val="10"/>
      <color theme="1"/>
      <name val="Calibri"/>
      <family val="2"/>
      <scheme val="minor"/>
    </font>
    <font>
      <i/>
      <sz val="10"/>
      <color theme="2" tint="-0.499984740745262"/>
      <name val="Calibri"/>
      <family val="2"/>
      <scheme val="minor"/>
    </font>
    <font>
      <i/>
      <sz val="11"/>
      <color theme="1"/>
      <name val="Calibri"/>
      <family val="2"/>
      <scheme val="minor"/>
    </font>
    <font>
      <b/>
      <sz val="20"/>
      <name val="Calibri"/>
      <family val="2"/>
      <scheme val="minor"/>
    </font>
    <font>
      <sz val="10"/>
      <name val="Calibri"/>
      <family val="2"/>
      <scheme val="minor"/>
    </font>
    <font>
      <b/>
      <sz val="12"/>
      <name val="Calibri"/>
      <family val="2"/>
      <scheme val="minor"/>
    </font>
    <font>
      <b/>
      <sz val="10"/>
      <name val="Calibri"/>
      <family val="2"/>
      <scheme val="minor"/>
    </font>
    <font>
      <vertAlign val="subscript"/>
      <sz val="10"/>
      <color theme="1"/>
      <name val="Calibri"/>
      <family val="2"/>
      <scheme val="minor"/>
    </font>
    <font>
      <i/>
      <vertAlign val="subscript"/>
      <sz val="10"/>
      <color theme="2" tint="-0.499984740745262"/>
      <name val="Calibri"/>
      <family val="2"/>
      <scheme val="minor"/>
    </font>
    <font>
      <sz val="20"/>
      <color theme="1"/>
      <name val="Calibri"/>
      <family val="2"/>
      <scheme val="minor"/>
    </font>
    <font>
      <b/>
      <sz val="15"/>
      <color theme="3"/>
      <name val="Calibri"/>
      <family val="2"/>
      <scheme val="minor"/>
    </font>
    <font>
      <b/>
      <sz val="11"/>
      <color rgb="FF3F3F3F"/>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i/>
      <sz val="10"/>
      <color theme="1"/>
      <name val="Calibri"/>
      <family val="2"/>
      <scheme val="minor"/>
    </font>
    <font>
      <sz val="11"/>
      <name val="Calibri"/>
      <family val="2"/>
      <scheme val="minor"/>
    </font>
    <font>
      <b/>
      <sz val="11"/>
      <name val="Calibri"/>
      <family val="2"/>
      <scheme val="minor"/>
    </font>
    <font>
      <sz val="10"/>
      <name val="Arial"/>
      <family val="2"/>
    </font>
    <font>
      <sz val="11"/>
      <color indexed="8"/>
      <name val="Calibri"/>
      <family val="2"/>
    </font>
    <font>
      <b/>
      <sz val="16"/>
      <color theme="1"/>
      <name val="Calibri"/>
      <family val="2"/>
      <scheme val="minor"/>
    </font>
    <font>
      <sz val="10"/>
      <name val="Calibri"/>
      <family val="2"/>
    </font>
    <font>
      <sz val="10"/>
      <color rgb="FF000000"/>
      <name val="Tahoma"/>
      <family val="2"/>
    </font>
    <font>
      <b/>
      <sz val="10"/>
      <color rgb="FF000000"/>
      <name val="Tahoma"/>
      <family val="2"/>
    </font>
    <font>
      <b/>
      <sz val="10"/>
      <name val="Arial"/>
      <family val="2"/>
    </font>
    <font>
      <vertAlign val="subscript"/>
      <sz val="10"/>
      <name val="Arial"/>
      <family val="2"/>
    </font>
    <font>
      <sz val="10"/>
      <color theme="1"/>
      <name val="Arial"/>
      <family val="2"/>
    </font>
    <font>
      <sz val="11"/>
      <name val="Times New Roman"/>
      <family val="1"/>
    </font>
    <font>
      <vertAlign val="subscript"/>
      <sz val="10"/>
      <color indexed="8"/>
      <name val="Arial"/>
      <family val="2"/>
    </font>
    <font>
      <sz val="10"/>
      <color indexed="8"/>
      <name val="Arial"/>
      <family val="2"/>
    </font>
    <font>
      <b/>
      <sz val="10"/>
      <color theme="1"/>
      <name val="Arial"/>
      <family val="2"/>
    </font>
    <font>
      <sz val="9"/>
      <color indexed="8"/>
      <name val="Arial"/>
      <family val="2"/>
    </font>
    <font>
      <b/>
      <vertAlign val="subscript"/>
      <sz val="10"/>
      <name val="Arial"/>
      <family val="2"/>
    </font>
    <font>
      <b/>
      <sz val="11"/>
      <name val="Times New Roman"/>
      <family val="1"/>
    </font>
    <font>
      <sz val="10"/>
      <color rgb="FF000000"/>
      <name val="ITC Bookman"/>
    </font>
    <font>
      <b/>
      <sz val="9"/>
      <color rgb="FF000000"/>
      <name val="Tahoma"/>
      <family val="2"/>
    </font>
    <font>
      <sz val="9"/>
      <color rgb="FF000000"/>
      <name val="Tahoma"/>
      <family val="2"/>
    </font>
    <font>
      <sz val="9"/>
      <color theme="1"/>
      <name val="Arial"/>
      <family val="2"/>
    </font>
    <font>
      <sz val="9"/>
      <name val="Arial"/>
      <family val="2"/>
    </font>
    <font>
      <b/>
      <sz val="10"/>
      <color theme="0"/>
      <name val="Arial"/>
      <family val="2"/>
    </font>
    <font>
      <b/>
      <i/>
      <u/>
      <sz val="9"/>
      <color theme="9"/>
      <name val="Arial"/>
      <family val="2"/>
    </font>
    <font>
      <b/>
      <sz val="22"/>
      <color theme="4"/>
      <name val="Calibri Light"/>
      <family val="2"/>
      <scheme val="major"/>
    </font>
    <font>
      <b/>
      <sz val="14"/>
      <name val="Calibri"/>
      <family val="2"/>
      <scheme val="minor"/>
    </font>
    <font>
      <sz val="9"/>
      <name val="Calibri"/>
      <family val="2"/>
      <scheme val="minor"/>
    </font>
    <font>
      <i/>
      <sz val="9"/>
      <name val="Calibri"/>
      <family val="2"/>
      <scheme val="minor"/>
    </font>
    <font>
      <b/>
      <sz val="9"/>
      <color theme="0"/>
      <name val="Calibri"/>
      <family val="2"/>
      <scheme val="minor"/>
    </font>
    <font>
      <sz val="9"/>
      <color rgb="FFE85F31"/>
      <name val="Calibri"/>
      <family val="2"/>
      <scheme val="minor"/>
    </font>
    <font>
      <b/>
      <i/>
      <sz val="9"/>
      <color theme="1"/>
      <name val="Arial"/>
      <family val="2"/>
    </font>
    <font>
      <sz val="9"/>
      <color rgb="FF9C0006"/>
      <name val="Calibri"/>
      <family val="2"/>
      <scheme val="minor"/>
    </font>
    <font>
      <sz val="9"/>
      <color rgb="FF006100"/>
      <name val="Calibri"/>
      <family val="2"/>
      <scheme val="minor"/>
    </font>
    <font>
      <sz val="9"/>
      <color rgb="FF9C5700"/>
      <name val="Calibri"/>
      <family val="2"/>
      <scheme val="minor"/>
    </font>
    <font>
      <b/>
      <i/>
      <sz val="9"/>
      <color theme="6" tint="-0.24994659260841701"/>
      <name val="Calibri"/>
      <family val="2"/>
      <scheme val="minor"/>
    </font>
    <font>
      <b/>
      <sz val="9"/>
      <color theme="1"/>
      <name val="Calibri"/>
      <family val="2"/>
      <scheme val="minor"/>
    </font>
    <font>
      <b/>
      <sz val="13"/>
      <color theme="4"/>
      <name val="Calibri"/>
      <family val="2"/>
      <scheme val="minor"/>
    </font>
    <font>
      <b/>
      <sz val="11"/>
      <color theme="4"/>
      <name val="Calibri"/>
      <family val="2"/>
      <scheme val="minor"/>
    </font>
    <font>
      <b/>
      <i/>
      <sz val="10"/>
      <color theme="4"/>
      <name val="Calibri"/>
      <family val="2"/>
      <scheme val="minor"/>
    </font>
    <font>
      <i/>
      <sz val="9"/>
      <color theme="1" tint="0.499984740745262"/>
      <name val="Calibri"/>
      <family val="2"/>
      <scheme val="minor"/>
    </font>
    <font>
      <b/>
      <sz val="11"/>
      <color rgb="FFFF0000"/>
      <name val="Calibri"/>
      <family val="2"/>
      <scheme val="minor"/>
    </font>
    <font>
      <i/>
      <sz val="11"/>
      <color rgb="FFFF0000"/>
      <name val="Calibri"/>
      <family val="2"/>
      <scheme val="minor"/>
    </font>
    <font>
      <sz val="8"/>
      <name val="Calibri"/>
      <family val="2"/>
      <scheme val="minor"/>
    </font>
    <font>
      <i/>
      <sz val="11"/>
      <name val="Calibri"/>
      <family val="2"/>
      <scheme val="minor"/>
    </font>
    <font>
      <b/>
      <sz val="10"/>
      <color rgb="FFFF0000"/>
      <name val="Arial"/>
      <family val="2"/>
    </font>
    <font>
      <sz val="10"/>
      <color rgb="FFFF0000"/>
      <name val="Arial"/>
      <family val="2"/>
    </font>
    <font>
      <b/>
      <u/>
      <sz val="11"/>
      <name val="Calibri"/>
      <family val="2"/>
      <scheme val="minor"/>
    </font>
    <font>
      <u/>
      <sz val="11"/>
      <name val="Calibri"/>
      <family val="2"/>
      <scheme val="minor"/>
    </font>
  </fonts>
  <fills count="54">
    <fill>
      <patternFill patternType="none"/>
    </fill>
    <fill>
      <patternFill patternType="gray125"/>
    </fill>
    <fill>
      <patternFill patternType="solid">
        <fgColor theme="5"/>
      </patternFill>
    </fill>
    <fill>
      <patternFill patternType="solid">
        <fgColor rgb="FFD9D9D9"/>
        <bgColor rgb="FF000000"/>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2F2F2"/>
        <bgColor rgb="FF000000"/>
      </patternFill>
    </fill>
    <fill>
      <patternFill patternType="solid">
        <fgColor theme="5" tint="0.39994506668294322"/>
        <bgColor indexed="64"/>
      </patternFill>
    </fill>
    <fill>
      <patternFill patternType="solid">
        <fgColor theme="8" tint="0.59999389629810485"/>
        <bgColor indexed="64"/>
      </patternFill>
    </fill>
    <fill>
      <patternFill patternType="solid">
        <fgColor theme="0" tint="-0.24994659260841701"/>
        <bgColor indexed="64"/>
      </patternFill>
    </fill>
  </fills>
  <borders count="5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3F3F3F"/>
      </right>
      <top style="thin">
        <color rgb="FF3F3F3F"/>
      </top>
      <bottom style="thin">
        <color rgb="FF3F3F3F"/>
      </bottom>
      <diagonal/>
    </border>
    <border>
      <left style="thin">
        <color indexed="64"/>
      </left>
      <right style="thin">
        <color indexed="64"/>
      </right>
      <top/>
      <bottom/>
      <diagonal/>
    </border>
    <border>
      <left style="thin">
        <color rgb="FF3F3F3F"/>
      </left>
      <right style="thin">
        <color rgb="FF3F3F3F"/>
      </right>
      <top/>
      <bottom style="thin">
        <color rgb="FF3F3F3F"/>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style="thin">
        <color theme="0" tint="-0.24994659260841701"/>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theme="0" tint="-0.24994659260841701"/>
      </left>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right/>
      <top/>
      <bottom style="medium">
        <color theme="4"/>
      </bottom>
      <diagonal/>
    </border>
    <border>
      <left/>
      <right/>
      <top/>
      <bottom style="medium">
        <color theme="3" tint="0.39994506668294322"/>
      </bottom>
      <diagonal/>
    </border>
    <border>
      <left/>
      <right/>
      <top/>
      <bottom style="medium">
        <color theme="4" tint="0.39994506668294322"/>
      </bottom>
      <diagonal/>
    </border>
    <border>
      <left style="thin">
        <color theme="4"/>
      </left>
      <right style="thin">
        <color theme="4"/>
      </right>
      <top style="thin">
        <color theme="4"/>
      </top>
      <bottom style="thin">
        <color theme="4"/>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top/>
      <bottom style="thin">
        <color theme="0" tint="-0.24994659260841701"/>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style="thin">
        <color indexed="64"/>
      </bottom>
      <diagonal/>
    </border>
    <border>
      <left style="thin">
        <color indexed="64"/>
      </left>
      <right style="thin">
        <color theme="0" tint="-0.499984740745262"/>
      </right>
      <top style="medium">
        <color theme="4"/>
      </top>
      <bottom/>
      <diagonal/>
    </border>
    <border>
      <left style="thin">
        <color indexed="64"/>
      </left>
      <right style="thin">
        <color theme="0" tint="-0.499984740745262"/>
      </right>
      <top/>
      <bottom style="thin">
        <color theme="0" tint="-0.499984740745262"/>
      </bottom>
      <diagonal/>
    </border>
  </borders>
  <cellStyleXfs count="94">
    <xf numFmtId="0" fontId="0" fillId="0" borderId="0"/>
    <xf numFmtId="43" fontId="2" fillId="0" borderId="0" applyFont="0" applyFill="0" applyBorder="0" applyAlignment="0" applyProtection="0"/>
    <xf numFmtId="0" fontId="3" fillId="2" borderId="0" applyNumberFormat="0" applyBorder="0" applyAlignment="0" applyProtection="0"/>
    <xf numFmtId="9" fontId="2" fillId="0" borderId="0" applyFont="0" applyFill="0" applyBorder="0" applyAlignment="0" applyProtection="0"/>
    <xf numFmtId="0" fontId="16" fillId="0" borderId="12" applyNumberFormat="0" applyFill="0" applyAlignment="0" applyProtection="0"/>
    <xf numFmtId="0" fontId="17" fillId="10" borderId="13" applyNumberFormat="0" applyAlignment="0" applyProtection="0"/>
    <xf numFmtId="0" fontId="2" fillId="17" borderId="30" applyNumberFormat="0" applyFont="0" applyAlignment="0" applyProtection="0"/>
    <xf numFmtId="0" fontId="18" fillId="0" borderId="0" applyNumberFormat="0" applyFill="0" applyBorder="0" applyAlignment="0" applyProtection="0"/>
    <xf numFmtId="0" fontId="19" fillId="0" borderId="32" applyNumberFormat="0" applyFill="0" applyAlignment="0" applyProtection="0"/>
    <xf numFmtId="0" fontId="20" fillId="0" borderId="33" applyNumberFormat="0" applyFill="0" applyAlignment="0" applyProtection="0"/>
    <xf numFmtId="0" fontId="20" fillId="0" borderId="0" applyNumberFormat="0" applyFill="0" applyBorder="0" applyAlignment="0" applyProtection="0"/>
    <xf numFmtId="0" fontId="21" fillId="18" borderId="0" applyNumberFormat="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34" applyNumberFormat="0" applyAlignment="0" applyProtection="0"/>
    <xf numFmtId="0" fontId="25" fillId="10" borderId="34" applyNumberFormat="0" applyAlignment="0" applyProtection="0"/>
    <xf numFmtId="0" fontId="26" fillId="0" borderId="35" applyNumberFormat="0" applyFill="0" applyAlignment="0" applyProtection="0"/>
    <xf numFmtId="0" fontId="27" fillId="22" borderId="36"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1" fillId="0" borderId="37" applyNumberFormat="0" applyFill="0" applyAlignment="0" applyProtection="0"/>
    <xf numFmtId="0" fontId="3"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3"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3"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55" fillId="48" borderId="40" applyNumberFormat="0" applyProtection="0">
      <alignment vertical="center"/>
    </xf>
    <xf numFmtId="0" fontId="52" fillId="5" borderId="40" applyAlignment="0">
      <alignment horizontal="left"/>
    </xf>
    <xf numFmtId="0" fontId="53" fillId="0" borderId="40" applyNumberFormat="0">
      <alignment vertical="center"/>
    </xf>
    <xf numFmtId="175" fontId="33" fillId="0" borderId="0">
      <alignment horizontal="left" wrapText="1"/>
    </xf>
    <xf numFmtId="0" fontId="2" fillId="0" borderId="0"/>
    <xf numFmtId="43" fontId="33" fillId="0" borderId="0" applyFont="0" applyFill="0" applyBorder="0" applyAlignment="0" applyProtection="0"/>
    <xf numFmtId="9" fontId="33"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27" fillId="46" borderId="39" applyNumberFormat="0" applyBorder="0">
      <alignment horizontal="center" vertical="center" wrapText="1"/>
    </xf>
    <xf numFmtId="0" fontId="30" fillId="7" borderId="40" applyNumberFormat="0">
      <alignment horizontal="left" vertical="center"/>
    </xf>
    <xf numFmtId="10" fontId="6" fillId="0" borderId="0" applyFont="0" applyFill="0" applyBorder="0" applyAlignment="0" applyProtection="0"/>
    <xf numFmtId="0" fontId="35" fillId="0" borderId="38"/>
    <xf numFmtId="43" fontId="6" fillId="0" borderId="0" applyFont="0" applyFill="0" applyBorder="0" applyAlignment="0" applyProtection="0"/>
    <xf numFmtId="9" fontId="6" fillId="0" borderId="0" applyFont="0" applyFill="0" applyBorder="0" applyAlignment="0" applyProtection="0"/>
    <xf numFmtId="0" fontId="6" fillId="0" borderId="0"/>
    <xf numFmtId="0" fontId="33" fillId="0" borderId="0"/>
    <xf numFmtId="0" fontId="49" fillId="0" borderId="0"/>
    <xf numFmtId="0" fontId="59" fillId="16" borderId="40" applyNumberFormat="0">
      <alignment vertical="center"/>
    </xf>
    <xf numFmtId="44" fontId="52" fillId="0" borderId="0" applyFont="0" applyFill="0" applyBorder="0" applyAlignment="0" applyProtection="0">
      <protection locked="0"/>
    </xf>
    <xf numFmtId="0" fontId="56" fillId="0" borderId="45" applyNumberFormat="0" applyAlignment="0"/>
    <xf numFmtId="0" fontId="57" fillId="0" borderId="38" applyNumberFormat="0" applyAlignment="0"/>
    <xf numFmtId="0" fontId="70" fillId="0" borderId="46" applyNumberFormat="0" applyAlignment="0"/>
    <xf numFmtId="0" fontId="61" fillId="0" borderId="35" applyNumberFormat="0">
      <alignment vertical="center"/>
    </xf>
    <xf numFmtId="0" fontId="68" fillId="0" borderId="45" applyNumberFormat="0" applyAlignment="0">
      <alignment vertical="center"/>
    </xf>
    <xf numFmtId="9" fontId="6" fillId="0" borderId="0" applyFont="0" applyFill="0" applyBorder="0" applyAlignment="0" applyProtection="0">
      <protection locked="0"/>
    </xf>
    <xf numFmtId="0" fontId="60" fillId="22" borderId="36" applyNumberFormat="0">
      <alignment vertical="center"/>
    </xf>
    <xf numFmtId="174" fontId="52" fillId="0" borderId="0" applyFont="0" applyFill="0" applyBorder="0" applyProtection="0">
      <alignment vertical="center"/>
      <protection locked="0"/>
    </xf>
    <xf numFmtId="0" fontId="66" fillId="0" borderId="0" applyNumberFormat="0" applyFill="0" applyBorder="0">
      <alignment vertical="center"/>
    </xf>
    <xf numFmtId="0" fontId="62" fillId="51" borderId="40" applyNumberFormat="0">
      <alignment vertical="center"/>
    </xf>
    <xf numFmtId="22" fontId="52" fillId="0" borderId="0" applyFont="0" applyFill="0" applyBorder="0" applyProtection="0">
      <alignment vertical="center"/>
      <protection locked="0"/>
    </xf>
    <xf numFmtId="0" fontId="59" fillId="53" borderId="40" applyNumberFormat="0">
      <alignment vertical="center"/>
    </xf>
    <xf numFmtId="0" fontId="67" fillId="0" borderId="37" applyNumberFormat="0">
      <alignment vertical="center"/>
    </xf>
    <xf numFmtId="0" fontId="64" fillId="18" borderId="0" applyNumberFormat="0" applyBorder="0" applyProtection="0">
      <alignment vertical="center"/>
    </xf>
    <xf numFmtId="0" fontId="71" fillId="0" borderId="0" applyNumberFormat="0" applyFill="0" applyBorder="0" applyAlignment="0"/>
    <xf numFmtId="0" fontId="36" fillId="0" borderId="0"/>
    <xf numFmtId="0" fontId="33" fillId="0" borderId="0"/>
    <xf numFmtId="0" fontId="10" fillId="49" borderId="40" applyNumberFormat="0" applyProtection="0">
      <alignment horizontal="center"/>
    </xf>
    <xf numFmtId="0" fontId="6" fillId="47" borderId="40" applyProtection="0">
      <alignment horizontal="center"/>
    </xf>
    <xf numFmtId="0" fontId="58" fillId="52" borderId="40" applyNumberFormat="0">
      <alignment vertical="center"/>
    </xf>
    <xf numFmtId="0" fontId="59" fillId="7" borderId="40" applyNumberFormat="0">
      <alignment vertical="center"/>
    </xf>
    <xf numFmtId="0" fontId="65" fillId="20" borderId="0" applyNumberFormat="0" applyBorder="0" applyProtection="0">
      <alignment vertical="center"/>
    </xf>
    <xf numFmtId="0" fontId="69" fillId="0" borderId="47" applyNumberFormat="0" applyAlignment="0"/>
    <xf numFmtId="0" fontId="58" fillId="47" borderId="40" applyNumberFormat="0">
      <alignment vertical="center"/>
    </xf>
    <xf numFmtId="0" fontId="52" fillId="8" borderId="40" applyNumberFormat="0">
      <alignment vertical="center"/>
    </xf>
    <xf numFmtId="0" fontId="52" fillId="0" borderId="0">
      <alignment vertical="center"/>
    </xf>
    <xf numFmtId="0" fontId="54" fillId="46" borderId="48" applyNumberFormat="0">
      <alignment vertical="center"/>
    </xf>
    <xf numFmtId="0" fontId="63" fillId="19" borderId="0" applyNumberFormat="0" applyBorder="0" applyProtection="0">
      <alignment vertical="center"/>
    </xf>
    <xf numFmtId="43" fontId="6" fillId="0" borderId="0" applyFont="0" applyFill="0" applyBorder="0" applyAlignment="0" applyProtection="0">
      <protection locked="0"/>
    </xf>
  </cellStyleXfs>
  <cellXfs count="353">
    <xf numFmtId="0" fontId="0" fillId="0" borderId="0" xfId="0"/>
    <xf numFmtId="0" fontId="4" fillId="0" borderId="5" xfId="0" applyFont="1" applyBorder="1"/>
    <xf numFmtId="0" fontId="5" fillId="0" borderId="7" xfId="0" applyFont="1" applyBorder="1" applyAlignment="1">
      <alignment horizontal="right"/>
    </xf>
    <xf numFmtId="164" fontId="4" fillId="3" borderId="5" xfId="1" applyNumberFormat="1" applyFont="1" applyFill="1" applyBorder="1"/>
    <xf numFmtId="0" fontId="6" fillId="0" borderId="8" xfId="0" applyFont="1" applyBorder="1"/>
    <xf numFmtId="0" fontId="7" fillId="0" borderId="11" xfId="0" applyFont="1" applyBorder="1" applyAlignment="1">
      <alignment horizontal="right"/>
    </xf>
    <xf numFmtId="0" fontId="6" fillId="0" borderId="5" xfId="0" applyFont="1" applyBorder="1"/>
    <xf numFmtId="0" fontId="7" fillId="0" borderId="7" xfId="0" applyFont="1" applyBorder="1" applyAlignment="1">
      <alignment horizontal="right"/>
    </xf>
    <xf numFmtId="164" fontId="0" fillId="5" borderId="0" xfId="0" applyNumberFormat="1" applyFill="1"/>
    <xf numFmtId="164" fontId="0" fillId="0" borderId="0" xfId="1" applyNumberFormat="1" applyFont="1"/>
    <xf numFmtId="164" fontId="0" fillId="0" borderId="0" xfId="0" applyNumberFormat="1"/>
    <xf numFmtId="165" fontId="0" fillId="5" borderId="0" xfId="0" applyNumberFormat="1" applyFill="1"/>
    <xf numFmtId="165" fontId="0" fillId="0" borderId="0" xfId="1" applyNumberFormat="1" applyFont="1"/>
    <xf numFmtId="165" fontId="0" fillId="0" borderId="0" xfId="0" applyNumberFormat="1"/>
    <xf numFmtId="166" fontId="0" fillId="5" borderId="0" xfId="0" applyNumberFormat="1" applyFill="1"/>
    <xf numFmtId="167" fontId="0" fillId="0" borderId="0" xfId="1" applyNumberFormat="1" applyFont="1"/>
    <xf numFmtId="167" fontId="0" fillId="0" borderId="0" xfId="0" applyNumberFormat="1"/>
    <xf numFmtId="0" fontId="8" fillId="0" borderId="1" xfId="0" applyFont="1" applyBorder="1"/>
    <xf numFmtId="167" fontId="0" fillId="0" borderId="0" xfId="1" applyNumberFormat="1" applyFont="1" applyBorder="1"/>
    <xf numFmtId="164" fontId="0" fillId="0" borderId="2" xfId="1" applyNumberFormat="1" applyFont="1" applyBorder="1"/>
    <xf numFmtId="0" fontId="8" fillId="0" borderId="3" xfId="0" applyFont="1" applyBorder="1"/>
    <xf numFmtId="167" fontId="0" fillId="0" borderId="10" xfId="1" applyNumberFormat="1" applyFont="1" applyBorder="1"/>
    <xf numFmtId="164" fontId="0" fillId="0" borderId="4" xfId="1" applyNumberFormat="1" applyFont="1" applyBorder="1"/>
    <xf numFmtId="0" fontId="0" fillId="0" borderId="0" xfId="0" applyAlignment="1">
      <alignment vertical="center"/>
    </xf>
    <xf numFmtId="0" fontId="8" fillId="0" borderId="1" xfId="0" applyFont="1" applyBorder="1" applyAlignment="1">
      <alignment horizontal="center" vertical="center"/>
    </xf>
    <xf numFmtId="0" fontId="9" fillId="6" borderId="0" xfId="0" applyFont="1" applyFill="1"/>
    <xf numFmtId="0" fontId="10" fillId="6" borderId="0" xfId="0" applyFont="1" applyFill="1"/>
    <xf numFmtId="0" fontId="11" fillId="6" borderId="0" xfId="0" applyFont="1" applyFill="1" applyAlignment="1">
      <alignment horizontal="left"/>
    </xf>
    <xf numFmtId="0" fontId="12" fillId="6" borderId="0" xfId="0" applyFont="1" applyFill="1" applyAlignment="1">
      <alignment horizontal="left"/>
    </xf>
    <xf numFmtId="168" fontId="10" fillId="6" borderId="0" xfId="0" applyNumberFormat="1" applyFont="1" applyFill="1" applyAlignment="1">
      <alignment horizontal="left"/>
    </xf>
    <xf numFmtId="0" fontId="1" fillId="0" borderId="0" xfId="0" applyFont="1"/>
    <xf numFmtId="166" fontId="0" fillId="0" borderId="0" xfId="0" applyNumberFormat="1"/>
    <xf numFmtId="0" fontId="8" fillId="0" borderId="0" xfId="0" applyFont="1" applyAlignment="1">
      <alignment horizontal="center" vertical="center" wrapText="1"/>
    </xf>
    <xf numFmtId="0" fontId="8" fillId="0" borderId="2" xfId="0" applyFont="1" applyBorder="1" applyAlignment="1">
      <alignment horizontal="center" vertical="center" wrapText="1"/>
    </xf>
    <xf numFmtId="0" fontId="0" fillId="4" borderId="0" xfId="0" applyFill="1"/>
    <xf numFmtId="0" fontId="1" fillId="0" borderId="14" xfId="0" applyFont="1" applyBorder="1"/>
    <xf numFmtId="169" fontId="0" fillId="0" borderId="0" xfId="0" applyNumberFormat="1"/>
    <xf numFmtId="169" fontId="0" fillId="0" borderId="14" xfId="0" applyNumberFormat="1" applyBorder="1"/>
    <xf numFmtId="169" fontId="17" fillId="10" borderId="14" xfId="5" applyNumberFormat="1" applyBorder="1" applyProtection="1"/>
    <xf numFmtId="0" fontId="0" fillId="7" borderId="15" xfId="0" applyFill="1" applyBorder="1"/>
    <xf numFmtId="169" fontId="17" fillId="10" borderId="13" xfId="5" applyNumberFormat="1"/>
    <xf numFmtId="0" fontId="17" fillId="10" borderId="13" xfId="5"/>
    <xf numFmtId="0" fontId="17" fillId="10" borderId="16" xfId="5" applyBorder="1" applyProtection="1"/>
    <xf numFmtId="0" fontId="0" fillId="7" borderId="14" xfId="0" applyFill="1" applyBorder="1"/>
    <xf numFmtId="0" fontId="0" fillId="8" borderId="15" xfId="0" applyFill="1" applyBorder="1"/>
    <xf numFmtId="0" fontId="17" fillId="10" borderId="13" xfId="5" applyAlignment="1">
      <alignment horizontal="center"/>
    </xf>
    <xf numFmtId="169" fontId="17" fillId="10" borderId="13" xfId="5" applyNumberFormat="1" applyAlignment="1">
      <alignment horizontal="center"/>
    </xf>
    <xf numFmtId="0" fontId="17" fillId="10" borderId="14" xfId="5" applyBorder="1" applyProtection="1"/>
    <xf numFmtId="0" fontId="0" fillId="12" borderId="14"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6" fillId="0" borderId="12" xfId="4"/>
    <xf numFmtId="0" fontId="0" fillId="7" borderId="15" xfId="0" applyFill="1" applyBorder="1" applyAlignment="1">
      <alignment horizontal="center" wrapText="1"/>
    </xf>
    <xf numFmtId="0" fontId="0" fillId="9" borderId="15" xfId="0" applyFill="1" applyBorder="1" applyAlignment="1">
      <alignment horizontal="center" vertical="top"/>
    </xf>
    <xf numFmtId="0" fontId="0" fillId="9" borderId="15" xfId="0" applyFill="1" applyBorder="1" applyAlignment="1">
      <alignment horizontal="center" vertical="top" wrapText="1"/>
    </xf>
    <xf numFmtId="0" fontId="0" fillId="8" borderId="15" xfId="0" applyFill="1" applyBorder="1" applyAlignment="1">
      <alignment horizontal="center" vertical="top"/>
    </xf>
    <xf numFmtId="0" fontId="0" fillId="7" borderId="15" xfId="0" applyFill="1" applyBorder="1" applyAlignment="1">
      <alignment horizontal="center" vertical="top"/>
    </xf>
    <xf numFmtId="0" fontId="0" fillId="7" borderId="14" xfId="0" applyFill="1" applyBorder="1" applyAlignment="1">
      <alignment horizontal="center"/>
    </xf>
    <xf numFmtId="0" fontId="0" fillId="7" borderId="15" xfId="0" applyFill="1" applyBorder="1" applyAlignment="1">
      <alignment horizontal="center" vertical="top" wrapText="1"/>
    </xf>
    <xf numFmtId="0" fontId="0" fillId="8" borderId="17" xfId="0" applyFill="1" applyBorder="1"/>
    <xf numFmtId="0" fontId="17" fillId="10" borderId="16" xfId="5" applyBorder="1"/>
    <xf numFmtId="169" fontId="17" fillId="10" borderId="14" xfId="5" applyNumberFormat="1" applyBorder="1"/>
    <xf numFmtId="0" fontId="0" fillId="9" borderId="15" xfId="0" applyFill="1" applyBorder="1" applyAlignment="1">
      <alignment horizontal="center"/>
    </xf>
    <xf numFmtId="0" fontId="0" fillId="8" borderId="15" xfId="0" applyFill="1" applyBorder="1" applyAlignment="1">
      <alignment horizontal="center" vertical="top" wrapText="1"/>
    </xf>
    <xf numFmtId="0" fontId="0" fillId="8" borderId="15" xfId="0" applyFill="1" applyBorder="1" applyAlignment="1">
      <alignment wrapText="1"/>
    </xf>
    <xf numFmtId="0" fontId="0" fillId="7" borderId="15" xfId="0" applyFill="1" applyBorder="1" applyAlignment="1">
      <alignment wrapText="1"/>
    </xf>
    <xf numFmtId="0" fontId="0" fillId="0" borderId="0" xfId="0" applyAlignment="1">
      <alignment vertical="center" wrapText="1"/>
    </xf>
    <xf numFmtId="170" fontId="0" fillId="11" borderId="14" xfId="0" applyNumberFormat="1" applyFill="1" applyBorder="1" applyAlignment="1" applyProtection="1">
      <alignment horizontal="center"/>
      <protection locked="0"/>
    </xf>
    <xf numFmtId="171" fontId="17" fillId="10" borderId="13" xfId="5" applyNumberFormat="1" applyAlignment="1">
      <alignment horizontal="center"/>
    </xf>
    <xf numFmtId="170" fontId="17" fillId="10" borderId="13" xfId="5" applyNumberFormat="1" applyAlignment="1">
      <alignment horizontal="center"/>
    </xf>
    <xf numFmtId="0" fontId="17" fillId="10" borderId="18" xfId="5" applyBorder="1" applyAlignment="1">
      <alignment horizontal="center"/>
    </xf>
    <xf numFmtId="170" fontId="17" fillId="10" borderId="16" xfId="5" applyNumberFormat="1" applyBorder="1" applyProtection="1"/>
    <xf numFmtId="0" fontId="0" fillId="4" borderId="20" xfId="0" applyFill="1" applyBorder="1"/>
    <xf numFmtId="0" fontId="0" fillId="4" borderId="21" xfId="0" applyFill="1" applyBorder="1"/>
    <xf numFmtId="0" fontId="0" fillId="11" borderId="14" xfId="0" applyFill="1" applyBorder="1" applyAlignment="1" applyProtection="1">
      <alignment wrapText="1"/>
      <protection locked="0"/>
    </xf>
    <xf numFmtId="1" fontId="0" fillId="0" borderId="0" xfId="0" applyNumberFormat="1"/>
    <xf numFmtId="0" fontId="8" fillId="0" borderId="14" xfId="0" applyFont="1" applyBorder="1" applyAlignment="1">
      <alignment horizontal="center" vertical="center" wrapText="1"/>
    </xf>
    <xf numFmtId="1" fontId="0" fillId="0" borderId="14" xfId="0" applyNumberFormat="1" applyBorder="1"/>
    <xf numFmtId="166" fontId="0" fillId="0" borderId="14" xfId="0" applyNumberFormat="1" applyBorder="1"/>
    <xf numFmtId="0" fontId="8" fillId="0" borderId="14" xfId="0" applyFont="1" applyBorder="1" applyAlignment="1">
      <alignment horizontal="center" vertical="center"/>
    </xf>
    <xf numFmtId="0" fontId="0" fillId="0" borderId="1" xfId="0" applyBorder="1"/>
    <xf numFmtId="166" fontId="0" fillId="0" borderId="2" xfId="0" applyNumberFormat="1" applyBorder="1"/>
    <xf numFmtId="0" fontId="0" fillId="4" borderId="14" xfId="0" applyFill="1" applyBorder="1"/>
    <xf numFmtId="11" fontId="17" fillId="10" borderId="14" xfId="5" applyNumberFormat="1" applyBorder="1"/>
    <xf numFmtId="172" fontId="17" fillId="10" borderId="14" xfId="5" applyNumberFormat="1" applyBorder="1"/>
    <xf numFmtId="172" fontId="17" fillId="10" borderId="22" xfId="5" applyNumberFormat="1" applyBorder="1"/>
    <xf numFmtId="169" fontId="17" fillId="10" borderId="22" xfId="5" applyNumberFormat="1" applyBorder="1"/>
    <xf numFmtId="11" fontId="17" fillId="10" borderId="22" xfId="5" applyNumberFormat="1" applyBorder="1"/>
    <xf numFmtId="0" fontId="8" fillId="16" borderId="20" xfId="0" applyFont="1" applyFill="1" applyBorder="1"/>
    <xf numFmtId="169" fontId="17" fillId="10" borderId="14" xfId="5" applyNumberFormat="1" applyBorder="1" applyAlignment="1" applyProtection="1">
      <alignment horizontal="center"/>
    </xf>
    <xf numFmtId="0" fontId="0" fillId="0" borderId="0" xfId="0" applyProtection="1">
      <protection locked="0"/>
    </xf>
    <xf numFmtId="0" fontId="0" fillId="0" borderId="0" xfId="0" applyAlignment="1">
      <alignment wrapText="1"/>
    </xf>
    <xf numFmtId="0" fontId="27" fillId="46" borderId="14" xfId="0" applyFont="1" applyFill="1" applyBorder="1" applyAlignment="1">
      <alignment horizontal="center" vertical="center" wrapText="1"/>
    </xf>
    <xf numFmtId="0" fontId="0" fillId="0" borderId="14" xfId="0" applyBorder="1" applyAlignment="1">
      <alignment wrapText="1"/>
    </xf>
    <xf numFmtId="0" fontId="0" fillId="0" borderId="14" xfId="0" applyBorder="1"/>
    <xf numFmtId="37" fontId="0" fillId="0" borderId="14" xfId="0" applyNumberFormat="1" applyBorder="1"/>
    <xf numFmtId="173" fontId="0" fillId="0" borderId="14" xfId="0" applyNumberFormat="1" applyBorder="1"/>
    <xf numFmtId="9" fontId="32" fillId="16" borderId="14" xfId="3" applyFont="1" applyFill="1" applyBorder="1" applyAlignment="1">
      <alignment horizontal="center"/>
    </xf>
    <xf numFmtId="165" fontId="0" fillId="0" borderId="14" xfId="1" applyNumberFormat="1" applyFont="1" applyBorder="1"/>
    <xf numFmtId="173" fontId="0" fillId="0" borderId="14" xfId="0" applyNumberFormat="1" applyBorder="1" applyAlignment="1">
      <alignment wrapText="1"/>
    </xf>
    <xf numFmtId="176" fontId="0" fillId="0" borderId="14" xfId="0" applyNumberFormat="1" applyBorder="1"/>
    <xf numFmtId="177" fontId="0" fillId="0" borderId="14" xfId="0" applyNumberFormat="1" applyBorder="1"/>
    <xf numFmtId="39" fontId="0" fillId="0" borderId="14" xfId="0" applyNumberFormat="1" applyBorder="1"/>
    <xf numFmtId="0" fontId="39" fillId="4" borderId="14" xfId="61" applyFont="1" applyFill="1" applyBorder="1"/>
    <xf numFmtId="0" fontId="33" fillId="0" borderId="14" xfId="61" applyBorder="1"/>
    <xf numFmtId="1" fontId="41" fillId="0" borderId="14" xfId="61" applyNumberFormat="1" applyFont="1" applyBorder="1" applyAlignment="1">
      <alignment horizontal="right"/>
    </xf>
    <xf numFmtId="1" fontId="41" fillId="0" borderId="5" xfId="61" applyNumberFormat="1" applyFont="1" applyBorder="1" applyAlignment="1">
      <alignment horizontal="right"/>
    </xf>
    <xf numFmtId="0" fontId="33" fillId="0" borderId="0" xfId="61"/>
    <xf numFmtId="0" fontId="39" fillId="4" borderId="41" xfId="61" applyFont="1" applyFill="1" applyBorder="1"/>
    <xf numFmtId="0" fontId="33" fillId="0" borderId="4" xfId="61" applyBorder="1"/>
    <xf numFmtId="1" fontId="41" fillId="0" borderId="22" xfId="61" applyNumberFormat="1" applyFont="1" applyBorder="1" applyAlignment="1">
      <alignment horizontal="right"/>
    </xf>
    <xf numFmtId="1" fontId="41" fillId="0" borderId="3" xfId="61" applyNumberFormat="1" applyFont="1" applyBorder="1" applyAlignment="1">
      <alignment horizontal="right"/>
    </xf>
    <xf numFmtId="0" fontId="39" fillId="4" borderId="42" xfId="61" applyFont="1" applyFill="1" applyBorder="1"/>
    <xf numFmtId="0" fontId="33" fillId="0" borderId="7" xfId="61" applyBorder="1"/>
    <xf numFmtId="0" fontId="39" fillId="4" borderId="43" xfId="61" applyFont="1" applyFill="1" applyBorder="1"/>
    <xf numFmtId="0" fontId="33" fillId="0" borderId="11" xfId="61" applyBorder="1"/>
    <xf numFmtId="1" fontId="41" fillId="0" borderId="15" xfId="61" applyNumberFormat="1" applyFont="1" applyBorder="1" applyAlignment="1">
      <alignment horizontal="right"/>
    </xf>
    <xf numFmtId="1" fontId="41" fillId="0" borderId="8" xfId="61" applyNumberFormat="1" applyFont="1" applyBorder="1" applyAlignment="1">
      <alignment horizontal="right"/>
    </xf>
    <xf numFmtId="0" fontId="39" fillId="4" borderId="44" xfId="61" applyFont="1" applyFill="1" applyBorder="1"/>
    <xf numFmtId="0" fontId="33" fillId="6" borderId="7" xfId="61" applyFill="1" applyBorder="1"/>
    <xf numFmtId="0" fontId="33" fillId="6" borderId="14" xfId="61" applyFill="1" applyBorder="1"/>
    <xf numFmtId="1" fontId="41" fillId="0" borderId="14" xfId="49" applyNumberFormat="1" applyFont="1" applyFill="1" applyBorder="1" applyAlignment="1">
      <alignment horizontal="right"/>
    </xf>
    <xf numFmtId="1" fontId="41" fillId="0" borderId="5" xfId="49" applyNumberFormat="1" applyFont="1" applyFill="1" applyBorder="1" applyAlignment="1">
      <alignment horizontal="right"/>
    </xf>
    <xf numFmtId="0" fontId="33" fillId="0" borderId="11" xfId="61" applyBorder="1" applyAlignment="1">
      <alignment wrapText="1"/>
    </xf>
    <xf numFmtId="0" fontId="33" fillId="0" borderId="14" xfId="61" applyBorder="1" applyAlignment="1">
      <alignment wrapText="1"/>
    </xf>
    <xf numFmtId="1" fontId="41" fillId="0" borderId="14" xfId="61" applyNumberFormat="1" applyFont="1" applyBorder="1" applyAlignment="1">
      <alignment horizontal="right" wrapText="1"/>
    </xf>
    <xf numFmtId="0" fontId="41" fillId="0" borderId="14" xfId="61" applyFont="1" applyBorder="1" applyAlignment="1">
      <alignment wrapText="1"/>
    </xf>
    <xf numFmtId="1" fontId="41" fillId="0" borderId="14" xfId="61" applyNumberFormat="1" applyFont="1" applyBorder="1"/>
    <xf numFmtId="1" fontId="41" fillId="0" borderId="5" xfId="61" applyNumberFormat="1" applyFont="1" applyBorder="1"/>
    <xf numFmtId="0" fontId="45" fillId="4" borderId="14" xfId="61" applyFont="1" applyFill="1" applyBorder="1"/>
    <xf numFmtId="1" fontId="41" fillId="0" borderId="5" xfId="61" applyNumberFormat="1" applyFont="1" applyBorder="1" applyAlignment="1">
      <alignment horizontal="right" wrapText="1"/>
    </xf>
    <xf numFmtId="1" fontId="45" fillId="0" borderId="14" xfId="61" applyNumberFormat="1" applyFont="1" applyBorder="1" applyAlignment="1">
      <alignment horizontal="right"/>
    </xf>
    <xf numFmtId="1" fontId="45" fillId="0" borderId="5" xfId="61" applyNumberFormat="1" applyFont="1" applyBorder="1" applyAlignment="1">
      <alignment horizontal="right"/>
    </xf>
    <xf numFmtId="1" fontId="41" fillId="0" borderId="0" xfId="61" applyNumberFormat="1" applyFont="1" applyAlignment="1">
      <alignment horizontal="right"/>
    </xf>
    <xf numFmtId="0" fontId="33" fillId="6" borderId="14" xfId="61" applyFill="1" applyBorder="1" applyAlignment="1">
      <alignment wrapText="1"/>
    </xf>
    <xf numFmtId="1" fontId="41" fillId="0" borderId="0" xfId="61" applyNumberFormat="1" applyFont="1"/>
    <xf numFmtId="171" fontId="72" fillId="10" borderId="13" xfId="5" applyNumberFormat="1" applyFont="1" applyAlignment="1">
      <alignment horizontal="center"/>
    </xf>
    <xf numFmtId="0" fontId="0" fillId="4" borderId="0" xfId="0" applyFill="1" applyAlignment="1">
      <alignment wrapText="1"/>
    </xf>
    <xf numFmtId="0" fontId="28" fillId="4" borderId="0" xfId="0" applyFont="1" applyFill="1"/>
    <xf numFmtId="9" fontId="72" fillId="10" borderId="13" xfId="3" applyFont="1" applyFill="1" applyBorder="1" applyAlignment="1">
      <alignment horizontal="center"/>
    </xf>
    <xf numFmtId="0" fontId="1" fillId="15" borderId="14" xfId="0" applyFont="1" applyFill="1" applyBorder="1" applyAlignment="1">
      <alignment horizontal="center"/>
    </xf>
    <xf numFmtId="0" fontId="0" fillId="8" borderId="14" xfId="0" applyFill="1" applyBorder="1" applyAlignment="1">
      <alignment horizontal="center" vertical="top" wrapText="1"/>
    </xf>
    <xf numFmtId="0" fontId="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8" fillId="11" borderId="14" xfId="0" applyFont="1" applyFill="1" applyBorder="1" applyAlignment="1" applyProtection="1">
      <alignment horizontal="center" wrapText="1"/>
      <protection locked="0"/>
    </xf>
    <xf numFmtId="0" fontId="72" fillId="10" borderId="13" xfId="3" applyNumberFormat="1" applyFont="1" applyFill="1" applyBorder="1" applyAlignment="1">
      <alignment horizontal="center"/>
    </xf>
    <xf numFmtId="0" fontId="31" fillId="50" borderId="13" xfId="0" applyFont="1" applyFill="1" applyBorder="1" applyAlignment="1">
      <alignment horizontal="center"/>
    </xf>
    <xf numFmtId="165" fontId="4" fillId="3" borderId="5" xfId="1" applyNumberFormat="1" applyFont="1" applyFill="1" applyBorder="1"/>
    <xf numFmtId="43" fontId="0" fillId="0" borderId="0" xfId="1" applyFont="1"/>
    <xf numFmtId="3" fontId="72" fillId="10" borderId="13" xfId="5" applyNumberFormat="1" applyFont="1" applyAlignment="1">
      <alignment horizontal="center"/>
    </xf>
    <xf numFmtId="3" fontId="17" fillId="10" borderId="13" xfId="5" applyNumberFormat="1" applyAlignment="1">
      <alignment horizontal="center"/>
    </xf>
    <xf numFmtId="0" fontId="0" fillId="7" borderId="15" xfId="0" applyFill="1" applyBorder="1" applyAlignment="1">
      <alignment vertical="top" wrapText="1"/>
    </xf>
    <xf numFmtId="0" fontId="1" fillId="0" borderId="14" xfId="0" applyFont="1" applyBorder="1" applyAlignment="1">
      <alignment wrapText="1"/>
    </xf>
    <xf numFmtId="0" fontId="1" fillId="0" borderId="0" xfId="0" applyFont="1" applyAlignment="1">
      <alignment wrapText="1"/>
    </xf>
    <xf numFmtId="0" fontId="0" fillId="4" borderId="0" xfId="0" applyFill="1" applyAlignment="1">
      <alignment horizontal="center"/>
    </xf>
    <xf numFmtId="0" fontId="0" fillId="11" borderId="14" xfId="0" applyFill="1" applyBorder="1" applyAlignment="1" applyProtection="1">
      <alignment horizontal="center" wrapText="1"/>
      <protection locked="0"/>
    </xf>
    <xf numFmtId="169" fontId="0" fillId="11" borderId="14" xfId="0" applyNumberFormat="1" applyFill="1" applyBorder="1" applyAlignment="1" applyProtection="1">
      <alignment horizontal="center" wrapText="1"/>
      <protection locked="0"/>
    </xf>
    <xf numFmtId="0" fontId="0" fillId="4" borderId="0" xfId="0" applyFill="1" applyAlignment="1">
      <alignment horizontal="center" wrapText="1"/>
    </xf>
    <xf numFmtId="0" fontId="0" fillId="0" borderId="0" xfId="0" applyAlignment="1">
      <alignment horizontal="center" wrapText="1"/>
    </xf>
    <xf numFmtId="0" fontId="75" fillId="16" borderId="40" xfId="63" applyFont="1" applyAlignment="1">
      <alignment horizontal="center" vertical="center" wrapText="1"/>
    </xf>
    <xf numFmtId="0" fontId="0" fillId="7" borderId="14" xfId="0" applyFill="1" applyBorder="1" applyAlignment="1">
      <alignment horizontal="center" wrapText="1"/>
    </xf>
    <xf numFmtId="171" fontId="0" fillId="4" borderId="0" xfId="0" applyNumberFormat="1" applyFill="1"/>
    <xf numFmtId="4" fontId="72" fillId="10" borderId="13" xfId="5" applyNumberFormat="1" applyFont="1" applyAlignment="1">
      <alignment horizontal="center"/>
    </xf>
    <xf numFmtId="169" fontId="0" fillId="11" borderId="14" xfId="0" applyNumberFormat="1" applyFill="1" applyBorder="1" applyAlignment="1" applyProtection="1">
      <alignment horizontal="center"/>
      <protection locked="0"/>
    </xf>
    <xf numFmtId="0" fontId="0" fillId="11" borderId="14" xfId="0" applyFill="1" applyBorder="1" applyAlignment="1" applyProtection="1">
      <alignment horizontal="center"/>
      <protection locked="0"/>
    </xf>
    <xf numFmtId="0" fontId="0" fillId="11" borderId="14" xfId="0" applyFill="1" applyBorder="1" applyProtection="1">
      <protection locked="0"/>
    </xf>
    <xf numFmtId="0" fontId="73" fillId="16" borderId="49" xfId="0" applyFont="1" applyFill="1" applyBorder="1"/>
    <xf numFmtId="0" fontId="73" fillId="16" borderId="50" xfId="0" applyFont="1" applyFill="1" applyBorder="1"/>
    <xf numFmtId="0" fontId="0" fillId="7" borderId="0" xfId="0" applyFill="1" applyAlignment="1">
      <alignment horizontal="center" wrapText="1"/>
    </xf>
    <xf numFmtId="0" fontId="28" fillId="11" borderId="0" xfId="0" applyFont="1" applyFill="1" applyAlignment="1" applyProtection="1">
      <alignment horizontal="center"/>
      <protection locked="0"/>
    </xf>
    <xf numFmtId="9" fontId="17" fillId="10" borderId="14" xfId="3" applyFont="1" applyFill="1" applyBorder="1" applyProtection="1"/>
    <xf numFmtId="0" fontId="0" fillId="4" borderId="54" xfId="0" applyFill="1" applyBorder="1"/>
    <xf numFmtId="2" fontId="17" fillId="10" borderId="14" xfId="5" applyNumberFormat="1" applyBorder="1" applyProtection="1"/>
    <xf numFmtId="0" fontId="31" fillId="11" borderId="0" xfId="0" applyFont="1" applyFill="1" applyAlignment="1" applyProtection="1">
      <alignment horizontal="center"/>
      <protection locked="0"/>
    </xf>
    <xf numFmtId="2" fontId="0" fillId="0" borderId="0" xfId="0" applyNumberFormat="1"/>
    <xf numFmtId="0" fontId="76" fillId="4" borderId="14" xfId="61" applyFont="1" applyFill="1" applyBorder="1"/>
    <xf numFmtId="0" fontId="77" fillId="6" borderId="14" xfId="61" applyFont="1" applyFill="1" applyBorder="1" applyAlignment="1">
      <alignment wrapText="1"/>
    </xf>
    <xf numFmtId="1" fontId="77" fillId="0" borderId="14" xfId="61" applyNumberFormat="1" applyFont="1" applyBorder="1" applyAlignment="1">
      <alignment horizontal="right" wrapText="1"/>
    </xf>
    <xf numFmtId="1" fontId="77" fillId="0" borderId="14" xfId="61" applyNumberFormat="1" applyFont="1" applyBorder="1"/>
    <xf numFmtId="1" fontId="77" fillId="0" borderId="5" xfId="61" applyNumberFormat="1" applyFont="1" applyBorder="1"/>
    <xf numFmtId="0" fontId="77" fillId="0" borderId="14" xfId="61" applyFont="1" applyBorder="1"/>
    <xf numFmtId="170" fontId="72" fillId="10" borderId="13" xfId="5" applyNumberFormat="1" applyFont="1" applyAlignment="1">
      <alignment horizontal="center"/>
    </xf>
    <xf numFmtId="1" fontId="17" fillId="10" borderId="14" xfId="5" applyNumberFormat="1" applyBorder="1" applyProtection="1"/>
    <xf numFmtId="0" fontId="78" fillId="0" borderId="0" xfId="0" applyFont="1"/>
    <xf numFmtId="0" fontId="31" fillId="0" borderId="0" xfId="0" applyFont="1"/>
    <xf numFmtId="164" fontId="31" fillId="0" borderId="0" xfId="1" applyNumberFormat="1" applyFont="1"/>
    <xf numFmtId="178" fontId="31" fillId="0" borderId="0" xfId="0" applyNumberFormat="1" applyFont="1"/>
    <xf numFmtId="0" fontId="75" fillId="0" borderId="0" xfId="0" applyFont="1"/>
    <xf numFmtId="167" fontId="31" fillId="0" borderId="0" xfId="0" applyNumberFormat="1" applyFont="1"/>
    <xf numFmtId="0" fontId="32" fillId="0" borderId="0" xfId="0" applyFont="1" applyAlignment="1">
      <alignment horizontal="center"/>
    </xf>
    <xf numFmtId="0" fontId="32" fillId="0" borderId="0" xfId="0" applyFont="1"/>
    <xf numFmtId="0" fontId="32" fillId="0" borderId="0" xfId="0" applyFont="1" applyAlignment="1">
      <alignment horizontal="right"/>
    </xf>
    <xf numFmtId="10" fontId="32" fillId="0" borderId="0" xfId="3" applyNumberFormat="1" applyFont="1"/>
    <xf numFmtId="0" fontId="31" fillId="0" borderId="0" xfId="0" applyFont="1" applyAlignment="1">
      <alignment horizontal="right"/>
    </xf>
    <xf numFmtId="166" fontId="31" fillId="0" borderId="0" xfId="18" applyNumberFormat="1" applyFont="1"/>
    <xf numFmtId="164" fontId="32" fillId="0" borderId="0" xfId="1" applyNumberFormat="1" applyFont="1"/>
    <xf numFmtId="0" fontId="31" fillId="0" borderId="0" xfId="0" applyFont="1" applyAlignment="1">
      <alignment wrapText="1"/>
    </xf>
    <xf numFmtId="0" fontId="32" fillId="0" borderId="0" xfId="0" applyFont="1" applyAlignment="1">
      <alignment horizontal="right" wrapText="1"/>
    </xf>
    <xf numFmtId="0" fontId="31" fillId="0" borderId="0" xfId="0" applyFont="1" applyAlignment="1">
      <alignment horizontal="right" vertical="top" wrapText="1"/>
    </xf>
    <xf numFmtId="10" fontId="31" fillId="0" borderId="0" xfId="3" applyNumberFormat="1" applyFont="1" applyAlignment="1">
      <alignment horizontal="center" vertical="top" wrapText="1"/>
    </xf>
    <xf numFmtId="0" fontId="31" fillId="0" borderId="0" xfId="0" applyFont="1" applyAlignment="1">
      <alignment vertical="top"/>
    </xf>
    <xf numFmtId="0" fontId="32" fillId="0" borderId="0" xfId="0" applyFont="1" applyAlignment="1">
      <alignment horizontal="right" vertical="top" wrapText="1"/>
    </xf>
    <xf numFmtId="164" fontId="36" fillId="3" borderId="6" xfId="1" applyNumberFormat="1" applyFont="1" applyFill="1" applyBorder="1"/>
    <xf numFmtId="164" fontId="36" fillId="3" borderId="7" xfId="1" applyNumberFormat="1" applyFont="1" applyFill="1" applyBorder="1"/>
    <xf numFmtId="165" fontId="36" fillId="3" borderId="6" xfId="1" applyNumberFormat="1" applyFont="1" applyFill="1" applyBorder="1"/>
    <xf numFmtId="165" fontId="36" fillId="3" borderId="7" xfId="1" applyNumberFormat="1" applyFont="1" applyFill="1" applyBorder="1"/>
    <xf numFmtId="0" fontId="31" fillId="4" borderId="0" xfId="0" applyFont="1" applyFill="1"/>
    <xf numFmtId="0" fontId="31" fillId="8" borderId="14" xfId="0" applyFont="1" applyFill="1" applyBorder="1" applyAlignment="1">
      <alignment horizontal="center" vertical="top" wrapText="1"/>
    </xf>
    <xf numFmtId="0" fontId="31" fillId="8" borderId="15" xfId="0" applyFont="1" applyFill="1" applyBorder="1" applyAlignment="1">
      <alignment horizontal="center" vertical="top" wrapText="1"/>
    </xf>
    <xf numFmtId="0" fontId="31" fillId="7" borderId="15" xfId="0" applyFont="1" applyFill="1" applyBorder="1" applyAlignment="1">
      <alignment vertical="top"/>
    </xf>
    <xf numFmtId="0" fontId="31" fillId="7" borderId="15" xfId="0" applyFont="1" applyFill="1" applyBorder="1" applyAlignment="1">
      <alignment horizontal="center" vertical="top"/>
    </xf>
    <xf numFmtId="0" fontId="31" fillId="7" borderId="17" xfId="0" applyFont="1" applyFill="1" applyBorder="1" applyAlignment="1">
      <alignment vertical="top"/>
    </xf>
    <xf numFmtId="0" fontId="31" fillId="7" borderId="17" xfId="0" applyFont="1" applyFill="1" applyBorder="1" applyAlignment="1">
      <alignment horizontal="center" vertical="top" wrapText="1"/>
    </xf>
    <xf numFmtId="0" fontId="31" fillId="7" borderId="15" xfId="0" applyFont="1" applyFill="1" applyBorder="1" applyAlignment="1">
      <alignment horizontal="center" vertical="top" wrapText="1"/>
    </xf>
    <xf numFmtId="0" fontId="31" fillId="7" borderId="14" xfId="0" applyFont="1" applyFill="1" applyBorder="1" applyAlignment="1">
      <alignment horizontal="center" vertical="top" wrapText="1"/>
    </xf>
    <xf numFmtId="0" fontId="31" fillId="7" borderId="15" xfId="0" applyFont="1" applyFill="1" applyBorder="1" applyAlignment="1">
      <alignment horizontal="center" wrapText="1"/>
    </xf>
    <xf numFmtId="0" fontId="31" fillId="7" borderId="15" xfId="0" applyFont="1" applyFill="1" applyBorder="1" applyAlignment="1">
      <alignment wrapText="1"/>
    </xf>
    <xf numFmtId="0" fontId="31" fillId="7" borderId="2" xfId="0" applyFont="1" applyFill="1" applyBorder="1" applyAlignment="1">
      <alignment horizontal="center" vertical="top" wrapText="1"/>
    </xf>
    <xf numFmtId="0" fontId="31" fillId="7" borderId="15" xfId="0" applyFont="1" applyFill="1" applyBorder="1"/>
    <xf numFmtId="0" fontId="31" fillId="8" borderId="17" xfId="0" applyFont="1" applyFill="1" applyBorder="1"/>
    <xf numFmtId="0" fontId="31" fillId="9" borderId="23" xfId="0" applyFont="1" applyFill="1" applyBorder="1" applyAlignment="1">
      <alignment horizontal="center" wrapText="1"/>
    </xf>
    <xf numFmtId="0" fontId="31" fillId="9" borderId="24" xfId="0" applyFont="1" applyFill="1" applyBorder="1" applyAlignment="1">
      <alignment horizontal="center" wrapText="1"/>
    </xf>
    <xf numFmtId="0" fontId="31" fillId="9" borderId="25" xfId="0" applyFont="1" applyFill="1" applyBorder="1" applyAlignment="1">
      <alignment horizontal="center" wrapText="1"/>
    </xf>
    <xf numFmtId="0" fontId="31" fillId="9" borderId="26" xfId="0" applyFont="1" applyFill="1" applyBorder="1" applyAlignment="1">
      <alignment horizontal="center" wrapText="1"/>
    </xf>
    <xf numFmtId="0" fontId="31" fillId="9" borderId="27" xfId="0" applyFont="1" applyFill="1" applyBorder="1" applyAlignment="1">
      <alignment horizontal="center" wrapText="1"/>
    </xf>
    <xf numFmtId="0" fontId="31" fillId="9" borderId="28" xfId="0" applyFont="1" applyFill="1" applyBorder="1" applyAlignment="1">
      <alignment horizontal="center" wrapText="1"/>
    </xf>
    <xf numFmtId="0" fontId="31" fillId="8" borderId="15" xfId="0" applyFont="1" applyFill="1" applyBorder="1" applyAlignment="1">
      <alignment horizontal="center" vertical="top"/>
    </xf>
    <xf numFmtId="0" fontId="31" fillId="9" borderId="15" xfId="0" applyFont="1" applyFill="1" applyBorder="1" applyAlignment="1">
      <alignment horizontal="center" vertical="top"/>
    </xf>
    <xf numFmtId="0" fontId="31" fillId="9" borderId="15" xfId="0" applyFont="1" applyFill="1" applyBorder="1" applyAlignment="1">
      <alignment horizontal="center" vertical="top" wrapText="1"/>
    </xf>
    <xf numFmtId="0" fontId="31" fillId="8" borderId="15" xfId="0" applyFont="1" applyFill="1" applyBorder="1"/>
    <xf numFmtId="169" fontId="32" fillId="10" borderId="13" xfId="5" applyNumberFormat="1" applyFont="1"/>
    <xf numFmtId="0" fontId="31" fillId="11" borderId="15" xfId="0" applyFont="1" applyFill="1" applyBorder="1" applyAlignment="1">
      <alignment vertical="top" wrapText="1"/>
    </xf>
    <xf numFmtId="0" fontId="31" fillId="11" borderId="14" xfId="0" applyFont="1" applyFill="1" applyBorder="1" applyAlignment="1" applyProtection="1">
      <alignment horizontal="center" wrapText="1"/>
      <protection locked="0"/>
    </xf>
    <xf numFmtId="0" fontId="75" fillId="16" borderId="55" xfId="0" applyFont="1" applyFill="1" applyBorder="1" applyAlignment="1">
      <alignment wrapText="1"/>
    </xf>
    <xf numFmtId="0" fontId="31" fillId="7" borderId="17" xfId="0" applyFont="1" applyFill="1" applyBorder="1" applyAlignment="1">
      <alignment horizontal="center" wrapText="1"/>
    </xf>
    <xf numFmtId="0" fontId="75" fillId="16" borderId="51" xfId="0" applyFont="1" applyFill="1" applyBorder="1" applyAlignment="1">
      <alignment wrapText="1"/>
    </xf>
    <xf numFmtId="0" fontId="75" fillId="16" borderId="49" xfId="0" applyFont="1" applyFill="1" applyBorder="1"/>
    <xf numFmtId="0" fontId="31" fillId="7" borderId="14" xfId="0" applyFont="1" applyFill="1" applyBorder="1" applyAlignment="1">
      <alignment horizontal="center"/>
    </xf>
    <xf numFmtId="0" fontId="31" fillId="8" borderId="17" xfId="0" applyFont="1" applyFill="1" applyBorder="1" applyAlignment="1">
      <alignment horizontal="center" vertical="top" wrapText="1"/>
    </xf>
    <xf numFmtId="0" fontId="31" fillId="8" borderId="22" xfId="0" applyFont="1" applyFill="1" applyBorder="1" applyAlignment="1">
      <alignment horizontal="center" vertical="top" wrapText="1"/>
    </xf>
    <xf numFmtId="4" fontId="32" fillId="10" borderId="13" xfId="5" applyNumberFormat="1" applyFont="1" applyAlignment="1">
      <alignment horizontal="center"/>
    </xf>
    <xf numFmtId="3" fontId="32" fillId="10" borderId="13" xfId="5" applyNumberFormat="1" applyFont="1" applyAlignment="1">
      <alignment horizontal="center"/>
    </xf>
    <xf numFmtId="170" fontId="32" fillId="10" borderId="13" xfId="5" applyNumberFormat="1" applyFont="1" applyAlignment="1">
      <alignment horizontal="center"/>
    </xf>
    <xf numFmtId="0" fontId="31" fillId="11" borderId="14" xfId="0" applyFont="1" applyFill="1" applyBorder="1" applyAlignment="1" applyProtection="1">
      <alignment horizontal="center"/>
      <protection locked="0"/>
    </xf>
    <xf numFmtId="9" fontId="31" fillId="11" borderId="14" xfId="3" applyFont="1" applyFill="1" applyBorder="1" applyAlignment="1" applyProtection="1">
      <alignment horizontal="center"/>
      <protection locked="0"/>
    </xf>
    <xf numFmtId="0" fontId="31" fillId="11" borderId="5" xfId="0" applyFont="1" applyFill="1" applyBorder="1" applyAlignment="1" applyProtection="1">
      <alignment horizontal="center" wrapText="1"/>
      <protection locked="0"/>
    </xf>
    <xf numFmtId="169" fontId="31" fillId="11" borderId="14" xfId="0" applyNumberFormat="1" applyFont="1" applyFill="1" applyBorder="1" applyAlignment="1" applyProtection="1">
      <alignment horizontal="center" wrapText="1"/>
      <protection locked="0"/>
    </xf>
    <xf numFmtId="170" fontId="31" fillId="11" borderId="14" xfId="0" applyNumberFormat="1" applyFont="1" applyFill="1" applyBorder="1" applyAlignment="1" applyProtection="1">
      <alignment horizontal="center" wrapText="1"/>
      <protection locked="0"/>
    </xf>
    <xf numFmtId="1" fontId="0" fillId="11" borderId="14" xfId="0" applyNumberFormat="1" applyFill="1" applyBorder="1" applyAlignment="1" applyProtection="1">
      <alignment horizontal="center" wrapText="1"/>
      <protection locked="0"/>
    </xf>
    <xf numFmtId="0" fontId="31" fillId="11" borderId="14" xfId="0" applyFont="1" applyFill="1" applyBorder="1" applyAlignment="1">
      <alignment vertical="top" wrapText="1"/>
    </xf>
    <xf numFmtId="0" fontId="0" fillId="6" borderId="5" xfId="0" applyFill="1" applyBorder="1" applyAlignment="1">
      <alignment horizontal="left" vertical="top" wrapText="1"/>
    </xf>
    <xf numFmtId="0" fontId="0" fillId="6" borderId="6" xfId="0" applyFill="1" applyBorder="1" applyAlignment="1">
      <alignment horizontal="left" vertical="top" wrapText="1"/>
    </xf>
    <xf numFmtId="0" fontId="0" fillId="6" borderId="7" xfId="0" applyFill="1" applyBorder="1" applyAlignment="1">
      <alignment horizontal="left" vertical="top" wrapText="1"/>
    </xf>
    <xf numFmtId="14" fontId="0" fillId="6" borderId="8" xfId="0" applyNumberFormat="1" applyFill="1" applyBorder="1" applyAlignment="1">
      <alignment horizontal="center" vertical="top"/>
    </xf>
    <xf numFmtId="14" fontId="0" fillId="6" borderId="11" xfId="0" applyNumberFormat="1" applyFill="1" applyBorder="1" applyAlignment="1">
      <alignment horizontal="center" vertical="top"/>
    </xf>
    <xf numFmtId="14" fontId="0" fillId="6" borderId="1" xfId="0" applyNumberFormat="1" applyFill="1" applyBorder="1" applyAlignment="1">
      <alignment horizontal="center" vertical="top"/>
    </xf>
    <xf numFmtId="14" fontId="0" fillId="6" borderId="2" xfId="0" applyNumberFormat="1" applyFill="1" applyBorder="1" applyAlignment="1">
      <alignment horizontal="center" vertical="top"/>
    </xf>
    <xf numFmtId="14" fontId="0" fillId="6" borderId="3" xfId="0" applyNumberFormat="1" applyFill="1" applyBorder="1" applyAlignment="1">
      <alignment horizontal="center" vertical="top"/>
    </xf>
    <xf numFmtId="14" fontId="0" fillId="6" borderId="4" xfId="0" applyNumberFormat="1" applyFill="1" applyBorder="1" applyAlignment="1">
      <alignment horizontal="center" vertical="top"/>
    </xf>
    <xf numFmtId="14" fontId="31" fillId="6" borderId="5" xfId="0" applyNumberFormat="1" applyFont="1" applyFill="1" applyBorder="1" applyAlignment="1">
      <alignment horizontal="center" vertical="center"/>
    </xf>
    <xf numFmtId="0" fontId="31" fillId="6" borderId="7" xfId="0" applyFont="1" applyFill="1" applyBorder="1" applyAlignment="1">
      <alignment horizontal="center" vertical="center"/>
    </xf>
    <xf numFmtId="0" fontId="31" fillId="6" borderId="5" xfId="0" applyFont="1" applyFill="1" applyBorder="1" applyAlignment="1">
      <alignment horizontal="left" vertical="top" wrapText="1"/>
    </xf>
    <xf numFmtId="0" fontId="31" fillId="6" borderId="6" xfId="0" applyFont="1" applyFill="1" applyBorder="1" applyAlignment="1">
      <alignment horizontal="left" vertical="top" wrapText="1"/>
    </xf>
    <xf numFmtId="0" fontId="31" fillId="6" borderId="7" xfId="0" applyFont="1" applyFill="1" applyBorder="1" applyAlignment="1">
      <alignment horizontal="left" vertical="top" wrapText="1"/>
    </xf>
    <xf numFmtId="0" fontId="0" fillId="6" borderId="14" xfId="0" applyFill="1" applyBorder="1" applyAlignment="1">
      <alignment horizontal="center"/>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xf>
    <xf numFmtId="0" fontId="15" fillId="6" borderId="11" xfId="0" applyFont="1" applyFill="1" applyBorder="1" applyAlignment="1">
      <alignment horizontal="center" vertical="center"/>
    </xf>
    <xf numFmtId="0" fontId="15" fillId="6" borderId="1" xfId="0" applyFont="1" applyFill="1" applyBorder="1" applyAlignment="1">
      <alignment horizontal="center" vertical="center"/>
    </xf>
    <xf numFmtId="0" fontId="15" fillId="6" borderId="0" xfId="0" applyFont="1" applyFill="1" applyAlignment="1">
      <alignment horizontal="center" vertical="center"/>
    </xf>
    <xf numFmtId="0" fontId="15" fillId="6" borderId="2" xfId="0" applyFont="1" applyFill="1" applyBorder="1" applyAlignment="1">
      <alignment horizontal="center" vertical="center"/>
    </xf>
    <xf numFmtId="0" fontId="15" fillId="6" borderId="3" xfId="0" applyFont="1" applyFill="1" applyBorder="1" applyAlignment="1">
      <alignment horizontal="center" vertical="center"/>
    </xf>
    <xf numFmtId="0" fontId="15" fillId="6" borderId="10" xfId="0" applyFont="1" applyFill="1" applyBorder="1" applyAlignment="1">
      <alignment horizontal="center" vertical="center"/>
    </xf>
    <xf numFmtId="0" fontId="15" fillId="6" borderId="4" xfId="0" applyFont="1" applyFill="1" applyBorder="1" applyAlignment="1">
      <alignment horizontal="center" vertical="center"/>
    </xf>
    <xf numFmtId="14" fontId="0" fillId="6" borderId="14" xfId="0" applyNumberFormat="1" applyFill="1" applyBorder="1" applyAlignment="1">
      <alignment horizontal="center" vertical="top"/>
    </xf>
    <xf numFmtId="0" fontId="0" fillId="6" borderId="14" xfId="0" applyFill="1" applyBorder="1" applyAlignment="1">
      <alignment horizontal="left" vertical="top"/>
    </xf>
    <xf numFmtId="0" fontId="0" fillId="6" borderId="14" xfId="0" applyFill="1" applyBorder="1" applyAlignment="1">
      <alignment horizontal="lef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0" fillId="6" borderId="11" xfId="0" applyFill="1" applyBorder="1" applyAlignment="1">
      <alignment horizontal="left" vertical="top" wrapText="1"/>
    </xf>
    <xf numFmtId="0" fontId="0" fillId="6" borderId="1" xfId="0" applyFill="1" applyBorder="1" applyAlignment="1">
      <alignment horizontal="left" vertical="top" wrapText="1"/>
    </xf>
    <xf numFmtId="0" fontId="0" fillId="6" borderId="0" xfId="0" applyFill="1" applyAlignment="1">
      <alignment horizontal="left" vertical="top" wrapText="1"/>
    </xf>
    <xf numFmtId="0" fontId="0" fillId="6" borderId="2" xfId="0" applyFill="1" applyBorder="1" applyAlignment="1">
      <alignment horizontal="left" vertical="top" wrapText="1"/>
    </xf>
    <xf numFmtId="0" fontId="0" fillId="6" borderId="3" xfId="0" applyFill="1" applyBorder="1" applyAlignment="1">
      <alignment horizontal="left" vertical="top" wrapText="1"/>
    </xf>
    <xf numFmtId="0" fontId="0" fillId="6" borderId="10" xfId="0" applyFill="1" applyBorder="1" applyAlignment="1">
      <alignment horizontal="left" vertical="top" wrapText="1"/>
    </xf>
    <xf numFmtId="0" fontId="0" fillId="6" borderId="4" xfId="0" applyFill="1" applyBorder="1" applyAlignment="1">
      <alignment horizontal="left" vertical="top" wrapText="1"/>
    </xf>
    <xf numFmtId="14" fontId="0" fillId="6" borderId="5" xfId="0" applyNumberFormat="1" applyFill="1" applyBorder="1" applyAlignment="1">
      <alignment horizontal="center" vertical="top"/>
    </xf>
    <xf numFmtId="0" fontId="0" fillId="6" borderId="7" xfId="0" applyFill="1" applyBorder="1" applyAlignment="1">
      <alignment horizontal="center" vertical="top"/>
    </xf>
    <xf numFmtId="0" fontId="8" fillId="16" borderId="21" xfId="0" applyFont="1" applyFill="1" applyBorder="1" applyAlignment="1">
      <alignment horizontal="center"/>
    </xf>
    <xf numFmtId="0" fontId="8" fillId="16" borderId="0" xfId="0" applyFont="1" applyFill="1" applyAlignment="1">
      <alignment horizontal="center"/>
    </xf>
    <xf numFmtId="0" fontId="16" fillId="0" borderId="45" xfId="4" applyBorder="1" applyAlignment="1">
      <alignment horizontal="center"/>
    </xf>
    <xf numFmtId="0" fontId="75" fillId="16" borderId="55" xfId="0" applyFont="1" applyFill="1" applyBorder="1" applyAlignment="1">
      <alignment horizontal="center" wrapText="1"/>
    </xf>
    <xf numFmtId="0" fontId="75" fillId="16" borderId="49" xfId="0" applyFont="1" applyFill="1" applyBorder="1" applyAlignment="1">
      <alignment horizontal="center" wrapText="1"/>
    </xf>
    <xf numFmtId="0" fontId="75" fillId="16" borderId="50" xfId="0" applyFont="1" applyFill="1" applyBorder="1" applyAlignment="1">
      <alignment horizontal="center" wrapText="1"/>
    </xf>
    <xf numFmtId="0" fontId="1" fillId="13" borderId="5" xfId="0" applyFont="1" applyFill="1" applyBorder="1" applyAlignment="1">
      <alignment horizontal="center" wrapText="1"/>
    </xf>
    <xf numFmtId="0" fontId="1" fillId="13" borderId="6" xfId="0" applyFont="1" applyFill="1" applyBorder="1" applyAlignment="1">
      <alignment horizontal="center" wrapText="1"/>
    </xf>
    <xf numFmtId="0" fontId="1" fillId="13" borderId="7" xfId="0" applyFont="1" applyFill="1" applyBorder="1" applyAlignment="1">
      <alignment horizontal="center" wrapText="1"/>
    </xf>
    <xf numFmtId="0" fontId="1" fillId="13" borderId="14" xfId="0" applyFont="1" applyFill="1" applyBorder="1" applyAlignment="1">
      <alignment horizontal="center" wrapText="1"/>
    </xf>
    <xf numFmtId="0" fontId="8" fillId="16" borderId="29" xfId="0" applyFont="1" applyFill="1" applyBorder="1" applyAlignment="1">
      <alignment horizontal="center" wrapText="1"/>
    </xf>
    <xf numFmtId="0" fontId="8" fillId="16" borderId="10" xfId="0" applyFont="1" applyFill="1" applyBorder="1" applyAlignment="1">
      <alignment horizontal="center" wrapText="1"/>
    </xf>
    <xf numFmtId="0" fontId="75" fillId="16" borderId="52" xfId="0" applyFont="1" applyFill="1" applyBorder="1" applyAlignment="1">
      <alignment horizontal="center"/>
    </xf>
    <xf numFmtId="0" fontId="75" fillId="16" borderId="53" xfId="0" applyFont="1" applyFill="1" applyBorder="1" applyAlignment="1">
      <alignment horizontal="center"/>
    </xf>
    <xf numFmtId="0" fontId="75" fillId="16" borderId="56" xfId="0" applyFont="1" applyFill="1" applyBorder="1" applyAlignment="1">
      <alignment horizontal="center"/>
    </xf>
    <xf numFmtId="0" fontId="0" fillId="17" borderId="31" xfId="6" applyFont="1" applyBorder="1" applyAlignment="1">
      <alignment horizontal="center"/>
    </xf>
    <xf numFmtId="0" fontId="16" fillId="0" borderId="12" xfId="4" applyAlignment="1">
      <alignment horizontal="center"/>
    </xf>
    <xf numFmtId="0" fontId="1" fillId="13" borderId="14" xfId="0" applyFont="1" applyFill="1" applyBorder="1" applyAlignment="1">
      <alignment horizontal="center"/>
    </xf>
    <xf numFmtId="0" fontId="0" fillId="7" borderId="14" xfId="0" applyFill="1" applyBorder="1" applyAlignment="1">
      <alignment horizontal="left"/>
    </xf>
    <xf numFmtId="0" fontId="0" fillId="11" borderId="5" xfId="0" applyFill="1" applyBorder="1" applyAlignment="1" applyProtection="1">
      <alignment horizontal="left"/>
      <protection locked="0"/>
    </xf>
    <xf numFmtId="0" fontId="17" fillId="10" borderId="14" xfId="5" applyBorder="1" applyAlignment="1">
      <alignment horizontal="left"/>
    </xf>
    <xf numFmtId="0" fontId="8" fillId="16" borderId="19" xfId="0" applyFont="1" applyFill="1" applyBorder="1" applyAlignment="1">
      <alignment horizontal="center"/>
    </xf>
    <xf numFmtId="0" fontId="8" fillId="16" borderId="21" xfId="0" applyFont="1" applyFill="1" applyBorder="1" applyAlignment="1">
      <alignment horizontal="center" wrapText="1"/>
    </xf>
    <xf numFmtId="0" fontId="8" fillId="16" borderId="0" xfId="0" applyFont="1" applyFill="1" applyAlignment="1">
      <alignment horizontal="center" wrapText="1"/>
    </xf>
    <xf numFmtId="0" fontId="1" fillId="14" borderId="14" xfId="0" applyFont="1" applyFill="1" applyBorder="1" applyAlignment="1">
      <alignment horizontal="center"/>
    </xf>
    <xf numFmtId="0" fontId="1" fillId="0" borderId="0" xfId="0" applyFont="1" applyAlignment="1">
      <alignment horizontal="center"/>
    </xf>
    <xf numFmtId="0" fontId="1" fillId="15" borderId="14" xfId="0" applyFont="1" applyFill="1" applyBorder="1" applyAlignment="1">
      <alignment horizontal="center"/>
    </xf>
    <xf numFmtId="0" fontId="1" fillId="15" borderId="5" xfId="0" applyFont="1" applyFill="1" applyBorder="1" applyAlignment="1">
      <alignment horizontal="center"/>
    </xf>
    <xf numFmtId="0" fontId="32" fillId="15" borderId="5" xfId="0" applyFont="1" applyFill="1" applyBorder="1" applyAlignment="1">
      <alignment horizontal="center"/>
    </xf>
    <xf numFmtId="0" fontId="8" fillId="16" borderId="29" xfId="0" applyFont="1" applyFill="1" applyBorder="1" applyAlignment="1">
      <alignment horizontal="center"/>
    </xf>
    <xf numFmtId="0" fontId="32" fillId="15" borderId="14" xfId="0" applyFont="1" applyFill="1" applyBorder="1" applyAlignment="1">
      <alignment horizontal="center"/>
    </xf>
    <xf numFmtId="0" fontId="16" fillId="0" borderId="12" xfId="4" applyAlignment="1">
      <alignment horizontal="left"/>
    </xf>
    <xf numFmtId="0" fontId="16" fillId="6" borderId="12" xfId="4" applyFill="1" applyAlignment="1">
      <alignment horizontal="center"/>
    </xf>
    <xf numFmtId="0" fontId="32" fillId="14" borderId="14" xfId="0" applyFont="1" applyFill="1" applyBorder="1" applyAlignment="1">
      <alignment horizontal="center"/>
    </xf>
    <xf numFmtId="0" fontId="8" fillId="16" borderId="20" xfId="0" applyFont="1" applyFill="1" applyBorder="1" applyAlignment="1">
      <alignment horizontal="center"/>
    </xf>
    <xf numFmtId="0" fontId="32" fillId="13" borderId="14" xfId="0" applyFont="1" applyFill="1" applyBorder="1" applyAlignment="1">
      <alignment horizontal="center"/>
    </xf>
    <xf numFmtId="0" fontId="32" fillId="13" borderId="14" xfId="0" applyFont="1" applyFill="1" applyBorder="1"/>
    <xf numFmtId="0" fontId="0" fillId="0" borderId="0" xfId="0" applyAlignment="1">
      <alignment horizontal="center"/>
    </xf>
    <xf numFmtId="0" fontId="32" fillId="15" borderId="14" xfId="0" applyFont="1" applyFill="1" applyBorder="1" applyAlignment="1">
      <alignment horizontal="center" wrapText="1"/>
    </xf>
    <xf numFmtId="0" fontId="31" fillId="8" borderId="14" xfId="0" applyFont="1" applyFill="1" applyBorder="1" applyAlignment="1">
      <alignment horizontal="center" vertical="top" wrapText="1"/>
    </xf>
    <xf numFmtId="0" fontId="32" fillId="15" borderId="6" xfId="0" applyFont="1" applyFill="1" applyBorder="1" applyAlignment="1">
      <alignment horizontal="center"/>
    </xf>
    <xf numFmtId="0" fontId="32" fillId="15" borderId="7" xfId="0" applyFont="1" applyFill="1" applyBorder="1" applyAlignment="1">
      <alignment horizontal="center"/>
    </xf>
    <xf numFmtId="0" fontId="75" fillId="16" borderId="5" xfId="0" applyFont="1" applyFill="1" applyBorder="1" applyAlignment="1">
      <alignment horizontal="center" wrapText="1"/>
    </xf>
    <xf numFmtId="0" fontId="75" fillId="16" borderId="6" xfId="0" applyFont="1" applyFill="1" applyBorder="1" applyAlignment="1">
      <alignment horizontal="center" wrapText="1"/>
    </xf>
    <xf numFmtId="0" fontId="75" fillId="16" borderId="5" xfId="0" applyFont="1" applyFill="1" applyBorder="1" applyAlignment="1">
      <alignment horizontal="center"/>
    </xf>
    <xf numFmtId="0" fontId="75" fillId="16" borderId="6" xfId="0" applyFont="1" applyFill="1" applyBorder="1" applyAlignment="1">
      <alignment horizontal="center"/>
    </xf>
    <xf numFmtId="0" fontId="75" fillId="16" borderId="7" xfId="0" applyFont="1" applyFill="1" applyBorder="1" applyAlignment="1">
      <alignment horizontal="center" wrapText="1"/>
    </xf>
    <xf numFmtId="0" fontId="75" fillId="16" borderId="57" xfId="63" applyFont="1" applyBorder="1" applyAlignment="1">
      <alignment horizontal="center" vertical="center" wrapText="1"/>
    </xf>
    <xf numFmtId="0" fontId="75" fillId="16" borderId="58" xfId="63" applyFont="1" applyBorder="1" applyAlignment="1">
      <alignment horizontal="center" vertical="center" wrapText="1"/>
    </xf>
    <xf numFmtId="0" fontId="0" fillId="7" borderId="22" xfId="0" applyFill="1" applyBorder="1" applyAlignment="1">
      <alignment horizontal="center" vertical="center" wrapText="1"/>
    </xf>
    <xf numFmtId="0" fontId="0" fillId="7" borderId="14" xfId="0" applyFill="1" applyBorder="1" applyAlignment="1">
      <alignment horizontal="center" vertical="center" wrapText="1"/>
    </xf>
    <xf numFmtId="0" fontId="0" fillId="11" borderId="7" xfId="0" applyFill="1" applyBorder="1" applyAlignment="1" applyProtection="1">
      <alignment horizontal="left"/>
      <protection locked="0"/>
    </xf>
    <xf numFmtId="0" fontId="0" fillId="17" borderId="0" xfId="6" applyFont="1" applyBorder="1" applyAlignment="1">
      <alignment horizontal="center"/>
    </xf>
    <xf numFmtId="0" fontId="1" fillId="0" borderId="0" xfId="0" applyFont="1" applyAlignment="1">
      <alignment horizontal="left"/>
    </xf>
    <xf numFmtId="0" fontId="0" fillId="0" borderId="0" xfId="0" applyAlignment="1">
      <alignment horizontal="left"/>
    </xf>
    <xf numFmtId="0" fontId="3" fillId="2" borderId="0" xfId="2" applyAlignment="1">
      <alignment horizontal="center"/>
    </xf>
    <xf numFmtId="0" fontId="3" fillId="2" borderId="8" xfId="2" applyBorder="1" applyAlignment="1">
      <alignment horizontal="center"/>
    </xf>
    <xf numFmtId="0" fontId="3" fillId="2" borderId="9" xfId="2" applyBorder="1" applyAlignment="1">
      <alignment horizontal="center"/>
    </xf>
    <xf numFmtId="0" fontId="3" fillId="2" borderId="11" xfId="2" applyBorder="1" applyAlignment="1">
      <alignment horizontal="center"/>
    </xf>
    <xf numFmtId="0" fontId="0" fillId="0" borderId="14" xfId="0" applyBorder="1" applyAlignment="1">
      <alignment horizontal="center" vertical="center"/>
    </xf>
    <xf numFmtId="0" fontId="0" fillId="0" borderId="14" xfId="0" applyBorder="1" applyAlignment="1">
      <alignment horizontal="center" vertical="center" wrapText="1"/>
    </xf>
    <xf numFmtId="0" fontId="33" fillId="0" borderId="14" xfId="61" applyBorder="1" applyAlignment="1">
      <alignment horizontal="center" vertical="center"/>
    </xf>
    <xf numFmtId="0" fontId="79" fillId="0" borderId="0" xfId="0" applyFont="1" applyAlignment="1">
      <alignment horizontal="center" wrapText="1"/>
    </xf>
    <xf numFmtId="0" fontId="31" fillId="0" borderId="0" xfId="0" applyFont="1" applyAlignment="1">
      <alignment horizontal="left" vertical="top" wrapText="1"/>
    </xf>
    <xf numFmtId="1" fontId="17" fillId="10" borderId="13" xfId="5" applyNumberFormat="1" applyAlignment="1">
      <alignment horizontal="center"/>
    </xf>
  </cellXfs>
  <cellStyles count="94">
    <cellStyle name="20% - Accent1" xfId="22"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3"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4"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1" builtinId="29" customBuiltin="1"/>
    <cellStyle name="Accent2" xfId="2" builtinId="33" customBuiltin="1"/>
    <cellStyle name="Accent3" xfId="28" builtinId="37" customBuiltin="1"/>
    <cellStyle name="Accent4" xfId="32" builtinId="41" customBuiltin="1"/>
    <cellStyle name="Accent5" xfId="36" builtinId="45" customBuiltin="1"/>
    <cellStyle name="Accent6" xfId="40" builtinId="49" customBuiltin="1"/>
    <cellStyle name="Bad" xfId="12" builtinId="27" customBuiltin="1"/>
    <cellStyle name="Bad 2" xfId="92" xr:uid="{7F6D8FF9-AF9E-4418-8E52-85FBF0582804}"/>
    <cellStyle name="Calculation" xfId="15" builtinId="22" customBuiltin="1"/>
    <cellStyle name="Calculation 2" xfId="63" xr:uid="{7AE4B044-8906-49C2-B885-2AD1C7EF4219}"/>
    <cellStyle name="Calculation with Different Formula" xfId="76" xr:uid="{CE82669C-7DCD-461E-BCFA-EADF638769F4}"/>
    <cellStyle name="Check Cell" xfId="17" builtinId="23" customBuiltin="1"/>
    <cellStyle name="Check Cell 2" xfId="71" xr:uid="{8865083A-4BCE-48A2-87F8-FF8D7E056817}"/>
    <cellStyle name="Comma" xfId="1" builtinId="3"/>
    <cellStyle name="Comma 18" xfId="49" xr:uid="{F65FFB87-057B-4183-BEF4-07A05D0D4D6D}"/>
    <cellStyle name="Comma 2" xfId="58" xr:uid="{4B2D2067-C78F-484A-B894-7F94CB8C1128}"/>
    <cellStyle name="Comma 3" xfId="93" xr:uid="{C81057D4-6494-4940-A9DE-5A9E8FDC82AE}"/>
    <cellStyle name="Comma 5" xfId="51" xr:uid="{B6178502-84F0-4015-BB8C-68C070C385C1}"/>
    <cellStyle name="Currency 2" xfId="64" xr:uid="{A6F7762C-9C5B-4CA3-9948-44A2FB6247DD}"/>
    <cellStyle name="Datetime Format" xfId="75" xr:uid="{3B3FD7C2-EA0C-4611-A917-D785A85BF2F2}"/>
    <cellStyle name="Dollars Format" xfId="72" xr:uid="{4431D508-FB15-4E71-8FE4-BE8A3AE4D108}"/>
    <cellStyle name="Dropdown" xfId="82" xr:uid="{20AF8F95-2974-43BA-9AB4-35D66474B4BB}"/>
    <cellStyle name="Dropdown Input" xfId="84" xr:uid="{9B9E5A2B-3A9B-43C7-A643-B28CF9F12611}"/>
    <cellStyle name="Explanatory Text" xfId="19" builtinId="53" customBuiltin="1"/>
    <cellStyle name="Explanatory Text 2" xfId="79" xr:uid="{8E11E65D-C0F7-4B69-A54B-BFF1428D9F36}"/>
    <cellStyle name="Good" xfId="11" builtinId="26" customBuiltin="1"/>
    <cellStyle name="Good 2" xfId="78" xr:uid="{A569EBA4-8810-4648-A144-2CFB7F8BF3BF}"/>
    <cellStyle name="Heading" xfId="54" xr:uid="{8F8B9D8A-BEBF-46D4-9C0D-D17DD95773FF}"/>
    <cellStyle name="Heading 1" xfId="4" builtinId="16" customBuiltin="1"/>
    <cellStyle name="Heading 1 2" xfId="66" xr:uid="{7F431783-D64E-4429-BC2A-FA8E828A641C}"/>
    <cellStyle name="Heading 2" xfId="8" builtinId="17" customBuiltin="1"/>
    <cellStyle name="Heading 2 2" xfId="69" xr:uid="{F6ADCC3A-3A56-48BD-8067-8C2C696DA069}"/>
    <cellStyle name="Heading 3" xfId="9" builtinId="18" customBuiltin="1"/>
    <cellStyle name="Heading 3 2" xfId="87" xr:uid="{4BD0D411-B8D5-4371-A9E1-880D44993470}"/>
    <cellStyle name="Heading 4" xfId="10" builtinId="19" customBuiltin="1"/>
    <cellStyle name="Heading 4 2" xfId="67" xr:uid="{8BCA61FE-421C-4F43-B948-5AF76DAD9D68}"/>
    <cellStyle name="Hyperlink 2" xfId="44" xr:uid="{8182ACA0-E0FC-478B-A09C-8AAF79831C75}"/>
    <cellStyle name="Input" xfId="14" builtinId="20" customBuiltin="1"/>
    <cellStyle name="Input 2" xfId="83" xr:uid="{FBC6E763-8AF5-4AB0-9139-7CA23BE59BDF}"/>
    <cellStyle name="Input 2 2" xfId="88" xr:uid="{5F6B69CF-B7AA-4D31-8B72-4D09EB352C7F}"/>
    <cellStyle name="Linked Cell" xfId="16" builtinId="24" customBuiltin="1"/>
    <cellStyle name="Linked Cell 2" xfId="68" xr:uid="{48BDAF98-9DD3-4563-80BC-09CB423266A8}"/>
    <cellStyle name="Neutral" xfId="13" builtinId="28" customBuiltin="1"/>
    <cellStyle name="Neutral 2" xfId="86" xr:uid="{6381A026-41F6-4220-9117-30E88FD3AB9A}"/>
    <cellStyle name="Normal" xfId="0" builtinId="0"/>
    <cellStyle name="Normal 2" xfId="61" xr:uid="{18AB33B9-D429-40E7-A1BC-636516615C5F}"/>
    <cellStyle name="Normal 2 2" xfId="81" xr:uid="{12F3640E-892F-4557-B28A-4A09CCE3F885}"/>
    <cellStyle name="Normal 2 3" xfId="80" xr:uid="{DFC05E4A-DCAC-402A-9110-B00EDC7E1655}"/>
    <cellStyle name="Normal 3" xfId="62" xr:uid="{43E69B36-78E2-49E8-8F90-43E336434245}"/>
    <cellStyle name="Normal 3 2" xfId="90" xr:uid="{A4F19CD9-54AC-4B0F-B7C6-3C7734A78DE1}"/>
    <cellStyle name="Normal 30 2" xfId="47" xr:uid="{CE4F49C4-D2F6-43CB-A6C8-D84398E29DB5}"/>
    <cellStyle name="Normal 4" xfId="60" xr:uid="{A61EA0CF-B06C-44E1-BDE1-2539219D9D3A}"/>
    <cellStyle name="Normal 5 2 2" xfId="48" xr:uid="{65CE3209-9925-41B2-ABD3-81D877F74FFF}"/>
    <cellStyle name="Note" xfId="6" builtinId="10" customBuiltin="1"/>
    <cellStyle name="Note 2" xfId="74" xr:uid="{E0F4325C-7285-449F-AD2F-BDFC9A5484A4}"/>
    <cellStyle name="Output" xfId="5" builtinId="21" customBuiltin="1"/>
    <cellStyle name="Output 2" xfId="85" xr:uid="{D1FDC475-8E27-4FA3-9370-AA3A1B0842D4}"/>
    <cellStyle name="Percent" xfId="3" builtinId="5"/>
    <cellStyle name="Percent 10" xfId="50" xr:uid="{FB4D1548-D601-43AC-BBBE-20E8205D29A0}"/>
    <cellStyle name="Percent 14" xfId="52" xr:uid="{5AAACCFB-C3B0-48C1-9AF6-76B91DB48572}"/>
    <cellStyle name="Percent 2" xfId="56" xr:uid="{13CBF397-5600-4688-ACE1-4B56A5B1D979}"/>
    <cellStyle name="Percent 2 10" xfId="53" xr:uid="{F465AA06-396B-440E-949A-4AFCA01F0CF7}"/>
    <cellStyle name="Percent 2 2" xfId="59" xr:uid="{A7439311-5D2C-45DF-B2CB-7EA30F9F2913}"/>
    <cellStyle name="Percent 3" xfId="70" xr:uid="{06E9257E-1D99-405D-B8A7-5A4DECAB0B1A}"/>
    <cellStyle name="Results" xfId="55" xr:uid="{902678C3-6AEF-421E-AB23-B8855C851361}"/>
    <cellStyle name="Subtitle" xfId="57" xr:uid="{7032ADBD-102E-466B-80E6-8675148EFF4D}"/>
    <cellStyle name="Table Header" xfId="91" xr:uid="{F515A15A-2567-4526-BEA6-6730746D5704}"/>
    <cellStyle name="Table Index" xfId="89" xr:uid="{679CD24F-FB24-48A6-94CB-4BCE77C3DEA5}"/>
    <cellStyle name="Table Sub-Header" xfId="45" xr:uid="{56FF1F08-48DD-4B97-8358-F377F375675B}"/>
    <cellStyle name="Table Value" xfId="46" xr:uid="{8CBE0338-EDD0-40E9-BCB2-17E0B5EC7F3C}"/>
    <cellStyle name="Title" xfId="7" builtinId="15" customBuiltin="1"/>
    <cellStyle name="Title 2" xfId="65" xr:uid="{F54F83D5-98F2-4674-8289-47982BA72724}"/>
    <cellStyle name="Total" xfId="20" builtinId="25" customBuiltin="1"/>
    <cellStyle name="Total 2" xfId="77" xr:uid="{E010EC5E-7714-4C58-ABFF-16BBFAF99659}"/>
    <cellStyle name="Warning Text" xfId="18" builtinId="11" customBuiltin="1"/>
    <cellStyle name="Warning Text 2" xfId="73" xr:uid="{9ED72CAC-6B42-477E-A073-EBC3E67493B0}"/>
  </cellStyles>
  <dxfs count="136">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6" tint="0.79998168889431442"/>
        </patternFill>
      </fill>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6795556505021"/>
      </font>
    </dxf>
    <dxf>
      <font>
        <b val="0"/>
        <i/>
        <color theme="0" tint="-0.14996795556505021"/>
      </font>
    </dxf>
    <dxf>
      <font>
        <b val="0"/>
        <i/>
        <color theme="0" tint="-0.14993743705557422"/>
      </font>
    </dxf>
    <dxf>
      <font>
        <b val="0"/>
        <i/>
        <color theme="0" tint="-0.14996795556505021"/>
      </font>
    </dxf>
    <dxf>
      <font>
        <b val="0"/>
        <i/>
        <color theme="0" tint="-0.14996795556505021"/>
      </font>
    </dxf>
    <dxf>
      <font>
        <b val="0"/>
        <i/>
        <color theme="0" tint="-0.14993743705557422"/>
      </font>
    </dxf>
    <dxf>
      <fill>
        <patternFill>
          <bgColor theme="6"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color theme="0" tint="-0.14993743705557422"/>
      </font>
    </dxf>
    <dxf>
      <font>
        <b val="0"/>
        <i val="0"/>
        <strike val="0"/>
        <color auto="1"/>
      </font>
    </dxf>
    <dxf>
      <font>
        <b val="0"/>
        <i/>
        <color theme="0" tint="-0.14993743705557422"/>
      </font>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val="0"/>
        <i/>
        <color theme="0" tint="-0.14993743705557422"/>
      </font>
    </dxf>
    <dxf>
      <font>
        <b val="0"/>
        <i val="0"/>
        <strike val="0"/>
        <color auto="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6" tint="0.79998168889431442"/>
        </patternFill>
      </fill>
    </dxf>
    <dxf>
      <fill>
        <patternFill>
          <bgColor theme="6" tint="0.79998168889431442"/>
        </patternFill>
      </fill>
    </dxf>
    <dxf>
      <fill>
        <patternFill>
          <bgColor theme="8"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3743705557422"/>
      </font>
    </dxf>
    <dxf>
      <font>
        <b val="0"/>
        <i val="0"/>
        <strike val="0"/>
        <color auto="1"/>
      </font>
    </dxf>
    <dxf>
      <font>
        <b val="0"/>
        <i/>
        <color theme="0" tint="-0.14996795556505021"/>
      </font>
    </dxf>
    <dxf>
      <font>
        <b val="0"/>
        <i/>
        <color theme="0" tint="-0.14996795556505021"/>
      </font>
    </dxf>
    <dxf>
      <font>
        <b val="0"/>
        <i/>
        <color theme="0" tint="-0.14993743705557422"/>
      </font>
    </dxf>
    <dxf>
      <font>
        <b val="0"/>
        <i/>
        <color theme="0" tint="-0.14996795556505021"/>
      </font>
    </dxf>
    <dxf>
      <font>
        <b val="0"/>
        <i/>
        <color theme="0" tint="-0.14996795556505021"/>
      </font>
    </dxf>
    <dxf>
      <font>
        <b val="0"/>
        <i/>
        <color theme="0" tint="-0.14993743705557422"/>
      </font>
    </dxf>
    <dxf>
      <font>
        <color theme="0" tint="-0.14996795556505021"/>
      </font>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CEC38DB8-98B6-46AD-AD91-138F3CB195A1}">
      <tableStyleElement type="wholeTable" dxfId="135"/>
      <tableStyleElement type="headerRow" dxfId="13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CAISO Projected Emissions Intensity</a:t>
            </a:r>
          </a:p>
          <a:p>
            <a:pPr>
              <a:defRPr/>
            </a:pPr>
            <a:r>
              <a:rPr lang="en-US"/>
              <a:t>(short tons / MWh</a:t>
            </a:r>
            <a:r>
              <a:rPr lang="en-US" baseline="0"/>
              <a:t> delivered)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'Long-Run Emissions Inputs'!$C$14</c:f>
              <c:strCache>
                <c:ptCount val="1"/>
                <c:pt idx="0">
                  <c:v>short tons/MWh</c:v>
                </c:pt>
              </c:strCache>
            </c:strRef>
          </c:tx>
          <c:spPr>
            <a:ln w="28575" cap="rnd">
              <a:solidFill>
                <a:schemeClr val="accent1"/>
              </a:solidFill>
              <a:round/>
            </a:ln>
            <a:effectLst/>
          </c:spPr>
          <c:marker>
            <c:symbol val="none"/>
          </c:marker>
          <c:cat>
            <c:numRef>
              <c:f>'Long-Run Emissions Inputs'!$H$11:$AI$11</c:f>
              <c:numCache>
                <c:formatCode>General</c:formatCode>
                <c:ptCount val="28"/>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numCache>
            </c:numRef>
          </c:cat>
          <c:val>
            <c:numRef>
              <c:f>'Long-Run Emissions Inputs'!$H$14:$AI$14</c:f>
              <c:numCache>
                <c:formatCode>0.000</c:formatCode>
                <c:ptCount val="28"/>
                <c:pt idx="0">
                  <c:v>0.20286672000901484</c:v>
                </c:pt>
                <c:pt idx="1">
                  <c:v>0.18870970116268088</c:v>
                </c:pt>
                <c:pt idx="2">
                  <c:v>0.19601573301599062</c:v>
                </c:pt>
                <c:pt idx="3">
                  <c:v>0.19355630633941939</c:v>
                </c:pt>
                <c:pt idx="4">
                  <c:v>0.19354258990075543</c:v>
                </c:pt>
                <c:pt idx="5" formatCode="_(* #,##0.00_);_(* \(#,##0.00\);_(* &quot;-&quot;??_);_(@_)">
                  <c:v>0.18671399388555557</c:v>
                </c:pt>
                <c:pt idx="6">
                  <c:v>0.17988539787035571</c:v>
                </c:pt>
                <c:pt idx="7" formatCode="_(* #,##0.00_);_(* \(#,##0.00\);_(* &quot;-&quot;??_);_(@_)">
                  <c:v>0.16529123388680772</c:v>
                </c:pt>
                <c:pt idx="8">
                  <c:v>0.15069706990325976</c:v>
                </c:pt>
                <c:pt idx="9" formatCode="_(* #,##0.00_);_(* \(#,##0.00\);_(* &quot;-&quot;??_);_(@_)">
                  <c:v>0.14579083161513251</c:v>
                </c:pt>
                <c:pt idx="10">
                  <c:v>0.14088459332700526</c:v>
                </c:pt>
                <c:pt idx="11" formatCode="_(* #,##0.000_);_(* \(#,##0.000\);_(* &quot;-&quot;??_);_(@_)">
                  <c:v>0.13364424254490798</c:v>
                </c:pt>
                <c:pt idx="12" formatCode="_(* #,##0.000_);_(* \(#,##0.000\);_(* &quot;-&quot;??_);_(@_)">
                  <c:v>0.12640389176281069</c:v>
                </c:pt>
                <c:pt idx="13">
                  <c:v>0.11916354098071345</c:v>
                </c:pt>
                <c:pt idx="14" formatCode="_(* #,##0.000_);_(* \(#,##0.000\);_(* &quot;-&quot;??_);_(@_)">
                  <c:v>0.11229876338992326</c:v>
                </c:pt>
                <c:pt idx="15" formatCode="_(* #,##0.000_);_(* \(#,##0.000\);_(* &quot;-&quot;??_);_(@_)">
                  <c:v>0.10543398579913306</c:v>
                </c:pt>
                <c:pt idx="16" formatCode="_(* #,##0.000_);_(* \(#,##0.000\);_(* &quot;-&quot;??_);_(@_)">
                  <c:v>9.8569208208342862E-2</c:v>
                </c:pt>
                <c:pt idx="17" formatCode="_(* #,##0.000_);_(* \(#,##0.000\);_(* &quot;-&quot;??_);_(@_)">
                  <c:v>9.1704430617552665E-2</c:v>
                </c:pt>
                <c:pt idx="18">
                  <c:v>8.483965302676244E-2</c:v>
                </c:pt>
                <c:pt idx="19" formatCode="_(* #,##0.0_);_(* \(#,##0.0\);_(* &quot;-&quot;??_);_(@_)">
                  <c:v>7.8878311236555296E-2</c:v>
                </c:pt>
                <c:pt idx="20" formatCode="_(* #,##0.0_);_(* \(#,##0.0\);_(* &quot;-&quot;??_);_(@_)">
                  <c:v>7.2916969446348151E-2</c:v>
                </c:pt>
                <c:pt idx="21" formatCode="_(* #,##0.0_);_(* \(#,##0.0\);_(* &quot;-&quot;??_);_(@_)">
                  <c:v>6.6955627656141006E-2</c:v>
                </c:pt>
                <c:pt idx="22" formatCode="_(* #,##0.0_);_(* \(#,##0.0\);_(* &quot;-&quot;??_);_(@_)">
                  <c:v>6.0994285865933862E-2</c:v>
                </c:pt>
                <c:pt idx="23">
                  <c:v>5.503294407572671E-2</c:v>
                </c:pt>
                <c:pt idx="24" formatCode="_(* #,##0.000_);_(* \(#,##0.000\);_(* &quot;-&quot;??_);_(@_)">
                  <c:v>5.503294407572671E-2</c:v>
                </c:pt>
                <c:pt idx="25" formatCode="_(* #,##0.000_);_(* \(#,##0.000\);_(* &quot;-&quot;??_);_(@_)">
                  <c:v>5.503294407572671E-2</c:v>
                </c:pt>
                <c:pt idx="26" formatCode="_(* #,##0.000_);_(* \(#,##0.000\);_(* &quot;-&quot;??_);_(@_)">
                  <c:v>5.503294407572671E-2</c:v>
                </c:pt>
                <c:pt idx="27" formatCode="_(* #,##0.000_);_(* \(#,##0.000\);_(* &quot;-&quot;??_);_(@_)">
                  <c:v>5.503294407572671E-2</c:v>
                </c:pt>
              </c:numCache>
            </c:numRef>
          </c:val>
          <c:smooth val="0"/>
          <c:extLst>
            <c:ext xmlns:c16="http://schemas.microsoft.com/office/drawing/2014/chart" uri="{C3380CC4-5D6E-409C-BE32-E72D297353CC}">
              <c16:uniqueId val="{00000000-B6B2-485F-B138-BA184A759DBA}"/>
            </c:ext>
          </c:extLst>
        </c:ser>
        <c:dLbls>
          <c:showLegendKey val="0"/>
          <c:showVal val="0"/>
          <c:showCatName val="0"/>
          <c:showSerName val="0"/>
          <c:showPercent val="0"/>
          <c:showBubbleSize val="0"/>
        </c:dLbls>
        <c:smooth val="0"/>
        <c:axId val="695853560"/>
        <c:axId val="474253968"/>
      </c:lineChart>
      <c:catAx>
        <c:axId val="69585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253968"/>
        <c:crosses val="autoZero"/>
        <c:auto val="1"/>
        <c:lblAlgn val="ctr"/>
        <c:lblOffset val="100"/>
        <c:noMultiLvlLbl val="0"/>
      </c:catAx>
      <c:valAx>
        <c:axId val="47425396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5853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CAISO Projected Source Energy</a:t>
            </a:r>
          </a:p>
          <a:p>
            <a:pPr>
              <a:defRPr/>
            </a:pPr>
            <a:r>
              <a:rPr lang="en-US"/>
              <a:t>(Source Btu / MWh</a:t>
            </a:r>
            <a:r>
              <a:rPr lang="en-US" baseline="0"/>
              <a:t> delivered)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'Long-Run Emissions Inputs'!$C$16</c:f>
              <c:strCache>
                <c:ptCount val="1"/>
                <c:pt idx="0">
                  <c:v>Btu/kWh</c:v>
                </c:pt>
              </c:strCache>
            </c:strRef>
          </c:tx>
          <c:spPr>
            <a:ln w="28575" cap="rnd">
              <a:solidFill>
                <a:schemeClr val="accent4"/>
              </a:solidFill>
              <a:round/>
            </a:ln>
            <a:effectLst/>
          </c:spPr>
          <c:marker>
            <c:symbol val="none"/>
          </c:marker>
          <c:cat>
            <c:numRef>
              <c:f>'Long-Run Emissions Inputs'!$H$11:$AI$11</c:f>
              <c:numCache>
                <c:formatCode>General</c:formatCode>
                <c:ptCount val="28"/>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numCache>
            </c:numRef>
          </c:cat>
          <c:val>
            <c:numRef>
              <c:f>'Long-Run Emissions Inputs'!$H$16:$AI$16</c:f>
              <c:numCache>
                <c:formatCode>_(* #,##0_);_(* \(#,##0\);_(* "-"??_);_(@_)</c:formatCode>
                <c:ptCount val="28"/>
                <c:pt idx="0">
                  <c:v>3467.8071796412792</c:v>
                </c:pt>
                <c:pt idx="1">
                  <c:v>3225.8068574817244</c:v>
                </c:pt>
                <c:pt idx="2">
                  <c:v>3350.6962908716346</c:v>
                </c:pt>
                <c:pt idx="3">
                  <c:v>3308.6548092208445</c:v>
                </c:pt>
                <c:pt idx="4">
                  <c:v>3308.4203401838536</c:v>
                </c:pt>
                <c:pt idx="5">
                  <c:v>3191.69220317189</c:v>
                </c:pt>
                <c:pt idx="6">
                  <c:v>3074.9640661599265</c:v>
                </c:pt>
                <c:pt idx="7">
                  <c:v>2825.4911775522687</c:v>
                </c:pt>
                <c:pt idx="8">
                  <c:v>2576.0182889446114</c:v>
                </c:pt>
                <c:pt idx="9">
                  <c:v>2492.1509677800432</c:v>
                </c:pt>
                <c:pt idx="10">
                  <c:v>2408.2836466154745</c:v>
                </c:pt>
                <c:pt idx="11">
                  <c:v>2284.5169665796234</c:v>
                </c:pt>
                <c:pt idx="12">
                  <c:v>2160.7502865437723</c:v>
                </c:pt>
                <c:pt idx="13">
                  <c:v>2036.9836065079223</c:v>
                </c:pt>
                <c:pt idx="14">
                  <c:v>1919.6369810243291</c:v>
                </c:pt>
                <c:pt idx="15">
                  <c:v>1802.2903555407358</c:v>
                </c:pt>
                <c:pt idx="16">
                  <c:v>1684.9437300571428</c:v>
                </c:pt>
                <c:pt idx="17">
                  <c:v>1567.5971045735498</c:v>
                </c:pt>
                <c:pt idx="18">
                  <c:v>1450.2504790899561</c:v>
                </c:pt>
                <c:pt idx="19">
                  <c:v>1348.3472006248767</c:v>
                </c:pt>
                <c:pt idx="20">
                  <c:v>1246.4439221597975</c:v>
                </c:pt>
                <c:pt idx="21">
                  <c:v>1144.540643694718</c:v>
                </c:pt>
                <c:pt idx="22">
                  <c:v>1042.6373652296386</c:v>
                </c:pt>
                <c:pt idx="23">
                  <c:v>940.73408676455904</c:v>
                </c:pt>
                <c:pt idx="24">
                  <c:v>940.73408676455904</c:v>
                </c:pt>
                <c:pt idx="25">
                  <c:v>940.73408676455904</c:v>
                </c:pt>
                <c:pt idx="26">
                  <c:v>940.73408676455904</c:v>
                </c:pt>
                <c:pt idx="27">
                  <c:v>940.73408676455904</c:v>
                </c:pt>
              </c:numCache>
            </c:numRef>
          </c:val>
          <c:smooth val="0"/>
          <c:extLst>
            <c:ext xmlns:c16="http://schemas.microsoft.com/office/drawing/2014/chart" uri="{C3380CC4-5D6E-409C-BE32-E72D297353CC}">
              <c16:uniqueId val="{00000000-4117-490E-8154-1099A7362231}"/>
            </c:ext>
          </c:extLst>
        </c:ser>
        <c:dLbls>
          <c:showLegendKey val="0"/>
          <c:showVal val="0"/>
          <c:showCatName val="0"/>
          <c:showSerName val="0"/>
          <c:showPercent val="0"/>
          <c:showBubbleSize val="0"/>
        </c:dLbls>
        <c:smooth val="0"/>
        <c:axId val="719086976"/>
        <c:axId val="702914144"/>
      </c:lineChart>
      <c:catAx>
        <c:axId val="71908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2914144"/>
        <c:crosses val="autoZero"/>
        <c:auto val="1"/>
        <c:lblAlgn val="ctr"/>
        <c:lblOffset val="100"/>
        <c:noMultiLvlLbl val="0"/>
      </c:catAx>
      <c:valAx>
        <c:axId val="70291414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9086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8173</xdr:colOff>
      <xdr:row>6</xdr:row>
      <xdr:rowOff>134471</xdr:rowOff>
    </xdr:from>
    <xdr:ext cx="6065416" cy="17951823"/>
    <xdr:sp macro="" textlink="">
      <xdr:nvSpPr>
        <xdr:cNvPr id="5" name="TextBox 1">
          <a:extLst>
            <a:ext uri="{FF2B5EF4-FFF2-40B4-BE49-F238E27FC236}">
              <a16:creationId xmlns:a16="http://schemas.microsoft.com/office/drawing/2014/main" id="{C6A2B457-47A8-4F68-8DA0-64A7362D08C3}"/>
            </a:ext>
          </a:extLst>
        </xdr:cNvPr>
        <xdr:cNvSpPr txBox="1"/>
      </xdr:nvSpPr>
      <xdr:spPr>
        <a:xfrm>
          <a:off x="646908" y="1355912"/>
          <a:ext cx="6065416" cy="1795182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US" sz="1100" b="1" i="0" u="none" strike="noStrike">
              <a:solidFill>
                <a:sysClr val="windowText" lastClr="000000"/>
              </a:solidFill>
              <a:effectLst/>
              <a:latin typeface="+mn-lt"/>
              <a:ea typeface="+mn-ea"/>
              <a:cs typeface="+mn-cs"/>
            </a:rPr>
            <a:t>Background</a:t>
          </a:r>
        </a:p>
        <a:p>
          <a:r>
            <a:rPr lang="en-US" sz="1100">
              <a:solidFill>
                <a:sysClr val="windowText" lastClr="000000"/>
              </a:solidFill>
              <a:effectLst/>
              <a:latin typeface="+mn-lt"/>
              <a:ea typeface="+mn-ea"/>
              <a:cs typeface="+mn-cs"/>
            </a:rPr>
            <a:t>On August 1, 2019, California Public Utilities Commission (CPUC) Decision 19-08-009 directed CPUC staff to issue technical guidelines for fuel substitution measures, including, but not limited to, guidance on calculation of source energy savings and environment offsets for fuel substitution measures. This calculator supplements the technical guidance document v2.1 (refer to Chapter 3</a:t>
          </a:r>
          <a:r>
            <a:rPr lang="en-US" sz="1100" baseline="0">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and should be considered a</a:t>
          </a:r>
          <a:r>
            <a:rPr lang="en-US" sz="1100" b="1">
              <a:solidFill>
                <a:sysClr val="windowText" lastClr="000000"/>
              </a:solidFill>
              <a:effectLst/>
              <a:latin typeface="+mn-lt"/>
              <a:ea typeface="+mn-ea"/>
              <a:cs typeface="+mn-cs"/>
            </a:rPr>
            <a:t> </a:t>
          </a:r>
          <a:r>
            <a:rPr lang="en-US" sz="1100" b="0">
              <a:solidFill>
                <a:sysClr val="windowText" lastClr="000000"/>
              </a:solidFill>
              <a:effectLst/>
              <a:latin typeface="+mn-lt"/>
              <a:ea typeface="+mn-ea"/>
              <a:cs typeface="+mn-cs"/>
            </a:rPr>
            <a:t>tool</a:t>
          </a:r>
          <a:r>
            <a:rPr lang="en-US" sz="1100" b="1">
              <a:solidFill>
                <a:sysClr val="windowText" lastClr="000000"/>
              </a:solidFill>
              <a:effectLst/>
              <a:latin typeface="+mn-lt"/>
              <a:ea typeface="+mn-ea"/>
              <a:cs typeface="+mn-cs"/>
            </a:rPr>
            <a:t> </a:t>
          </a:r>
          <a:r>
            <a:rPr lang="en-US" sz="1100">
              <a:solidFill>
                <a:sysClr val="windowText" lastClr="000000"/>
              </a:solidFill>
              <a:effectLst/>
              <a:latin typeface="+mn-lt"/>
              <a:ea typeface="+mn-ea"/>
              <a:cs typeface="+mn-cs"/>
            </a:rPr>
            <a:t>for performing the Fuel Substitution Test and calculating energy savings</a:t>
          </a:r>
          <a:r>
            <a:rPr lang="en-US" sz="1100" baseline="0">
              <a:solidFill>
                <a:sysClr val="windowText" lastClr="000000"/>
              </a:solidFill>
              <a:effectLst/>
              <a:latin typeface="+mn-lt"/>
              <a:ea typeface="+mn-ea"/>
              <a:cs typeface="+mn-cs"/>
            </a:rPr>
            <a:t> for cost effectiveness analysis and reporting. </a:t>
          </a:r>
          <a:br>
            <a:rPr lang="en-US" sz="1100" b="0" i="0" u="none" strike="noStrike">
              <a:solidFill>
                <a:sysClr val="windowText" lastClr="000000"/>
              </a:solidFill>
              <a:effectLst/>
              <a:latin typeface="+mn-lt"/>
              <a:ea typeface="+mn-ea"/>
              <a:cs typeface="+mn-cs"/>
            </a:rPr>
          </a:br>
          <a:br>
            <a:rPr lang="en-US" sz="1100" b="0" i="0" u="none" strike="noStrike">
              <a:solidFill>
                <a:sysClr val="windowText" lastClr="000000"/>
              </a:solidFill>
              <a:effectLst/>
              <a:latin typeface="+mn-lt"/>
              <a:ea typeface="+mn-ea"/>
              <a:cs typeface="+mn-cs"/>
            </a:rPr>
          </a:br>
          <a:r>
            <a:rPr lang="en-US" sz="1100" b="1" i="0" u="none" strike="noStrike">
              <a:solidFill>
                <a:sysClr val="windowText" lastClr="000000"/>
              </a:solidFill>
              <a:effectLst/>
              <a:latin typeface="+mn-lt"/>
              <a:ea typeface="+mn-ea"/>
              <a:cs typeface="+mn-cs"/>
            </a:rPr>
            <a:t>How</a:t>
          </a:r>
          <a:r>
            <a:rPr lang="en-US" sz="1100" b="1" i="0" u="none" strike="noStrike" baseline="0">
              <a:solidFill>
                <a:sysClr val="windowText" lastClr="000000"/>
              </a:solidFill>
              <a:effectLst/>
              <a:latin typeface="+mn-lt"/>
              <a:ea typeface="+mn-ea"/>
              <a:cs typeface="+mn-cs"/>
            </a:rPr>
            <a:t> to use this tool</a:t>
          </a:r>
        </a:p>
        <a:p>
          <a:endParaRPr lang="en-US" sz="1100" b="1" i="0" u="none" strike="noStrike" baseline="0">
            <a:solidFill>
              <a:sysClr val="windowText" lastClr="000000"/>
            </a:solidFill>
            <a:effectLst/>
            <a:latin typeface="+mn-lt"/>
            <a:ea typeface="+mn-ea"/>
            <a:cs typeface="+mn-cs"/>
          </a:endParaRPr>
        </a:p>
        <a:p>
          <a:r>
            <a:rPr lang="en-US" sz="1100" b="0" i="0" u="none" strike="noStrike" baseline="0">
              <a:solidFill>
                <a:sysClr val="windowText" lastClr="000000"/>
              </a:solidFill>
              <a:effectLst/>
              <a:latin typeface="+mn-lt"/>
              <a:ea typeface="+mn-ea"/>
              <a:cs typeface="+mn-cs"/>
            </a:rPr>
            <a:t>This workbook is locked to preserve calculation accuracy. To review the formulas, click "Review" on the ribbon, then select "unprotect sheet". Use password: </a:t>
          </a:r>
          <a:r>
            <a:rPr lang="en-US" sz="1100" b="0">
              <a:solidFill>
                <a:sysClr val="windowText" lastClr="000000"/>
              </a:solidFill>
              <a:effectLst/>
              <a:latin typeface="+mn-lt"/>
              <a:ea typeface="+mn-ea"/>
              <a:cs typeface="+mn-cs"/>
            </a:rPr>
            <a:t>FuelSub2022.</a:t>
          </a:r>
          <a:endParaRPr lang="en-US" sz="1100" b="0" i="0" u="none" strike="noStrike" baseline="0">
            <a:solidFill>
              <a:sysClr val="windowText" lastClr="000000"/>
            </a:solidFill>
            <a:effectLst/>
            <a:latin typeface="+mn-lt"/>
            <a:ea typeface="+mn-ea"/>
            <a:cs typeface="+mn-cs"/>
          </a:endParaRPr>
        </a:p>
        <a:p>
          <a:endParaRPr lang="en-US" sz="1100" b="1"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For</a:t>
          </a:r>
          <a:r>
            <a:rPr lang="en-US" sz="1100" b="0" i="0" u="none" strike="noStrike" baseline="0">
              <a:solidFill>
                <a:sysClr val="windowText" lastClr="000000"/>
              </a:solidFill>
              <a:effectLst/>
              <a:latin typeface="+mn-lt"/>
              <a:ea typeface="+mn-ea"/>
              <a:cs typeface="+mn-cs"/>
            </a:rPr>
            <a:t> custom measures, please use the sheet - "Fuel Sub Calcs-Custom."</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ysClr val="windowText" lastClr="000000"/>
              </a:solidFill>
              <a:effectLst/>
              <a:latin typeface="+mn-lt"/>
              <a:ea typeface="+mn-ea"/>
              <a:cs typeface="+mn-cs"/>
            </a:rPr>
            <a:t>For workpapers, please use the sheet - </a:t>
          </a:r>
          <a:r>
            <a:rPr lang="en-US" sz="1100" b="0" i="0" baseline="0">
              <a:solidFill>
                <a:sysClr val="windowText" lastClr="000000"/>
              </a:solidFill>
              <a:effectLst/>
              <a:latin typeface="+mn-lt"/>
              <a:ea typeface="+mn-ea"/>
              <a:cs typeface="+mn-cs"/>
            </a:rPr>
            <a:t>"Fuel Sub Calcs-Deemed."</a:t>
          </a:r>
          <a:endParaRPr lang="en-US">
            <a:solidFill>
              <a:sysClr val="windowText" lastClr="000000"/>
            </a:solidFill>
            <a:effectLst/>
          </a:endParaRPr>
        </a:p>
        <a:p>
          <a:r>
            <a:rPr lang="en-US" sz="1100" b="0" i="0" u="none" strike="noStrike">
              <a:solidFill>
                <a:sysClr val="windowText" lastClr="000000"/>
              </a:solidFill>
              <a:effectLst/>
              <a:latin typeface="+mn-lt"/>
              <a:ea typeface="+mn-ea"/>
              <a:cs typeface="+mn-cs"/>
            </a:rPr>
            <a:t>These are essentially two tools producing</a:t>
          </a:r>
          <a:r>
            <a:rPr lang="en-US" sz="1100" b="0" i="0" u="none" strike="noStrike" baseline="0">
              <a:solidFill>
                <a:sysClr val="windowText" lastClr="000000"/>
              </a:solidFill>
              <a:effectLst/>
              <a:latin typeface="+mn-lt"/>
              <a:ea typeface="+mn-ea"/>
              <a:cs typeface="+mn-cs"/>
            </a:rPr>
            <a:t> separate sets of results, but using the same methodology. Choose the best one for your application, as described below.</a:t>
          </a:r>
          <a:endParaRPr lang="en-US" sz="1100" b="0" i="0" u="none" strike="noStrike">
            <a:solidFill>
              <a:sysClr val="windowText" lastClr="000000"/>
            </a:solidFill>
            <a:effectLst/>
            <a:latin typeface="+mn-lt"/>
            <a:ea typeface="+mn-ea"/>
            <a:cs typeface="+mn-cs"/>
          </a:endParaRP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Note that the workbook uses locked cells and protected sheets to avoid accidental</a:t>
          </a:r>
          <a:r>
            <a:rPr lang="en-US" sz="1100" b="0" i="0" u="none" strike="noStrike" baseline="0">
              <a:solidFill>
                <a:sysClr val="windowText" lastClr="000000"/>
              </a:solidFill>
              <a:effectLst/>
              <a:latin typeface="+mn-lt"/>
              <a:ea typeface="+mn-ea"/>
              <a:cs typeface="+mn-cs"/>
            </a:rPr>
            <a:t> changes to its layout and formulas. Also for this reason, users should not attempt to Cut and Paste cells. If you need to make changes to these areas for your application, please contact CPUC.</a:t>
          </a:r>
        </a:p>
        <a:p>
          <a:endParaRPr lang="en-US" sz="1100" b="0" i="0" u="none" strike="noStrike" baseline="0">
            <a:solidFill>
              <a:sysClr val="windowText" lastClr="000000"/>
            </a:solidFill>
            <a:effectLst/>
            <a:latin typeface="+mn-lt"/>
            <a:ea typeface="+mn-ea"/>
            <a:cs typeface="+mn-cs"/>
          </a:endParaRPr>
        </a:p>
        <a:p>
          <a:r>
            <a:rPr lang="en-US" sz="1100" b="0" i="0" u="none" strike="noStrike" baseline="0">
              <a:solidFill>
                <a:sysClr val="windowText" lastClr="000000"/>
              </a:solidFill>
              <a:effectLst/>
              <a:latin typeface="+mn-lt"/>
              <a:ea typeface="+mn-ea"/>
              <a:cs typeface="+mn-cs"/>
            </a:rPr>
            <a:t>Many values in this workbook are set to recommended defaults, but can be toggled to change. To change the GWP time horizon, toggle the option on the "Reference" sheet. To change the locations of methane leakage, toggle the options in the "Reference" sheet. </a:t>
          </a:r>
          <a:endParaRPr lang="en-US" sz="1100" b="0" i="0" u="none" strike="noStrike">
            <a:solidFill>
              <a:sysClr val="windowText" lastClr="000000"/>
            </a:solidFill>
            <a:effectLst/>
            <a:latin typeface="+mn-lt"/>
            <a:ea typeface="+mn-ea"/>
            <a:cs typeface="+mn-cs"/>
          </a:endParaRPr>
        </a:p>
        <a:p>
          <a:endParaRPr lang="en-US" sz="1100" b="0" i="0" u="none" strike="noStrike">
            <a:solidFill>
              <a:sysClr val="windowText" lastClr="000000"/>
            </a:solidFill>
            <a:effectLst/>
            <a:latin typeface="+mn-lt"/>
            <a:ea typeface="+mn-ea"/>
            <a:cs typeface="+mn-cs"/>
          </a:endParaRPr>
        </a:p>
        <a:p>
          <a:r>
            <a:rPr lang="en-US" sz="1100" b="1" i="1" u="none" strike="noStrike">
              <a:solidFill>
                <a:sysClr val="windowText" lastClr="000000"/>
              </a:solidFill>
              <a:effectLst/>
              <a:latin typeface="+mn-lt"/>
              <a:ea typeface="+mn-ea"/>
              <a:cs typeface="+mn-cs"/>
            </a:rPr>
            <a:t>Fuel Sub Calcs-Custom</a:t>
          </a:r>
        </a:p>
        <a:p>
          <a:r>
            <a:rPr lang="en-US" sz="1100" b="0" i="0" u="none" strike="noStrike">
              <a:solidFill>
                <a:sysClr val="windowText" lastClr="000000"/>
              </a:solidFill>
              <a:effectLst/>
              <a:latin typeface="+mn-lt"/>
              <a:ea typeface="+mn-ea"/>
              <a:cs typeface="+mn-cs"/>
            </a:rPr>
            <a:t>This</a:t>
          </a:r>
          <a:r>
            <a:rPr lang="en-US" sz="1100" b="0" i="0" u="none" strike="noStrike" baseline="0">
              <a:solidFill>
                <a:sysClr val="windowText" lastClr="000000"/>
              </a:solidFill>
              <a:effectLst/>
              <a:latin typeface="+mn-lt"/>
              <a:ea typeface="+mn-ea"/>
              <a:cs typeface="+mn-cs"/>
            </a:rPr>
            <a:t> </a:t>
          </a:r>
          <a:r>
            <a:rPr lang="en-US" sz="1100" b="0" i="0" u="none" strike="noStrike">
              <a:solidFill>
                <a:sysClr val="windowText" lastClr="000000"/>
              </a:solidFill>
              <a:effectLst/>
              <a:latin typeface="+mn-lt"/>
              <a:ea typeface="+mn-ea"/>
              <a:cs typeface="+mn-cs"/>
            </a:rPr>
            <a:t>sheet is divided into three sections for convenience.</a:t>
          </a: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Section 1</a:t>
          </a:r>
        </a:p>
        <a:p>
          <a:r>
            <a:rPr lang="en-US" sz="1100" b="0" i="0" u="none" strike="noStrike">
              <a:solidFill>
                <a:sysClr val="windowText" lastClr="000000"/>
              </a:solidFill>
              <a:effectLst/>
              <a:latin typeface="+mn-lt"/>
              <a:ea typeface="+mn-ea"/>
              <a:cs typeface="+mn-cs"/>
            </a:rPr>
            <a:t>* Enter the inputs for your measures here.</a:t>
          </a:r>
        </a:p>
        <a:p>
          <a:r>
            <a:rPr lang="en-US" sz="1100" b="0" i="0" u="none" strike="noStrike">
              <a:solidFill>
                <a:sysClr val="windowText" lastClr="000000"/>
              </a:solidFill>
              <a:effectLst/>
              <a:latin typeface="+mn-lt"/>
              <a:ea typeface="+mn-ea"/>
              <a:cs typeface="+mn-cs"/>
            </a:rPr>
            <a:t>* For each measure, input usage values (annual energy consumption) for the baseline and measure technologies. From these inputs, the</a:t>
          </a:r>
          <a:r>
            <a:rPr lang="en-US" sz="1100" b="0" i="0" u="none" strike="noStrike" baseline="0">
              <a:solidFill>
                <a:sysClr val="windowText" lastClr="000000"/>
              </a:solidFill>
              <a:effectLst/>
              <a:latin typeface="+mn-lt"/>
              <a:ea typeface="+mn-ea"/>
              <a:cs typeface="+mn-cs"/>
            </a:rPr>
            <a:t> tool will compute savings. </a:t>
          </a:r>
          <a:r>
            <a:rPr lang="en-US" sz="1100" b="0" i="0" u="none" strike="noStrike">
              <a:solidFill>
                <a:sysClr val="windowText" lastClr="000000"/>
              </a:solidFill>
              <a:effectLst/>
              <a:latin typeface="+mn-lt"/>
              <a:ea typeface="+mn-ea"/>
              <a:cs typeface="+mn-cs"/>
            </a:rPr>
            <a:t>This tool does not provide a field to directly input savings,</a:t>
          </a:r>
          <a:r>
            <a:rPr lang="en-US" sz="1100" b="0" i="0" u="none" strike="noStrike" baseline="0">
              <a:solidFill>
                <a:sysClr val="windowText" lastClr="000000"/>
              </a:solidFill>
              <a:effectLst/>
              <a:latin typeface="+mn-lt"/>
              <a:ea typeface="+mn-ea"/>
              <a:cs typeface="+mn-cs"/>
            </a:rPr>
            <a:t> as that </a:t>
          </a:r>
          <a:r>
            <a:rPr lang="en-US" sz="1100" b="0" i="0" u="none" strike="noStrike">
              <a:solidFill>
                <a:sysClr val="windowText" lastClr="000000"/>
              </a:solidFill>
              <a:effectLst/>
              <a:latin typeface="+mn-lt"/>
              <a:ea typeface="+mn-ea"/>
              <a:cs typeface="+mn-cs"/>
            </a:rPr>
            <a:t>option</a:t>
          </a:r>
          <a:r>
            <a:rPr lang="en-US" sz="1100" b="0" i="0" u="none" strike="noStrike" baseline="0">
              <a:solidFill>
                <a:sysClr val="windowText" lastClr="000000"/>
              </a:solidFill>
              <a:effectLst/>
              <a:latin typeface="+mn-lt"/>
              <a:ea typeface="+mn-ea"/>
              <a:cs typeface="+mn-cs"/>
            </a:rPr>
            <a:t> will not be considered sufficient documentation of a fuel substitution measure.</a:t>
          </a:r>
        </a:p>
        <a:p>
          <a:r>
            <a:rPr lang="en-US" sz="1100" b="0" i="0" u="none" strike="noStrike" baseline="0">
              <a:solidFill>
                <a:sysClr val="windowText" lastClr="000000"/>
              </a:solidFill>
              <a:effectLst/>
              <a:latin typeface="+mn-lt"/>
              <a:ea typeface="+mn-ea"/>
              <a:cs typeface="+mn-cs"/>
            </a:rPr>
            <a:t>* For each measure, input information about the device type and refrigerants used. If needed, select "User Specified" to fill out custom information about the device types or refidgerant types. </a:t>
          </a:r>
          <a:endParaRPr lang="en-US" sz="1100" b="0" i="0" u="none" strike="noStrike">
            <a:solidFill>
              <a:sysClr val="windowText" lastClr="000000"/>
            </a:solidFill>
            <a:effectLst/>
            <a:latin typeface="+mn-lt"/>
            <a:ea typeface="+mn-ea"/>
            <a:cs typeface="+mn-cs"/>
          </a:endParaRP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Section 2</a:t>
          </a:r>
        </a:p>
        <a:p>
          <a:r>
            <a:rPr lang="en-US" sz="1100" b="0" i="0" u="none" strike="noStrike">
              <a:solidFill>
                <a:sysClr val="windowText" lastClr="000000"/>
              </a:solidFill>
              <a:effectLst/>
              <a:latin typeface="+mn-lt"/>
              <a:ea typeface="+mn-ea"/>
              <a:cs typeface="+mn-cs"/>
            </a:rPr>
            <a:t>* View the results of fuel substitution tests here. These are based on calculations of lifecycle primary energy and emissions.</a:t>
          </a:r>
          <a:r>
            <a:rPr lang="en-US">
              <a:solidFill>
                <a:sysClr val="windowText" lastClr="000000"/>
              </a:solidFill>
            </a:rPr>
            <a:t> </a:t>
          </a:r>
        </a:p>
        <a:p>
          <a:r>
            <a:rPr lang="en-US" sz="1100" b="0" i="0" u="none" strike="noStrike">
              <a:solidFill>
                <a:sysClr val="windowText" lastClr="000000"/>
              </a:solidFill>
              <a:effectLst/>
              <a:latin typeface="+mn-lt"/>
              <a:ea typeface="+mn-ea"/>
              <a:cs typeface="+mn-cs"/>
            </a:rPr>
            <a:t>* For Section</a:t>
          </a:r>
          <a:r>
            <a:rPr lang="en-US" sz="1100" b="0" i="0" u="none" strike="noStrike" baseline="0">
              <a:solidFill>
                <a:sysClr val="windowText" lastClr="000000"/>
              </a:solidFill>
              <a:effectLst/>
              <a:latin typeface="+mn-lt"/>
              <a:ea typeface="+mn-ea"/>
              <a:cs typeface="+mn-cs"/>
            </a:rPr>
            <a:t> 2.1</a:t>
          </a:r>
          <a:r>
            <a:rPr lang="en-US" sz="1100" b="0" i="0" u="none" strike="noStrike">
              <a:solidFill>
                <a:sysClr val="windowText" lastClr="000000"/>
              </a:solidFill>
              <a:effectLst/>
              <a:latin typeface="+mn-lt"/>
              <a:ea typeface="+mn-ea"/>
              <a:cs typeface="+mn-cs"/>
            </a:rPr>
            <a:t>, one column displays the lifecycle savings of primary energy from carbon-based fuels. A second column displays a simple pass/fail result.</a:t>
          </a:r>
          <a:r>
            <a:rPr lang="en-US">
              <a:solidFill>
                <a:sysClr val="windowText" lastClr="000000"/>
              </a:solidFill>
            </a:rPr>
            <a:t> </a:t>
          </a:r>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 For Section</a:t>
          </a:r>
          <a:r>
            <a:rPr lang="en-US" sz="1100" b="0" i="0" u="none" strike="noStrike" baseline="0">
              <a:solidFill>
                <a:sysClr val="windowText" lastClr="000000"/>
              </a:solidFill>
              <a:effectLst/>
              <a:latin typeface="+mn-lt"/>
              <a:ea typeface="+mn-ea"/>
              <a:cs typeface="+mn-cs"/>
            </a:rPr>
            <a:t> 2.2</a:t>
          </a:r>
          <a:r>
            <a:rPr lang="en-US" sz="1100" b="0" i="0" u="none" strike="noStrike">
              <a:solidFill>
                <a:sysClr val="windowText" lastClr="000000"/>
              </a:solidFill>
              <a:effectLst/>
              <a:latin typeface="+mn-lt"/>
              <a:ea typeface="+mn-ea"/>
              <a:cs typeface="+mn-cs"/>
            </a:rPr>
            <a:t>, one column displays the lifecycle savings of carbon dioxide (CO</a:t>
          </a:r>
          <a:r>
            <a:rPr lang="en-US" sz="1100" b="0" i="0" u="none" strike="noStrike" baseline="-25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emissions. A second column displays a simple pass/fail result. Supplemental columns show individual contributions from electricity and gas.</a:t>
          </a:r>
        </a:p>
        <a:p>
          <a:r>
            <a:rPr lang="en-US" sz="1100" b="0" i="0" u="none" strike="noStrike">
              <a:solidFill>
                <a:sysClr val="windowText" lastClr="000000"/>
              </a:solidFill>
              <a:effectLst/>
              <a:latin typeface="+mn-lt"/>
              <a:ea typeface="+mn-ea"/>
              <a:cs typeface="+mn-cs"/>
            </a:rPr>
            <a:t>* Sections 2.2.1</a:t>
          </a:r>
          <a:r>
            <a:rPr lang="en-US" sz="1100" b="0" i="0" u="none" strike="noStrike" baseline="0">
              <a:solidFill>
                <a:sysClr val="windowText" lastClr="000000"/>
              </a:solidFill>
              <a:effectLst/>
              <a:latin typeface="+mn-lt"/>
              <a:ea typeface="+mn-ea"/>
              <a:cs typeface="+mn-cs"/>
            </a:rPr>
            <a:t> through 2.2.4 show a breakdown in emissions information. 2.2.2, 2.2.3 and 2.2.4 show refrigerant leakage calculations and 2.2.1 shows supplemental information about the lifecycle emissions savings by source. </a:t>
          </a:r>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 For Section</a:t>
          </a:r>
          <a:r>
            <a:rPr lang="en-US" sz="1100" b="0" i="0" u="none" strike="noStrike" baseline="0">
              <a:solidFill>
                <a:sysClr val="windowText" lastClr="000000"/>
              </a:solidFill>
              <a:effectLst/>
              <a:latin typeface="+mn-lt"/>
              <a:ea typeface="+mn-ea"/>
              <a:cs typeface="+mn-cs"/>
            </a:rPr>
            <a:t> 2.3, the result shows Eligible if and only if both Part One and Part Two of the test have a result of Pass.</a:t>
          </a: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Section 3</a:t>
          </a:r>
        </a:p>
        <a:p>
          <a:r>
            <a:rPr lang="en-US" sz="1100" b="0" i="0" u="none" strike="noStrike">
              <a:solidFill>
                <a:sysClr val="windowText" lastClr="000000"/>
              </a:solidFill>
              <a:effectLst/>
              <a:latin typeface="+mn-lt"/>
              <a:ea typeface="+mn-ea"/>
              <a:cs typeface="+mn-cs"/>
            </a:rPr>
            <a:t>View the first year savings to be claimed towards energy efficiency program goals here.</a:t>
          </a:r>
        </a:p>
        <a:p>
          <a:endParaRPr lang="en-US" sz="1100" b="0"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1">
              <a:solidFill>
                <a:sysClr val="windowText" lastClr="000000"/>
              </a:solidFill>
              <a:effectLst/>
              <a:latin typeface="+mn-lt"/>
              <a:ea typeface="+mn-ea"/>
              <a:cs typeface="+mn-cs"/>
            </a:rPr>
            <a:t>Fuel Sub Calcs-Deemed</a:t>
          </a:r>
          <a:endParaRPr lang="en-US" sz="1100" b="0" i="0" u="none" strike="noStrik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ysClr val="windowText" lastClr="000000"/>
              </a:solidFill>
              <a:effectLst/>
              <a:latin typeface="+mn-lt"/>
              <a:ea typeface="+mn-ea"/>
              <a:cs typeface="+mn-cs"/>
            </a:rPr>
            <a:t>The Deemed</a:t>
          </a:r>
          <a:r>
            <a:rPr lang="en-US" sz="1100" b="0" i="0" baseline="0">
              <a:solidFill>
                <a:sysClr val="windowText" lastClr="000000"/>
              </a:solidFill>
              <a:effectLst/>
              <a:latin typeface="+mn-lt"/>
              <a:ea typeface="+mn-ea"/>
              <a:cs typeface="+mn-cs"/>
            </a:rPr>
            <a:t> </a:t>
          </a:r>
          <a:r>
            <a:rPr lang="en-US" sz="1100" b="0" i="0">
              <a:solidFill>
                <a:sysClr val="windowText" lastClr="000000"/>
              </a:solidFill>
              <a:effectLst/>
              <a:latin typeface="+mn-lt"/>
              <a:ea typeface="+mn-ea"/>
              <a:cs typeface="+mn-cs"/>
            </a:rPr>
            <a:t>calculation methodology is same as</a:t>
          </a:r>
          <a:r>
            <a:rPr lang="en-US" sz="1100" b="0" i="0" baseline="0">
              <a:solidFill>
                <a:sysClr val="windowText" lastClr="000000"/>
              </a:solidFill>
              <a:effectLst/>
              <a:latin typeface="+mn-lt"/>
              <a:ea typeface="+mn-ea"/>
              <a:cs typeface="+mn-cs"/>
            </a:rPr>
            <a:t> in the Custom</a:t>
          </a:r>
          <a:r>
            <a:rPr lang="en-US" sz="1100" b="0" i="0">
              <a:solidFill>
                <a:sysClr val="windowText" lastClr="000000"/>
              </a:solidFill>
              <a:effectLst/>
              <a:latin typeface="+mn-lt"/>
              <a:ea typeface="+mn-ea"/>
              <a:cs typeface="+mn-cs"/>
            </a:rPr>
            <a:t> sheets, except that this tool performs</a:t>
          </a:r>
          <a:r>
            <a:rPr lang="en-US" sz="1100" b="0" i="0" baseline="0">
              <a:solidFill>
                <a:sysClr val="windowText" lastClr="000000"/>
              </a:solidFill>
              <a:effectLst/>
              <a:latin typeface="+mn-lt"/>
              <a:ea typeface="+mn-ea"/>
              <a:cs typeface="+mn-cs"/>
            </a:rPr>
            <a:t> no</a:t>
          </a:r>
          <a:r>
            <a:rPr lang="en-US" sz="1100" b="0" i="0">
              <a:solidFill>
                <a:sysClr val="windowText" lastClr="000000"/>
              </a:solidFill>
              <a:effectLst/>
              <a:latin typeface="+mn-lt"/>
              <a:ea typeface="+mn-ea"/>
              <a:cs typeface="+mn-cs"/>
            </a:rPr>
            <a:t> background</a:t>
          </a:r>
          <a:r>
            <a:rPr lang="en-US" sz="1100" b="0" i="0" baseline="0">
              <a:solidFill>
                <a:sysClr val="windowText" lastClr="000000"/>
              </a:solidFill>
              <a:effectLst/>
              <a:latin typeface="+mn-lt"/>
              <a:ea typeface="+mn-ea"/>
              <a:cs typeface="+mn-cs"/>
            </a:rPr>
            <a:t> computations</a:t>
          </a:r>
          <a:r>
            <a:rPr lang="en-US" sz="1100" b="0" i="0">
              <a:solidFill>
                <a:sysClr val="windowText" lastClr="000000"/>
              </a:solidFill>
              <a:effectLst/>
              <a:latin typeface="+mn-lt"/>
              <a:ea typeface="+mn-ea"/>
              <a:cs typeface="+mn-cs"/>
            </a:rPr>
            <a:t> of time</a:t>
          </a:r>
          <a:r>
            <a:rPr lang="en-US" sz="1100" b="0" i="0" baseline="0">
              <a:solidFill>
                <a:sysClr val="windowText" lastClr="000000"/>
              </a:solidFill>
              <a:effectLst/>
              <a:latin typeface="+mn-lt"/>
              <a:ea typeface="+mn-ea"/>
              <a:cs typeface="+mn-cs"/>
            </a:rPr>
            <a:t> series tables</a:t>
          </a:r>
          <a:r>
            <a:rPr lang="en-US" sz="1100" b="0" i="0">
              <a:solidFill>
                <a:sysClr val="windowText" lastClr="000000"/>
              </a:solidFill>
              <a:effectLst/>
              <a:latin typeface="+mn-lt"/>
              <a:ea typeface="+mn-ea"/>
              <a:cs typeface="+mn-cs"/>
            </a:rPr>
            <a:t>. Instead, for 1st and 2nd baseline periods, annual factors for primary energy and</a:t>
          </a:r>
          <a:r>
            <a:rPr lang="en-US" sz="1100" b="0" i="0" baseline="0">
              <a:solidFill>
                <a:sysClr val="windowText" lastClr="000000"/>
              </a:solidFill>
              <a:effectLst/>
              <a:latin typeface="+mn-lt"/>
              <a:ea typeface="+mn-ea"/>
              <a:cs typeface="+mn-cs"/>
            </a:rPr>
            <a:t> CO2 emissions intensity are averaged over the period, then multiplied together with annual impacts and the duration of that period. The results are equivalent.</a:t>
          </a:r>
          <a:endParaRPr lang="en-US" sz="1100" b="0" i="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ysClr val="windowText" lastClr="000000"/>
              </a:solidFill>
              <a:effectLst/>
              <a:latin typeface="+mn-lt"/>
              <a:ea typeface="+mn-ea"/>
              <a:cs typeface="+mn-cs"/>
            </a:rPr>
            <a:t>The</a:t>
          </a:r>
          <a:r>
            <a:rPr lang="en-US" sz="1100" b="0" i="0" baseline="0">
              <a:solidFill>
                <a:sysClr val="windowText" lastClr="000000"/>
              </a:solidFill>
              <a:effectLst/>
              <a:latin typeface="+mn-lt"/>
              <a:ea typeface="+mn-ea"/>
              <a:cs typeface="+mn-cs"/>
            </a:rPr>
            <a:t> Deemed formatting is different than Custom. </a:t>
          </a:r>
          <a:r>
            <a:rPr lang="en-US" sz="1100" b="0" i="0">
              <a:solidFill>
                <a:sysClr val="windowText" lastClr="000000"/>
              </a:solidFill>
              <a:effectLst/>
              <a:latin typeface="+mn-lt"/>
              <a:ea typeface="+mn-ea"/>
              <a:cs typeface="+mn-cs"/>
            </a:rPr>
            <a:t>Considering that workpapers</a:t>
          </a:r>
          <a:r>
            <a:rPr lang="en-US" sz="1100" b="0" i="0" baseline="0">
              <a:solidFill>
                <a:sysClr val="windowText" lastClr="000000"/>
              </a:solidFill>
              <a:effectLst/>
              <a:latin typeface="+mn-lt"/>
              <a:ea typeface="+mn-ea"/>
              <a:cs typeface="+mn-cs"/>
            </a:rPr>
            <a:t> tend to have many combinations for a measures (CZ, building type, vintage, etc.), the Deemed sheet is formatted with Section 1 and Section 2 spread out horizontally (proceed from left to right). Section 3 and 2.2.2-2.2.4 are hidden. Rather than 5 entries in the Custom, the Deemed sheet permits 1000 entries. </a:t>
          </a:r>
          <a:endParaRPr lang="en-US">
            <a:solidFill>
              <a:sysClr val="windowText" lastClr="000000"/>
            </a:solidFill>
            <a:effectLst/>
          </a:endParaRPr>
        </a:p>
        <a:p>
          <a:endParaRPr lang="en-US" sz="1100" b="0" i="0" u="none" strike="noStrike">
            <a:solidFill>
              <a:sysClr val="windowText" lastClr="000000"/>
            </a:solidFill>
            <a:effectLst/>
            <a:latin typeface="+mn-lt"/>
            <a:ea typeface="+mn-ea"/>
            <a:cs typeface="+mn-cs"/>
          </a:endParaRPr>
        </a:p>
        <a:p>
          <a:r>
            <a:rPr lang="en-US" sz="1100" b="0" i="0" u="none" strike="noStrike">
              <a:solidFill>
                <a:sysClr val="windowText" lastClr="000000"/>
              </a:solidFill>
              <a:effectLst/>
              <a:latin typeface="+mn-lt"/>
              <a:ea typeface="+mn-ea"/>
              <a:cs typeface="+mn-cs"/>
            </a:rPr>
            <a:t>Finally, the</a:t>
          </a:r>
          <a:r>
            <a:rPr lang="en-US" sz="1100" b="0" i="0" u="none" strike="noStrike" baseline="0">
              <a:solidFill>
                <a:sysClr val="windowText" lastClr="000000"/>
              </a:solidFill>
              <a:effectLst/>
              <a:latin typeface="+mn-lt"/>
              <a:ea typeface="+mn-ea"/>
              <a:cs typeface="+mn-cs"/>
            </a:rPr>
            <a:t> Deemed sheet expects inputs to be annual savings rather than consumption values. Copy then paste by value your results formatted as in the ExAnteData (EAD) tables (as in relevant workpaper submissions). Please document energy consumption values outside this workbook.</a:t>
          </a:r>
          <a:endParaRPr lang="en-US" sz="1100" b="0" i="0" u="none" strike="noStrike">
            <a:solidFill>
              <a:sysClr val="windowText" lastClr="000000"/>
            </a:solidFill>
            <a:effectLst/>
            <a:latin typeface="+mn-lt"/>
            <a:ea typeface="+mn-ea"/>
            <a:cs typeface="+mn-cs"/>
          </a:endParaRPr>
        </a:p>
        <a:p>
          <a:endParaRPr lang="en-US" sz="1100" b="0" i="0" u="none" strike="noStrike">
            <a:solidFill>
              <a:sysClr val="windowText" lastClr="000000"/>
            </a:solidFill>
            <a:effectLst/>
            <a:latin typeface="+mn-lt"/>
            <a:ea typeface="+mn-ea"/>
            <a:cs typeface="+mn-cs"/>
          </a:endParaRPr>
        </a:p>
        <a:p>
          <a:r>
            <a:rPr lang="en-US" sz="1100" b="1" i="0" u="none" strike="noStrike">
              <a:solidFill>
                <a:sysClr val="windowText" lastClr="000000"/>
              </a:solidFill>
              <a:effectLst/>
              <a:latin typeface="+mn-lt"/>
              <a:ea typeface="+mn-ea"/>
              <a:cs typeface="+mn-cs"/>
            </a:rPr>
            <a:t>Methodology</a:t>
          </a:r>
          <a:r>
            <a:rPr lang="en-US">
              <a:solidFill>
                <a:sysClr val="windowText" lastClr="000000"/>
              </a:solidFill>
            </a:rPr>
            <a:t> </a:t>
          </a:r>
        </a:p>
        <a:p>
          <a:endParaRPr lang="en-US" sz="1100" b="0" i="0" u="none" strike="noStrike">
            <a:solidFill>
              <a:sysClr val="windowText" lastClr="000000"/>
            </a:solidFill>
            <a:effectLst/>
            <a:latin typeface="+mn-lt"/>
            <a:ea typeface="+mn-ea"/>
            <a:cs typeface="+mn-cs"/>
          </a:endParaRPr>
        </a:p>
        <a:p>
          <a:r>
            <a:rPr lang="en-US" sz="1100" b="0" i="1" u="none" strike="noStrike">
              <a:solidFill>
                <a:sysClr val="windowText" lastClr="000000"/>
              </a:solidFill>
              <a:effectLst/>
              <a:latin typeface="+mn-lt"/>
              <a:ea typeface="+mn-ea"/>
              <a:cs typeface="+mn-cs"/>
            </a:rPr>
            <a:t>Inputs (Section 1)</a:t>
          </a:r>
        </a:p>
        <a:p>
          <a:r>
            <a:rPr lang="en-US" sz="1100" b="0" i="0" u="none" strike="noStrike" baseline="0">
              <a:solidFill>
                <a:sysClr val="windowText" lastClr="000000"/>
              </a:solidFill>
              <a:effectLst/>
              <a:latin typeface="+mn-lt"/>
              <a:ea typeface="+mn-ea"/>
              <a:cs typeface="+mn-cs"/>
            </a:rPr>
            <a:t>The tool reqires the user to record baseline and proposed/installed (aka measure case) annual usage values, which it uses to compute energy impacts (i.e. increase or decrease in annual usage) resulting from each measure. This tool supports single-baseline (e.g. normal replacement or NR) and dual-baseline measures (accelerated retirement or AR). For all measures, enter the full life of the measure as EUL. For AR measures only, enter the remaining useful life of the existing equipment as RUL, and enter information about the second baseline period. </a:t>
          </a:r>
          <a:r>
            <a:rPr lang="en-US" sz="1100" b="0" i="0">
              <a:solidFill>
                <a:sysClr val="windowText" lastClr="000000"/>
              </a:solidFill>
              <a:effectLst/>
              <a:latin typeface="+mn-lt"/>
              <a:ea typeface="+mn-ea"/>
              <a:cs typeface="+mn-cs"/>
            </a:rPr>
            <a:t>For each measure input, b</a:t>
          </a:r>
          <a:r>
            <a:rPr lang="en-US" sz="1100" b="0" i="0" u="none" strike="noStrike" baseline="0">
              <a:solidFill>
                <a:sysClr val="windowText" lastClr="000000"/>
              </a:solidFill>
              <a:effectLst/>
              <a:latin typeface="+mn-lt"/>
              <a:ea typeface="+mn-ea"/>
              <a:cs typeface="+mn-cs"/>
            </a:rPr>
            <a:t>ased on the lifetimes and impacts entered,</a:t>
          </a:r>
          <a:r>
            <a:rPr lang="en-US" sz="1100" b="0" i="0">
              <a:solidFill>
                <a:sysClr val="windowText" lastClr="000000"/>
              </a:solidFill>
              <a:effectLst/>
              <a:latin typeface="+mn-lt"/>
              <a:ea typeface="+mn-ea"/>
              <a:cs typeface="+mn-cs"/>
            </a:rPr>
            <a:t> this tool computes a time series of annual impacts (electricity usage kWh and gas usage in therms) anticipated during each year from </a:t>
          </a:r>
          <a:r>
            <a:rPr lang="en-US" sz="1100" b="0" i="0" u="sng">
              <a:solidFill>
                <a:sysClr val="windowText" lastClr="000000"/>
              </a:solidFill>
              <a:effectLst/>
              <a:latin typeface="+mn-lt"/>
              <a:ea typeface="+mn-ea"/>
              <a:cs typeface="+mn-cs"/>
            </a:rPr>
            <a:t>2019 through 2049.</a:t>
          </a:r>
          <a:endParaRPr lang="en-US" sz="1100" b="0" i="0" u="sng" strike="noStrike">
            <a:solidFill>
              <a:sysClr val="windowText" lastClr="000000"/>
            </a:solidFill>
            <a:effectLst/>
            <a:latin typeface="+mn-lt"/>
            <a:ea typeface="+mn-ea"/>
            <a:cs typeface="+mn-cs"/>
          </a:endParaRPr>
        </a:p>
        <a:p>
          <a:endParaRPr lang="en-US" sz="1100" b="0" i="0" u="none" strike="noStrike">
            <a:solidFill>
              <a:sysClr val="windowText" lastClr="000000"/>
            </a:solidFill>
            <a:effectLst/>
            <a:latin typeface="+mn-lt"/>
            <a:ea typeface="+mn-ea"/>
            <a:cs typeface="+mn-cs"/>
          </a:endParaRPr>
        </a:p>
        <a:p>
          <a:r>
            <a:rPr lang="en-US" sz="1100" b="0" i="1" u="none" strike="noStrike">
              <a:solidFill>
                <a:sysClr val="windowText" lastClr="000000"/>
              </a:solidFill>
              <a:effectLst/>
              <a:latin typeface="+mn-lt"/>
              <a:ea typeface="+mn-ea"/>
              <a:cs typeface="+mn-cs"/>
            </a:rPr>
            <a:t>Fuel substitution</a:t>
          </a:r>
          <a:r>
            <a:rPr lang="en-US" sz="1100" b="0" i="1" u="none" strike="noStrike" baseline="0">
              <a:solidFill>
                <a:sysClr val="windowText" lastClr="000000"/>
              </a:solidFill>
              <a:effectLst/>
              <a:latin typeface="+mn-lt"/>
              <a:ea typeface="+mn-ea"/>
              <a:cs typeface="+mn-cs"/>
            </a:rPr>
            <a:t> test (Section 2)</a:t>
          </a:r>
        </a:p>
        <a:p>
          <a:r>
            <a:rPr lang="en-US" sz="1100" b="0" i="0" u="none" strike="noStrike">
              <a:solidFill>
                <a:sysClr val="windowText" lastClr="000000"/>
              </a:solidFill>
              <a:effectLst/>
              <a:latin typeface="+mn-lt"/>
              <a:ea typeface="+mn-ea"/>
              <a:cs typeface="+mn-cs"/>
            </a:rPr>
            <a:t>The time series of electricity impacts are multiplied by projected annual effective heat</a:t>
          </a:r>
          <a:r>
            <a:rPr lang="en-US" sz="1100" b="0" i="0" u="none" strike="noStrike" baseline="0">
              <a:solidFill>
                <a:sysClr val="windowText" lastClr="000000"/>
              </a:solidFill>
              <a:effectLst/>
              <a:latin typeface="+mn-lt"/>
              <a:ea typeface="+mn-ea"/>
              <a:cs typeface="+mn-cs"/>
            </a:rPr>
            <a:t> rate</a:t>
          </a:r>
          <a:r>
            <a:rPr lang="en-US" sz="1100" b="0" i="0" u="none" strike="noStrike">
              <a:solidFill>
                <a:sysClr val="windowText" lastClr="000000"/>
              </a:solidFill>
              <a:effectLst/>
              <a:latin typeface="+mn-lt"/>
              <a:ea typeface="+mn-ea"/>
              <a:cs typeface="+mn-cs"/>
            </a:rPr>
            <a:t> values</a:t>
          </a:r>
          <a:r>
            <a:rPr lang="en-US" sz="1100" b="0" i="0" u="none" strike="noStrike" baseline="0">
              <a:solidFill>
                <a:sysClr val="windowText" lastClr="000000"/>
              </a:solidFill>
              <a:effectLst/>
              <a:latin typeface="+mn-lt"/>
              <a:ea typeface="+mn-ea"/>
              <a:cs typeface="+mn-cs"/>
            </a:rPr>
            <a:t> (the ratio of "source" BTUs at generation facilities to "site" kWh at the meter, which includes T&amp;D losses) </a:t>
          </a:r>
          <a:r>
            <a:rPr lang="en-US" sz="1100" b="0" i="0" u="none" strike="noStrike">
              <a:solidFill>
                <a:sysClr val="windowText" lastClr="000000"/>
              </a:solidFill>
              <a:effectLst/>
              <a:latin typeface="+mn-lt"/>
              <a:ea typeface="+mn-ea"/>
              <a:cs typeface="+mn-cs"/>
            </a:rPr>
            <a:t>and CO</a:t>
          </a:r>
          <a:r>
            <a:rPr lang="en-US" sz="1100" b="0" i="0" u="none" strike="noStrike" baseline="-25000">
              <a:solidFill>
                <a:sysClr val="windowText" lastClr="000000"/>
              </a:solidFill>
              <a:effectLst/>
              <a:latin typeface="+mn-lt"/>
              <a:ea typeface="+mn-ea"/>
              <a:cs typeface="+mn-cs"/>
            </a:rPr>
            <a:t>2</a:t>
          </a:r>
          <a:r>
            <a:rPr lang="en-US" sz="1100" b="0" i="0" u="none" strike="noStrike">
              <a:solidFill>
                <a:sysClr val="windowText" lastClr="000000"/>
              </a:solidFill>
              <a:effectLst/>
              <a:latin typeface="+mn-lt"/>
              <a:ea typeface="+mn-ea"/>
              <a:cs typeface="+mn-cs"/>
            </a:rPr>
            <a:t> emissions intensity factors to determine the total lifecycle primary energy usage and emissions attributable to those impacts. </a:t>
          </a:r>
          <a:r>
            <a:rPr lang="en-US" sz="1100" b="0" i="0" baseline="0">
              <a:solidFill>
                <a:sysClr val="windowText" lastClr="000000"/>
              </a:solidFill>
              <a:effectLst/>
              <a:latin typeface="+mn-lt"/>
              <a:ea typeface="+mn-ea"/>
              <a:cs typeface="+mn-cs"/>
            </a:rPr>
            <a:t>The time series of source energy and emissions intensity factors for electricity are </a:t>
          </a:r>
          <a:r>
            <a:rPr lang="en-US" sz="1100" b="0" i="0">
              <a:solidFill>
                <a:sysClr val="windowText" lastClr="000000"/>
              </a:solidFill>
              <a:effectLst/>
              <a:latin typeface="+mn-lt"/>
              <a:ea typeface="+mn-ea"/>
              <a:cs typeface="+mn-cs"/>
            </a:rPr>
            <a:t>based on the long-run emissions inputs</a:t>
          </a:r>
          <a:r>
            <a:rPr lang="en-US" sz="1100" b="0" i="0" baseline="0">
              <a:solidFill>
                <a:sysClr val="windowText" lastClr="000000"/>
              </a:solidFill>
              <a:effectLst/>
              <a:latin typeface="+mn-lt"/>
              <a:ea typeface="+mn-ea"/>
              <a:cs typeface="+mn-cs"/>
            </a:rPr>
            <a:t> included as tabs at the end of this workbook. </a:t>
          </a:r>
          <a:r>
            <a:rPr lang="en-US" sz="1100" b="0" i="0" u="none" strike="noStrike">
              <a:solidFill>
                <a:sysClr val="windowText" lastClr="000000"/>
              </a:solidFill>
              <a:effectLst/>
              <a:latin typeface="+mn-lt"/>
              <a:ea typeface="+mn-ea"/>
              <a:cs typeface="+mn-cs"/>
            </a:rPr>
            <a:t>For</a:t>
          </a:r>
          <a:r>
            <a:rPr lang="en-US" sz="1100" b="0" i="0" u="none" strike="noStrike" baseline="0">
              <a:solidFill>
                <a:sysClr val="windowText" lastClr="000000"/>
              </a:solidFill>
              <a:effectLst/>
              <a:latin typeface="+mn-lt"/>
              <a:ea typeface="+mn-ea"/>
              <a:cs typeface="+mn-cs"/>
            </a:rPr>
            <a:t> gas impacts, the calculation of lifecycle energy involves merely conversion to primary energy units, and emissions intensity is fixed (so there are no annual time series). Methane leakage is accounted for in changes from both electricity and gas consumption. The calculator also includes emissions from refrigerant leakage of the baseline and measure devices.  </a:t>
          </a:r>
        </a:p>
        <a:p>
          <a:endParaRPr lang="en-US" sz="1100" b="0" i="0" baseline="0">
            <a:solidFill>
              <a:sysClr val="windowText" lastClr="000000"/>
            </a:solidFill>
            <a:effectLst/>
            <a:latin typeface="+mn-lt"/>
            <a:ea typeface="+mn-ea"/>
            <a:cs typeface="+mn-cs"/>
          </a:endParaRPr>
        </a:p>
        <a:p>
          <a:r>
            <a:rPr lang="en-US" sz="1100" b="0" i="1" baseline="0">
              <a:solidFill>
                <a:sysClr val="windowText" lastClr="000000"/>
              </a:solidFill>
              <a:effectLst/>
              <a:latin typeface="+mn-lt"/>
              <a:ea typeface="+mn-ea"/>
              <a:cs typeface="+mn-cs"/>
            </a:rPr>
            <a:t>For EE program reporting (Section 3)</a:t>
          </a:r>
        </a:p>
        <a:p>
          <a:r>
            <a:rPr lang="en-US" sz="1100" b="0" i="0" baseline="0">
              <a:solidFill>
                <a:sysClr val="windowText" lastClr="000000"/>
              </a:solidFill>
              <a:effectLst/>
              <a:latin typeface="+mn-lt"/>
              <a:ea typeface="+mn-ea"/>
              <a:cs typeface="+mn-cs"/>
            </a:rPr>
            <a:t>The first table in this section provides the annual savings in the new fuel units that will be used for reporting.</a:t>
          </a:r>
        </a:p>
        <a:p>
          <a:r>
            <a:rPr lang="en-US" sz="1100" b="0" i="0" baseline="0">
              <a:solidFill>
                <a:sysClr val="windowText" lastClr="000000"/>
              </a:solidFill>
              <a:effectLst/>
              <a:latin typeface="+mn-lt"/>
              <a:ea typeface="+mn-ea"/>
              <a:cs typeface="+mn-cs"/>
            </a:rPr>
            <a:t>This second table provides a copy/paste section for use with the most recent version of CET as of writing.</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0</xdr:colOff>
      <xdr:row>68</xdr:row>
      <xdr:rowOff>22074</xdr:rowOff>
    </xdr:from>
    <xdr:to>
      <xdr:col>3</xdr:col>
      <xdr:colOff>0</xdr:colOff>
      <xdr:row>73</xdr:row>
      <xdr:rowOff>1</xdr:rowOff>
    </xdr:to>
    <xdr:sp macro="" textlink="">
      <xdr:nvSpPr>
        <xdr:cNvPr id="4" name="Rectangle 3">
          <a:extLst>
            <a:ext uri="{FF2B5EF4-FFF2-40B4-BE49-F238E27FC236}">
              <a16:creationId xmlns:a16="http://schemas.microsoft.com/office/drawing/2014/main" id="{D3CB9E60-14FC-4184-B605-ADBC5F9208C1}"/>
            </a:ext>
          </a:extLst>
        </xdr:cNvPr>
        <xdr:cNvSpPr/>
      </xdr:nvSpPr>
      <xdr:spPr>
        <a:xfrm>
          <a:off x="8226865" y="14032483"/>
          <a:ext cx="1050178" cy="84383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a:t>Since we have EUL already I don't think we need this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5</xdr:row>
      <xdr:rowOff>47625</xdr:rowOff>
    </xdr:from>
    <xdr:to>
      <xdr:col>3</xdr:col>
      <xdr:colOff>596215</xdr:colOff>
      <xdr:row>8</xdr:row>
      <xdr:rowOff>38100</xdr:rowOff>
    </xdr:to>
    <xdr:pic>
      <xdr:nvPicPr>
        <xdr:cNvPr id="2" name="Picture 1" descr="E3 fin logos">
          <a:extLst>
            <a:ext uri="{FF2B5EF4-FFF2-40B4-BE49-F238E27FC236}">
              <a16:creationId xmlns:a16="http://schemas.microsoft.com/office/drawing/2014/main" id="{E59D9985-2EF4-4793-A59D-D1BDE93599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340" t="19754" b="65335"/>
        <a:stretch>
          <a:fillRect/>
        </a:stretch>
      </xdr:blipFill>
      <xdr:spPr bwMode="auto">
        <a:xfrm>
          <a:off x="523875" y="1066800"/>
          <a:ext cx="386329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5</xdr:row>
      <xdr:rowOff>47625</xdr:rowOff>
    </xdr:from>
    <xdr:to>
      <xdr:col>3</xdr:col>
      <xdr:colOff>596215</xdr:colOff>
      <xdr:row>8</xdr:row>
      <xdr:rowOff>38100</xdr:rowOff>
    </xdr:to>
    <xdr:pic>
      <xdr:nvPicPr>
        <xdr:cNvPr id="3" name="Picture 1" descr="E3 fin logos">
          <a:extLst>
            <a:ext uri="{FF2B5EF4-FFF2-40B4-BE49-F238E27FC236}">
              <a16:creationId xmlns:a16="http://schemas.microsoft.com/office/drawing/2014/main" id="{0933EFDF-7E7F-430B-955C-09335F205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340" t="19754" b="65335"/>
        <a:stretch>
          <a:fillRect/>
        </a:stretch>
      </xdr:blipFill>
      <xdr:spPr bwMode="auto">
        <a:xfrm>
          <a:off x="523875" y="1066800"/>
          <a:ext cx="386329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19</xdr:row>
      <xdr:rowOff>0</xdr:rowOff>
    </xdr:from>
    <xdr:to>
      <xdr:col>9</xdr:col>
      <xdr:colOff>27215</xdr:colOff>
      <xdr:row>34</xdr:row>
      <xdr:rowOff>86633</xdr:rowOff>
    </xdr:to>
    <xdr:graphicFrame macro="">
      <xdr:nvGraphicFramePr>
        <xdr:cNvPr id="2" name="Chart 1">
          <a:extLst>
            <a:ext uri="{FF2B5EF4-FFF2-40B4-BE49-F238E27FC236}">
              <a16:creationId xmlns:a16="http://schemas.microsoft.com/office/drawing/2014/main" id="{D5126BFF-B3C7-4B36-A061-C5412BD2D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435429</xdr:colOff>
      <xdr:row>19</xdr:row>
      <xdr:rowOff>13607</xdr:rowOff>
    </xdr:from>
    <xdr:to>
      <xdr:col>15</xdr:col>
      <xdr:colOff>625929</xdr:colOff>
      <xdr:row>34</xdr:row>
      <xdr:rowOff>97064</xdr:rowOff>
    </xdr:to>
    <xdr:graphicFrame macro="">
      <xdr:nvGraphicFramePr>
        <xdr:cNvPr id="3" name="Chart 2">
          <a:extLst>
            <a:ext uri="{FF2B5EF4-FFF2-40B4-BE49-F238E27FC236}">
              <a16:creationId xmlns:a16="http://schemas.microsoft.com/office/drawing/2014/main" id="{7E14E527-F178-4DAB-8BAE-65CCCF7D9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Hannah Platter" id="{3BA53D36-F889-4C8C-B8DF-8E9A475BFC05}" userId="Hannah Platter" providerId="None"/>
</personList>
</file>

<file path=xl/theme/theme1.xml><?xml version="1.0" encoding="utf-8"?>
<a:theme xmlns:a="http://schemas.openxmlformats.org/drawingml/2006/main" name="E3 Theme">
  <a:themeElements>
    <a:clrScheme name="E3">
      <a:dk1>
        <a:sysClr val="windowText" lastClr="000000"/>
      </a:dk1>
      <a:lt1>
        <a:sysClr val="window" lastClr="FFFFFF"/>
      </a:lt1>
      <a:dk2>
        <a:srgbClr val="315361"/>
      </a:dk2>
      <a:lt2>
        <a:srgbClr val="EEECE1"/>
      </a:lt2>
      <a:accent1>
        <a:srgbClr val="034E6E"/>
      </a:accent1>
      <a:accent2>
        <a:srgbClr val="AF7E00"/>
      </a:accent2>
      <a:accent3>
        <a:srgbClr val="AF2200"/>
      </a:accent3>
      <a:accent4>
        <a:srgbClr val="007E33"/>
      </a:accent4>
      <a:accent5>
        <a:srgbClr val="AF5D00"/>
      </a:accent5>
      <a:accent6>
        <a:srgbClr val="0A1978"/>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6" dT="2022-08-31T19:16:53.51" personId="{3BA53D36-F889-4C8C-B8DF-8E9A475BFC05}" id="{04B385B0-C3AD-4689-B529-BB53CB756478}">
    <text xml:space="preserve">There's a better way to do this, I'll think of it eventually </text>
  </threadedComment>
  <threadedComment ref="DK14" dT="2022-09-01T23:34:55.84" personId="{3BA53D36-F889-4C8C-B8DF-8E9A475BFC05}" id="{6C80A211-3B45-4E0B-9EEA-418728759AD6}">
    <text xml:space="preserve">Needs to be fixed with input from Mike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I130"/>
  <sheetViews>
    <sheetView topLeftCell="A113" zoomScale="115" zoomScaleNormal="115" workbookViewId="0">
      <selection activeCell="D114" sqref="D114:I116"/>
    </sheetView>
  </sheetViews>
  <sheetFormatPr defaultColWidth="9.1796875" defaultRowHeight="14.5"/>
  <cols>
    <col min="1" max="1" width="9.1796875" style="34"/>
    <col min="2" max="2" width="9.7265625" style="34" bestFit="1" customWidth="1"/>
    <col min="3" max="8" width="9.1796875" style="34"/>
    <col min="9" max="9" width="22" style="34" customWidth="1"/>
    <col min="10" max="11" width="9.1796875" style="34"/>
    <col min="12" max="12" width="22.81640625" style="34" customWidth="1"/>
    <col min="13" max="13" width="11.81640625" style="34" customWidth="1"/>
    <col min="14" max="16384" width="9.1796875" style="34"/>
  </cols>
  <sheetData>
    <row r="2" spans="2:9">
      <c r="B2" s="265" t="s">
        <v>0</v>
      </c>
      <c r="C2" s="266"/>
      <c r="D2" s="266"/>
      <c r="E2" s="266"/>
      <c r="F2" s="266"/>
      <c r="G2" s="266"/>
      <c r="H2" s="266"/>
      <c r="I2" s="267"/>
    </row>
    <row r="3" spans="2:9">
      <c r="B3" s="268"/>
      <c r="C3" s="269"/>
      <c r="D3" s="269"/>
      <c r="E3" s="269"/>
      <c r="F3" s="269"/>
      <c r="G3" s="269"/>
      <c r="H3" s="269"/>
      <c r="I3" s="270"/>
    </row>
    <row r="4" spans="2:9" ht="25.5" customHeight="1">
      <c r="B4" s="268"/>
      <c r="C4" s="269"/>
      <c r="D4" s="269"/>
      <c r="E4" s="269"/>
      <c r="F4" s="269"/>
      <c r="G4" s="269"/>
      <c r="H4" s="269"/>
      <c r="I4" s="270"/>
    </row>
    <row r="5" spans="2:9">
      <c r="B5" s="268"/>
      <c r="C5" s="269"/>
      <c r="D5" s="269"/>
      <c r="E5" s="269"/>
      <c r="F5" s="269"/>
      <c r="G5" s="269"/>
      <c r="H5" s="269"/>
      <c r="I5" s="270"/>
    </row>
    <row r="6" spans="2:9">
      <c r="B6" s="271"/>
      <c r="C6" s="272"/>
      <c r="D6" s="272"/>
      <c r="E6" s="272"/>
      <c r="F6" s="272"/>
      <c r="G6" s="272"/>
      <c r="H6" s="272"/>
      <c r="I6" s="273"/>
    </row>
    <row r="9" spans="2:9" ht="15.75" customHeight="1"/>
    <row r="10" spans="2:9" ht="15" customHeight="1"/>
    <row r="11" spans="2:9" ht="15" customHeight="1"/>
    <row r="12" spans="2:9" ht="15" customHeight="1"/>
    <row r="13" spans="2:9" ht="15" customHeight="1"/>
    <row r="14" spans="2:9" ht="15" customHeight="1"/>
    <row r="15" spans="2:9" ht="15" customHeight="1"/>
    <row r="16" spans="2:9" ht="15" customHeight="1"/>
    <row r="21" ht="15" customHeight="1"/>
    <row r="24" ht="15" customHeight="1"/>
    <row r="27" ht="15" customHeight="1"/>
    <row r="30" ht="15" customHeight="1"/>
    <row r="34" ht="15" customHeight="1"/>
    <row r="109" spans="2:9">
      <c r="B109" s="264" t="s">
        <v>1</v>
      </c>
      <c r="C109" s="264"/>
      <c r="D109" s="264"/>
      <c r="E109" s="264"/>
      <c r="F109" s="264"/>
      <c r="G109" s="264"/>
      <c r="H109" s="264"/>
      <c r="I109" s="264"/>
    </row>
    <row r="110" spans="2:9">
      <c r="B110" s="264" t="s">
        <v>2</v>
      </c>
      <c r="C110" s="264"/>
      <c r="D110" s="275" t="s">
        <v>3</v>
      </c>
      <c r="E110" s="275"/>
      <c r="F110" s="275"/>
      <c r="G110" s="275"/>
      <c r="H110" s="275"/>
      <c r="I110" s="275"/>
    </row>
    <row r="111" spans="2:9" ht="78.75" customHeight="1">
      <c r="B111" s="259">
        <v>44838</v>
      </c>
      <c r="C111" s="260"/>
      <c r="D111" s="261" t="s">
        <v>4</v>
      </c>
      <c r="E111" s="262"/>
      <c r="F111" s="262"/>
      <c r="G111" s="262"/>
      <c r="H111" s="262"/>
      <c r="I111" s="263"/>
    </row>
    <row r="112" spans="2:9" ht="78.75" customHeight="1">
      <c r="B112" s="286">
        <v>43769</v>
      </c>
      <c r="C112" s="287"/>
      <c r="D112" s="250" t="s">
        <v>5</v>
      </c>
      <c r="E112" s="251"/>
      <c r="F112" s="251"/>
      <c r="G112" s="251"/>
      <c r="H112" s="251"/>
      <c r="I112" s="252"/>
    </row>
    <row r="113" spans="2:9" ht="30" customHeight="1">
      <c r="B113" s="286">
        <v>43767</v>
      </c>
      <c r="C113" s="287"/>
      <c r="D113" s="250" t="s">
        <v>6</v>
      </c>
      <c r="E113" s="251"/>
      <c r="F113" s="251"/>
      <c r="G113" s="251"/>
      <c r="H113" s="251"/>
      <c r="I113" s="252"/>
    </row>
    <row r="114" spans="2:9" ht="21" customHeight="1">
      <c r="B114" s="253">
        <v>43755</v>
      </c>
      <c r="C114" s="254"/>
      <c r="D114" s="277" t="s">
        <v>7</v>
      </c>
      <c r="E114" s="278"/>
      <c r="F114" s="278"/>
      <c r="G114" s="278"/>
      <c r="H114" s="278"/>
      <c r="I114" s="279"/>
    </row>
    <row r="115" spans="2:9" ht="23.25" customHeight="1">
      <c r="B115" s="255"/>
      <c r="C115" s="256"/>
      <c r="D115" s="280"/>
      <c r="E115" s="281"/>
      <c r="F115" s="281"/>
      <c r="G115" s="281"/>
      <c r="H115" s="281"/>
      <c r="I115" s="282"/>
    </row>
    <row r="116" spans="2:9">
      <c r="B116" s="257"/>
      <c r="C116" s="258"/>
      <c r="D116" s="283"/>
      <c r="E116" s="284"/>
      <c r="F116" s="284"/>
      <c r="G116" s="284"/>
      <c r="H116" s="284"/>
      <c r="I116" s="285"/>
    </row>
    <row r="117" spans="2:9">
      <c r="B117" s="253">
        <v>43738</v>
      </c>
      <c r="C117" s="254"/>
      <c r="D117" s="276" t="s">
        <v>8</v>
      </c>
      <c r="E117" s="276"/>
      <c r="F117" s="276"/>
      <c r="G117" s="276"/>
      <c r="H117" s="276"/>
      <c r="I117" s="276"/>
    </row>
    <row r="118" spans="2:9">
      <c r="B118" s="255"/>
      <c r="C118" s="256"/>
      <c r="D118" s="276"/>
      <c r="E118" s="276"/>
      <c r="F118" s="276"/>
      <c r="G118" s="276"/>
      <c r="H118" s="276"/>
      <c r="I118" s="276"/>
    </row>
    <row r="119" spans="2:9">
      <c r="B119" s="257"/>
      <c r="C119" s="258"/>
      <c r="D119" s="276"/>
      <c r="E119" s="276"/>
      <c r="F119" s="276"/>
      <c r="G119" s="276"/>
      <c r="H119" s="276"/>
      <c r="I119" s="276"/>
    </row>
    <row r="120" spans="2:9" ht="15" customHeight="1">
      <c r="B120" s="253">
        <v>43734</v>
      </c>
      <c r="C120" s="254"/>
      <c r="D120" s="276" t="s">
        <v>9</v>
      </c>
      <c r="E120" s="276"/>
      <c r="F120" s="276"/>
      <c r="G120" s="276"/>
      <c r="H120" s="276"/>
      <c r="I120" s="276"/>
    </row>
    <row r="121" spans="2:9">
      <c r="B121" s="255"/>
      <c r="C121" s="256"/>
      <c r="D121" s="276"/>
      <c r="E121" s="276"/>
      <c r="F121" s="276"/>
      <c r="G121" s="276"/>
      <c r="H121" s="276"/>
      <c r="I121" s="276"/>
    </row>
    <row r="122" spans="2:9">
      <c r="B122" s="257"/>
      <c r="C122" s="258"/>
      <c r="D122" s="276"/>
      <c r="E122" s="276"/>
      <c r="F122" s="276"/>
      <c r="G122" s="276"/>
      <c r="H122" s="276"/>
      <c r="I122" s="276"/>
    </row>
    <row r="123" spans="2:9" ht="15" customHeight="1">
      <c r="B123" s="274">
        <v>43733</v>
      </c>
      <c r="C123" s="274"/>
      <c r="D123" s="276" t="s">
        <v>10</v>
      </c>
      <c r="E123" s="276"/>
      <c r="F123" s="276"/>
      <c r="G123" s="276"/>
      <c r="H123" s="276"/>
      <c r="I123" s="276"/>
    </row>
    <row r="124" spans="2:9">
      <c r="B124" s="274"/>
      <c r="C124" s="274"/>
      <c r="D124" s="276"/>
      <c r="E124" s="276"/>
      <c r="F124" s="276"/>
      <c r="G124" s="276"/>
      <c r="H124" s="276"/>
      <c r="I124" s="276"/>
    </row>
    <row r="125" spans="2:9">
      <c r="B125" s="274"/>
      <c r="C125" s="274"/>
      <c r="D125" s="276"/>
      <c r="E125" s="276"/>
      <c r="F125" s="276"/>
      <c r="G125" s="276"/>
      <c r="H125" s="276"/>
      <c r="I125" s="276"/>
    </row>
    <row r="126" spans="2:9">
      <c r="B126" s="274"/>
      <c r="C126" s="274"/>
      <c r="D126" s="276"/>
      <c r="E126" s="276"/>
      <c r="F126" s="276"/>
      <c r="G126" s="276"/>
      <c r="H126" s="276"/>
      <c r="I126" s="276"/>
    </row>
    <row r="127" spans="2:9">
      <c r="B127" s="274"/>
      <c r="C127" s="274"/>
      <c r="D127" s="276"/>
      <c r="E127" s="276"/>
      <c r="F127" s="276"/>
      <c r="G127" s="276"/>
      <c r="H127" s="276"/>
      <c r="I127" s="276"/>
    </row>
    <row r="128" spans="2:9">
      <c r="B128" s="274"/>
      <c r="C128" s="274"/>
      <c r="D128" s="276"/>
      <c r="E128" s="276"/>
      <c r="F128" s="276"/>
      <c r="G128" s="276"/>
      <c r="H128" s="276"/>
      <c r="I128" s="276"/>
    </row>
    <row r="129" spans="2:9">
      <c r="B129" s="274"/>
      <c r="C129" s="274"/>
      <c r="D129" s="276"/>
      <c r="E129" s="276"/>
      <c r="F129" s="276"/>
      <c r="G129" s="276"/>
      <c r="H129" s="276"/>
      <c r="I129" s="276"/>
    </row>
    <row r="130" spans="2:9">
      <c r="B130" s="274">
        <v>43732</v>
      </c>
      <c r="C130" s="274"/>
      <c r="D130" s="275" t="s">
        <v>11</v>
      </c>
      <c r="E130" s="275"/>
      <c r="F130" s="275"/>
      <c r="G130" s="275"/>
      <c r="H130" s="275"/>
      <c r="I130" s="275"/>
    </row>
  </sheetData>
  <mergeCells count="20">
    <mergeCell ref="B2:I6"/>
    <mergeCell ref="B130:C130"/>
    <mergeCell ref="D110:I110"/>
    <mergeCell ref="D130:I130"/>
    <mergeCell ref="D120:I122"/>
    <mergeCell ref="B120:C122"/>
    <mergeCell ref="D123:I129"/>
    <mergeCell ref="B123:C129"/>
    <mergeCell ref="B117:C119"/>
    <mergeCell ref="D117:I119"/>
    <mergeCell ref="D114:I116"/>
    <mergeCell ref="B113:C113"/>
    <mergeCell ref="D113:I113"/>
    <mergeCell ref="B112:C112"/>
    <mergeCell ref="D112:I112"/>
    <mergeCell ref="B114:C116"/>
    <mergeCell ref="B111:C111"/>
    <mergeCell ref="D111:I111"/>
    <mergeCell ref="B109:I109"/>
    <mergeCell ref="B110:C11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872E-FA40-4732-A23D-20D066CEB1C4}">
  <sheetPr codeName="Sheet12">
    <tabColor theme="4"/>
  </sheetPr>
  <dimension ref="A1:G160"/>
  <sheetViews>
    <sheetView topLeftCell="A137" zoomScale="70" zoomScaleNormal="70" workbookViewId="0">
      <selection activeCell="A154" sqref="A154"/>
    </sheetView>
  </sheetViews>
  <sheetFormatPr defaultRowHeight="14.5"/>
  <cols>
    <col min="1" max="1" width="27.26953125" customWidth="1"/>
    <col min="2" max="2" width="49.26953125" customWidth="1"/>
    <col min="5" max="5" width="15.7265625" customWidth="1"/>
    <col min="6" max="6" width="46.81640625" customWidth="1"/>
    <col min="7" max="7" width="28.81640625" customWidth="1"/>
  </cols>
  <sheetData>
    <row r="1" spans="1:7" ht="159.5">
      <c r="A1" s="91" t="s">
        <v>335</v>
      </c>
      <c r="B1" s="91" t="s">
        <v>336</v>
      </c>
      <c r="C1" s="91" t="s">
        <v>337</v>
      </c>
      <c r="D1" s="91" t="s">
        <v>338</v>
      </c>
      <c r="E1" s="91" t="s">
        <v>339</v>
      </c>
      <c r="F1" s="91" t="s">
        <v>340</v>
      </c>
      <c r="G1" s="91" t="s">
        <v>341</v>
      </c>
    </row>
    <row r="2" spans="1:7" ht="15.5">
      <c r="A2" s="102" t="s">
        <v>342</v>
      </c>
      <c r="B2" s="103" t="s">
        <v>343</v>
      </c>
      <c r="C2" s="104">
        <v>45</v>
      </c>
      <c r="D2" s="104">
        <v>4750</v>
      </c>
      <c r="E2" s="105">
        <v>6730</v>
      </c>
      <c r="F2" s="349" t="s">
        <v>344</v>
      </c>
      <c r="G2" s="103">
        <f>IF(Reference!$G$54="100-yr GWP",D2,E2)</f>
        <v>4750</v>
      </c>
    </row>
    <row r="3" spans="1:7" ht="15.5">
      <c r="A3" s="102" t="s">
        <v>345</v>
      </c>
      <c r="B3" s="103" t="s">
        <v>346</v>
      </c>
      <c r="C3" s="104">
        <v>100</v>
      </c>
      <c r="D3" s="104">
        <v>10900</v>
      </c>
      <c r="E3" s="105">
        <v>11000</v>
      </c>
      <c r="F3" s="349"/>
      <c r="G3" s="103">
        <f>IF(Reference!$G$54="100-yr GWP",D3,E3)</f>
        <v>10900</v>
      </c>
    </row>
    <row r="4" spans="1:7" ht="15.5">
      <c r="A4" s="102" t="s">
        <v>347</v>
      </c>
      <c r="B4" s="103" t="s">
        <v>348</v>
      </c>
      <c r="C4" s="104">
        <v>640</v>
      </c>
      <c r="D4" s="104">
        <v>14400</v>
      </c>
      <c r="E4" s="105">
        <v>10800</v>
      </c>
      <c r="F4" s="349"/>
      <c r="G4" s="103">
        <f>IF(Reference!$G$54="100-yr GWP",D4,E4)</f>
        <v>14400</v>
      </c>
    </row>
    <row r="5" spans="1:7" ht="15.5">
      <c r="A5" s="102" t="s">
        <v>349</v>
      </c>
      <c r="B5" s="103" t="s">
        <v>350</v>
      </c>
      <c r="C5" s="104">
        <v>85</v>
      </c>
      <c r="D5" s="104">
        <v>6130</v>
      </c>
      <c r="E5" s="105">
        <v>6540</v>
      </c>
      <c r="F5" s="349"/>
      <c r="G5" s="103">
        <f>IF(Reference!$G$54="100-yr GWP",D5,E5)</f>
        <v>6130</v>
      </c>
    </row>
    <row r="6" spans="1:7" ht="15.5">
      <c r="A6" s="102" t="s">
        <v>90</v>
      </c>
      <c r="B6" s="103" t="s">
        <v>351</v>
      </c>
      <c r="C6" s="104">
        <v>190</v>
      </c>
      <c r="D6" s="104">
        <v>10000</v>
      </c>
      <c r="E6" s="105">
        <v>8040</v>
      </c>
      <c r="F6" s="349"/>
      <c r="G6" s="103">
        <f>IF(Reference!$G$54="100-yr GWP",D6,E6)</f>
        <v>10000</v>
      </c>
    </row>
    <row r="7" spans="1:7" ht="15.5">
      <c r="A7" s="102" t="s">
        <v>352</v>
      </c>
      <c r="B7" s="103" t="s">
        <v>353</v>
      </c>
      <c r="C7" s="104">
        <v>1020</v>
      </c>
      <c r="D7" s="104">
        <v>7370</v>
      </c>
      <c r="E7" s="105">
        <v>5310</v>
      </c>
      <c r="F7" s="349"/>
      <c r="G7" s="103">
        <f>IF(Reference!$G$54="100-yr GWP",D7,E7)</f>
        <v>7370</v>
      </c>
    </row>
    <row r="8" spans="1:7" ht="15.5">
      <c r="A8" s="107" t="s">
        <v>89</v>
      </c>
      <c r="B8" s="108" t="s">
        <v>354</v>
      </c>
      <c r="C8" s="104">
        <v>16</v>
      </c>
      <c r="D8" s="109">
        <v>1890</v>
      </c>
      <c r="E8" s="110">
        <v>4750</v>
      </c>
      <c r="F8" s="349"/>
      <c r="G8" s="103">
        <f>IF(Reference!$G$54="100-yr GWP",D8,E8)</f>
        <v>1890</v>
      </c>
    </row>
    <row r="9" spans="1:7" ht="15.5">
      <c r="A9" s="111" t="s">
        <v>355</v>
      </c>
      <c r="B9" s="112" t="s">
        <v>356</v>
      </c>
      <c r="C9" s="104">
        <v>65</v>
      </c>
      <c r="D9" s="104">
        <v>7140</v>
      </c>
      <c r="E9" s="105">
        <v>8480</v>
      </c>
      <c r="F9" s="349"/>
      <c r="G9" s="103">
        <f>IF(Reference!$G$54="100-yr GWP",D9,E9)</f>
        <v>7140</v>
      </c>
    </row>
    <row r="10" spans="1:7" ht="15.5">
      <c r="A10" s="111" t="s">
        <v>357</v>
      </c>
      <c r="B10" s="112" t="s">
        <v>358</v>
      </c>
      <c r="C10" s="104">
        <v>20</v>
      </c>
      <c r="D10" s="104">
        <v>1640</v>
      </c>
      <c r="E10" s="105">
        <v>3680</v>
      </c>
      <c r="F10" s="349"/>
      <c r="G10" s="103">
        <f>IF(Reference!$G$54="100-yr GWP",D10,E10)</f>
        <v>1640</v>
      </c>
    </row>
    <row r="11" spans="1:7" ht="15.5">
      <c r="A11" s="111" t="s">
        <v>359</v>
      </c>
      <c r="B11" s="112" t="s">
        <v>360</v>
      </c>
      <c r="C11" s="104">
        <v>26</v>
      </c>
      <c r="D11" s="104">
        <v>1400</v>
      </c>
      <c r="E11" s="105">
        <v>2700</v>
      </c>
      <c r="F11" s="349"/>
      <c r="G11" s="103">
        <f>IF(Reference!$G$54="100-yr GWP",D11,E11)</f>
        <v>1400</v>
      </c>
    </row>
    <row r="12" spans="1:7" ht="15.5">
      <c r="A12" s="111" t="s">
        <v>361</v>
      </c>
      <c r="B12" s="112" t="s">
        <v>362</v>
      </c>
      <c r="C12" s="104">
        <v>0.8</v>
      </c>
      <c r="D12" s="104">
        <v>5</v>
      </c>
      <c r="E12" s="105">
        <v>17</v>
      </c>
      <c r="F12" s="349"/>
      <c r="G12" s="103">
        <f>IF(Reference!$G$54="100-yr GWP",D12,E12)</f>
        <v>5</v>
      </c>
    </row>
    <row r="13" spans="1:7" ht="15.5">
      <c r="A13" s="111" t="s">
        <v>363</v>
      </c>
      <c r="B13" s="112" t="s">
        <v>364</v>
      </c>
      <c r="C13" s="104">
        <v>5</v>
      </c>
      <c r="D13" s="104">
        <v>146</v>
      </c>
      <c r="E13" s="105">
        <v>506</v>
      </c>
      <c r="F13" s="349"/>
      <c r="G13" s="103">
        <f>IF(Reference!$G$54="100-yr GWP",D13,E13)</f>
        <v>146</v>
      </c>
    </row>
    <row r="14" spans="1:7" ht="15.5">
      <c r="A14" s="113" t="s">
        <v>365</v>
      </c>
      <c r="B14" s="114" t="s">
        <v>366</v>
      </c>
      <c r="C14" s="104">
        <v>0.38</v>
      </c>
      <c r="D14" s="115">
        <v>8.6999999999999993</v>
      </c>
      <c r="E14" s="116">
        <v>31</v>
      </c>
      <c r="F14" s="349"/>
      <c r="G14" s="103">
        <f>IF(Reference!$G$54="100-yr GWP",D14,E14)</f>
        <v>8.6999999999999993</v>
      </c>
    </row>
    <row r="15" spans="1:7" ht="15.5">
      <c r="A15" s="111" t="s">
        <v>367</v>
      </c>
      <c r="B15" s="103" t="s">
        <v>368</v>
      </c>
      <c r="C15" s="104">
        <v>1.7</v>
      </c>
      <c r="D15" s="104">
        <v>148</v>
      </c>
      <c r="E15" s="105">
        <v>543</v>
      </c>
      <c r="F15" s="349"/>
      <c r="G15" s="103">
        <f>IF(Reference!$G$54="100-yr GWP",D15,E15)</f>
        <v>148</v>
      </c>
    </row>
    <row r="16" spans="1:7" ht="15.5">
      <c r="A16" s="111" t="s">
        <v>369</v>
      </c>
      <c r="B16" s="103" t="s">
        <v>370</v>
      </c>
      <c r="C16" s="104">
        <v>11.9</v>
      </c>
      <c r="D16" s="104">
        <v>1810</v>
      </c>
      <c r="E16" s="105">
        <v>5160</v>
      </c>
      <c r="F16" s="349"/>
      <c r="G16" s="103">
        <f>IF(Reference!$G$54="100-yr GWP",D16,E16)</f>
        <v>1810</v>
      </c>
    </row>
    <row r="17" spans="1:7" ht="15.5">
      <c r="A17" s="111" t="s">
        <v>371</v>
      </c>
      <c r="B17" s="103" t="s">
        <v>372</v>
      </c>
      <c r="C17" s="104">
        <v>1.3</v>
      </c>
      <c r="D17" s="104">
        <v>77</v>
      </c>
      <c r="E17" s="105">
        <v>273</v>
      </c>
      <c r="F17" s="349"/>
      <c r="G17" s="103">
        <f>IF(Reference!$G$54="100-yr GWP",D17,E17)</f>
        <v>77</v>
      </c>
    </row>
    <row r="18" spans="1:7" ht="15.5">
      <c r="A18" s="111" t="s">
        <v>373</v>
      </c>
      <c r="B18" s="103" t="s">
        <v>374</v>
      </c>
      <c r="C18" s="104">
        <v>5.9</v>
      </c>
      <c r="D18" s="104">
        <v>609</v>
      </c>
      <c r="E18" s="105">
        <v>2070</v>
      </c>
      <c r="F18" s="349"/>
      <c r="G18" s="103">
        <f>IF(Reference!$G$54="100-yr GWP",D18,E18)</f>
        <v>609</v>
      </c>
    </row>
    <row r="19" spans="1:7" ht="15.5">
      <c r="A19" s="111" t="s">
        <v>375</v>
      </c>
      <c r="B19" s="103" t="s">
        <v>376</v>
      </c>
      <c r="C19" s="104">
        <v>9.1999999999999993</v>
      </c>
      <c r="D19" s="104">
        <v>725</v>
      </c>
      <c r="E19" s="105">
        <v>2250</v>
      </c>
      <c r="F19" s="349"/>
      <c r="G19" s="103">
        <f>IF(Reference!$G$54="100-yr GWP",D19,E19)</f>
        <v>725</v>
      </c>
    </row>
    <row r="20" spans="1:7" ht="15.5">
      <c r="A20" s="111" t="s">
        <v>377</v>
      </c>
      <c r="B20" s="103" t="s">
        <v>378</v>
      </c>
      <c r="C20" s="104">
        <v>17.2</v>
      </c>
      <c r="D20" s="104">
        <v>2310</v>
      </c>
      <c r="E20" s="105">
        <v>5490</v>
      </c>
      <c r="F20" s="349"/>
      <c r="G20" s="103">
        <f>IF(Reference!$G$54="100-yr GWP",D20,E20)</f>
        <v>2310</v>
      </c>
    </row>
    <row r="21" spans="1:7" ht="15.5">
      <c r="A21" s="111" t="s">
        <v>379</v>
      </c>
      <c r="B21" s="103" t="s">
        <v>380</v>
      </c>
      <c r="C21" s="104">
        <v>1.9</v>
      </c>
      <c r="D21" s="104">
        <v>122</v>
      </c>
      <c r="E21" s="105">
        <v>429</v>
      </c>
      <c r="F21" s="349"/>
      <c r="G21" s="103">
        <f>IF(Reference!$G$54="100-yr GWP",D21,E21)</f>
        <v>122</v>
      </c>
    </row>
    <row r="22" spans="1:7" ht="15.5">
      <c r="A22" s="111" t="s">
        <v>381</v>
      </c>
      <c r="B22" s="103" t="s">
        <v>382</v>
      </c>
      <c r="C22" s="104">
        <v>5.9</v>
      </c>
      <c r="D22" s="104">
        <v>595</v>
      </c>
      <c r="E22" s="105">
        <v>2030</v>
      </c>
      <c r="F22" s="349"/>
      <c r="G22" s="103">
        <f>IF(Reference!$G$54="100-yr GWP",D22,E22)</f>
        <v>595</v>
      </c>
    </row>
    <row r="23" spans="1:7" ht="15.5">
      <c r="A23" s="117" t="s">
        <v>383</v>
      </c>
      <c r="B23" s="103" t="s">
        <v>384</v>
      </c>
      <c r="C23" s="104" t="s">
        <v>385</v>
      </c>
      <c r="D23" s="104">
        <v>1</v>
      </c>
      <c r="E23" s="105">
        <v>1</v>
      </c>
      <c r="F23" s="103"/>
      <c r="G23" s="103">
        <f>IF(Reference!$G$54="100-yr GWP",D23,E23)</f>
        <v>1</v>
      </c>
    </row>
    <row r="24" spans="1:7" ht="15.5">
      <c r="A24" s="117" t="s">
        <v>219</v>
      </c>
      <c r="B24" s="103" t="s">
        <v>386</v>
      </c>
      <c r="C24" s="104">
        <v>12</v>
      </c>
      <c r="D24" s="104">
        <v>25</v>
      </c>
      <c r="E24" s="105">
        <v>72</v>
      </c>
      <c r="F24" s="103"/>
      <c r="G24" s="103">
        <f>IF(Reference!$G$54="100-yr GWP",D24,E24)</f>
        <v>25</v>
      </c>
    </row>
    <row r="25" spans="1:7" ht="15.5">
      <c r="A25" s="117" t="s">
        <v>387</v>
      </c>
      <c r="B25" s="103" t="s">
        <v>388</v>
      </c>
      <c r="C25" s="104">
        <v>114</v>
      </c>
      <c r="D25" s="104">
        <v>298</v>
      </c>
      <c r="E25" s="105">
        <v>289</v>
      </c>
      <c r="F25" s="103"/>
      <c r="G25" s="103">
        <f>IF(Reference!$G$54="100-yr GWP",D25,E25)</f>
        <v>298</v>
      </c>
    </row>
    <row r="26" spans="1:7" ht="15.5">
      <c r="A26" s="111" t="s">
        <v>389</v>
      </c>
      <c r="B26" s="118" t="s">
        <v>390</v>
      </c>
      <c r="C26" s="104">
        <v>260</v>
      </c>
      <c r="D26" s="104">
        <v>14800</v>
      </c>
      <c r="E26" s="105">
        <v>12000</v>
      </c>
      <c r="F26" s="103"/>
      <c r="G26" s="103">
        <f>IF(Reference!$G$54="100-yr GWP",D26,E26)</f>
        <v>14800</v>
      </c>
    </row>
    <row r="27" spans="1:7" ht="15.5">
      <c r="A27" s="111" t="s">
        <v>391</v>
      </c>
      <c r="B27" s="118" t="s">
        <v>392</v>
      </c>
      <c r="C27" s="104">
        <v>5</v>
      </c>
      <c r="D27" s="104">
        <v>675</v>
      </c>
      <c r="E27" s="105">
        <v>2330</v>
      </c>
      <c r="F27" s="103"/>
      <c r="G27" s="103">
        <f>IF(Reference!$G$54="100-yr GWP",D27,E27)</f>
        <v>675</v>
      </c>
    </row>
    <row r="28" spans="1:7" ht="15.5">
      <c r="A28" s="111" t="s">
        <v>393</v>
      </c>
      <c r="B28" s="118" t="s">
        <v>394</v>
      </c>
      <c r="C28" s="104">
        <v>29</v>
      </c>
      <c r="D28" s="104">
        <v>3500</v>
      </c>
      <c r="E28" s="105">
        <v>6350</v>
      </c>
      <c r="F28" s="103"/>
      <c r="G28" s="103">
        <f>IF(Reference!$G$54="100-yr GWP",D28,E28)</f>
        <v>3500</v>
      </c>
    </row>
    <row r="29" spans="1:7" ht="15.5">
      <c r="A29" s="111" t="s">
        <v>223</v>
      </c>
      <c r="B29" s="118" t="s">
        <v>395</v>
      </c>
      <c r="C29" s="104">
        <v>13.8</v>
      </c>
      <c r="D29" s="104">
        <v>1430</v>
      </c>
      <c r="E29" s="105">
        <v>3830</v>
      </c>
      <c r="F29" s="103"/>
      <c r="G29" s="103">
        <f>IF(Reference!$G$54="100-yr GWP",D29,E29)</f>
        <v>1430</v>
      </c>
    </row>
    <row r="30" spans="1:7" ht="15.5">
      <c r="A30" s="111" t="s">
        <v>396</v>
      </c>
      <c r="B30" s="118" t="s">
        <v>397</v>
      </c>
      <c r="C30" s="104">
        <v>52</v>
      </c>
      <c r="D30" s="104">
        <v>4470</v>
      </c>
      <c r="E30" s="105">
        <v>5890</v>
      </c>
      <c r="F30" s="103"/>
      <c r="G30" s="103">
        <f>IF(Reference!$G$54="100-yr GWP",D30,E30)</f>
        <v>4470</v>
      </c>
    </row>
    <row r="31" spans="1:7" ht="15.5">
      <c r="A31" s="111" t="s">
        <v>398</v>
      </c>
      <c r="B31" s="118" t="s">
        <v>399</v>
      </c>
      <c r="C31" s="104">
        <v>1.4</v>
      </c>
      <c r="D31" s="104">
        <v>124</v>
      </c>
      <c r="E31" s="105">
        <v>437</v>
      </c>
      <c r="F31" s="103"/>
      <c r="G31" s="103">
        <f>IF(Reference!$G$54="100-yr GWP",D31,E31)</f>
        <v>124</v>
      </c>
    </row>
    <row r="32" spans="1:7" ht="15.5">
      <c r="A32" s="111" t="s">
        <v>400</v>
      </c>
      <c r="B32" s="119" t="s">
        <v>401</v>
      </c>
      <c r="C32" s="104">
        <v>0.25</v>
      </c>
      <c r="D32" s="104" t="s">
        <v>402</v>
      </c>
      <c r="E32" s="104" t="s">
        <v>402</v>
      </c>
      <c r="F32" s="103"/>
      <c r="G32" s="103" t="str">
        <f>IF(Reference!$G$54="100-yr GWP",D32,E32)</f>
        <v>Not Available</v>
      </c>
    </row>
    <row r="33" spans="1:7" ht="15.5">
      <c r="A33" s="111" t="s">
        <v>222</v>
      </c>
      <c r="B33" s="106" t="s">
        <v>403</v>
      </c>
      <c r="C33" s="104">
        <v>33</v>
      </c>
      <c r="D33" s="104">
        <v>3220</v>
      </c>
      <c r="E33" s="105">
        <v>5310</v>
      </c>
      <c r="F33" s="103"/>
      <c r="G33" s="103">
        <f>IF(Reference!$G$54="100-yr GWP",D33,E33)</f>
        <v>3220</v>
      </c>
    </row>
    <row r="34" spans="1:7" ht="15.5">
      <c r="A34" s="111" t="s">
        <v>404</v>
      </c>
      <c r="B34" s="112" t="s">
        <v>405</v>
      </c>
      <c r="C34" s="104">
        <v>220</v>
      </c>
      <c r="D34" s="104">
        <v>9810</v>
      </c>
      <c r="E34" s="105">
        <v>8100</v>
      </c>
      <c r="F34" s="103"/>
      <c r="G34" s="103">
        <f>IF(Reference!$G$54="100-yr GWP",D34,E34)</f>
        <v>9810</v>
      </c>
    </row>
    <row r="35" spans="1:7" ht="15.5">
      <c r="A35" s="111" t="s">
        <v>58</v>
      </c>
      <c r="B35" s="106" t="s">
        <v>406</v>
      </c>
      <c r="C35" s="104">
        <v>7.2</v>
      </c>
      <c r="D35" s="104">
        <v>1030</v>
      </c>
      <c r="E35" s="105">
        <v>3380</v>
      </c>
      <c r="F35" s="103"/>
      <c r="G35" s="103">
        <f>IF(Reference!$G$54="100-yr GWP",D35,E35)</f>
        <v>1030</v>
      </c>
    </row>
    <row r="36" spans="1:7" ht="15.5">
      <c r="A36" s="111" t="s">
        <v>407</v>
      </c>
      <c r="B36" s="106" t="s">
        <v>408</v>
      </c>
      <c r="C36" s="104">
        <v>9.9</v>
      </c>
      <c r="D36" s="104">
        <v>794</v>
      </c>
      <c r="E36" s="105">
        <v>2520</v>
      </c>
      <c r="F36" s="103"/>
      <c r="G36" s="103">
        <f>IF(Reference!$G$54="100-yr GWP",D36,E36)</f>
        <v>794</v>
      </c>
    </row>
    <row r="37" spans="1:7" ht="15.5">
      <c r="A37" s="111" t="s">
        <v>409</v>
      </c>
      <c r="B37" s="106" t="s">
        <v>410</v>
      </c>
      <c r="C37" s="104">
        <v>15</v>
      </c>
      <c r="D37" s="104">
        <v>1640</v>
      </c>
      <c r="E37" s="105">
        <v>4140</v>
      </c>
      <c r="F37" s="103"/>
      <c r="G37" s="103">
        <f>IF(Reference!$G$54="100-yr GWP",D37,E37)</f>
        <v>1640</v>
      </c>
    </row>
    <row r="38" spans="1:7" ht="15.5">
      <c r="A38" s="111" t="s">
        <v>411</v>
      </c>
      <c r="B38" s="106" t="s">
        <v>412</v>
      </c>
      <c r="C38" s="104">
        <v>5</v>
      </c>
      <c r="D38" s="104">
        <v>390</v>
      </c>
      <c r="E38" s="105">
        <v>1040</v>
      </c>
      <c r="F38" s="103"/>
      <c r="G38" s="103">
        <f>IF(Reference!$G$54="100-yr GWP",D38,E38)</f>
        <v>390</v>
      </c>
    </row>
    <row r="39" spans="1:7" ht="15.5">
      <c r="A39" s="111" t="s">
        <v>413</v>
      </c>
      <c r="B39" s="106" t="s">
        <v>414</v>
      </c>
      <c r="C39" s="104">
        <v>0.77</v>
      </c>
      <c r="D39" s="104">
        <v>55</v>
      </c>
      <c r="E39" s="105">
        <v>207</v>
      </c>
      <c r="F39" s="103"/>
      <c r="G39" s="103">
        <f>IF(Reference!$G$54="100-yr GWP",D39,E39)</f>
        <v>55</v>
      </c>
    </row>
    <row r="40" spans="1:7">
      <c r="A40" s="111" t="s">
        <v>415</v>
      </c>
      <c r="B40" s="106" t="s">
        <v>416</v>
      </c>
      <c r="C40" s="104">
        <v>0.77</v>
      </c>
      <c r="D40" s="104">
        <v>55</v>
      </c>
      <c r="E40" s="104" t="s">
        <v>402</v>
      </c>
      <c r="F40" s="103"/>
      <c r="G40" s="103">
        <f>IF(Reference!$G$54="100-yr GWP",D40,E40)</f>
        <v>55</v>
      </c>
    </row>
    <row r="41" spans="1:7" ht="15.5">
      <c r="A41" s="111" t="s">
        <v>417</v>
      </c>
      <c r="B41" s="112" t="s">
        <v>418</v>
      </c>
      <c r="C41" s="104">
        <v>50000</v>
      </c>
      <c r="D41" s="120">
        <v>7390</v>
      </c>
      <c r="E41" s="121">
        <v>5210</v>
      </c>
      <c r="F41" s="103"/>
      <c r="G41" s="103">
        <f>IF(Reference!$G$54="100-yr GWP",D41,E41)</f>
        <v>7390</v>
      </c>
    </row>
    <row r="42" spans="1:7" ht="15.5">
      <c r="A42" s="111" t="s">
        <v>419</v>
      </c>
      <c r="B42" s="112" t="s">
        <v>420</v>
      </c>
      <c r="C42" s="104">
        <v>10000</v>
      </c>
      <c r="D42" s="120">
        <v>12200</v>
      </c>
      <c r="E42" s="121">
        <v>8630</v>
      </c>
      <c r="F42" s="103"/>
      <c r="G42" s="103">
        <f>IF(Reference!$G$54="100-yr GWP",D42,E42)</f>
        <v>12200</v>
      </c>
    </row>
    <row r="43" spans="1:7" ht="15.5">
      <c r="A43" s="111" t="s">
        <v>421</v>
      </c>
      <c r="B43" s="112" t="s">
        <v>422</v>
      </c>
      <c r="C43" s="104">
        <v>2600</v>
      </c>
      <c r="D43" s="104">
        <v>8830</v>
      </c>
      <c r="E43" s="105">
        <v>6310</v>
      </c>
      <c r="F43" s="103"/>
      <c r="G43" s="103">
        <f>IF(Reference!$G$54="100-yr GWP",D43,E43)</f>
        <v>8830</v>
      </c>
    </row>
    <row r="44" spans="1:7" ht="15.5">
      <c r="A44" s="111" t="s">
        <v>423</v>
      </c>
      <c r="B44" s="112" t="s">
        <v>424</v>
      </c>
      <c r="C44" s="104">
        <v>3200</v>
      </c>
      <c r="D44" s="104">
        <v>10300</v>
      </c>
      <c r="E44" s="105">
        <v>7310</v>
      </c>
      <c r="F44" s="103"/>
      <c r="G44" s="103">
        <f>IF(Reference!$G$54="100-yr GWP",D44,E44)</f>
        <v>10300</v>
      </c>
    </row>
    <row r="45" spans="1:7" ht="15.5">
      <c r="A45" s="111" t="s">
        <v>425</v>
      </c>
      <c r="B45" s="112" t="s">
        <v>426</v>
      </c>
      <c r="C45" s="104">
        <v>2600</v>
      </c>
      <c r="D45" s="104">
        <v>8860</v>
      </c>
      <c r="E45" s="105">
        <v>6330</v>
      </c>
      <c r="F45" s="103"/>
      <c r="G45" s="103">
        <f>IF(Reference!$G$54="100-yr GWP",D45,E45)</f>
        <v>8860</v>
      </c>
    </row>
    <row r="46" spans="1:7" ht="15.5">
      <c r="A46" s="111" t="s">
        <v>427</v>
      </c>
      <c r="B46" s="112" t="s">
        <v>428</v>
      </c>
      <c r="C46" s="104">
        <v>4100</v>
      </c>
      <c r="D46" s="104">
        <v>9160</v>
      </c>
      <c r="E46" s="105">
        <v>6510</v>
      </c>
      <c r="F46" s="103"/>
      <c r="G46" s="103">
        <f>IF(Reference!$G$54="100-yr GWP",D46,E46)</f>
        <v>9160</v>
      </c>
    </row>
    <row r="47" spans="1:7" ht="15.5">
      <c r="A47" s="111" t="s">
        <v>429</v>
      </c>
      <c r="B47" s="112" t="s">
        <v>430</v>
      </c>
      <c r="C47" s="104">
        <v>3200</v>
      </c>
      <c r="D47" s="104">
        <v>9300</v>
      </c>
      <c r="E47" s="105">
        <v>6600</v>
      </c>
      <c r="F47" s="103"/>
      <c r="G47" s="103">
        <f>IF(Reference!$G$54="100-yr GWP",D47,E47)</f>
        <v>9300</v>
      </c>
    </row>
    <row r="48" spans="1:7" ht="15.5">
      <c r="A48" s="111" t="s">
        <v>431</v>
      </c>
      <c r="B48" s="112" t="s">
        <v>432</v>
      </c>
      <c r="C48" s="104" t="s">
        <v>433</v>
      </c>
      <c r="D48" s="104">
        <v>7500</v>
      </c>
      <c r="E48" s="105" t="s">
        <v>434</v>
      </c>
      <c r="F48" s="103"/>
      <c r="G48" s="103">
        <f>IF(Reference!$G$54="100-yr GWP",D48,E48)</f>
        <v>7500</v>
      </c>
    </row>
    <row r="49" spans="1:7" ht="15.5">
      <c r="A49" s="111" t="s">
        <v>435</v>
      </c>
      <c r="B49" s="112" t="s">
        <v>436</v>
      </c>
      <c r="C49" s="104">
        <v>3200</v>
      </c>
      <c r="D49" s="104">
        <v>22800</v>
      </c>
      <c r="E49" s="105">
        <v>16300</v>
      </c>
      <c r="F49" s="103"/>
      <c r="G49" s="103">
        <f>IF(Reference!$G$54="100-yr GWP",D49,E49)</f>
        <v>22800</v>
      </c>
    </row>
    <row r="50" spans="1:7" ht="15.5">
      <c r="A50" s="111" t="s">
        <v>437</v>
      </c>
      <c r="B50" s="103" t="s">
        <v>438</v>
      </c>
      <c r="C50" s="104">
        <v>740</v>
      </c>
      <c r="D50" s="104">
        <v>17200</v>
      </c>
      <c r="E50" s="105">
        <v>12300</v>
      </c>
      <c r="F50" s="103"/>
      <c r="G50" s="103">
        <f>IF(Reference!$G$54="100-yr GWP",D50,E50)</f>
        <v>17200</v>
      </c>
    </row>
    <row r="51" spans="1:7" ht="15.5">
      <c r="A51" s="113" t="s">
        <v>439</v>
      </c>
      <c r="B51" s="114" t="s">
        <v>440</v>
      </c>
      <c r="C51" s="104">
        <v>36</v>
      </c>
      <c r="D51" s="104" t="s">
        <v>402</v>
      </c>
      <c r="E51" s="104" t="s">
        <v>402</v>
      </c>
      <c r="F51" s="103"/>
      <c r="G51" s="103" t="str">
        <f>IF(Reference!$G$54="100-yr GWP",D51,E51)</f>
        <v>Not Available</v>
      </c>
    </row>
    <row r="52" spans="1:7" ht="28">
      <c r="A52" s="113" t="s">
        <v>441</v>
      </c>
      <c r="B52" s="122" t="s">
        <v>442</v>
      </c>
      <c r="C52" s="104">
        <v>800</v>
      </c>
      <c r="D52" s="115">
        <v>17700</v>
      </c>
      <c r="E52" s="104" t="s">
        <v>402</v>
      </c>
      <c r="F52" s="103"/>
      <c r="G52" s="103">
        <f>IF(Reference!$G$54="100-yr GWP",D52,E52)</f>
        <v>17700</v>
      </c>
    </row>
    <row r="53" spans="1:7">
      <c r="A53" s="102" t="s">
        <v>443</v>
      </c>
      <c r="B53" s="119" t="s">
        <v>444</v>
      </c>
      <c r="C53" s="104">
        <v>5.0000000000000001E-3</v>
      </c>
      <c r="D53" s="104">
        <v>1</v>
      </c>
      <c r="E53" s="105">
        <v>1</v>
      </c>
      <c r="F53" s="103"/>
      <c r="G53" s="103">
        <f>IF(Reference!$G$54="100-yr GWP",D53,E53)</f>
        <v>1</v>
      </c>
    </row>
    <row r="54" spans="1:7" ht="15.5">
      <c r="A54" s="102" t="s">
        <v>445</v>
      </c>
      <c r="B54" s="119" t="s">
        <v>446</v>
      </c>
      <c r="C54" s="104">
        <v>5.0000000000000001E-3</v>
      </c>
      <c r="D54" s="104">
        <v>1</v>
      </c>
      <c r="E54" s="105">
        <v>1</v>
      </c>
      <c r="F54" s="103"/>
      <c r="G54" s="103">
        <f>IF(Reference!$G$54="100-yr GWP",D54,E54)</f>
        <v>1</v>
      </c>
    </row>
    <row r="55" spans="1:7" ht="40.5">
      <c r="A55" s="102" t="s">
        <v>447</v>
      </c>
      <c r="B55" s="123" t="s">
        <v>448</v>
      </c>
      <c r="C55" s="124"/>
      <c r="D55" s="104">
        <v>1221</v>
      </c>
      <c r="E55" s="104" t="s">
        <v>402</v>
      </c>
      <c r="F55" s="103"/>
      <c r="G55" s="103">
        <f>IF(Reference!$G$54="100-yr GWP",D55,E55)</f>
        <v>1221</v>
      </c>
    </row>
    <row r="56" spans="1:7" ht="43.5">
      <c r="A56" s="102" t="s">
        <v>449</v>
      </c>
      <c r="B56" s="125" t="s">
        <v>450</v>
      </c>
      <c r="C56" s="124"/>
      <c r="D56" s="104">
        <v>1101</v>
      </c>
      <c r="E56" s="104" t="s">
        <v>402</v>
      </c>
      <c r="F56" s="103"/>
      <c r="G56" s="103">
        <f>IF(Reference!$G$54="100-yr GWP",D56,E56)</f>
        <v>1101</v>
      </c>
    </row>
    <row r="57" spans="1:7" ht="26">
      <c r="A57" s="102" t="s">
        <v>451</v>
      </c>
      <c r="B57" s="125" t="s">
        <v>452</v>
      </c>
      <c r="C57" s="124"/>
      <c r="D57" s="126">
        <v>1606</v>
      </c>
      <c r="E57" s="104" t="s">
        <v>402</v>
      </c>
      <c r="F57" s="103"/>
      <c r="G57" s="103">
        <f>IF(Reference!$G$54="100-yr GWP",D57,E57)</f>
        <v>1606</v>
      </c>
    </row>
    <row r="58" spans="1:7" ht="26">
      <c r="A58" s="102" t="s">
        <v>453</v>
      </c>
      <c r="B58" s="125" t="s">
        <v>454</v>
      </c>
      <c r="C58" s="124"/>
      <c r="D58" s="126">
        <v>1568.6</v>
      </c>
      <c r="E58" s="104" t="s">
        <v>402</v>
      </c>
      <c r="F58" s="103"/>
      <c r="G58" s="103">
        <f>IF(Reference!$G$54="100-yr GWP",D58,E58)</f>
        <v>1568.6</v>
      </c>
    </row>
    <row r="59" spans="1:7" ht="38.5">
      <c r="A59" s="102" t="s">
        <v>455</v>
      </c>
      <c r="B59" s="125" t="s">
        <v>456</v>
      </c>
      <c r="C59" s="124"/>
      <c r="D59" s="126">
        <v>1081.29</v>
      </c>
      <c r="E59" s="104" t="s">
        <v>402</v>
      </c>
      <c r="F59" s="103"/>
      <c r="G59" s="103">
        <f>IF(Reference!$G$54="100-yr GWP",D59,E59)</f>
        <v>1081.29</v>
      </c>
    </row>
    <row r="60" spans="1:7" ht="38.5">
      <c r="A60" s="128" t="s">
        <v>457</v>
      </c>
      <c r="B60" s="125" t="s">
        <v>458</v>
      </c>
      <c r="C60" s="124"/>
      <c r="D60" s="124">
        <v>1730.4999999999998</v>
      </c>
      <c r="E60" s="104" t="s">
        <v>402</v>
      </c>
      <c r="F60" s="103"/>
      <c r="G60" s="103">
        <f>IF(Reference!$G$54="100-yr GWP",D60,E60)</f>
        <v>1730.4999999999998</v>
      </c>
    </row>
    <row r="61" spans="1:7" ht="38.5">
      <c r="A61" s="102" t="s">
        <v>459</v>
      </c>
      <c r="B61" s="125" t="s">
        <v>460</v>
      </c>
      <c r="C61" s="124"/>
      <c r="D61" s="124">
        <v>1892.7199999999998</v>
      </c>
      <c r="E61" s="104" t="s">
        <v>402</v>
      </c>
      <c r="F61" s="103"/>
      <c r="G61" s="103">
        <f>IF(Reference!$G$54="100-yr GWP",D61,E61)</f>
        <v>1892.7199999999998</v>
      </c>
    </row>
    <row r="62" spans="1:7" ht="51">
      <c r="A62" s="102" t="s">
        <v>461</v>
      </c>
      <c r="B62" s="125" t="s">
        <v>462</v>
      </c>
      <c r="C62" s="124"/>
      <c r="D62" s="124">
        <v>2376.7199999999998</v>
      </c>
      <c r="E62" s="104" t="s">
        <v>402</v>
      </c>
      <c r="F62" s="103"/>
      <c r="G62" s="103">
        <f>IF(Reference!$G$54="100-yr GWP",D62,E62)</f>
        <v>2376.7199999999998</v>
      </c>
    </row>
    <row r="63" spans="1:7" ht="38.5">
      <c r="A63" s="102" t="s">
        <v>230</v>
      </c>
      <c r="B63" s="125" t="s">
        <v>463</v>
      </c>
      <c r="C63" s="124"/>
      <c r="D63" s="126">
        <v>1809.4250000000002</v>
      </c>
      <c r="E63" s="127">
        <v>4256.3410000000003</v>
      </c>
      <c r="F63" s="103"/>
      <c r="G63" s="103">
        <f>IF(Reference!$G$54="100-yr GWP",D63,E63)</f>
        <v>1809.4250000000002</v>
      </c>
    </row>
    <row r="64" spans="1:7" ht="26">
      <c r="A64" s="102" t="s">
        <v>464</v>
      </c>
      <c r="B64" s="125" t="s">
        <v>465</v>
      </c>
      <c r="C64" s="124"/>
      <c r="D64" s="126">
        <v>124</v>
      </c>
      <c r="E64" s="127">
        <v>437</v>
      </c>
      <c r="F64" s="103"/>
      <c r="G64" s="103">
        <f>IF(Reference!$G$54="100-yr GWP",D64,E64)</f>
        <v>124</v>
      </c>
    </row>
    <row r="65" spans="1:7" ht="38.5">
      <c r="A65" s="102" t="s">
        <v>466</v>
      </c>
      <c r="B65" s="125" t="s">
        <v>467</v>
      </c>
      <c r="C65" s="124"/>
      <c r="D65" s="104" t="s">
        <v>402</v>
      </c>
      <c r="E65" s="104" t="s">
        <v>402</v>
      </c>
      <c r="F65" s="103"/>
      <c r="G65" s="103" t="str">
        <f>IF(Reference!$G$54="100-yr GWP",D65,E65)</f>
        <v>Not Available</v>
      </c>
    </row>
    <row r="66" spans="1:7" ht="38.5">
      <c r="A66" s="102" t="s">
        <v>226</v>
      </c>
      <c r="B66" s="125" t="s">
        <v>468</v>
      </c>
      <c r="C66" s="124"/>
      <c r="D66" s="126">
        <v>3141.1255000000001</v>
      </c>
      <c r="E66" s="127">
        <v>6029.0649999999996</v>
      </c>
      <c r="F66" s="103"/>
      <c r="G66" s="103">
        <f>IF(Reference!$G$54="100-yr GWP",D66,E66)</f>
        <v>3141.1255000000001</v>
      </c>
    </row>
    <row r="67" spans="1:7" ht="38.5">
      <c r="A67" s="102" t="s">
        <v>469</v>
      </c>
      <c r="B67" s="125" t="s">
        <v>470</v>
      </c>
      <c r="C67" s="124"/>
      <c r="D67" s="126">
        <v>2375.1999999999998</v>
      </c>
      <c r="E67" s="127">
        <v>5265.85</v>
      </c>
      <c r="F67" s="103"/>
      <c r="G67" s="103">
        <f>IF(Reference!$G$54="100-yr GWP",D67,E67)</f>
        <v>2375.1999999999998</v>
      </c>
    </row>
    <row r="68" spans="1:7" ht="38.5">
      <c r="A68" s="102" t="s">
        <v>471</v>
      </c>
      <c r="B68" s="125" t="s">
        <v>472</v>
      </c>
      <c r="C68" s="124"/>
      <c r="D68" s="104">
        <v>1182.48</v>
      </c>
      <c r="E68" s="105">
        <v>3495.4100000000003</v>
      </c>
      <c r="F68" s="103"/>
      <c r="G68" s="103">
        <f>IF(Reference!$G$54="100-yr GWP",D68,E68)</f>
        <v>1182.48</v>
      </c>
    </row>
    <row r="69" spans="1:7" ht="38.5">
      <c r="A69" s="102" t="s">
        <v>473</v>
      </c>
      <c r="B69" s="125" t="s">
        <v>474</v>
      </c>
      <c r="C69" s="124"/>
      <c r="D69" s="104">
        <v>1288.26</v>
      </c>
      <c r="E69" s="105">
        <v>3775.27</v>
      </c>
      <c r="F69" s="103"/>
      <c r="G69" s="103">
        <f>IF(Reference!$G$54="100-yr GWP",D69,E69)</f>
        <v>1288.26</v>
      </c>
    </row>
    <row r="70" spans="1:7" ht="38.5">
      <c r="A70" s="102" t="s">
        <v>475</v>
      </c>
      <c r="B70" s="125" t="s">
        <v>476</v>
      </c>
      <c r="C70" s="124"/>
      <c r="D70" s="104">
        <v>932.58</v>
      </c>
      <c r="E70" s="105">
        <v>2844.7500000000005</v>
      </c>
      <c r="F70" s="103"/>
      <c r="G70" s="103">
        <f>IF(Reference!$G$54="100-yr GWP",D70,E70)</f>
        <v>932.58</v>
      </c>
    </row>
    <row r="71" spans="1:7" ht="38.5">
      <c r="A71" s="102" t="s">
        <v>477</v>
      </c>
      <c r="B71" s="125" t="s">
        <v>478</v>
      </c>
      <c r="C71" s="124"/>
      <c r="D71" s="104">
        <v>2788</v>
      </c>
      <c r="E71" s="105">
        <v>5770.866</v>
      </c>
      <c r="F71" s="103"/>
      <c r="G71" s="103">
        <f>IF(Reference!$G$54="100-yr GWP",D71,E71)</f>
        <v>2788</v>
      </c>
    </row>
    <row r="72" spans="1:7" ht="38.5">
      <c r="A72" s="102" t="s">
        <v>479</v>
      </c>
      <c r="B72" s="125" t="s">
        <v>480</v>
      </c>
      <c r="C72" s="124"/>
      <c r="D72" s="104">
        <v>2416</v>
      </c>
      <c r="E72" s="105">
        <v>5509.0659999999998</v>
      </c>
      <c r="F72" s="103"/>
      <c r="G72" s="103">
        <f>IF(Reference!$G$54="100-yr GWP",D72,E72)</f>
        <v>2416</v>
      </c>
    </row>
    <row r="73" spans="1:7" ht="38.5">
      <c r="A73" s="102" t="s">
        <v>481</v>
      </c>
      <c r="B73" s="125" t="s">
        <v>482</v>
      </c>
      <c r="C73" s="124"/>
      <c r="D73" s="104">
        <v>4458</v>
      </c>
      <c r="E73" s="105">
        <v>5350.665</v>
      </c>
      <c r="F73" s="103"/>
      <c r="G73" s="103">
        <f>IF(Reference!$G$54="100-yr GWP",D73,E73)</f>
        <v>4458</v>
      </c>
    </row>
    <row r="74" spans="1:7" ht="88.5">
      <c r="A74" s="102" t="s">
        <v>483</v>
      </c>
      <c r="B74" s="125" t="s">
        <v>484</v>
      </c>
      <c r="C74" s="124" t="s">
        <v>485</v>
      </c>
      <c r="D74" s="124">
        <v>3921.6000000000004</v>
      </c>
      <c r="E74" s="129">
        <v>6010</v>
      </c>
      <c r="F74" s="103"/>
      <c r="G74" s="103">
        <f>IF(Reference!$G$54="100-yr GWP",D74,E74)</f>
        <v>3921.6000000000004</v>
      </c>
    </row>
    <row r="75" spans="1:7" ht="38.5">
      <c r="A75" s="102" t="s">
        <v>486</v>
      </c>
      <c r="B75" s="125" t="s">
        <v>487</v>
      </c>
      <c r="C75" s="124"/>
      <c r="D75" s="124">
        <v>1942.7199999999998</v>
      </c>
      <c r="E75" s="129">
        <v>5089.0200000000004</v>
      </c>
      <c r="F75" s="103"/>
      <c r="G75" s="103">
        <f>IF(Reference!$G$54="100-yr GWP",D75,E75)</f>
        <v>1942.7199999999998</v>
      </c>
    </row>
    <row r="76" spans="1:7" ht="51">
      <c r="A76" s="102" t="s">
        <v>488</v>
      </c>
      <c r="B76" s="125" t="s">
        <v>489</v>
      </c>
      <c r="C76" s="124" t="s">
        <v>490</v>
      </c>
      <c r="D76" s="124">
        <v>2107</v>
      </c>
      <c r="E76" s="129">
        <v>4538</v>
      </c>
      <c r="F76" s="103"/>
      <c r="G76" s="103">
        <f>IF(Reference!$G$54="100-yr GWP",D76,E76)</f>
        <v>2107</v>
      </c>
    </row>
    <row r="77" spans="1:7" ht="38.5">
      <c r="A77" s="102" t="s">
        <v>491</v>
      </c>
      <c r="B77" s="125" t="s">
        <v>492</v>
      </c>
      <c r="C77" s="124"/>
      <c r="D77" s="124">
        <v>2245</v>
      </c>
      <c r="E77" s="129">
        <v>4494</v>
      </c>
      <c r="F77" s="103"/>
      <c r="G77" s="103">
        <f>IF(Reference!$G$54="100-yr GWP",D77,E77)</f>
        <v>2245</v>
      </c>
    </row>
    <row r="78" spans="1:7" ht="38.5">
      <c r="A78" s="102" t="s">
        <v>493</v>
      </c>
      <c r="B78" s="125" t="s">
        <v>494</v>
      </c>
      <c r="C78" s="124"/>
      <c r="D78" s="104">
        <v>1773.85</v>
      </c>
      <c r="E78" s="105">
        <v>4115</v>
      </c>
      <c r="F78" s="103"/>
      <c r="G78" s="103">
        <f>IF(Reference!$G$54="100-yr GWP",D78,E78)</f>
        <v>1773.85</v>
      </c>
    </row>
    <row r="79" spans="1:7" ht="38.5">
      <c r="A79" s="102" t="s">
        <v>495</v>
      </c>
      <c r="B79" s="125" t="s">
        <v>496</v>
      </c>
      <c r="C79" s="124"/>
      <c r="D79" s="130">
        <v>1627.25</v>
      </c>
      <c r="E79" s="131">
        <v>3983</v>
      </c>
      <c r="F79" s="103"/>
      <c r="G79" s="103">
        <f>IF(Reference!$G$54="100-yr GWP",D79,E79)</f>
        <v>1627.25</v>
      </c>
    </row>
    <row r="80" spans="1:7" ht="38.5">
      <c r="A80" s="102" t="s">
        <v>497</v>
      </c>
      <c r="B80" s="125" t="s">
        <v>498</v>
      </c>
      <c r="C80" s="124"/>
      <c r="D80" s="104">
        <v>1824.5</v>
      </c>
      <c r="E80" s="105">
        <v>4136</v>
      </c>
      <c r="F80" s="103"/>
      <c r="G80" s="103">
        <f>IF(Reference!$G$54="100-yr GWP",D80,E80)</f>
        <v>1824.5</v>
      </c>
    </row>
    <row r="81" spans="1:7" ht="38.5">
      <c r="A81" s="102" t="s">
        <v>499</v>
      </c>
      <c r="B81" s="125" t="s">
        <v>500</v>
      </c>
      <c r="C81" s="124"/>
      <c r="D81" s="104">
        <v>1495.125</v>
      </c>
      <c r="E81" s="105">
        <v>3720.5</v>
      </c>
      <c r="F81" s="103"/>
      <c r="G81" s="103">
        <f>IF(Reference!$G$54="100-yr GWP",D81,E81)</f>
        <v>1495.125</v>
      </c>
    </row>
    <row r="82" spans="1:7" ht="38.5">
      <c r="A82" s="102" t="s">
        <v>501</v>
      </c>
      <c r="B82" s="125" t="s">
        <v>502</v>
      </c>
      <c r="C82" s="124"/>
      <c r="D82" s="104">
        <v>3151.9000000000005</v>
      </c>
      <c r="E82" s="105">
        <v>5579.1</v>
      </c>
      <c r="F82" s="103"/>
      <c r="G82" s="103">
        <f>IF(Reference!$G$54="100-yr GWP",D82,E82)</f>
        <v>3151.9000000000005</v>
      </c>
    </row>
    <row r="83" spans="1:7" ht="38.5">
      <c r="A83" s="102" t="s">
        <v>503</v>
      </c>
      <c r="B83" s="125" t="s">
        <v>504</v>
      </c>
      <c r="C83" s="124"/>
      <c r="D83" s="126">
        <v>1585</v>
      </c>
      <c r="E83" s="127">
        <v>4437</v>
      </c>
      <c r="F83" s="103"/>
      <c r="G83" s="103">
        <f>IF(Reference!$G$54="100-yr GWP",D83,E83)</f>
        <v>1585</v>
      </c>
    </row>
    <row r="84" spans="1:7" ht="51">
      <c r="A84" s="102" t="s">
        <v>233</v>
      </c>
      <c r="B84" s="125" t="s">
        <v>505</v>
      </c>
      <c r="C84" s="124" t="s">
        <v>490</v>
      </c>
      <c r="D84" s="124">
        <v>2087.5</v>
      </c>
      <c r="E84" s="129">
        <v>4340</v>
      </c>
      <c r="F84" s="103"/>
      <c r="G84" s="103">
        <f>IF(Reference!$G$54="100-yr GWP",D84,E84)</f>
        <v>2087.5</v>
      </c>
    </row>
    <row r="85" spans="1:7" ht="51">
      <c r="A85" s="102" t="s">
        <v>506</v>
      </c>
      <c r="B85" s="125" t="s">
        <v>507</v>
      </c>
      <c r="C85" s="124" t="s">
        <v>490</v>
      </c>
      <c r="D85" s="124">
        <v>2228.75</v>
      </c>
      <c r="E85" s="129">
        <v>4541</v>
      </c>
      <c r="F85" s="103"/>
      <c r="G85" s="103">
        <f>IF(Reference!$G$54="100-yr GWP",D85,E85)</f>
        <v>2228.75</v>
      </c>
    </row>
    <row r="86" spans="1:7" ht="38.5">
      <c r="A86" s="128" t="s">
        <v>508</v>
      </c>
      <c r="B86" s="125" t="s">
        <v>509</v>
      </c>
      <c r="C86" s="124"/>
      <c r="D86" s="124">
        <v>1597.4350000000002</v>
      </c>
      <c r="E86" s="129">
        <v>4563.1149999999998</v>
      </c>
      <c r="F86" s="103"/>
      <c r="G86" s="103">
        <f>IF(Reference!$G$54="100-yr GWP",D86,E86)</f>
        <v>1597.4350000000002</v>
      </c>
    </row>
    <row r="87" spans="1:7" ht="38.5">
      <c r="A87" s="128" t="s">
        <v>510</v>
      </c>
      <c r="B87" s="125" t="s">
        <v>511</v>
      </c>
      <c r="C87" s="124"/>
      <c r="D87" s="124">
        <v>1705.2099999999998</v>
      </c>
      <c r="E87" s="129">
        <v>4863.5999999999995</v>
      </c>
      <c r="F87" s="103"/>
      <c r="G87" s="103">
        <f>IF(Reference!$G$54="100-yr GWP",D87,E87)</f>
        <v>1705.2099999999998</v>
      </c>
    </row>
    <row r="88" spans="1:7" ht="38.5">
      <c r="A88" s="102" t="s">
        <v>512</v>
      </c>
      <c r="B88" s="125" t="s">
        <v>513</v>
      </c>
      <c r="C88" s="124"/>
      <c r="D88" s="126">
        <v>2053</v>
      </c>
      <c r="E88" s="127">
        <v>3938.4500000000003</v>
      </c>
      <c r="F88" s="103"/>
      <c r="G88" s="103">
        <f>IF(Reference!$G$54="100-yr GWP",D88,E88)</f>
        <v>2053</v>
      </c>
    </row>
    <row r="89" spans="1:7" ht="51">
      <c r="A89" s="128" t="s">
        <v>514</v>
      </c>
      <c r="B89" s="125" t="s">
        <v>515</v>
      </c>
      <c r="C89" s="124"/>
      <c r="D89" s="126">
        <v>1478</v>
      </c>
      <c r="E89" s="127">
        <v>3768.42</v>
      </c>
      <c r="F89" s="103"/>
      <c r="G89" s="103">
        <f>IF(Reference!$G$54="100-yr GWP",D89,E89)</f>
        <v>1478</v>
      </c>
    </row>
    <row r="90" spans="1:7" ht="51">
      <c r="A90" s="102" t="s">
        <v>516</v>
      </c>
      <c r="B90" s="125" t="s">
        <v>517</v>
      </c>
      <c r="C90" s="124"/>
      <c r="D90" s="126">
        <v>1362</v>
      </c>
      <c r="E90" s="127">
        <v>3898.5450000000001</v>
      </c>
      <c r="F90" s="103"/>
      <c r="G90" s="103">
        <f>IF(Reference!$G$54="100-yr GWP",D90,E90)</f>
        <v>1362</v>
      </c>
    </row>
    <row r="91" spans="1:7" ht="38.5">
      <c r="A91" s="102" t="s">
        <v>518</v>
      </c>
      <c r="B91" s="125" t="s">
        <v>519</v>
      </c>
      <c r="C91" s="124"/>
      <c r="D91" s="126">
        <v>1084.3</v>
      </c>
      <c r="E91" s="127">
        <v>3077.395</v>
      </c>
      <c r="F91" s="103"/>
      <c r="G91" s="103">
        <f>IF(Reference!$G$54="100-yr GWP",D91,E91)</f>
        <v>1084.3</v>
      </c>
    </row>
    <row r="92" spans="1:7" ht="38.5">
      <c r="A92" s="102" t="s">
        <v>520</v>
      </c>
      <c r="B92" s="125" t="s">
        <v>521</v>
      </c>
      <c r="C92" s="124"/>
      <c r="D92" s="126">
        <v>2346.1019999999999</v>
      </c>
      <c r="E92" s="127">
        <v>4874.2020000000002</v>
      </c>
      <c r="F92" s="103"/>
      <c r="G92" s="103">
        <f>IF(Reference!$G$54="100-yr GWP",D92,E92)</f>
        <v>2346.1019999999999</v>
      </c>
    </row>
    <row r="93" spans="1:7" ht="38.5">
      <c r="A93" s="102" t="s">
        <v>232</v>
      </c>
      <c r="B93" s="125" t="s">
        <v>522</v>
      </c>
      <c r="C93" s="124"/>
      <c r="D93" s="126">
        <v>3026.0574999999999</v>
      </c>
      <c r="E93" s="127">
        <v>5715.5575000000008</v>
      </c>
      <c r="F93" s="103"/>
      <c r="G93" s="103">
        <f>IF(Reference!$G$54="100-yr GWP",D93,E93)</f>
        <v>3026.0574999999999</v>
      </c>
    </row>
    <row r="94" spans="1:7" ht="38.5">
      <c r="A94" s="102" t="s">
        <v>523</v>
      </c>
      <c r="B94" s="125" t="s">
        <v>463</v>
      </c>
      <c r="C94" s="124"/>
      <c r="D94" s="126">
        <v>1809.4080000000001</v>
      </c>
      <c r="E94" s="127">
        <v>4256.375</v>
      </c>
      <c r="F94" s="103"/>
      <c r="G94" s="103">
        <f>IF(Reference!$G$54="100-yr GWP",D94,E94)</f>
        <v>1809.4080000000001</v>
      </c>
    </row>
    <row r="95" spans="1:7" ht="26">
      <c r="A95" s="102" t="s">
        <v>524</v>
      </c>
      <c r="B95" s="125" t="s">
        <v>525</v>
      </c>
      <c r="C95" s="124"/>
      <c r="D95" s="126">
        <v>1535.6000000000001</v>
      </c>
      <c r="E95" s="127">
        <v>4029.2</v>
      </c>
      <c r="F95" s="103"/>
      <c r="G95" s="103">
        <f>IF(Reference!$G$54="100-yr GWP",D95,E95)</f>
        <v>1535.6000000000001</v>
      </c>
    </row>
    <row r="96" spans="1:7" ht="26">
      <c r="A96" s="128" t="s">
        <v>526</v>
      </c>
      <c r="B96" s="125" t="s">
        <v>527</v>
      </c>
      <c r="C96" s="124"/>
      <c r="D96" s="126">
        <v>2630.6</v>
      </c>
      <c r="E96" s="127">
        <v>5291.5999999999995</v>
      </c>
      <c r="F96" s="103"/>
      <c r="G96" s="103">
        <f>IF(Reference!$G$54="100-yr GWP",D96,E96)</f>
        <v>2630.6</v>
      </c>
    </row>
    <row r="97" spans="1:7" ht="26">
      <c r="A97" s="128" t="s">
        <v>528</v>
      </c>
      <c r="B97" s="125" t="s">
        <v>529</v>
      </c>
      <c r="C97" s="124"/>
      <c r="D97" s="126">
        <v>3189.5</v>
      </c>
      <c r="E97" s="127">
        <v>5972</v>
      </c>
      <c r="F97" s="103"/>
      <c r="G97" s="103">
        <f>IF(Reference!$G$54="100-yr GWP",D97,E97)</f>
        <v>3189.5</v>
      </c>
    </row>
    <row r="98" spans="1:7" ht="38.5">
      <c r="A98" s="102" t="s">
        <v>530</v>
      </c>
      <c r="B98" s="125" t="s">
        <v>531</v>
      </c>
      <c r="C98" s="124"/>
      <c r="D98" s="126">
        <v>3143.0519999999997</v>
      </c>
      <c r="E98" s="127">
        <v>5844.4019999999991</v>
      </c>
      <c r="F98" s="103"/>
      <c r="G98" s="103">
        <f>IF(Reference!$G$54="100-yr GWP",D98,E98)</f>
        <v>3143.0519999999997</v>
      </c>
    </row>
    <row r="99" spans="1:7" ht="38.5">
      <c r="A99" s="102" t="s">
        <v>532</v>
      </c>
      <c r="B99" s="125" t="s">
        <v>533</v>
      </c>
      <c r="C99" s="124"/>
      <c r="D99" s="126">
        <v>2525.6900000000005</v>
      </c>
      <c r="E99" s="127">
        <v>5101.1900000000005</v>
      </c>
      <c r="F99" s="103"/>
      <c r="G99" s="103">
        <f>IF(Reference!$G$54="100-yr GWP",D99,E99)</f>
        <v>2525.6900000000005</v>
      </c>
    </row>
    <row r="100" spans="1:7" ht="38.5">
      <c r="A100" s="102" t="s">
        <v>534</v>
      </c>
      <c r="B100" s="125" t="s">
        <v>535</v>
      </c>
      <c r="C100" s="124"/>
      <c r="D100" s="126">
        <v>3084.59</v>
      </c>
      <c r="E100" s="127">
        <v>5781.59</v>
      </c>
      <c r="F100" s="103"/>
      <c r="G100" s="103">
        <f>IF(Reference!$G$54="100-yr GWP",D100,E100)</f>
        <v>3084.59</v>
      </c>
    </row>
    <row r="101" spans="1:7" ht="38.5">
      <c r="A101" s="102" t="s">
        <v>536</v>
      </c>
      <c r="B101" s="125" t="s">
        <v>537</v>
      </c>
      <c r="C101" s="124"/>
      <c r="D101" s="126">
        <v>2729.0519999999997</v>
      </c>
      <c r="E101" s="127">
        <v>5340.402</v>
      </c>
      <c r="F101" s="103"/>
      <c r="G101" s="103">
        <f>IF(Reference!$G$54="100-yr GWP",D101,E101)</f>
        <v>2729.0519999999997</v>
      </c>
    </row>
    <row r="102" spans="1:7" ht="26">
      <c r="A102" s="102" t="s">
        <v>538</v>
      </c>
      <c r="B102" s="125" t="s">
        <v>539</v>
      </c>
      <c r="C102" s="124"/>
      <c r="D102" s="126">
        <v>2280.25</v>
      </c>
      <c r="E102" s="127">
        <v>4533</v>
      </c>
      <c r="F102" s="103"/>
      <c r="G102" s="103">
        <f>IF(Reference!$G$54="100-yr GWP",D102,E102)</f>
        <v>2280.25</v>
      </c>
    </row>
    <row r="103" spans="1:7" ht="63.5">
      <c r="A103" s="102" t="s">
        <v>540</v>
      </c>
      <c r="B103" s="125" t="s">
        <v>541</v>
      </c>
      <c r="C103" s="124"/>
      <c r="D103" s="126">
        <v>2439.6161000000002</v>
      </c>
      <c r="E103" s="127">
        <v>5006.8661000000002</v>
      </c>
      <c r="F103" s="103"/>
      <c r="G103" s="103">
        <f>IF(Reference!$G$54="100-yr GWP",D103,E103)</f>
        <v>2439.6161000000002</v>
      </c>
    </row>
    <row r="104" spans="1:7" ht="51">
      <c r="A104" s="102" t="s">
        <v>542</v>
      </c>
      <c r="B104" s="125" t="s">
        <v>543</v>
      </c>
      <c r="C104" s="124"/>
      <c r="D104" s="126">
        <v>1508.47</v>
      </c>
      <c r="E104" s="127">
        <v>3885.82</v>
      </c>
      <c r="F104" s="103"/>
      <c r="G104" s="103">
        <f>IF(Reference!$G$54="100-yr GWP",D104,E104)</f>
        <v>1508.47</v>
      </c>
    </row>
    <row r="105" spans="1:7" ht="51">
      <c r="A105" s="102" t="s">
        <v>544</v>
      </c>
      <c r="B105" s="125" t="s">
        <v>545</v>
      </c>
      <c r="C105" s="124"/>
      <c r="D105" s="126">
        <v>2138.25</v>
      </c>
      <c r="E105" s="127">
        <v>4441</v>
      </c>
      <c r="F105" s="103"/>
      <c r="G105" s="103">
        <f>IF(Reference!$G$54="100-yr GWP",D105,E105)</f>
        <v>2138.25</v>
      </c>
    </row>
    <row r="106" spans="1:7" ht="51">
      <c r="A106" s="102" t="s">
        <v>546</v>
      </c>
      <c r="B106" s="125" t="s">
        <v>547</v>
      </c>
      <c r="C106" s="124"/>
      <c r="D106" s="126">
        <v>3607.3598000000002</v>
      </c>
      <c r="E106" s="127">
        <v>6100.1098000000002</v>
      </c>
      <c r="F106" s="103"/>
      <c r="G106" s="103">
        <f>IF(Reference!$G$54="100-yr GWP",D106,E106)</f>
        <v>3607.3598000000002</v>
      </c>
    </row>
    <row r="107" spans="1:7" ht="51">
      <c r="A107" s="102" t="s">
        <v>548</v>
      </c>
      <c r="B107" s="125" t="s">
        <v>549</v>
      </c>
      <c r="C107" s="124"/>
      <c r="D107" s="126">
        <v>3245.4839999999999</v>
      </c>
      <c r="E107" s="127">
        <v>5686.2839999999997</v>
      </c>
      <c r="F107" s="103"/>
      <c r="G107" s="103">
        <f>IF(Reference!$G$54="100-yr GWP",D107,E107)</f>
        <v>3245.4839999999999</v>
      </c>
    </row>
    <row r="108" spans="1:7" ht="26">
      <c r="A108" s="102" t="s">
        <v>550</v>
      </c>
      <c r="B108" s="125" t="s">
        <v>551</v>
      </c>
      <c r="C108" s="124"/>
      <c r="D108" s="126">
        <v>5</v>
      </c>
      <c r="E108" s="127">
        <v>5</v>
      </c>
      <c r="F108" s="103"/>
      <c r="G108" s="103">
        <f>IF(Reference!$G$54="100-yr GWP",D108,E108)</f>
        <v>5</v>
      </c>
    </row>
    <row r="109" spans="1:7" ht="51">
      <c r="A109" s="102" t="s">
        <v>552</v>
      </c>
      <c r="B109" s="125" t="s">
        <v>553</v>
      </c>
      <c r="C109" s="124"/>
      <c r="D109" s="126">
        <v>1805.164</v>
      </c>
      <c r="E109" s="127">
        <v>4244.9139999999998</v>
      </c>
      <c r="F109" s="103"/>
      <c r="G109" s="103">
        <f>IF(Reference!$G$54="100-yr GWP",D109,E109)</f>
        <v>1805.164</v>
      </c>
    </row>
    <row r="110" spans="1:7" ht="63.5">
      <c r="A110" s="102" t="s">
        <v>228</v>
      </c>
      <c r="B110" s="125" t="s">
        <v>554</v>
      </c>
      <c r="C110" s="124"/>
      <c r="D110" s="126">
        <v>2237.98</v>
      </c>
      <c r="E110" s="127">
        <v>4659.2299999999996</v>
      </c>
      <c r="F110" s="103"/>
      <c r="G110" s="103">
        <f>IF(Reference!$G$54="100-yr GWP",D110,E110)</f>
        <v>2237.98</v>
      </c>
    </row>
    <row r="111" spans="1:7" ht="51">
      <c r="A111" s="102" t="s">
        <v>555</v>
      </c>
      <c r="B111" s="125" t="s">
        <v>556</v>
      </c>
      <c r="C111" s="124"/>
      <c r="D111" s="126">
        <v>5</v>
      </c>
      <c r="E111" s="127">
        <v>5</v>
      </c>
      <c r="F111" s="103"/>
      <c r="G111" s="103">
        <f>IF(Reference!$G$54="100-yr GWP",D111,E111)</f>
        <v>5</v>
      </c>
    </row>
    <row r="112" spans="1:7" ht="63.5">
      <c r="A112" s="102" t="s">
        <v>557</v>
      </c>
      <c r="B112" s="125" t="s">
        <v>558</v>
      </c>
      <c r="C112" s="124"/>
      <c r="D112" s="126">
        <v>1887.97</v>
      </c>
      <c r="E112" s="127">
        <v>4118.41</v>
      </c>
      <c r="F112" s="103"/>
      <c r="G112" s="103">
        <f>IF(Reference!$G$54="100-yr GWP",D112,E112)</f>
        <v>1887.97</v>
      </c>
    </row>
    <row r="113" spans="1:7" ht="26">
      <c r="A113" s="102" t="s">
        <v>559</v>
      </c>
      <c r="B113" s="125" t="s">
        <v>560</v>
      </c>
      <c r="C113" s="124"/>
      <c r="D113" s="104" t="s">
        <v>402</v>
      </c>
      <c r="E113" s="104" t="s">
        <v>402</v>
      </c>
      <c r="F113" s="103"/>
      <c r="G113" s="103" t="str">
        <f>IF(Reference!$G$54="100-yr GWP",D113,E113)</f>
        <v>Not Available</v>
      </c>
    </row>
    <row r="114" spans="1:7" ht="38.5">
      <c r="A114" s="102" t="s">
        <v>561</v>
      </c>
      <c r="B114" s="125" t="s">
        <v>562</v>
      </c>
      <c r="C114" s="124" t="s">
        <v>563</v>
      </c>
      <c r="D114" s="126">
        <v>88.03</v>
      </c>
      <c r="E114" s="127">
        <v>302.27999999999997</v>
      </c>
      <c r="F114" s="103"/>
      <c r="G114" s="103">
        <f>IF(Reference!$G$54="100-yr GWP",D114,E114)</f>
        <v>88.03</v>
      </c>
    </row>
    <row r="115" spans="1:7" ht="38.5">
      <c r="A115" s="102" t="s">
        <v>564</v>
      </c>
      <c r="B115" s="125" t="s">
        <v>565</v>
      </c>
      <c r="C115" s="124" t="s">
        <v>563</v>
      </c>
      <c r="D115" s="126">
        <v>293.01</v>
      </c>
      <c r="E115" s="127">
        <v>1011.135</v>
      </c>
      <c r="F115" s="103"/>
      <c r="G115" s="103">
        <f>IF(Reference!$G$54="100-yr GWP",D115,E115)</f>
        <v>293.01</v>
      </c>
    </row>
    <row r="116" spans="1:7" ht="41.5">
      <c r="A116" s="102" t="s">
        <v>566</v>
      </c>
      <c r="B116" s="125" t="s">
        <v>567</v>
      </c>
      <c r="C116" s="124" t="s">
        <v>563</v>
      </c>
      <c r="D116" s="126">
        <v>129.60999999999999</v>
      </c>
      <c r="E116" s="127">
        <v>345.61</v>
      </c>
      <c r="F116" s="103"/>
      <c r="G116" s="103">
        <f>IF(Reference!$G$54="100-yr GWP",D116,E116)</f>
        <v>129.60999999999999</v>
      </c>
    </row>
    <row r="117" spans="1:7" ht="38.5">
      <c r="A117" s="102" t="s">
        <v>568</v>
      </c>
      <c r="B117" s="125" t="s">
        <v>569</v>
      </c>
      <c r="C117" s="124" t="s">
        <v>563</v>
      </c>
      <c r="D117" s="126">
        <v>459.38000000000005</v>
      </c>
      <c r="E117" s="127">
        <v>1584.78</v>
      </c>
      <c r="F117" s="103"/>
      <c r="G117" s="103">
        <f>IF(Reference!$G$54="100-yr GWP",D117,E117)</f>
        <v>459.38000000000005</v>
      </c>
    </row>
    <row r="118" spans="1:7" ht="38.5">
      <c r="A118" s="102" t="s">
        <v>570</v>
      </c>
      <c r="B118" s="125" t="s">
        <v>571</v>
      </c>
      <c r="C118" s="124" t="s">
        <v>563</v>
      </c>
      <c r="D118" s="126">
        <v>600</v>
      </c>
      <c r="E118" s="104" t="s">
        <v>402</v>
      </c>
      <c r="F118" s="103"/>
      <c r="G118" s="103">
        <f>IF(Reference!$G$54="100-yr GWP",D118,E118)</f>
        <v>600</v>
      </c>
    </row>
    <row r="119" spans="1:7" ht="38.5">
      <c r="A119" s="102" t="s">
        <v>572</v>
      </c>
      <c r="B119" s="125" t="s">
        <v>573</v>
      </c>
      <c r="C119" s="124"/>
      <c r="D119" s="126">
        <v>739.24</v>
      </c>
      <c r="E119" s="127">
        <v>2092.6400000000003</v>
      </c>
      <c r="F119" s="103"/>
      <c r="G119" s="103">
        <f>IF(Reference!$G$54="100-yr GWP",D119,E119)</f>
        <v>739.24</v>
      </c>
    </row>
    <row r="120" spans="1:7" ht="63.5">
      <c r="A120" s="102" t="s">
        <v>574</v>
      </c>
      <c r="B120" s="125" t="s">
        <v>575</v>
      </c>
      <c r="C120" s="124"/>
      <c r="D120" s="126">
        <v>1386.07</v>
      </c>
      <c r="E120" s="127">
        <v>3061.3700000000003</v>
      </c>
      <c r="F120" s="103"/>
      <c r="G120" s="103">
        <f>IF(Reference!$G$54="100-yr GWP",D120,E120)</f>
        <v>1386.07</v>
      </c>
    </row>
    <row r="121" spans="1:7" ht="51">
      <c r="A121" s="102" t="s">
        <v>576</v>
      </c>
      <c r="B121" s="125" t="s">
        <v>577</v>
      </c>
      <c r="C121" s="124"/>
      <c r="D121" s="126">
        <v>1396.288</v>
      </c>
      <c r="E121" s="127">
        <v>3119.203</v>
      </c>
      <c r="F121" s="103"/>
      <c r="G121" s="103">
        <f>IF(Reference!$G$54="100-yr GWP",D121,E121)</f>
        <v>1396.288</v>
      </c>
    </row>
    <row r="122" spans="1:7" ht="51">
      <c r="A122" s="102" t="s">
        <v>578</v>
      </c>
      <c r="B122" s="125" t="s">
        <v>579</v>
      </c>
      <c r="C122" s="124"/>
      <c r="D122" s="126">
        <v>1411.222</v>
      </c>
      <c r="E122" s="127">
        <v>3176.0320000000002</v>
      </c>
      <c r="F122" s="103"/>
      <c r="G122" s="103">
        <f>IF(Reference!$G$54="100-yr GWP",D122,E122)</f>
        <v>1411.222</v>
      </c>
    </row>
    <row r="123" spans="1:7" ht="26">
      <c r="A123" s="102" t="s">
        <v>580</v>
      </c>
      <c r="B123" s="125" t="s">
        <v>581</v>
      </c>
      <c r="C123" s="124"/>
      <c r="D123" s="126">
        <v>601.18000000000006</v>
      </c>
      <c r="E123" s="104" t="s">
        <v>402</v>
      </c>
      <c r="F123" s="103"/>
      <c r="G123" s="103">
        <f>IF(Reference!$G$54="100-yr GWP",D123,E123)</f>
        <v>601.18000000000006</v>
      </c>
    </row>
    <row r="124" spans="1:7" ht="26">
      <c r="A124" s="102" t="s">
        <v>582</v>
      </c>
      <c r="B124" s="125" t="s">
        <v>583</v>
      </c>
      <c r="C124" s="124"/>
      <c r="D124" s="126">
        <v>146.75799999999998</v>
      </c>
      <c r="E124" s="104" t="s">
        <v>402</v>
      </c>
      <c r="F124" s="103"/>
      <c r="G124" s="103">
        <f>IF(Reference!$G$54="100-yr GWP",D124,E124)</f>
        <v>146.75799999999998</v>
      </c>
    </row>
    <row r="125" spans="1:7" ht="26">
      <c r="A125" s="102" t="s">
        <v>584</v>
      </c>
      <c r="B125" s="125" t="s">
        <v>585</v>
      </c>
      <c r="C125" s="124"/>
      <c r="D125" s="126">
        <v>161.048</v>
      </c>
      <c r="E125" s="104" t="s">
        <v>402</v>
      </c>
      <c r="F125" s="103"/>
      <c r="G125" s="103">
        <f>IF(Reference!$G$54="100-yr GWP",D125,E125)</f>
        <v>161.048</v>
      </c>
    </row>
    <row r="126" spans="1:7" ht="38.5">
      <c r="A126" s="102" t="s">
        <v>586</v>
      </c>
      <c r="B126" s="125" t="s">
        <v>587</v>
      </c>
      <c r="C126" s="124"/>
      <c r="D126" s="126">
        <v>2139.5500000000002</v>
      </c>
      <c r="E126" s="127">
        <v>4003.1000000000004</v>
      </c>
      <c r="F126" s="103"/>
      <c r="G126" s="103">
        <f>IF(Reference!$G$54="100-yr GWP",D126,E126)</f>
        <v>2139.5500000000002</v>
      </c>
    </row>
    <row r="127" spans="1:7" ht="38.5">
      <c r="A127" s="102" t="s">
        <v>588</v>
      </c>
      <c r="B127" s="125" t="s">
        <v>589</v>
      </c>
      <c r="C127" s="124"/>
      <c r="D127" s="126">
        <v>697.51</v>
      </c>
      <c r="E127" s="127">
        <v>2005.8600000000001</v>
      </c>
      <c r="F127" s="103"/>
      <c r="G127" s="103">
        <f>IF(Reference!$G$54="100-yr GWP",D127,E127)</f>
        <v>697.51</v>
      </c>
    </row>
    <row r="128" spans="1:7" ht="38.5">
      <c r="A128" s="102" t="s">
        <v>590</v>
      </c>
      <c r="B128" s="125" t="s">
        <v>591</v>
      </c>
      <c r="C128" s="124"/>
      <c r="D128" s="126">
        <v>2219.64</v>
      </c>
      <c r="E128" s="127">
        <v>4165.0150000000003</v>
      </c>
      <c r="F128" s="103"/>
      <c r="G128" s="103">
        <f>IF(Reference!$G$54="100-yr GWP",D128,E128)</f>
        <v>2219.64</v>
      </c>
    </row>
    <row r="129" spans="1:7" ht="88.5">
      <c r="A129" s="102" t="s">
        <v>592</v>
      </c>
      <c r="B129" s="125" t="s">
        <v>593</v>
      </c>
      <c r="C129" s="124"/>
      <c r="D129" s="126">
        <v>1765.3879999999999</v>
      </c>
      <c r="E129" s="127">
        <v>4062.0880000000002</v>
      </c>
      <c r="F129" s="103"/>
      <c r="G129" s="103">
        <f>IF(Reference!$G$54="100-yr GWP",D129,E129)</f>
        <v>1765.3879999999999</v>
      </c>
    </row>
    <row r="130" spans="1:7" ht="26">
      <c r="A130" s="102" t="s">
        <v>594</v>
      </c>
      <c r="B130" s="125" t="s">
        <v>595</v>
      </c>
      <c r="C130" s="124"/>
      <c r="D130" s="126">
        <v>239</v>
      </c>
      <c r="E130" s="127">
        <v>816.15</v>
      </c>
      <c r="F130" s="103"/>
      <c r="G130" s="103">
        <f>IF(Reference!$G$54="100-yr GWP",D130,E130)</f>
        <v>239</v>
      </c>
    </row>
    <row r="131" spans="1:7" ht="26">
      <c r="A131" s="102" t="s">
        <v>596</v>
      </c>
      <c r="B131" s="125" t="s">
        <v>597</v>
      </c>
      <c r="C131" s="124"/>
      <c r="D131" s="126">
        <v>465.99999999999994</v>
      </c>
      <c r="E131" s="127">
        <v>1605.6809999999998</v>
      </c>
      <c r="F131" s="103"/>
      <c r="G131" s="103">
        <f>IF(Reference!$G$54="100-yr GWP",D131,E131)</f>
        <v>465.99999999999994</v>
      </c>
    </row>
    <row r="132" spans="1:7" ht="38.5">
      <c r="A132" s="102" t="s">
        <v>598</v>
      </c>
      <c r="B132" s="125" t="s">
        <v>599</v>
      </c>
      <c r="C132" s="124"/>
      <c r="D132" s="104">
        <v>145.91</v>
      </c>
      <c r="E132" s="105">
        <v>501.73500000000001</v>
      </c>
      <c r="F132" s="103"/>
      <c r="G132" s="103">
        <f>IF(Reference!$G$54="100-yr GWP",D132,E132)</f>
        <v>145.91</v>
      </c>
    </row>
    <row r="133" spans="1:7" ht="40.5">
      <c r="A133" s="102" t="s">
        <v>600</v>
      </c>
      <c r="B133" s="125" t="s">
        <v>601</v>
      </c>
      <c r="C133" s="124"/>
      <c r="D133" s="126">
        <v>145.91</v>
      </c>
      <c r="E133" s="127">
        <v>501.73499999999996</v>
      </c>
      <c r="F133" s="103"/>
      <c r="G133" s="103">
        <f>IF(Reference!$G$54="100-yr GWP",D133,E133)</f>
        <v>145.91</v>
      </c>
    </row>
    <row r="134" spans="1:7" ht="38.5">
      <c r="A134" s="102" t="s">
        <v>602</v>
      </c>
      <c r="B134" s="125" t="s">
        <v>603</v>
      </c>
      <c r="C134" s="124"/>
      <c r="D134" s="132">
        <v>684.49</v>
      </c>
      <c r="E134" s="132">
        <v>1863.79</v>
      </c>
      <c r="F134" s="103"/>
      <c r="G134" s="103">
        <f>IF(Reference!$G$54="100-yr GWP",D134,E134)</f>
        <v>684.49</v>
      </c>
    </row>
    <row r="135" spans="1:7" ht="38.5">
      <c r="A135" s="102" t="s">
        <v>604</v>
      </c>
      <c r="B135" s="125" t="s">
        <v>605</v>
      </c>
      <c r="C135" s="124"/>
      <c r="D135" s="104">
        <v>137.08000000000001</v>
      </c>
      <c r="E135" s="105">
        <v>472.53999999999996</v>
      </c>
      <c r="F135" s="103"/>
      <c r="G135" s="103">
        <f>IF(Reference!$G$54="100-yr GWP",D135,E135)</f>
        <v>137.08000000000001</v>
      </c>
    </row>
    <row r="136" spans="1:7" ht="76">
      <c r="A136" s="102" t="s">
        <v>606</v>
      </c>
      <c r="B136" s="125" t="s">
        <v>607</v>
      </c>
      <c r="C136" s="124"/>
      <c r="D136" s="104">
        <v>1649.9549999999999</v>
      </c>
      <c r="E136" s="105">
        <v>3848.72</v>
      </c>
      <c r="F136" s="103"/>
      <c r="G136" s="103">
        <f>IF(Reference!$G$54="100-yr GWP",D136,E136)</f>
        <v>1649.9549999999999</v>
      </c>
    </row>
    <row r="137" spans="1:7" ht="63.5">
      <c r="A137" s="102" t="s">
        <v>608</v>
      </c>
      <c r="B137" s="125" t="s">
        <v>609</v>
      </c>
      <c r="C137" s="124"/>
      <c r="D137" s="104">
        <v>2767.1900000000005</v>
      </c>
      <c r="E137" s="105">
        <v>5278.1900000000005</v>
      </c>
      <c r="F137" s="103"/>
      <c r="G137" s="103">
        <f>IF(Reference!$G$54="100-yr GWP",D137,E137)</f>
        <v>2767.1900000000005</v>
      </c>
    </row>
    <row r="138" spans="1:7" ht="63.5">
      <c r="A138" s="102" t="s">
        <v>610</v>
      </c>
      <c r="B138" s="125" t="s">
        <v>611</v>
      </c>
      <c r="C138" s="124"/>
      <c r="D138" s="104">
        <v>2249.44</v>
      </c>
      <c r="E138" s="105">
        <v>4679.79</v>
      </c>
      <c r="F138" s="103"/>
      <c r="G138" s="103">
        <f>IF(Reference!$G$54="100-yr GWP",D138,E138)</f>
        <v>2249.44</v>
      </c>
    </row>
    <row r="139" spans="1:7" ht="38.5">
      <c r="A139" s="102" t="s">
        <v>612</v>
      </c>
      <c r="B139" s="125" t="s">
        <v>613</v>
      </c>
      <c r="C139" s="124">
        <f>(0.49*C$27)+(0.115*C$28)+(0.395*C$53)</f>
        <v>5.786975</v>
      </c>
      <c r="D139" s="104">
        <v>733</v>
      </c>
      <c r="E139" s="105">
        <v>1872.345</v>
      </c>
      <c r="F139" s="103"/>
      <c r="G139" s="103">
        <f>IF(Reference!$G$54="100-yr GWP",D139,E139)</f>
        <v>733</v>
      </c>
    </row>
    <row r="140" spans="1:7" ht="26">
      <c r="A140" s="102" t="s">
        <v>614</v>
      </c>
      <c r="B140" s="125" t="s">
        <v>615</v>
      </c>
      <c r="C140" s="124"/>
      <c r="D140" s="126">
        <v>8076.6880000000001</v>
      </c>
      <c r="E140" s="127">
        <v>8232.4940000000006</v>
      </c>
      <c r="F140" s="103"/>
      <c r="G140" s="103">
        <f>IF(Reference!$G$54="100-yr GWP",D140,E140)</f>
        <v>8076.6880000000001</v>
      </c>
    </row>
    <row r="141" spans="1:7" ht="63.5">
      <c r="A141" s="102" t="s">
        <v>616</v>
      </c>
      <c r="B141" s="125" t="s">
        <v>617</v>
      </c>
      <c r="C141" s="124" t="s">
        <v>618</v>
      </c>
      <c r="D141" s="104">
        <v>4656.72</v>
      </c>
      <c r="E141" s="105">
        <v>5236.8</v>
      </c>
      <c r="F141" s="103"/>
      <c r="G141" s="103">
        <f>IF(Reference!$G$54="100-yr GWP",D141,E141)</f>
        <v>4656.72</v>
      </c>
    </row>
    <row r="142" spans="1:7" ht="26">
      <c r="A142" s="102" t="s">
        <v>619</v>
      </c>
      <c r="B142" s="125" t="s">
        <v>620</v>
      </c>
      <c r="C142" s="124"/>
      <c r="D142" s="104">
        <v>14560</v>
      </c>
      <c r="E142" s="105">
        <v>11280</v>
      </c>
      <c r="F142" s="103"/>
      <c r="G142" s="103">
        <f>IF(Reference!$G$54="100-yr GWP",D142,E142)</f>
        <v>14560</v>
      </c>
    </row>
    <row r="143" spans="1:7" ht="51">
      <c r="A143" s="102" t="s">
        <v>621</v>
      </c>
      <c r="B143" s="125" t="s">
        <v>622</v>
      </c>
      <c r="C143" s="124" t="s">
        <v>623</v>
      </c>
      <c r="D143" s="104">
        <v>3985</v>
      </c>
      <c r="E143" s="105">
        <v>6120</v>
      </c>
      <c r="F143" s="103"/>
      <c r="G143" s="103">
        <f>IF(Reference!$G$54="100-yr GWP",D143,E143)</f>
        <v>3985</v>
      </c>
    </row>
    <row r="144" spans="1:7" ht="26">
      <c r="A144" s="102" t="s">
        <v>624</v>
      </c>
      <c r="B144" s="125" t="s">
        <v>625</v>
      </c>
      <c r="C144" s="124"/>
      <c r="D144" s="104">
        <v>13214</v>
      </c>
      <c r="E144" s="105">
        <v>9944.2999999999993</v>
      </c>
      <c r="F144" s="103"/>
      <c r="G144" s="103">
        <f>IF(Reference!$G$54="100-yr GWP",D144,E144)</f>
        <v>13214</v>
      </c>
    </row>
    <row r="145" spans="1:7" ht="26">
      <c r="A145" s="102" t="s">
        <v>626</v>
      </c>
      <c r="B145" s="125" t="s">
        <v>627</v>
      </c>
      <c r="C145" s="124"/>
      <c r="D145" s="104">
        <v>13396</v>
      </c>
      <c r="E145" s="105">
        <v>10180.200000000001</v>
      </c>
      <c r="F145" s="103"/>
      <c r="G145" s="103">
        <f>IF(Reference!$G$54="100-yr GWP",D145,E145)</f>
        <v>13396</v>
      </c>
    </row>
    <row r="146" spans="1:7" ht="26">
      <c r="A146" s="102" t="s">
        <v>628</v>
      </c>
      <c r="B146" s="125" t="s">
        <v>629</v>
      </c>
      <c r="C146" s="124"/>
      <c r="D146" s="126">
        <v>629.76</v>
      </c>
      <c r="E146" s="127">
        <v>1685.76</v>
      </c>
      <c r="F146" s="103"/>
      <c r="G146" s="103">
        <f>IF(Reference!$G$54="100-yr GWP",D146,E146)</f>
        <v>629.76</v>
      </c>
    </row>
    <row r="147" spans="1:7" ht="26">
      <c r="A147" s="102" t="s">
        <v>630</v>
      </c>
      <c r="B147" s="125" t="s">
        <v>631</v>
      </c>
      <c r="C147" s="124"/>
      <c r="D147" s="126">
        <v>2</v>
      </c>
      <c r="E147" s="127">
        <v>2</v>
      </c>
      <c r="F147" s="103"/>
      <c r="G147" s="103">
        <f>IF(Reference!$G$54="100-yr GWP",D147,E147)</f>
        <v>2</v>
      </c>
    </row>
    <row r="148" spans="1:7" ht="26">
      <c r="A148" s="102" t="s">
        <v>632</v>
      </c>
      <c r="B148" s="125" t="s">
        <v>633</v>
      </c>
      <c r="C148" s="124"/>
      <c r="D148" s="126">
        <v>387.28</v>
      </c>
      <c r="E148" s="127">
        <v>638.07999999999993</v>
      </c>
      <c r="F148" s="103"/>
      <c r="G148" s="103">
        <f>IF(Reference!$G$54="100-yr GWP",D148,E148)</f>
        <v>387.28</v>
      </c>
    </row>
    <row r="149" spans="1:7" ht="38.5">
      <c r="A149" s="102" t="s">
        <v>57</v>
      </c>
      <c r="B149" s="125" t="s">
        <v>634</v>
      </c>
      <c r="C149" s="124"/>
      <c r="D149" s="104">
        <v>139.685</v>
      </c>
      <c r="E149" s="105">
        <v>387.505</v>
      </c>
      <c r="F149" s="103"/>
      <c r="G149" s="103">
        <f>IF(Reference!$G$54="100-yr GWP",D149,E149)</f>
        <v>139.685</v>
      </c>
    </row>
    <row r="150" spans="1:7" ht="41.5">
      <c r="A150" s="102" t="s">
        <v>88</v>
      </c>
      <c r="B150" s="125" t="s">
        <v>635</v>
      </c>
      <c r="C150" s="124"/>
      <c r="D150" s="126">
        <v>1372.96</v>
      </c>
      <c r="E150" s="127">
        <v>3676.9599999999996</v>
      </c>
      <c r="F150" s="103"/>
      <c r="G150" s="103">
        <f>IF(Reference!$G$54="100-yr GWP",D150,E150)</f>
        <v>1372.96</v>
      </c>
    </row>
    <row r="151" spans="1:7">
      <c r="A151" s="102" t="s">
        <v>636</v>
      </c>
      <c r="B151" s="133" t="s">
        <v>637</v>
      </c>
      <c r="C151" s="124"/>
      <c r="D151" s="126">
        <v>1650</v>
      </c>
      <c r="E151" s="104" t="s">
        <v>402</v>
      </c>
      <c r="F151" s="103"/>
      <c r="G151" s="103">
        <f>IF(Reference!$G$54="100-yr GWP",D151,E151)</f>
        <v>1650</v>
      </c>
    </row>
    <row r="152" spans="1:7">
      <c r="A152" s="102" t="s">
        <v>638</v>
      </c>
      <c r="B152" s="133" t="s">
        <v>639</v>
      </c>
      <c r="C152" s="124"/>
      <c r="D152" s="126">
        <v>954</v>
      </c>
      <c r="E152" s="104" t="s">
        <v>402</v>
      </c>
      <c r="F152" s="103"/>
      <c r="G152" s="103">
        <f>IF(Reference!$G$54="100-yr GWP",D152,E152)</f>
        <v>954</v>
      </c>
    </row>
    <row r="153" spans="1:7" ht="26">
      <c r="A153" s="102" t="s">
        <v>640</v>
      </c>
      <c r="B153" s="123" t="s">
        <v>641</v>
      </c>
      <c r="C153" s="124"/>
      <c r="D153" s="126">
        <v>148</v>
      </c>
      <c r="E153" s="104" t="s">
        <v>402</v>
      </c>
      <c r="F153" s="103"/>
      <c r="G153" s="103">
        <f>IF(Reference!$G$54="100-yr GWP",D153,E153)</f>
        <v>148</v>
      </c>
    </row>
    <row r="154" spans="1:7" ht="29">
      <c r="A154" s="102" t="s">
        <v>218</v>
      </c>
      <c r="B154" s="133" t="s">
        <v>642</v>
      </c>
      <c r="C154" s="124">
        <v>0.02</v>
      </c>
      <c r="D154" s="126">
        <v>5.0000000000000001E-3</v>
      </c>
      <c r="E154" s="127">
        <v>5.0000000000000001E-3</v>
      </c>
      <c r="F154" s="103"/>
      <c r="G154" s="103">
        <f>IF(Reference!$G$54="100-yr GWP",D154,E154)</f>
        <v>5.0000000000000001E-3</v>
      </c>
    </row>
    <row r="155" spans="1:7">
      <c r="A155" s="175" t="s">
        <v>701</v>
      </c>
      <c r="B155" s="176"/>
      <c r="C155" s="177"/>
      <c r="D155" s="178"/>
      <c r="E155" s="179"/>
      <c r="F155" s="180"/>
      <c r="G155" s="180">
        <v>0</v>
      </c>
    </row>
    <row r="156" spans="1:7" ht="63.5">
      <c r="A156" s="102" t="s">
        <v>221</v>
      </c>
      <c r="B156" s="133"/>
      <c r="C156" s="124"/>
      <c r="D156" s="126"/>
      <c r="E156" s="126"/>
      <c r="F156" s="123" t="s">
        <v>643</v>
      </c>
      <c r="G156" s="103"/>
    </row>
    <row r="157" spans="1:7">
      <c r="A157" s="106" t="s">
        <v>644</v>
      </c>
      <c r="B157" s="106"/>
      <c r="C157" s="132"/>
      <c r="D157" s="132"/>
      <c r="E157" s="132"/>
      <c r="F157" s="106"/>
      <c r="G157" s="106"/>
    </row>
    <row r="158" spans="1:7">
      <c r="A158" s="106" t="s">
        <v>645</v>
      </c>
      <c r="B158" s="106"/>
      <c r="C158" s="134"/>
      <c r="D158" s="134"/>
      <c r="E158" s="134"/>
      <c r="F158" s="106"/>
      <c r="G158" s="106"/>
    </row>
    <row r="159" spans="1:7">
      <c r="A159" s="106" t="s">
        <v>646</v>
      </c>
      <c r="B159" s="106"/>
      <c r="C159" s="134"/>
      <c r="D159" s="134"/>
      <c r="E159" s="134"/>
      <c r="F159" s="106"/>
      <c r="G159" s="106"/>
    </row>
    <row r="160" spans="1:7">
      <c r="A160" s="106" t="s">
        <v>647</v>
      </c>
      <c r="B160" s="106"/>
      <c r="C160" s="134"/>
      <c r="D160" s="134"/>
      <c r="E160" s="134"/>
      <c r="F160" s="106"/>
      <c r="G160" s="106"/>
    </row>
  </sheetData>
  <mergeCells count="1">
    <mergeCell ref="F2:F2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sheetPr>
  <dimension ref="C4:P59"/>
  <sheetViews>
    <sheetView showGridLines="0" topLeftCell="A31" zoomScale="85" zoomScaleNormal="85" workbookViewId="0">
      <selection activeCell="Q38" sqref="Q38"/>
    </sheetView>
  </sheetViews>
  <sheetFormatPr defaultColWidth="9.1796875" defaultRowHeight="14.5"/>
  <cols>
    <col min="1" max="2" width="9.1796875" style="184"/>
    <col min="3" max="3" width="34.1796875" style="184" bestFit="1" customWidth="1"/>
    <col min="4" max="4" width="13.26953125" style="184" customWidth="1"/>
    <col min="5" max="5" width="10.453125" style="184" customWidth="1"/>
    <col min="6" max="6" width="9.54296875" style="184" customWidth="1"/>
    <col min="7" max="7" width="9.1796875" style="184" customWidth="1"/>
    <col min="8" max="8" width="9.1796875" style="184"/>
    <col min="9" max="9" width="10.26953125" style="184" customWidth="1"/>
    <col min="10" max="16384" width="9.1796875" style="184"/>
  </cols>
  <sheetData>
    <row r="4" spans="3:6">
      <c r="C4" s="183" t="s">
        <v>648</v>
      </c>
      <c r="D4" s="183" t="s">
        <v>649</v>
      </c>
      <c r="E4" s="183" t="s">
        <v>650</v>
      </c>
    </row>
    <row r="5" spans="3:6">
      <c r="C5" s="184" t="s">
        <v>651</v>
      </c>
      <c r="D5" s="184">
        <v>1.1023099999999999</v>
      </c>
      <c r="E5" s="184" t="s">
        <v>652</v>
      </c>
    </row>
    <row r="6" spans="3:6">
      <c r="C6" s="184" t="s">
        <v>653</v>
      </c>
      <c r="D6" s="184">
        <v>0.1</v>
      </c>
      <c r="E6" s="184" t="s">
        <v>654</v>
      </c>
    </row>
    <row r="7" spans="3:6">
      <c r="C7" s="184" t="s">
        <v>655</v>
      </c>
      <c r="D7" s="185">
        <f>10^5</f>
        <v>100000</v>
      </c>
      <c r="E7" s="184" t="s">
        <v>656</v>
      </c>
    </row>
    <row r="8" spans="3:6">
      <c r="C8" s="184" t="s">
        <v>657</v>
      </c>
      <c r="D8" s="185">
        <v>3413</v>
      </c>
      <c r="E8" s="184" t="s">
        <v>293</v>
      </c>
    </row>
    <row r="9" spans="3:6">
      <c r="C9" s="184" t="s">
        <v>658</v>
      </c>
      <c r="D9" s="184">
        <v>5.8500000000000003E-2</v>
      </c>
      <c r="E9" s="184" t="s">
        <v>288</v>
      </c>
    </row>
    <row r="10" spans="3:6">
      <c r="C10" s="184" t="s">
        <v>658</v>
      </c>
      <c r="D10" s="186">
        <f>D6*D9/Short_Ton_per_Metric_Tonne</f>
        <v>5.3070370403969858E-3</v>
      </c>
      <c r="E10" s="186" t="s">
        <v>659</v>
      </c>
    </row>
    <row r="13" spans="3:6">
      <c r="C13" s="183" t="s">
        <v>660</v>
      </c>
    </row>
    <row r="14" spans="3:6">
      <c r="C14" s="184" t="s">
        <v>661</v>
      </c>
      <c r="D14" s="185">
        <v>6900</v>
      </c>
      <c r="E14" s="184" t="s">
        <v>293</v>
      </c>
      <c r="F14" s="187" t="s">
        <v>662</v>
      </c>
    </row>
    <row r="15" spans="3:6">
      <c r="C15" s="184" t="s">
        <v>663</v>
      </c>
      <c r="D15" s="188">
        <f>D14/Btu_therm*NG_metric_tonne_CO2_therm*10^3</f>
        <v>0.36618555578739209</v>
      </c>
      <c r="E15" s="184" t="s">
        <v>664</v>
      </c>
    </row>
    <row r="16" spans="3:6">
      <c r="C16" s="184" t="s">
        <v>665</v>
      </c>
      <c r="D16" s="188">
        <f>D15*(1+D28)</f>
        <v>0.39255091580408435</v>
      </c>
      <c r="E16" s="184" t="s">
        <v>666</v>
      </c>
    </row>
    <row r="24" spans="3:8">
      <c r="C24" s="183" t="s">
        <v>708</v>
      </c>
    </row>
    <row r="26" spans="3:8">
      <c r="D26" s="189" t="s">
        <v>667</v>
      </c>
      <c r="E26" s="189" t="s">
        <v>668</v>
      </c>
      <c r="F26" s="189" t="s">
        <v>669</v>
      </c>
      <c r="H26" s="190"/>
    </row>
    <row r="27" spans="3:8">
      <c r="C27" s="191" t="s">
        <v>670</v>
      </c>
      <c r="D27" s="188">
        <f>SUMPRODUCT(D31:D36,D39:D44)/D45</f>
        <v>1.0720000000000001</v>
      </c>
      <c r="E27" s="188">
        <f t="shared" ref="E27:F27" si="0">SUMPRODUCT(E31:E36,E39:E44)/E45</f>
        <v>1.0720000000000001</v>
      </c>
      <c r="F27" s="188">
        <f t="shared" si="0"/>
        <v>1.0720000000000001</v>
      </c>
    </row>
    <row r="28" spans="3:8">
      <c r="C28" s="191" t="s">
        <v>671</v>
      </c>
      <c r="D28" s="192">
        <f>AVERAGE(D27:F27)-1</f>
        <v>7.2000000000000064E-2</v>
      </c>
      <c r="E28" s="187"/>
    </row>
    <row r="30" spans="3:8">
      <c r="C30" s="191" t="s">
        <v>672</v>
      </c>
      <c r="D30" s="189" t="s">
        <v>667</v>
      </c>
      <c r="E30" s="189" t="s">
        <v>668</v>
      </c>
      <c r="F30" s="189" t="s">
        <v>669</v>
      </c>
    </row>
    <row r="31" spans="3:8">
      <c r="C31" s="193" t="s">
        <v>673</v>
      </c>
      <c r="D31" s="194">
        <v>1.0720000000000001</v>
      </c>
      <c r="E31" s="194">
        <v>1.0720000000000001</v>
      </c>
      <c r="F31" s="194">
        <v>1.0720000000000001</v>
      </c>
    </row>
    <row r="32" spans="3:8">
      <c r="C32" s="193" t="s">
        <v>674</v>
      </c>
      <c r="D32" s="194">
        <v>1.0720000000000001</v>
      </c>
      <c r="E32" s="194">
        <v>1.0720000000000001</v>
      </c>
      <c r="F32" s="194">
        <v>1.0720000000000001</v>
      </c>
    </row>
    <row r="33" spans="3:6">
      <c r="C33" s="193" t="s">
        <v>675</v>
      </c>
      <c r="D33" s="194">
        <v>1.0720000000000001</v>
      </c>
      <c r="E33" s="194">
        <v>1.0720000000000001</v>
      </c>
      <c r="F33" s="194">
        <v>1.0720000000000001</v>
      </c>
    </row>
    <row r="34" spans="3:6">
      <c r="C34" s="193" t="s">
        <v>676</v>
      </c>
      <c r="D34" s="194">
        <v>1.0720000000000001</v>
      </c>
      <c r="E34" s="194">
        <v>1.0720000000000001</v>
      </c>
      <c r="F34" s="194">
        <v>1.0720000000000001</v>
      </c>
    </row>
    <row r="35" spans="3:6">
      <c r="C35" s="193" t="s">
        <v>677</v>
      </c>
      <c r="D35" s="194">
        <v>1.0720000000000001</v>
      </c>
      <c r="E35" s="194">
        <v>1.0720000000000001</v>
      </c>
      <c r="F35" s="194">
        <v>1.0720000000000001</v>
      </c>
    </row>
    <row r="36" spans="3:6">
      <c r="C36" s="193" t="s">
        <v>678</v>
      </c>
      <c r="D36" s="194">
        <v>1.0720000000000001</v>
      </c>
      <c r="E36" s="194">
        <v>1.0720000000000001</v>
      </c>
      <c r="F36" s="194">
        <v>1.0720000000000001</v>
      </c>
    </row>
    <row r="38" spans="3:6" ht="30.75" customHeight="1">
      <c r="D38" s="350" t="s">
        <v>679</v>
      </c>
      <c r="E38" s="350"/>
      <c r="F38" s="350"/>
    </row>
    <row r="39" spans="3:6">
      <c r="C39" s="193" t="s">
        <v>673</v>
      </c>
      <c r="D39" s="185">
        <v>774</v>
      </c>
      <c r="E39" s="185">
        <v>510</v>
      </c>
      <c r="F39" s="185">
        <v>742</v>
      </c>
    </row>
    <row r="40" spans="3:6">
      <c r="C40" s="193" t="s">
        <v>674</v>
      </c>
      <c r="D40" s="185">
        <v>903</v>
      </c>
      <c r="E40" s="185">
        <v>765</v>
      </c>
      <c r="F40" s="185">
        <v>954</v>
      </c>
    </row>
    <row r="41" spans="3:6">
      <c r="C41" s="193" t="s">
        <v>675</v>
      </c>
      <c r="D41" s="185">
        <v>2739</v>
      </c>
      <c r="E41" s="185">
        <v>1653</v>
      </c>
      <c r="F41" s="185">
        <v>1976</v>
      </c>
    </row>
    <row r="42" spans="3:6">
      <c r="C42" s="193" t="s">
        <v>676</v>
      </c>
      <c r="D42" s="185">
        <v>0</v>
      </c>
      <c r="E42" s="185">
        <v>0</v>
      </c>
      <c r="F42" s="185">
        <v>441</v>
      </c>
    </row>
    <row r="43" spans="3:6">
      <c r="C43" s="193" t="s">
        <v>677</v>
      </c>
      <c r="D43" s="185">
        <v>1612</v>
      </c>
      <c r="E43" s="185">
        <v>2184</v>
      </c>
      <c r="F43" s="185">
        <v>1911</v>
      </c>
    </row>
    <row r="44" spans="3:6">
      <c r="C44" s="193" t="s">
        <v>678</v>
      </c>
      <c r="D44" s="185">
        <v>2732</v>
      </c>
      <c r="E44" s="185">
        <v>3648</v>
      </c>
      <c r="F44" s="185">
        <v>2736</v>
      </c>
    </row>
    <row r="45" spans="3:6">
      <c r="C45" s="191" t="s">
        <v>680</v>
      </c>
      <c r="D45" s="195">
        <f>SUM(D39:D44)</f>
        <v>8760</v>
      </c>
      <c r="E45" s="195">
        <f>SUM(E39:E44)</f>
        <v>8760</v>
      </c>
      <c r="F45" s="195">
        <f>SUM(F39:F44)</f>
        <v>8760</v>
      </c>
    </row>
    <row r="47" spans="3:6">
      <c r="C47" s="183" t="s">
        <v>681</v>
      </c>
      <c r="D47" s="196"/>
      <c r="E47" s="196"/>
    </row>
    <row r="48" spans="3:6">
      <c r="C48" s="183"/>
      <c r="D48" s="196"/>
      <c r="E48" s="196"/>
    </row>
    <row r="49" spans="3:16" ht="29">
      <c r="C49" s="197" t="s">
        <v>682</v>
      </c>
      <c r="D49" s="197" t="s">
        <v>683</v>
      </c>
      <c r="E49" s="197" t="s">
        <v>684</v>
      </c>
      <c r="F49" s="197" t="s">
        <v>685</v>
      </c>
      <c r="G49" s="197" t="s">
        <v>686</v>
      </c>
      <c r="H49" s="197" t="s">
        <v>687</v>
      </c>
      <c r="L49" s="197" t="s">
        <v>688</v>
      </c>
      <c r="P49" s="190"/>
    </row>
    <row r="50" spans="3:16" ht="89.15" customHeight="1">
      <c r="C50" s="198" t="s">
        <v>689</v>
      </c>
      <c r="D50" s="198" t="s">
        <v>690</v>
      </c>
      <c r="E50" s="199">
        <f>IF(D50="Yes",(5.57%*$G$59/$G$57),0)</f>
        <v>5.57E-2</v>
      </c>
      <c r="F50" s="198" t="s">
        <v>690</v>
      </c>
      <c r="G50" s="199">
        <f>IF(F50="Yes",(5.57%*$G$59/$G$57),0)</f>
        <v>5.57E-2</v>
      </c>
      <c r="H50" s="351" t="s">
        <v>691</v>
      </c>
      <c r="I50" s="351"/>
      <c r="J50" s="351"/>
      <c r="K50" s="351"/>
      <c r="L50" s="200" t="s">
        <v>692</v>
      </c>
    </row>
    <row r="51" spans="3:16" ht="42.65" customHeight="1">
      <c r="C51" s="198" t="s">
        <v>693</v>
      </c>
      <c r="D51" s="198" t="s">
        <v>35</v>
      </c>
      <c r="E51" s="199">
        <f>IF(D51="Yes",3.78%*$G$59/$G$57,0)</f>
        <v>0</v>
      </c>
      <c r="F51" s="198" t="s">
        <v>690</v>
      </c>
      <c r="G51" s="199">
        <f>IF(F51="Yes",3.78%*$G$59/$G$57,0)</f>
        <v>3.78E-2</v>
      </c>
      <c r="H51" s="351" t="s">
        <v>694</v>
      </c>
      <c r="I51" s="351"/>
      <c r="J51" s="351"/>
      <c r="K51" s="351"/>
      <c r="L51" s="200" t="s">
        <v>692</v>
      </c>
    </row>
    <row r="52" spans="3:16">
      <c r="C52" s="198"/>
      <c r="D52" s="198"/>
      <c r="E52" s="199"/>
      <c r="F52" s="198"/>
      <c r="G52" s="199"/>
      <c r="H52" s="351"/>
      <c r="I52" s="351"/>
      <c r="J52" s="351"/>
      <c r="K52" s="351"/>
      <c r="L52" s="200"/>
    </row>
    <row r="53" spans="3:16">
      <c r="C53" s="200"/>
      <c r="D53" s="200"/>
      <c r="E53" s="200"/>
      <c r="F53" s="200"/>
      <c r="G53" s="200"/>
      <c r="H53" s="200"/>
      <c r="I53" s="200"/>
      <c r="J53" s="200"/>
      <c r="K53" s="200"/>
      <c r="L53" s="200"/>
    </row>
    <row r="54" spans="3:16" ht="29">
      <c r="C54" s="198" t="s">
        <v>695</v>
      </c>
      <c r="D54" s="198"/>
      <c r="E54" s="198"/>
      <c r="F54" s="198"/>
      <c r="G54" s="198" t="s">
        <v>696</v>
      </c>
    </row>
    <row r="56" spans="3:16">
      <c r="C56" s="201" t="s">
        <v>697</v>
      </c>
      <c r="D56" s="201"/>
      <c r="E56" s="201"/>
      <c r="F56" s="201"/>
      <c r="G56" s="198"/>
      <c r="L56" s="200"/>
    </row>
    <row r="57" spans="3:16">
      <c r="C57" s="198" t="s">
        <v>696</v>
      </c>
      <c r="D57" s="198"/>
      <c r="E57" s="198"/>
      <c r="F57" s="198"/>
      <c r="G57" s="198">
        <v>25</v>
      </c>
      <c r="L57" s="200" t="s">
        <v>692</v>
      </c>
    </row>
    <row r="58" spans="3:16">
      <c r="C58" s="198" t="s">
        <v>698</v>
      </c>
      <c r="D58" s="198"/>
      <c r="E58" s="198"/>
      <c r="F58" s="198"/>
      <c r="G58" s="198">
        <v>72</v>
      </c>
      <c r="L58" s="200" t="s">
        <v>692</v>
      </c>
    </row>
    <row r="59" spans="3:16">
      <c r="C59" s="198" t="s">
        <v>341</v>
      </c>
      <c r="D59" s="198"/>
      <c r="E59" s="198"/>
      <c r="F59" s="198"/>
      <c r="G59" s="198">
        <f>INDEX(G57:G58,MATCH(G54,C57:C58,0))</f>
        <v>25</v>
      </c>
    </row>
  </sheetData>
  <mergeCells count="4">
    <mergeCell ref="D38:F38"/>
    <mergeCell ref="H50:K50"/>
    <mergeCell ref="H51:K51"/>
    <mergeCell ref="H52:K52"/>
  </mergeCells>
  <dataValidations count="2">
    <dataValidation type="list" allowBlank="1" showInputMessage="1" showErrorMessage="1" sqref="F50:F52 D50:D52" xr:uid="{3DBFAA6F-FC0B-48D0-9392-5FDF6CF8F7C3}">
      <formula1>"Yes,No"</formula1>
    </dataValidation>
    <dataValidation type="list" allowBlank="1" showInputMessage="1" showErrorMessage="1" sqref="G54" xr:uid="{158B9ACE-3471-4BC6-9C6E-CBB86C08ADFE}">
      <formula1>$C$57:$C$58</formula1>
    </dataValidation>
  </dataValidation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B2:D5"/>
  <sheetViews>
    <sheetView workbookViewId="0"/>
  </sheetViews>
  <sheetFormatPr defaultRowHeight="14.5"/>
  <cols>
    <col min="2" max="2" width="15.26953125" bestFit="1" customWidth="1"/>
    <col min="3" max="3" width="15.1796875" bestFit="1" customWidth="1"/>
  </cols>
  <sheetData>
    <row r="2" spans="2:4">
      <c r="B2" t="s">
        <v>275</v>
      </c>
      <c r="C2" t="s">
        <v>276</v>
      </c>
      <c r="D2" t="s">
        <v>277</v>
      </c>
    </row>
    <row r="3" spans="2:4">
      <c r="B3" t="s">
        <v>87</v>
      </c>
      <c r="C3" t="s">
        <v>225</v>
      </c>
      <c r="D3" t="s">
        <v>278</v>
      </c>
    </row>
    <row r="4" spans="2:4">
      <c r="B4" t="s">
        <v>85</v>
      </c>
      <c r="C4" t="s">
        <v>37</v>
      </c>
      <c r="D4" t="s">
        <v>244</v>
      </c>
    </row>
    <row r="5" spans="2:4">
      <c r="C5" t="s">
        <v>36</v>
      </c>
    </row>
  </sheetData>
  <sheetProtection algorithmName="SHA-512" hashValue="M9BP+d0j5FRlbk7e7acX6Wh8jYCIWQKgY+OzqvrFHtZETVSbUH+8OCKzO8WJ52NiMSRF8cfNbgJCtI7WDyL3Iw==" saltValue="pkUA7P+g6mhm/GMptn/xY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autoPageBreaks="0"/>
  </sheetPr>
  <dimension ref="A1:Z132"/>
  <sheetViews>
    <sheetView tabSelected="1" zoomScale="85" zoomScaleNormal="85" workbookViewId="0">
      <selection activeCell="I3" sqref="I3"/>
    </sheetView>
  </sheetViews>
  <sheetFormatPr defaultRowHeight="14.5"/>
  <cols>
    <col min="3" max="3" width="30.1796875" bestFit="1" customWidth="1"/>
    <col min="4" max="4" width="19.1796875" bestFit="1" customWidth="1"/>
    <col min="5" max="5" width="25.26953125" bestFit="1" customWidth="1"/>
    <col min="6" max="6" width="22.26953125" bestFit="1" customWidth="1"/>
    <col min="7" max="7" width="22.1796875" customWidth="1"/>
    <col min="8" max="8" width="21.26953125" customWidth="1"/>
    <col min="9" max="9" width="21.7265625" customWidth="1"/>
    <col min="10" max="10" width="21" customWidth="1"/>
    <col min="11" max="11" width="22.54296875" customWidth="1"/>
    <col min="12" max="12" width="22.26953125" customWidth="1"/>
    <col min="13" max="13" width="21.1796875" customWidth="1"/>
    <col min="14" max="14" width="23.81640625" customWidth="1"/>
    <col min="15" max="15" width="20.1796875" customWidth="1"/>
    <col min="16" max="16" width="27.453125" customWidth="1"/>
    <col min="17" max="17" width="31.54296875" customWidth="1"/>
    <col min="18" max="18" width="21.26953125" customWidth="1"/>
    <col min="19" max="19" width="28.81640625" customWidth="1"/>
    <col min="20" max="20" width="16.453125" customWidth="1"/>
    <col min="21" max="21" width="19.1796875" customWidth="1"/>
    <col min="22" max="22" width="32.1796875" customWidth="1"/>
    <col min="23" max="23" width="42.1796875" customWidth="1"/>
    <col min="24" max="24" width="30.54296875" customWidth="1"/>
    <col min="25" max="25" width="29.1796875" customWidth="1"/>
    <col min="26" max="26" width="9.1796875" style="34" customWidth="1"/>
  </cols>
  <sheetData>
    <row r="1" spans="1:26">
      <c r="A1" s="34"/>
      <c r="B1" s="34"/>
      <c r="C1" s="34"/>
      <c r="D1" s="34"/>
      <c r="E1" s="34"/>
      <c r="F1" s="34"/>
      <c r="G1" s="34"/>
      <c r="H1" s="34"/>
      <c r="I1" s="34"/>
      <c r="J1" s="34"/>
      <c r="K1" s="34"/>
      <c r="L1" s="34"/>
      <c r="M1" s="34"/>
      <c r="N1" s="34"/>
      <c r="O1" s="34"/>
      <c r="P1" s="34"/>
    </row>
    <row r="2" spans="1:26" ht="20" thickBot="1">
      <c r="A2" s="34"/>
      <c r="B2" s="304" t="s">
        <v>12</v>
      </c>
      <c r="C2" s="304"/>
      <c r="D2" s="34"/>
      <c r="E2" s="303" t="s">
        <v>710</v>
      </c>
      <c r="F2" s="303"/>
      <c r="G2" s="303"/>
      <c r="H2" s="303"/>
      <c r="I2" s="34"/>
      <c r="J2" s="34"/>
      <c r="K2" s="34"/>
      <c r="L2" s="34"/>
      <c r="M2" s="34"/>
      <c r="N2" s="34"/>
      <c r="O2" s="34"/>
      <c r="P2" s="34"/>
      <c r="Q2" s="50" t="s">
        <v>14</v>
      </c>
      <c r="R2" s="50"/>
      <c r="S2" s="50"/>
      <c r="T2" s="50"/>
      <c r="U2" s="50"/>
      <c r="V2" s="50"/>
    </row>
    <row r="3" spans="1:26" ht="15" thickTop="1">
      <c r="A3" s="34"/>
      <c r="B3" s="34"/>
      <c r="C3" s="34"/>
      <c r="D3" s="34"/>
      <c r="E3" s="34"/>
      <c r="F3" s="34"/>
      <c r="G3" s="34"/>
      <c r="H3" s="34"/>
      <c r="I3" s="34"/>
      <c r="J3" s="34"/>
      <c r="K3" s="34"/>
      <c r="L3" s="34"/>
      <c r="M3" s="34"/>
      <c r="N3" s="34"/>
      <c r="O3" s="34"/>
      <c r="P3" s="34"/>
    </row>
    <row r="4" spans="1:26">
      <c r="A4" s="34"/>
      <c r="B4" s="306" t="s">
        <v>15</v>
      </c>
      <c r="C4" s="306"/>
      <c r="D4" s="34"/>
      <c r="E4" s="34"/>
      <c r="F4" s="34"/>
      <c r="G4" s="34"/>
      <c r="H4" s="34"/>
      <c r="I4" s="34"/>
      <c r="J4" s="34"/>
      <c r="K4" s="34"/>
      <c r="L4" s="34"/>
      <c r="M4" s="34"/>
      <c r="N4" s="34"/>
      <c r="O4" s="34"/>
      <c r="P4" s="34"/>
    </row>
    <row r="5" spans="1:26">
      <c r="A5" s="34"/>
      <c r="B5" s="307" t="s">
        <v>16</v>
      </c>
      <c r="C5" s="307"/>
      <c r="D5" s="34"/>
      <c r="E5" s="34"/>
      <c r="F5" s="34"/>
      <c r="G5" s="34"/>
      <c r="H5" s="34"/>
      <c r="I5" s="34"/>
      <c r="J5" s="34"/>
      <c r="K5" s="34"/>
      <c r="L5" s="34"/>
      <c r="M5" s="34"/>
      <c r="N5" s="34"/>
      <c r="O5" s="34"/>
      <c r="P5" s="34"/>
    </row>
    <row r="6" spans="1:26" ht="17.5" customHeight="1">
      <c r="A6" s="34"/>
      <c r="B6" s="34"/>
      <c r="C6" s="48" t="s">
        <v>17</v>
      </c>
      <c r="D6" s="34"/>
      <c r="E6" s="34"/>
      <c r="F6" s="34"/>
      <c r="G6" s="34"/>
      <c r="H6" s="34"/>
      <c r="I6" s="34"/>
      <c r="J6" s="34"/>
      <c r="K6" s="34"/>
      <c r="L6" s="34"/>
      <c r="M6" s="34"/>
      <c r="N6" s="34"/>
      <c r="O6" s="34"/>
      <c r="P6" s="34"/>
    </row>
    <row r="7" spans="1:26">
      <c r="A7" s="34"/>
      <c r="B7" s="34"/>
      <c r="C7" s="49" t="s">
        <v>18</v>
      </c>
      <c r="D7" s="34"/>
      <c r="E7" s="34"/>
      <c r="F7" s="34"/>
      <c r="G7" s="34"/>
      <c r="H7" s="34"/>
      <c r="I7" s="34"/>
      <c r="J7" s="34"/>
      <c r="K7" s="34"/>
      <c r="L7" s="34"/>
      <c r="M7" s="34"/>
      <c r="N7" s="34"/>
      <c r="O7" s="34"/>
      <c r="P7" s="34"/>
    </row>
    <row r="8" spans="1:26">
      <c r="A8" s="34"/>
      <c r="B8" s="308" t="s">
        <v>19</v>
      </c>
      <c r="C8" s="308"/>
      <c r="D8" s="34"/>
      <c r="E8" s="34"/>
      <c r="F8" s="34"/>
      <c r="G8" s="34"/>
      <c r="H8" s="34"/>
      <c r="I8" s="34"/>
      <c r="J8" s="34"/>
      <c r="K8" s="34"/>
      <c r="L8" s="34"/>
      <c r="M8" s="34"/>
      <c r="N8" s="34"/>
      <c r="O8" s="34"/>
      <c r="P8" s="34"/>
    </row>
    <row r="9" spans="1:26">
      <c r="A9" s="34"/>
      <c r="B9" s="34"/>
      <c r="C9" s="34"/>
      <c r="D9" s="34"/>
      <c r="E9" s="34"/>
      <c r="F9" s="34"/>
      <c r="G9" s="34"/>
      <c r="H9" s="34"/>
      <c r="I9" s="34"/>
      <c r="J9" s="34"/>
      <c r="K9" s="34"/>
      <c r="L9" s="34"/>
      <c r="M9" s="34"/>
      <c r="N9" s="34"/>
      <c r="O9" s="34"/>
      <c r="P9" s="34"/>
    </row>
    <row r="10" spans="1:26">
      <c r="A10" s="34"/>
      <c r="B10" s="34"/>
      <c r="C10" s="34"/>
      <c r="D10" s="34"/>
      <c r="E10" s="34"/>
      <c r="F10" s="34"/>
      <c r="G10" s="34"/>
      <c r="H10" s="34"/>
      <c r="I10" s="34"/>
      <c r="J10" s="34"/>
      <c r="K10" s="34"/>
      <c r="L10" s="34"/>
      <c r="M10" s="34"/>
      <c r="N10" s="34"/>
      <c r="O10" s="34"/>
      <c r="P10" s="34"/>
    </row>
    <row r="11" spans="1:26" ht="20" thickBot="1">
      <c r="A11" s="34"/>
      <c r="B11" s="290" t="s">
        <v>20</v>
      </c>
      <c r="C11" s="290"/>
      <c r="D11" s="290"/>
      <c r="E11" s="290"/>
      <c r="F11" s="290"/>
      <c r="G11" s="290"/>
      <c r="H11" s="290"/>
      <c r="I11" s="290"/>
      <c r="J11" s="290"/>
      <c r="K11" s="290"/>
      <c r="L11" s="290"/>
      <c r="M11" s="290"/>
      <c r="N11" s="34"/>
      <c r="O11" s="34"/>
      <c r="P11" s="34"/>
    </row>
    <row r="12" spans="1:26">
      <c r="A12" s="34"/>
      <c r="B12" s="34"/>
      <c r="C12" s="171"/>
      <c r="D12" s="34"/>
      <c r="E12" s="34"/>
      <c r="F12" s="34"/>
      <c r="G12" s="34"/>
      <c r="H12" s="34"/>
      <c r="I12" s="34"/>
      <c r="J12" s="34"/>
      <c r="K12" s="34"/>
      <c r="L12" s="34"/>
      <c r="M12" s="34"/>
      <c r="N12" s="34"/>
      <c r="O12" s="34"/>
      <c r="P12" s="34"/>
    </row>
    <row r="13" spans="1:26">
      <c r="A13" s="34"/>
      <c r="B13" s="34"/>
      <c r="C13" s="309" t="s">
        <v>21</v>
      </c>
      <c r="D13" s="309"/>
      <c r="E13" s="309"/>
      <c r="F13" s="309"/>
      <c r="G13" s="309"/>
      <c r="H13" s="309"/>
      <c r="I13" s="34"/>
      <c r="J13" s="34"/>
      <c r="K13" s="34"/>
      <c r="L13" s="34"/>
      <c r="M13" s="34"/>
      <c r="N13" s="34"/>
      <c r="O13" s="34"/>
      <c r="P13" s="34"/>
    </row>
    <row r="14" spans="1:26" s="90" customFormat="1">
      <c r="A14" s="136"/>
      <c r="B14" s="57" t="s">
        <v>22</v>
      </c>
      <c r="C14" s="151" t="s">
        <v>23</v>
      </c>
      <c r="D14" s="57" t="s">
        <v>24</v>
      </c>
      <c r="E14" s="57" t="s">
        <v>699</v>
      </c>
      <c r="F14" s="57" t="s">
        <v>26</v>
      </c>
      <c r="G14" s="57" t="s">
        <v>27</v>
      </c>
      <c r="H14" s="57" t="s">
        <v>28</v>
      </c>
      <c r="I14" s="57" t="s">
        <v>29</v>
      </c>
      <c r="J14" s="34"/>
      <c r="K14" s="34"/>
      <c r="L14" s="34"/>
      <c r="M14" s="34"/>
      <c r="N14" s="34"/>
      <c r="O14" s="34"/>
      <c r="P14" s="34"/>
      <c r="Q14"/>
      <c r="R14" s="57" t="s">
        <v>30</v>
      </c>
      <c r="S14" s="64" t="s">
        <v>31</v>
      </c>
      <c r="T14" s="57" t="s">
        <v>32</v>
      </c>
      <c r="U14" s="57" t="s">
        <v>33</v>
      </c>
      <c r="Z14" s="136"/>
    </row>
    <row r="15" spans="1:26" ht="29">
      <c r="A15" s="34"/>
      <c r="B15" s="160">
        <v>1</v>
      </c>
      <c r="C15" s="73" t="s">
        <v>34</v>
      </c>
      <c r="D15" s="156">
        <v>1</v>
      </c>
      <c r="E15" s="156" t="s">
        <v>700</v>
      </c>
      <c r="F15" s="248">
        <v>20</v>
      </c>
      <c r="G15" s="155">
        <v>2022</v>
      </c>
      <c r="H15" s="155" t="s">
        <v>36</v>
      </c>
      <c r="I15" s="155" t="s">
        <v>37</v>
      </c>
      <c r="J15" s="34"/>
      <c r="K15" s="34"/>
      <c r="L15" s="34"/>
      <c r="M15" s="34"/>
      <c r="N15" s="34"/>
      <c r="O15" s="34"/>
      <c r="P15" s="34"/>
      <c r="R15" s="41" t="b">
        <f>NOT(C60=MAT_AR)</f>
        <v>1</v>
      </c>
      <c r="S15" s="38">
        <f>IF(C60=MAT_AR,D60,F15)</f>
        <v>20</v>
      </c>
      <c r="T15" s="41">
        <f>IF(C60=MAT_AR,D60,0)</f>
        <v>0</v>
      </c>
      <c r="U15" s="41" t="b">
        <f>AND(NOT(ISBLANK(C15)),NOT(ISBLANK(D15)),NOT(ISBLANK(F15)),NOT(ISBLANK(G15)),NOT(ISBLANK(H15)),NOT(ISBLANK(I15)),NOT(OR(T24:U24)),NOT(ISBLANK(C60)))</f>
        <v>1</v>
      </c>
    </row>
    <row r="16" spans="1:26" ht="29">
      <c r="A16" s="34"/>
      <c r="B16" s="160">
        <v>2</v>
      </c>
      <c r="C16" s="73" t="s">
        <v>38</v>
      </c>
      <c r="D16" s="156">
        <v>1</v>
      </c>
      <c r="E16" s="156" t="s">
        <v>25</v>
      </c>
      <c r="F16" s="248">
        <v>15</v>
      </c>
      <c r="G16" s="155">
        <v>2022</v>
      </c>
      <c r="H16" s="155" t="s">
        <v>36</v>
      </c>
      <c r="I16" s="155" t="s">
        <v>37</v>
      </c>
      <c r="J16" s="34"/>
      <c r="K16" s="34"/>
      <c r="L16" s="34"/>
      <c r="M16" s="34"/>
      <c r="N16" s="34"/>
      <c r="O16" s="34"/>
      <c r="P16" s="34"/>
      <c r="R16" s="41" t="b">
        <f>NOT(C61=MAT_AR)</f>
        <v>1</v>
      </c>
      <c r="S16" s="38">
        <f>IF(C61=MAT_AR,D61,F16)</f>
        <v>15</v>
      </c>
      <c r="T16" s="41">
        <f>IF(C61=MAT_AR,D61,0)</f>
        <v>0</v>
      </c>
      <c r="U16" s="41" t="b">
        <f>AND(NOT(ISBLANK(C16)),NOT(ISBLANK(D16)),NOT(ISBLANK(F16)),NOT(ISBLANK(G16)),NOT(ISBLANK(H16)),NOT(ISBLANK(I16)),NOT(OR(T25:U25)),NOT(ISBLANK(C61)))</f>
        <v>1</v>
      </c>
    </row>
    <row r="17" spans="1:23" ht="29">
      <c r="A17" s="34"/>
      <c r="B17" s="160">
        <v>3</v>
      </c>
      <c r="C17" s="73" t="s">
        <v>709</v>
      </c>
      <c r="D17" s="156">
        <v>1</v>
      </c>
      <c r="E17" s="156" t="s">
        <v>25</v>
      </c>
      <c r="F17" s="248">
        <v>10</v>
      </c>
      <c r="G17" s="155">
        <v>2022</v>
      </c>
      <c r="H17" s="155" t="s">
        <v>225</v>
      </c>
      <c r="I17" s="155" t="s">
        <v>37</v>
      </c>
      <c r="J17" s="34"/>
      <c r="K17" s="34"/>
      <c r="L17" s="34"/>
      <c r="M17" s="34"/>
      <c r="N17" s="34"/>
      <c r="O17" s="34"/>
      <c r="P17" s="34"/>
      <c r="R17" s="41" t="b">
        <f>NOT(C62=MAT_AR)</f>
        <v>1</v>
      </c>
      <c r="S17" s="38">
        <f>IF(C62=MAT_AR,D62,F17)</f>
        <v>10</v>
      </c>
      <c r="T17" s="41">
        <f>IF(C62=MAT_AR,D62,0)</f>
        <v>0</v>
      </c>
      <c r="U17" s="41" t="b">
        <f>AND(NOT(ISBLANK(C17)),NOT(ISBLANK(D17)),NOT(ISBLANK(F17)),NOT(ISBLANK(G17)),NOT(ISBLANK(H17)),NOT(ISBLANK(I17)),NOT(OR(T26:U26)),NOT(ISBLANK(C62)))</f>
        <v>1</v>
      </c>
    </row>
    <row r="18" spans="1:23">
      <c r="A18" s="34"/>
      <c r="B18" s="160">
        <v>4</v>
      </c>
      <c r="C18" s="73"/>
      <c r="D18" s="156"/>
      <c r="E18" s="156"/>
      <c r="F18" s="248"/>
      <c r="G18" s="155"/>
      <c r="H18" s="155"/>
      <c r="I18" s="155"/>
      <c r="J18" s="34"/>
      <c r="K18" s="34"/>
      <c r="L18" s="34"/>
      <c r="M18" s="34"/>
      <c r="N18" s="34"/>
      <c r="O18" s="34"/>
      <c r="P18" s="34"/>
      <c r="R18" s="41" t="b">
        <f>NOT(C63=MAT_AR)</f>
        <v>1</v>
      </c>
      <c r="S18" s="38">
        <f>IF(C63=MAT_AR,D63,F18)</f>
        <v>0</v>
      </c>
      <c r="T18" s="41">
        <f>IF(C63=MAT_AR,D63,0)</f>
        <v>0</v>
      </c>
      <c r="U18" s="41" t="b">
        <f>AND(NOT(ISBLANK(C18)),NOT(ISBLANK(D18)),NOT(ISBLANK(F18)),NOT(ISBLANK(G18)),NOT(ISBLANK(H18)),NOT(ISBLANK(I18)),NOT(OR(T27:U27)),NOT(ISBLANK(C63)))</f>
        <v>0</v>
      </c>
    </row>
    <row r="19" spans="1:23">
      <c r="A19" s="34"/>
      <c r="B19" s="160">
        <v>5</v>
      </c>
      <c r="C19" s="73"/>
      <c r="D19" s="156"/>
      <c r="E19" s="156"/>
      <c r="F19" s="248"/>
      <c r="G19" s="155"/>
      <c r="H19" s="155"/>
      <c r="I19" s="155"/>
      <c r="J19" s="34"/>
      <c r="K19" s="34"/>
      <c r="L19" s="34"/>
      <c r="M19" s="34"/>
      <c r="N19" s="34"/>
      <c r="O19" s="34"/>
      <c r="P19" s="34"/>
      <c r="R19" s="41" t="b">
        <f>NOT(C64=MAT_AR)</f>
        <v>0</v>
      </c>
      <c r="S19" s="38">
        <f>IF(C64=MAT_AR,D64,F19)</f>
        <v>0</v>
      </c>
      <c r="T19" s="41">
        <f>IF(C64=MAT_AR,D64,0)</f>
        <v>0</v>
      </c>
      <c r="U19" s="41" t="b">
        <f>AND(NOT(ISBLANK(C19)),NOT(ISBLANK(D19)),NOT(ISBLANK(F19)),NOT(ISBLANK(G19)),NOT(ISBLANK(H19)),NOT(ISBLANK(I19)),NOT(OR(T28:U28)),NOT(ISBLANK(C64)))</f>
        <v>0</v>
      </c>
    </row>
    <row r="20" spans="1:23">
      <c r="A20" s="34"/>
      <c r="B20" s="34"/>
      <c r="C20" s="34"/>
      <c r="D20" s="34"/>
      <c r="E20" s="34"/>
      <c r="F20" s="34"/>
      <c r="G20" s="34"/>
      <c r="H20" s="34"/>
      <c r="I20" s="34"/>
      <c r="J20" s="34"/>
      <c r="K20" s="34"/>
      <c r="L20" s="34"/>
      <c r="M20" s="34"/>
      <c r="N20" s="34"/>
      <c r="O20" s="34"/>
      <c r="P20" s="34"/>
    </row>
    <row r="21" spans="1:23" ht="33" customHeight="1">
      <c r="A21" s="34"/>
      <c r="B21" s="34"/>
      <c r="C21" s="310" t="s">
        <v>21</v>
      </c>
      <c r="D21" s="311"/>
      <c r="E21" s="311"/>
      <c r="F21" s="311"/>
      <c r="G21" s="34"/>
      <c r="H21" s="34"/>
      <c r="I21" s="34"/>
      <c r="J21" s="34"/>
      <c r="K21" s="34"/>
      <c r="L21" s="34"/>
      <c r="M21" s="34"/>
      <c r="N21" s="34"/>
      <c r="O21" s="34"/>
      <c r="P21" s="34"/>
    </row>
    <row r="22" spans="1:23" ht="30" customHeight="1">
      <c r="A22" s="34"/>
      <c r="B22" s="34"/>
      <c r="C22" s="297" t="s">
        <v>39</v>
      </c>
      <c r="D22" s="297"/>
      <c r="E22" s="297" t="s">
        <v>40</v>
      </c>
      <c r="F22" s="297"/>
      <c r="G22" s="34"/>
      <c r="H22" s="34"/>
      <c r="I22" s="34"/>
      <c r="J22" s="34"/>
      <c r="K22" s="34"/>
      <c r="L22" s="34"/>
      <c r="M22" s="34"/>
      <c r="N22" s="34"/>
      <c r="O22" s="34"/>
      <c r="P22" s="34"/>
    </row>
    <row r="23" spans="1:23" ht="55.5" customHeight="1">
      <c r="A23" s="34"/>
      <c r="B23" s="55" t="s">
        <v>22</v>
      </c>
      <c r="C23" s="51" t="s">
        <v>41</v>
      </c>
      <c r="D23" s="51" t="s">
        <v>42</v>
      </c>
      <c r="E23" s="216" t="s">
        <v>43</v>
      </c>
      <c r="F23" s="216" t="s">
        <v>44</v>
      </c>
      <c r="G23" s="34"/>
      <c r="H23" s="216" t="s">
        <v>45</v>
      </c>
      <c r="I23" s="216" t="s">
        <v>46</v>
      </c>
      <c r="J23" s="216" t="s">
        <v>47</v>
      </c>
      <c r="K23" s="216" t="s">
        <v>48</v>
      </c>
      <c r="L23" s="216" t="s">
        <v>49</v>
      </c>
      <c r="M23" s="215" t="s">
        <v>50</v>
      </c>
      <c r="N23" s="34"/>
      <c r="O23" s="34"/>
      <c r="P23" s="34"/>
      <c r="R23" s="51" t="s">
        <v>51</v>
      </c>
      <c r="S23" s="51" t="s">
        <v>52</v>
      </c>
      <c r="T23" s="51" t="s">
        <v>53</v>
      </c>
      <c r="U23" s="51" t="s">
        <v>53</v>
      </c>
      <c r="V23" s="39" t="s">
        <v>54</v>
      </c>
      <c r="W23" s="39" t="s">
        <v>55</v>
      </c>
    </row>
    <row r="24" spans="1:23" ht="29">
      <c r="A24" s="34"/>
      <c r="B24" s="56">
        <v>1</v>
      </c>
      <c r="C24" s="66">
        <v>696.15</v>
      </c>
      <c r="D24" s="66">
        <v>8.08</v>
      </c>
      <c r="E24" s="231" t="s">
        <v>56</v>
      </c>
      <c r="F24" s="232" t="s">
        <v>233</v>
      </c>
      <c r="G24" s="34"/>
      <c r="H24" s="182">
        <f>IFERROR(IF(U15,IF(F24&lt;&gt;"User Specified",INDEX('Refrigerant GWPs'!$G$2:$G$155,MATCH(F24,'Refrigerant GWPs'!$A$2:$A$155,0)),IF(ISBLANK(C33),"Enter Data Below",C33)),""), "Please enter refrigerant")</f>
        <v>2087.5</v>
      </c>
      <c r="I24" s="182">
        <f>IFERROR(IF($U15, IF($E24&lt;&gt;"User Specified", INDEX('Device Refrigerant Leakage'!D$2:D$42,MATCH('Fuel Sub Calcs-Custom'!$E24,'Device Refrigerant Leakage'!$B$2:$B$42,0)), IF(ISBLANK(D33),"Enter Data Below",D33)),""), "Enter Device Info")</f>
        <v>70</v>
      </c>
      <c r="J24" s="170">
        <f>IFERROR(IF($U15, IF($E24&lt;&gt;"User Specified", INDEX('Device Refrigerant Leakage'!E$2:E$42,MATCH('Fuel Sub Calcs-Custom'!$E24,'Device Refrigerant Leakage'!$B$2:$B$42,0)), IF(ISBLANK(E33),"Enter Data Below",E33)),""), "Enter Device Info")</f>
        <v>7.0000000000000007E-2</v>
      </c>
      <c r="K24" s="170">
        <f>IFERROR(IF($U15, IF($E24&lt;&gt;"User Specified", INDEX('Device Refrigerant Leakage'!F$2:F$42,MATCH('Fuel Sub Calcs-Custom'!$E24,'Device Refrigerant Leakage'!$B$2:$B$42,0)), IF(ISBLANK(F33),"Enter Data Below",F33)),""), "Enter Device Info")</f>
        <v>0.2</v>
      </c>
      <c r="L24" s="182">
        <f>IFERROR(IF($U15, IF($E24&lt;&gt;"User Specified", INDEX('Device Refrigerant Leakage'!G$2:G$42,MATCH('Fuel Sub Calcs-Custom'!$E24,'Device Refrigerant Leakage'!$B$2:$B$42,0)), IF(ISBLANK(G33),"Enter Data Below",G33)),""), "Enter Device Info")</f>
        <v>0</v>
      </c>
      <c r="M24" s="47">
        <f>IF(U15,IF(C60="NR",F15,IF(E24="User Specified",IF(ISBLANK(H33),"Enter Data Below",H33),INDEX('Device Refrigerant Leakage'!$C$2:$C$42,MATCH('Fuel Sub Calcs-Custom'!E24,'Device Refrigerant Leakage'!$B$2:$B$42,0)))),"")</f>
        <v>20</v>
      </c>
      <c r="N24" s="34"/>
      <c r="O24" s="34"/>
      <c r="P24" s="34"/>
      <c r="R24" s="47" t="b">
        <f t="shared" ref="R24:S28" si="0">NOT(OR(ISBLANK(C24),ISBLANK(C42)))</f>
        <v>1</v>
      </c>
      <c r="S24" s="42" t="b">
        <f t="shared" si="0"/>
        <v>1</v>
      </c>
      <c r="T24" s="42" t="b">
        <f t="shared" ref="T24:U28" si="1">AND(NOT(R24))</f>
        <v>0</v>
      </c>
      <c r="U24" s="42" t="b">
        <f t="shared" si="1"/>
        <v>0</v>
      </c>
      <c r="V24" s="70">
        <f t="shared" ref="V24:W28" si="2">C24-C42</f>
        <v>-19.100000000000023</v>
      </c>
      <c r="W24" s="70">
        <f t="shared" si="2"/>
        <v>8.08</v>
      </c>
    </row>
    <row r="25" spans="1:23">
      <c r="A25" s="34"/>
      <c r="B25" s="56">
        <v>2</v>
      </c>
      <c r="C25" s="66">
        <v>514.02</v>
      </c>
      <c r="D25" s="66">
        <v>59.98</v>
      </c>
      <c r="E25" s="231" t="s">
        <v>220</v>
      </c>
      <c r="F25" s="232" t="s">
        <v>233</v>
      </c>
      <c r="G25" s="34"/>
      <c r="H25" s="182">
        <f>IFERROR(IF(U16,IF(F25&lt;&gt;"User Specified",INDEX('Refrigerant GWPs'!$G$2:$G$155,MATCH(F25,'Refrigerant GWPs'!$A$2:$A$155,0)),IF(ISBLANK(C34),"Enter Data Below",C34)),""), "Please enter refrigerant")</f>
        <v>2087.5</v>
      </c>
      <c r="I25" s="182">
        <f>IFERROR(IF($U16, IF($E25&lt;&gt;"User Specified", INDEX('Device Refrigerant Leakage'!D$2:D$42,MATCH('Fuel Sub Calcs-Custom'!$E25,'Device Refrigerant Leakage'!$B$2:$B$42,0)), IF(ISBLANK(D34),"Enter Data Below",D34)),""), "Enter Device Info")</f>
        <v>7.5</v>
      </c>
      <c r="J25" s="170">
        <f>IFERROR(IF($U16, IF($E25&lt;&gt;"User Specified", INDEX('Device Refrigerant Leakage'!E$2:E$42,MATCH('Fuel Sub Calcs-Custom'!$E25,'Device Refrigerant Leakage'!$B$2:$B$42,0)), IF(ISBLANK(E34),"Enter Data Below",E34)),""), "Enter Device Info")</f>
        <v>0.05</v>
      </c>
      <c r="K25" s="170">
        <f>IFERROR(IF($U16, IF($E25&lt;&gt;"User Specified", INDEX('Device Refrigerant Leakage'!F$2:F$42,MATCH('Fuel Sub Calcs-Custom'!$E25,'Device Refrigerant Leakage'!$B$2:$B$42,0)), IF(ISBLANK(F34),"Enter Data Below",F34)),""), "Enter Device Info")</f>
        <v>0.8</v>
      </c>
      <c r="L25" s="182">
        <f>IFERROR(IF($U16, IF($E25&lt;&gt;"User Specified", INDEX('Device Refrigerant Leakage'!G$2:G$42,MATCH('Fuel Sub Calcs-Custom'!$E25,'Device Refrigerant Leakage'!$B$2:$B$42,0)), IF(ISBLANK(G34),"Enter Data Below",G34)),""), "Enter Device Info")</f>
        <v>3</v>
      </c>
      <c r="M25" s="47">
        <f>IF(U16,IF(C61="NR",F16,IF(E25="User Specified",IF(ISBLANK(H34),"Enter Data Below",H34),INDEX('Device Refrigerant Leakage'!$C$2:$C$42,MATCH('Fuel Sub Calcs-Custom'!E25,'Device Refrigerant Leakage'!$B$2:$B$42,0)))),"")</f>
        <v>15</v>
      </c>
      <c r="N25" s="34"/>
      <c r="O25" s="34"/>
      <c r="P25" s="34"/>
      <c r="R25" s="47" t="b">
        <f t="shared" si="0"/>
        <v>1</v>
      </c>
      <c r="S25" s="42" t="b">
        <f t="shared" si="0"/>
        <v>1</v>
      </c>
      <c r="T25" s="42" t="b">
        <f t="shared" si="1"/>
        <v>0</v>
      </c>
      <c r="U25" s="42" t="b">
        <f t="shared" si="1"/>
        <v>0</v>
      </c>
      <c r="V25" s="70">
        <f t="shared" si="2"/>
        <v>-364.62</v>
      </c>
      <c r="W25" s="70">
        <f t="shared" si="2"/>
        <v>59.98</v>
      </c>
    </row>
    <row r="26" spans="1:23">
      <c r="A26" s="34"/>
      <c r="B26" s="56">
        <v>3</v>
      </c>
      <c r="C26" s="66">
        <v>1497.11</v>
      </c>
      <c r="D26" s="66">
        <v>0</v>
      </c>
      <c r="E26" s="231" t="s">
        <v>231</v>
      </c>
      <c r="F26" s="232" t="s">
        <v>233</v>
      </c>
      <c r="G26" s="34"/>
      <c r="H26" s="182">
        <f>IFERROR(IF(U17,IF(F26&lt;&gt;"User Specified",INDEX('Refrigerant GWPs'!$G$2:$G$155,MATCH(F26,'Refrigerant GWPs'!$A$2:$A$155,0)),IF(ISBLANK(C35),"Enter Data Below",C35)),""), "Please enter refrigerant")</f>
        <v>2087.5</v>
      </c>
      <c r="I26" s="182">
        <f>IFERROR(IF($U17, IF($E26&lt;&gt;"User Specified", INDEX('Device Refrigerant Leakage'!D$2:D$42,MATCH('Fuel Sub Calcs-Custom'!$E26,'Device Refrigerant Leakage'!$B$2:$B$42,0)), IF(ISBLANK(D35),"Enter Data Below",D35)),""), "Enter Device Info")</f>
        <v>2.4</v>
      </c>
      <c r="J26" s="170">
        <f>IFERROR(IF($U17, IF($E26&lt;&gt;"User Specified", INDEX('Device Refrigerant Leakage'!E$2:E$42,MATCH('Fuel Sub Calcs-Custom'!$E26,'Device Refrigerant Leakage'!$B$2:$B$42,0)), IF(ISBLANK(E35),"Enter Data Below",E35)),""), "Enter Device Info")</f>
        <v>0.01</v>
      </c>
      <c r="K26" s="170">
        <f>IFERROR(IF($U17, IF($E26&lt;&gt;"User Specified", INDEX('Device Refrigerant Leakage'!F$2:F$42,MATCH('Fuel Sub Calcs-Custom'!$E26,'Device Refrigerant Leakage'!$B$2:$B$42,0)), IF(ISBLANK(F35),"Enter Data Below",F35)),""), "Enter Device Info")</f>
        <v>1</v>
      </c>
      <c r="L26" s="182">
        <f>IFERROR(IF($U17, IF($E26&lt;&gt;"User Specified", INDEX('Device Refrigerant Leakage'!G$2:G$42,MATCH('Fuel Sub Calcs-Custom'!$E26,'Device Refrigerant Leakage'!$B$2:$B$42,0)), IF(ISBLANK(G35),"Enter Data Below",G35)),""), "Enter Device Info")</f>
        <v>14</v>
      </c>
      <c r="M26" s="47">
        <f>IF(U17,IF(C62="NR",F17,IF(E26="User Specified",IF(ISBLANK(H35),"Enter Data Below",H35),INDEX('Device Refrigerant Leakage'!$C$2:$C$42,MATCH('Fuel Sub Calcs-Custom'!E26,'Device Refrigerant Leakage'!$B$2:$B$42,0)))),"")</f>
        <v>10</v>
      </c>
      <c r="N26" s="34"/>
      <c r="O26" s="34"/>
      <c r="P26" s="34"/>
      <c r="R26" s="47" t="b">
        <f>NOT(OR(ISBLANK(C26),ISBLANK(C44)))</f>
        <v>1</v>
      </c>
      <c r="S26" s="42" t="b">
        <f>NOT(OR(ISBLANK(D26),ISBLANK(D44)))</f>
        <v>1</v>
      </c>
      <c r="T26" s="42" t="b">
        <f t="shared" si="1"/>
        <v>0</v>
      </c>
      <c r="U26" s="42" t="b">
        <f t="shared" si="1"/>
        <v>0</v>
      </c>
      <c r="V26" s="70">
        <f>C26-C44</f>
        <v>0</v>
      </c>
      <c r="W26" s="70">
        <f>D26-D44</f>
        <v>0</v>
      </c>
    </row>
    <row r="27" spans="1:23">
      <c r="A27" s="34"/>
      <c r="B27" s="56">
        <v>4</v>
      </c>
      <c r="C27" s="66"/>
      <c r="D27" s="66"/>
      <c r="E27" s="231"/>
      <c r="F27" s="232"/>
      <c r="G27" s="34"/>
      <c r="H27" s="182" t="str">
        <f>IFERROR(IF(U18,IF(F27&lt;&gt;"User Specified",INDEX('Refrigerant GWPs'!$G$2:$G$155,MATCH(F27,'Refrigerant GWPs'!$A$2:$A$155,0)),IF(ISBLANK(C36),"Enter Data Below",C36)),""), "Please enter refrigerant")</f>
        <v/>
      </c>
      <c r="I27" s="182" t="str">
        <f>IFERROR(IF($U18, IF($E27&lt;&gt;"User Specified", INDEX('Device Refrigerant Leakage'!D$2:D$42,MATCH('Fuel Sub Calcs-Custom'!$E27,'Device Refrigerant Leakage'!$B$2:$B$42,0)), IF(ISBLANK(D36),"Enter Data Below",D36)),""), "Enter Device Info")</f>
        <v/>
      </c>
      <c r="J27" s="170" t="str">
        <f>IFERROR(IF($U18, IF($E27&lt;&gt;"User Specified", INDEX('Device Refrigerant Leakage'!E$2:E$42,MATCH('Fuel Sub Calcs-Custom'!$E27,'Device Refrigerant Leakage'!$B$2:$B$42,0)), IF(ISBLANK(E36),"Enter Data Below",E36)),""), "Enter Device Info")</f>
        <v/>
      </c>
      <c r="K27" s="170" t="str">
        <f>IFERROR(IF($U18, IF($E27&lt;&gt;"User Specified", INDEX('Device Refrigerant Leakage'!F$2:F$42,MATCH('Fuel Sub Calcs-Custom'!$E27,'Device Refrigerant Leakage'!$B$2:$B$42,0)), IF(ISBLANK(F36),"Enter Data Below",F36)),""), "Enter Device Info")</f>
        <v/>
      </c>
      <c r="L27" s="182" t="str">
        <f>IFERROR(IF($U18, IF($E27&lt;&gt;"User Specified", INDEX('Device Refrigerant Leakage'!G$2:G$42,MATCH('Fuel Sub Calcs-Custom'!$E27,'Device Refrigerant Leakage'!$B$2:$B$42,0)), IF(ISBLANK(G36),"Enter Data Below",G36)),""), "Enter Device Info")</f>
        <v/>
      </c>
      <c r="M27" s="47" t="str">
        <f>IF(U18,IF(C63="NR",F18,IF(E27="User Specified",IF(ISBLANK(H36),"Enter Data Below",H36),INDEX('Device Refrigerant Leakage'!$C$2:$C$42,MATCH('Fuel Sub Calcs-Custom'!E27,'Device Refrigerant Leakage'!$B$2:$B$42,0)))),"")</f>
        <v/>
      </c>
      <c r="N27" s="34"/>
      <c r="O27" s="34"/>
      <c r="P27" s="34"/>
      <c r="R27" s="47" t="b">
        <f>NOT(OR(ISBLANK(C27),ISBLANK(C45)))</f>
        <v>0</v>
      </c>
      <c r="S27" s="42" t="b">
        <f>NOT(OR(ISBLANK(D27),ISBLANK(D45)))</f>
        <v>0</v>
      </c>
      <c r="T27" s="42" t="b">
        <f t="shared" si="1"/>
        <v>1</v>
      </c>
      <c r="U27" s="42" t="b">
        <f t="shared" si="1"/>
        <v>1</v>
      </c>
      <c r="V27" s="70">
        <f>C27-C45</f>
        <v>0</v>
      </c>
      <c r="W27" s="70">
        <f>D27-D45</f>
        <v>0</v>
      </c>
    </row>
    <row r="28" spans="1:23">
      <c r="A28" s="34"/>
      <c r="B28" s="56">
        <v>5</v>
      </c>
      <c r="C28" s="66"/>
      <c r="D28" s="66"/>
      <c r="E28" s="249"/>
      <c r="F28" s="232"/>
      <c r="G28" s="34"/>
      <c r="H28" s="182" t="str">
        <f>IFERROR(IF(U19,IF(F28&lt;&gt;"User Specified",INDEX('Refrigerant GWPs'!$G$2:$G$155,MATCH(F28,'Refrigerant GWPs'!$A$2:$A$155,0)),IF(ISBLANK(C37),"Enter Data Below",C37)),""), "Please enter refrigerant")</f>
        <v/>
      </c>
      <c r="I28" s="182" t="str">
        <f>IFERROR(IF($U19, IF($E28&lt;&gt;"User Specified", INDEX('Device Refrigerant Leakage'!D$2:D$42,MATCH('Fuel Sub Calcs-Custom'!$E28,'Device Refrigerant Leakage'!$B$2:$B$42,0)), IF(ISBLANK(D37),"Enter Data Below",D37)),""), "Enter Device Info")</f>
        <v/>
      </c>
      <c r="J28" s="170" t="str">
        <f>IFERROR(IF($U19, IF($E28&lt;&gt;"User Specified", INDEX('Device Refrigerant Leakage'!E$2:E$42,MATCH('Fuel Sub Calcs-Custom'!$E28,'Device Refrigerant Leakage'!$B$2:$B$42,0)), IF(ISBLANK(E37),"Enter Data Below",E37)),""), "Enter Device Info")</f>
        <v/>
      </c>
      <c r="K28" s="170" t="str">
        <f>IFERROR(IF($U19, IF($E28&lt;&gt;"User Specified", INDEX('Device Refrigerant Leakage'!F$2:F$42,MATCH('Fuel Sub Calcs-Custom'!$E28,'Device Refrigerant Leakage'!$B$2:$B$42,0)), IF(ISBLANK(F37),"Enter Data Below",F37)),""), "Enter Device Info")</f>
        <v/>
      </c>
      <c r="L28" s="182" t="str">
        <f>IFERROR(IF($U19, IF($E28&lt;&gt;"User Specified", INDEX('Device Refrigerant Leakage'!G$2:G$42,MATCH('Fuel Sub Calcs-Custom'!$E28,'Device Refrigerant Leakage'!$B$2:$B$42,0)), IF(ISBLANK(G37),"Enter Data Below",G37)),""), "Enter Device Info")</f>
        <v/>
      </c>
      <c r="M28" s="47" t="str">
        <f>IF(U19,IF(C64="NR",F19,IF(E28="User Specified",IF(ISBLANK(H37),"Enter Data Below",H37),INDEX('Device Refrigerant Leakage'!$C$2:$C$42,MATCH('Fuel Sub Calcs-Custom'!E28,'Device Refrigerant Leakage'!$B$2:$B$42,0)))),"")</f>
        <v/>
      </c>
      <c r="N28" s="34"/>
      <c r="O28" s="34"/>
      <c r="P28" s="34"/>
      <c r="R28" s="47" t="b">
        <f t="shared" si="0"/>
        <v>0</v>
      </c>
      <c r="S28" s="42" t="b">
        <f t="shared" si="0"/>
        <v>0</v>
      </c>
      <c r="T28" s="42" t="b">
        <f t="shared" si="1"/>
        <v>1</v>
      </c>
      <c r="U28" s="42" t="b">
        <f t="shared" si="1"/>
        <v>1</v>
      </c>
      <c r="V28" s="70">
        <f t="shared" si="2"/>
        <v>-1497.11</v>
      </c>
      <c r="W28" s="70">
        <f t="shared" si="2"/>
        <v>0</v>
      </c>
    </row>
    <row r="29" spans="1:23">
      <c r="A29" s="34"/>
      <c r="B29" s="34"/>
      <c r="C29" s="34"/>
      <c r="D29" s="34"/>
      <c r="E29" s="34"/>
      <c r="F29" s="34"/>
      <c r="G29" s="34"/>
      <c r="H29" s="34"/>
      <c r="I29" s="34"/>
      <c r="J29" s="34"/>
      <c r="K29" s="34"/>
      <c r="L29" s="34"/>
      <c r="M29" s="34"/>
      <c r="N29" s="34"/>
      <c r="O29" s="34"/>
      <c r="P29" s="34"/>
    </row>
    <row r="30" spans="1:23" ht="42" customHeight="1">
      <c r="A30" s="34"/>
      <c r="B30" s="34"/>
      <c r="C30" s="233" t="s">
        <v>59</v>
      </c>
      <c r="D30" s="291" t="s">
        <v>60</v>
      </c>
      <c r="E30" s="292"/>
      <c r="F30" s="292"/>
      <c r="G30" s="292"/>
      <c r="H30" s="293"/>
      <c r="I30" s="34"/>
      <c r="J30" s="34"/>
      <c r="K30" s="34"/>
      <c r="L30" s="34"/>
      <c r="M30" s="34"/>
      <c r="N30" s="34"/>
      <c r="O30" s="34"/>
      <c r="P30" s="34"/>
    </row>
    <row r="31" spans="1:23" ht="23.15" customHeight="1">
      <c r="A31" s="34"/>
      <c r="B31" s="34"/>
      <c r="C31" s="294" t="s">
        <v>61</v>
      </c>
      <c r="D31" s="295"/>
      <c r="E31" s="295"/>
      <c r="F31" s="295"/>
      <c r="G31" s="295"/>
      <c r="H31" s="296"/>
      <c r="I31" s="34"/>
      <c r="J31" s="34"/>
      <c r="K31" s="34"/>
      <c r="L31" s="34"/>
      <c r="M31" s="34"/>
      <c r="N31" s="34"/>
      <c r="O31" s="34"/>
      <c r="P31" s="34"/>
    </row>
    <row r="32" spans="1:23" ht="58">
      <c r="A32" s="34"/>
      <c r="B32" s="57" t="s">
        <v>22</v>
      </c>
      <c r="C32" s="215" t="s">
        <v>62</v>
      </c>
      <c r="D32" s="215" t="s">
        <v>46</v>
      </c>
      <c r="E32" s="215" t="s">
        <v>47</v>
      </c>
      <c r="F32" s="215" t="s">
        <v>48</v>
      </c>
      <c r="G32" s="215" t="s">
        <v>49</v>
      </c>
      <c r="H32" s="215" t="s">
        <v>50</v>
      </c>
      <c r="I32" s="34"/>
      <c r="J32" s="34"/>
      <c r="K32" s="34"/>
      <c r="L32" s="34"/>
      <c r="M32" s="34"/>
      <c r="N32" s="34"/>
      <c r="O32" s="34"/>
      <c r="P32" s="34"/>
    </row>
    <row r="33" spans="1:16">
      <c r="A33" s="34"/>
      <c r="B33" s="160">
        <v>1</v>
      </c>
      <c r="C33" s="243">
        <v>100</v>
      </c>
      <c r="D33" s="243">
        <v>4</v>
      </c>
      <c r="E33" s="244">
        <v>0.3</v>
      </c>
      <c r="F33" s="244">
        <v>0.24</v>
      </c>
      <c r="G33" s="243">
        <v>4</v>
      </c>
      <c r="H33" s="243">
        <v>8</v>
      </c>
      <c r="I33" s="34"/>
      <c r="J33" s="34"/>
      <c r="K33" s="34"/>
      <c r="L33" s="34"/>
      <c r="M33" s="34"/>
      <c r="N33" s="34"/>
      <c r="O33" s="34"/>
      <c r="P33" s="34"/>
    </row>
    <row r="34" spans="1:16">
      <c r="A34" s="34"/>
      <c r="B34" s="160">
        <v>2</v>
      </c>
      <c r="C34" s="243"/>
      <c r="D34" s="243">
        <v>4</v>
      </c>
      <c r="E34" s="244">
        <v>0.3</v>
      </c>
      <c r="F34" s="244">
        <v>0.24</v>
      </c>
      <c r="G34" s="243">
        <v>1.3</v>
      </c>
      <c r="H34" s="243"/>
      <c r="I34" s="34"/>
      <c r="J34" s="34"/>
      <c r="K34" s="34"/>
      <c r="L34" s="34"/>
      <c r="M34" s="34"/>
      <c r="N34" s="34"/>
      <c r="O34" s="34"/>
      <c r="P34" s="34"/>
    </row>
    <row r="35" spans="1:16">
      <c r="A35" s="34"/>
      <c r="B35" s="160">
        <v>3</v>
      </c>
      <c r="C35" s="243"/>
      <c r="D35" s="243">
        <v>4</v>
      </c>
      <c r="E35" s="244">
        <v>0.3</v>
      </c>
      <c r="F35" s="244">
        <v>0.24</v>
      </c>
      <c r="G35" s="243">
        <v>2.2999999999999998</v>
      </c>
      <c r="H35" s="243"/>
      <c r="I35" s="34"/>
      <c r="J35" s="34"/>
      <c r="K35" s="34"/>
      <c r="L35" s="34"/>
      <c r="M35" s="34"/>
      <c r="N35" s="34"/>
      <c r="O35" s="34"/>
      <c r="P35" s="34"/>
    </row>
    <row r="36" spans="1:16">
      <c r="A36" s="34"/>
      <c r="B36" s="160">
        <v>4</v>
      </c>
      <c r="C36" s="243"/>
      <c r="D36" s="243">
        <v>4</v>
      </c>
      <c r="E36" s="244">
        <v>0.3</v>
      </c>
      <c r="F36" s="244">
        <v>0.24</v>
      </c>
      <c r="G36" s="243">
        <v>3.3</v>
      </c>
      <c r="H36" s="243"/>
      <c r="I36" s="34"/>
      <c r="J36" s="34"/>
      <c r="K36" s="34"/>
      <c r="L36" s="34"/>
      <c r="M36" s="34"/>
      <c r="N36" s="34"/>
      <c r="O36" s="34"/>
      <c r="P36" s="34"/>
    </row>
    <row r="37" spans="1:16">
      <c r="A37" s="34"/>
      <c r="B37" s="160">
        <v>5</v>
      </c>
      <c r="C37" s="243"/>
      <c r="D37" s="243"/>
      <c r="E37" s="244"/>
      <c r="F37" s="244"/>
      <c r="G37" s="243"/>
      <c r="H37" s="243"/>
      <c r="I37" s="34"/>
      <c r="J37" s="34"/>
      <c r="K37" s="34"/>
      <c r="L37" s="34"/>
      <c r="M37" s="34"/>
      <c r="N37" s="34"/>
      <c r="O37" s="34"/>
      <c r="P37" s="34"/>
    </row>
    <row r="38" spans="1:16">
      <c r="A38" s="34"/>
      <c r="B38" s="34"/>
      <c r="C38" s="34"/>
      <c r="D38" s="34"/>
      <c r="E38" s="34"/>
      <c r="F38" s="34"/>
      <c r="G38" s="34"/>
      <c r="H38" s="168"/>
      <c r="I38" s="34"/>
      <c r="J38" s="34"/>
      <c r="K38" s="34"/>
      <c r="L38" s="34"/>
      <c r="M38" s="34"/>
      <c r="N38" s="34"/>
      <c r="O38" s="34"/>
      <c r="P38" s="34"/>
    </row>
    <row r="39" spans="1:16" ht="24.65" customHeight="1">
      <c r="A39" s="34"/>
      <c r="B39" s="34"/>
      <c r="C39" s="298" t="s">
        <v>21</v>
      </c>
      <c r="D39" s="299"/>
      <c r="E39" s="299"/>
      <c r="F39" s="299"/>
      <c r="G39" s="34"/>
      <c r="H39" s="34"/>
      <c r="I39" s="34"/>
      <c r="J39" s="34"/>
      <c r="K39" s="34"/>
      <c r="L39" s="34"/>
      <c r="M39" s="34"/>
      <c r="N39" s="34"/>
      <c r="O39" s="34"/>
      <c r="P39" s="34"/>
    </row>
    <row r="40" spans="1:16" ht="27.65" customHeight="1">
      <c r="A40" s="34"/>
      <c r="B40" s="34"/>
      <c r="C40" s="305" t="s">
        <v>63</v>
      </c>
      <c r="D40" s="305"/>
      <c r="E40" s="297" t="s">
        <v>64</v>
      </c>
      <c r="F40" s="297"/>
      <c r="G40" s="34"/>
      <c r="H40" s="34"/>
      <c r="I40" s="34"/>
      <c r="J40" s="34"/>
      <c r="K40" s="34"/>
      <c r="L40" s="34"/>
      <c r="M40" s="34"/>
      <c r="N40" s="34"/>
      <c r="O40" s="34"/>
      <c r="P40" s="34"/>
    </row>
    <row r="41" spans="1:16" ht="58">
      <c r="A41" s="34"/>
      <c r="B41" s="55" t="s">
        <v>22</v>
      </c>
      <c r="C41" s="51" t="s">
        <v>41</v>
      </c>
      <c r="D41" s="51" t="s">
        <v>42</v>
      </c>
      <c r="E41" s="216" t="s">
        <v>65</v>
      </c>
      <c r="F41" s="216" t="s">
        <v>66</v>
      </c>
      <c r="G41" s="34"/>
      <c r="H41" s="215" t="s">
        <v>67</v>
      </c>
      <c r="I41" s="215" t="s">
        <v>46</v>
      </c>
      <c r="J41" s="215" t="s">
        <v>47</v>
      </c>
      <c r="K41" s="215" t="s">
        <v>48</v>
      </c>
      <c r="L41" s="215" t="s">
        <v>49</v>
      </c>
      <c r="M41" s="215" t="s">
        <v>68</v>
      </c>
      <c r="N41" s="34"/>
      <c r="O41" s="34"/>
      <c r="P41" s="34"/>
    </row>
    <row r="42" spans="1:16" ht="72.5">
      <c r="A42" s="34"/>
      <c r="B42" s="56">
        <v>1</v>
      </c>
      <c r="C42" s="66">
        <v>715.25</v>
      </c>
      <c r="D42" s="66">
        <v>0</v>
      </c>
      <c r="E42" s="231" t="s">
        <v>326</v>
      </c>
      <c r="F42" s="232" t="s">
        <v>233</v>
      </c>
      <c r="G42" s="34"/>
      <c r="H42" s="47">
        <f>IFERROR(IF(U15,IF(F42&lt;&gt;"User Specified",IF(ISBLANK(F42), "",INDEX('Refrigerant GWPs'!$G$2:$G$154,MATCH(F42,'Refrigerant GWPs'!$A$2:$A$154,0))),IF(ISBLANK(C51),"Enter Data Below",C51)),""), "Please enter refrigerant")</f>
        <v>2087.5</v>
      </c>
      <c r="I42" s="47">
        <f>IF($U15,IF($E42&lt;&gt;"User Specified", INDEX('Device Refrigerant Leakage'!D$2:D$42,MATCH('Fuel Sub Calcs-Custom'!$E42,'Device Refrigerant Leakage'!$B$2:$B$42,0)), IF(ISBLANK(D51),"Enter Data Below",D51)),"")</f>
        <v>18.2</v>
      </c>
      <c r="J42" s="170">
        <f>IF($U15,IF($E42&lt;&gt;"User Specified", INDEX('Device Refrigerant Leakage'!E$2:E$42,MATCH('Fuel Sub Calcs-Custom'!$E42,'Device Refrigerant Leakage'!$B$2:$B$42,0)), IF(ISBLANK(E51),"Enter Data Below",E51)),"")</f>
        <v>4.7E-2</v>
      </c>
      <c r="K42" s="170">
        <f>IF($U15,IF($E42&lt;&gt;"User Specified", INDEX('Device Refrigerant Leakage'!F$2:F$42,MATCH('Fuel Sub Calcs-Custom'!$E42,'Device Refrigerant Leakage'!$B$2:$B$42,0)), IF(ISBLANK(F51),"Enter Data Below",F51)),"")</f>
        <v>0.56000000000000005</v>
      </c>
      <c r="L42" s="47">
        <f>IF($U15,IF($E42&lt;&gt;"User Specified", INDEX('Device Refrigerant Leakage'!G$2:G$42,MATCH('Fuel Sub Calcs-Custom'!$E42,'Device Refrigerant Leakage'!$B$2:$B$42,0)), IF(ISBLANK(G51),"Enter Data Below",G51)),"")</f>
        <v>0</v>
      </c>
      <c r="M42" s="38">
        <f>IF(U15,F15,"")</f>
        <v>20</v>
      </c>
      <c r="N42" s="34"/>
      <c r="O42" s="34"/>
      <c r="P42" s="34"/>
    </row>
    <row r="43" spans="1:16">
      <c r="A43" s="34"/>
      <c r="B43" s="56">
        <v>2</v>
      </c>
      <c r="C43" s="66">
        <v>878.64</v>
      </c>
      <c r="D43" s="66">
        <v>0</v>
      </c>
      <c r="E43" s="231" t="s">
        <v>69</v>
      </c>
      <c r="F43" s="232" t="s">
        <v>233</v>
      </c>
      <c r="G43" s="34"/>
      <c r="H43" s="47">
        <f>IFERROR(IF(U16,IF(F43&lt;&gt;"User Specified",IF(ISBLANK(F43), "",INDEX('Refrigerant GWPs'!$G$2:$G$154,MATCH(F43,'Refrigerant GWPs'!$A$2:$A$154,0))),IF(ISBLANK(C52),"Enter Data Below",C52)),""), "Please enter refrigerant")</f>
        <v>2087.5</v>
      </c>
      <c r="I43" s="47">
        <f>IF($U16,IF($E43&lt;&gt;"User Specified", INDEX('Device Refrigerant Leakage'!D$2:D$42,MATCH('Fuel Sub Calcs-Custom'!$E43,'Device Refrigerant Leakage'!$B$2:$B$42,0)), IF(ISBLANK(D52),"Enter Data Below",D52)),"")</f>
        <v>8.1999999999999993</v>
      </c>
      <c r="J43" s="170">
        <f>IF($U16,IF($E43&lt;&gt;"User Specified", INDEX('Device Refrigerant Leakage'!E$2:E$42,MATCH('Fuel Sub Calcs-Custom'!$E43,'Device Refrigerant Leakage'!$B$2:$B$42,0)), IF(ISBLANK(E52),"Enter Data Below",E52)),"")</f>
        <v>5.2999999999999999E-2</v>
      </c>
      <c r="K43" s="170">
        <f>IF($U16,IF($E43&lt;&gt;"User Specified", INDEX('Device Refrigerant Leakage'!F$2:F$42,MATCH('Fuel Sub Calcs-Custom'!$E43,'Device Refrigerant Leakage'!$B$2:$B$42,0)), IF(ISBLANK(F52),"Enter Data Below",F52)),"")</f>
        <v>0.8</v>
      </c>
      <c r="L43" s="47">
        <f>IF($U16,IF($E43&lt;&gt;"User Specified", INDEX('Device Refrigerant Leakage'!G$2:G$42,MATCH('Fuel Sub Calcs-Custom'!$E43,'Device Refrigerant Leakage'!$B$2:$B$42,0)), IF(ISBLANK(G52),"Enter Data Below",G52)),"")</f>
        <v>3</v>
      </c>
      <c r="M43" s="38">
        <f>IF(U16,F16,"")</f>
        <v>15</v>
      </c>
      <c r="N43" s="34"/>
      <c r="O43" s="34"/>
      <c r="P43" s="34"/>
    </row>
    <row r="44" spans="1:16">
      <c r="A44" s="34"/>
      <c r="B44" s="56">
        <v>3</v>
      </c>
      <c r="C44" s="66">
        <v>1497.11</v>
      </c>
      <c r="D44" s="66">
        <v>0</v>
      </c>
      <c r="E44" s="231" t="s">
        <v>231</v>
      </c>
      <c r="F44" s="232" t="s">
        <v>233</v>
      </c>
      <c r="G44" s="34"/>
      <c r="H44" s="47">
        <f>IFERROR(IF(U17,IF(F44&lt;&gt;"User Specified",IF(ISBLANK(F44), "",INDEX('Refrigerant GWPs'!$G$2:$G$154,MATCH(F44,'Refrigerant GWPs'!$A$2:$A$154,0))),IF(ISBLANK(C53),"Enter Data Below",C53)),""), "Please enter refrigerant")</f>
        <v>2087.5</v>
      </c>
      <c r="I44" s="47">
        <f>IF($U17,IF($E44&lt;&gt;"User Specified", INDEX('Device Refrigerant Leakage'!D$2:D$42,MATCH('Fuel Sub Calcs-Custom'!$E44,'Device Refrigerant Leakage'!$B$2:$B$42,0)), IF(ISBLANK(D53),"Enter Data Below",D53)),"")</f>
        <v>2.4</v>
      </c>
      <c r="J44" s="170">
        <f>IF($U17,IF($E44&lt;&gt;"User Specified", INDEX('Device Refrigerant Leakage'!E$2:E$42,MATCH('Fuel Sub Calcs-Custom'!$E44,'Device Refrigerant Leakage'!$B$2:$B$42,0)), IF(ISBLANK(E53),"Enter Data Below",E53)),"")</f>
        <v>0.01</v>
      </c>
      <c r="K44" s="170">
        <f>IF($U17,IF($E44&lt;&gt;"User Specified", INDEX('Device Refrigerant Leakage'!F$2:F$42,MATCH('Fuel Sub Calcs-Custom'!$E44,'Device Refrigerant Leakage'!$B$2:$B$42,0)), IF(ISBLANK(F53),"Enter Data Below",F53)),"")</f>
        <v>1</v>
      </c>
      <c r="L44" s="47">
        <f>IF($U17,IF($E44&lt;&gt;"User Specified", INDEX('Device Refrigerant Leakage'!G$2:G$42,MATCH('Fuel Sub Calcs-Custom'!$E44,'Device Refrigerant Leakage'!$B$2:$B$42,0)), IF(ISBLANK(G53),"Enter Data Below",G53)),"")</f>
        <v>14</v>
      </c>
      <c r="M44" s="38">
        <f>IF(U17,F17,"")</f>
        <v>10</v>
      </c>
      <c r="N44" s="34"/>
      <c r="O44" s="34"/>
      <c r="P44" s="34"/>
    </row>
    <row r="45" spans="1:16">
      <c r="A45" s="34"/>
      <c r="B45" s="56">
        <v>4</v>
      </c>
      <c r="C45" s="66"/>
      <c r="D45" s="66"/>
      <c r="E45" s="231"/>
      <c r="F45" s="232"/>
      <c r="G45" s="34"/>
      <c r="H45" s="47" t="str">
        <f>IFERROR(IF(U18,IF(F45&lt;&gt;"User Specified",IF(ISBLANK(F45), "",INDEX('Refrigerant GWPs'!$G$2:$G$154,MATCH(F45,'Refrigerant GWPs'!$A$2:$A$154,0))),IF(ISBLANK(C54),"Enter Data Below",C54)),""), "Please enter refrigerant")</f>
        <v/>
      </c>
      <c r="I45" s="47" t="str">
        <f>IF($U18,IF($E45&lt;&gt;"User Specified", INDEX('Device Refrigerant Leakage'!D$2:D$42,MATCH('Fuel Sub Calcs-Custom'!$E45,'Device Refrigerant Leakage'!$B$2:$B$42,0)), IF(ISBLANK(D54),"Enter Data Below",D54)),"")</f>
        <v/>
      </c>
      <c r="J45" s="170" t="str">
        <f>IF($U18,IF($E45&lt;&gt;"User Specified", INDEX('Device Refrigerant Leakage'!E$2:E$42,MATCH('Fuel Sub Calcs-Custom'!$E45,'Device Refrigerant Leakage'!$B$2:$B$42,0)), IF(ISBLANK(E54),"Enter Data Below",E54)),"")</f>
        <v/>
      </c>
      <c r="K45" s="170" t="str">
        <f>IF($U18,IF($E45&lt;&gt;"User Specified", INDEX('Device Refrigerant Leakage'!F$2:F$42,MATCH('Fuel Sub Calcs-Custom'!$E45,'Device Refrigerant Leakage'!$B$2:$B$42,0)), IF(ISBLANK(F54),"Enter Data Below",F54)),"")</f>
        <v/>
      </c>
      <c r="L45" s="47" t="str">
        <f>IF($U18,IF($E45&lt;&gt;"User Specified", INDEX('Device Refrigerant Leakage'!G$2:G$42,MATCH('Fuel Sub Calcs-Custom'!$E45,'Device Refrigerant Leakage'!$B$2:$B$42,0)), IF(ISBLANK(G54),"Enter Data Below",G54)),"")</f>
        <v/>
      </c>
      <c r="M45" s="38" t="str">
        <f>IF(U18,F18,"")</f>
        <v/>
      </c>
      <c r="N45" s="34"/>
      <c r="O45" s="34"/>
      <c r="P45" s="34"/>
    </row>
    <row r="46" spans="1:16">
      <c r="A46" s="34"/>
      <c r="B46" s="56">
        <v>5</v>
      </c>
      <c r="C46" s="66">
        <v>1497.11</v>
      </c>
      <c r="D46" s="66">
        <v>0</v>
      </c>
      <c r="E46" s="249" t="s">
        <v>231</v>
      </c>
      <c r="F46" s="232" t="s">
        <v>233</v>
      </c>
      <c r="G46" s="34"/>
      <c r="H46" s="47" t="str">
        <f>IFERROR(IF(U19,IF(F46&lt;&gt;"User Specified",IF(ISBLANK(F46), "",INDEX('Refrigerant GWPs'!$G$2:$G$154,MATCH(F46,'Refrigerant GWPs'!$A$2:$A$154,0))),IF(ISBLANK(C55),"Enter Data Below",C55)),""), "Please enter refrigerant")</f>
        <v/>
      </c>
      <c r="I46" s="47" t="str">
        <f>IF($U19,IF($E46&lt;&gt;"User Specified", INDEX('Device Refrigerant Leakage'!D$2:D$42,MATCH('Fuel Sub Calcs-Custom'!$E46,'Device Refrigerant Leakage'!$B$2:$B$42,0)), IF(ISBLANK(D55),"Enter Data Below",D55)),"")</f>
        <v/>
      </c>
      <c r="J46" s="170" t="str">
        <f>IF($U19,IF($E46&lt;&gt;"User Specified", INDEX('Device Refrigerant Leakage'!E$2:E$42,MATCH('Fuel Sub Calcs-Custom'!$E46,'Device Refrigerant Leakage'!$B$2:$B$42,0)), IF(ISBLANK(E55),"Enter Data Below",E55)),"")</f>
        <v/>
      </c>
      <c r="K46" s="170" t="str">
        <f>IF($U19,IF($E46&lt;&gt;"User Specified", INDEX('Device Refrigerant Leakage'!F$2:F$42,MATCH('Fuel Sub Calcs-Custom'!$E46,'Device Refrigerant Leakage'!$B$2:$B$42,0)), IF(ISBLANK(F55),"Enter Data Below",F55)),"")</f>
        <v/>
      </c>
      <c r="L46" s="47" t="str">
        <f>IF($U19,IF($E46&lt;&gt;"User Specified", INDEX('Device Refrigerant Leakage'!G$2:G$42,MATCH('Fuel Sub Calcs-Custom'!$E46,'Device Refrigerant Leakage'!$B$2:$B$42,0)), IF(ISBLANK(G55),"Enter Data Below",G55)),"")</f>
        <v/>
      </c>
      <c r="M46" s="38" t="str">
        <f>IF(U19,F19,"")</f>
        <v/>
      </c>
      <c r="N46" s="34"/>
      <c r="O46" s="34"/>
      <c r="P46" s="34"/>
    </row>
    <row r="47" spans="1:16">
      <c r="A47" s="34"/>
      <c r="B47" s="34"/>
      <c r="C47" s="34"/>
      <c r="D47" s="34"/>
      <c r="E47" s="34"/>
      <c r="F47" s="34"/>
      <c r="G47" s="34"/>
      <c r="H47" s="169"/>
      <c r="I47" s="169"/>
      <c r="J47" s="169"/>
      <c r="K47" s="169"/>
      <c r="L47" s="169"/>
      <c r="M47" s="169"/>
      <c r="N47" s="34"/>
      <c r="O47" s="34"/>
      <c r="P47" s="34"/>
    </row>
    <row r="48" spans="1:16" ht="29">
      <c r="A48" s="34"/>
      <c r="B48" s="34"/>
      <c r="C48" s="235" t="s">
        <v>70</v>
      </c>
      <c r="D48" s="300" t="s">
        <v>71</v>
      </c>
      <c r="E48" s="301"/>
      <c r="F48" s="301"/>
      <c r="G48" s="302"/>
      <c r="H48" s="169"/>
      <c r="I48" s="169"/>
      <c r="J48" s="169"/>
      <c r="K48" s="169"/>
      <c r="L48" s="169"/>
      <c r="M48" s="169"/>
      <c r="N48" s="34"/>
      <c r="O48" s="34"/>
      <c r="P48" s="34"/>
    </row>
    <row r="49" spans="1:23" ht="14.5" customHeight="1">
      <c r="A49" s="34"/>
      <c r="B49" s="34"/>
      <c r="C49" s="294" t="s">
        <v>72</v>
      </c>
      <c r="D49" s="295"/>
      <c r="E49" s="295"/>
      <c r="F49" s="295"/>
      <c r="G49" s="296"/>
      <c r="H49" s="169"/>
      <c r="I49" s="169"/>
      <c r="J49" s="169"/>
      <c r="K49" s="169"/>
      <c r="L49" s="169"/>
      <c r="M49" s="169"/>
      <c r="N49" s="169"/>
      <c r="O49" s="34"/>
      <c r="P49" s="34"/>
    </row>
    <row r="50" spans="1:23" ht="58">
      <c r="A50" s="34"/>
      <c r="B50" s="57" t="s">
        <v>22</v>
      </c>
      <c r="C50" s="215" t="s">
        <v>73</v>
      </c>
      <c r="D50" s="215" t="s">
        <v>46</v>
      </c>
      <c r="E50" s="215" t="s">
        <v>47</v>
      </c>
      <c r="F50" s="215" t="s">
        <v>48</v>
      </c>
      <c r="G50" s="215" t="s">
        <v>49</v>
      </c>
      <c r="H50" s="169"/>
      <c r="I50" s="169"/>
      <c r="J50" s="173"/>
      <c r="K50" s="169"/>
      <c r="L50" s="169"/>
      <c r="M50" s="169"/>
      <c r="N50" s="169"/>
      <c r="O50" s="34"/>
      <c r="P50" s="34"/>
    </row>
    <row r="51" spans="1:23">
      <c r="A51" s="34"/>
      <c r="B51" s="160">
        <v>1</v>
      </c>
      <c r="C51" s="243">
        <v>1</v>
      </c>
      <c r="D51" s="243"/>
      <c r="E51" s="244"/>
      <c r="F51" s="244"/>
      <c r="G51" s="243"/>
      <c r="H51" s="169"/>
      <c r="I51" s="169"/>
      <c r="J51" s="169"/>
      <c r="K51" s="169"/>
      <c r="L51" s="169"/>
      <c r="M51" s="169"/>
      <c r="N51" s="169"/>
      <c r="O51" s="34"/>
      <c r="P51" s="34"/>
    </row>
    <row r="52" spans="1:23">
      <c r="A52" s="34"/>
      <c r="B52" s="160">
        <v>2</v>
      </c>
      <c r="C52" s="243">
        <v>2</v>
      </c>
      <c r="D52" s="243">
        <v>4</v>
      </c>
      <c r="E52" s="244">
        <v>0.3</v>
      </c>
      <c r="F52" s="244">
        <v>0.24</v>
      </c>
      <c r="G52" s="243">
        <v>0.3</v>
      </c>
      <c r="H52" s="169"/>
      <c r="I52" s="169"/>
      <c r="J52" s="169"/>
      <c r="K52" s="169"/>
      <c r="L52" s="169"/>
      <c r="M52" s="169"/>
      <c r="N52" s="169"/>
      <c r="O52" s="34"/>
      <c r="P52" s="34"/>
    </row>
    <row r="53" spans="1:23">
      <c r="A53" s="34"/>
      <c r="B53" s="160">
        <v>3</v>
      </c>
      <c r="C53" s="243"/>
      <c r="D53" s="243">
        <v>4</v>
      </c>
      <c r="E53" s="244">
        <v>0.3</v>
      </c>
      <c r="F53" s="244">
        <v>0.24</v>
      </c>
      <c r="G53" s="243">
        <v>0.3</v>
      </c>
      <c r="H53" s="169"/>
      <c r="I53" s="169"/>
      <c r="J53" s="169"/>
      <c r="K53" s="169"/>
      <c r="L53" s="169"/>
      <c r="M53" s="169"/>
      <c r="N53" s="169"/>
      <c r="O53" s="34"/>
      <c r="P53" s="34"/>
    </row>
    <row r="54" spans="1:23">
      <c r="A54" s="34"/>
      <c r="B54" s="160">
        <v>4</v>
      </c>
      <c r="C54" s="243"/>
      <c r="D54" s="243">
        <v>4</v>
      </c>
      <c r="E54" s="244">
        <v>0.3</v>
      </c>
      <c r="F54" s="244">
        <v>0.24</v>
      </c>
      <c r="G54" s="243">
        <v>0.3</v>
      </c>
      <c r="H54" s="169"/>
      <c r="I54" s="169"/>
      <c r="J54" s="169"/>
      <c r="K54" s="169"/>
      <c r="L54" s="169"/>
      <c r="M54" s="169"/>
      <c r="N54" s="169"/>
      <c r="O54" s="34"/>
      <c r="P54" s="34"/>
    </row>
    <row r="55" spans="1:23">
      <c r="A55" s="34"/>
      <c r="B55" s="160">
        <v>5</v>
      </c>
      <c r="C55" s="243">
        <v>150</v>
      </c>
      <c r="D55" s="243">
        <v>4</v>
      </c>
      <c r="E55" s="244">
        <v>0.3</v>
      </c>
      <c r="F55" s="244">
        <v>0.24</v>
      </c>
      <c r="G55" s="243">
        <v>1</v>
      </c>
      <c r="H55" s="169"/>
      <c r="I55" s="169"/>
      <c r="J55" s="169"/>
      <c r="K55" s="169"/>
      <c r="L55" s="169"/>
      <c r="M55" s="169"/>
      <c r="N55" s="169"/>
      <c r="O55" s="34"/>
      <c r="P55" s="34"/>
    </row>
    <row r="56" spans="1:23">
      <c r="A56" s="34"/>
      <c r="B56" s="34"/>
      <c r="C56" s="34"/>
      <c r="D56" s="34"/>
      <c r="E56" s="34"/>
      <c r="F56" s="34"/>
      <c r="G56" s="34"/>
      <c r="H56" s="169"/>
      <c r="I56" s="34"/>
      <c r="J56" s="34"/>
      <c r="K56" s="34"/>
      <c r="L56" s="34"/>
      <c r="M56" s="34"/>
      <c r="N56" s="34"/>
      <c r="O56" s="34"/>
      <c r="P56" s="34"/>
    </row>
    <row r="57" spans="1:23" ht="13.5" customHeight="1">
      <c r="A57" s="34"/>
      <c r="B57" s="34"/>
      <c r="C57" s="288" t="s">
        <v>74</v>
      </c>
      <c r="D57" s="289"/>
      <c r="E57" s="289"/>
      <c r="F57" s="289"/>
      <c r="G57" s="289"/>
      <c r="H57" s="289"/>
      <c r="I57" s="34"/>
      <c r="J57" s="34"/>
      <c r="K57" s="34"/>
      <c r="L57" s="34"/>
      <c r="M57" s="34"/>
      <c r="N57" s="34"/>
      <c r="O57" s="34"/>
      <c r="P57" s="34"/>
    </row>
    <row r="58" spans="1:23" ht="30" customHeight="1">
      <c r="A58" s="34"/>
      <c r="B58" s="34"/>
      <c r="C58" s="71"/>
      <c r="D58" s="71"/>
      <c r="E58" s="294" t="s">
        <v>75</v>
      </c>
      <c r="F58" s="295"/>
      <c r="G58" s="297" t="s">
        <v>76</v>
      </c>
      <c r="H58" s="297"/>
      <c r="I58" s="34"/>
      <c r="J58" s="34"/>
      <c r="K58" s="34"/>
      <c r="L58" s="34"/>
      <c r="M58" s="34"/>
      <c r="N58" s="34"/>
      <c r="O58" s="34"/>
      <c r="P58" s="34"/>
    </row>
    <row r="59" spans="1:23" ht="41.15" customHeight="1">
      <c r="A59" s="34"/>
      <c r="B59" s="55" t="s">
        <v>22</v>
      </c>
      <c r="C59" s="55" t="s">
        <v>77</v>
      </c>
      <c r="D59" s="51" t="s">
        <v>78</v>
      </c>
      <c r="E59" s="51" t="s">
        <v>79</v>
      </c>
      <c r="F59" s="51" t="s">
        <v>80</v>
      </c>
      <c r="G59" s="213" t="s">
        <v>81</v>
      </c>
      <c r="H59" s="51" t="s">
        <v>82</v>
      </c>
      <c r="I59" s="34"/>
      <c r="J59" s="213" t="s">
        <v>83</v>
      </c>
      <c r="K59" s="216" t="s">
        <v>46</v>
      </c>
      <c r="L59" s="216" t="s">
        <v>47</v>
      </c>
      <c r="M59" s="216" t="s">
        <v>48</v>
      </c>
      <c r="N59" s="216" t="s">
        <v>49</v>
      </c>
      <c r="O59" s="216" t="s">
        <v>84</v>
      </c>
      <c r="P59" s="34"/>
      <c r="R59" s="51" t="s">
        <v>51</v>
      </c>
      <c r="S59" s="51" t="s">
        <v>52</v>
      </c>
      <c r="T59" s="51" t="s">
        <v>53</v>
      </c>
      <c r="U59" s="51" t="s">
        <v>53</v>
      </c>
      <c r="V59" s="39" t="s">
        <v>54</v>
      </c>
      <c r="W59" s="39" t="s">
        <v>55</v>
      </c>
    </row>
    <row r="60" spans="1:23" ht="25.5" customHeight="1">
      <c r="A60" s="34"/>
      <c r="B60" s="56">
        <v>1</v>
      </c>
      <c r="C60" s="245" t="s">
        <v>87</v>
      </c>
      <c r="D60" s="246">
        <v>10</v>
      </c>
      <c r="E60" s="247"/>
      <c r="F60" s="247"/>
      <c r="G60" s="246"/>
      <c r="H60" s="246"/>
      <c r="I60" s="34"/>
      <c r="J60" s="47" t="str">
        <f>IFERROR(IF(U15,IF(C60="NR","", IF(G60&lt;&gt;"User Specified",INDEX('Refrigerant GWPs'!$G$2:$G$155,MATCH(G60,'Refrigerant GWPs'!$A$2:$A$155,0)),IF(ISBLANK(C69),"Enter Data Below",C69))),""), "Please enter refrigerant")</f>
        <v/>
      </c>
      <c r="K60" s="47" t="str">
        <f>IFERROR(IF($U15,IF($C60="NR", "", IF($H60&lt;&gt;"User Specified", INDEX('Device Refrigerant Leakage'!D$2:D$42,MATCH('Fuel Sub Calcs-Custom'!$H60,'Device Refrigerant Leakage'!$B$2:$B$42,0)), IF(ISBLANK(D69),"Enter Data Below",D69))),""), "Please enter device")</f>
        <v/>
      </c>
      <c r="L60" s="47" t="str">
        <f>IF($U15,IF($C60="NR", "", IF($H60&lt;&gt;"User Specified", INDEX('Device Refrigerant Leakage'!E$2:E$42,MATCH('Fuel Sub Calcs-Custom'!$H60,'Device Refrigerant Leakage'!$B$2:$B$42,0)), IF(ISBLANK(E69),"Enter Data Below",E69))),"")</f>
        <v/>
      </c>
      <c r="M60" s="47" t="str">
        <f>IF($U15,IF($C60="NR", "", IF($H60&lt;&gt;"User Specified", INDEX('Device Refrigerant Leakage'!F$2:F$42,MATCH('Fuel Sub Calcs-Custom'!$H60,'Device Refrigerant Leakage'!$B$2:$B$42,0)), IF(ISBLANK(F69),"Enter Data Below",F69))),"")</f>
        <v/>
      </c>
      <c r="N60" s="47" t="str">
        <f>IF($U15,IF($C60="NR", "", IF($H60&lt;&gt;"User Specified", INDEX('Device Refrigerant Leakage'!G$2:G$42,MATCH('Fuel Sub Calcs-Custom'!$H60,'Device Refrigerant Leakage'!$B$2:$B$42,0)), IF(ISBLANK(G69),"Enter Data Below",G69))),"")</f>
        <v/>
      </c>
      <c r="O60" s="172" t="str">
        <f>IF(U15,IF(C60="NR","",IF(H60="User Specified",IF(ISBLANK(H69),"Enter Data Below",H69),INDEX('Device Refrigerant Leakage'!$C$2:$C$42,MATCH('Fuel Sub Calcs-Custom'!H60,'Device Refrigerant Leakage'!$B$2:$B$42,0)))),"")</f>
        <v/>
      </c>
      <c r="P60" s="34"/>
      <c r="R60" s="47" t="b">
        <f t="shared" ref="R60:S64" si="3">NOT(OR(ISBLANK(C42),ISBLANK(E60)))</f>
        <v>0</v>
      </c>
      <c r="S60" s="47" t="b">
        <f t="shared" si="3"/>
        <v>0</v>
      </c>
      <c r="T60" s="42" t="b">
        <f t="shared" ref="T60:U64" si="4">AND(NOT(R60))</f>
        <v>1</v>
      </c>
      <c r="U60" s="42" t="b">
        <f t="shared" si="4"/>
        <v>1</v>
      </c>
      <c r="V60" s="42">
        <f t="shared" ref="V60:W64" si="5">IF(NOT(OR(ISBLANK(E60),ISBLANK(C42))),E60-C42,0)</f>
        <v>0</v>
      </c>
      <c r="W60" s="42">
        <f t="shared" si="5"/>
        <v>0</v>
      </c>
    </row>
    <row r="61" spans="1:23">
      <c r="A61" s="34"/>
      <c r="B61" s="56">
        <v>2</v>
      </c>
      <c r="C61" s="245" t="s">
        <v>87</v>
      </c>
      <c r="D61" s="246"/>
      <c r="E61" s="247"/>
      <c r="F61" s="247"/>
      <c r="G61" s="246" t="s">
        <v>88</v>
      </c>
      <c r="H61" s="246"/>
      <c r="I61" s="34"/>
      <c r="J61" s="47" t="str">
        <f>IFERROR(IF(U16,IF(C61="NR","", IF(G61&lt;&gt;"User Specified",INDEX('Refrigerant GWPs'!$G$2:$G$155,MATCH(G61,'Refrigerant GWPs'!$A$2:$A$155,0)),IF(ISBLANK(C70),"Enter Data Below",C70))),""), "Please enter refrigerant")</f>
        <v/>
      </c>
      <c r="K61" s="47" t="str">
        <f>IFERROR(IF($U16,IF($C61="NR", "", IF($H61&lt;&gt;"User Specified", INDEX('Device Refrigerant Leakage'!D$2:D$42,MATCH('Fuel Sub Calcs-Custom'!$H61,'Device Refrigerant Leakage'!$B$2:$B$42,0)), IF(ISBLANK(D70),"Enter Data Below",D70))),""), "Please enter device")</f>
        <v/>
      </c>
      <c r="L61" s="47" t="str">
        <f>IF($U16,IF($C61="NR", "", IF($H61&lt;&gt;"User Specified", INDEX('Device Refrigerant Leakage'!E$2:E$42,MATCH('Fuel Sub Calcs-Custom'!$H61,'Device Refrigerant Leakage'!$B$2:$B$42,0)), IF(ISBLANK(E70),"Enter Data Below",E70))),"")</f>
        <v/>
      </c>
      <c r="M61" s="47" t="str">
        <f>IF($U16,IF($C61="NR", "", IF($H61&lt;&gt;"User Specified", INDEX('Device Refrigerant Leakage'!F$2:F$42,MATCH('Fuel Sub Calcs-Custom'!$H61,'Device Refrigerant Leakage'!$B$2:$B$42,0)), IF(ISBLANK(F70),"Enter Data Below",F70))),"")</f>
        <v/>
      </c>
      <c r="N61" s="47" t="str">
        <f>IF($U16,IF($C61="NR", "", IF($H61&lt;&gt;"User Specified", INDEX('Device Refrigerant Leakage'!G$2:G$42,MATCH('Fuel Sub Calcs-Custom'!$H61,'Device Refrigerant Leakage'!$B$2:$B$42,0)), IF(ISBLANK(G70),"Enter Data Below",G70))),"")</f>
        <v/>
      </c>
      <c r="O61" s="172" t="str">
        <f>IF(U16,IF(C61="NR","",IF(H61="User Specified",IF(ISBLANK(H70),"Enter Data Below",H70),INDEX('Device Refrigerant Leakage'!$C$2:$C$42,MATCH('Fuel Sub Calcs-Custom'!H61,'Device Refrigerant Leakage'!$B$2:$B$42,0)))),"")</f>
        <v/>
      </c>
      <c r="P61" s="34"/>
      <c r="R61" s="47" t="b">
        <f t="shared" si="3"/>
        <v>0</v>
      </c>
      <c r="S61" s="47" t="b">
        <f t="shared" si="3"/>
        <v>0</v>
      </c>
      <c r="T61" s="42" t="b">
        <f t="shared" si="4"/>
        <v>1</v>
      </c>
      <c r="U61" s="42" t="b">
        <f t="shared" si="4"/>
        <v>1</v>
      </c>
      <c r="V61" s="42">
        <f t="shared" si="5"/>
        <v>0</v>
      </c>
      <c r="W61" s="42">
        <f t="shared" si="5"/>
        <v>0</v>
      </c>
    </row>
    <row r="62" spans="1:23">
      <c r="A62" s="34"/>
      <c r="B62" s="56">
        <v>3</v>
      </c>
      <c r="C62" s="245" t="s">
        <v>87</v>
      </c>
      <c r="D62" s="246"/>
      <c r="E62" s="247"/>
      <c r="F62" s="247"/>
      <c r="G62" s="246" t="s">
        <v>89</v>
      </c>
      <c r="H62" s="246"/>
      <c r="I62" s="34"/>
      <c r="J62" s="47" t="str">
        <f>IFERROR(IF(U17,IF(C62="NR","", IF(G62&lt;&gt;"User Specified",INDEX('Refrigerant GWPs'!$G$2:$G$155,MATCH(G62,'Refrigerant GWPs'!$A$2:$A$155,0)),IF(ISBLANK(C71),"Enter Data Below",C71))),""), "Please enter refrigerant")</f>
        <v/>
      </c>
      <c r="K62" s="47" t="str">
        <f>IFERROR(IF($U17,IF($C62="NR", "", IF($H62&lt;&gt;"User Specified", INDEX('Device Refrigerant Leakage'!D$2:D$42,MATCH('Fuel Sub Calcs-Custom'!$H62,'Device Refrigerant Leakage'!$B$2:$B$42,0)), IF(ISBLANK(D71),"Enter Data Below",D71))),""), "Please enter device")</f>
        <v/>
      </c>
      <c r="L62" s="47" t="str">
        <f>IF($U17,IF($C62="NR", "", IF($H62&lt;&gt;"User Specified", INDEX('Device Refrigerant Leakage'!E$2:E$42,MATCH('Fuel Sub Calcs-Custom'!$H62,'Device Refrigerant Leakage'!$B$2:$B$42,0)), IF(ISBLANK(E71),"Enter Data Below",E71))),"")</f>
        <v/>
      </c>
      <c r="M62" s="47" t="str">
        <f>IF($U17,IF($C62="NR", "", IF($H62&lt;&gt;"User Specified", INDEX('Device Refrigerant Leakage'!F$2:F$42,MATCH('Fuel Sub Calcs-Custom'!$H62,'Device Refrigerant Leakage'!$B$2:$B$42,0)), IF(ISBLANK(F71),"Enter Data Below",F71))),"")</f>
        <v/>
      </c>
      <c r="N62" s="47" t="str">
        <f>IF($U17,IF($C62="NR", "", IF($H62&lt;&gt;"User Specified", INDEX('Device Refrigerant Leakage'!G$2:G$42,MATCH('Fuel Sub Calcs-Custom'!$H62,'Device Refrigerant Leakage'!$B$2:$B$42,0)), IF(ISBLANK(G71),"Enter Data Below",G71))),"")</f>
        <v/>
      </c>
      <c r="O62" s="172" t="str">
        <f>IF(U17,IF(C62="NR","",IF(H62="User Specified",IF(ISBLANK(H71),"Enter Data Below",H71),INDEX('Device Refrigerant Leakage'!$C$2:$C$42,MATCH('Fuel Sub Calcs-Custom'!H62,'Device Refrigerant Leakage'!$B$2:$B$42,0)))),"")</f>
        <v/>
      </c>
      <c r="P62" s="34"/>
      <c r="R62" s="47" t="b">
        <f t="shared" si="3"/>
        <v>0</v>
      </c>
      <c r="S62" s="47" t="b">
        <f t="shared" si="3"/>
        <v>0</v>
      </c>
      <c r="T62" s="42" t="b">
        <f t="shared" si="4"/>
        <v>1</v>
      </c>
      <c r="U62" s="42" t="b">
        <f t="shared" si="4"/>
        <v>1</v>
      </c>
      <c r="V62" s="42">
        <f t="shared" si="5"/>
        <v>0</v>
      </c>
      <c r="W62" s="42">
        <f t="shared" si="5"/>
        <v>0</v>
      </c>
    </row>
    <row r="63" spans="1:23">
      <c r="A63" s="34"/>
      <c r="B63" s="56">
        <v>4</v>
      </c>
      <c r="C63" s="245" t="s">
        <v>87</v>
      </c>
      <c r="D63" s="246"/>
      <c r="E63" s="247"/>
      <c r="F63" s="247"/>
      <c r="G63" s="246"/>
      <c r="H63" s="246"/>
      <c r="I63" s="34"/>
      <c r="J63" s="47" t="str">
        <f>IFERROR(IF(U18,IF(C63="NR","", IF(G63&lt;&gt;"User Specified",INDEX('Refrigerant GWPs'!$G$2:$G$155,MATCH(G63,'Refrigerant GWPs'!$A$2:$A$155,0)),IF(ISBLANK(C72),"Enter Data Below",C72))),""), "Please enter refrigerant")</f>
        <v/>
      </c>
      <c r="K63" s="47" t="str">
        <f>IFERROR(IF($U18,IF($C63="NR", "", IF($H63&lt;&gt;"User Specified", INDEX('Device Refrigerant Leakage'!D$2:D$42,MATCH('Fuel Sub Calcs-Custom'!$H63,'Device Refrigerant Leakage'!$B$2:$B$42,0)), IF(ISBLANK(D72),"Enter Data Below",D72))),""), "Please enter device")</f>
        <v/>
      </c>
      <c r="L63" s="47" t="str">
        <f>IF($U18,IF($C63="NR", "", IF($H63&lt;&gt;"User Specified", INDEX('Device Refrigerant Leakage'!E$2:E$42,MATCH('Fuel Sub Calcs-Custom'!$H63,'Device Refrigerant Leakage'!$B$2:$B$42,0)), IF(ISBLANK(E72),"Enter Data Below",E72))),"")</f>
        <v/>
      </c>
      <c r="M63" s="47" t="str">
        <f>IF($U18,IF($C63="NR", "", IF($H63&lt;&gt;"User Specified", INDEX('Device Refrigerant Leakage'!F$2:F$42,MATCH('Fuel Sub Calcs-Custom'!$H63,'Device Refrigerant Leakage'!$B$2:$B$42,0)), IF(ISBLANK(F72),"Enter Data Below",F72))),"")</f>
        <v/>
      </c>
      <c r="N63" s="47" t="str">
        <f>IF($U18,IF($C63="NR", "", IF($H63&lt;&gt;"User Specified", INDEX('Device Refrigerant Leakage'!G$2:G$42,MATCH('Fuel Sub Calcs-Custom'!$H63,'Device Refrigerant Leakage'!$B$2:$B$42,0)), IF(ISBLANK(G72),"Enter Data Below",G72))),"")</f>
        <v/>
      </c>
      <c r="O63" s="172" t="str">
        <f>IF(U18,IF(C63="NR","",IF(H63="User Specified",IF(ISBLANK(H72),"Enter Data Below",H72),INDEX('Device Refrigerant Leakage'!$C$2:$C$42,MATCH('Fuel Sub Calcs-Custom'!H63,'Device Refrigerant Leakage'!$B$2:$B$42,0)))),"")</f>
        <v/>
      </c>
      <c r="P63" s="34"/>
      <c r="R63" s="47" t="b">
        <f t="shared" si="3"/>
        <v>0</v>
      </c>
      <c r="S63" s="47" t="b">
        <f t="shared" si="3"/>
        <v>0</v>
      </c>
      <c r="T63" s="42" t="b">
        <f t="shared" si="4"/>
        <v>1</v>
      </c>
      <c r="U63" s="42" t="b">
        <f t="shared" si="4"/>
        <v>1</v>
      </c>
      <c r="V63" s="42">
        <f t="shared" si="5"/>
        <v>0</v>
      </c>
      <c r="W63" s="42">
        <f t="shared" si="5"/>
        <v>0</v>
      </c>
    </row>
    <row r="64" spans="1:23">
      <c r="A64" s="34"/>
      <c r="B64" s="56">
        <v>5</v>
      </c>
      <c r="C64" s="245" t="s">
        <v>85</v>
      </c>
      <c r="D64" s="246"/>
      <c r="E64" s="247"/>
      <c r="F64" s="247"/>
      <c r="G64" s="246"/>
      <c r="H64" s="246"/>
      <c r="I64" s="34"/>
      <c r="J64" s="47" t="str">
        <f>IFERROR(IF(U19,IF(C64="NR","", IF(G64&lt;&gt;"User Specified",INDEX('Refrigerant GWPs'!$G$2:$G$155,MATCH(G64,'Refrigerant GWPs'!$A$2:$A$155,0)),IF(ISBLANK(C73),"Enter Data Below",C73))),""), "Please enter refrigerant")</f>
        <v/>
      </c>
      <c r="K64" s="47" t="str">
        <f>IFERROR(IF($U19,IF($C64="NR", "", IF($H64&lt;&gt;"User Specified", INDEX('Device Refrigerant Leakage'!D$2:D$42,MATCH('Fuel Sub Calcs-Custom'!$H64,'Device Refrigerant Leakage'!$B$2:$B$42,0)), IF(ISBLANK(D73),"Enter Data Below",D73))),""), "Please enter device")</f>
        <v/>
      </c>
      <c r="L64" s="47" t="str">
        <f>IF($U19,IF($C64="NR", "", IF($H64&lt;&gt;"User Specified", INDEX('Device Refrigerant Leakage'!E$2:E$42,MATCH('Fuel Sub Calcs-Custom'!$H64,'Device Refrigerant Leakage'!$B$2:$B$42,0)), IF(ISBLANK(E73),"Enter Data Below",E73))),"")</f>
        <v/>
      </c>
      <c r="M64" s="47" t="str">
        <f>IF($U19,IF($C64="NR", "", IF($H64&lt;&gt;"User Specified", INDEX('Device Refrigerant Leakage'!F$2:F$42,MATCH('Fuel Sub Calcs-Custom'!$H64,'Device Refrigerant Leakage'!$B$2:$B$42,0)), IF(ISBLANK(F73),"Enter Data Below",F73))),"")</f>
        <v/>
      </c>
      <c r="N64" s="47" t="str">
        <f>IF($U19,IF($C64="NR", "", IF($H64&lt;&gt;"User Specified", INDEX('Device Refrigerant Leakage'!G$2:G$42,MATCH('Fuel Sub Calcs-Custom'!$H64,'Device Refrigerant Leakage'!$B$2:$B$42,0)), IF(ISBLANK(G73),"Enter Data Below",G73))),"")</f>
        <v/>
      </c>
      <c r="O64" s="172" t="str">
        <f>IF(U19,IF(C64="NR","",IF(H64="User Specified",IF(ISBLANK(H73),"Enter Data Below",H73),INDEX('Device Refrigerant Leakage'!$C$2:$C$42,MATCH('Fuel Sub Calcs-Custom'!H64,'Device Refrigerant Leakage'!$B$2:$B$42,0)))),"")</f>
        <v/>
      </c>
      <c r="P64" s="34"/>
      <c r="R64" s="47" t="b">
        <f t="shared" si="3"/>
        <v>0</v>
      </c>
      <c r="S64" s="47" t="b">
        <f t="shared" si="3"/>
        <v>0</v>
      </c>
      <c r="T64" s="42" t="b">
        <f t="shared" si="4"/>
        <v>1</v>
      </c>
      <c r="U64" s="42" t="b">
        <f t="shared" si="4"/>
        <v>1</v>
      </c>
      <c r="V64" s="42">
        <f t="shared" si="5"/>
        <v>0</v>
      </c>
      <c r="W64" s="42">
        <f t="shared" si="5"/>
        <v>0</v>
      </c>
    </row>
    <row r="65" spans="1:16">
      <c r="A65" s="34"/>
      <c r="B65" s="34"/>
      <c r="C65" s="34"/>
      <c r="D65" s="34"/>
      <c r="E65" s="34"/>
      <c r="F65" s="34"/>
      <c r="G65" s="34"/>
      <c r="H65" s="34"/>
      <c r="I65" s="34"/>
      <c r="J65" s="34"/>
      <c r="K65" s="34"/>
      <c r="L65" s="34"/>
      <c r="M65" s="34"/>
      <c r="N65" s="34"/>
      <c r="O65" s="34"/>
      <c r="P65" s="34"/>
    </row>
    <row r="66" spans="1:16" ht="41.15" customHeight="1">
      <c r="A66" s="34"/>
      <c r="B66" s="34"/>
      <c r="C66" s="235" t="s">
        <v>92</v>
      </c>
      <c r="D66" s="236" t="s">
        <v>93</v>
      </c>
      <c r="E66" s="236"/>
      <c r="F66" s="166"/>
      <c r="G66" s="166"/>
      <c r="H66" s="167"/>
      <c r="I66" s="34"/>
      <c r="J66" s="34"/>
      <c r="K66" s="34"/>
      <c r="L66" s="34"/>
      <c r="M66" s="34"/>
      <c r="N66" s="34"/>
      <c r="O66" s="34"/>
      <c r="P66" s="34"/>
    </row>
    <row r="67" spans="1:16" ht="14.5" customHeight="1">
      <c r="A67" s="34"/>
      <c r="B67" s="34"/>
      <c r="C67" s="294" t="s">
        <v>94</v>
      </c>
      <c r="D67" s="295"/>
      <c r="E67" s="295"/>
      <c r="F67" s="295"/>
      <c r="G67" s="295"/>
      <c r="H67" s="295"/>
      <c r="I67" s="34"/>
      <c r="J67" s="34"/>
      <c r="K67" s="34"/>
      <c r="L67" s="34"/>
      <c r="M67" s="34"/>
      <c r="N67" s="34"/>
      <c r="O67" s="34"/>
      <c r="P67" s="34"/>
    </row>
    <row r="68" spans="1:16" ht="58">
      <c r="A68" s="34"/>
      <c r="B68" s="57" t="s">
        <v>22</v>
      </c>
      <c r="C68" s="234" t="s">
        <v>95</v>
      </c>
      <c r="D68" s="234" t="s">
        <v>46</v>
      </c>
      <c r="E68" s="234" t="s">
        <v>47</v>
      </c>
      <c r="F68" s="234" t="s">
        <v>48</v>
      </c>
      <c r="G68" s="234" t="s">
        <v>49</v>
      </c>
      <c r="H68" s="234" t="s">
        <v>96</v>
      </c>
      <c r="I68" s="34"/>
      <c r="J68" s="34"/>
      <c r="K68" s="34"/>
      <c r="L68" s="34"/>
      <c r="M68" s="34"/>
      <c r="N68" s="34"/>
      <c r="O68" s="34"/>
      <c r="P68" s="34"/>
    </row>
    <row r="69" spans="1:16">
      <c r="A69" s="34"/>
      <c r="B69" s="160">
        <v>1</v>
      </c>
      <c r="C69" s="243"/>
      <c r="D69" s="243">
        <v>4</v>
      </c>
      <c r="E69" s="244">
        <v>0.3</v>
      </c>
      <c r="F69" s="244">
        <v>0.24</v>
      </c>
      <c r="G69" s="243">
        <v>0.3</v>
      </c>
      <c r="H69" s="243"/>
      <c r="I69" s="34"/>
      <c r="J69" s="34"/>
      <c r="K69" s="34"/>
      <c r="L69" s="34"/>
      <c r="M69" s="34"/>
      <c r="N69" s="34"/>
      <c r="O69" s="34"/>
      <c r="P69" s="34"/>
    </row>
    <row r="70" spans="1:16">
      <c r="A70" s="34"/>
      <c r="B70" s="160">
        <v>2</v>
      </c>
      <c r="C70" s="243"/>
      <c r="D70" s="243">
        <v>4</v>
      </c>
      <c r="E70" s="244">
        <v>0.3</v>
      </c>
      <c r="F70" s="244">
        <v>0.24</v>
      </c>
      <c r="G70" s="243">
        <v>0.3</v>
      </c>
      <c r="H70" s="243"/>
      <c r="I70" s="34"/>
      <c r="J70" s="34"/>
      <c r="K70" s="34"/>
      <c r="L70" s="34"/>
      <c r="M70" s="34"/>
      <c r="N70" s="34"/>
      <c r="O70" s="34"/>
      <c r="P70" s="34"/>
    </row>
    <row r="71" spans="1:16">
      <c r="A71" s="34"/>
      <c r="B71" s="160">
        <v>3</v>
      </c>
      <c r="C71" s="243"/>
      <c r="D71" s="243">
        <v>4</v>
      </c>
      <c r="E71" s="244">
        <v>0.3</v>
      </c>
      <c r="F71" s="244">
        <v>0.24</v>
      </c>
      <c r="G71" s="243">
        <v>0.3</v>
      </c>
      <c r="H71" s="243"/>
      <c r="I71" s="34"/>
      <c r="J71" s="34"/>
      <c r="K71" s="34"/>
      <c r="L71" s="34"/>
      <c r="M71" s="34"/>
      <c r="N71" s="34"/>
      <c r="O71" s="34"/>
      <c r="P71" s="34"/>
    </row>
    <row r="72" spans="1:16">
      <c r="A72" s="34"/>
      <c r="B72" s="160">
        <v>4</v>
      </c>
      <c r="C72" s="243"/>
      <c r="D72" s="243">
        <v>4</v>
      </c>
      <c r="E72" s="244">
        <v>0.3</v>
      </c>
      <c r="F72" s="244">
        <v>0.24</v>
      </c>
      <c r="G72" s="243">
        <v>0.3</v>
      </c>
      <c r="H72" s="243"/>
      <c r="I72" s="34"/>
      <c r="J72" s="34"/>
      <c r="K72" s="34"/>
      <c r="L72" s="34"/>
      <c r="M72" s="34"/>
      <c r="N72" s="34"/>
      <c r="O72" s="34"/>
      <c r="P72" s="34"/>
    </row>
    <row r="73" spans="1:16">
      <c r="A73" s="34"/>
      <c r="B73" s="160">
        <v>5</v>
      </c>
      <c r="C73" s="243"/>
      <c r="D73" s="243"/>
      <c r="E73" s="244"/>
      <c r="F73" s="244"/>
      <c r="G73" s="243"/>
      <c r="H73" s="243"/>
      <c r="I73" s="34"/>
      <c r="J73" s="34"/>
      <c r="K73" s="34"/>
      <c r="L73" s="34"/>
      <c r="M73" s="34"/>
      <c r="N73" s="34"/>
      <c r="O73" s="34"/>
      <c r="P73" s="34"/>
    </row>
    <row r="74" spans="1:16">
      <c r="A74" s="34"/>
      <c r="B74" s="34"/>
      <c r="C74" s="34"/>
      <c r="D74" s="34"/>
      <c r="E74" s="34"/>
      <c r="F74" s="34"/>
      <c r="G74" s="34"/>
      <c r="H74" s="34"/>
      <c r="I74" s="34"/>
      <c r="J74" s="34"/>
      <c r="K74" s="34"/>
      <c r="L74" s="34"/>
      <c r="M74" s="34"/>
      <c r="N74" s="34"/>
      <c r="O74" s="34"/>
      <c r="P74" s="34"/>
    </row>
    <row r="75" spans="1:16" ht="20" thickBot="1">
      <c r="A75" s="34"/>
      <c r="B75" s="290" t="s">
        <v>97</v>
      </c>
      <c r="C75" s="290"/>
      <c r="D75" s="290"/>
      <c r="E75" s="290"/>
      <c r="F75" s="290"/>
      <c r="G75" s="290"/>
      <c r="H75" s="290"/>
      <c r="I75" s="290"/>
      <c r="J75" s="290"/>
      <c r="K75" s="290"/>
      <c r="L75" s="290"/>
      <c r="M75" s="290"/>
      <c r="N75" s="34"/>
      <c r="O75" s="34"/>
      <c r="P75" s="34"/>
    </row>
    <row r="76" spans="1:16">
      <c r="A76" s="34"/>
      <c r="B76" s="34"/>
      <c r="C76" s="34"/>
      <c r="D76" s="34"/>
      <c r="E76" s="34"/>
      <c r="F76" s="34"/>
      <c r="G76" s="34"/>
      <c r="H76" s="34"/>
      <c r="I76" s="34"/>
      <c r="J76" s="34"/>
      <c r="K76" s="34"/>
      <c r="L76" s="34"/>
      <c r="M76" s="34"/>
      <c r="N76" s="34"/>
      <c r="O76" s="34"/>
      <c r="P76" s="34"/>
    </row>
    <row r="77" spans="1:16">
      <c r="A77" s="34"/>
      <c r="B77" s="137"/>
      <c r="C77" s="316" t="s">
        <v>703</v>
      </c>
      <c r="D77" s="316"/>
      <c r="E77" s="316"/>
      <c r="F77" s="316"/>
      <c r="G77" s="316"/>
      <c r="H77" s="316"/>
      <c r="I77" s="316"/>
      <c r="J77" s="34"/>
      <c r="K77" s="34"/>
      <c r="L77" s="34"/>
      <c r="M77" s="34"/>
      <c r="N77" s="34"/>
      <c r="O77" s="34"/>
      <c r="P77" s="34"/>
    </row>
    <row r="78" spans="1:16" ht="29">
      <c r="A78" s="34"/>
      <c r="B78" s="226" t="s">
        <v>22</v>
      </c>
      <c r="C78" s="208" t="s">
        <v>98</v>
      </c>
      <c r="D78" s="208" t="s">
        <v>99</v>
      </c>
      <c r="E78" s="208" t="s">
        <v>100</v>
      </c>
      <c r="F78" s="208" t="s">
        <v>101</v>
      </c>
      <c r="G78" s="207" t="s">
        <v>102</v>
      </c>
      <c r="H78" s="207" t="s">
        <v>103</v>
      </c>
      <c r="I78" s="207" t="s">
        <v>104</v>
      </c>
      <c r="J78" s="34"/>
      <c r="K78" s="34"/>
      <c r="L78" s="34"/>
      <c r="M78" s="34"/>
      <c r="N78" s="34"/>
      <c r="O78" s="34"/>
      <c r="P78" s="34"/>
    </row>
    <row r="79" spans="1:16">
      <c r="A79" s="34"/>
      <c r="B79" s="237">
        <v>1</v>
      </c>
      <c r="C79" s="149">
        <f>IF(ISNUMBER(H24), H24, IF(H24="", "", "Please Enter Data"))</f>
        <v>2087.5</v>
      </c>
      <c r="D79" s="138">
        <f>IF(ISNUMBER(J24),J24,IF(J24="", "", "Please Enter Data"))</f>
        <v>7.0000000000000007E-2</v>
      </c>
      <c r="E79" s="138">
        <f>IF(ISNUMBER(K24),K24,IF(K24="", "", "Please Enter Data"))</f>
        <v>0.2</v>
      </c>
      <c r="F79" s="145">
        <f>IF(ISNUMBER(L24),L24,IF(L24="", "", "Please Enter Data"))</f>
        <v>0</v>
      </c>
      <c r="G79" s="181">
        <f>IFERROR(I24*D79/2204.62*C79, "Missing Data")</f>
        <v>4.6396884723898006</v>
      </c>
      <c r="H79" s="181">
        <f>IFERROR((I24-I24*F79*D79)*E79/2204.62*C79, "Missing Data")</f>
        <v>13.25625277825657</v>
      </c>
      <c r="I79" s="181">
        <f>IFERROR(IF(F24="N/A",0,G79*IF(C60="AR",D60,F15)+H79*(IF(C60="AR",D60,M24)/M24)),"Missing Data")</f>
        <v>106.05002222605258</v>
      </c>
      <c r="J79" s="34"/>
      <c r="K79" s="34"/>
      <c r="L79" s="34"/>
      <c r="M79" s="34"/>
      <c r="N79" s="34"/>
      <c r="O79" s="34"/>
      <c r="P79" s="34"/>
    </row>
    <row r="80" spans="1:16">
      <c r="A80" s="34"/>
      <c r="B80" s="237">
        <v>2</v>
      </c>
      <c r="C80" s="149">
        <f t="shared" ref="C80:C83" si="6">IF(ISNUMBER(H25), H25, IF(H25="", "", "Please Enter Data"))</f>
        <v>2087.5</v>
      </c>
      <c r="D80" s="138">
        <f t="shared" ref="D80:D83" si="7">IF(ISNUMBER(J25),J25,IF(J25="", "", "Please Enter Data"))</f>
        <v>0.05</v>
      </c>
      <c r="E80" s="138">
        <f t="shared" ref="E80:E83" si="8">IF(ISNUMBER(K25),K25,IF(K25="", "", "Please Enter Data"))</f>
        <v>0.8</v>
      </c>
      <c r="F80" s="145">
        <f t="shared" ref="F80:F83" si="9">IF(ISNUMBER(L25),L25,IF(L25="", "", "Please Enter Data"))</f>
        <v>3</v>
      </c>
      <c r="G80" s="181">
        <f t="shared" ref="G80:G83" si="10">IFERROR(I25*D80/2204.62*C80, "Missing Data")</f>
        <v>0.35507819941758673</v>
      </c>
      <c r="H80" s="181">
        <f t="shared" ref="H80:H83" si="11">IFERROR((I25-I25*F80*D80)*E80/2204.62*C80, "Missing Data")</f>
        <v>4.8290635120791805</v>
      </c>
      <c r="I80" s="181">
        <f t="shared" ref="I80:I83" si="12">IFERROR(IF(F25="N/A",0,G80*IF(C61="AR",D61,F16)+H80*(IF(C61="AR",D61,M25)/M25)),"Missing Data")</f>
        <v>10.15523650334298</v>
      </c>
      <c r="J80" s="34"/>
      <c r="K80" s="34"/>
      <c r="L80" s="34"/>
      <c r="M80" s="34"/>
      <c r="N80" s="34"/>
      <c r="O80" s="34"/>
      <c r="P80" s="34"/>
    </row>
    <row r="81" spans="1:16">
      <c r="A81" s="34"/>
      <c r="B81" s="237">
        <v>3</v>
      </c>
      <c r="C81" s="149">
        <f t="shared" si="6"/>
        <v>2087.5</v>
      </c>
      <c r="D81" s="138">
        <f t="shared" si="7"/>
        <v>0.01</v>
      </c>
      <c r="E81" s="138">
        <f t="shared" si="8"/>
        <v>1</v>
      </c>
      <c r="F81" s="145">
        <f t="shared" si="9"/>
        <v>14</v>
      </c>
      <c r="G81" s="181">
        <f t="shared" si="10"/>
        <v>2.2725004762725553E-2</v>
      </c>
      <c r="H81" s="181">
        <f t="shared" si="11"/>
        <v>1.9543504095943975</v>
      </c>
      <c r="I81" s="181">
        <f t="shared" si="12"/>
        <v>2.181600457221653</v>
      </c>
      <c r="J81" s="34"/>
      <c r="K81" s="34"/>
      <c r="L81" s="34"/>
      <c r="M81" s="34"/>
      <c r="N81" s="34"/>
      <c r="O81" s="34"/>
      <c r="P81" s="34"/>
    </row>
    <row r="82" spans="1:16">
      <c r="A82" s="34"/>
      <c r="B82" s="237">
        <v>4</v>
      </c>
      <c r="C82" s="149" t="str">
        <f t="shared" si="6"/>
        <v/>
      </c>
      <c r="D82" s="138" t="str">
        <f t="shared" si="7"/>
        <v/>
      </c>
      <c r="E82" s="138" t="str">
        <f t="shared" si="8"/>
        <v/>
      </c>
      <c r="F82" s="145" t="str">
        <f t="shared" si="9"/>
        <v/>
      </c>
      <c r="G82" s="181" t="str">
        <f t="shared" si="10"/>
        <v>Missing Data</v>
      </c>
      <c r="H82" s="181" t="str">
        <f t="shared" si="11"/>
        <v>Missing Data</v>
      </c>
      <c r="I82" s="181" t="str">
        <f t="shared" si="12"/>
        <v>Missing Data</v>
      </c>
      <c r="J82" s="34"/>
      <c r="K82" s="34"/>
      <c r="L82" s="34"/>
      <c r="M82" s="34"/>
      <c r="N82" s="34"/>
      <c r="O82" s="34"/>
      <c r="P82" s="34"/>
    </row>
    <row r="83" spans="1:16">
      <c r="A83" s="34"/>
      <c r="B83" s="237">
        <v>5</v>
      </c>
      <c r="C83" s="149" t="str">
        <f t="shared" si="6"/>
        <v/>
      </c>
      <c r="D83" s="138" t="str">
        <f t="shared" si="7"/>
        <v/>
      </c>
      <c r="E83" s="138" t="str">
        <f t="shared" si="8"/>
        <v/>
      </c>
      <c r="F83" s="145" t="str">
        <f t="shared" si="9"/>
        <v/>
      </c>
      <c r="G83" s="181" t="str">
        <f t="shared" si="10"/>
        <v>Missing Data</v>
      </c>
      <c r="H83" s="181" t="str">
        <f t="shared" si="11"/>
        <v>Missing Data</v>
      </c>
      <c r="I83" s="181" t="str">
        <f t="shared" si="12"/>
        <v>Missing Data</v>
      </c>
      <c r="J83" s="34"/>
      <c r="K83" s="34"/>
      <c r="L83" s="34"/>
      <c r="M83" s="34"/>
      <c r="N83" s="34"/>
      <c r="O83" s="34"/>
      <c r="P83" s="34"/>
    </row>
    <row r="84" spans="1:16">
      <c r="A84" s="34"/>
      <c r="B84" s="137"/>
      <c r="C84" s="137"/>
      <c r="D84" s="137"/>
      <c r="E84" s="137"/>
      <c r="F84" s="137"/>
      <c r="G84" s="137"/>
      <c r="H84" s="137"/>
      <c r="I84" s="137"/>
      <c r="J84" s="34"/>
      <c r="K84" s="34"/>
      <c r="L84" s="34"/>
      <c r="M84" s="34"/>
      <c r="N84" s="34"/>
      <c r="O84" s="34"/>
      <c r="P84" s="34"/>
    </row>
    <row r="85" spans="1:16">
      <c r="A85" s="34"/>
      <c r="B85" s="137"/>
      <c r="C85" s="316" t="s">
        <v>704</v>
      </c>
      <c r="D85" s="316"/>
      <c r="E85" s="316"/>
      <c r="F85" s="316"/>
      <c r="G85" s="316"/>
      <c r="H85" s="316"/>
      <c r="I85" s="316"/>
      <c r="J85" s="34"/>
      <c r="K85" s="34"/>
      <c r="L85" s="34"/>
      <c r="M85" s="34"/>
      <c r="N85" s="34"/>
      <c r="O85" s="34"/>
      <c r="P85" s="34"/>
    </row>
    <row r="86" spans="1:16" ht="29">
      <c r="A86" s="34"/>
      <c r="B86" s="226" t="s">
        <v>22</v>
      </c>
      <c r="C86" s="208" t="s">
        <v>98</v>
      </c>
      <c r="D86" s="208" t="s">
        <v>99</v>
      </c>
      <c r="E86" s="208" t="s">
        <v>100</v>
      </c>
      <c r="F86" s="208" t="s">
        <v>101</v>
      </c>
      <c r="G86" s="207" t="s">
        <v>102</v>
      </c>
      <c r="H86" s="207" t="s">
        <v>103</v>
      </c>
      <c r="I86" s="207" t="s">
        <v>104</v>
      </c>
      <c r="J86" s="34"/>
      <c r="K86" s="34"/>
      <c r="L86" s="34"/>
      <c r="M86" s="34"/>
      <c r="N86" s="34"/>
      <c r="O86" s="34"/>
      <c r="P86" s="34"/>
    </row>
    <row r="87" spans="1:16">
      <c r="A87" s="34"/>
      <c r="B87" s="237">
        <v>1</v>
      </c>
      <c r="C87" s="149">
        <f>IF(ISNUMBER(H42), H42, IF(H42="", "", "Please Enter Data"))</f>
        <v>2087.5</v>
      </c>
      <c r="D87" s="138">
        <f>IF(ISNUMBER(J42),J42,IF(J42="", "", "Please Enter Data"))</f>
        <v>4.7E-2</v>
      </c>
      <c r="E87" s="138">
        <f>IF(ISNUMBER(K42),K42,IF(K42="", "", "Please Enter Data"))</f>
        <v>0.56000000000000005</v>
      </c>
      <c r="F87" s="145">
        <f>IF(ISNUMBER(L42),L42,IF(L42="", "", "Please Enter Data"))</f>
        <v>0</v>
      </c>
      <c r="G87" s="181">
        <f>IFERROR(I42*D87/2204.62*C87, "Missing Data")</f>
        <v>0.80995704475147645</v>
      </c>
      <c r="H87" s="181">
        <f>IFERROR((I42-I42*F87*D87)*E87/2204.62*C87, "Missing Data")</f>
        <v>9.6505520225707837</v>
      </c>
      <c r="I87" s="181">
        <f>IFERROR((G87*F15)+H87, "Missing Data")</f>
        <v>25.849692917600315</v>
      </c>
      <c r="J87" s="34"/>
      <c r="K87" s="34"/>
      <c r="L87" s="34"/>
      <c r="M87" s="34"/>
      <c r="N87" s="34"/>
      <c r="O87" s="34"/>
      <c r="P87" s="34"/>
    </row>
    <row r="88" spans="1:16">
      <c r="A88" s="34"/>
      <c r="B88" s="237">
        <v>2</v>
      </c>
      <c r="C88" s="149">
        <f t="shared" ref="C88:C91" si="13">IF(ISNUMBER(H43), H43, IF(H43="", "", "Please Enter Data"))</f>
        <v>2087.5</v>
      </c>
      <c r="D88" s="138">
        <f t="shared" ref="D88:D91" si="14">IF(ISNUMBER(J43),J43,IF(J43="", "", "Please Enter Data"))</f>
        <v>5.2999999999999999E-2</v>
      </c>
      <c r="E88" s="138">
        <f t="shared" ref="E88:E91" si="15">IF(ISNUMBER(K43),K43,IF(K43="", "", "Please Enter Data"))</f>
        <v>0.8</v>
      </c>
      <c r="F88" s="145">
        <f t="shared" ref="F88:F91" si="16">IF(ISNUMBER(L43),L43,IF(L43="", "", "Please Enter Data"))</f>
        <v>3</v>
      </c>
      <c r="G88" s="181">
        <f t="shared" ref="G88:G91" si="17">IFERROR(I43*D88/2204.62*C88, "Missing Data")</f>
        <v>0.41151196124502182</v>
      </c>
      <c r="H88" s="181">
        <f t="shared" ref="H88:H91" si="18">IFERROR((I43-I43*F88*D88)*E88/2204.62*C88, "Missing Data")</f>
        <v>5.2238725948235984</v>
      </c>
      <c r="I88" s="181">
        <f>IFERROR((G88*F16)+H88, "Missing Data")</f>
        <v>11.396552013498926</v>
      </c>
      <c r="J88" s="34"/>
      <c r="K88" s="34"/>
      <c r="L88" s="34"/>
      <c r="M88" s="34"/>
      <c r="N88" s="34"/>
      <c r="O88" s="34"/>
      <c r="P88" s="34"/>
    </row>
    <row r="89" spans="1:16">
      <c r="A89" s="34"/>
      <c r="B89" s="237">
        <v>3</v>
      </c>
      <c r="C89" s="149">
        <f t="shared" si="13"/>
        <v>2087.5</v>
      </c>
      <c r="D89" s="138">
        <f t="shared" si="14"/>
        <v>0.01</v>
      </c>
      <c r="E89" s="138">
        <f t="shared" si="15"/>
        <v>1</v>
      </c>
      <c r="F89" s="145">
        <f t="shared" si="16"/>
        <v>14</v>
      </c>
      <c r="G89" s="181">
        <f t="shared" si="17"/>
        <v>2.2725004762725553E-2</v>
      </c>
      <c r="H89" s="181">
        <f t="shared" si="18"/>
        <v>1.9543504095943975</v>
      </c>
      <c r="I89" s="181">
        <f>IFERROR((G89*F17)+H89, "Missing Data")</f>
        <v>2.181600457221653</v>
      </c>
      <c r="J89" s="34"/>
      <c r="K89" s="34"/>
      <c r="L89" s="34"/>
      <c r="M89" s="34"/>
      <c r="N89" s="34"/>
      <c r="O89" s="34"/>
      <c r="P89" s="34"/>
    </row>
    <row r="90" spans="1:16">
      <c r="A90" s="34"/>
      <c r="B90" s="237">
        <v>4</v>
      </c>
      <c r="C90" s="149" t="str">
        <f t="shared" si="13"/>
        <v/>
      </c>
      <c r="D90" s="138" t="str">
        <f t="shared" si="14"/>
        <v/>
      </c>
      <c r="E90" s="138" t="str">
        <f t="shared" si="15"/>
        <v/>
      </c>
      <c r="F90" s="145" t="str">
        <f t="shared" si="16"/>
        <v/>
      </c>
      <c r="G90" s="181" t="str">
        <f t="shared" si="17"/>
        <v>Missing Data</v>
      </c>
      <c r="H90" s="181" t="str">
        <f t="shared" si="18"/>
        <v>Missing Data</v>
      </c>
      <c r="I90" s="181" t="str">
        <f>IFERROR((G90*F18)+H90, "Missing Data")</f>
        <v>Missing Data</v>
      </c>
      <c r="J90" s="34"/>
      <c r="K90" s="34"/>
      <c r="L90" s="34"/>
      <c r="M90" s="34"/>
      <c r="N90" s="34"/>
      <c r="O90" s="34"/>
      <c r="P90" s="34"/>
    </row>
    <row r="91" spans="1:16">
      <c r="A91" s="34"/>
      <c r="B91" s="237">
        <v>5</v>
      </c>
      <c r="C91" s="149" t="str">
        <f t="shared" si="13"/>
        <v/>
      </c>
      <c r="D91" s="138" t="str">
        <f t="shared" si="14"/>
        <v/>
      </c>
      <c r="E91" s="138" t="str">
        <f t="shared" si="15"/>
        <v/>
      </c>
      <c r="F91" s="145" t="str">
        <f t="shared" si="16"/>
        <v/>
      </c>
      <c r="G91" s="181" t="str">
        <f t="shared" si="17"/>
        <v>Missing Data</v>
      </c>
      <c r="H91" s="181" t="str">
        <f t="shared" si="18"/>
        <v>Missing Data</v>
      </c>
      <c r="I91" s="181" t="str">
        <f>IFERROR((G91*F19)+H91, "Missing Data")</f>
        <v>Missing Data</v>
      </c>
      <c r="J91" s="34"/>
      <c r="K91" s="34"/>
      <c r="L91" s="34"/>
      <c r="M91" s="34"/>
      <c r="N91" s="34"/>
      <c r="O91" s="34"/>
      <c r="P91" s="34"/>
    </row>
    <row r="92" spans="1:16">
      <c r="A92" s="34"/>
      <c r="B92" s="34"/>
      <c r="C92" s="34"/>
      <c r="D92" s="34"/>
      <c r="E92" s="34"/>
      <c r="F92" s="34"/>
      <c r="G92" s="34"/>
      <c r="H92" s="34"/>
      <c r="I92" s="34"/>
      <c r="J92" s="34"/>
      <c r="K92" s="34"/>
      <c r="L92" s="34"/>
      <c r="M92" s="34"/>
      <c r="N92" s="34"/>
      <c r="O92" s="34"/>
      <c r="P92" s="34"/>
    </row>
    <row r="93" spans="1:16">
      <c r="A93" s="34"/>
      <c r="B93" s="137"/>
      <c r="C93" s="316" t="s">
        <v>705</v>
      </c>
      <c r="D93" s="316"/>
      <c r="E93" s="316"/>
      <c r="F93" s="316"/>
      <c r="G93" s="316"/>
      <c r="H93" s="316"/>
      <c r="I93" s="318"/>
      <c r="J93" s="34"/>
      <c r="K93" s="34"/>
      <c r="L93" s="34"/>
      <c r="M93" s="34"/>
      <c r="N93" s="34"/>
      <c r="O93" s="34"/>
      <c r="P93" s="34"/>
    </row>
    <row r="94" spans="1:16" ht="29">
      <c r="A94" s="34"/>
      <c r="B94" s="226" t="s">
        <v>22</v>
      </c>
      <c r="C94" s="238" t="s">
        <v>98</v>
      </c>
      <c r="D94" s="238" t="s">
        <v>99</v>
      </c>
      <c r="E94" s="238" t="s">
        <v>100</v>
      </c>
      <c r="F94" s="238" t="s">
        <v>101</v>
      </c>
      <c r="G94" s="239" t="s">
        <v>102</v>
      </c>
      <c r="H94" s="239" t="s">
        <v>103</v>
      </c>
      <c r="I94" s="239" t="s">
        <v>105</v>
      </c>
      <c r="J94" s="34"/>
      <c r="K94" s="34"/>
      <c r="L94" s="34"/>
      <c r="M94" s="34"/>
      <c r="N94" s="34"/>
      <c r="O94" s="34"/>
      <c r="P94" s="34"/>
    </row>
    <row r="95" spans="1:16">
      <c r="A95" s="34"/>
      <c r="B95" s="237">
        <v>1</v>
      </c>
      <c r="C95" s="135" t="str">
        <f>IF(C60&lt;&gt;"AR","",J60)</f>
        <v/>
      </c>
      <c r="D95" s="138" t="str">
        <f>IF($C60&lt;&gt;"AR","",L60)</f>
        <v/>
      </c>
      <c r="E95" s="138" t="str">
        <f>IF($C60&lt;&gt;"AR","",M60)</f>
        <v/>
      </c>
      <c r="F95" s="135" t="str">
        <f>IF($C60&lt;&gt;"AR","",N60)</f>
        <v/>
      </c>
      <c r="G95" s="162" t="str">
        <f>IFERROR(IF($C60&lt;&gt;"AR","",K60*D95/2204.62*C95), "Missing Data")</f>
        <v/>
      </c>
      <c r="H95" s="162" t="str">
        <f>IFERROR(IF($C60&lt;&gt;"AR","",(K60-K60*F95*D95)*E95/2204.62*C95), "Missing Data")</f>
        <v/>
      </c>
      <c r="I95" s="162" t="str">
        <f t="shared" ref="I95:I97" si="19">IFERROR(IF($C60&lt;&gt;"AR","",IF(G60="N/A", 0, G95*(F15-D60)+H95*(F15-D60)/O60)), "Missing Data")</f>
        <v/>
      </c>
      <c r="J95" s="34"/>
      <c r="K95" s="34"/>
      <c r="L95" s="34"/>
      <c r="M95" s="34"/>
      <c r="N95" s="34"/>
      <c r="O95" s="34"/>
      <c r="P95" s="34"/>
    </row>
    <row r="96" spans="1:16">
      <c r="A96" s="34"/>
      <c r="B96" s="237">
        <v>2</v>
      </c>
      <c r="C96" s="135" t="str">
        <f t="shared" ref="C96:C99" si="20">IF(C61&lt;&gt;"AR","",J61)</f>
        <v/>
      </c>
      <c r="D96" s="138" t="str">
        <f t="shared" ref="D96:F99" si="21">IF($C61&lt;&gt;"AR","",L61)</f>
        <v/>
      </c>
      <c r="E96" s="138" t="str">
        <f t="shared" si="21"/>
        <v/>
      </c>
      <c r="F96" s="135" t="str">
        <f t="shared" si="21"/>
        <v/>
      </c>
      <c r="G96" s="162" t="str">
        <f t="shared" ref="G96:G99" si="22">IFERROR(IF($C61&lt;&gt;"AR","",K61*D96/2204.62*C96), "Missing Data")</f>
        <v/>
      </c>
      <c r="H96" s="162" t="str">
        <f t="shared" ref="H96:H99" si="23">IFERROR(IF($C61&lt;&gt;"AR","",(K61-K61*F96*D96)*E96/2204.62*C96), "Missing Data")</f>
        <v/>
      </c>
      <c r="I96" s="162" t="str">
        <f t="shared" si="19"/>
        <v/>
      </c>
      <c r="J96" s="34"/>
      <c r="K96" s="34"/>
      <c r="L96" s="34"/>
      <c r="M96" s="34"/>
      <c r="N96" s="34"/>
      <c r="O96" s="34"/>
      <c r="P96" s="34"/>
    </row>
    <row r="97" spans="1:25">
      <c r="A97" s="34"/>
      <c r="B97" s="237">
        <v>3</v>
      </c>
      <c r="C97" s="135" t="str">
        <f t="shared" si="20"/>
        <v/>
      </c>
      <c r="D97" s="138" t="str">
        <f t="shared" si="21"/>
        <v/>
      </c>
      <c r="E97" s="138" t="str">
        <f t="shared" si="21"/>
        <v/>
      </c>
      <c r="F97" s="135" t="str">
        <f t="shared" si="21"/>
        <v/>
      </c>
      <c r="G97" s="162" t="str">
        <f t="shared" si="22"/>
        <v/>
      </c>
      <c r="H97" s="162" t="str">
        <f t="shared" si="23"/>
        <v/>
      </c>
      <c r="I97" s="162" t="str">
        <f t="shared" si="19"/>
        <v/>
      </c>
      <c r="J97" s="34"/>
      <c r="K97" s="34"/>
      <c r="L97" s="34"/>
      <c r="M97" s="34"/>
      <c r="N97" s="34"/>
      <c r="O97" s="34"/>
      <c r="P97" s="34"/>
    </row>
    <row r="98" spans="1:25">
      <c r="A98" s="34"/>
      <c r="B98" s="237">
        <v>4</v>
      </c>
      <c r="C98" s="135" t="str">
        <f t="shared" si="20"/>
        <v/>
      </c>
      <c r="D98" s="138" t="str">
        <f t="shared" si="21"/>
        <v/>
      </c>
      <c r="E98" s="138" t="str">
        <f t="shared" si="21"/>
        <v/>
      </c>
      <c r="F98" s="135" t="str">
        <f t="shared" si="21"/>
        <v/>
      </c>
      <c r="G98" s="162" t="str">
        <f t="shared" si="22"/>
        <v/>
      </c>
      <c r="H98" s="162" t="str">
        <f t="shared" si="23"/>
        <v/>
      </c>
      <c r="I98" s="162" t="str">
        <f>IFERROR(IF($C63&lt;&gt;"AR","",IF(G63="N/A", 0, G98*(F18-D63)+H98*(F18-D63)/O63)), "Missing Data")</f>
        <v/>
      </c>
      <c r="J98" s="34"/>
      <c r="K98" s="34"/>
      <c r="L98" s="34"/>
      <c r="M98" s="34"/>
      <c r="N98" s="34"/>
      <c r="O98" s="34"/>
      <c r="P98" s="34"/>
    </row>
    <row r="99" spans="1:25">
      <c r="A99" s="34"/>
      <c r="B99" s="237">
        <v>5</v>
      </c>
      <c r="C99" s="135" t="str">
        <f t="shared" si="20"/>
        <v/>
      </c>
      <c r="D99" s="138" t="str">
        <f t="shared" si="21"/>
        <v/>
      </c>
      <c r="E99" s="138" t="str">
        <f t="shared" si="21"/>
        <v/>
      </c>
      <c r="F99" s="135" t="str">
        <f t="shared" si="21"/>
        <v/>
      </c>
      <c r="G99" s="162" t="str">
        <f t="shared" si="22"/>
        <v>Missing Data</v>
      </c>
      <c r="H99" s="162" t="str">
        <f t="shared" si="23"/>
        <v>Missing Data</v>
      </c>
      <c r="I99" s="162" t="str">
        <f>IFERROR(IF($C64&lt;&gt;"AR","",IF(G64="N/A", 0, G99*(F19-D64)+H99*(F19-D64)/O64)), "Missing Data")</f>
        <v>Missing Data</v>
      </c>
      <c r="J99" s="34"/>
      <c r="K99" s="34"/>
      <c r="L99" s="34"/>
      <c r="M99" s="34"/>
      <c r="N99" s="34"/>
      <c r="O99" s="34"/>
      <c r="P99" s="34"/>
    </row>
    <row r="100" spans="1:25">
      <c r="A100" s="34"/>
      <c r="B100" s="34"/>
      <c r="C100" s="34"/>
      <c r="D100" s="34"/>
      <c r="E100" s="34"/>
      <c r="F100" s="34"/>
      <c r="G100" s="34"/>
      <c r="H100" s="34"/>
      <c r="I100" s="34"/>
      <c r="J100" s="34"/>
      <c r="K100" s="34"/>
      <c r="L100" s="34"/>
      <c r="M100" s="34"/>
      <c r="N100" s="34"/>
      <c r="O100" s="34"/>
      <c r="P100" s="34"/>
    </row>
    <row r="101" spans="1:25">
      <c r="A101" s="34"/>
      <c r="B101" s="34"/>
      <c r="C101" s="34"/>
      <c r="D101" s="34"/>
      <c r="E101" s="34"/>
      <c r="F101" s="34"/>
      <c r="G101" s="34"/>
      <c r="H101" s="34"/>
      <c r="I101" s="317" t="s">
        <v>106</v>
      </c>
      <c r="J101" s="317"/>
      <c r="K101" s="317"/>
      <c r="L101" s="34"/>
      <c r="M101" s="34"/>
      <c r="N101" s="34"/>
      <c r="O101" s="34"/>
      <c r="P101" s="34"/>
    </row>
    <row r="102" spans="1:25" ht="15" customHeight="1">
      <c r="A102" s="34"/>
      <c r="B102" s="34"/>
      <c r="C102" s="314" t="s">
        <v>107</v>
      </c>
      <c r="D102" s="314"/>
      <c r="E102" s="315" t="s">
        <v>108</v>
      </c>
      <c r="F102" s="315"/>
      <c r="G102" s="139" t="s">
        <v>109</v>
      </c>
      <c r="H102" s="34"/>
      <c r="I102" s="62" t="s">
        <v>110</v>
      </c>
      <c r="J102" s="62" t="s">
        <v>111</v>
      </c>
      <c r="K102" s="62" t="s">
        <v>112</v>
      </c>
      <c r="L102" s="34"/>
      <c r="M102" s="34"/>
      <c r="N102" s="34"/>
      <c r="O102" s="34"/>
      <c r="P102" s="34"/>
    </row>
    <row r="103" spans="1:25" ht="29">
      <c r="A103" s="34"/>
      <c r="B103" s="54" t="s">
        <v>22</v>
      </c>
      <c r="C103" s="62" t="s">
        <v>113</v>
      </c>
      <c r="D103" s="54" t="s">
        <v>114</v>
      </c>
      <c r="E103" s="62" t="s">
        <v>115</v>
      </c>
      <c r="F103" s="54" t="s">
        <v>114</v>
      </c>
      <c r="G103" s="140" t="s">
        <v>116</v>
      </c>
      <c r="H103" s="34"/>
      <c r="I103" s="62" t="s">
        <v>117</v>
      </c>
      <c r="J103" s="62" t="s">
        <v>117</v>
      </c>
      <c r="K103" s="208" t="s">
        <v>117</v>
      </c>
      <c r="L103" s="34"/>
      <c r="M103" s="34"/>
      <c r="N103" s="34"/>
      <c r="O103" s="34"/>
      <c r="P103" s="34"/>
      <c r="R103" s="44" t="s">
        <v>22</v>
      </c>
      <c r="S103" s="63" t="s">
        <v>118</v>
      </c>
      <c r="T103" s="229" t="s">
        <v>119</v>
      </c>
      <c r="U103" s="44" t="s">
        <v>120</v>
      </c>
      <c r="V103" s="44" t="s">
        <v>121</v>
      </c>
      <c r="W103" s="58" t="s">
        <v>122</v>
      </c>
      <c r="X103" s="58" t="s">
        <v>123</v>
      </c>
      <c r="Y103" s="58" t="s">
        <v>124</v>
      </c>
    </row>
    <row r="104" spans="1:25">
      <c r="A104" s="34"/>
      <c r="B104" s="56">
        <v>1</v>
      </c>
      <c r="C104" s="150">
        <f t="array" ref="C104">SUMPRODUCT('Annual Factors'!$D$6:$D$36,TRANSPOSE('Time series tables'!$O26:$AS26))/10^6+Btu_therm*SUM('Time series tables'!$O32:$AS32)/10^6</f>
        <v>15.214830721521047</v>
      </c>
      <c r="D104" s="45" t="str">
        <f>IF(W104,"PASS","FAIL")</f>
        <v>PASS</v>
      </c>
      <c r="E104" s="241">
        <f>SUM(I104:K104)</f>
        <v>81.052761348779867</v>
      </c>
      <c r="F104" s="45" t="str">
        <f>IF(X104,"PASS","FAIL")</f>
        <v>PASS</v>
      </c>
      <c r="G104" s="69" t="str">
        <f>IF(Y104,"Eligible","Not eligible")</f>
        <v>Eligible</v>
      </c>
      <c r="H104" s="34"/>
      <c r="I104" s="240" cm="1">
        <f t="array" ref="I104">(SUMPRODUCT('Annual Factors'!$E$6:$E$36,TRANSPOSE('Time series tables'!$O26:$AS26))/10^3)*(1+Reference!$E$50+Reference!$E$51)</f>
        <v>-5.2954422645606972E-2</v>
      </c>
      <c r="J104" s="240">
        <f>NG_metric_tonne_CO2_therm*'Time series tables'!$M32*(1+Reference!$G$50+(IF(E15="Residential",Reference!$G$51,0)))</f>
        <v>0.90538646297321135</v>
      </c>
      <c r="K104" s="240">
        <f>IF(C60="AR",(I95+I79)-I87,I79-I87)*D15</f>
        <v>80.200329308452268</v>
      </c>
      <c r="L104" s="161"/>
      <c r="M104" s="34"/>
      <c r="N104" s="34"/>
      <c r="O104" s="34"/>
      <c r="P104" s="34"/>
      <c r="R104" s="43">
        <v>1</v>
      </c>
      <c r="S104" s="40">
        <f>INDEX('Time series tables'!$M$26:$M$30,$B104)</f>
        <v>-382.00000000000045</v>
      </c>
      <c r="T104" s="230">
        <f>INDEX('Time series tables'!$M$32:$M$36,$B104)</f>
        <v>161.60000000000005</v>
      </c>
      <c r="U104" s="41" t="str">
        <f>_xlfn.SWITCH(H15,fuel_electricity,"kWh",fuel_natural_gas,"therms","oops")</f>
        <v>oops</v>
      </c>
      <c r="V104" s="40" t="e">
        <f>_xlfn.SWITCH(H15,fuel_electricity,C104*10^6/CCGT_Heat_Rate_btu_per_kwh,fuel_natural_gas,C104/MMBtu_per_therm)</f>
        <v>#N/A</v>
      </c>
      <c r="W104" t="b">
        <f>(C104&gt;=0)</f>
        <v>1</v>
      </c>
      <c r="X104" t="b">
        <f>(E104&gt;=0)</f>
        <v>1</v>
      </c>
      <c r="Y104" t="b">
        <f>AND(W104,X104)</f>
        <v>1</v>
      </c>
    </row>
    <row r="105" spans="1:25">
      <c r="A105" s="34"/>
      <c r="B105" s="56">
        <v>2</v>
      </c>
      <c r="C105" s="150">
        <f t="array" ref="C105">SUMPRODUCT('Annual Factors'!$D$6:$D$36,TRANSPOSE('Time series tables'!$O27:$AS27))/10^6+Btu_therm*SUM('Time series tables'!$O33:$AS33)/10^6</f>
        <v>74.790186223072055</v>
      </c>
      <c r="D105" s="45" t="str">
        <f t="shared" ref="D105:D108" si="24">IF(W105,"PASS","FAIL")</f>
        <v>PASS</v>
      </c>
      <c r="E105" s="242">
        <f>SUM(I105:K105)</f>
        <v>3.1293938523176648</v>
      </c>
      <c r="F105" s="45" t="str">
        <f t="shared" ref="F105:F108" si="25">IF(X105,"PASS","FAIL")</f>
        <v>PASS</v>
      </c>
      <c r="G105" s="45" t="str">
        <f>IF(Y105,"Eligible","Not eligible")</f>
        <v>Eligible</v>
      </c>
      <c r="H105" s="34"/>
      <c r="I105" s="240" cm="1">
        <f t="array" ref="I105">(SUMPRODUCT('Annual Factors'!$E$6:$E$36,TRANSPOSE('Time series tables'!$O27:$AS27))/10^3)*(1+Reference!$E$50+Reference!$E$51)</f>
        <v>-0.85047016733198166</v>
      </c>
      <c r="J105" s="240">
        <f>NG_metric_tonne_CO2_therm*'Time series tables'!$M33*(1+Reference!$G$50+(IF(E16="Residential",Reference!$G$51,0)))</f>
        <v>5.2211795298055925</v>
      </c>
      <c r="K105" s="240">
        <f t="shared" ref="K105:K108" si="26">IF(C61="AR",(I96+I80)-I88,I80-I88)*D16</f>
        <v>-1.2413155101559461</v>
      </c>
      <c r="L105" s="161"/>
      <c r="M105" s="34"/>
      <c r="N105" s="34"/>
      <c r="O105" s="34"/>
      <c r="P105" s="34"/>
      <c r="R105" s="43">
        <v>2</v>
      </c>
      <c r="S105" s="40">
        <f>INDEX('Time series tables'!$M$26:$M$30,$B105)</f>
        <v>-5469.2999999999993</v>
      </c>
      <c r="T105" s="230">
        <f>INDEX('Time series tables'!$M$32:$M$36,$B105)</f>
        <v>899.70000000000016</v>
      </c>
      <c r="U105" s="41" t="str">
        <f>_xlfn.SWITCH(H16,"electricity","kWh","natural gas","therms","oops")</f>
        <v>oops</v>
      </c>
      <c r="V105" s="40" t="e">
        <f>_xlfn.SWITCH(H16,fuel_electricity,C105*10^6/CCGT_Heat_Rate_btu_per_kwh,fuel_natural_gas,C105/MMBtu_per_therm)</f>
        <v>#N/A</v>
      </c>
      <c r="W105" t="b">
        <f>(C105&gt;=0)</f>
        <v>1</v>
      </c>
      <c r="X105" t="b">
        <f>(E105&gt;=0)</f>
        <v>1</v>
      </c>
      <c r="Y105" t="b">
        <f t="shared" ref="Y105:Y108" si="27">AND(W105,X105)</f>
        <v>1</v>
      </c>
    </row>
    <row r="106" spans="1:25">
      <c r="A106" s="34"/>
      <c r="B106" s="56">
        <v>3</v>
      </c>
      <c r="C106" s="150">
        <f t="array" ref="C106">SUMPRODUCT('Annual Factors'!$D$6:$D$36,TRANSPOSE('Time series tables'!$O28:$AS28))/10^6+Btu_therm*SUM('Time series tables'!$O34:$AS34)/10^6</f>
        <v>0</v>
      </c>
      <c r="D106" s="45" t="str">
        <f t="shared" si="24"/>
        <v>PASS</v>
      </c>
      <c r="E106" s="242">
        <f>SUM(I106:K106)</f>
        <v>0</v>
      </c>
      <c r="F106" s="45" t="str">
        <f t="shared" si="25"/>
        <v>PASS</v>
      </c>
      <c r="G106" s="45" t="str">
        <f>IF(Y106,"Eligible","Not eligible")</f>
        <v>Eligible</v>
      </c>
      <c r="H106" s="34"/>
      <c r="I106" s="240" cm="1">
        <f t="array" ref="I106">(SUMPRODUCT('Annual Factors'!$E$6:$E$36,TRANSPOSE('Time series tables'!$O28:$AS28))/10^3)*(1+Reference!$E$50+Reference!$E$51)</f>
        <v>0</v>
      </c>
      <c r="J106" s="240">
        <f>NG_metric_tonne_CO2_therm*'Time series tables'!$M34*(1+Reference!$G$50+(IF(E17="Residential",Reference!$G$51,0)))</f>
        <v>0</v>
      </c>
      <c r="K106" s="240">
        <f t="shared" si="26"/>
        <v>0</v>
      </c>
      <c r="L106" s="161"/>
      <c r="M106" s="34"/>
      <c r="N106" s="34"/>
      <c r="O106" s="34"/>
      <c r="P106" s="34"/>
      <c r="R106" s="43">
        <v>3</v>
      </c>
      <c r="S106" s="40">
        <f>INDEX('Time series tables'!$M$26:$M$30,$B106)</f>
        <v>0</v>
      </c>
      <c r="T106" s="230">
        <f>INDEX('Time series tables'!$M$32:$M$36,$B106)</f>
        <v>0</v>
      </c>
      <c r="U106" s="41" t="str">
        <f>_xlfn.SWITCH(H17,"electricity","kWh","natural gas","therms","oops")</f>
        <v>therms</v>
      </c>
      <c r="V106" s="40">
        <f>_xlfn.SWITCH(H17,fuel_electricity,C106*10^6/CCGT_Heat_Rate_btu_per_kwh,fuel_natural_gas,C106/MMBtu_per_therm)</f>
        <v>0</v>
      </c>
      <c r="W106" t="b">
        <f>(C106&gt;=0)</f>
        <v>1</v>
      </c>
      <c r="X106" t="b">
        <f>(E106&gt;=0)</f>
        <v>1</v>
      </c>
      <c r="Y106" t="b">
        <f t="shared" si="27"/>
        <v>1</v>
      </c>
    </row>
    <row r="107" spans="1:25">
      <c r="A107" s="34"/>
      <c r="B107" s="56">
        <v>4</v>
      </c>
      <c r="C107" s="150">
        <f t="array" ref="C107">SUMPRODUCT('Annual Factors'!$D$6:$D$36,TRANSPOSE('Time series tables'!$O29:$AS29))/10^6+Btu_therm*SUM('Time series tables'!$O35:$AS35)/10^6</f>
        <v>0</v>
      </c>
      <c r="D107" s="45" t="str">
        <f t="shared" si="24"/>
        <v>PASS</v>
      </c>
      <c r="E107" s="241" t="e">
        <f>SUM(I107:K107)</f>
        <v>#VALUE!</v>
      </c>
      <c r="F107" s="45" t="e">
        <f t="shared" si="25"/>
        <v>#VALUE!</v>
      </c>
      <c r="G107" s="45" t="e">
        <f>IF(Y107,"Eligible","Not eligible")</f>
        <v>#VALUE!</v>
      </c>
      <c r="H107" s="34"/>
      <c r="I107" s="240" cm="1">
        <f t="array" ref="I107">(SUMPRODUCT('Annual Factors'!$E$6:$E$36,TRANSPOSE('Time series tables'!$O29:$AS29))/10^3)*(1+Reference!$E$50+Reference!$E$51)</f>
        <v>0</v>
      </c>
      <c r="J107" s="240">
        <f>NG_metric_tonne_CO2_therm*'Time series tables'!$M35*(1+Reference!$G$50+(IF(E18="Residential",Reference!$G$51,0)))</f>
        <v>0</v>
      </c>
      <c r="K107" s="240" t="e">
        <f>IF(C63="AR",(I98+I82)-I90,I82-I90)*D18</f>
        <v>#VALUE!</v>
      </c>
      <c r="L107" s="161"/>
      <c r="M107" s="34"/>
      <c r="N107" s="34"/>
      <c r="O107" s="34"/>
      <c r="P107" s="34"/>
      <c r="R107" s="43">
        <v>4</v>
      </c>
      <c r="S107" s="40">
        <f>INDEX('Time series tables'!$M$26:$M$30,$B107)</f>
        <v>0</v>
      </c>
      <c r="T107" s="230">
        <f>INDEX('Time series tables'!$M$32:$M$36,$B107)</f>
        <v>0</v>
      </c>
      <c r="U107" s="41" t="str">
        <f>_xlfn.SWITCH(H18,"electricity","kWh","natural gas","therms","oops")</f>
        <v>oops</v>
      </c>
      <c r="V107" s="40" t="e">
        <f>_xlfn.SWITCH(H18,fuel_electricity,C107*10^6/CCGT_Heat_Rate_btu_per_kwh,fuel_natural_gas,C107/MMBtu_per_therm)</f>
        <v>#N/A</v>
      </c>
      <c r="W107" t="b">
        <f>(C107&gt;=0)</f>
        <v>1</v>
      </c>
      <c r="X107" t="e">
        <f>(E107&gt;=0)</f>
        <v>#VALUE!</v>
      </c>
      <c r="Y107" t="e">
        <f t="shared" si="27"/>
        <v>#VALUE!</v>
      </c>
    </row>
    <row r="108" spans="1:25">
      <c r="A108" s="34"/>
      <c r="B108" s="56">
        <v>5</v>
      </c>
      <c r="C108" s="150">
        <f t="array" ref="C108">SUMPRODUCT('Annual Factors'!$D$6:$D$36,TRANSPOSE('Time series tables'!$O30:$AS30))/10^6+Btu_therm*SUM('Time series tables'!$O36:$AS36)/10^6</f>
        <v>0</v>
      </c>
      <c r="D108" s="45" t="str">
        <f t="shared" si="24"/>
        <v>PASS</v>
      </c>
      <c r="E108" s="241" t="e">
        <f>SUM(I108:K108)</f>
        <v>#VALUE!</v>
      </c>
      <c r="F108" s="45" t="e">
        <f t="shared" si="25"/>
        <v>#VALUE!</v>
      </c>
      <c r="G108" s="45" t="e">
        <f>IF(Y108,"Eligible","Not eligible")</f>
        <v>#VALUE!</v>
      </c>
      <c r="H108" s="34"/>
      <c r="I108" s="240" cm="1">
        <f t="array" ref="I108">(SUMPRODUCT('Annual Factors'!$E$6:$E$36,TRANSPOSE('Time series tables'!$O30:$AS30))/10^3)*(1+Reference!$E$50+Reference!$E$51)</f>
        <v>0</v>
      </c>
      <c r="J108" s="240">
        <f>NG_metric_tonne_CO2_therm*'Time series tables'!$M36*(1+Reference!$G$50+(IF(E19="Residential",Reference!$G$51,0)))</f>
        <v>0</v>
      </c>
      <c r="K108" s="240" t="e">
        <f t="shared" si="26"/>
        <v>#VALUE!</v>
      </c>
      <c r="L108" s="161"/>
      <c r="M108" s="34"/>
      <c r="N108" s="34"/>
      <c r="O108" s="34"/>
      <c r="P108" s="34"/>
      <c r="R108" s="43">
        <v>5</v>
      </c>
      <c r="S108" s="40">
        <f>INDEX('Time series tables'!$M$26:$M$30,$B108)</f>
        <v>0</v>
      </c>
      <c r="T108" s="230">
        <f>INDEX('Time series tables'!$M$32:$M$36,$B108)</f>
        <v>0</v>
      </c>
      <c r="U108" s="41" t="str">
        <f>_xlfn.SWITCH(H19,"electricity","kWh","natural gas","therms","oops")</f>
        <v>oops</v>
      </c>
      <c r="V108" s="40" t="e">
        <f>_xlfn.SWITCH(H19,fuel_electricity,C108*10^6/CCGT_Heat_Rate_btu_per_kwh,fuel_natural_gas,C108/MMBtu_per_therm)</f>
        <v>#N/A</v>
      </c>
      <c r="W108" t="b">
        <f>(C108&gt;=0)</f>
        <v>1</v>
      </c>
      <c r="X108" t="e">
        <f>(E108&gt;=0)</f>
        <v>#VALUE!</v>
      </c>
      <c r="Y108" t="e">
        <f t="shared" si="27"/>
        <v>#VALUE!</v>
      </c>
    </row>
    <row r="109" spans="1:25">
      <c r="A109" s="34"/>
      <c r="B109" s="34"/>
      <c r="C109" s="34"/>
      <c r="D109" s="34"/>
      <c r="E109" s="34"/>
      <c r="F109" s="34"/>
      <c r="G109" s="34"/>
      <c r="H109" s="34"/>
      <c r="I109" s="206"/>
      <c r="J109" s="206"/>
      <c r="K109" s="34"/>
      <c r="L109" s="34"/>
      <c r="M109" s="34"/>
      <c r="N109" s="34"/>
      <c r="O109" s="34"/>
      <c r="P109" s="34"/>
    </row>
    <row r="110" spans="1:25">
      <c r="A110" s="34"/>
      <c r="B110" s="34"/>
      <c r="C110" s="34"/>
      <c r="D110" s="34"/>
      <c r="E110" s="34"/>
      <c r="F110" s="34"/>
      <c r="G110" s="34"/>
      <c r="H110" s="34"/>
      <c r="I110" s="34"/>
      <c r="J110" s="34"/>
      <c r="K110" s="34"/>
      <c r="L110" s="34"/>
      <c r="M110" s="34"/>
      <c r="N110" s="34"/>
      <c r="O110" s="34"/>
      <c r="P110" s="34"/>
    </row>
    <row r="111" spans="1:25" ht="20" thickBot="1">
      <c r="A111" s="34"/>
      <c r="B111" s="290" t="s">
        <v>125</v>
      </c>
      <c r="C111" s="290"/>
      <c r="D111" s="290"/>
      <c r="E111" s="290"/>
      <c r="F111" s="290"/>
      <c r="G111" s="290"/>
      <c r="H111" s="290"/>
      <c r="I111" s="290"/>
      <c r="J111" s="290"/>
      <c r="K111" s="290"/>
      <c r="L111" s="290"/>
      <c r="M111" s="290"/>
      <c r="N111" s="34"/>
      <c r="O111" s="34"/>
      <c r="P111" s="34"/>
    </row>
    <row r="112" spans="1:25">
      <c r="A112" s="34"/>
      <c r="B112" s="34"/>
      <c r="C112" s="34"/>
      <c r="D112" s="34"/>
      <c r="E112" s="34"/>
      <c r="F112" s="34"/>
      <c r="G112" s="34"/>
      <c r="H112" s="34"/>
      <c r="I112" s="34"/>
      <c r="J112" s="34"/>
      <c r="K112" s="34"/>
      <c r="L112" s="34"/>
      <c r="M112" s="34"/>
      <c r="N112" s="34"/>
      <c r="O112" s="34"/>
      <c r="P112" s="34"/>
    </row>
    <row r="113" spans="1:20">
      <c r="A113" s="34"/>
      <c r="B113" s="313" t="s">
        <v>126</v>
      </c>
      <c r="C113" s="313"/>
      <c r="D113" s="313"/>
      <c r="E113" s="313"/>
      <c r="F113" s="313"/>
      <c r="G113" s="313"/>
      <c r="H113" s="313"/>
      <c r="I113" s="34"/>
      <c r="J113" s="34"/>
      <c r="K113" s="34"/>
      <c r="L113" s="34"/>
      <c r="M113" s="34"/>
      <c r="N113" s="34"/>
      <c r="O113" s="34"/>
      <c r="P113" s="34"/>
    </row>
    <row r="114" spans="1:20">
      <c r="A114" s="34"/>
      <c r="B114" s="34"/>
      <c r="C114" s="34"/>
      <c r="D114" s="34"/>
      <c r="E114" s="34"/>
      <c r="F114" s="34"/>
      <c r="G114" s="34"/>
      <c r="H114" s="34"/>
      <c r="I114" s="34"/>
      <c r="J114" s="34"/>
      <c r="K114" s="34"/>
      <c r="L114" s="34"/>
      <c r="M114" s="34"/>
      <c r="N114" s="34"/>
      <c r="O114" s="34"/>
      <c r="P114" s="34"/>
    </row>
    <row r="115" spans="1:20" ht="29">
      <c r="A115" s="34"/>
      <c r="B115" s="52" t="s">
        <v>22</v>
      </c>
      <c r="C115" s="53" t="s">
        <v>127</v>
      </c>
      <c r="D115" s="52" t="s">
        <v>128</v>
      </c>
      <c r="E115" s="53" t="s">
        <v>129</v>
      </c>
      <c r="F115" s="53" t="s">
        <v>130</v>
      </c>
      <c r="G115" s="53" t="s">
        <v>131</v>
      </c>
      <c r="H115" s="53" t="s">
        <v>132</v>
      </c>
      <c r="I115" s="34"/>
      <c r="J115" s="34"/>
      <c r="K115" s="34"/>
      <c r="L115" s="34"/>
      <c r="M115" s="34"/>
      <c r="N115" s="34"/>
      <c r="O115" s="34"/>
      <c r="P115" s="34"/>
      <c r="R115" s="44" t="s">
        <v>22</v>
      </c>
      <c r="S115" s="61" t="s">
        <v>133</v>
      </c>
      <c r="T115" s="61" t="s">
        <v>134</v>
      </c>
    </row>
    <row r="116" spans="1:20">
      <c r="A116" s="34"/>
      <c r="B116" s="56">
        <v>1</v>
      </c>
      <c r="C116" s="67">
        <f>(Btu_per_kWh*S116+Btu_therm*T116)/10^6</f>
        <v>0.74281169999999996</v>
      </c>
      <c r="D116" s="45" t="str">
        <f>VLOOKUP(I15,Dropdown!$C$3:$D$4,2,FALSE)</f>
        <v>kWh</v>
      </c>
      <c r="E116" s="68">
        <f>IF($I15=fuel_electricity,$C116*10^6/Btu_per_kWh,0)</f>
        <v>217.64186932317608</v>
      </c>
      <c r="F116" s="68" t="str">
        <f>IF($I15=fuel_natural_gas,$C116/MMBtu_per_therm,"N/A")</f>
        <v>N/A</v>
      </c>
      <c r="G116" s="68" t="str">
        <f>IF($I15=fuel_electricity,"N/A",C24)</f>
        <v>N/A</v>
      </c>
      <c r="H116" s="68">
        <f>IF($I15=fuel_electricity,C116*10^6/Btu_therm,"N/A")</f>
        <v>7.4281169999999994</v>
      </c>
      <c r="I116" s="34"/>
      <c r="J116" s="34"/>
      <c r="K116" s="34"/>
      <c r="L116" s="34"/>
      <c r="M116" s="34"/>
      <c r="N116" s="34"/>
      <c r="O116" s="34"/>
      <c r="P116" s="34"/>
      <c r="R116" s="43">
        <v>1</v>
      </c>
      <c r="S116" s="60">
        <f>'Time series tables'!H26</f>
        <v>-19.100000000000023</v>
      </c>
      <c r="T116" s="59">
        <f>'Time series tables'!H32</f>
        <v>8.08</v>
      </c>
    </row>
    <row r="117" spans="1:20">
      <c r="A117" s="34"/>
      <c r="B117" s="56">
        <v>2</v>
      </c>
      <c r="C117" s="67">
        <f>(Btu_per_kWh*S117+Btu_therm*T117)/10^6</f>
        <v>4.7535519399999995</v>
      </c>
      <c r="D117" s="45" t="str">
        <f>VLOOKUP(I16,Dropdown!$C$3:$D$4,2,FALSE)</f>
        <v>kWh</v>
      </c>
      <c r="E117" s="68">
        <f>IF($I16=fuel_electricity,$C117*10^6/Btu_per_kWh,0)</f>
        <v>1392.7781834163491</v>
      </c>
      <c r="F117" s="68" t="str">
        <f>IF($I16=fuel_natural_gas,$C117/MMBtu_per_therm,"N/A")</f>
        <v>N/A</v>
      </c>
      <c r="G117" s="68" t="str">
        <f>IF($I16=fuel_electricity,"N/A",C25)</f>
        <v>N/A</v>
      </c>
      <c r="H117" s="68">
        <f>IF($I16=fuel_electricity,C117*10^6/Btu_therm,"N/A")</f>
        <v>47.535519399999998</v>
      </c>
      <c r="I117" s="34"/>
      <c r="J117" s="34"/>
      <c r="K117" s="34"/>
      <c r="L117" s="34"/>
      <c r="M117" s="34"/>
      <c r="N117" s="34"/>
      <c r="O117" s="34"/>
      <c r="P117" s="34"/>
      <c r="R117" s="43">
        <v>2</v>
      </c>
      <c r="S117" s="60">
        <f>'Time series tables'!H27</f>
        <v>-364.62</v>
      </c>
      <c r="T117" s="59">
        <f>'Time series tables'!H33</f>
        <v>59.98</v>
      </c>
    </row>
    <row r="118" spans="1:20">
      <c r="A118" s="34"/>
      <c r="B118" s="56">
        <v>3</v>
      </c>
      <c r="C118" s="67">
        <f>(Btu_per_kWh*S118+Btu_therm*T118)/10^6</f>
        <v>0</v>
      </c>
      <c r="D118" s="45" t="str">
        <f>VLOOKUP(I17,Dropdown!$C$3:$D$4,2,FALSE)</f>
        <v>kWh</v>
      </c>
      <c r="E118" s="68">
        <f>IF($I17=fuel_electricity,$C118*10^6/Btu_per_kWh,0)</f>
        <v>0</v>
      </c>
      <c r="F118" s="68" t="str">
        <f>IF($I17=fuel_natural_gas,$C118/MMBtu_per_therm,"N/A")</f>
        <v>N/A</v>
      </c>
      <c r="G118" s="68" t="str">
        <f>IF($I17=fuel_electricity,"N/A",C26)</f>
        <v>N/A</v>
      </c>
      <c r="H118" s="68">
        <f>IF($I17=fuel_electricity,C118*10^6/Btu_therm,"N/A")</f>
        <v>0</v>
      </c>
      <c r="I118" s="34"/>
      <c r="J118" s="34"/>
      <c r="K118" s="34"/>
      <c r="L118" s="34"/>
      <c r="M118" s="34"/>
      <c r="N118" s="34"/>
      <c r="O118" s="34"/>
      <c r="P118" s="34"/>
      <c r="R118" s="43">
        <v>3</v>
      </c>
      <c r="S118" s="60">
        <f>'Time series tables'!H28</f>
        <v>0</v>
      </c>
      <c r="T118" s="59">
        <f>'Time series tables'!H34</f>
        <v>0</v>
      </c>
    </row>
    <row r="119" spans="1:20">
      <c r="A119" s="34"/>
      <c r="B119" s="56">
        <v>4</v>
      </c>
      <c r="C119" s="67">
        <f>(Btu_per_kWh*S119+Btu_therm*T119)/10^6</f>
        <v>0</v>
      </c>
      <c r="D119" s="45" t="e">
        <f>VLOOKUP(I18,Dropdown!$C$3:$D$4,2,FALSE)</f>
        <v>#N/A</v>
      </c>
      <c r="E119" s="68">
        <f>IF($I18=fuel_electricity,$C119*10^6/Btu_per_kWh,0)</f>
        <v>0</v>
      </c>
      <c r="F119" s="68" t="str">
        <f>IF($I18=fuel_natural_gas,$C119/MMBtu_per_therm,"N/A")</f>
        <v>N/A</v>
      </c>
      <c r="G119" s="68">
        <f>IF($I18=fuel_electricity,"N/A",C27)</f>
        <v>0</v>
      </c>
      <c r="H119" s="68" t="str">
        <f>IF($I18=fuel_electricity,C119*10^6/Btu_therm,"N/A")</f>
        <v>N/A</v>
      </c>
      <c r="I119" s="34"/>
      <c r="J119" s="34"/>
      <c r="K119" s="34"/>
      <c r="L119" s="34"/>
      <c r="M119" s="34"/>
      <c r="N119" s="34"/>
      <c r="O119" s="34"/>
      <c r="P119" s="34"/>
      <c r="R119" s="43">
        <v>4</v>
      </c>
      <c r="S119" s="60">
        <f>'Time series tables'!H29</f>
        <v>0</v>
      </c>
      <c r="T119" s="59">
        <f>'Time series tables'!H35</f>
        <v>0</v>
      </c>
    </row>
    <row r="120" spans="1:20">
      <c r="A120" s="34"/>
      <c r="B120" s="56">
        <v>5</v>
      </c>
      <c r="C120" s="67">
        <f>(Btu_per_kWh*S120+Btu_therm*T120)/10^6</f>
        <v>0</v>
      </c>
      <c r="D120" s="45" t="e">
        <f>VLOOKUP(I19,Dropdown!$C$3:$D$4,2,FALSE)</f>
        <v>#N/A</v>
      </c>
      <c r="E120" s="68">
        <f>IF($I19=fuel_electricity,$C120*10^6/Btu_per_kWh,0)</f>
        <v>0</v>
      </c>
      <c r="F120" s="68" t="str">
        <f>IF($I19=fuel_natural_gas,$C120/MMBtu_per_therm,"N/A")</f>
        <v>N/A</v>
      </c>
      <c r="G120" s="68">
        <f>IF($I19=fuel_electricity,"N/A",C28)</f>
        <v>0</v>
      </c>
      <c r="H120" s="68" t="str">
        <f>IF($I19=fuel_electricity,C120*10^6/Btu_therm,"N/A")</f>
        <v>N/A</v>
      </c>
      <c r="I120" s="34"/>
      <c r="J120" s="34"/>
      <c r="K120" s="34"/>
      <c r="L120" s="34"/>
      <c r="M120" s="34"/>
      <c r="N120" s="34"/>
      <c r="O120" s="34"/>
      <c r="P120" s="34"/>
      <c r="R120" s="43">
        <v>5</v>
      </c>
      <c r="S120" s="60">
        <f>'Time series tables'!H30</f>
        <v>0</v>
      </c>
      <c r="T120" s="59">
        <f>'Time series tables'!H36</f>
        <v>0</v>
      </c>
    </row>
    <row r="121" spans="1:20">
      <c r="A121" s="34"/>
      <c r="B121" s="34"/>
      <c r="C121" s="34"/>
      <c r="D121" s="34"/>
      <c r="E121" s="34"/>
      <c r="F121" s="34"/>
      <c r="G121" s="34"/>
      <c r="H121" s="34"/>
      <c r="I121" s="34"/>
      <c r="J121" s="34"/>
      <c r="K121" s="34"/>
      <c r="L121" s="34"/>
      <c r="M121" s="34"/>
      <c r="N121" s="34"/>
      <c r="O121" s="34"/>
      <c r="P121" s="34"/>
    </row>
    <row r="122" spans="1:20">
      <c r="A122" s="34"/>
      <c r="B122" s="34"/>
      <c r="C122" s="312" t="s">
        <v>135</v>
      </c>
      <c r="D122" s="312"/>
      <c r="E122" s="312"/>
      <c r="F122" s="312"/>
      <c r="G122" s="312"/>
      <c r="H122" s="312"/>
      <c r="I122" s="312"/>
      <c r="J122" s="34"/>
      <c r="K122" s="34"/>
      <c r="L122" s="34"/>
      <c r="M122" s="34"/>
      <c r="N122" s="34"/>
      <c r="O122" s="34"/>
      <c r="P122" s="34"/>
    </row>
    <row r="123" spans="1:20" ht="29">
      <c r="A123" s="34"/>
      <c r="B123" s="53" t="s">
        <v>136</v>
      </c>
      <c r="C123" s="53" t="s">
        <v>137</v>
      </c>
      <c r="D123" s="53" t="s">
        <v>138</v>
      </c>
      <c r="E123" s="53" t="s">
        <v>139</v>
      </c>
      <c r="F123" s="53" t="s">
        <v>140</v>
      </c>
      <c r="G123" s="53" t="s">
        <v>141</v>
      </c>
      <c r="H123" s="53" t="s">
        <v>142</v>
      </c>
      <c r="I123" s="53" t="s">
        <v>143</v>
      </c>
      <c r="J123" s="34"/>
      <c r="K123" s="34"/>
      <c r="L123" s="34"/>
      <c r="M123" s="34"/>
      <c r="N123" s="34"/>
      <c r="O123" s="34"/>
      <c r="P123" s="34"/>
    </row>
    <row r="124" spans="1:20">
      <c r="A124" s="34"/>
      <c r="B124" s="56">
        <v>1</v>
      </c>
      <c r="C124" s="46">
        <f>D15</f>
        <v>1</v>
      </c>
      <c r="D124" s="68">
        <f t="shared" ref="D124:E128" si="28">IF($Y104,V24,0)</f>
        <v>-19.100000000000023</v>
      </c>
      <c r="E124" s="68">
        <f t="shared" si="28"/>
        <v>8.08</v>
      </c>
      <c r="F124" s="68">
        <f t="shared" ref="F124:G128" si="29">IF($Y104,V60,0)</f>
        <v>0</v>
      </c>
      <c r="G124" s="68">
        <f t="shared" si="29"/>
        <v>0</v>
      </c>
      <c r="H124" s="352">
        <f>F15</f>
        <v>20</v>
      </c>
      <c r="I124" s="352">
        <f>T15</f>
        <v>0</v>
      </c>
      <c r="J124" s="34"/>
      <c r="K124" s="34"/>
      <c r="L124" s="34"/>
      <c r="M124" s="34"/>
      <c r="N124" s="34"/>
      <c r="O124" s="34"/>
      <c r="P124" s="34"/>
    </row>
    <row r="125" spans="1:20">
      <c r="A125" s="34"/>
      <c r="B125" s="56">
        <v>2</v>
      </c>
      <c r="C125" s="46">
        <f t="shared" ref="C125:C128" si="30">D16</f>
        <v>1</v>
      </c>
      <c r="D125" s="68">
        <f t="shared" si="28"/>
        <v>-364.62</v>
      </c>
      <c r="E125" s="68">
        <f t="shared" si="28"/>
        <v>59.98</v>
      </c>
      <c r="F125" s="68">
        <f t="shared" si="29"/>
        <v>0</v>
      </c>
      <c r="G125" s="68">
        <f t="shared" si="29"/>
        <v>0</v>
      </c>
      <c r="H125" s="352">
        <f t="shared" ref="H125:H128" si="31">F16</f>
        <v>15</v>
      </c>
      <c r="I125" s="352">
        <f t="shared" ref="I125:I128" si="32">T16</f>
        <v>0</v>
      </c>
      <c r="J125" s="34"/>
      <c r="K125" s="34"/>
      <c r="L125" s="34"/>
      <c r="M125" s="34"/>
      <c r="N125" s="34"/>
      <c r="O125" s="34"/>
      <c r="P125" s="34"/>
    </row>
    <row r="126" spans="1:20">
      <c r="A126" s="34"/>
      <c r="B126" s="56">
        <v>3</v>
      </c>
      <c r="C126" s="46">
        <f>D17</f>
        <v>1</v>
      </c>
      <c r="D126" s="68">
        <f t="shared" si="28"/>
        <v>0</v>
      </c>
      <c r="E126" s="68">
        <f t="shared" si="28"/>
        <v>0</v>
      </c>
      <c r="F126" s="68">
        <f t="shared" si="29"/>
        <v>0</v>
      </c>
      <c r="G126" s="68">
        <f t="shared" si="29"/>
        <v>0</v>
      </c>
      <c r="H126" s="352">
        <f t="shared" si="31"/>
        <v>10</v>
      </c>
      <c r="I126" s="352">
        <f t="shared" si="32"/>
        <v>0</v>
      </c>
      <c r="J126" s="34"/>
      <c r="K126" s="34"/>
      <c r="L126" s="34"/>
      <c r="M126" s="34"/>
      <c r="N126" s="34"/>
      <c r="O126" s="34"/>
      <c r="P126" s="34"/>
    </row>
    <row r="127" spans="1:20">
      <c r="A127" s="34"/>
      <c r="B127" s="56">
        <v>4</v>
      </c>
      <c r="C127" s="46">
        <f t="shared" si="30"/>
        <v>0</v>
      </c>
      <c r="D127" s="68" t="e">
        <f t="shared" si="28"/>
        <v>#VALUE!</v>
      </c>
      <c r="E127" s="68" t="e">
        <f t="shared" si="28"/>
        <v>#VALUE!</v>
      </c>
      <c r="F127" s="68" t="e">
        <f t="shared" si="29"/>
        <v>#VALUE!</v>
      </c>
      <c r="G127" s="68" t="e">
        <f t="shared" si="29"/>
        <v>#VALUE!</v>
      </c>
      <c r="H127" s="352">
        <f>F18</f>
        <v>0</v>
      </c>
      <c r="I127" s="352">
        <f t="shared" si="32"/>
        <v>0</v>
      </c>
      <c r="J127" s="34"/>
      <c r="K127" s="34"/>
      <c r="L127" s="34"/>
      <c r="M127" s="34"/>
      <c r="N127" s="34"/>
      <c r="O127" s="34"/>
      <c r="P127" s="34"/>
    </row>
    <row r="128" spans="1:20">
      <c r="A128" s="34"/>
      <c r="B128" s="56">
        <v>5</v>
      </c>
      <c r="C128" s="46">
        <f t="shared" si="30"/>
        <v>0</v>
      </c>
      <c r="D128" s="68" t="e">
        <f t="shared" si="28"/>
        <v>#VALUE!</v>
      </c>
      <c r="E128" s="68" t="e">
        <f t="shared" si="28"/>
        <v>#VALUE!</v>
      </c>
      <c r="F128" s="68" t="e">
        <f t="shared" si="29"/>
        <v>#VALUE!</v>
      </c>
      <c r="G128" s="68" t="e">
        <f t="shared" si="29"/>
        <v>#VALUE!</v>
      </c>
      <c r="H128" s="352">
        <f t="shared" si="31"/>
        <v>0</v>
      </c>
      <c r="I128" s="352">
        <f t="shared" si="32"/>
        <v>0</v>
      </c>
      <c r="J128" s="34"/>
      <c r="K128" s="34"/>
      <c r="L128" s="34"/>
      <c r="M128" s="34"/>
      <c r="N128" s="34"/>
      <c r="O128" s="34"/>
      <c r="P128" s="34"/>
    </row>
    <row r="129" spans="1:16">
      <c r="A129" s="34"/>
      <c r="B129" s="34"/>
      <c r="C129" s="34"/>
      <c r="D129" s="34"/>
      <c r="E129" s="34"/>
      <c r="F129" s="34"/>
      <c r="G129" s="34"/>
      <c r="H129" s="34"/>
      <c r="I129" s="34"/>
      <c r="J129" s="34"/>
      <c r="K129" s="34"/>
      <c r="L129" s="34"/>
      <c r="M129" s="34"/>
      <c r="N129" s="34"/>
      <c r="O129" s="34"/>
      <c r="P129" s="34"/>
    </row>
    <row r="130" spans="1:16">
      <c r="A130" s="34"/>
      <c r="B130" s="34"/>
      <c r="C130" s="34"/>
      <c r="D130" s="34"/>
      <c r="E130" s="34"/>
      <c r="F130" s="34"/>
      <c r="G130" s="34"/>
      <c r="H130" s="34"/>
      <c r="I130" s="34"/>
      <c r="J130" s="34"/>
      <c r="K130" s="34"/>
      <c r="L130" s="34"/>
      <c r="M130" s="34"/>
      <c r="N130" s="34"/>
      <c r="O130" s="34"/>
      <c r="P130" s="34"/>
    </row>
    <row r="131" spans="1:16">
      <c r="A131" s="34"/>
      <c r="B131" s="34"/>
      <c r="C131" s="34"/>
      <c r="D131" s="34"/>
      <c r="E131" s="34"/>
      <c r="F131" s="34"/>
      <c r="G131" s="34"/>
      <c r="H131" s="34"/>
      <c r="I131" s="34"/>
      <c r="J131" s="34"/>
      <c r="K131" s="34"/>
      <c r="L131" s="34"/>
      <c r="M131" s="34"/>
      <c r="N131" s="34"/>
      <c r="O131" s="34"/>
      <c r="P131" s="34"/>
    </row>
    <row r="132" spans="1:16">
      <c r="A132" s="34"/>
      <c r="B132" s="34"/>
      <c r="C132" s="34"/>
      <c r="D132" s="34"/>
      <c r="E132" s="34"/>
      <c r="F132" s="34"/>
      <c r="G132" s="34"/>
      <c r="H132" s="34"/>
      <c r="I132" s="34"/>
      <c r="J132" s="34"/>
      <c r="K132" s="34"/>
      <c r="L132" s="34"/>
      <c r="M132" s="34"/>
      <c r="N132" s="34"/>
      <c r="O132" s="34"/>
      <c r="P132" s="34"/>
    </row>
  </sheetData>
  <mergeCells count="31">
    <mergeCell ref="C122:I122"/>
    <mergeCell ref="B113:H113"/>
    <mergeCell ref="C102:D102"/>
    <mergeCell ref="E102:F102"/>
    <mergeCell ref="C77:I77"/>
    <mergeCell ref="C85:I85"/>
    <mergeCell ref="I101:K101"/>
    <mergeCell ref="B111:M111"/>
    <mergeCell ref="C93:I93"/>
    <mergeCell ref="E2:H2"/>
    <mergeCell ref="B2:C2"/>
    <mergeCell ref="C22:D22"/>
    <mergeCell ref="C40:D40"/>
    <mergeCell ref="B4:C4"/>
    <mergeCell ref="B5:C5"/>
    <mergeCell ref="B8:C8"/>
    <mergeCell ref="C13:H13"/>
    <mergeCell ref="B11:M11"/>
    <mergeCell ref="C21:F21"/>
    <mergeCell ref="E22:F22"/>
    <mergeCell ref="C57:H57"/>
    <mergeCell ref="B75:M75"/>
    <mergeCell ref="D30:H30"/>
    <mergeCell ref="C31:H31"/>
    <mergeCell ref="E40:F40"/>
    <mergeCell ref="C39:F39"/>
    <mergeCell ref="C67:H67"/>
    <mergeCell ref="C49:G49"/>
    <mergeCell ref="D48:G48"/>
    <mergeCell ref="E58:F58"/>
    <mergeCell ref="G58:H58"/>
  </mergeCells>
  <conditionalFormatting sqref="D60:H64">
    <cfRule type="expression" dxfId="133" priority="101" stopIfTrue="1">
      <formula>$R15</formula>
    </cfRule>
  </conditionalFormatting>
  <conditionalFormatting sqref="C104:G108">
    <cfRule type="expression" dxfId="132" priority="99">
      <formula>NOT($U15)</formula>
    </cfRule>
  </conditionalFormatting>
  <conditionalFormatting sqref="C116:F120">
    <cfRule type="expression" dxfId="131" priority="98">
      <formula>NOT($U15)</formula>
    </cfRule>
  </conditionalFormatting>
  <conditionalFormatting sqref="C124:I128">
    <cfRule type="expression" dxfId="130" priority="97">
      <formula>NOT($U15)</formula>
    </cfRule>
  </conditionalFormatting>
  <conditionalFormatting sqref="I104:K108">
    <cfRule type="expression" dxfId="129" priority="96">
      <formula>NOT($U15)</formula>
    </cfRule>
  </conditionalFormatting>
  <conditionalFormatting sqref="G116:G120">
    <cfRule type="expression" dxfId="128" priority="95">
      <formula>NOT($U15)</formula>
    </cfRule>
  </conditionalFormatting>
  <conditionalFormatting sqref="H116:H120">
    <cfRule type="expression" dxfId="127" priority="94">
      <formula>NOT($U15)</formula>
    </cfRule>
  </conditionalFormatting>
  <conditionalFormatting sqref="C81:F81 C79:I80 C82:I83 I80:I83">
    <cfRule type="notContainsErrors" dxfId="126" priority="82">
      <formula>NOT(ISERROR(C79))</formula>
    </cfRule>
    <cfRule type="expression" dxfId="125" priority="83">
      <formula>NOT($U6)</formula>
    </cfRule>
  </conditionalFormatting>
  <conditionalFormatting sqref="G87:I91">
    <cfRule type="notContainsErrors" dxfId="124" priority="80">
      <formula>NOT(ISERROR(G87))</formula>
    </cfRule>
    <cfRule type="expression" dxfId="123" priority="81">
      <formula>NOT($U14)</formula>
    </cfRule>
  </conditionalFormatting>
  <conditionalFormatting sqref="C92:I92">
    <cfRule type="notContainsErrors" dxfId="122" priority="78">
      <formula>NOT(ISERROR(C92))</formula>
    </cfRule>
    <cfRule type="expression" dxfId="121" priority="79">
      <formula>NOT($U19)</formula>
    </cfRule>
  </conditionalFormatting>
  <conditionalFormatting sqref="K104:K108">
    <cfRule type="notContainsErrors" dxfId="120" priority="76">
      <formula>NOT(ISERROR(K104))</formula>
    </cfRule>
    <cfRule type="expression" dxfId="119" priority="77">
      <formula>NOT($U14)</formula>
    </cfRule>
  </conditionalFormatting>
  <conditionalFormatting sqref="C95:I99">
    <cfRule type="notContainsErrors" dxfId="118" priority="102">
      <formula>NOT(ISERROR(C95))</formula>
    </cfRule>
    <cfRule type="expression" dxfId="117" priority="103">
      <formula>NOT($U22)</formula>
    </cfRule>
  </conditionalFormatting>
  <conditionalFormatting sqref="H47:I47 I47:N55 O65:P65 O74:P132 O1:P13 O20:P58">
    <cfRule type="expression" dxfId="116" priority="107">
      <formula>$F1&lt;&gt;"User Specified"</formula>
    </cfRule>
  </conditionalFormatting>
  <conditionalFormatting sqref="J47:N47">
    <cfRule type="expression" dxfId="115" priority="108">
      <formula>$E47&lt;&gt;"User Specified"</formula>
    </cfRule>
    <cfRule type="expression" dxfId="114" priority="109">
      <formula>$E47="User Specified"</formula>
    </cfRule>
  </conditionalFormatting>
  <conditionalFormatting sqref="I15:I19">
    <cfRule type="expression" dxfId="113" priority="110">
      <formula>($H15=$I15)</formula>
    </cfRule>
  </conditionalFormatting>
  <conditionalFormatting sqref="F45 F42:F43">
    <cfRule type="expression" dxfId="112" priority="111">
      <formula>($H15=$I15)</formula>
    </cfRule>
  </conditionalFormatting>
  <conditionalFormatting sqref="I38:N38 J30:N37 O1:P58">
    <cfRule type="expression" dxfId="111" priority="112">
      <formula>#REF!&lt;&gt;"User Specified"</formula>
    </cfRule>
    <cfRule type="expression" dxfId="110" priority="113">
      <formula>#REF!&lt;&gt;"User Specified"</formula>
    </cfRule>
    <cfRule type="expression" dxfId="109" priority="114">
      <formula>#REF!="User Specified"</formula>
    </cfRule>
  </conditionalFormatting>
  <conditionalFormatting sqref="I38:M38 D33:H37">
    <cfRule type="expression" dxfId="108" priority="124">
      <formula>$E24&lt;&gt;"User Specified"</formula>
    </cfRule>
    <cfRule type="expression" dxfId="107" priority="125">
      <formula>$E24&lt;&gt;"User Specified"</formula>
    </cfRule>
    <cfRule type="expression" dxfId="106" priority="126">
      <formula>$E24="User Specified"</formula>
    </cfRule>
  </conditionalFormatting>
  <conditionalFormatting sqref="H38 C33:C37">
    <cfRule type="expression" dxfId="105" priority="127">
      <formula>$F24&lt;&gt;"User Specified"</formula>
    </cfRule>
  </conditionalFormatting>
  <conditionalFormatting sqref="G38">
    <cfRule type="expression" dxfId="104" priority="52">
      <formula>#REF!&lt;&gt;"User Specified"</formula>
    </cfRule>
    <cfRule type="expression" dxfId="103" priority="53">
      <formula>#REF!&lt;&gt;"User Specified"</formula>
    </cfRule>
    <cfRule type="expression" dxfId="102" priority="54">
      <formula>#REF!="User Specified"</formula>
    </cfRule>
  </conditionalFormatting>
  <conditionalFormatting sqref="I55 I53 I51">
    <cfRule type="expression" dxfId="101" priority="128">
      <formula>#REF!&lt;&gt;"User Specified"</formula>
    </cfRule>
  </conditionalFormatting>
  <conditionalFormatting sqref="C51:C55">
    <cfRule type="expression" dxfId="100" priority="132">
      <formula>$F42&lt;&gt;"User Specified"</formula>
    </cfRule>
  </conditionalFormatting>
  <conditionalFormatting sqref="J55:N55 J53:N53 J51:N51 J48:N49 O1:P58">
    <cfRule type="expression" dxfId="99" priority="133">
      <formula>#REF!&lt;&gt;"User Specified"</formula>
    </cfRule>
    <cfRule type="expression" dxfId="98" priority="134">
      <formula>#REF!="User Specified"</formula>
    </cfRule>
  </conditionalFormatting>
  <conditionalFormatting sqref="D51:G55">
    <cfRule type="expression" dxfId="97" priority="141">
      <formula>$E42&lt;&gt;"User Specified"</formula>
    </cfRule>
    <cfRule type="expression" dxfId="96" priority="142">
      <formula>$E42="User Specified"</formula>
    </cfRule>
  </conditionalFormatting>
  <conditionalFormatting sqref="G40:G47">
    <cfRule type="expression" dxfId="95" priority="49">
      <formula>#REF!&lt;&gt;"User Specified"</formula>
    </cfRule>
    <cfRule type="expression" dxfId="94" priority="50">
      <formula>#REF!&lt;&gt;"User Specified"</formula>
    </cfRule>
    <cfRule type="expression" dxfId="93" priority="51">
      <formula>#REF!="User Specified"</formula>
    </cfRule>
  </conditionalFormatting>
  <conditionalFormatting sqref="B47:B48">
    <cfRule type="expression" dxfId="92" priority="46">
      <formula>#REF!&lt;&gt;"User Specified"</formula>
    </cfRule>
    <cfRule type="expression" dxfId="91" priority="47">
      <formula>#REF!&lt;&gt;"User Specified"</formula>
    </cfRule>
    <cfRule type="expression" dxfId="90" priority="48">
      <formula>#REF!="User Specified"</formula>
    </cfRule>
  </conditionalFormatting>
  <conditionalFormatting sqref="C47:F47">
    <cfRule type="expression" dxfId="89" priority="43">
      <formula>#REF!&lt;&gt;"User Specified"</formula>
    </cfRule>
    <cfRule type="expression" dxfId="88" priority="44">
      <formula>#REF!&lt;&gt;"User Specified"</formula>
    </cfRule>
    <cfRule type="expression" dxfId="87" priority="45">
      <formula>#REF!="User Specified"</formula>
    </cfRule>
  </conditionalFormatting>
  <conditionalFormatting sqref="H39:N40 N47:N48">
    <cfRule type="expression" dxfId="86" priority="40">
      <formula>#REF!&lt;&gt;"User Specified"</formula>
    </cfRule>
    <cfRule type="expression" dxfId="85" priority="41">
      <formula>#REF!&lt;&gt;"User Specified"</formula>
    </cfRule>
    <cfRule type="expression" dxfId="84" priority="42">
      <formula>#REF!="User Specified"</formula>
    </cfRule>
  </conditionalFormatting>
  <conditionalFormatting sqref="C69:C73">
    <cfRule type="expression" dxfId="83" priority="147">
      <formula>$G60&lt;&gt;"User Specified"</formula>
    </cfRule>
  </conditionalFormatting>
  <conditionalFormatting sqref="D69:H73">
    <cfRule type="expression" dxfId="82" priority="150">
      <formula>$H60&lt;&gt;"User Specified"</formula>
    </cfRule>
    <cfRule type="expression" dxfId="81" priority="151">
      <formula>$H60="User Specified"</formula>
    </cfRule>
  </conditionalFormatting>
  <conditionalFormatting sqref="P57:P132">
    <cfRule type="expression" dxfId="80" priority="37">
      <formula>$F57&lt;&gt;"User Specified"</formula>
    </cfRule>
  </conditionalFormatting>
  <conditionalFormatting sqref="P57:P132">
    <cfRule type="expression" dxfId="79" priority="38">
      <formula>#REF!&lt;&gt;"User Specified"</formula>
    </cfRule>
    <cfRule type="expression" dxfId="78" priority="39">
      <formula>#REF!="User Specified"</formula>
    </cfRule>
  </conditionalFormatting>
  <conditionalFormatting sqref="P57:P132">
    <cfRule type="expression" dxfId="77" priority="34">
      <formula>#REF!&lt;&gt;"User Specified"</formula>
    </cfRule>
    <cfRule type="expression" dxfId="76" priority="35">
      <formula>#REF!&lt;&gt;"User Specified"</formula>
    </cfRule>
    <cfRule type="expression" dxfId="75" priority="36">
      <formula>#REF!="User Specified"</formula>
    </cfRule>
  </conditionalFormatting>
  <conditionalFormatting sqref="O65:P132">
    <cfRule type="expression" dxfId="74" priority="32">
      <formula>#REF!&lt;&gt;"User Specified"</formula>
    </cfRule>
    <cfRule type="expression" dxfId="73" priority="33">
      <formula>#REF!="User Specified"</formula>
    </cfRule>
  </conditionalFormatting>
  <conditionalFormatting sqref="O65:P132">
    <cfRule type="expression" dxfId="72" priority="28">
      <formula>#REF!&lt;&gt;"User Specified"</formula>
    </cfRule>
    <cfRule type="expression" dxfId="71" priority="29">
      <formula>#REF!&lt;&gt;"User Specified"</formula>
    </cfRule>
    <cfRule type="expression" dxfId="70" priority="30">
      <formula>#REF!="User Specified"</formula>
    </cfRule>
  </conditionalFormatting>
  <conditionalFormatting sqref="O67:P73">
    <cfRule type="expression" dxfId="69" priority="153">
      <formula>$B67&lt;&gt;"User Specified"</formula>
    </cfRule>
  </conditionalFormatting>
  <conditionalFormatting sqref="O66:P66">
    <cfRule type="expression" dxfId="68" priority="155">
      <formula>$C66&lt;&gt;"User Specified"</formula>
    </cfRule>
  </conditionalFormatting>
  <conditionalFormatting sqref="C87:F91">
    <cfRule type="notContainsErrors" dxfId="67" priority="26">
      <formula>NOT(ISERROR(C87))</formula>
    </cfRule>
    <cfRule type="expression" dxfId="66" priority="27">
      <formula>NOT($U14)</formula>
    </cfRule>
  </conditionalFormatting>
  <conditionalFormatting sqref="H33:H37">
    <cfRule type="expression" dxfId="65" priority="23">
      <formula>$E24&lt;&gt;"User Specified"</formula>
    </cfRule>
    <cfRule type="expression" dxfId="64" priority="24">
      <formula>$E24&lt;&gt;"User Specified"</formula>
    </cfRule>
    <cfRule type="expression" dxfId="63" priority="25">
      <formula>$E24="User Specified"</formula>
    </cfRule>
  </conditionalFormatting>
  <conditionalFormatting sqref="N41:N46">
    <cfRule type="expression" dxfId="62" priority="20">
      <formula>$F41&lt;&gt;"User Specified"</formula>
    </cfRule>
  </conditionalFormatting>
  <conditionalFormatting sqref="N41:N46">
    <cfRule type="expression" dxfId="61" priority="21">
      <formula>#REF!&lt;&gt;"User Specified"</formula>
    </cfRule>
    <cfRule type="expression" dxfId="60" priority="22">
      <formula>#REF!="User Specified"</formula>
    </cfRule>
  </conditionalFormatting>
  <conditionalFormatting sqref="N41:N46">
    <cfRule type="expression" dxfId="59" priority="17">
      <formula>#REF!&lt;&gt;"User Specified"</formula>
    </cfRule>
    <cfRule type="expression" dxfId="58" priority="18">
      <formula>#REF!&lt;&gt;"User Specified"</formula>
    </cfRule>
    <cfRule type="expression" dxfId="57" priority="19">
      <formula>#REF!="User Specified"</formula>
    </cfRule>
  </conditionalFormatting>
  <conditionalFormatting sqref="I30:I37">
    <cfRule type="expression" dxfId="56" priority="14">
      <formula>#REF!&lt;&gt;"User Specified"</formula>
    </cfRule>
    <cfRule type="expression" dxfId="55" priority="15">
      <formula>#REF!&lt;&gt;"User Specified"</formula>
    </cfRule>
    <cfRule type="expression" dxfId="54" priority="16">
      <formula>#REF!="User Specified"</formula>
    </cfRule>
  </conditionalFormatting>
  <conditionalFormatting sqref="H48:H56">
    <cfRule type="expression" dxfId="53" priority="13">
      <formula>$F48&lt;&gt;"User Specified"</formula>
    </cfRule>
  </conditionalFormatting>
  <conditionalFormatting sqref="G81:I81">
    <cfRule type="expression" dxfId="52" priority="12">
      <formula>NOT($U1048568)</formula>
    </cfRule>
  </conditionalFormatting>
  <conditionalFormatting sqref="G81:I81">
    <cfRule type="notContainsErrors" dxfId="51" priority="10">
      <formula>NOT(ISERROR(G81))</formula>
    </cfRule>
    <cfRule type="expression" dxfId="50" priority="11">
      <formula>NOT($U1048567)</formula>
    </cfRule>
  </conditionalFormatting>
  <conditionalFormatting sqref="G79:G83">
    <cfRule type="expression" dxfId="49" priority="9">
      <formula>NOT($U15)</formula>
    </cfRule>
  </conditionalFormatting>
  <conditionalFormatting sqref="H79:H83">
    <cfRule type="expression" dxfId="48" priority="8">
      <formula>NOT($U15)</formula>
    </cfRule>
  </conditionalFormatting>
  <conditionalFormatting sqref="I79:I83">
    <cfRule type="expression" dxfId="47" priority="7">
      <formula>NOT($U15)</formula>
    </cfRule>
  </conditionalFormatting>
  <conditionalFormatting sqref="G87:G91">
    <cfRule type="expression" dxfId="46" priority="6">
      <formula>NOT($U15)</formula>
    </cfRule>
  </conditionalFormatting>
  <conditionalFormatting sqref="H87:H91">
    <cfRule type="expression" dxfId="45" priority="5">
      <formula>NOT($U15)</formula>
    </cfRule>
  </conditionalFormatting>
  <conditionalFormatting sqref="I87:I91">
    <cfRule type="expression" dxfId="44" priority="4">
      <formula>NOT($U15)</formula>
    </cfRule>
  </conditionalFormatting>
  <conditionalFormatting sqref="G95:G99">
    <cfRule type="expression" dxfId="43" priority="3">
      <formula>NOT($U15)</formula>
    </cfRule>
  </conditionalFormatting>
  <conditionalFormatting sqref="H95:H99">
    <cfRule type="expression" dxfId="42" priority="2">
      <formula>NOT($U15)</formula>
    </cfRule>
  </conditionalFormatting>
  <conditionalFormatting sqref="I95:I99">
    <cfRule type="expression" dxfId="41" priority="1">
      <formula>NOT($U15)</formula>
    </cfRule>
  </conditionalFormatting>
  <conditionalFormatting sqref="O14:P19">
    <cfRule type="expression" dxfId="40" priority="157">
      <formula>$G14&lt;&gt;"User Specified"</formula>
    </cfRule>
  </conditionalFormatting>
  <dataValidations count="3">
    <dataValidation type="list" allowBlank="1" showInputMessage="1" showErrorMessage="1" sqref="C60:C64" xr:uid="{00000000-0002-0000-0100-000000000000}">
      <formula1>dropdown_MAT</formula1>
    </dataValidation>
    <dataValidation type="list" allowBlank="1" showInputMessage="1" showErrorMessage="1" sqref="H15:I19" xr:uid="{00000000-0002-0000-0100-000001000000}">
      <formula1>dropdown_Fuel</formula1>
    </dataValidation>
    <dataValidation type="list" allowBlank="1" showInputMessage="1" showErrorMessage="1" sqref="E15:E19" xr:uid="{2287019B-E0F5-42BB-9711-D82337B2AA45}">
      <formula1>"Residential, Commerical, Other"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3B0BE08-D5B2-47E4-B467-B38FA8D428E2}">
          <x14:formula1>
            <xm:f>'Refrigerant GWPs'!$A$2:$A$156</xm:f>
          </x14:formula1>
          <xm:sqref>G60:G64 F42:F47 F24:F29</xm:sqref>
        </x14:dataValidation>
        <x14:dataValidation type="list" allowBlank="1" showInputMessage="1" showErrorMessage="1" xr:uid="{67538BCD-4515-4199-ADB3-33DDFCE947B8}">
          <x14:formula1>
            <xm:f>'Device Refrigerant Leakage'!$B:$B</xm:f>
          </x14:formula1>
          <xm:sqref>H60:H64</xm:sqref>
        </x14:dataValidation>
        <x14:dataValidation type="list" allowBlank="1" showInputMessage="1" showErrorMessage="1" xr:uid="{8A6088F8-1399-418C-B10A-0B001F981F74}">
          <x14:formula1>
            <xm:f>'Device Refrigerant Leakage'!$B$2:$B$42</xm:f>
          </x14:formula1>
          <xm:sqref>E42:E47 E24:E29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F6356-9AE7-48D0-96C7-8CF304D87A1B}">
  <sheetPr codeName="Sheet3">
    <tabColor theme="7" tint="0.79998168889431442"/>
    <pageSetUpPr autoPageBreaks="0"/>
  </sheetPr>
  <dimension ref="A1:EN1014"/>
  <sheetViews>
    <sheetView zoomScale="25" zoomScaleNormal="25" workbookViewId="0">
      <selection activeCell="DA44" sqref="DA44"/>
    </sheetView>
  </sheetViews>
  <sheetFormatPr defaultRowHeight="14.5" outlineLevelCol="1"/>
  <cols>
    <col min="2" max="2" width="15" bestFit="1" customWidth="1"/>
    <col min="6" max="6" width="9.81640625" bestFit="1" customWidth="1"/>
    <col min="9" max="9" width="53" bestFit="1" customWidth="1"/>
    <col min="10" max="10" width="14" style="158" customWidth="1"/>
    <col min="11" max="11" width="10.81640625" style="158" customWidth="1"/>
    <col min="12" max="12" width="10.7265625" style="158" bestFit="1" customWidth="1"/>
    <col min="13" max="13" width="24.1796875" style="158" customWidth="1"/>
    <col min="14" max="14" width="17.1796875" style="158" customWidth="1"/>
    <col min="15" max="16" width="15.1796875" style="158" customWidth="1"/>
    <col min="17" max="17" width="24.1796875" style="158" customWidth="1"/>
    <col min="18" max="18" width="17.1796875" style="158" customWidth="1"/>
    <col min="19" max="20" width="15.1796875" style="158" customWidth="1"/>
    <col min="21" max="22" width="14.81640625" style="158" customWidth="1"/>
    <col min="23" max="23" width="24.453125" style="158" bestFit="1" customWidth="1"/>
    <col min="24" max="27" width="24.453125" style="158" customWidth="1"/>
    <col min="28" max="28" width="17.7265625" style="158" bestFit="1" customWidth="1"/>
    <col min="29" max="29" width="17.26953125" style="158" bestFit="1" customWidth="1"/>
    <col min="30" max="30" width="17.26953125" style="158" customWidth="1"/>
    <col min="31" max="32" width="17.26953125" style="158" bestFit="1" customWidth="1"/>
    <col min="33" max="33" width="17.26953125" style="158" customWidth="1"/>
    <col min="34" max="34" width="17.26953125" style="158" bestFit="1" customWidth="1"/>
    <col min="35" max="35" width="17.453125" bestFit="1" customWidth="1"/>
    <col min="36" max="36" width="30.26953125" customWidth="1" outlineLevel="1"/>
    <col min="37" max="43" width="17.453125" customWidth="1" outlineLevel="1"/>
    <col min="44" max="44" width="12.7265625" customWidth="1" outlineLevel="1"/>
    <col min="45" max="45" width="13.54296875" customWidth="1" outlineLevel="1"/>
    <col min="46" max="47" width="14.453125" customWidth="1" outlineLevel="1"/>
    <col min="48" max="48" width="15.54296875" customWidth="1" outlineLevel="1"/>
    <col min="49" max="49" width="17.453125" customWidth="1" outlineLevel="1"/>
    <col min="50" max="62" width="9.1796875" customWidth="1" outlineLevel="1"/>
    <col min="63" max="64" width="14.1796875" customWidth="1" outlineLevel="1"/>
    <col min="65" max="65" width="17.54296875" customWidth="1" outlineLevel="1"/>
    <col min="66" max="66" width="19.26953125" customWidth="1" outlineLevel="1"/>
    <col min="67" max="71" width="9.1796875" customWidth="1" outlineLevel="1"/>
    <col min="72" max="75" width="14" customWidth="1" outlineLevel="1"/>
    <col min="76" max="76" width="19.1796875" customWidth="1" outlineLevel="1"/>
    <col min="77" max="77" width="20.26953125" customWidth="1" outlineLevel="1"/>
    <col min="78" max="78" width="19.1796875" customWidth="1" outlineLevel="1"/>
    <col min="79" max="79" width="20.26953125" customWidth="1" outlineLevel="1"/>
    <col min="80" max="83" width="23.1796875" customWidth="1" outlineLevel="1"/>
    <col min="84" max="84" width="23.453125" customWidth="1" outlineLevel="1"/>
    <col min="85" max="85" width="23.1796875" customWidth="1" outlineLevel="1"/>
    <col min="86" max="86" width="23.453125" customWidth="1" outlineLevel="1"/>
    <col min="87" max="87" width="23.1796875" customWidth="1" outlineLevel="1"/>
    <col min="88" max="91" width="10.453125" customWidth="1" outlineLevel="1"/>
    <col min="92" max="115" width="23.7265625" customWidth="1"/>
    <col min="116" max="116" width="5.81640625" style="34" customWidth="1"/>
    <col min="118" max="118" width="30.1796875" style="143" bestFit="1" customWidth="1"/>
    <col min="119" max="119" width="13.1796875" style="143" bestFit="1" customWidth="1"/>
    <col min="120" max="120" width="25.26953125" style="143" bestFit="1" customWidth="1"/>
    <col min="121" max="121" width="13.1796875" style="143" bestFit="1" customWidth="1"/>
    <col min="122" max="122" width="27.81640625" style="143" customWidth="1"/>
    <col min="124" max="125" width="11.81640625" customWidth="1"/>
    <col min="126" max="126" width="13.1796875" customWidth="1"/>
    <col min="127" max="127" width="8.7265625" customWidth="1"/>
    <col min="128" max="128" width="11" customWidth="1" outlineLevel="1"/>
    <col min="129" max="129" width="11.1796875" customWidth="1" outlineLevel="1"/>
    <col min="130" max="130" width="14.26953125" customWidth="1" outlineLevel="1"/>
    <col min="131" max="131" width="14.81640625" customWidth="1" outlineLevel="1"/>
    <col min="132" max="132" width="13" customWidth="1" outlineLevel="1"/>
    <col min="133" max="133" width="15.7265625" customWidth="1" outlineLevel="1"/>
    <col min="134" max="134" width="15.1796875" customWidth="1" outlineLevel="1"/>
    <col min="135" max="135" width="23.453125" bestFit="1" customWidth="1"/>
    <col min="136" max="143" width="9.1796875" customWidth="1" outlineLevel="1"/>
    <col min="144" max="144" width="22.453125" bestFit="1" customWidth="1"/>
  </cols>
  <sheetData>
    <row r="1" spans="1:144">
      <c r="G1" s="34"/>
      <c r="H1" s="34"/>
      <c r="I1" s="34"/>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34" t="s">
        <v>144</v>
      </c>
      <c r="AJ1" s="34"/>
      <c r="AK1" s="34"/>
      <c r="AL1" s="34"/>
      <c r="AM1" s="34"/>
      <c r="AN1" s="34"/>
      <c r="AO1" s="34"/>
      <c r="AP1" s="34"/>
      <c r="AQ1" s="34"/>
      <c r="CN1" t="s">
        <v>145</v>
      </c>
      <c r="DM1" s="34"/>
      <c r="DN1" s="154"/>
      <c r="DO1" s="154"/>
      <c r="DP1" s="154"/>
      <c r="DQ1" s="154"/>
      <c r="DR1" s="154"/>
      <c r="DS1" s="34"/>
      <c r="DT1" s="34"/>
      <c r="DU1" s="34"/>
      <c r="DV1" s="34"/>
      <c r="EE1" t="s">
        <v>146</v>
      </c>
      <c r="EN1" t="s">
        <v>147</v>
      </c>
    </row>
    <row r="2" spans="1:144" ht="20" thickBot="1">
      <c r="G2" s="34"/>
      <c r="H2" s="304" t="s">
        <v>12</v>
      </c>
      <c r="I2" s="304"/>
      <c r="J2" s="157"/>
      <c r="K2" s="303" t="s">
        <v>13</v>
      </c>
      <c r="L2" s="340"/>
      <c r="M2" s="340"/>
      <c r="N2" s="340"/>
      <c r="O2" s="340"/>
      <c r="P2" s="340"/>
      <c r="Q2" s="340"/>
      <c r="R2" s="340"/>
      <c r="S2" s="340"/>
      <c r="T2" s="340"/>
      <c r="U2" s="340"/>
      <c r="V2" s="340"/>
      <c r="W2" s="340"/>
      <c r="X2" s="340"/>
      <c r="Y2" s="340"/>
      <c r="Z2" s="340"/>
      <c r="AA2" s="340"/>
      <c r="AB2" s="340"/>
      <c r="AC2" s="157"/>
      <c r="AD2" s="157"/>
      <c r="AE2" s="157"/>
      <c r="AF2" s="157"/>
      <c r="AG2" s="157"/>
      <c r="AH2" s="157"/>
      <c r="AI2" s="34"/>
      <c r="AJ2" s="34"/>
      <c r="AK2" s="34"/>
      <c r="AL2" s="34"/>
      <c r="AM2" s="34"/>
      <c r="AN2" s="34"/>
      <c r="AO2" s="34"/>
      <c r="AP2" s="34"/>
      <c r="AQ2" s="34"/>
      <c r="DM2" s="34"/>
      <c r="DN2" s="154"/>
      <c r="DO2" s="154"/>
      <c r="DP2" s="154"/>
      <c r="DQ2" s="154"/>
      <c r="DR2" s="154"/>
      <c r="DS2" s="34"/>
      <c r="DT2" s="34"/>
      <c r="DU2" s="34"/>
      <c r="DV2" s="34"/>
    </row>
    <row r="3" spans="1:144" ht="15" thickTop="1">
      <c r="G3" s="34"/>
      <c r="H3" s="34"/>
      <c r="I3" s="34"/>
      <c r="J3" s="157"/>
      <c r="K3" s="157"/>
      <c r="L3" s="157"/>
      <c r="M3" s="157"/>
      <c r="N3" s="157"/>
      <c r="O3" s="157"/>
      <c r="P3" s="157"/>
      <c r="Q3" s="157"/>
      <c r="R3" s="157"/>
      <c r="S3" s="157"/>
      <c r="T3" s="157"/>
      <c r="U3" s="157"/>
      <c r="V3" s="157"/>
      <c r="W3" s="157"/>
      <c r="X3" s="157"/>
      <c r="Y3" s="157"/>
      <c r="Z3" s="157"/>
      <c r="AA3" s="157"/>
      <c r="AB3" s="157"/>
      <c r="AC3" s="157"/>
      <c r="AD3" s="157"/>
      <c r="AE3" s="157"/>
      <c r="AF3" s="157"/>
      <c r="AG3" s="157"/>
      <c r="AH3" s="157"/>
      <c r="AI3" s="34"/>
      <c r="AJ3" s="34"/>
      <c r="AK3" s="34"/>
      <c r="AL3" s="34"/>
      <c r="AM3" s="34"/>
      <c r="AN3" s="34"/>
      <c r="AO3" s="34"/>
      <c r="AP3" s="34"/>
      <c r="AQ3" s="34"/>
      <c r="DM3" s="34"/>
      <c r="DN3" s="154"/>
      <c r="DO3" s="154"/>
      <c r="DP3" s="154"/>
      <c r="DQ3" s="154"/>
      <c r="DR3" s="154"/>
      <c r="DS3" s="34"/>
      <c r="DT3" s="34"/>
      <c r="DU3" s="34"/>
      <c r="DV3" s="34"/>
    </row>
    <row r="4" spans="1:144">
      <c r="G4" s="34"/>
      <c r="H4" s="306" t="s">
        <v>15</v>
      </c>
      <c r="I4" s="306"/>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34"/>
      <c r="AJ4" s="34"/>
      <c r="AK4" s="34"/>
      <c r="AL4" s="34"/>
      <c r="AM4" s="34"/>
      <c r="AN4" s="34"/>
      <c r="AO4" s="34"/>
      <c r="AP4" s="34"/>
      <c r="AQ4" s="34"/>
      <c r="DM4" s="34"/>
      <c r="DN4" s="154"/>
      <c r="DO4" s="154"/>
      <c r="DP4" s="154"/>
      <c r="DQ4" s="154"/>
      <c r="DR4" s="154"/>
      <c r="DS4" s="34"/>
      <c r="DT4" s="34"/>
      <c r="DU4" s="34"/>
      <c r="DV4" s="34"/>
    </row>
    <row r="5" spans="1:144" ht="20" thickBot="1">
      <c r="G5" s="34"/>
      <c r="H5" s="307" t="s">
        <v>16</v>
      </c>
      <c r="I5" s="339"/>
      <c r="J5" s="157"/>
      <c r="K5" s="290" t="s">
        <v>148</v>
      </c>
      <c r="L5" s="290"/>
      <c r="M5" s="290"/>
      <c r="N5" s="290"/>
      <c r="O5" s="157"/>
      <c r="P5" s="157"/>
      <c r="Q5" s="157"/>
      <c r="R5" s="157"/>
      <c r="S5" s="157"/>
      <c r="T5" s="157"/>
      <c r="U5" s="157"/>
      <c r="V5" s="157"/>
      <c r="W5" s="157"/>
      <c r="X5" s="157"/>
      <c r="Y5" s="157"/>
      <c r="Z5" s="157"/>
      <c r="AA5" s="157"/>
      <c r="AB5" s="157"/>
      <c r="AC5" s="157"/>
      <c r="AD5" s="157"/>
      <c r="AE5" s="157"/>
      <c r="AF5" s="157"/>
      <c r="AG5" s="157"/>
      <c r="AH5" s="157"/>
      <c r="AI5" s="34"/>
      <c r="AJ5" s="34"/>
      <c r="AK5" s="34"/>
      <c r="AL5" s="34"/>
      <c r="AM5" s="34"/>
      <c r="AN5" s="34"/>
      <c r="AO5" s="34"/>
      <c r="AP5" s="34"/>
      <c r="AQ5" s="34"/>
      <c r="DM5" s="34"/>
      <c r="DN5" s="154"/>
      <c r="DO5" s="154"/>
      <c r="DP5" s="154"/>
      <c r="DQ5" s="154"/>
      <c r="DR5" s="154"/>
      <c r="DS5" s="34"/>
      <c r="DT5" s="34"/>
      <c r="DU5" s="34"/>
      <c r="DV5" s="34"/>
    </row>
    <row r="6" spans="1:144" ht="18.75" customHeight="1">
      <c r="G6" s="34"/>
      <c r="H6" s="34"/>
      <c r="I6" s="48" t="s">
        <v>17</v>
      </c>
      <c r="J6" s="157"/>
      <c r="K6" s="337" t="s">
        <v>702</v>
      </c>
      <c r="L6" s="337"/>
      <c r="M6" s="337"/>
      <c r="N6" s="335" t="str">
        <f>Reference!G54</f>
        <v>100-yr GWP</v>
      </c>
      <c r="O6" s="157"/>
      <c r="P6" s="157"/>
      <c r="Q6" s="157"/>
      <c r="R6" s="157"/>
      <c r="S6" s="157"/>
      <c r="T6" s="157"/>
      <c r="U6" s="157"/>
      <c r="V6" s="157"/>
      <c r="W6" s="157"/>
      <c r="X6" s="157"/>
      <c r="Y6" s="157"/>
      <c r="Z6" s="157"/>
      <c r="AA6" s="157"/>
      <c r="AB6" s="157"/>
      <c r="AC6" s="157"/>
      <c r="AD6" s="157"/>
      <c r="AE6" s="157"/>
      <c r="AF6" s="157"/>
      <c r="AG6" s="157"/>
      <c r="AH6" s="157"/>
      <c r="AI6" s="34"/>
      <c r="AJ6" s="34"/>
      <c r="AK6" s="34"/>
      <c r="AL6" s="34"/>
      <c r="AM6" s="34"/>
      <c r="AN6" s="34"/>
      <c r="AO6" s="34"/>
      <c r="AP6" s="34"/>
      <c r="AQ6" s="34"/>
      <c r="DM6" s="34"/>
      <c r="DN6" s="154"/>
      <c r="DO6" s="154"/>
      <c r="DP6" s="154"/>
      <c r="DQ6" s="154"/>
      <c r="DR6" s="154"/>
      <c r="DS6" s="34"/>
      <c r="DT6" s="34"/>
      <c r="DU6" s="34"/>
      <c r="DV6" s="34"/>
    </row>
    <row r="7" spans="1:144">
      <c r="G7" s="34"/>
      <c r="H7" s="34"/>
      <c r="I7" s="49" t="s">
        <v>18</v>
      </c>
      <c r="J7" s="157"/>
      <c r="K7" s="338"/>
      <c r="L7" s="338"/>
      <c r="M7" s="338"/>
      <c r="N7" s="336"/>
      <c r="O7" s="157"/>
      <c r="P7" s="157"/>
      <c r="Q7" s="157"/>
      <c r="R7" s="157"/>
      <c r="S7" s="157"/>
      <c r="T7" s="157"/>
      <c r="U7" s="157"/>
      <c r="V7" s="157"/>
      <c r="W7" s="157"/>
      <c r="X7" s="157"/>
      <c r="Y7" s="157"/>
      <c r="Z7" s="157"/>
      <c r="AA7" s="157"/>
      <c r="AB7" s="157"/>
      <c r="AC7" s="157"/>
      <c r="AD7" s="157"/>
      <c r="AE7" s="157"/>
      <c r="AF7" s="157"/>
      <c r="AG7" s="157"/>
      <c r="AH7" s="157"/>
      <c r="AI7" s="34"/>
      <c r="AJ7" s="34"/>
      <c r="AK7" s="34"/>
      <c r="AL7" s="34"/>
      <c r="AM7" s="34"/>
      <c r="AN7" s="34"/>
      <c r="AO7" s="34"/>
      <c r="AP7" s="34"/>
      <c r="AQ7" s="34"/>
      <c r="DM7" s="34"/>
      <c r="DN7" s="154"/>
      <c r="DO7" s="154"/>
      <c r="DP7" s="154"/>
      <c r="DQ7" s="154"/>
      <c r="DR7" s="154"/>
      <c r="DS7" s="34"/>
      <c r="DT7" s="34"/>
      <c r="DU7" s="34"/>
      <c r="DV7" s="34"/>
    </row>
    <row r="8" spans="1:144">
      <c r="G8" s="34"/>
      <c r="H8" s="308" t="s">
        <v>19</v>
      </c>
      <c r="I8" s="308"/>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34"/>
      <c r="AJ8" s="34"/>
      <c r="AK8" s="34"/>
      <c r="AL8" s="34"/>
      <c r="AM8" s="34"/>
      <c r="AN8" s="34"/>
      <c r="AO8" s="34"/>
      <c r="AP8" s="34"/>
      <c r="AQ8" s="34"/>
      <c r="DM8" s="34"/>
      <c r="DN8" s="154"/>
      <c r="DO8" s="154"/>
      <c r="DP8" s="154"/>
      <c r="DQ8" s="154"/>
      <c r="DR8" s="154"/>
      <c r="DS8" s="34"/>
      <c r="DT8" s="34"/>
      <c r="DU8" s="34"/>
      <c r="DV8" s="34"/>
    </row>
    <row r="9" spans="1:144">
      <c r="G9" s="34"/>
      <c r="H9" s="34"/>
      <c r="I9" s="34"/>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34"/>
      <c r="AJ9" s="34"/>
      <c r="AK9" s="34"/>
      <c r="AL9" s="34"/>
      <c r="AM9" s="34"/>
      <c r="AN9" s="34"/>
      <c r="AO9" s="34"/>
      <c r="AP9" s="34"/>
      <c r="AQ9" s="34"/>
      <c r="DM9" s="34"/>
      <c r="DN9" s="154"/>
      <c r="DO9" s="154"/>
      <c r="DP9" s="154"/>
      <c r="DQ9" s="154"/>
      <c r="DR9" s="154"/>
      <c r="DS9" s="34"/>
      <c r="DT9" s="34"/>
      <c r="DU9" s="34"/>
      <c r="DV9" s="34"/>
    </row>
    <row r="10" spans="1:144" ht="20" thickBot="1">
      <c r="G10" s="34"/>
      <c r="H10" s="34"/>
      <c r="I10" s="34"/>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34"/>
      <c r="AJ10" s="34"/>
      <c r="AK10" s="34"/>
      <c r="AL10" s="34"/>
      <c r="AM10" s="34"/>
      <c r="AN10" s="34"/>
      <c r="AO10" s="34"/>
      <c r="AP10" s="34"/>
      <c r="AQ10" s="34"/>
      <c r="DM10" s="34"/>
      <c r="DN10" s="154"/>
      <c r="DO10" s="154"/>
      <c r="DP10" s="154"/>
      <c r="DQ10" s="154"/>
      <c r="DR10" s="154"/>
      <c r="DS10" s="34"/>
      <c r="DT10" s="34"/>
      <c r="DU10" s="34"/>
      <c r="DV10" s="34"/>
      <c r="DX10" s="304" t="s">
        <v>125</v>
      </c>
      <c r="DY10" s="304"/>
      <c r="DZ10" s="304"/>
      <c r="EA10" s="304"/>
      <c r="EB10" s="304"/>
      <c r="EC10" s="304"/>
      <c r="ED10" s="304"/>
    </row>
    <row r="11" spans="1:144" ht="20.5" thickTop="1" thickBot="1">
      <c r="A11" s="319" t="s">
        <v>149</v>
      </c>
      <c r="B11" s="319"/>
      <c r="C11" s="319"/>
      <c r="D11" s="319"/>
      <c r="E11" s="319"/>
      <c r="F11" s="319"/>
      <c r="G11" s="34"/>
      <c r="H11" s="319" t="s">
        <v>150</v>
      </c>
      <c r="I11" s="319"/>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c r="AG11" s="319"/>
      <c r="AH11" s="319"/>
      <c r="AI11" s="34"/>
      <c r="AJ11" s="319" t="s">
        <v>14</v>
      </c>
      <c r="AK11" s="319"/>
      <c r="AL11" s="319"/>
      <c r="AM11" s="319"/>
      <c r="AN11" s="319"/>
      <c r="AO11" s="319"/>
      <c r="AP11" s="319"/>
      <c r="AQ11" s="319"/>
      <c r="DM11" s="304" t="s">
        <v>151</v>
      </c>
      <c r="DN11" s="304"/>
      <c r="DO11" s="304"/>
      <c r="DP11" s="304"/>
      <c r="DQ11" s="304"/>
      <c r="DR11" s="304"/>
      <c r="DS11" s="34"/>
      <c r="DT11" s="320" t="s">
        <v>152</v>
      </c>
      <c r="DU11" s="320"/>
      <c r="DV11" s="320"/>
      <c r="DX11" s="34"/>
      <c r="DY11" s="34"/>
      <c r="DZ11" s="34"/>
      <c r="EA11" s="34"/>
      <c r="EB11" s="34"/>
      <c r="EC11" s="34"/>
      <c r="ED11" s="34"/>
    </row>
    <row r="12" spans="1:144" ht="15" thickTop="1">
      <c r="G12" s="34"/>
      <c r="H12" s="34"/>
      <c r="I12" s="34"/>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34"/>
      <c r="AJ12" s="309" t="s">
        <v>21</v>
      </c>
      <c r="AK12" s="322"/>
      <c r="AL12" s="322"/>
      <c r="AM12" s="322"/>
      <c r="AN12" s="72"/>
      <c r="AO12" s="87"/>
      <c r="AP12" s="87"/>
      <c r="AQ12" s="34"/>
      <c r="BT12" s="325" t="s">
        <v>153</v>
      </c>
      <c r="BU12" s="325"/>
      <c r="BV12" s="325"/>
      <c r="BW12" s="325"/>
      <c r="BX12" s="325" t="s">
        <v>154</v>
      </c>
      <c r="BY12" s="325"/>
      <c r="BZ12" s="325"/>
      <c r="CA12" s="325"/>
      <c r="CB12" s="325" t="s">
        <v>155</v>
      </c>
      <c r="CC12" s="325"/>
      <c r="CD12" s="325"/>
      <c r="CE12" s="325"/>
      <c r="CF12" s="325" t="s">
        <v>156</v>
      </c>
      <c r="CG12" s="325"/>
      <c r="CH12" s="325"/>
      <c r="CI12" s="325"/>
      <c r="CJ12" s="325" t="s">
        <v>157</v>
      </c>
      <c r="CK12" s="325"/>
      <c r="CL12" s="325"/>
      <c r="CM12" s="325"/>
      <c r="DM12" s="34"/>
      <c r="DN12" s="154"/>
      <c r="DO12" s="154"/>
      <c r="DP12" s="154"/>
      <c r="DQ12" s="154"/>
      <c r="DR12" s="154"/>
      <c r="DS12" s="34"/>
      <c r="DT12" s="34"/>
      <c r="DU12" s="34"/>
      <c r="DV12" s="34"/>
      <c r="DX12" s="313" t="s">
        <v>126</v>
      </c>
      <c r="DY12" s="313"/>
      <c r="DZ12" s="313"/>
      <c r="EA12" s="313"/>
      <c r="EB12" s="313"/>
      <c r="EC12" s="313"/>
      <c r="ED12" s="313"/>
    </row>
    <row r="13" spans="1:144" s="184" customFormat="1" ht="34.5" customHeight="1" thickBot="1">
      <c r="G13" s="206"/>
      <c r="H13" s="206"/>
      <c r="I13" s="332" t="s">
        <v>21</v>
      </c>
      <c r="J13" s="333"/>
      <c r="K13" s="333"/>
      <c r="L13" s="333"/>
      <c r="M13" s="333"/>
      <c r="N13" s="333"/>
      <c r="O13" s="333"/>
      <c r="P13" s="333"/>
      <c r="Q13" s="333"/>
      <c r="R13" s="333"/>
      <c r="S13" s="333"/>
      <c r="T13" s="333"/>
      <c r="U13" s="333"/>
      <c r="V13" s="333"/>
      <c r="W13" s="330" t="s">
        <v>158</v>
      </c>
      <c r="X13" s="331"/>
      <c r="Y13" s="331"/>
      <c r="Z13" s="331"/>
      <c r="AA13" s="331"/>
      <c r="AB13" s="334"/>
      <c r="AC13" s="330" t="s">
        <v>159</v>
      </c>
      <c r="AD13" s="331"/>
      <c r="AE13" s="331"/>
      <c r="AF13" s="331"/>
      <c r="AG13" s="331"/>
      <c r="AH13" s="331"/>
      <c r="AI13" s="206"/>
      <c r="AJ13" s="323" t="s">
        <v>160</v>
      </c>
      <c r="AK13" s="323"/>
      <c r="AL13" s="323" t="s">
        <v>63</v>
      </c>
      <c r="AM13" s="323"/>
      <c r="AN13" s="206"/>
      <c r="AO13" s="324" t="s">
        <v>75</v>
      </c>
      <c r="AP13" s="324"/>
      <c r="AQ13" s="206"/>
      <c r="CO13" s="316" t="s">
        <v>161</v>
      </c>
      <c r="CP13" s="328"/>
      <c r="CQ13" s="328"/>
      <c r="CR13" s="328"/>
      <c r="CS13" s="328"/>
      <c r="CT13" s="328"/>
      <c r="CU13" s="329"/>
      <c r="CW13" s="316" t="s">
        <v>162</v>
      </c>
      <c r="CX13" s="328"/>
      <c r="CY13" s="328"/>
      <c r="CZ13" s="328"/>
      <c r="DA13" s="328"/>
      <c r="DB13" s="328"/>
      <c r="DC13" s="329"/>
      <c r="DE13" s="316" t="s">
        <v>163</v>
      </c>
      <c r="DF13" s="328"/>
      <c r="DG13" s="328"/>
      <c r="DH13" s="328"/>
      <c r="DI13" s="328"/>
      <c r="DJ13" s="328"/>
      <c r="DK13" s="329"/>
      <c r="DL13" s="206"/>
      <c r="DM13" s="206"/>
      <c r="DN13" s="326" t="s">
        <v>164</v>
      </c>
      <c r="DO13" s="326"/>
      <c r="DP13" s="326" t="s">
        <v>165</v>
      </c>
      <c r="DQ13" s="326"/>
      <c r="DR13" s="327" t="s">
        <v>116</v>
      </c>
      <c r="DS13" s="206"/>
      <c r="DT13" s="208" t="s">
        <v>110</v>
      </c>
      <c r="DU13" s="208" t="s">
        <v>111</v>
      </c>
      <c r="DV13" s="208" t="s">
        <v>112</v>
      </c>
      <c r="DX13" s="206"/>
      <c r="DY13" s="206"/>
      <c r="DZ13" s="206"/>
      <c r="EA13" s="206"/>
      <c r="EB13" s="206"/>
      <c r="EC13" s="206"/>
      <c r="ED13" s="206"/>
      <c r="EF13" s="206"/>
      <c r="EG13" s="321" t="s">
        <v>135</v>
      </c>
      <c r="EH13" s="321"/>
      <c r="EI13" s="321"/>
      <c r="EJ13" s="321"/>
      <c r="EK13" s="321"/>
      <c r="EL13" s="321"/>
      <c r="EM13" s="321"/>
    </row>
    <row r="14" spans="1:144" s="184" customFormat="1" ht="102" thickBot="1">
      <c r="A14" s="209" t="s">
        <v>166</v>
      </c>
      <c r="B14" s="209" t="s">
        <v>167</v>
      </c>
      <c r="C14" s="209" t="s">
        <v>168</v>
      </c>
      <c r="D14" s="209" t="s">
        <v>169</v>
      </c>
      <c r="E14" s="209" t="s">
        <v>170</v>
      </c>
      <c r="F14" s="209" t="s">
        <v>171</v>
      </c>
      <c r="G14" s="206"/>
      <c r="H14" s="210" t="s">
        <v>22</v>
      </c>
      <c r="I14" s="211" t="s">
        <v>23</v>
      </c>
      <c r="J14" s="212" t="s">
        <v>24</v>
      </c>
      <c r="K14" s="212" t="s">
        <v>26</v>
      </c>
      <c r="L14" s="212" t="s">
        <v>27</v>
      </c>
      <c r="M14" s="212" t="s">
        <v>43</v>
      </c>
      <c r="N14" s="212" t="s">
        <v>28</v>
      </c>
      <c r="O14" s="212" t="s">
        <v>44</v>
      </c>
      <c r="P14" s="212" t="s">
        <v>172</v>
      </c>
      <c r="Q14" s="212" t="s">
        <v>173</v>
      </c>
      <c r="R14" s="212" t="s">
        <v>29</v>
      </c>
      <c r="S14" s="212" t="s">
        <v>174</v>
      </c>
      <c r="T14" s="212" t="s">
        <v>175</v>
      </c>
      <c r="U14" s="212" t="s">
        <v>176</v>
      </c>
      <c r="V14" s="212" t="s">
        <v>177</v>
      </c>
      <c r="W14" s="213" t="s">
        <v>77</v>
      </c>
      <c r="X14" s="212" t="s">
        <v>178</v>
      </c>
      <c r="Y14" s="213" t="s">
        <v>179</v>
      </c>
      <c r="Z14" s="212" t="s">
        <v>180</v>
      </c>
      <c r="AA14" s="213" t="s">
        <v>181</v>
      </c>
      <c r="AB14" s="213" t="s">
        <v>78</v>
      </c>
      <c r="AC14" s="214" t="s">
        <v>182</v>
      </c>
      <c r="AD14" s="214" t="s">
        <v>183</v>
      </c>
      <c r="AE14" s="214" t="s">
        <v>184</v>
      </c>
      <c r="AF14" s="214" t="s">
        <v>185</v>
      </c>
      <c r="AG14" s="214" t="s">
        <v>186</v>
      </c>
      <c r="AH14" s="214" t="s">
        <v>187</v>
      </c>
      <c r="AI14" s="206"/>
      <c r="AJ14" s="215" t="s">
        <v>41</v>
      </c>
      <c r="AK14" s="215" t="s">
        <v>42</v>
      </c>
      <c r="AL14" s="215" t="s">
        <v>41</v>
      </c>
      <c r="AM14" s="215" t="s">
        <v>42</v>
      </c>
      <c r="AN14" s="206" t="s">
        <v>188</v>
      </c>
      <c r="AO14" s="215" t="s">
        <v>79</v>
      </c>
      <c r="AP14" s="215" t="s">
        <v>189</v>
      </c>
      <c r="AQ14" s="206" t="s">
        <v>188</v>
      </c>
      <c r="AS14" s="213" t="s">
        <v>30</v>
      </c>
      <c r="AT14" s="216" t="s">
        <v>31</v>
      </c>
      <c r="AU14" s="216" t="s">
        <v>190</v>
      </c>
      <c r="AV14" s="213" t="s">
        <v>32</v>
      </c>
      <c r="AW14" s="213" t="s">
        <v>33</v>
      </c>
      <c r="AX14" s="217" t="s">
        <v>191</v>
      </c>
      <c r="AY14" s="217" t="s">
        <v>192</v>
      </c>
      <c r="BA14" s="215" t="s">
        <v>51</v>
      </c>
      <c r="BB14" s="215" t="s">
        <v>52</v>
      </c>
      <c r="BC14" s="215" t="s">
        <v>53</v>
      </c>
      <c r="BD14" s="215" t="s">
        <v>53</v>
      </c>
      <c r="BE14" s="218" t="s">
        <v>54</v>
      </c>
      <c r="BF14" s="218" t="s">
        <v>55</v>
      </c>
      <c r="BG14" s="206"/>
      <c r="BI14" s="215" t="s">
        <v>193</v>
      </c>
      <c r="BJ14" s="215" t="s">
        <v>194</v>
      </c>
      <c r="BK14" s="215" t="s">
        <v>53</v>
      </c>
      <c r="BL14" s="215" t="s">
        <v>53</v>
      </c>
      <c r="BM14" s="218" t="s">
        <v>195</v>
      </c>
      <c r="BN14" s="218" t="s">
        <v>196</v>
      </c>
      <c r="BP14" s="219" t="s">
        <v>122</v>
      </c>
      <c r="BQ14" s="219" t="s">
        <v>123</v>
      </c>
      <c r="BR14" s="219" t="s">
        <v>124</v>
      </c>
      <c r="BT14" s="220" t="s">
        <v>197</v>
      </c>
      <c r="BU14" s="221" t="s">
        <v>198</v>
      </c>
      <c r="BV14" s="221" t="s">
        <v>199</v>
      </c>
      <c r="BW14" s="222" t="s">
        <v>200</v>
      </c>
      <c r="BX14" s="220" t="s">
        <v>201</v>
      </c>
      <c r="BY14" s="221" t="s">
        <v>202</v>
      </c>
      <c r="BZ14" s="221" t="s">
        <v>203</v>
      </c>
      <c r="CA14" s="222" t="s">
        <v>204</v>
      </c>
      <c r="CB14" s="220" t="s">
        <v>205</v>
      </c>
      <c r="CC14" s="221" t="s">
        <v>206</v>
      </c>
      <c r="CD14" s="221" t="s">
        <v>207</v>
      </c>
      <c r="CE14" s="222" t="s">
        <v>208</v>
      </c>
      <c r="CF14" s="220" t="s">
        <v>209</v>
      </c>
      <c r="CG14" s="221" t="s">
        <v>210</v>
      </c>
      <c r="CH14" s="221" t="s">
        <v>211</v>
      </c>
      <c r="CI14" s="222" t="s">
        <v>212</v>
      </c>
      <c r="CJ14" s="220" t="s">
        <v>213</v>
      </c>
      <c r="CK14" s="223" t="s">
        <v>214</v>
      </c>
      <c r="CL14" s="224" t="s">
        <v>215</v>
      </c>
      <c r="CM14" s="225" t="s">
        <v>216</v>
      </c>
      <c r="CO14" s="207" t="s">
        <v>98</v>
      </c>
      <c r="CP14" s="207" t="s">
        <v>99</v>
      </c>
      <c r="CQ14" s="207" t="s">
        <v>100</v>
      </c>
      <c r="CR14" s="207" t="s">
        <v>101</v>
      </c>
      <c r="CS14" s="207" t="s">
        <v>102</v>
      </c>
      <c r="CT14" s="207" t="s">
        <v>103</v>
      </c>
      <c r="CU14" s="207" t="s">
        <v>104</v>
      </c>
      <c r="CW14" s="208" t="s">
        <v>98</v>
      </c>
      <c r="CX14" s="208" t="s">
        <v>99</v>
      </c>
      <c r="CY14" s="208" t="s">
        <v>100</v>
      </c>
      <c r="CZ14" s="208" t="s">
        <v>101</v>
      </c>
      <c r="DA14" s="207" t="s">
        <v>102</v>
      </c>
      <c r="DB14" s="207" t="s">
        <v>103</v>
      </c>
      <c r="DC14" s="207" t="s">
        <v>104</v>
      </c>
      <c r="DE14" s="208" t="s">
        <v>98</v>
      </c>
      <c r="DF14" s="208" t="s">
        <v>99</v>
      </c>
      <c r="DG14" s="208" t="s">
        <v>100</v>
      </c>
      <c r="DH14" s="208" t="s">
        <v>101</v>
      </c>
      <c r="DI14" s="207" t="s">
        <v>102</v>
      </c>
      <c r="DJ14" s="207" t="s">
        <v>103</v>
      </c>
      <c r="DK14" s="207" t="s">
        <v>104</v>
      </c>
      <c r="DL14" s="206"/>
      <c r="DM14" s="226" t="s">
        <v>22</v>
      </c>
      <c r="DN14" s="208" t="s">
        <v>113</v>
      </c>
      <c r="DO14" s="208" t="s">
        <v>114</v>
      </c>
      <c r="DP14" s="208" t="s">
        <v>115</v>
      </c>
      <c r="DQ14" s="208" t="s">
        <v>114</v>
      </c>
      <c r="DR14" s="327"/>
      <c r="DS14" s="206"/>
      <c r="DT14" s="208" t="s">
        <v>117</v>
      </c>
      <c r="DU14" s="208" t="s">
        <v>117</v>
      </c>
      <c r="DV14" s="208" t="s">
        <v>117</v>
      </c>
      <c r="DX14" s="227" t="s">
        <v>22</v>
      </c>
      <c r="DY14" s="228" t="s">
        <v>127</v>
      </c>
      <c r="DZ14" s="227" t="s">
        <v>128</v>
      </c>
      <c r="EA14" s="228" t="s">
        <v>129</v>
      </c>
      <c r="EB14" s="228" t="s">
        <v>130</v>
      </c>
      <c r="EC14" s="228" t="s">
        <v>131</v>
      </c>
      <c r="ED14" s="228" t="s">
        <v>132</v>
      </c>
      <c r="EF14" s="228" t="s">
        <v>136</v>
      </c>
      <c r="EG14" s="228" t="s">
        <v>137</v>
      </c>
      <c r="EH14" s="228" t="s">
        <v>138</v>
      </c>
      <c r="EI14" s="228" t="s">
        <v>139</v>
      </c>
      <c r="EJ14" s="228" t="s">
        <v>140</v>
      </c>
      <c r="EK14" s="228" t="s">
        <v>141</v>
      </c>
      <c r="EL14" s="228" t="s">
        <v>142</v>
      </c>
      <c r="EM14" s="228" t="s">
        <v>143</v>
      </c>
    </row>
    <row r="15" spans="1:144">
      <c r="A15" s="89"/>
      <c r="B15" s="89"/>
      <c r="C15" s="89"/>
      <c r="D15" s="89"/>
      <c r="E15" s="89"/>
      <c r="F15" s="89"/>
      <c r="G15" s="34"/>
      <c r="H15" s="56">
        <f>ROW($H15)-ROW($H$14)</f>
        <v>1</v>
      </c>
      <c r="I15" s="73"/>
      <c r="J15" s="163"/>
      <c r="K15" s="163"/>
      <c r="L15" s="164"/>
      <c r="M15" s="155"/>
      <c r="N15" s="155"/>
      <c r="O15" s="144"/>
      <c r="P15" s="159" t="str">
        <f>IFERROR(IF(O15&lt;&gt;"User Specified",IF(O15&lt;&gt;"", INDEX('Refrigerant GWPs'!$G$2:$G$154,MATCH(O15,'Refrigerant GWPs'!$A$2:$A$154,0)),""),U15),0)</f>
        <v/>
      </c>
      <c r="Q15" s="155"/>
      <c r="R15" s="155"/>
      <c r="S15" s="144"/>
      <c r="T15" s="159" t="str">
        <f>IF(S15&lt;&gt;"User Specified",IF(AND(S15&lt;&gt;"User Specified",S15&lt;&gt;""), INDEX('Refrigerant GWPs'!$G$2:$G$154,MATCH(S15,'Refrigerant GWPs'!$A$2:$A$154,0)),""),V15)</f>
        <v/>
      </c>
      <c r="U15" s="144"/>
      <c r="V15" s="144"/>
      <c r="W15" s="155"/>
      <c r="X15" s="155"/>
      <c r="Y15" s="155"/>
      <c r="Z15" s="159" t="str">
        <f>IF(AND(Y15&lt;&gt;"User Specified",Y15&lt;&gt;""), INDEX('Refrigerant GWPs'!$G$2:$G$154,MATCH(Y15,'Refrigerant GWPs'!$A$2:$A$154,0)),"")</f>
        <v/>
      </c>
      <c r="AA15" s="155"/>
      <c r="AB15" s="156">
        <v>5</v>
      </c>
      <c r="AC15" s="66"/>
      <c r="AD15" s="66"/>
      <c r="AE15" s="66"/>
      <c r="AF15" s="66"/>
      <c r="AG15" s="66"/>
      <c r="AH15" s="66"/>
      <c r="AI15" s="34"/>
      <c r="AJ15" s="88">
        <f t="shared" ref="AJ15:AJ78" si="0">IF($W15=MAT_AR,AC15,AF15)</f>
        <v>0</v>
      </c>
      <c r="AK15" s="88">
        <f t="shared" ref="AK15:AK78" si="1">IF($W15=MAT_AR,AE15,AH15)</f>
        <v>0</v>
      </c>
      <c r="AL15" s="88">
        <v>0</v>
      </c>
      <c r="AM15" s="88">
        <v>0</v>
      </c>
      <c r="AN15" s="81" t="str">
        <f>IF(OR(BC15:BD15),"Warning: Need to enter baseline and measure consumption","")</f>
        <v/>
      </c>
      <c r="AO15" s="88">
        <f t="shared" ref="AO15:AO78" si="2">IF($W15=MAT_AR,AF15,0)</f>
        <v>0</v>
      </c>
      <c r="AP15" s="88">
        <f t="shared" ref="AP15:AP78" si="3">IF($W15=MAT_AR,AH15,0)</f>
        <v>0</v>
      </c>
      <c r="AQ15" s="81" t="str">
        <f t="shared" ref="AQ15:AQ78" si="4">IF(AND(W15=MAT_AR,OR(BK15:BL15)),"Warning: Need to enter baseline and measure consumption","")</f>
        <v/>
      </c>
      <c r="AS15" s="41" t="b">
        <f t="shared" ref="AS15:AS78" si="5">NOT(W15=MAT_AR)</f>
        <v>1</v>
      </c>
      <c r="AT15" s="38">
        <f t="shared" ref="AT15:AT78" si="6">IF(W15=MAT_AR,AB15,K15)</f>
        <v>0</v>
      </c>
      <c r="AU15" s="60">
        <f t="shared" ref="AU15:AU78" si="7">K15-AT15</f>
        <v>0</v>
      </c>
      <c r="AV15" s="41">
        <f t="shared" ref="AV15:AV78" si="8">IF(W15=MAT_AR,AB15,0)</f>
        <v>0</v>
      </c>
      <c r="AW15" s="41" t="b">
        <f t="shared" ref="AW15:AW78" si="9">AND(NOT(ISBLANK(I15)),NOT(ISBLANK(J15)),NOT(ISBLANK(K15)),NOT(ISBLANK(L15)),NOT(ISBLANK(N15)),NOT(ISBLANK(R15)),NOT(OR(BC15:BD15)),NOT(ISBLANK(W15)))</f>
        <v>0</v>
      </c>
      <c r="AX15" t="str">
        <f t="shared" ref="AX15:AX78" si="10">$L15&amp;"+"&amp;TEXT(ROUND($AT15,0),"00")</f>
        <v>+00</v>
      </c>
      <c r="AY15" t="str">
        <f t="shared" ref="AY15:AY78" si="11">TEXT(ROUND($L15+$AT15,0),"#")&amp;"+"&amp;TEXT(ROUND($AU15,0),"00")</f>
        <v>+00</v>
      </c>
      <c r="BA15" s="47" t="b">
        <f t="shared" ref="BA15:BB19" si="12">NOT(OR(ISBLANK(AJ15),ISBLANK(AL15)))</f>
        <v>1</v>
      </c>
      <c r="BB15" s="42" t="b">
        <f t="shared" si="12"/>
        <v>1</v>
      </c>
      <c r="BC15" s="42" t="b">
        <f>AND(NOT(BA15))</f>
        <v>0</v>
      </c>
      <c r="BD15" s="42" t="b">
        <f>AND(NOT(BB15))</f>
        <v>0</v>
      </c>
      <c r="BE15" s="70">
        <f t="shared" ref="BE15:BF19" si="13">AJ15-AL15</f>
        <v>0</v>
      </c>
      <c r="BF15" s="70">
        <f t="shared" si="13"/>
        <v>0</v>
      </c>
      <c r="BG15" s="34"/>
      <c r="BI15" s="47" t="b">
        <f t="shared" ref="BI15:BJ19" si="14">NOT(OR(ISBLANK(AL15),ISBLANK(AO15)))</f>
        <v>1</v>
      </c>
      <c r="BJ15" s="47" t="b">
        <f t="shared" si="14"/>
        <v>1</v>
      </c>
      <c r="BK15" s="42" t="b">
        <f>AND(NOT(BI15))</f>
        <v>0</v>
      </c>
      <c r="BL15" s="42" t="b">
        <f>AND(NOT(BJ15))</f>
        <v>0</v>
      </c>
      <c r="BM15" s="42">
        <f t="shared" ref="BM15:BN19" si="15">IF(NOT(OR(ISBLANK(AO15),ISBLANK(AL15))),AO15-AL15,0)</f>
        <v>0</v>
      </c>
      <c r="BN15" s="42">
        <f t="shared" si="15"/>
        <v>0</v>
      </c>
      <c r="BP15" t="e">
        <f>(DN15&gt;=0)</f>
        <v>#N/A</v>
      </c>
      <c r="BQ15" t="e">
        <f>(DP15&gt;=0)</f>
        <v>#N/A</v>
      </c>
      <c r="BR15" t="e">
        <f>AND(BP15,BQ15)</f>
        <v>#N/A</v>
      </c>
      <c r="BT15" s="85">
        <f t="shared" ref="BT15:BT46" si="16">$J15*BE15</f>
        <v>0</v>
      </c>
      <c r="BU15" s="85">
        <f t="shared" ref="BU15:BU46" si="17">$J15*BF15</f>
        <v>0</v>
      </c>
      <c r="BV15" s="85">
        <f t="shared" ref="BV15:BV46" si="18">$J15*BM15</f>
        <v>0</v>
      </c>
      <c r="BW15" s="85">
        <f t="shared" ref="BW15:BW46" si="19">$J15*BN15</f>
        <v>0</v>
      </c>
      <c r="BX15" s="85">
        <f>$AT15*BT15</f>
        <v>0</v>
      </c>
      <c r="BY15" s="85">
        <f>$AT15*BU15</f>
        <v>0</v>
      </c>
      <c r="BZ15" s="85">
        <f>$AU15*BV15</f>
        <v>0</v>
      </c>
      <c r="CA15" s="85">
        <f>$AU15*BW15</f>
        <v>0</v>
      </c>
      <c r="CB15" s="85" t="e">
        <f t="shared" ref="CB15:CB46" si="20">INDEX(AFL_Source_Energy_Btu_per_kWh,MATCH($AX15,AFL_IndexB,0))</f>
        <v>#N/A</v>
      </c>
      <c r="CC15" s="85">
        <f t="shared" ref="CC15:CC46" si="21">Btu_therm</f>
        <v>100000</v>
      </c>
      <c r="CD15" s="85" t="e">
        <f t="shared" ref="CD15:CD46" si="22">INDEX(AFL_Source_Energy_Btu_per_kWh,MATCH($AY15,AFL_IndexB,0))</f>
        <v>#N/A</v>
      </c>
      <c r="CE15" s="85">
        <f t="shared" ref="CE15:CE46" si="23">Btu_therm</f>
        <v>100000</v>
      </c>
      <c r="CF15" s="84" t="e">
        <f>$AT15*CB15/1000000</f>
        <v>#N/A</v>
      </c>
      <c r="CG15" s="84">
        <f>$AT15*CC15/1000000</f>
        <v>0</v>
      </c>
      <c r="CH15" s="84" t="e">
        <f>$AU15*CD15/1000000</f>
        <v>#N/A</v>
      </c>
      <c r="CI15" s="84">
        <f>$AU15*CE15/1000000</f>
        <v>0</v>
      </c>
      <c r="CJ15" s="86" t="e">
        <f t="shared" ref="CJ15:CJ46" si="24">INDEX(AFL_Emissions_Intensity_metric_tonnes_per_MWh,MATCH($AX15,AFL_IndexB,0))/1000</f>
        <v>#N/A</v>
      </c>
      <c r="CK15" s="82">
        <f t="shared" ref="CK15:CK46" si="25">NG_metric_tonne_CO2_therm</f>
        <v>5.3070370403969858E-3</v>
      </c>
      <c r="CL15" s="82" t="e">
        <f t="shared" ref="CL15:CL46" si="26">INDEX(AFL_Emissions_Intensity_metric_tonnes_per_MWh,MATCH($AY15,AFL_IndexB,0))/1000</f>
        <v>#N/A</v>
      </c>
      <c r="CM15" s="82">
        <f t="shared" ref="CM15:CM46" si="27">NG_metric_tonne_CO2_therm</f>
        <v>5.3070370403969858E-3</v>
      </c>
      <c r="CO15" s="149" t="str">
        <f>IF($I15&lt;&gt;"",IF(O15="User Specified",U15,INDEX('Refrigerant GWPs'!$G$2:$G$156,MATCH(O15,'Refrigerant GWPs'!$A$2:$A$156,0))),"")</f>
        <v/>
      </c>
      <c r="CP15" s="138" t="str">
        <f>IF($I15&lt;&gt;"",INDEX('Device Refrigerant Leakage'!$E$2:$E$42,MATCH($M15,'Device Refrigerant Leakage'!$B$2:$B$42,0)),"")</f>
        <v/>
      </c>
      <c r="CQ15" s="138" t="str">
        <f>IF($I15&lt;&gt;"",INDEX('Device Refrigerant Leakage'!$F$2:$F$42,MATCH($M15,'Device Refrigerant Leakage'!$B$2:$B$42,0)),"")</f>
        <v/>
      </c>
      <c r="CR15" s="145" t="str">
        <f>IF($I15&lt;&gt;"",INDEX('Device Refrigerant Leakage'!$G$2:$G$42,MATCH($M15,'Device Refrigerant Leakage'!$B$2:$B$42,0)),"")</f>
        <v/>
      </c>
      <c r="CS15" s="145" t="str">
        <f>IF($I15&lt;&gt;"",INDEX('Device Refrigerant Leakage'!$D$2:$D$42,MATCH($M15,'Device Refrigerant Leakage'!$B$2:$B$42,0))*CP15/2204.62*CO15,"")</f>
        <v/>
      </c>
      <c r="CT15" s="145" t="str">
        <f>IF($I15&lt;&gt;"",J15*(INDEX('Device Refrigerant Leakage'!$D$2:$D$42,MATCH($M15,'Device Refrigerant Leakage'!$B$2:$B$42,0))-(INDEX('Device Refrigerant Leakage'!$D$2:$D$42,MATCH($M15,'Device Refrigerant Leakage'!$B$2:$B$42,0)))*CR15*CP15)*CQ15/2204.62*CO15,"")</f>
        <v/>
      </c>
      <c r="CU15" s="135" t="str">
        <f>IF($I15&lt;&gt;"",J15*IF(W15&lt;&gt;"AR",(CS15*K15)+CT15,(CS15*AB15)+CT15*(AB15/INDEX('Device Refrigerant Leakage'!$C$2:$C$42,MATCH($M15,'Device Refrigerant Leakage'!$B$2:$B$42,0)))),"")</f>
        <v/>
      </c>
      <c r="CW15" s="135" t="str">
        <f>IF($I15&lt;&gt;"",IF(S15="User Specified",V15,INDEX('Refrigerant GWPs'!$G$2:$G$156,MATCH(S15,'Refrigerant GWPs'!$A$2:$A$157,0))),"")</f>
        <v/>
      </c>
      <c r="CX15" s="138" t="str">
        <f>IF($I15&lt;&gt;"",INDEX('Device Refrigerant Leakage'!$E$2:$E$42,MATCH($Q15,'Device Refrigerant Leakage'!$B$2:$B$42,0)),"")</f>
        <v/>
      </c>
      <c r="CY15" s="138" t="str">
        <f>IF($I15&lt;&gt;"",INDEX('Device Refrigerant Leakage'!$F$2:$F$42,MATCH($Q15,'Device Refrigerant Leakage'!$B$2:$B$42,0)),"")</f>
        <v/>
      </c>
      <c r="CZ15" s="145" t="str">
        <f>IF($I15&lt;&gt;"",INDEX('Device Refrigerant Leakage'!$G$2:$G$42,MATCH($Q15,'Device Refrigerant Leakage'!$B$2:$B$42,0)),"")</f>
        <v/>
      </c>
      <c r="DA15" s="145" t="str">
        <f>IF($I15&lt;&gt;"",J15*INDEX('Device Refrigerant Leakage'!$D$2:$D$42,MATCH($Q15,'Device Refrigerant Leakage'!$B$2:$B$42,0))*CX15/2204.62*CW15,"")</f>
        <v/>
      </c>
      <c r="DB15" s="145" t="str">
        <f>IF($I15&lt;&gt;"",J15*(INDEX('Device Refrigerant Leakage'!$D$2:$D$42,MATCH($Q15,'Device Refrigerant Leakage'!$B$2:$B$42,0))-(INDEX('Device Refrigerant Leakage'!$D$2:$D$42,MATCH($Q15,'Device Refrigerant Leakage'!$B$2:$B$42,0)))*CZ15*CX15)*CY15/2204.62*CW15,"")</f>
        <v/>
      </c>
      <c r="DC15" s="135" t="str">
        <f>IF($I15&lt;&gt;"",(DA15*K15)+DB15,"")</f>
        <v/>
      </c>
      <c r="DE15" s="146" t="str">
        <f>IF(W15&lt;&gt;"AR","",IF(Y15="User Specified", AA15, INDEX('Refrigerant GWPs'!$G$2:$G$154,MATCH(Y15,'Refrigerant GWPs'!$A$2:$A$154,0))))</f>
        <v/>
      </c>
      <c r="DF15" s="146" t="str">
        <f>IF(W15&lt;&gt;"AR","",INDEX('Device Refrigerant Leakage'!$E$2:$E$42,MATCH(X15,'Device Refrigerant Leakage'!$B$2:$B$42,0)))</f>
        <v/>
      </c>
      <c r="DG15" s="146" t="str">
        <f>IF(W15&lt;&gt;"AR","",INDEX('Device Refrigerant Leakage'!$F$2:$F$42,MATCH(X15,'Device Refrigerant Leakage'!$B$2:$B$42,0)))</f>
        <v/>
      </c>
      <c r="DH15" s="146" t="str">
        <f>IF(W15&lt;&gt;"AR","",INDEX('Device Refrigerant Leakage'!$G$2:$G$42,MATCH(X15,'Device Refrigerant Leakage'!$B$2:$B$42,0)))</f>
        <v/>
      </c>
      <c r="DI15" s="146" t="str">
        <f>IF(W15&lt;&gt;"AR","",J15*INDEX('Device Refrigerant Leakage'!$D$2:$D$42,MATCH(X15,'Device Refrigerant Leakage'!$B$2:$B$42,0))*DF15/2204.62*DE15)</f>
        <v/>
      </c>
      <c r="DJ15" s="146" t="str">
        <f>IF(W15&lt;&gt;"AR","",J15*(INDEX('Device Refrigerant Leakage'!$D$2:$D$42,MATCH(X15,'Device Refrigerant Leakage'!$B$2:$B$42,0))-(INDEX('Device Refrigerant Leakage'!$D$2:$D$42,MATCH(X15,'Device Refrigerant Leakage'!$B$2:$B$42,0)))*DH15*DF15)*DG15/2204.62*DE15)</f>
        <v/>
      </c>
      <c r="DK15" s="146" t="str">
        <f>IF(W15&lt;&gt;"AR","",DI15*(K15-AB15)+'Fuel Sub Calcs-Deemed'!DJ15*((K15-AB15)/INDEX('Device Refrigerant Leakage'!$C$2:$C$42,MATCH('Fuel Sub Calcs-Deemed'!X15,'Device Refrigerant Leakage'!$B$2:$B$42,0))))</f>
        <v/>
      </c>
      <c r="DM15" s="56">
        <v>1</v>
      </c>
      <c r="DN15" s="67" t="e">
        <f t="shared" ref="DN15:DN78" si="28">(CB15*BX15+BY15*CE15)/10^6+IF($W15=MAT_AR,(BZ15*CD15+CA15*CE15)/10^6,0)</f>
        <v>#N/A</v>
      </c>
      <c r="DO15" s="45" t="e">
        <f t="shared" ref="DO15:DO78" si="29">IF(BP15,"PASS","FAIL")</f>
        <v>#N/A</v>
      </c>
      <c r="DP15" s="67" t="e">
        <f t="shared" ref="DP15:DP78" si="30">(DT15+DU15+DV15)</f>
        <v>#N/A</v>
      </c>
      <c r="DQ15" s="45" t="e">
        <f t="shared" ref="DQ15:DQ78" si="31">IF(BQ15,"PASS","FAIL")</f>
        <v>#N/A</v>
      </c>
      <c r="DR15" s="69" t="e">
        <f t="shared" ref="DR15:DR78" si="32">IF(BR15,"Eligible","Not eligible")</f>
        <v>#N/A</v>
      </c>
      <c r="DS15" s="34"/>
      <c r="DT15" s="67" t="e">
        <f>((BX15*CJ15)+IF($W15=MAT_AR,(BZ15*CL15),0))*(1+Reference!$E$50+Reference!$E$51)</f>
        <v>#N/A</v>
      </c>
      <c r="DU15" s="67">
        <f>((BY15*CK15)+IF($W15=MAT_AR,(CA15*CM15),0))*(1+Reference!$G$50+Reference!$G$51)</f>
        <v>0</v>
      </c>
      <c r="DV15" s="67" t="e">
        <f t="shared" ref="DV15:DV78" si="33">IF(W15="NR",CU15-DC15,(CU15+DK15)-DC15)</f>
        <v>#VALUE!</v>
      </c>
      <c r="DX15" s="56">
        <v>1</v>
      </c>
      <c r="DY15" s="67">
        <f t="shared" ref="DY15:DY78" si="34">(Btu_per_kWh*BT15+Btu_therm*BU15)/10^6</f>
        <v>0</v>
      </c>
      <c r="DZ15" s="45" t="e">
        <f>VLOOKUP($R15,Dropdown!$C$3:$D$4,2,FALSE)</f>
        <v>#N/A</v>
      </c>
      <c r="EA15" s="68">
        <f t="shared" ref="EA15:EA78" si="35">IF($R15=fuel_electricity,$DY15*10^6/Btu_per_kWh,0)</f>
        <v>0</v>
      </c>
      <c r="EB15" s="68" t="str">
        <f t="shared" ref="EB15:EB78" si="36">IF($R15=fuel_natural_gas,$DY15/MMBtu_per_therm,"N/A")</f>
        <v>N/A</v>
      </c>
      <c r="EC15" s="68">
        <f t="shared" ref="EC15:EC78" si="37">IF($R15=fuel_electricity,"N/A",AJ15)</f>
        <v>0</v>
      </c>
      <c r="ED15" s="68" t="str">
        <f t="shared" ref="ED15:ED46" si="38">IF($R15=fuel_electricity,DY15*10^6/Btu_therm,"N/A")</f>
        <v>N/A</v>
      </c>
      <c r="EF15" s="56">
        <v>1</v>
      </c>
      <c r="EG15" s="46">
        <f t="shared" ref="EG15:EG78" si="39">J15</f>
        <v>0</v>
      </c>
      <c r="EH15" s="68" t="e">
        <f t="shared" ref="EH15:EH78" si="40">IF($BR15,BE15,0)</f>
        <v>#N/A</v>
      </c>
      <c r="EI15" s="68" t="e">
        <f t="shared" ref="EI15:EI78" si="41">IF($BR15,BF15,0)</f>
        <v>#N/A</v>
      </c>
      <c r="EJ15" s="68" t="e">
        <f t="shared" ref="EJ15:EJ78" si="42">IF($BR15,BM15,0)</f>
        <v>#N/A</v>
      </c>
      <c r="EK15" s="68" t="e">
        <f t="shared" ref="EK15:EK78" si="43">IF($BR15,BN15,0)</f>
        <v>#N/A</v>
      </c>
      <c r="EL15" s="46">
        <f t="shared" ref="EL15:EL78" si="44">K15</f>
        <v>0</v>
      </c>
      <c r="EM15" s="46">
        <f t="shared" ref="EM15:EM78" si="45">AV15</f>
        <v>0</v>
      </c>
    </row>
    <row r="16" spans="1:144">
      <c r="A16" s="89"/>
      <c r="B16" s="89"/>
      <c r="C16" s="89"/>
      <c r="D16" s="89"/>
      <c r="E16" s="89"/>
      <c r="F16" s="89"/>
      <c r="G16" s="34"/>
      <c r="H16" s="56">
        <f t="shared" ref="H16:H79" si="46">ROW($H16)-ROW($H$14)</f>
        <v>2</v>
      </c>
      <c r="I16" s="73"/>
      <c r="J16" s="163"/>
      <c r="K16" s="163"/>
      <c r="L16" s="164"/>
      <c r="M16" s="155"/>
      <c r="N16" s="155"/>
      <c r="O16" s="144"/>
      <c r="P16" s="159" t="str">
        <f>IFERROR(IF(O16&lt;&gt;"User Specified",IF(O16&lt;&gt;"", INDEX('Refrigerant GWPs'!$G$2:$G$154,MATCH(O16,'Refrigerant GWPs'!$A$2:$A$154,0)),""),U16),0)</f>
        <v/>
      </c>
      <c r="Q16" s="155"/>
      <c r="R16" s="155"/>
      <c r="S16" s="144"/>
      <c r="T16" s="159" t="str">
        <f>IF(S16&lt;&gt;"User Specified",IF(AND(S16&lt;&gt;"User Specified",S16&lt;&gt;""), INDEX('Refrigerant GWPs'!$G$2:$G$154,MATCH(S16,'Refrigerant GWPs'!$A$2:$A$154,0)),""),V16)</f>
        <v/>
      </c>
      <c r="U16" s="144"/>
      <c r="V16" s="144"/>
      <c r="W16" s="155"/>
      <c r="X16" s="155"/>
      <c r="Y16" s="155"/>
      <c r="Z16" s="159" t="str">
        <f>IF(AND(Y16&lt;&gt;"User Specified",Y16&lt;&gt;""), INDEX('Refrigerant GWPs'!$G$2:$G$154,MATCH(Y16,'Refrigerant GWPs'!$A$2:$A$154,0)),"")</f>
        <v/>
      </c>
      <c r="AA16" s="155"/>
      <c r="AB16" s="156">
        <v>5</v>
      </c>
      <c r="AC16" s="66"/>
      <c r="AD16" s="66"/>
      <c r="AE16" s="66"/>
      <c r="AF16" s="66"/>
      <c r="AG16" s="66"/>
      <c r="AH16" s="66"/>
      <c r="AI16" s="34"/>
      <c r="AJ16" s="88">
        <f t="shared" si="0"/>
        <v>0</v>
      </c>
      <c r="AK16" s="88">
        <f t="shared" si="1"/>
        <v>0</v>
      </c>
      <c r="AL16" s="88">
        <v>0</v>
      </c>
      <c r="AM16" s="88">
        <v>0</v>
      </c>
      <c r="AN16" s="81" t="str">
        <f t="shared" ref="AN16:AN79" si="47">IF(OR(BC16:BD16),"Warning: Need to enter baseline and measure consumption","")</f>
        <v/>
      </c>
      <c r="AO16" s="88">
        <f t="shared" si="2"/>
        <v>0</v>
      </c>
      <c r="AP16" s="88">
        <f t="shared" si="3"/>
        <v>0</v>
      </c>
      <c r="AQ16" s="81" t="str">
        <f t="shared" si="4"/>
        <v/>
      </c>
      <c r="AS16" s="41" t="b">
        <f t="shared" si="5"/>
        <v>1</v>
      </c>
      <c r="AT16" s="38">
        <f t="shared" si="6"/>
        <v>0</v>
      </c>
      <c r="AU16" s="60">
        <f t="shared" si="7"/>
        <v>0</v>
      </c>
      <c r="AV16" s="41">
        <f t="shared" si="8"/>
        <v>0</v>
      </c>
      <c r="AW16" s="41" t="b">
        <f t="shared" si="9"/>
        <v>0</v>
      </c>
      <c r="AX16" t="str">
        <f t="shared" si="10"/>
        <v>+00</v>
      </c>
      <c r="AY16" t="str">
        <f t="shared" si="11"/>
        <v>+00</v>
      </c>
      <c r="BA16" s="47" t="b">
        <f t="shared" si="12"/>
        <v>1</v>
      </c>
      <c r="BB16" s="42" t="b">
        <f t="shared" si="12"/>
        <v>1</v>
      </c>
      <c r="BC16" s="42" t="b">
        <f t="shared" ref="BC16:BD19" si="48">AND(NOT(BA16))</f>
        <v>0</v>
      </c>
      <c r="BD16" s="42" t="b">
        <f t="shared" si="48"/>
        <v>0</v>
      </c>
      <c r="BE16" s="70">
        <f t="shared" si="13"/>
        <v>0</v>
      </c>
      <c r="BF16" s="70">
        <f t="shared" si="13"/>
        <v>0</v>
      </c>
      <c r="BG16" s="34"/>
      <c r="BI16" s="47" t="b">
        <f t="shared" si="14"/>
        <v>1</v>
      </c>
      <c r="BJ16" s="47" t="b">
        <f t="shared" si="14"/>
        <v>1</v>
      </c>
      <c r="BK16" s="42" t="b">
        <f t="shared" ref="BK16:BL19" si="49">AND(NOT(BI16))</f>
        <v>0</v>
      </c>
      <c r="BL16" s="42" t="b">
        <f t="shared" si="49"/>
        <v>0</v>
      </c>
      <c r="BM16" s="42">
        <f t="shared" si="15"/>
        <v>0</v>
      </c>
      <c r="BN16" s="42">
        <f t="shared" si="15"/>
        <v>0</v>
      </c>
      <c r="BP16" t="e">
        <f>(DN16&gt;=0)</f>
        <v>#N/A</v>
      </c>
      <c r="BQ16" t="e">
        <f>(DP16&gt;=0)</f>
        <v>#N/A</v>
      </c>
      <c r="BR16" t="e">
        <f t="shared" ref="BR16:BR19" si="50">AND(BP16,BQ16)</f>
        <v>#N/A</v>
      </c>
      <c r="BT16" s="60">
        <f t="shared" si="16"/>
        <v>0</v>
      </c>
      <c r="BU16" s="60">
        <f t="shared" si="17"/>
        <v>0</v>
      </c>
      <c r="BV16" s="60">
        <f t="shared" si="18"/>
        <v>0</v>
      </c>
      <c r="BW16" s="60">
        <f t="shared" si="19"/>
        <v>0</v>
      </c>
      <c r="BX16" s="60">
        <f t="shared" ref="BX16:BX19" si="51">$AT16*BT16</f>
        <v>0</v>
      </c>
      <c r="BY16" s="60">
        <f t="shared" ref="BY16:BY19" si="52">$AT16*BU16</f>
        <v>0</v>
      </c>
      <c r="BZ16" s="60">
        <f t="shared" ref="BZ16:BZ19" si="53">$AU16*BV16</f>
        <v>0</v>
      </c>
      <c r="CA16" s="60">
        <f t="shared" ref="CA16:CA19" si="54">$AU16*BW16</f>
        <v>0</v>
      </c>
      <c r="CB16" s="60" t="e">
        <f t="shared" si="20"/>
        <v>#N/A</v>
      </c>
      <c r="CC16" s="60">
        <f t="shared" si="21"/>
        <v>100000</v>
      </c>
      <c r="CD16" s="60" t="e">
        <f t="shared" si="22"/>
        <v>#N/A</v>
      </c>
      <c r="CE16" s="60">
        <f t="shared" si="23"/>
        <v>100000</v>
      </c>
      <c r="CF16" s="83" t="e">
        <f t="shared" ref="CF16:CF19" si="55">$AT16*CB16/1000000</f>
        <v>#N/A</v>
      </c>
      <c r="CG16" s="83">
        <f t="shared" ref="CG16:CG19" si="56">$AT16*CC16/1000000</f>
        <v>0</v>
      </c>
      <c r="CH16" s="83" t="e">
        <f t="shared" ref="CH16:CH19" si="57">$AU16*CD16/1000000</f>
        <v>#N/A</v>
      </c>
      <c r="CI16" s="83">
        <f t="shared" ref="CI16:CI19" si="58">$AU16*CE16/1000000</f>
        <v>0</v>
      </c>
      <c r="CJ16" s="86" t="e">
        <f t="shared" si="24"/>
        <v>#N/A</v>
      </c>
      <c r="CK16" s="82">
        <f t="shared" si="25"/>
        <v>5.3070370403969858E-3</v>
      </c>
      <c r="CL16" s="82" t="e">
        <f t="shared" si="26"/>
        <v>#N/A</v>
      </c>
      <c r="CM16" s="82">
        <f t="shared" si="27"/>
        <v>5.3070370403969858E-3</v>
      </c>
      <c r="CO16" s="149" t="str">
        <f>IF($I16&lt;&gt;"",IF(O16="User Specified",U16,INDEX('Refrigerant GWPs'!$G$2:$G$156,MATCH(O16,'Refrigerant GWPs'!$A$2:$A$156,0))),"")</f>
        <v/>
      </c>
      <c r="CP16" s="138" t="str">
        <f>IF($I16&lt;&gt;"",INDEX('Device Refrigerant Leakage'!$E$2:$E$42,MATCH($M16,'Device Refrigerant Leakage'!$B$2:$B$42,0)),"")</f>
        <v/>
      </c>
      <c r="CQ16" s="138" t="str">
        <f>IF($I16&lt;&gt;"",INDEX('Device Refrigerant Leakage'!$F$2:$F$42,MATCH($M16,'Device Refrigerant Leakage'!$B$2:$B$42,0)),"")</f>
        <v/>
      </c>
      <c r="CR16" s="145" t="str">
        <f>IF($I16&lt;&gt;"",INDEX('Device Refrigerant Leakage'!$G$2:$G$42,MATCH($M16,'Device Refrigerant Leakage'!$B$2:$B$42,0)),"")</f>
        <v/>
      </c>
      <c r="CS16" s="145" t="str">
        <f>IF($I16&lt;&gt;"",INDEX('Device Refrigerant Leakage'!$D$2:$D$42,MATCH($M16,'Device Refrigerant Leakage'!$B$2:$B$42,0))*CP16/2204.62*CO16,"")</f>
        <v/>
      </c>
      <c r="CT16" s="145" t="str">
        <f>IF($I16&lt;&gt;"",J16*(INDEX('Device Refrigerant Leakage'!$D$2:$D$42,MATCH($M16,'Device Refrigerant Leakage'!$B$2:$B$42,0))-(INDEX('Device Refrigerant Leakage'!$D$2:$D$42,MATCH($M16,'Device Refrigerant Leakage'!$B$2:$B$42,0)))*CR16*CP16)*CQ16/2204.62*CO16,"")</f>
        <v/>
      </c>
      <c r="CU16" s="135" t="str">
        <f>IF($I16&lt;&gt;"",J16*IF(W16&lt;&gt;"AR",(CS16*K16)+CT16,(CS16*AB16)+CT16*(AB16/INDEX('Device Refrigerant Leakage'!$C$2:$C$42,MATCH($M16,'Device Refrigerant Leakage'!$B$2:$B$42,0)))),"")</f>
        <v/>
      </c>
      <c r="CW16" s="135" t="str">
        <f>IF($I16&lt;&gt;"",IF(S16="User Specified",V16,INDEX('Refrigerant GWPs'!$G$2:$G$156,MATCH(S16,'Refrigerant GWPs'!$A$2:$A$157,0))),"")</f>
        <v/>
      </c>
      <c r="CX16" s="138" t="str">
        <f>IF($I16&lt;&gt;"",INDEX('Device Refrigerant Leakage'!$E$2:$E$42,MATCH($Q16,'Device Refrigerant Leakage'!$B$2:$B$42,0)),"")</f>
        <v/>
      </c>
      <c r="CY16" s="138" t="str">
        <f>IF($I16&lt;&gt;"",INDEX('Device Refrigerant Leakage'!$F$2:$F$42,MATCH($Q16,'Device Refrigerant Leakage'!$B$2:$B$42,0)),"")</f>
        <v/>
      </c>
      <c r="CZ16" s="145" t="str">
        <f>IF($I16&lt;&gt;"",INDEX('Device Refrigerant Leakage'!$G$2:$G$42,MATCH($Q16,'Device Refrigerant Leakage'!$B$2:$B$42,0)),"")</f>
        <v/>
      </c>
      <c r="DA16" s="145" t="str">
        <f>IF($I16&lt;&gt;"",J16*INDEX('Device Refrigerant Leakage'!$D$2:$D$42,MATCH($Q16,'Device Refrigerant Leakage'!$B$2:$B$42,0))*CX16/2204.62*CW16,"")</f>
        <v/>
      </c>
      <c r="DB16" s="145" t="str">
        <f>IF($I16&lt;&gt;"",J16*(INDEX('Device Refrigerant Leakage'!$D$2:$D$42,MATCH($Q16,'Device Refrigerant Leakage'!$B$2:$B$42,0))-(INDEX('Device Refrigerant Leakage'!$D$2:$D$42,MATCH($Q16,'Device Refrigerant Leakage'!$B$2:$B$42,0)))*CZ16*CX16)*CY16/2204.62*CW16,"")</f>
        <v/>
      </c>
      <c r="DC16" s="135" t="str">
        <f t="shared" ref="DC16:DC79" si="59">IF($I16&lt;&gt;"",(DA16*K16)+DB16,"")</f>
        <v/>
      </c>
      <c r="DE16" s="146" t="str">
        <f>IF(W16&lt;&gt;"AR","",IF(Y16="User Specified", AA16, INDEX('Refrigerant GWPs'!$G$2:$G$154,MATCH(Y16,'Refrigerant GWPs'!$A$2:$A$154,0))))</f>
        <v/>
      </c>
      <c r="DF16" s="146" t="str">
        <f>IF(W16&lt;&gt;"AR","",INDEX('Device Refrigerant Leakage'!$E$2:$E$42,MATCH(X16,'Device Refrigerant Leakage'!$B$2:$B$42,0)))</f>
        <v/>
      </c>
      <c r="DG16" s="146" t="str">
        <f>IF(W16&lt;&gt;"AR","",INDEX('Device Refrigerant Leakage'!$F$2:$F$42,MATCH(X16,'Device Refrigerant Leakage'!$B$2:$B$42,0)))</f>
        <v/>
      </c>
      <c r="DH16" s="146" t="str">
        <f>IF(W16&lt;&gt;"AR","",INDEX('Device Refrigerant Leakage'!$G$2:$G$42,MATCH(X16,'Device Refrigerant Leakage'!$B$2:$B$42,0)))</f>
        <v/>
      </c>
      <c r="DI16" s="146" t="str">
        <f>IF(W16&lt;&gt;"AR","",J16*INDEX('Device Refrigerant Leakage'!$D$2:$D$42,MATCH(X16,'Device Refrigerant Leakage'!$B$2:$B$42,0))*DF16/2204.62*DE16)</f>
        <v/>
      </c>
      <c r="DJ16" s="146" t="str">
        <f>IF(W16&lt;&gt;"AR","",J16*(INDEX('Device Refrigerant Leakage'!$D$2:$D$42,MATCH(X16,'Device Refrigerant Leakage'!$B$2:$B$42,0))-(INDEX('Device Refrigerant Leakage'!$D$2:$D$42,MATCH(X16,'Device Refrigerant Leakage'!$B$2:$B$42,0)))*DH16*DF16)*DG16/2204.62*DE16)</f>
        <v/>
      </c>
      <c r="DK16" s="146" t="str">
        <f>IF(W16&lt;&gt;"AR","",DI16*(K16-AB16)+'Fuel Sub Calcs-Deemed'!DJ16*((K16-AB16)/INDEX('Device Refrigerant Leakage'!$C$2:$C$42,MATCH('Fuel Sub Calcs-Deemed'!X16,'Device Refrigerant Leakage'!$B$2:$B$42,0))))</f>
        <v/>
      </c>
      <c r="DM16" s="56">
        <v>2</v>
      </c>
      <c r="DN16" s="67" t="e">
        <f t="shared" si="28"/>
        <v>#N/A</v>
      </c>
      <c r="DO16" s="45" t="e">
        <f t="shared" si="29"/>
        <v>#N/A</v>
      </c>
      <c r="DP16" s="67" t="e">
        <f t="shared" si="30"/>
        <v>#N/A</v>
      </c>
      <c r="DQ16" s="45" t="e">
        <f t="shared" si="31"/>
        <v>#N/A</v>
      </c>
      <c r="DR16" s="69" t="e">
        <f t="shared" si="32"/>
        <v>#N/A</v>
      </c>
      <c r="DS16" s="34"/>
      <c r="DT16" s="67" t="e">
        <f>((BX16*CJ16)+IF($W16=MAT_AR,(BZ16*CL16),0))*(1+Reference!$E$50+Reference!$E$51)</f>
        <v>#N/A</v>
      </c>
      <c r="DU16" s="67">
        <f>((BY16*CK16)+IF($W16=MAT_AR,(CA16*CM16),0))*(1+Reference!$G$50+Reference!$G$51)</f>
        <v>0</v>
      </c>
      <c r="DV16" s="67" t="e">
        <f t="shared" si="33"/>
        <v>#VALUE!</v>
      </c>
      <c r="DX16" s="56">
        <v>2</v>
      </c>
      <c r="DY16" s="67">
        <f t="shared" si="34"/>
        <v>0</v>
      </c>
      <c r="DZ16" s="45" t="e">
        <f>VLOOKUP($R16,Dropdown!$C$3:$D$4,2,FALSE)</f>
        <v>#N/A</v>
      </c>
      <c r="EA16" s="68">
        <f t="shared" si="35"/>
        <v>0</v>
      </c>
      <c r="EB16" s="68" t="str">
        <f t="shared" si="36"/>
        <v>N/A</v>
      </c>
      <c r="EC16" s="68">
        <f t="shared" si="37"/>
        <v>0</v>
      </c>
      <c r="ED16" s="68" t="str">
        <f t="shared" si="38"/>
        <v>N/A</v>
      </c>
      <c r="EF16" s="56">
        <v>2</v>
      </c>
      <c r="EG16" s="46">
        <f t="shared" si="39"/>
        <v>0</v>
      </c>
      <c r="EH16" s="68" t="e">
        <f t="shared" si="40"/>
        <v>#N/A</v>
      </c>
      <c r="EI16" s="68" t="e">
        <f t="shared" si="41"/>
        <v>#N/A</v>
      </c>
      <c r="EJ16" s="68" t="e">
        <f t="shared" si="42"/>
        <v>#N/A</v>
      </c>
      <c r="EK16" s="68" t="e">
        <f t="shared" si="43"/>
        <v>#N/A</v>
      </c>
      <c r="EL16" s="46">
        <f t="shared" si="44"/>
        <v>0</v>
      </c>
      <c r="EM16" s="46">
        <f t="shared" si="45"/>
        <v>0</v>
      </c>
    </row>
    <row r="17" spans="1:143">
      <c r="A17" s="89"/>
      <c r="B17" s="89"/>
      <c r="C17" s="89"/>
      <c r="D17" s="89"/>
      <c r="E17" s="89"/>
      <c r="F17" s="89"/>
      <c r="G17" s="34"/>
      <c r="H17" s="56">
        <f t="shared" si="46"/>
        <v>3</v>
      </c>
      <c r="I17" s="73"/>
      <c r="J17" s="163"/>
      <c r="K17" s="163"/>
      <c r="L17" s="164"/>
      <c r="M17" s="155"/>
      <c r="N17" s="155"/>
      <c r="O17" s="144"/>
      <c r="P17" s="159" t="str">
        <f>IFERROR(IF(O17&lt;&gt;"User Specified",IF(O17&lt;&gt;"", INDEX('Refrigerant GWPs'!$G$2:$G$154,MATCH(O17,'Refrigerant GWPs'!$A$2:$A$154,0)),""),U17),0)</f>
        <v/>
      </c>
      <c r="Q17" s="155"/>
      <c r="R17" s="155"/>
      <c r="S17" s="144"/>
      <c r="T17" s="159" t="str">
        <f>IF(S17&lt;&gt;"User Specified",IF(AND(S17&lt;&gt;"User Specified",S17&lt;&gt;""), INDEX('Refrigerant GWPs'!$G$2:$G$154,MATCH(S17,'Refrigerant GWPs'!$A$2:$A$154,0)),""),V17)</f>
        <v/>
      </c>
      <c r="U17" s="144"/>
      <c r="V17" s="144"/>
      <c r="W17" s="155"/>
      <c r="X17" s="155"/>
      <c r="Y17" s="155"/>
      <c r="Z17" s="159" t="str">
        <f>IF(AND(Y17&lt;&gt;"User Specified",Y17&lt;&gt;""), INDEX('Refrigerant GWPs'!$G$2:$G$154,MATCH(Y17,'Refrigerant GWPs'!$A$2:$A$154,0)),"")</f>
        <v/>
      </c>
      <c r="AA17" s="155"/>
      <c r="AB17" s="156">
        <v>5</v>
      </c>
      <c r="AC17" s="66"/>
      <c r="AD17" s="66"/>
      <c r="AE17" s="66"/>
      <c r="AF17" s="66"/>
      <c r="AG17" s="66"/>
      <c r="AH17" s="66"/>
      <c r="AI17" s="34"/>
      <c r="AJ17" s="88">
        <f t="shared" si="0"/>
        <v>0</v>
      </c>
      <c r="AK17" s="88">
        <f t="shared" si="1"/>
        <v>0</v>
      </c>
      <c r="AL17" s="88">
        <v>0</v>
      </c>
      <c r="AM17" s="88">
        <v>0</v>
      </c>
      <c r="AN17" s="81" t="str">
        <f t="shared" si="47"/>
        <v/>
      </c>
      <c r="AO17" s="88">
        <f t="shared" si="2"/>
        <v>0</v>
      </c>
      <c r="AP17" s="88">
        <f t="shared" si="3"/>
        <v>0</v>
      </c>
      <c r="AQ17" s="81" t="str">
        <f t="shared" si="4"/>
        <v/>
      </c>
      <c r="AS17" s="41" t="b">
        <f t="shared" si="5"/>
        <v>1</v>
      </c>
      <c r="AT17" s="38">
        <f t="shared" si="6"/>
        <v>0</v>
      </c>
      <c r="AU17" s="60">
        <f t="shared" si="7"/>
        <v>0</v>
      </c>
      <c r="AV17" s="41">
        <f t="shared" si="8"/>
        <v>0</v>
      </c>
      <c r="AW17" s="41" t="b">
        <f t="shared" si="9"/>
        <v>0</v>
      </c>
      <c r="AX17" t="str">
        <f t="shared" si="10"/>
        <v>+00</v>
      </c>
      <c r="AY17" t="str">
        <f t="shared" si="11"/>
        <v>+00</v>
      </c>
      <c r="BA17" s="47" t="b">
        <f t="shared" si="12"/>
        <v>1</v>
      </c>
      <c r="BB17" s="42" t="b">
        <f t="shared" si="12"/>
        <v>1</v>
      </c>
      <c r="BC17" s="42" t="b">
        <f t="shared" si="48"/>
        <v>0</v>
      </c>
      <c r="BD17" s="42" t="b">
        <f t="shared" si="48"/>
        <v>0</v>
      </c>
      <c r="BE17" s="70">
        <f t="shared" si="13"/>
        <v>0</v>
      </c>
      <c r="BF17" s="70">
        <f t="shared" si="13"/>
        <v>0</v>
      </c>
      <c r="BG17" s="34"/>
      <c r="BI17" s="47" t="b">
        <f t="shared" si="14"/>
        <v>1</v>
      </c>
      <c r="BJ17" s="47" t="b">
        <f t="shared" si="14"/>
        <v>1</v>
      </c>
      <c r="BK17" s="42" t="b">
        <f t="shared" si="49"/>
        <v>0</v>
      </c>
      <c r="BL17" s="42" t="b">
        <f t="shared" si="49"/>
        <v>0</v>
      </c>
      <c r="BM17" s="42">
        <f t="shared" si="15"/>
        <v>0</v>
      </c>
      <c r="BN17" s="42">
        <f t="shared" si="15"/>
        <v>0</v>
      </c>
      <c r="BP17" t="e">
        <f>(DN17&gt;=0)</f>
        <v>#N/A</v>
      </c>
      <c r="BQ17" t="e">
        <f>(DP17&gt;=0)</f>
        <v>#N/A</v>
      </c>
      <c r="BR17" t="e">
        <f t="shared" si="50"/>
        <v>#N/A</v>
      </c>
      <c r="BT17" s="60">
        <f t="shared" si="16"/>
        <v>0</v>
      </c>
      <c r="BU17" s="60">
        <f t="shared" si="17"/>
        <v>0</v>
      </c>
      <c r="BV17" s="60">
        <f t="shared" si="18"/>
        <v>0</v>
      </c>
      <c r="BW17" s="60">
        <f t="shared" si="19"/>
        <v>0</v>
      </c>
      <c r="BX17" s="60">
        <f t="shared" si="51"/>
        <v>0</v>
      </c>
      <c r="BY17" s="60">
        <f t="shared" si="52"/>
        <v>0</v>
      </c>
      <c r="BZ17" s="60">
        <f t="shared" si="53"/>
        <v>0</v>
      </c>
      <c r="CA17" s="60">
        <f t="shared" si="54"/>
        <v>0</v>
      </c>
      <c r="CB17" s="60" t="e">
        <f t="shared" si="20"/>
        <v>#N/A</v>
      </c>
      <c r="CC17" s="60">
        <f t="shared" si="21"/>
        <v>100000</v>
      </c>
      <c r="CD17" s="60" t="e">
        <f t="shared" si="22"/>
        <v>#N/A</v>
      </c>
      <c r="CE17" s="60">
        <f t="shared" si="23"/>
        <v>100000</v>
      </c>
      <c r="CF17" s="83" t="e">
        <f t="shared" si="55"/>
        <v>#N/A</v>
      </c>
      <c r="CG17" s="83">
        <f t="shared" si="56"/>
        <v>0</v>
      </c>
      <c r="CH17" s="83" t="e">
        <f t="shared" si="57"/>
        <v>#N/A</v>
      </c>
      <c r="CI17" s="83">
        <f t="shared" si="58"/>
        <v>0</v>
      </c>
      <c r="CJ17" s="86" t="e">
        <f t="shared" si="24"/>
        <v>#N/A</v>
      </c>
      <c r="CK17" s="82">
        <f t="shared" si="25"/>
        <v>5.3070370403969858E-3</v>
      </c>
      <c r="CL17" s="82" t="e">
        <f t="shared" si="26"/>
        <v>#N/A</v>
      </c>
      <c r="CM17" s="82">
        <f t="shared" si="27"/>
        <v>5.3070370403969858E-3</v>
      </c>
      <c r="CO17" s="149" t="str">
        <f>IF($I17&lt;&gt;"",IF(O17="User Specified",U17,INDEX('Refrigerant GWPs'!$G$2:$G$156,MATCH(O17,'Refrigerant GWPs'!$A$2:$A$156,0))),"")</f>
        <v/>
      </c>
      <c r="CP17" s="138" t="str">
        <f>IF($I17&lt;&gt;"",INDEX('Device Refrigerant Leakage'!$E$2:$E$42,MATCH($M17,'Device Refrigerant Leakage'!$B$2:$B$42,0)),"")</f>
        <v/>
      </c>
      <c r="CQ17" s="138" t="str">
        <f>IF($I17&lt;&gt;"",INDEX('Device Refrigerant Leakage'!$F$2:$F$42,MATCH($M17,'Device Refrigerant Leakage'!$B$2:$B$42,0)),"")</f>
        <v/>
      </c>
      <c r="CR17" s="145" t="str">
        <f>IF($I17&lt;&gt;"",INDEX('Device Refrigerant Leakage'!$G$2:$G$42,MATCH($M17,'Device Refrigerant Leakage'!$B$2:$B$42,0)),"")</f>
        <v/>
      </c>
      <c r="CS17" s="145" t="str">
        <f>IF($I17&lt;&gt;"",INDEX('Device Refrigerant Leakage'!$D$2:$D$42,MATCH($M17,'Device Refrigerant Leakage'!$B$2:$B$42,0))*CP17/2204.62*CO17,"")</f>
        <v/>
      </c>
      <c r="CT17" s="145" t="str">
        <f>IF($I17&lt;&gt;"",J17*(INDEX('Device Refrigerant Leakage'!$D$2:$D$42,MATCH($M17,'Device Refrigerant Leakage'!$B$2:$B$42,0))-(INDEX('Device Refrigerant Leakage'!$D$2:$D$42,MATCH($M17,'Device Refrigerant Leakage'!$B$2:$B$42,0)))*CR17*CP17)*CQ17/2204.62*CO17,"")</f>
        <v/>
      </c>
      <c r="CU17" s="135" t="str">
        <f>IF($I17&lt;&gt;"",J17*IF(W17&lt;&gt;"AR",(CS17*K17)+CT17,(CS17*AB17)+CT17*(AB17/INDEX('Device Refrigerant Leakage'!$C$2:$C$42,MATCH($M17,'Device Refrigerant Leakage'!$B$2:$B$42,0)))),"")</f>
        <v/>
      </c>
      <c r="CW17" s="135" t="str">
        <f>IF($I17&lt;&gt;"",IF(S17="User Specified",V17,INDEX('Refrigerant GWPs'!$G$2:$G$156,MATCH(S17,'Refrigerant GWPs'!$A$2:$A$157,0))),"")</f>
        <v/>
      </c>
      <c r="CX17" s="138" t="str">
        <f>IF($I17&lt;&gt;"",INDEX('Device Refrigerant Leakage'!$E$2:$E$42,MATCH($Q17,'Device Refrigerant Leakage'!$B$2:$B$42,0)),"")</f>
        <v/>
      </c>
      <c r="CY17" s="138" t="str">
        <f>IF($I17&lt;&gt;"",INDEX('Device Refrigerant Leakage'!$F$2:$F$42,MATCH($Q17,'Device Refrigerant Leakage'!$B$2:$B$42,0)),"")</f>
        <v/>
      </c>
      <c r="CZ17" s="145" t="str">
        <f>IF($I17&lt;&gt;"",INDEX('Device Refrigerant Leakage'!$G$2:$G$42,MATCH($Q17,'Device Refrigerant Leakage'!$B$2:$B$42,0)),"")</f>
        <v/>
      </c>
      <c r="DA17" s="145" t="str">
        <f>IF($I17&lt;&gt;"",J17*INDEX('Device Refrigerant Leakage'!$D$2:$D$42,MATCH($Q17,'Device Refrigerant Leakage'!$B$2:$B$42,0))*CX17/2204.62*CW17,"")</f>
        <v/>
      </c>
      <c r="DB17" s="145" t="str">
        <f>IF($I17&lt;&gt;"",J17*(INDEX('Device Refrigerant Leakage'!$D$2:$D$42,MATCH($Q17,'Device Refrigerant Leakage'!$B$2:$B$42,0))-(INDEX('Device Refrigerant Leakage'!$D$2:$D$42,MATCH($Q17,'Device Refrigerant Leakage'!$B$2:$B$42,0)))*CZ17*CX17)*CY17/2204.62*CW17,"")</f>
        <v/>
      </c>
      <c r="DC17" s="135" t="str">
        <f t="shared" si="59"/>
        <v/>
      </c>
      <c r="DE17" s="146" t="str">
        <f>IF(W17&lt;&gt;"AR","",IF(Y17="User Specified", AA17, INDEX('Refrigerant GWPs'!$G$2:$G$154,MATCH(Y17,'Refrigerant GWPs'!$A$2:$A$154,0))))</f>
        <v/>
      </c>
      <c r="DF17" s="146" t="str">
        <f>IF(W17&lt;&gt;"AR","",INDEX('Device Refrigerant Leakage'!$E$2:$E$42,MATCH(X17,'Device Refrigerant Leakage'!$B$2:$B$42,0)))</f>
        <v/>
      </c>
      <c r="DG17" s="146" t="str">
        <f>IF(W17&lt;&gt;"AR","",INDEX('Device Refrigerant Leakage'!$F$2:$F$42,MATCH(X17,'Device Refrigerant Leakage'!$B$2:$B$42,0)))</f>
        <v/>
      </c>
      <c r="DH17" s="146" t="str">
        <f>IF(W17&lt;&gt;"AR","",INDEX('Device Refrigerant Leakage'!$G$2:$G$42,MATCH(X17,'Device Refrigerant Leakage'!$B$2:$B$42,0)))</f>
        <v/>
      </c>
      <c r="DI17" s="146" t="str">
        <f>IF(W17&lt;&gt;"AR","",J17*INDEX('Device Refrigerant Leakage'!$D$2:$D$42,MATCH(X17,'Device Refrigerant Leakage'!$B$2:$B$42,0))*DF17/2204.62*DE17)</f>
        <v/>
      </c>
      <c r="DJ17" s="146" t="str">
        <f>IF(W17&lt;&gt;"AR","",J17*(INDEX('Device Refrigerant Leakage'!$D$2:$D$42,MATCH(X17,'Device Refrigerant Leakage'!$B$2:$B$42,0))-(INDEX('Device Refrigerant Leakage'!$D$2:$D$42,MATCH(X17,'Device Refrigerant Leakage'!$B$2:$B$42,0)))*DH17*DF17)*DG17/2204.62*DE17)</f>
        <v/>
      </c>
      <c r="DK17" s="146" t="str">
        <f>IF(W17&lt;&gt;"AR","",DI17*(K17-AB17)+'Fuel Sub Calcs-Deemed'!DJ17*((K17-AB17)/INDEX('Device Refrigerant Leakage'!$C$2:$C$42,MATCH('Fuel Sub Calcs-Deemed'!X17,'Device Refrigerant Leakage'!$B$2:$B$42,0))))</f>
        <v/>
      </c>
      <c r="DM17" s="56">
        <v>3</v>
      </c>
      <c r="DN17" s="67" t="e">
        <f t="shared" si="28"/>
        <v>#N/A</v>
      </c>
      <c r="DO17" s="45" t="e">
        <f t="shared" si="29"/>
        <v>#N/A</v>
      </c>
      <c r="DP17" s="67" t="e">
        <f t="shared" si="30"/>
        <v>#N/A</v>
      </c>
      <c r="DQ17" s="45" t="e">
        <f t="shared" si="31"/>
        <v>#N/A</v>
      </c>
      <c r="DR17" s="69" t="e">
        <f t="shared" si="32"/>
        <v>#N/A</v>
      </c>
      <c r="DS17" s="34"/>
      <c r="DT17" s="67" t="e">
        <f>((BX17*CJ17)+IF($W17=MAT_AR,(BZ17*CL17),0))*(1+Reference!$E$50+Reference!$E$51)</f>
        <v>#N/A</v>
      </c>
      <c r="DU17" s="67">
        <f>((BY17*CK17)+IF($W17=MAT_AR,(CA17*CM17),0))*(1+Reference!$G$50+Reference!$G$51)</f>
        <v>0</v>
      </c>
      <c r="DV17" s="67" t="e">
        <f t="shared" si="33"/>
        <v>#VALUE!</v>
      </c>
      <c r="DX17" s="56">
        <v>3</v>
      </c>
      <c r="DY17" s="67">
        <f t="shared" si="34"/>
        <v>0</v>
      </c>
      <c r="DZ17" s="45" t="e">
        <f>VLOOKUP($R17,Dropdown!$C$3:$D$4,2,FALSE)</f>
        <v>#N/A</v>
      </c>
      <c r="EA17" s="68">
        <f t="shared" si="35"/>
        <v>0</v>
      </c>
      <c r="EB17" s="68" t="str">
        <f t="shared" si="36"/>
        <v>N/A</v>
      </c>
      <c r="EC17" s="68">
        <f t="shared" si="37"/>
        <v>0</v>
      </c>
      <c r="ED17" s="68" t="str">
        <f t="shared" si="38"/>
        <v>N/A</v>
      </c>
      <c r="EF17" s="56">
        <v>3</v>
      </c>
      <c r="EG17" s="46">
        <f t="shared" si="39"/>
        <v>0</v>
      </c>
      <c r="EH17" s="68" t="e">
        <f t="shared" si="40"/>
        <v>#N/A</v>
      </c>
      <c r="EI17" s="68" t="e">
        <f t="shared" si="41"/>
        <v>#N/A</v>
      </c>
      <c r="EJ17" s="68" t="e">
        <f t="shared" si="42"/>
        <v>#N/A</v>
      </c>
      <c r="EK17" s="68" t="e">
        <f t="shared" si="43"/>
        <v>#N/A</v>
      </c>
      <c r="EL17" s="46">
        <f t="shared" si="44"/>
        <v>0</v>
      </c>
      <c r="EM17" s="46">
        <f t="shared" si="45"/>
        <v>0</v>
      </c>
    </row>
    <row r="18" spans="1:143">
      <c r="A18" s="89"/>
      <c r="B18" s="89"/>
      <c r="C18" s="89"/>
      <c r="D18" s="89"/>
      <c r="E18" s="89"/>
      <c r="F18" s="89"/>
      <c r="G18" s="34"/>
      <c r="H18" s="56">
        <f t="shared" si="46"/>
        <v>4</v>
      </c>
      <c r="I18" s="73"/>
      <c r="J18" s="163"/>
      <c r="K18" s="163"/>
      <c r="L18" s="164"/>
      <c r="M18" s="155"/>
      <c r="N18" s="155"/>
      <c r="O18" s="144"/>
      <c r="P18" s="159" t="str">
        <f>IFERROR(IF(O18&lt;&gt;"User Specified",IF(O18&lt;&gt;"", INDEX('Refrigerant GWPs'!$G$2:$G$154,MATCH(O18,'Refrigerant GWPs'!$A$2:$A$154,0)),""),U18),0)</f>
        <v/>
      </c>
      <c r="Q18" s="155"/>
      <c r="R18" s="155"/>
      <c r="S18" s="144"/>
      <c r="T18" s="159" t="str">
        <f>IF(S18&lt;&gt;"User Specified",IF(AND(S18&lt;&gt;"User Specified",S18&lt;&gt;""), INDEX('Refrigerant GWPs'!$G$2:$G$154,MATCH(S18,'Refrigerant GWPs'!$A$2:$A$154,0)),""),V18)</f>
        <v/>
      </c>
      <c r="U18" s="144"/>
      <c r="V18" s="144"/>
      <c r="W18" s="155"/>
      <c r="X18" s="155"/>
      <c r="Y18" s="155"/>
      <c r="Z18" s="159" t="str">
        <f>IF(AND(Y18&lt;&gt;"User Specified",Y18&lt;&gt;""), INDEX('Refrigerant GWPs'!$G$2:$G$154,MATCH(Y18,'Refrigerant GWPs'!$A$2:$A$154,0)),"")</f>
        <v/>
      </c>
      <c r="AA18" s="155"/>
      <c r="AB18" s="156">
        <v>5</v>
      </c>
      <c r="AC18" s="66"/>
      <c r="AD18" s="66"/>
      <c r="AE18" s="66"/>
      <c r="AF18" s="66"/>
      <c r="AG18" s="66"/>
      <c r="AH18" s="66"/>
      <c r="AI18" s="34"/>
      <c r="AJ18" s="88">
        <f t="shared" si="0"/>
        <v>0</v>
      </c>
      <c r="AK18" s="88">
        <f t="shared" si="1"/>
        <v>0</v>
      </c>
      <c r="AL18" s="88">
        <v>0</v>
      </c>
      <c r="AM18" s="88">
        <v>0</v>
      </c>
      <c r="AN18" s="81" t="str">
        <f t="shared" si="47"/>
        <v/>
      </c>
      <c r="AO18" s="88">
        <f t="shared" si="2"/>
        <v>0</v>
      </c>
      <c r="AP18" s="88">
        <f t="shared" si="3"/>
        <v>0</v>
      </c>
      <c r="AQ18" s="81" t="str">
        <f t="shared" si="4"/>
        <v/>
      </c>
      <c r="AS18" s="41" t="b">
        <f t="shared" si="5"/>
        <v>1</v>
      </c>
      <c r="AT18" s="38">
        <f t="shared" si="6"/>
        <v>0</v>
      </c>
      <c r="AU18" s="60">
        <f t="shared" si="7"/>
        <v>0</v>
      </c>
      <c r="AV18" s="41">
        <f t="shared" si="8"/>
        <v>0</v>
      </c>
      <c r="AW18" s="41" t="b">
        <f t="shared" si="9"/>
        <v>0</v>
      </c>
      <c r="AX18" t="str">
        <f t="shared" si="10"/>
        <v>+00</v>
      </c>
      <c r="AY18" t="str">
        <f t="shared" si="11"/>
        <v>+00</v>
      </c>
      <c r="BA18" s="47" t="b">
        <f t="shared" si="12"/>
        <v>1</v>
      </c>
      <c r="BB18" s="42" t="b">
        <f t="shared" si="12"/>
        <v>1</v>
      </c>
      <c r="BC18" s="42" t="b">
        <f t="shared" si="48"/>
        <v>0</v>
      </c>
      <c r="BD18" s="42" t="b">
        <f t="shared" si="48"/>
        <v>0</v>
      </c>
      <c r="BE18" s="70">
        <f t="shared" si="13"/>
        <v>0</v>
      </c>
      <c r="BF18" s="70">
        <f t="shared" si="13"/>
        <v>0</v>
      </c>
      <c r="BG18" s="34"/>
      <c r="BI18" s="47" t="b">
        <f t="shared" si="14"/>
        <v>1</v>
      </c>
      <c r="BJ18" s="47" t="b">
        <f t="shared" si="14"/>
        <v>1</v>
      </c>
      <c r="BK18" s="42" t="b">
        <f t="shared" si="49"/>
        <v>0</v>
      </c>
      <c r="BL18" s="42" t="b">
        <f t="shared" si="49"/>
        <v>0</v>
      </c>
      <c r="BM18" s="42">
        <f t="shared" si="15"/>
        <v>0</v>
      </c>
      <c r="BN18" s="42">
        <f t="shared" si="15"/>
        <v>0</v>
      </c>
      <c r="BP18" t="e">
        <f>(DN18&gt;=0)</f>
        <v>#N/A</v>
      </c>
      <c r="BQ18" t="e">
        <f>(DP18&gt;=0)</f>
        <v>#N/A</v>
      </c>
      <c r="BR18" t="e">
        <f t="shared" si="50"/>
        <v>#N/A</v>
      </c>
      <c r="BT18" s="60">
        <f t="shared" si="16"/>
        <v>0</v>
      </c>
      <c r="BU18" s="60">
        <f t="shared" si="17"/>
        <v>0</v>
      </c>
      <c r="BV18" s="60">
        <f t="shared" si="18"/>
        <v>0</v>
      </c>
      <c r="BW18" s="60">
        <f t="shared" si="19"/>
        <v>0</v>
      </c>
      <c r="BX18" s="60">
        <f t="shared" si="51"/>
        <v>0</v>
      </c>
      <c r="BY18" s="60">
        <f t="shared" si="52"/>
        <v>0</v>
      </c>
      <c r="BZ18" s="60">
        <f t="shared" si="53"/>
        <v>0</v>
      </c>
      <c r="CA18" s="60">
        <f t="shared" si="54"/>
        <v>0</v>
      </c>
      <c r="CB18" s="60" t="e">
        <f t="shared" si="20"/>
        <v>#N/A</v>
      </c>
      <c r="CC18" s="60">
        <f t="shared" si="21"/>
        <v>100000</v>
      </c>
      <c r="CD18" s="60" t="e">
        <f t="shared" si="22"/>
        <v>#N/A</v>
      </c>
      <c r="CE18" s="60">
        <f t="shared" si="23"/>
        <v>100000</v>
      </c>
      <c r="CF18" s="83" t="e">
        <f t="shared" si="55"/>
        <v>#N/A</v>
      </c>
      <c r="CG18" s="83">
        <f t="shared" si="56"/>
        <v>0</v>
      </c>
      <c r="CH18" s="83" t="e">
        <f t="shared" si="57"/>
        <v>#N/A</v>
      </c>
      <c r="CI18" s="83">
        <f t="shared" si="58"/>
        <v>0</v>
      </c>
      <c r="CJ18" s="86" t="e">
        <f t="shared" si="24"/>
        <v>#N/A</v>
      </c>
      <c r="CK18" s="82">
        <f t="shared" si="25"/>
        <v>5.3070370403969858E-3</v>
      </c>
      <c r="CL18" s="82" t="e">
        <f t="shared" si="26"/>
        <v>#N/A</v>
      </c>
      <c r="CM18" s="82">
        <f t="shared" si="27"/>
        <v>5.3070370403969858E-3</v>
      </c>
      <c r="CO18" s="149" t="str">
        <f>IF($I18&lt;&gt;"",IF(O18="User Specified",U18,INDEX('Refrigerant GWPs'!$G$2:$G$156,MATCH(O18,'Refrigerant GWPs'!$A$2:$A$156,0))),"")</f>
        <v/>
      </c>
      <c r="CP18" s="138" t="str">
        <f>IF($I18&lt;&gt;"",INDEX('Device Refrigerant Leakage'!$E$2:$E$42,MATCH($M18,'Device Refrigerant Leakage'!$B$2:$B$42,0)),"")</f>
        <v/>
      </c>
      <c r="CQ18" s="138" t="str">
        <f>IF($I18&lt;&gt;"",INDEX('Device Refrigerant Leakage'!$F$2:$F$42,MATCH($M18,'Device Refrigerant Leakage'!$B$2:$B$42,0)),"")</f>
        <v/>
      </c>
      <c r="CR18" s="145" t="str">
        <f>IF($I18&lt;&gt;"",INDEX('Device Refrigerant Leakage'!$G$2:$G$42,MATCH($M18,'Device Refrigerant Leakage'!$B$2:$B$42,0)),"")</f>
        <v/>
      </c>
      <c r="CS18" s="145" t="str">
        <f>IF($I18&lt;&gt;"",INDEX('Device Refrigerant Leakage'!$D$2:$D$42,MATCH($M18,'Device Refrigerant Leakage'!$B$2:$B$42,0))*CP18/2204.62*CO18,"")</f>
        <v/>
      </c>
      <c r="CT18" s="145" t="str">
        <f>IF($I18&lt;&gt;"",J18*(INDEX('Device Refrigerant Leakage'!$D$2:$D$42,MATCH($M18,'Device Refrigerant Leakage'!$B$2:$B$42,0))-(INDEX('Device Refrigerant Leakage'!$D$2:$D$42,MATCH($M18,'Device Refrigerant Leakage'!$B$2:$B$42,0)))*CR18*CP18)*CQ18/2204.62*CO18,"")</f>
        <v/>
      </c>
      <c r="CU18" s="135" t="str">
        <f>IF($I18&lt;&gt;"",J18*IF(W18&lt;&gt;"AR",(CS18*K18)+CT18,(CS18*AB18)+CT18*(AB18/INDEX('Device Refrigerant Leakage'!$C$2:$C$42,MATCH($M18,'Device Refrigerant Leakage'!$B$2:$B$42,0)))),"")</f>
        <v/>
      </c>
      <c r="CW18" s="135" t="str">
        <f>IF($I18&lt;&gt;"",IF(S18="User Specified",V18,INDEX('Refrigerant GWPs'!$G$2:$G$156,MATCH(S18,'Refrigerant GWPs'!$A$2:$A$157,0))),"")</f>
        <v/>
      </c>
      <c r="CX18" s="138" t="str">
        <f>IF($I18&lt;&gt;"",INDEX('Device Refrigerant Leakage'!$E$2:$E$42,MATCH($Q18,'Device Refrigerant Leakage'!$B$2:$B$42,0)),"")</f>
        <v/>
      </c>
      <c r="CY18" s="138" t="str">
        <f>IF($I18&lt;&gt;"",INDEX('Device Refrigerant Leakage'!$F$2:$F$42,MATCH($Q18,'Device Refrigerant Leakage'!$B$2:$B$42,0)),"")</f>
        <v/>
      </c>
      <c r="CZ18" s="145" t="str">
        <f>IF($I18&lt;&gt;"",INDEX('Device Refrigerant Leakage'!$G$2:$G$42,MATCH($Q18,'Device Refrigerant Leakage'!$B$2:$B$42,0)),"")</f>
        <v/>
      </c>
      <c r="DA18" s="145" t="str">
        <f>IF($I18&lt;&gt;"",J18*INDEX('Device Refrigerant Leakage'!$D$2:$D$42,MATCH($Q18,'Device Refrigerant Leakage'!$B$2:$B$42,0))*CX18/2204.62*CW18,"")</f>
        <v/>
      </c>
      <c r="DB18" s="145" t="str">
        <f>IF($I18&lt;&gt;"",J18*(INDEX('Device Refrigerant Leakage'!$D$2:$D$42,MATCH($Q18,'Device Refrigerant Leakage'!$B$2:$B$42,0))-(INDEX('Device Refrigerant Leakage'!$D$2:$D$42,MATCH($Q18,'Device Refrigerant Leakage'!$B$2:$B$42,0)))*CZ18*CX18)*CY18/2204.62*CW18,"")</f>
        <v/>
      </c>
      <c r="DC18" s="135" t="str">
        <f t="shared" si="59"/>
        <v/>
      </c>
      <c r="DE18" s="146" t="str">
        <f>IF(W18&lt;&gt;"AR","",IF(Y18="User Specified", AA18, INDEX('Refrigerant GWPs'!$G$2:$G$154,MATCH(Y18,'Refrigerant GWPs'!$A$2:$A$154,0))))</f>
        <v/>
      </c>
      <c r="DF18" s="146" t="str">
        <f>IF(W18&lt;&gt;"AR","",INDEX('Device Refrigerant Leakage'!$E$2:$E$42,MATCH(X18,'Device Refrigerant Leakage'!$B$2:$B$42,0)))</f>
        <v/>
      </c>
      <c r="DG18" s="146" t="str">
        <f>IF(W18&lt;&gt;"AR","",INDEX('Device Refrigerant Leakage'!$F$2:$F$42,MATCH(X18,'Device Refrigerant Leakage'!$B$2:$B$42,0)))</f>
        <v/>
      </c>
      <c r="DH18" s="146" t="str">
        <f>IF(W18&lt;&gt;"AR","",INDEX('Device Refrigerant Leakage'!$G$2:$G$42,MATCH(X18,'Device Refrigerant Leakage'!$B$2:$B$42,0)))</f>
        <v/>
      </c>
      <c r="DI18" s="146" t="str">
        <f>IF(W18&lt;&gt;"AR","",J18*INDEX('Device Refrigerant Leakage'!$D$2:$D$42,MATCH(X18,'Device Refrigerant Leakage'!$B$2:$B$42,0))*DF18/2204.62*DE18)</f>
        <v/>
      </c>
      <c r="DJ18" s="146" t="str">
        <f>IF(W18&lt;&gt;"AR","",J18*(INDEX('Device Refrigerant Leakage'!$D$2:$D$42,MATCH(X18,'Device Refrigerant Leakage'!$B$2:$B$42,0))-(INDEX('Device Refrigerant Leakage'!$D$2:$D$42,MATCH(X18,'Device Refrigerant Leakage'!$B$2:$B$42,0)))*DH18*DF18)*DG18/2204.62*DE18)</f>
        <v/>
      </c>
      <c r="DK18" s="146" t="str">
        <f>IF(W18&lt;&gt;"AR","",DI18*(K18-AB18)+'Fuel Sub Calcs-Deemed'!DJ18*((K18-AB18)/INDEX('Device Refrigerant Leakage'!$C$2:$C$42,MATCH('Fuel Sub Calcs-Deemed'!X18,'Device Refrigerant Leakage'!$B$2:$B$42,0))))</f>
        <v/>
      </c>
      <c r="DM18" s="56">
        <v>4</v>
      </c>
      <c r="DN18" s="67" t="e">
        <f t="shared" si="28"/>
        <v>#N/A</v>
      </c>
      <c r="DO18" s="45" t="e">
        <f t="shared" si="29"/>
        <v>#N/A</v>
      </c>
      <c r="DP18" s="67" t="e">
        <f t="shared" si="30"/>
        <v>#N/A</v>
      </c>
      <c r="DQ18" s="45" t="e">
        <f t="shared" si="31"/>
        <v>#N/A</v>
      </c>
      <c r="DR18" s="69" t="e">
        <f t="shared" si="32"/>
        <v>#N/A</v>
      </c>
      <c r="DS18" s="34"/>
      <c r="DT18" s="67" t="e">
        <f>((BX18*CJ18)+IF($W18=MAT_AR,(BZ18*CL18),0))*(1+Reference!$E$50+Reference!$E$51)</f>
        <v>#N/A</v>
      </c>
      <c r="DU18" s="67">
        <f>((BY18*CK18)+IF($W18=MAT_AR,(CA18*CM18),0))*(1+Reference!$G$50+Reference!$G$51)</f>
        <v>0</v>
      </c>
      <c r="DV18" s="67" t="e">
        <f t="shared" si="33"/>
        <v>#VALUE!</v>
      </c>
      <c r="DX18" s="56">
        <v>4</v>
      </c>
      <c r="DY18" s="67">
        <f t="shared" si="34"/>
        <v>0</v>
      </c>
      <c r="DZ18" s="45" t="e">
        <f>VLOOKUP($R18,Dropdown!$C$3:$D$4,2,FALSE)</f>
        <v>#N/A</v>
      </c>
      <c r="EA18" s="68">
        <f t="shared" si="35"/>
        <v>0</v>
      </c>
      <c r="EB18" s="68" t="str">
        <f t="shared" si="36"/>
        <v>N/A</v>
      </c>
      <c r="EC18" s="68">
        <f t="shared" si="37"/>
        <v>0</v>
      </c>
      <c r="ED18" s="68" t="str">
        <f t="shared" si="38"/>
        <v>N/A</v>
      </c>
      <c r="EF18" s="56">
        <v>4</v>
      </c>
      <c r="EG18" s="46">
        <f t="shared" si="39"/>
        <v>0</v>
      </c>
      <c r="EH18" s="68" t="e">
        <f t="shared" si="40"/>
        <v>#N/A</v>
      </c>
      <c r="EI18" s="68" t="e">
        <f t="shared" si="41"/>
        <v>#N/A</v>
      </c>
      <c r="EJ18" s="68" t="e">
        <f t="shared" si="42"/>
        <v>#N/A</v>
      </c>
      <c r="EK18" s="68" t="e">
        <f t="shared" si="43"/>
        <v>#N/A</v>
      </c>
      <c r="EL18" s="46">
        <f t="shared" si="44"/>
        <v>0</v>
      </c>
      <c r="EM18" s="46">
        <f t="shared" si="45"/>
        <v>0</v>
      </c>
    </row>
    <row r="19" spans="1:143">
      <c r="A19" s="89"/>
      <c r="B19" s="89"/>
      <c r="C19" s="89"/>
      <c r="D19" s="89"/>
      <c r="E19" s="89"/>
      <c r="F19" s="89"/>
      <c r="G19" s="34"/>
      <c r="H19" s="56">
        <f t="shared" si="46"/>
        <v>5</v>
      </c>
      <c r="I19" s="165"/>
      <c r="J19" s="163"/>
      <c r="K19" s="163"/>
      <c r="L19" s="164"/>
      <c r="M19" s="155"/>
      <c r="N19" s="155"/>
      <c r="O19" s="144"/>
      <c r="P19" s="159" t="str">
        <f>IFERROR(IF(O19&lt;&gt;"User Specified",IF(O19&lt;&gt;"", INDEX('Refrigerant GWPs'!$G$2:$G$154,MATCH(O19,'Refrigerant GWPs'!$A$2:$A$154,0)),""),U19),0)</f>
        <v/>
      </c>
      <c r="Q19" s="155"/>
      <c r="R19" s="155"/>
      <c r="S19" s="144"/>
      <c r="T19" s="159" t="str">
        <f>IF(S19&lt;&gt;"User Specified",IF(AND(S19&lt;&gt;"User Specified",S19&lt;&gt;""), INDEX('Refrigerant GWPs'!$G$2:$G$154,MATCH(S19,'Refrigerant GWPs'!$A$2:$A$154,0)),""),V19)</f>
        <v/>
      </c>
      <c r="U19" s="144"/>
      <c r="V19" s="144"/>
      <c r="W19" s="155"/>
      <c r="X19" s="155"/>
      <c r="Y19" s="155"/>
      <c r="Z19" s="159" t="str">
        <f>IF(AND(Y19&lt;&gt;"User Specified",Y19&lt;&gt;""), INDEX('Refrigerant GWPs'!$G$2:$G$154,MATCH(Y19,'Refrigerant GWPs'!$A$2:$A$154,0)),"")</f>
        <v/>
      </c>
      <c r="AA19" s="155"/>
      <c r="AB19" s="156">
        <v>5</v>
      </c>
      <c r="AC19" s="66"/>
      <c r="AD19" s="66"/>
      <c r="AE19" s="66"/>
      <c r="AF19" s="66"/>
      <c r="AG19" s="66"/>
      <c r="AH19" s="66"/>
      <c r="AI19" s="34"/>
      <c r="AJ19" s="88">
        <f t="shared" si="0"/>
        <v>0</v>
      </c>
      <c r="AK19" s="88">
        <f t="shared" si="1"/>
        <v>0</v>
      </c>
      <c r="AL19" s="88">
        <v>0</v>
      </c>
      <c r="AM19" s="88">
        <v>0</v>
      </c>
      <c r="AN19" s="81" t="str">
        <f t="shared" si="47"/>
        <v/>
      </c>
      <c r="AO19" s="88">
        <f t="shared" si="2"/>
        <v>0</v>
      </c>
      <c r="AP19" s="88">
        <f t="shared" si="3"/>
        <v>0</v>
      </c>
      <c r="AQ19" s="81" t="str">
        <f t="shared" si="4"/>
        <v/>
      </c>
      <c r="AS19" s="41" t="b">
        <f t="shared" si="5"/>
        <v>1</v>
      </c>
      <c r="AT19" s="38">
        <f t="shared" si="6"/>
        <v>0</v>
      </c>
      <c r="AU19" s="60">
        <f t="shared" si="7"/>
        <v>0</v>
      </c>
      <c r="AV19" s="41">
        <f t="shared" si="8"/>
        <v>0</v>
      </c>
      <c r="AW19" s="41" t="b">
        <f t="shared" si="9"/>
        <v>0</v>
      </c>
      <c r="AX19" t="str">
        <f t="shared" si="10"/>
        <v>+00</v>
      </c>
      <c r="AY19" t="str">
        <f t="shared" si="11"/>
        <v>+00</v>
      </c>
      <c r="BA19" s="47" t="b">
        <f t="shared" si="12"/>
        <v>1</v>
      </c>
      <c r="BB19" s="42" t="b">
        <f t="shared" si="12"/>
        <v>1</v>
      </c>
      <c r="BC19" s="42" t="b">
        <f t="shared" si="48"/>
        <v>0</v>
      </c>
      <c r="BD19" s="42" t="b">
        <f t="shared" si="48"/>
        <v>0</v>
      </c>
      <c r="BE19" s="70">
        <f t="shared" si="13"/>
        <v>0</v>
      </c>
      <c r="BF19" s="70">
        <f t="shared" si="13"/>
        <v>0</v>
      </c>
      <c r="BG19" s="34"/>
      <c r="BI19" s="47" t="b">
        <f t="shared" si="14"/>
        <v>1</v>
      </c>
      <c r="BJ19" s="47" t="b">
        <f t="shared" si="14"/>
        <v>1</v>
      </c>
      <c r="BK19" s="42" t="b">
        <f t="shared" si="49"/>
        <v>0</v>
      </c>
      <c r="BL19" s="42" t="b">
        <f t="shared" si="49"/>
        <v>0</v>
      </c>
      <c r="BM19" s="42">
        <f t="shared" si="15"/>
        <v>0</v>
      </c>
      <c r="BN19" s="42">
        <f t="shared" si="15"/>
        <v>0</v>
      </c>
      <c r="BP19" t="e">
        <f>(DN19&gt;=0)</f>
        <v>#N/A</v>
      </c>
      <c r="BQ19" t="e">
        <f>(DP19&gt;=0)</f>
        <v>#N/A</v>
      </c>
      <c r="BR19" t="e">
        <f t="shared" si="50"/>
        <v>#N/A</v>
      </c>
      <c r="BT19" s="60">
        <f t="shared" si="16"/>
        <v>0</v>
      </c>
      <c r="BU19" s="60">
        <f t="shared" si="17"/>
        <v>0</v>
      </c>
      <c r="BV19" s="60">
        <f t="shared" si="18"/>
        <v>0</v>
      </c>
      <c r="BW19" s="60">
        <f t="shared" si="19"/>
        <v>0</v>
      </c>
      <c r="BX19" s="60">
        <f t="shared" si="51"/>
        <v>0</v>
      </c>
      <c r="BY19" s="60">
        <f t="shared" si="52"/>
        <v>0</v>
      </c>
      <c r="BZ19" s="60">
        <f t="shared" si="53"/>
        <v>0</v>
      </c>
      <c r="CA19" s="60">
        <f t="shared" si="54"/>
        <v>0</v>
      </c>
      <c r="CB19" s="60" t="e">
        <f t="shared" si="20"/>
        <v>#N/A</v>
      </c>
      <c r="CC19" s="60">
        <f t="shared" si="21"/>
        <v>100000</v>
      </c>
      <c r="CD19" s="60" t="e">
        <f t="shared" si="22"/>
        <v>#N/A</v>
      </c>
      <c r="CE19" s="60">
        <f t="shared" si="23"/>
        <v>100000</v>
      </c>
      <c r="CF19" s="83" t="e">
        <f t="shared" si="55"/>
        <v>#N/A</v>
      </c>
      <c r="CG19" s="83">
        <f t="shared" si="56"/>
        <v>0</v>
      </c>
      <c r="CH19" s="83" t="e">
        <f t="shared" si="57"/>
        <v>#N/A</v>
      </c>
      <c r="CI19" s="83">
        <f t="shared" si="58"/>
        <v>0</v>
      </c>
      <c r="CJ19" s="86" t="e">
        <f t="shared" si="24"/>
        <v>#N/A</v>
      </c>
      <c r="CK19" s="82">
        <f t="shared" si="25"/>
        <v>5.3070370403969858E-3</v>
      </c>
      <c r="CL19" s="82" t="e">
        <f t="shared" si="26"/>
        <v>#N/A</v>
      </c>
      <c r="CM19" s="82">
        <f t="shared" si="27"/>
        <v>5.3070370403969858E-3</v>
      </c>
      <c r="CO19" s="149" t="str">
        <f>IF($I19&lt;&gt;"",IF(O19="User Specified",U19,INDEX('Refrigerant GWPs'!$G$2:$G$156,MATCH(O19,'Refrigerant GWPs'!$A$2:$A$156,0))),"")</f>
        <v/>
      </c>
      <c r="CP19" s="138" t="str">
        <f>IF($I19&lt;&gt;"",INDEX('Device Refrigerant Leakage'!$E$2:$E$42,MATCH($M19,'Device Refrigerant Leakage'!$B$2:$B$42,0)),"")</f>
        <v/>
      </c>
      <c r="CQ19" s="138" t="str">
        <f>IF($I19&lt;&gt;"",INDEX('Device Refrigerant Leakage'!$F$2:$F$42,MATCH($M19,'Device Refrigerant Leakage'!$B$2:$B$42,0)),"")</f>
        <v/>
      </c>
      <c r="CR19" s="145" t="str">
        <f>IF($I19&lt;&gt;"",INDEX('Device Refrigerant Leakage'!$G$2:$G$42,MATCH($M19,'Device Refrigerant Leakage'!$B$2:$B$42,0)),"")</f>
        <v/>
      </c>
      <c r="CS19" s="145" t="str">
        <f>IF($I19&lt;&gt;"",INDEX('Device Refrigerant Leakage'!$D$2:$D$42,MATCH($M19,'Device Refrigerant Leakage'!$B$2:$B$42,0))*CP19/2204.62*CO19,"")</f>
        <v/>
      </c>
      <c r="CT19" s="145" t="str">
        <f>IF($I19&lt;&gt;"",J19*(INDEX('Device Refrigerant Leakage'!$D$2:$D$42,MATCH($M19,'Device Refrigerant Leakage'!$B$2:$B$42,0))-(INDEX('Device Refrigerant Leakage'!$D$2:$D$42,MATCH($M19,'Device Refrigerant Leakage'!$B$2:$B$42,0)))*CR19*CP19)*CQ19/2204.62*CO19,"")</f>
        <v/>
      </c>
      <c r="CU19" s="135" t="str">
        <f>IF($I19&lt;&gt;"",J19*IF(W19&lt;&gt;"AR",(CS19*K19)+CT19,(CS19*AB19)+CT19*(AB19/INDEX('Device Refrigerant Leakage'!$C$2:$C$42,MATCH($M19,'Device Refrigerant Leakage'!$B$2:$B$42,0)))),"")</f>
        <v/>
      </c>
      <c r="CW19" s="135" t="str">
        <f>IF($I19&lt;&gt;"",IF(S19="User Specified",V19,INDEX('Refrigerant GWPs'!$G$2:$G$156,MATCH(S19,'Refrigerant GWPs'!$A$2:$A$157,0))),"")</f>
        <v/>
      </c>
      <c r="CX19" s="138" t="str">
        <f>IF($I19&lt;&gt;"",INDEX('Device Refrigerant Leakage'!$E$2:$E$42,MATCH($Q19,'Device Refrigerant Leakage'!$B$2:$B$42,0)),"")</f>
        <v/>
      </c>
      <c r="CY19" s="138" t="str">
        <f>IF($I19&lt;&gt;"",INDEX('Device Refrigerant Leakage'!$F$2:$F$42,MATCH($Q19,'Device Refrigerant Leakage'!$B$2:$B$42,0)),"")</f>
        <v/>
      </c>
      <c r="CZ19" s="145" t="str">
        <f>IF($I19&lt;&gt;"",INDEX('Device Refrigerant Leakage'!$G$2:$G$42,MATCH($Q19,'Device Refrigerant Leakage'!$B$2:$B$42,0)),"")</f>
        <v/>
      </c>
      <c r="DA19" s="145" t="str">
        <f>IF($I19&lt;&gt;"",J19*INDEX('Device Refrigerant Leakage'!$D$2:$D$42,MATCH($Q19,'Device Refrigerant Leakage'!$B$2:$B$42,0))*CX19/2204.62*CW19,"")</f>
        <v/>
      </c>
      <c r="DB19" s="145" t="str">
        <f>IF($I19&lt;&gt;"",J19*(INDEX('Device Refrigerant Leakage'!$D$2:$D$42,MATCH($Q19,'Device Refrigerant Leakage'!$B$2:$B$42,0))-(INDEX('Device Refrigerant Leakage'!$D$2:$D$42,MATCH($Q19,'Device Refrigerant Leakage'!$B$2:$B$42,0)))*CZ19*CX19)*CY19/2204.62*CW19,"")</f>
        <v/>
      </c>
      <c r="DC19" s="135" t="str">
        <f t="shared" si="59"/>
        <v/>
      </c>
      <c r="DE19" s="146" t="str">
        <f>IF(W19&lt;&gt;"AR","",IF(Y19="User Specified", AA19, INDEX('Refrigerant GWPs'!$G$2:$G$154,MATCH(Y19,'Refrigerant GWPs'!$A$2:$A$154,0))))</f>
        <v/>
      </c>
      <c r="DF19" s="146" t="str">
        <f>IF(W19&lt;&gt;"AR","",INDEX('Device Refrigerant Leakage'!$E$2:$E$42,MATCH(X19,'Device Refrigerant Leakage'!$B$2:$B$42,0)))</f>
        <v/>
      </c>
      <c r="DG19" s="146" t="str">
        <f>IF(W19&lt;&gt;"AR","",INDEX('Device Refrigerant Leakage'!$F$2:$F$42,MATCH(X19,'Device Refrigerant Leakage'!$B$2:$B$42,0)))</f>
        <v/>
      </c>
      <c r="DH19" s="146" t="str">
        <f>IF(W19&lt;&gt;"AR","",INDEX('Device Refrigerant Leakage'!$G$2:$G$42,MATCH(X19,'Device Refrigerant Leakage'!$B$2:$B$42,0)))</f>
        <v/>
      </c>
      <c r="DI19" s="146" t="str">
        <f>IF(W19&lt;&gt;"AR","",J19*INDEX('Device Refrigerant Leakage'!$D$2:$D$42,MATCH(X19,'Device Refrigerant Leakage'!$B$2:$B$42,0))*DF19/2204.62*DE19)</f>
        <v/>
      </c>
      <c r="DJ19" s="146" t="str">
        <f>IF(W19&lt;&gt;"AR","",J19*(INDEX('Device Refrigerant Leakage'!$D$2:$D$42,MATCH(X19,'Device Refrigerant Leakage'!$B$2:$B$42,0))-(INDEX('Device Refrigerant Leakage'!$D$2:$D$42,MATCH(X19,'Device Refrigerant Leakage'!$B$2:$B$42,0)))*DH19*DF19)*DG19/2204.62*DE19)</f>
        <v/>
      </c>
      <c r="DK19" s="146" t="str">
        <f>IF(W19&lt;&gt;"AR","",DI19*(K19-AB19)+'Fuel Sub Calcs-Deemed'!DJ19*((K19-AB19)/INDEX('Device Refrigerant Leakage'!$C$2:$C$42,MATCH('Fuel Sub Calcs-Deemed'!X19,'Device Refrigerant Leakage'!$B$2:$B$42,0))))</f>
        <v/>
      </c>
      <c r="DM19" s="56">
        <v>5</v>
      </c>
      <c r="DN19" s="67" t="e">
        <f t="shared" si="28"/>
        <v>#N/A</v>
      </c>
      <c r="DO19" s="45" t="e">
        <f t="shared" si="29"/>
        <v>#N/A</v>
      </c>
      <c r="DP19" s="67" t="e">
        <f t="shared" si="30"/>
        <v>#N/A</v>
      </c>
      <c r="DQ19" s="45" t="e">
        <f t="shared" si="31"/>
        <v>#N/A</v>
      </c>
      <c r="DR19" s="69" t="e">
        <f t="shared" si="32"/>
        <v>#N/A</v>
      </c>
      <c r="DS19" s="34"/>
      <c r="DT19" s="67" t="e">
        <f>((BX19*CJ19)+IF($W19=MAT_AR,(BZ19*CL19),0))*(1+Reference!$E$50+Reference!$E$51)</f>
        <v>#N/A</v>
      </c>
      <c r="DU19" s="67">
        <f>((BY19*CK19)+IF($W19=MAT_AR,(CA19*CM19),0))*(1+Reference!$G$50+Reference!$G$51)</f>
        <v>0</v>
      </c>
      <c r="DV19" s="67" t="e">
        <f t="shared" si="33"/>
        <v>#VALUE!</v>
      </c>
      <c r="DX19" s="56">
        <v>5</v>
      </c>
      <c r="DY19" s="67">
        <f t="shared" si="34"/>
        <v>0</v>
      </c>
      <c r="DZ19" s="45" t="e">
        <f>VLOOKUP($R19,Dropdown!$C$3:$D$4,2,FALSE)</f>
        <v>#N/A</v>
      </c>
      <c r="EA19" s="68">
        <f t="shared" si="35"/>
        <v>0</v>
      </c>
      <c r="EB19" s="68" t="str">
        <f t="shared" si="36"/>
        <v>N/A</v>
      </c>
      <c r="EC19" s="68">
        <f t="shared" si="37"/>
        <v>0</v>
      </c>
      <c r="ED19" s="68" t="str">
        <f t="shared" si="38"/>
        <v>N/A</v>
      </c>
      <c r="EF19" s="56">
        <v>5</v>
      </c>
      <c r="EG19" s="46">
        <f t="shared" si="39"/>
        <v>0</v>
      </c>
      <c r="EH19" s="68" t="e">
        <f t="shared" si="40"/>
        <v>#N/A</v>
      </c>
      <c r="EI19" s="68" t="e">
        <f t="shared" si="41"/>
        <v>#N/A</v>
      </c>
      <c r="EJ19" s="68" t="e">
        <f t="shared" si="42"/>
        <v>#N/A</v>
      </c>
      <c r="EK19" s="68" t="e">
        <f t="shared" si="43"/>
        <v>#N/A</v>
      </c>
      <c r="EL19" s="46">
        <f t="shared" si="44"/>
        <v>0</v>
      </c>
      <c r="EM19" s="46">
        <f t="shared" si="45"/>
        <v>0</v>
      </c>
    </row>
    <row r="20" spans="1:143">
      <c r="A20" s="89"/>
      <c r="B20" s="89"/>
      <c r="C20" s="89"/>
      <c r="D20" s="89"/>
      <c r="E20" s="89"/>
      <c r="F20" s="89"/>
      <c r="G20" s="34"/>
      <c r="H20" s="56">
        <f t="shared" si="46"/>
        <v>6</v>
      </c>
      <c r="I20" s="165"/>
      <c r="J20" s="163"/>
      <c r="K20" s="163"/>
      <c r="L20" s="164"/>
      <c r="M20" s="155"/>
      <c r="N20" s="155"/>
      <c r="O20" s="144"/>
      <c r="P20" s="159" t="str">
        <f>IFERROR(IF(O20&lt;&gt;"User Specified",IF(O20&lt;&gt;"", INDEX('Refrigerant GWPs'!$G$2:$G$154,MATCH(O20,'Refrigerant GWPs'!$A$2:$A$154,0)),""),U20),0)</f>
        <v/>
      </c>
      <c r="Q20" s="155"/>
      <c r="R20" s="155"/>
      <c r="S20" s="144"/>
      <c r="T20" s="159" t="str">
        <f>IF(S20&lt;&gt;"User Specified",IF(AND(S20&lt;&gt;"User Specified",S20&lt;&gt;""), INDEX('Refrigerant GWPs'!$G$2:$G$154,MATCH(S20,'Refrigerant GWPs'!$A$2:$A$154,0)),""),V20)</f>
        <v/>
      </c>
      <c r="U20" s="144"/>
      <c r="V20" s="144"/>
      <c r="W20" s="155"/>
      <c r="X20" s="155"/>
      <c r="Y20" s="155"/>
      <c r="Z20" s="159" t="str">
        <f>IF(AND(Y20&lt;&gt;"User Specified",Y20&lt;&gt;""), INDEX('Refrigerant GWPs'!$G$2:$G$154,MATCH(Y20,'Refrigerant GWPs'!$A$2:$A$154,0)),"")</f>
        <v/>
      </c>
      <c r="AA20" s="155"/>
      <c r="AB20" s="156">
        <v>5</v>
      </c>
      <c r="AC20" s="66"/>
      <c r="AD20" s="66"/>
      <c r="AE20" s="66"/>
      <c r="AF20" s="66"/>
      <c r="AG20" s="66"/>
      <c r="AH20" s="66"/>
      <c r="AI20" s="34"/>
      <c r="AJ20" s="88">
        <f t="shared" si="0"/>
        <v>0</v>
      </c>
      <c r="AK20" s="88">
        <f t="shared" si="1"/>
        <v>0</v>
      </c>
      <c r="AL20" s="88">
        <v>0</v>
      </c>
      <c r="AM20" s="88">
        <v>0</v>
      </c>
      <c r="AN20" s="81" t="str">
        <f t="shared" si="47"/>
        <v/>
      </c>
      <c r="AO20" s="88">
        <f t="shared" si="2"/>
        <v>0</v>
      </c>
      <c r="AP20" s="88">
        <f t="shared" si="3"/>
        <v>0</v>
      </c>
      <c r="AQ20" s="81" t="str">
        <f t="shared" si="4"/>
        <v/>
      </c>
      <c r="AS20" s="41" t="b">
        <f t="shared" si="5"/>
        <v>1</v>
      </c>
      <c r="AT20" s="38">
        <f t="shared" si="6"/>
        <v>0</v>
      </c>
      <c r="AU20" s="60">
        <f t="shared" si="7"/>
        <v>0</v>
      </c>
      <c r="AV20" s="41">
        <f t="shared" si="8"/>
        <v>0</v>
      </c>
      <c r="AW20" s="41" t="b">
        <f t="shared" si="9"/>
        <v>0</v>
      </c>
      <c r="AX20" t="str">
        <f t="shared" si="10"/>
        <v>+00</v>
      </c>
      <c r="AY20" t="str">
        <f t="shared" si="11"/>
        <v>+00</v>
      </c>
      <c r="BA20" s="47" t="b">
        <f t="shared" ref="BA20:BA31" si="60">NOT(OR(ISBLANK(AJ20),ISBLANK(AL20)))</f>
        <v>1</v>
      </c>
      <c r="BB20" s="42" t="b">
        <f t="shared" ref="BB20:BB31" si="61">NOT(OR(ISBLANK(AK20),ISBLANK(AM20)))</f>
        <v>1</v>
      </c>
      <c r="BC20" s="42" t="b">
        <f t="shared" ref="BC20:BC31" si="62">AND(NOT(BA20))</f>
        <v>0</v>
      </c>
      <c r="BD20" s="42" t="b">
        <f t="shared" ref="BD20:BD31" si="63">AND(NOT(BB20))</f>
        <v>0</v>
      </c>
      <c r="BE20" s="70">
        <f t="shared" ref="BE20:BE31" si="64">AJ20-AL20</f>
        <v>0</v>
      </c>
      <c r="BF20" s="70">
        <f t="shared" ref="BF20:BF31" si="65">AK20-AM20</f>
        <v>0</v>
      </c>
      <c r="BG20" s="34"/>
      <c r="BI20" s="47" t="b">
        <f t="shared" ref="BI20:BI31" si="66">NOT(OR(ISBLANK(AL20),ISBLANK(AO20)))</f>
        <v>1</v>
      </c>
      <c r="BJ20" s="47" t="b">
        <f t="shared" ref="BJ20:BJ31" si="67">NOT(OR(ISBLANK(AM20),ISBLANK(AP20)))</f>
        <v>1</v>
      </c>
      <c r="BK20" s="42" t="b">
        <f t="shared" ref="BK20:BK31" si="68">AND(NOT(BI20))</f>
        <v>0</v>
      </c>
      <c r="BL20" s="42" t="b">
        <f t="shared" ref="BL20:BL31" si="69">AND(NOT(BJ20))</f>
        <v>0</v>
      </c>
      <c r="BM20" s="42">
        <f t="shared" ref="BM20:BM31" si="70">IF(NOT(OR(ISBLANK(AO20),ISBLANK(AL20))),AO20-AL20,0)</f>
        <v>0</v>
      </c>
      <c r="BN20" s="42">
        <f t="shared" ref="BN20:BN31" si="71">IF(NOT(OR(ISBLANK(AP20),ISBLANK(AM20))),AP20-AM20,0)</f>
        <v>0</v>
      </c>
      <c r="BP20" t="e">
        <f t="shared" ref="BP20:BP31" si="72">(DN20&gt;=0)</f>
        <v>#N/A</v>
      </c>
      <c r="BQ20" t="e">
        <f t="shared" ref="BQ20:BQ31" si="73">(DP20&gt;=0)</f>
        <v>#N/A</v>
      </c>
      <c r="BR20" t="e">
        <f t="shared" ref="BR20:BR31" si="74">AND(BP20,BQ20)</f>
        <v>#N/A</v>
      </c>
      <c r="BT20" s="60">
        <f t="shared" si="16"/>
        <v>0</v>
      </c>
      <c r="BU20" s="60">
        <f t="shared" si="17"/>
        <v>0</v>
      </c>
      <c r="BV20" s="60">
        <f t="shared" si="18"/>
        <v>0</v>
      </c>
      <c r="BW20" s="60">
        <f t="shared" si="19"/>
        <v>0</v>
      </c>
      <c r="BX20" s="60">
        <f t="shared" ref="BX20:BX31" si="75">$AT20*BT20</f>
        <v>0</v>
      </c>
      <c r="BY20" s="60">
        <f t="shared" ref="BY20:BY31" si="76">$AT20*BU20</f>
        <v>0</v>
      </c>
      <c r="BZ20" s="60">
        <f t="shared" ref="BZ20:BZ31" si="77">$AU20*BV20</f>
        <v>0</v>
      </c>
      <c r="CA20" s="60">
        <f t="shared" ref="CA20:CA31" si="78">$AU20*BW20</f>
        <v>0</v>
      </c>
      <c r="CB20" s="60" t="e">
        <f t="shared" si="20"/>
        <v>#N/A</v>
      </c>
      <c r="CC20" s="60">
        <f t="shared" si="21"/>
        <v>100000</v>
      </c>
      <c r="CD20" s="60" t="e">
        <f t="shared" si="22"/>
        <v>#N/A</v>
      </c>
      <c r="CE20" s="60">
        <f t="shared" si="23"/>
        <v>100000</v>
      </c>
      <c r="CF20" s="83" t="e">
        <f t="shared" ref="CF20:CF31" si="79">$AT20*CB20/1000000</f>
        <v>#N/A</v>
      </c>
      <c r="CG20" s="83">
        <f t="shared" ref="CG20:CG31" si="80">$AT20*CC20/1000000</f>
        <v>0</v>
      </c>
      <c r="CH20" s="83" t="e">
        <f t="shared" ref="CH20:CH31" si="81">$AU20*CD20/1000000</f>
        <v>#N/A</v>
      </c>
      <c r="CI20" s="83">
        <f t="shared" ref="CI20:CI31" si="82">$AU20*CE20/1000000</f>
        <v>0</v>
      </c>
      <c r="CJ20" s="86" t="e">
        <f t="shared" si="24"/>
        <v>#N/A</v>
      </c>
      <c r="CK20" s="82">
        <f t="shared" si="25"/>
        <v>5.3070370403969858E-3</v>
      </c>
      <c r="CL20" s="82" t="e">
        <f t="shared" si="26"/>
        <v>#N/A</v>
      </c>
      <c r="CM20" s="82">
        <f t="shared" si="27"/>
        <v>5.3070370403969858E-3</v>
      </c>
      <c r="CO20" s="149" t="str">
        <f>IF($I20&lt;&gt;"",IF(O20="User Specified",U20,INDEX('Refrigerant GWPs'!$G$2:$G$156,MATCH(O20,'Refrigerant GWPs'!$A$2:$A$156,0))),"")</f>
        <v/>
      </c>
      <c r="CP20" s="138" t="str">
        <f>IF($I20&lt;&gt;"",INDEX('Device Refrigerant Leakage'!$E$2:$E$42,MATCH($M20,'Device Refrigerant Leakage'!$B$2:$B$42,0)),"")</f>
        <v/>
      </c>
      <c r="CQ20" s="138" t="str">
        <f>IF($I20&lt;&gt;"",INDEX('Device Refrigerant Leakage'!$F$2:$F$42,MATCH($M20,'Device Refrigerant Leakage'!$B$2:$B$42,0)),"")</f>
        <v/>
      </c>
      <c r="CR20" s="145" t="str">
        <f>IF($I20&lt;&gt;"",INDEX('Device Refrigerant Leakage'!$G$2:$G$42,MATCH($M20,'Device Refrigerant Leakage'!$B$2:$B$42,0)),"")</f>
        <v/>
      </c>
      <c r="CS20" s="145" t="str">
        <f>IF($I20&lt;&gt;"",INDEX('Device Refrigerant Leakage'!$D$2:$D$42,MATCH($M20,'Device Refrigerant Leakage'!$B$2:$B$42,0))*CP20/2204.62*CO20,"")</f>
        <v/>
      </c>
      <c r="CT20" s="145" t="str">
        <f>IF($I20&lt;&gt;"",J20*(INDEX('Device Refrigerant Leakage'!$D$2:$D$42,MATCH($M20,'Device Refrigerant Leakage'!$B$2:$B$42,0))-(INDEX('Device Refrigerant Leakage'!$D$2:$D$42,MATCH($M20,'Device Refrigerant Leakage'!$B$2:$B$42,0)))*CR20*CP20)*CQ20/2204.62*CO20,"")</f>
        <v/>
      </c>
      <c r="CU20" s="135" t="str">
        <f>IF($I20&lt;&gt;"",J20*IF(W20&lt;&gt;"AR",(CS20*K20)+CT20,(CS20*AB20)+CT20*(AB20/INDEX('Device Refrigerant Leakage'!$C$2:$C$42,MATCH($M20,'Device Refrigerant Leakage'!$B$2:$B$42,0)))),"")</f>
        <v/>
      </c>
      <c r="CW20" s="135" t="str">
        <f>IF($I20&lt;&gt;"",IF(S20="User Specified",V20,INDEX('Refrigerant GWPs'!$G$2:$G$156,MATCH(S20,'Refrigerant GWPs'!$A$2:$A$157,0))),"")</f>
        <v/>
      </c>
      <c r="CX20" s="138" t="str">
        <f>IF($I20&lt;&gt;"",INDEX('Device Refrigerant Leakage'!$E$2:$E$42,MATCH($Q20,'Device Refrigerant Leakage'!$B$2:$B$42,0)),"")</f>
        <v/>
      </c>
      <c r="CY20" s="138" t="str">
        <f>IF($I20&lt;&gt;"",INDEX('Device Refrigerant Leakage'!$F$2:$F$42,MATCH($Q20,'Device Refrigerant Leakage'!$B$2:$B$42,0)),"")</f>
        <v/>
      </c>
      <c r="CZ20" s="145" t="str">
        <f>IF($I20&lt;&gt;"",INDEX('Device Refrigerant Leakage'!$G$2:$G$42,MATCH($Q20,'Device Refrigerant Leakage'!$B$2:$B$42,0)),"")</f>
        <v/>
      </c>
      <c r="DA20" s="145" t="str">
        <f>IF($I20&lt;&gt;"",J20*INDEX('Device Refrigerant Leakage'!$D$2:$D$42,MATCH($Q20,'Device Refrigerant Leakage'!$B$2:$B$42,0))*CX20/2204.62*CW20,"")</f>
        <v/>
      </c>
      <c r="DB20" s="145" t="str">
        <f>IF($I20&lt;&gt;"",J20*(INDEX('Device Refrigerant Leakage'!$D$2:$D$42,MATCH($Q20,'Device Refrigerant Leakage'!$B$2:$B$42,0))-(INDEX('Device Refrigerant Leakage'!$D$2:$D$42,MATCH($Q20,'Device Refrigerant Leakage'!$B$2:$B$42,0)))*CZ20*CX20)*CY20/2204.62*CW20,"")</f>
        <v/>
      </c>
      <c r="DC20" s="135" t="str">
        <f t="shared" si="59"/>
        <v/>
      </c>
      <c r="DE20" s="146" t="str">
        <f>IF(W20&lt;&gt;"AR","",IF(Y20="User Specified", AA20, INDEX('Refrigerant GWPs'!$G$2:$G$154,MATCH(Y20,'Refrigerant GWPs'!$A$2:$A$154,0))))</f>
        <v/>
      </c>
      <c r="DF20" s="146" t="str">
        <f>IF(W20&lt;&gt;"AR","",INDEX('Device Refrigerant Leakage'!$E$2:$E$42,MATCH(X20,'Device Refrigerant Leakage'!$B$2:$B$42,0)))</f>
        <v/>
      </c>
      <c r="DG20" s="146" t="str">
        <f>IF(W20&lt;&gt;"AR","",INDEX('Device Refrigerant Leakage'!$F$2:$F$42,MATCH(X20,'Device Refrigerant Leakage'!$B$2:$B$42,0)))</f>
        <v/>
      </c>
      <c r="DH20" s="146" t="str">
        <f>IF(W20&lt;&gt;"AR","",INDEX('Device Refrigerant Leakage'!$G$2:$G$42,MATCH(X20,'Device Refrigerant Leakage'!$B$2:$B$42,0)))</f>
        <v/>
      </c>
      <c r="DI20" s="146" t="str">
        <f>IF(W20&lt;&gt;"AR","",J20*INDEX('Device Refrigerant Leakage'!$D$2:$D$42,MATCH(X20,'Device Refrigerant Leakage'!$B$2:$B$42,0))*DF20/2204.62*DE20)</f>
        <v/>
      </c>
      <c r="DJ20" s="146" t="str">
        <f>IF(W20&lt;&gt;"AR","",J20*(INDEX('Device Refrigerant Leakage'!$D$2:$D$42,MATCH(X20,'Device Refrigerant Leakage'!$B$2:$B$42,0))-(INDEX('Device Refrigerant Leakage'!$D$2:$D$42,MATCH(X20,'Device Refrigerant Leakage'!$B$2:$B$42,0)))*DH20*DF20)*DG20/2204.62*DE20)</f>
        <v/>
      </c>
      <c r="DK20" s="146" t="str">
        <f>IF(W20&lt;&gt;"AR","",DI20*(K20-AB20)+'Fuel Sub Calcs-Deemed'!DJ20*((K20-AB20)/INDEX('Device Refrigerant Leakage'!$C$2:$C$42,MATCH('Fuel Sub Calcs-Deemed'!X20,'Device Refrigerant Leakage'!$B$2:$B$42,0))))</f>
        <v/>
      </c>
      <c r="DM20" s="56">
        <v>6</v>
      </c>
      <c r="DN20" s="67" t="e">
        <f t="shared" si="28"/>
        <v>#N/A</v>
      </c>
      <c r="DO20" s="45" t="e">
        <f t="shared" si="29"/>
        <v>#N/A</v>
      </c>
      <c r="DP20" s="67" t="e">
        <f t="shared" si="30"/>
        <v>#N/A</v>
      </c>
      <c r="DQ20" s="45" t="e">
        <f t="shared" si="31"/>
        <v>#N/A</v>
      </c>
      <c r="DR20" s="69" t="e">
        <f t="shared" si="32"/>
        <v>#N/A</v>
      </c>
      <c r="DS20" s="34"/>
      <c r="DT20" s="67" t="e">
        <f>((BX20*CJ20)+IF($W20=MAT_AR,(BZ20*CL20),0))*(1+Reference!$E$50+Reference!$E$51)</f>
        <v>#N/A</v>
      </c>
      <c r="DU20" s="67">
        <f>((BY20*CK20)+IF($W20=MAT_AR,(CA20*CM20),0))*(1+Reference!$G$50+Reference!$G$51)</f>
        <v>0</v>
      </c>
      <c r="DV20" s="67" t="e">
        <f t="shared" si="33"/>
        <v>#VALUE!</v>
      </c>
      <c r="DX20" s="56">
        <v>6</v>
      </c>
      <c r="DY20" s="67">
        <f t="shared" si="34"/>
        <v>0</v>
      </c>
      <c r="DZ20" s="45" t="e">
        <f>VLOOKUP($R20,Dropdown!$C$3:$D$4,2,FALSE)</f>
        <v>#N/A</v>
      </c>
      <c r="EA20" s="68">
        <f t="shared" si="35"/>
        <v>0</v>
      </c>
      <c r="EB20" s="68" t="str">
        <f t="shared" si="36"/>
        <v>N/A</v>
      </c>
      <c r="EC20" s="68">
        <f t="shared" si="37"/>
        <v>0</v>
      </c>
      <c r="ED20" s="68" t="str">
        <f t="shared" si="38"/>
        <v>N/A</v>
      </c>
      <c r="EF20" s="56">
        <v>6</v>
      </c>
      <c r="EG20" s="46">
        <f t="shared" si="39"/>
        <v>0</v>
      </c>
      <c r="EH20" s="68" t="e">
        <f t="shared" si="40"/>
        <v>#N/A</v>
      </c>
      <c r="EI20" s="68" t="e">
        <f t="shared" si="41"/>
        <v>#N/A</v>
      </c>
      <c r="EJ20" s="68" t="e">
        <f t="shared" si="42"/>
        <v>#N/A</v>
      </c>
      <c r="EK20" s="68" t="e">
        <f t="shared" si="43"/>
        <v>#N/A</v>
      </c>
      <c r="EL20" s="46">
        <f t="shared" si="44"/>
        <v>0</v>
      </c>
      <c r="EM20" s="46">
        <f t="shared" si="45"/>
        <v>0</v>
      </c>
    </row>
    <row r="21" spans="1:143">
      <c r="A21" s="89"/>
      <c r="B21" s="89"/>
      <c r="C21" s="89"/>
      <c r="D21" s="89"/>
      <c r="E21" s="89"/>
      <c r="F21" s="89"/>
      <c r="G21" s="34"/>
      <c r="H21" s="56">
        <f t="shared" si="46"/>
        <v>7</v>
      </c>
      <c r="I21" s="165"/>
      <c r="J21" s="163"/>
      <c r="K21" s="163"/>
      <c r="L21" s="164"/>
      <c r="M21" s="155"/>
      <c r="N21" s="155"/>
      <c r="O21" s="144"/>
      <c r="P21" s="159" t="str">
        <f>IFERROR(IF(O21&lt;&gt;"User Specified",IF(O21&lt;&gt;"", INDEX('Refrigerant GWPs'!$G$2:$G$154,MATCH(O21,'Refrigerant GWPs'!$A$2:$A$154,0)),""),U21),0)</f>
        <v/>
      </c>
      <c r="Q21" s="155"/>
      <c r="R21" s="155"/>
      <c r="S21" s="144"/>
      <c r="T21" s="159" t="str">
        <f>IF(S21&lt;&gt;"User Specified",IF(AND(S21&lt;&gt;"User Specified",S21&lt;&gt;""), INDEX('Refrigerant GWPs'!$G$2:$G$154,MATCH(S21,'Refrigerant GWPs'!$A$2:$A$154,0)),""),V21)</f>
        <v/>
      </c>
      <c r="U21" s="144"/>
      <c r="V21" s="144"/>
      <c r="W21" s="155"/>
      <c r="X21" s="155"/>
      <c r="Y21" s="155"/>
      <c r="Z21" s="159" t="str">
        <f>IF(AND(Y21&lt;&gt;"User Specified",Y21&lt;&gt;""), INDEX('Refrigerant GWPs'!$G$2:$G$154,MATCH(Y21,'Refrigerant GWPs'!$A$2:$A$154,0)),"")</f>
        <v/>
      </c>
      <c r="AA21" s="155"/>
      <c r="AB21" s="156">
        <v>5</v>
      </c>
      <c r="AC21" s="66"/>
      <c r="AD21" s="66"/>
      <c r="AE21" s="66"/>
      <c r="AF21" s="66"/>
      <c r="AG21" s="66"/>
      <c r="AH21" s="66"/>
      <c r="AI21" s="34"/>
      <c r="AJ21" s="88">
        <f t="shared" si="0"/>
        <v>0</v>
      </c>
      <c r="AK21" s="88">
        <f t="shared" si="1"/>
        <v>0</v>
      </c>
      <c r="AL21" s="88">
        <v>0</v>
      </c>
      <c r="AM21" s="88">
        <v>0</v>
      </c>
      <c r="AN21" s="81" t="str">
        <f t="shared" si="47"/>
        <v/>
      </c>
      <c r="AO21" s="88">
        <f t="shared" si="2"/>
        <v>0</v>
      </c>
      <c r="AP21" s="88">
        <f t="shared" si="3"/>
        <v>0</v>
      </c>
      <c r="AQ21" s="81" t="str">
        <f t="shared" si="4"/>
        <v/>
      </c>
      <c r="AS21" s="41" t="b">
        <f t="shared" si="5"/>
        <v>1</v>
      </c>
      <c r="AT21" s="38">
        <f t="shared" si="6"/>
        <v>0</v>
      </c>
      <c r="AU21" s="60">
        <f t="shared" si="7"/>
        <v>0</v>
      </c>
      <c r="AV21" s="41">
        <f t="shared" si="8"/>
        <v>0</v>
      </c>
      <c r="AW21" s="41" t="b">
        <f t="shared" si="9"/>
        <v>0</v>
      </c>
      <c r="AX21" t="str">
        <f t="shared" si="10"/>
        <v>+00</v>
      </c>
      <c r="AY21" t="str">
        <f t="shared" si="11"/>
        <v>+00</v>
      </c>
      <c r="BA21" s="47" t="b">
        <f t="shared" si="60"/>
        <v>1</v>
      </c>
      <c r="BB21" s="42" t="b">
        <f t="shared" si="61"/>
        <v>1</v>
      </c>
      <c r="BC21" s="42" t="b">
        <f t="shared" si="62"/>
        <v>0</v>
      </c>
      <c r="BD21" s="42" t="b">
        <f t="shared" si="63"/>
        <v>0</v>
      </c>
      <c r="BE21" s="70">
        <f t="shared" si="64"/>
        <v>0</v>
      </c>
      <c r="BF21" s="70">
        <f t="shared" si="65"/>
        <v>0</v>
      </c>
      <c r="BG21" s="34"/>
      <c r="BI21" s="47" t="b">
        <f t="shared" si="66"/>
        <v>1</v>
      </c>
      <c r="BJ21" s="47" t="b">
        <f t="shared" si="67"/>
        <v>1</v>
      </c>
      <c r="BK21" s="42" t="b">
        <f t="shared" si="68"/>
        <v>0</v>
      </c>
      <c r="BL21" s="42" t="b">
        <f t="shared" si="69"/>
        <v>0</v>
      </c>
      <c r="BM21" s="42">
        <f t="shared" si="70"/>
        <v>0</v>
      </c>
      <c r="BN21" s="42">
        <f t="shared" si="71"/>
        <v>0</v>
      </c>
      <c r="BP21" t="e">
        <f t="shared" si="72"/>
        <v>#N/A</v>
      </c>
      <c r="BQ21" t="e">
        <f t="shared" si="73"/>
        <v>#N/A</v>
      </c>
      <c r="BR21" t="e">
        <f t="shared" si="74"/>
        <v>#N/A</v>
      </c>
      <c r="BT21" s="60">
        <f t="shared" si="16"/>
        <v>0</v>
      </c>
      <c r="BU21" s="60">
        <f t="shared" si="17"/>
        <v>0</v>
      </c>
      <c r="BV21" s="60">
        <f t="shared" si="18"/>
        <v>0</v>
      </c>
      <c r="BW21" s="60">
        <f t="shared" si="19"/>
        <v>0</v>
      </c>
      <c r="BX21" s="60">
        <f t="shared" si="75"/>
        <v>0</v>
      </c>
      <c r="BY21" s="60">
        <f t="shared" si="76"/>
        <v>0</v>
      </c>
      <c r="BZ21" s="60">
        <f t="shared" si="77"/>
        <v>0</v>
      </c>
      <c r="CA21" s="60">
        <f t="shared" si="78"/>
        <v>0</v>
      </c>
      <c r="CB21" s="60" t="e">
        <f t="shared" si="20"/>
        <v>#N/A</v>
      </c>
      <c r="CC21" s="60">
        <f t="shared" si="21"/>
        <v>100000</v>
      </c>
      <c r="CD21" s="60" t="e">
        <f t="shared" si="22"/>
        <v>#N/A</v>
      </c>
      <c r="CE21" s="60">
        <f t="shared" si="23"/>
        <v>100000</v>
      </c>
      <c r="CF21" s="83" t="e">
        <f t="shared" si="79"/>
        <v>#N/A</v>
      </c>
      <c r="CG21" s="83">
        <f t="shared" si="80"/>
        <v>0</v>
      </c>
      <c r="CH21" s="83" t="e">
        <f t="shared" si="81"/>
        <v>#N/A</v>
      </c>
      <c r="CI21" s="83">
        <f t="shared" si="82"/>
        <v>0</v>
      </c>
      <c r="CJ21" s="86" t="e">
        <f t="shared" si="24"/>
        <v>#N/A</v>
      </c>
      <c r="CK21" s="82">
        <f t="shared" si="25"/>
        <v>5.3070370403969858E-3</v>
      </c>
      <c r="CL21" s="82" t="e">
        <f t="shared" si="26"/>
        <v>#N/A</v>
      </c>
      <c r="CM21" s="82">
        <f t="shared" si="27"/>
        <v>5.3070370403969858E-3</v>
      </c>
      <c r="CO21" s="149" t="str">
        <f>IF($I21&lt;&gt;"",IF(O21="User Specified",U21,INDEX('Refrigerant GWPs'!$G$2:$G$156,MATCH(O21,'Refrigerant GWPs'!$A$2:$A$156,0))),"")</f>
        <v/>
      </c>
      <c r="CP21" s="138" t="str">
        <f>IF($I21&lt;&gt;"",INDEX('Device Refrigerant Leakage'!$E$2:$E$42,MATCH($M21,'Device Refrigerant Leakage'!$B$2:$B$42,0)),"")</f>
        <v/>
      </c>
      <c r="CQ21" s="138" t="str">
        <f>IF($I21&lt;&gt;"",INDEX('Device Refrigerant Leakage'!$F$2:$F$42,MATCH($M21,'Device Refrigerant Leakage'!$B$2:$B$42,0)),"")</f>
        <v/>
      </c>
      <c r="CR21" s="145" t="str">
        <f>IF($I21&lt;&gt;"",INDEX('Device Refrigerant Leakage'!$G$2:$G$42,MATCH($M21,'Device Refrigerant Leakage'!$B$2:$B$42,0)),"")</f>
        <v/>
      </c>
      <c r="CS21" s="145" t="str">
        <f>IF($I21&lt;&gt;"",INDEX('Device Refrigerant Leakage'!$D$2:$D$42,MATCH($M21,'Device Refrigerant Leakage'!$B$2:$B$42,0))*CP21/2204.62*CO21,"")</f>
        <v/>
      </c>
      <c r="CT21" s="145" t="str">
        <f>IF($I21&lt;&gt;"",J21*(INDEX('Device Refrigerant Leakage'!$D$2:$D$42,MATCH($M21,'Device Refrigerant Leakage'!$B$2:$B$42,0))-(INDEX('Device Refrigerant Leakage'!$D$2:$D$42,MATCH($M21,'Device Refrigerant Leakage'!$B$2:$B$42,0)))*CR21*CP21)*CQ21/2204.62*CO21,"")</f>
        <v/>
      </c>
      <c r="CU21" s="135" t="str">
        <f>IF($I21&lt;&gt;"",J21*IF(W21&lt;&gt;"AR",(CS21*K21)+CT21,(CS21*AB21)+CT21*(AB21/INDEX('Device Refrigerant Leakage'!$C$2:$C$42,MATCH($M21,'Device Refrigerant Leakage'!$B$2:$B$42,0)))),"")</f>
        <v/>
      </c>
      <c r="CW21" s="135" t="str">
        <f>IF($I21&lt;&gt;"",IF(S21="User Specified",V21,INDEX('Refrigerant GWPs'!$G$2:$G$156,MATCH(S21,'Refrigerant GWPs'!$A$2:$A$157,0))),"")</f>
        <v/>
      </c>
      <c r="CX21" s="138" t="str">
        <f>IF($I21&lt;&gt;"",INDEX('Device Refrigerant Leakage'!$E$2:$E$42,MATCH($Q21,'Device Refrigerant Leakage'!$B$2:$B$42,0)),"")</f>
        <v/>
      </c>
      <c r="CY21" s="138" t="str">
        <f>IF($I21&lt;&gt;"",INDEX('Device Refrigerant Leakage'!$F$2:$F$42,MATCH($Q21,'Device Refrigerant Leakage'!$B$2:$B$42,0)),"")</f>
        <v/>
      </c>
      <c r="CZ21" s="145" t="str">
        <f>IF($I21&lt;&gt;"",INDEX('Device Refrigerant Leakage'!$G$2:$G$42,MATCH($Q21,'Device Refrigerant Leakage'!$B$2:$B$42,0)),"")</f>
        <v/>
      </c>
      <c r="DA21" s="145" t="str">
        <f>IF($I21&lt;&gt;"",J21*INDEX('Device Refrigerant Leakage'!$D$2:$D$42,MATCH($Q21,'Device Refrigerant Leakage'!$B$2:$B$42,0))*CX21/2204.62*CW21,"")</f>
        <v/>
      </c>
      <c r="DB21" s="145" t="str">
        <f>IF($I21&lt;&gt;"",J21*(INDEX('Device Refrigerant Leakage'!$D$2:$D$42,MATCH($Q21,'Device Refrigerant Leakage'!$B$2:$B$42,0))-(INDEX('Device Refrigerant Leakage'!$D$2:$D$42,MATCH($Q21,'Device Refrigerant Leakage'!$B$2:$B$42,0)))*CZ21*CX21)*CY21/2204.62*CW21,"")</f>
        <v/>
      </c>
      <c r="DC21" s="135" t="str">
        <f t="shared" si="59"/>
        <v/>
      </c>
      <c r="DE21" s="146" t="str">
        <f>IF(W21&lt;&gt;"AR","",IF(Y21="User Specified", AA21, INDEX('Refrigerant GWPs'!$G$2:$G$154,MATCH(Y21,'Refrigerant GWPs'!$A$2:$A$154,0))))</f>
        <v/>
      </c>
      <c r="DF21" s="146" t="str">
        <f>IF(W21&lt;&gt;"AR","",INDEX('Device Refrigerant Leakage'!$E$2:$E$42,MATCH(X21,'Device Refrigerant Leakage'!$B$2:$B$42,0)))</f>
        <v/>
      </c>
      <c r="DG21" s="146" t="str">
        <f>IF(W21&lt;&gt;"AR","",INDEX('Device Refrigerant Leakage'!$F$2:$F$42,MATCH(X21,'Device Refrigerant Leakage'!$B$2:$B$42,0)))</f>
        <v/>
      </c>
      <c r="DH21" s="146" t="str">
        <f>IF(W21&lt;&gt;"AR","",INDEX('Device Refrigerant Leakage'!$G$2:$G$42,MATCH(X21,'Device Refrigerant Leakage'!$B$2:$B$42,0)))</f>
        <v/>
      </c>
      <c r="DI21" s="146" t="str">
        <f>IF(W21&lt;&gt;"AR","",J21*INDEX('Device Refrigerant Leakage'!$D$2:$D$42,MATCH(X21,'Device Refrigerant Leakage'!$B$2:$B$42,0))*DF21/2204.62*DE21)</f>
        <v/>
      </c>
      <c r="DJ21" s="146" t="str">
        <f>IF(W21&lt;&gt;"AR","",J21*(INDEX('Device Refrigerant Leakage'!$D$2:$D$42,MATCH(X21,'Device Refrigerant Leakage'!$B$2:$B$42,0))-(INDEX('Device Refrigerant Leakage'!$D$2:$D$42,MATCH(X21,'Device Refrigerant Leakage'!$B$2:$B$42,0)))*DH21*DF21)*DG21/2204.62*DE21)</f>
        <v/>
      </c>
      <c r="DK21" s="146" t="str">
        <f>IF(W21&lt;&gt;"AR","",DI21*(K21-AB21)+'Fuel Sub Calcs-Deemed'!DJ21*((K21-AB21)/INDEX('Device Refrigerant Leakage'!$C$2:$C$42,MATCH('Fuel Sub Calcs-Deemed'!X21,'Device Refrigerant Leakage'!$B$2:$B$42,0))))</f>
        <v/>
      </c>
      <c r="DM21" s="56">
        <v>7</v>
      </c>
      <c r="DN21" s="67" t="e">
        <f t="shared" si="28"/>
        <v>#N/A</v>
      </c>
      <c r="DO21" s="45" t="e">
        <f t="shared" si="29"/>
        <v>#N/A</v>
      </c>
      <c r="DP21" s="67" t="e">
        <f t="shared" si="30"/>
        <v>#N/A</v>
      </c>
      <c r="DQ21" s="45" t="e">
        <f t="shared" si="31"/>
        <v>#N/A</v>
      </c>
      <c r="DR21" s="69" t="e">
        <f t="shared" si="32"/>
        <v>#N/A</v>
      </c>
      <c r="DS21" s="34"/>
      <c r="DT21" s="67" t="e">
        <f>((BX21*CJ21)+IF($W21=MAT_AR,(BZ21*CL21),0))*(1+Reference!$E$50+Reference!$E$51)</f>
        <v>#N/A</v>
      </c>
      <c r="DU21" s="67">
        <f>((BY21*CK21)+IF($W21=MAT_AR,(CA21*CM21),0))*(1+Reference!$G$50+Reference!$G$51)</f>
        <v>0</v>
      </c>
      <c r="DV21" s="67" t="e">
        <f t="shared" si="33"/>
        <v>#VALUE!</v>
      </c>
      <c r="DX21" s="56">
        <v>7</v>
      </c>
      <c r="DY21" s="67">
        <f t="shared" si="34"/>
        <v>0</v>
      </c>
      <c r="DZ21" s="45" t="e">
        <f>VLOOKUP($R21,Dropdown!$C$3:$D$4,2,FALSE)</f>
        <v>#N/A</v>
      </c>
      <c r="EA21" s="68">
        <f t="shared" si="35"/>
        <v>0</v>
      </c>
      <c r="EB21" s="68" t="str">
        <f t="shared" si="36"/>
        <v>N/A</v>
      </c>
      <c r="EC21" s="68">
        <f t="shared" si="37"/>
        <v>0</v>
      </c>
      <c r="ED21" s="68" t="str">
        <f t="shared" si="38"/>
        <v>N/A</v>
      </c>
      <c r="EF21" s="56">
        <v>7</v>
      </c>
      <c r="EG21" s="46">
        <f t="shared" si="39"/>
        <v>0</v>
      </c>
      <c r="EH21" s="68" t="e">
        <f t="shared" si="40"/>
        <v>#N/A</v>
      </c>
      <c r="EI21" s="68" t="e">
        <f t="shared" si="41"/>
        <v>#N/A</v>
      </c>
      <c r="EJ21" s="68" t="e">
        <f t="shared" si="42"/>
        <v>#N/A</v>
      </c>
      <c r="EK21" s="68" t="e">
        <f t="shared" si="43"/>
        <v>#N/A</v>
      </c>
      <c r="EL21" s="46">
        <f t="shared" si="44"/>
        <v>0</v>
      </c>
      <c r="EM21" s="46">
        <f t="shared" si="45"/>
        <v>0</v>
      </c>
    </row>
    <row r="22" spans="1:143">
      <c r="A22" s="89"/>
      <c r="B22" s="89"/>
      <c r="C22" s="89"/>
      <c r="D22" s="89"/>
      <c r="E22" s="89"/>
      <c r="F22" s="89"/>
      <c r="G22" s="34"/>
      <c r="H22" s="56">
        <f t="shared" si="46"/>
        <v>8</v>
      </c>
      <c r="I22" s="165"/>
      <c r="J22" s="163"/>
      <c r="K22" s="163"/>
      <c r="L22" s="164"/>
      <c r="M22" s="155"/>
      <c r="N22" s="155"/>
      <c r="O22" s="144"/>
      <c r="P22" s="159" t="str">
        <f>IFERROR(IF(O22&lt;&gt;"User Specified",IF(O22&lt;&gt;"", INDEX('Refrigerant GWPs'!$G$2:$G$154,MATCH(O22,'Refrigerant GWPs'!$A$2:$A$154,0)),""),U22),0)</f>
        <v/>
      </c>
      <c r="Q22" s="155"/>
      <c r="R22" s="155"/>
      <c r="S22" s="144"/>
      <c r="T22" s="159" t="str">
        <f>IF(S22&lt;&gt;"User Specified",IF(AND(S22&lt;&gt;"User Specified",S22&lt;&gt;""), INDEX('Refrigerant GWPs'!$G$2:$G$154,MATCH(S22,'Refrigerant GWPs'!$A$2:$A$154,0)),""),V22)</f>
        <v/>
      </c>
      <c r="U22" s="144"/>
      <c r="V22" s="144"/>
      <c r="W22" s="155"/>
      <c r="X22" s="155"/>
      <c r="Y22" s="155"/>
      <c r="Z22" s="159" t="str">
        <f>IF(AND(Y22&lt;&gt;"User Specified",Y22&lt;&gt;""), INDEX('Refrigerant GWPs'!$G$2:$G$154,MATCH(Y22,'Refrigerant GWPs'!$A$2:$A$154,0)),"")</f>
        <v/>
      </c>
      <c r="AA22" s="155"/>
      <c r="AB22" s="156">
        <v>5</v>
      </c>
      <c r="AC22" s="66"/>
      <c r="AD22" s="66"/>
      <c r="AE22" s="66"/>
      <c r="AF22" s="66"/>
      <c r="AG22" s="66"/>
      <c r="AH22" s="66"/>
      <c r="AI22" s="34"/>
      <c r="AJ22" s="88">
        <f t="shared" si="0"/>
        <v>0</v>
      </c>
      <c r="AK22" s="88">
        <f t="shared" si="1"/>
        <v>0</v>
      </c>
      <c r="AL22" s="88">
        <v>0</v>
      </c>
      <c r="AM22" s="88">
        <v>0</v>
      </c>
      <c r="AN22" s="81" t="str">
        <f t="shared" si="47"/>
        <v/>
      </c>
      <c r="AO22" s="88">
        <f t="shared" si="2"/>
        <v>0</v>
      </c>
      <c r="AP22" s="88">
        <f t="shared" si="3"/>
        <v>0</v>
      </c>
      <c r="AQ22" s="81" t="str">
        <f t="shared" si="4"/>
        <v/>
      </c>
      <c r="AS22" s="41" t="b">
        <f t="shared" si="5"/>
        <v>1</v>
      </c>
      <c r="AT22" s="38">
        <f t="shared" si="6"/>
        <v>0</v>
      </c>
      <c r="AU22" s="60">
        <f t="shared" si="7"/>
        <v>0</v>
      </c>
      <c r="AV22" s="41">
        <f t="shared" si="8"/>
        <v>0</v>
      </c>
      <c r="AW22" s="41" t="b">
        <f t="shared" si="9"/>
        <v>0</v>
      </c>
      <c r="AX22" t="str">
        <f t="shared" si="10"/>
        <v>+00</v>
      </c>
      <c r="AY22" t="str">
        <f t="shared" si="11"/>
        <v>+00</v>
      </c>
      <c r="BA22" s="47" t="b">
        <f t="shared" si="60"/>
        <v>1</v>
      </c>
      <c r="BB22" s="42" t="b">
        <f t="shared" si="61"/>
        <v>1</v>
      </c>
      <c r="BC22" s="42" t="b">
        <f t="shared" si="62"/>
        <v>0</v>
      </c>
      <c r="BD22" s="42" t="b">
        <f t="shared" si="63"/>
        <v>0</v>
      </c>
      <c r="BE22" s="70">
        <f t="shared" si="64"/>
        <v>0</v>
      </c>
      <c r="BF22" s="70">
        <f t="shared" si="65"/>
        <v>0</v>
      </c>
      <c r="BG22" s="34"/>
      <c r="BI22" s="47" t="b">
        <f t="shared" si="66"/>
        <v>1</v>
      </c>
      <c r="BJ22" s="47" t="b">
        <f t="shared" si="67"/>
        <v>1</v>
      </c>
      <c r="BK22" s="42" t="b">
        <f t="shared" si="68"/>
        <v>0</v>
      </c>
      <c r="BL22" s="42" t="b">
        <f t="shared" si="69"/>
        <v>0</v>
      </c>
      <c r="BM22" s="42">
        <f t="shared" si="70"/>
        <v>0</v>
      </c>
      <c r="BN22" s="42">
        <f t="shared" si="71"/>
        <v>0</v>
      </c>
      <c r="BP22" t="e">
        <f t="shared" si="72"/>
        <v>#N/A</v>
      </c>
      <c r="BQ22" t="e">
        <f t="shared" si="73"/>
        <v>#N/A</v>
      </c>
      <c r="BR22" t="e">
        <f t="shared" si="74"/>
        <v>#N/A</v>
      </c>
      <c r="BT22" s="60">
        <f t="shared" si="16"/>
        <v>0</v>
      </c>
      <c r="BU22" s="60">
        <f t="shared" si="17"/>
        <v>0</v>
      </c>
      <c r="BV22" s="60">
        <f t="shared" si="18"/>
        <v>0</v>
      </c>
      <c r="BW22" s="60">
        <f t="shared" si="19"/>
        <v>0</v>
      </c>
      <c r="BX22" s="60">
        <f t="shared" si="75"/>
        <v>0</v>
      </c>
      <c r="BY22" s="60">
        <f t="shared" si="76"/>
        <v>0</v>
      </c>
      <c r="BZ22" s="60">
        <f t="shared" si="77"/>
        <v>0</v>
      </c>
      <c r="CA22" s="60">
        <f t="shared" si="78"/>
        <v>0</v>
      </c>
      <c r="CB22" s="60" t="e">
        <f t="shared" si="20"/>
        <v>#N/A</v>
      </c>
      <c r="CC22" s="60">
        <f t="shared" si="21"/>
        <v>100000</v>
      </c>
      <c r="CD22" s="60" t="e">
        <f t="shared" si="22"/>
        <v>#N/A</v>
      </c>
      <c r="CE22" s="60">
        <f t="shared" si="23"/>
        <v>100000</v>
      </c>
      <c r="CF22" s="83" t="e">
        <f t="shared" si="79"/>
        <v>#N/A</v>
      </c>
      <c r="CG22" s="83">
        <f t="shared" si="80"/>
        <v>0</v>
      </c>
      <c r="CH22" s="83" t="e">
        <f t="shared" si="81"/>
        <v>#N/A</v>
      </c>
      <c r="CI22" s="83">
        <f t="shared" si="82"/>
        <v>0</v>
      </c>
      <c r="CJ22" s="86" t="e">
        <f t="shared" si="24"/>
        <v>#N/A</v>
      </c>
      <c r="CK22" s="82">
        <f t="shared" si="25"/>
        <v>5.3070370403969858E-3</v>
      </c>
      <c r="CL22" s="82" t="e">
        <f t="shared" si="26"/>
        <v>#N/A</v>
      </c>
      <c r="CM22" s="82">
        <f t="shared" si="27"/>
        <v>5.3070370403969858E-3</v>
      </c>
      <c r="CO22" s="149" t="str">
        <f>IF($I22&lt;&gt;"",IF(O22="User Specified",U22,INDEX('Refrigerant GWPs'!$G$2:$G$156,MATCH(O22,'Refrigerant GWPs'!$A$2:$A$156,0))),"")</f>
        <v/>
      </c>
      <c r="CP22" s="138" t="str">
        <f>IF($I22&lt;&gt;"",INDEX('Device Refrigerant Leakage'!$E$2:$E$42,MATCH($M22,'Device Refrigerant Leakage'!$B$2:$B$42,0)),"")</f>
        <v/>
      </c>
      <c r="CQ22" s="138" t="str">
        <f>IF($I22&lt;&gt;"",INDEX('Device Refrigerant Leakage'!$F$2:$F$42,MATCH($M22,'Device Refrigerant Leakage'!$B$2:$B$42,0)),"")</f>
        <v/>
      </c>
      <c r="CR22" s="145" t="str">
        <f>IF($I22&lt;&gt;"",INDEX('Device Refrigerant Leakage'!$G$2:$G$42,MATCH($M22,'Device Refrigerant Leakage'!$B$2:$B$42,0)),"")</f>
        <v/>
      </c>
      <c r="CS22" s="145" t="str">
        <f>IF($I22&lt;&gt;"",INDEX('Device Refrigerant Leakage'!$D$2:$D$42,MATCH($M22,'Device Refrigerant Leakage'!$B$2:$B$42,0))*CP22/2204.62*CO22,"")</f>
        <v/>
      </c>
      <c r="CT22" s="145" t="str">
        <f>IF($I22&lt;&gt;"",J22*(INDEX('Device Refrigerant Leakage'!$D$2:$D$42,MATCH($M22,'Device Refrigerant Leakage'!$B$2:$B$42,0))-(INDEX('Device Refrigerant Leakage'!$D$2:$D$42,MATCH($M22,'Device Refrigerant Leakage'!$B$2:$B$42,0)))*CR22*CP22)*CQ22/2204.62*CO22,"")</f>
        <v/>
      </c>
      <c r="CU22" s="135" t="str">
        <f>IF($I22&lt;&gt;"",J22*IF(W22&lt;&gt;"AR",(CS22*K22)+CT22,(CS22*AB22)+CT22*(AB22/INDEX('Device Refrigerant Leakage'!$C$2:$C$42,MATCH($M22,'Device Refrigerant Leakage'!$B$2:$B$42,0)))),"")</f>
        <v/>
      </c>
      <c r="CW22" s="135" t="str">
        <f>IF($I22&lt;&gt;"",IF(S22="User Specified",V22,INDEX('Refrigerant GWPs'!$G$2:$G$156,MATCH(S22,'Refrigerant GWPs'!$A$2:$A$157,0))),"")</f>
        <v/>
      </c>
      <c r="CX22" s="138" t="str">
        <f>IF($I22&lt;&gt;"",INDEX('Device Refrigerant Leakage'!$E$2:$E$42,MATCH($Q22,'Device Refrigerant Leakage'!$B$2:$B$42,0)),"")</f>
        <v/>
      </c>
      <c r="CY22" s="138" t="str">
        <f>IF($I22&lt;&gt;"",INDEX('Device Refrigerant Leakage'!$F$2:$F$42,MATCH($Q22,'Device Refrigerant Leakage'!$B$2:$B$42,0)),"")</f>
        <v/>
      </c>
      <c r="CZ22" s="145" t="str">
        <f>IF($I22&lt;&gt;"",INDEX('Device Refrigerant Leakage'!$G$2:$G$42,MATCH($Q22,'Device Refrigerant Leakage'!$B$2:$B$42,0)),"")</f>
        <v/>
      </c>
      <c r="DA22" s="145" t="str">
        <f>IF($I22&lt;&gt;"",J22*INDEX('Device Refrigerant Leakage'!$D$2:$D$42,MATCH($Q22,'Device Refrigerant Leakage'!$B$2:$B$42,0))*CX22/2204.62*CW22,"")</f>
        <v/>
      </c>
      <c r="DB22" s="145" t="str">
        <f>IF($I22&lt;&gt;"",J22*(INDEX('Device Refrigerant Leakage'!$D$2:$D$42,MATCH($Q22,'Device Refrigerant Leakage'!$B$2:$B$42,0))-(INDEX('Device Refrigerant Leakage'!$D$2:$D$42,MATCH($Q22,'Device Refrigerant Leakage'!$B$2:$B$42,0)))*CZ22*CX22)*CY22/2204.62*CW22,"")</f>
        <v/>
      </c>
      <c r="DC22" s="135" t="str">
        <f t="shared" si="59"/>
        <v/>
      </c>
      <c r="DE22" s="146" t="str">
        <f>IF(W22&lt;&gt;"AR","",IF(Y22="User Specified", AA22, INDEX('Refrigerant GWPs'!$G$2:$G$154,MATCH(Y22,'Refrigerant GWPs'!$A$2:$A$154,0))))</f>
        <v/>
      </c>
      <c r="DF22" s="146" t="str">
        <f>IF(W22&lt;&gt;"AR","",INDEX('Device Refrigerant Leakage'!$E$2:$E$42,MATCH(X22,'Device Refrigerant Leakage'!$B$2:$B$42,0)))</f>
        <v/>
      </c>
      <c r="DG22" s="146" t="str">
        <f>IF(W22&lt;&gt;"AR","",INDEX('Device Refrigerant Leakage'!$F$2:$F$42,MATCH(X22,'Device Refrigerant Leakage'!$B$2:$B$42,0)))</f>
        <v/>
      </c>
      <c r="DH22" s="146" t="str">
        <f>IF(W22&lt;&gt;"AR","",INDEX('Device Refrigerant Leakage'!$G$2:$G$42,MATCH(X22,'Device Refrigerant Leakage'!$B$2:$B$42,0)))</f>
        <v/>
      </c>
      <c r="DI22" s="146" t="str">
        <f>IF(W22&lt;&gt;"AR","",J22*INDEX('Device Refrigerant Leakage'!$D$2:$D$42,MATCH(X22,'Device Refrigerant Leakage'!$B$2:$B$42,0))*DF22/2204.62*DE22)</f>
        <v/>
      </c>
      <c r="DJ22" s="146" t="str">
        <f>IF(W22&lt;&gt;"AR","",J22*(INDEX('Device Refrigerant Leakage'!$D$2:$D$42,MATCH(X22,'Device Refrigerant Leakage'!$B$2:$B$42,0))-(INDEX('Device Refrigerant Leakage'!$D$2:$D$42,MATCH(X22,'Device Refrigerant Leakage'!$B$2:$B$42,0)))*DH22*DF22)*DG22/2204.62*DE22)</f>
        <v/>
      </c>
      <c r="DK22" s="146" t="str">
        <f>IF(W22&lt;&gt;"AR","",DI22*(K22-AB22)+'Fuel Sub Calcs-Deemed'!DJ22*((K22-AB22)/INDEX('Device Refrigerant Leakage'!$C$2:$C$42,MATCH('Fuel Sub Calcs-Deemed'!X22,'Device Refrigerant Leakage'!$B$2:$B$42,0))))</f>
        <v/>
      </c>
      <c r="DM22" s="56">
        <v>8</v>
      </c>
      <c r="DN22" s="67" t="e">
        <f t="shared" si="28"/>
        <v>#N/A</v>
      </c>
      <c r="DO22" s="45" t="e">
        <f t="shared" si="29"/>
        <v>#N/A</v>
      </c>
      <c r="DP22" s="67" t="e">
        <f t="shared" si="30"/>
        <v>#N/A</v>
      </c>
      <c r="DQ22" s="45" t="e">
        <f t="shared" si="31"/>
        <v>#N/A</v>
      </c>
      <c r="DR22" s="69" t="e">
        <f t="shared" si="32"/>
        <v>#N/A</v>
      </c>
      <c r="DS22" s="34"/>
      <c r="DT22" s="67" t="e">
        <f>((BX22*CJ22)+IF($W22=MAT_AR,(BZ22*CL22),0))*(1+Reference!$E$50+Reference!$E$51)</f>
        <v>#N/A</v>
      </c>
      <c r="DU22" s="67">
        <f>((BY22*CK22)+IF($W22=MAT_AR,(CA22*CM22),0))*(1+Reference!$G$50+Reference!$G$51)</f>
        <v>0</v>
      </c>
      <c r="DV22" s="67" t="e">
        <f t="shared" si="33"/>
        <v>#VALUE!</v>
      </c>
      <c r="DX22" s="56">
        <v>8</v>
      </c>
      <c r="DY22" s="67">
        <f t="shared" si="34"/>
        <v>0</v>
      </c>
      <c r="DZ22" s="45" t="e">
        <f>VLOOKUP($R22,Dropdown!$C$3:$D$4,2,FALSE)</f>
        <v>#N/A</v>
      </c>
      <c r="EA22" s="68">
        <f t="shared" si="35"/>
        <v>0</v>
      </c>
      <c r="EB22" s="68" t="str">
        <f t="shared" si="36"/>
        <v>N/A</v>
      </c>
      <c r="EC22" s="68">
        <f t="shared" si="37"/>
        <v>0</v>
      </c>
      <c r="ED22" s="68" t="str">
        <f t="shared" si="38"/>
        <v>N/A</v>
      </c>
      <c r="EF22" s="56">
        <v>8</v>
      </c>
      <c r="EG22" s="46">
        <f t="shared" si="39"/>
        <v>0</v>
      </c>
      <c r="EH22" s="68" t="e">
        <f t="shared" si="40"/>
        <v>#N/A</v>
      </c>
      <c r="EI22" s="68" t="e">
        <f t="shared" si="41"/>
        <v>#N/A</v>
      </c>
      <c r="EJ22" s="68" t="e">
        <f t="shared" si="42"/>
        <v>#N/A</v>
      </c>
      <c r="EK22" s="68" t="e">
        <f t="shared" si="43"/>
        <v>#N/A</v>
      </c>
      <c r="EL22" s="46">
        <f t="shared" si="44"/>
        <v>0</v>
      </c>
      <c r="EM22" s="46">
        <f t="shared" si="45"/>
        <v>0</v>
      </c>
    </row>
    <row r="23" spans="1:143">
      <c r="A23" s="89"/>
      <c r="B23" s="89"/>
      <c r="C23" s="89"/>
      <c r="D23" s="89"/>
      <c r="E23" s="89"/>
      <c r="F23" s="89"/>
      <c r="G23" s="34"/>
      <c r="H23" s="56">
        <f t="shared" si="46"/>
        <v>9</v>
      </c>
      <c r="I23" s="165"/>
      <c r="J23" s="163"/>
      <c r="K23" s="163"/>
      <c r="L23" s="164"/>
      <c r="M23" s="155"/>
      <c r="N23" s="155"/>
      <c r="O23" s="144"/>
      <c r="P23" s="159" t="str">
        <f>IFERROR(IF(O23&lt;&gt;"User Specified",IF(O23&lt;&gt;"", INDEX('Refrigerant GWPs'!$G$2:$G$154,MATCH(O23,'Refrigerant GWPs'!$A$2:$A$154,0)),""),U23),0)</f>
        <v/>
      </c>
      <c r="Q23" s="155"/>
      <c r="R23" s="155"/>
      <c r="S23" s="144"/>
      <c r="T23" s="159" t="str">
        <f>IF(S23&lt;&gt;"User Specified",IF(AND(S23&lt;&gt;"User Specified",S23&lt;&gt;""), INDEX('Refrigerant GWPs'!$G$2:$G$154,MATCH(S23,'Refrigerant GWPs'!$A$2:$A$154,0)),""),V23)</f>
        <v/>
      </c>
      <c r="U23" s="144"/>
      <c r="V23" s="144"/>
      <c r="W23" s="155"/>
      <c r="X23" s="155"/>
      <c r="Y23" s="155"/>
      <c r="Z23" s="159" t="str">
        <f>IF(AND(Y23&lt;&gt;"User Specified",Y23&lt;&gt;""), INDEX('Refrigerant GWPs'!$G$2:$G$154,MATCH(Y23,'Refrigerant GWPs'!$A$2:$A$154,0)),"")</f>
        <v/>
      </c>
      <c r="AA23" s="155"/>
      <c r="AB23" s="156">
        <v>5</v>
      </c>
      <c r="AC23" s="66"/>
      <c r="AD23" s="66"/>
      <c r="AE23" s="66"/>
      <c r="AF23" s="66"/>
      <c r="AG23" s="66"/>
      <c r="AH23" s="66"/>
      <c r="AI23" s="34"/>
      <c r="AJ23" s="88">
        <f t="shared" si="0"/>
        <v>0</v>
      </c>
      <c r="AK23" s="88">
        <f t="shared" si="1"/>
        <v>0</v>
      </c>
      <c r="AL23" s="88">
        <v>0</v>
      </c>
      <c r="AM23" s="88">
        <v>0</v>
      </c>
      <c r="AN23" s="81" t="str">
        <f t="shared" si="47"/>
        <v/>
      </c>
      <c r="AO23" s="88">
        <f t="shared" si="2"/>
        <v>0</v>
      </c>
      <c r="AP23" s="88">
        <f t="shared" si="3"/>
        <v>0</v>
      </c>
      <c r="AQ23" s="81" t="str">
        <f t="shared" si="4"/>
        <v/>
      </c>
      <c r="AS23" s="41" t="b">
        <f t="shared" si="5"/>
        <v>1</v>
      </c>
      <c r="AT23" s="38">
        <f t="shared" si="6"/>
        <v>0</v>
      </c>
      <c r="AU23" s="60">
        <f t="shared" si="7"/>
        <v>0</v>
      </c>
      <c r="AV23" s="41">
        <f t="shared" si="8"/>
        <v>0</v>
      </c>
      <c r="AW23" s="41" t="b">
        <f t="shared" si="9"/>
        <v>0</v>
      </c>
      <c r="AX23" t="str">
        <f t="shared" si="10"/>
        <v>+00</v>
      </c>
      <c r="AY23" t="str">
        <f t="shared" si="11"/>
        <v>+00</v>
      </c>
      <c r="BA23" s="47" t="b">
        <f t="shared" si="60"/>
        <v>1</v>
      </c>
      <c r="BB23" s="42" t="b">
        <f t="shared" si="61"/>
        <v>1</v>
      </c>
      <c r="BC23" s="42" t="b">
        <f t="shared" si="62"/>
        <v>0</v>
      </c>
      <c r="BD23" s="42" t="b">
        <f t="shared" si="63"/>
        <v>0</v>
      </c>
      <c r="BE23" s="70">
        <f t="shared" si="64"/>
        <v>0</v>
      </c>
      <c r="BF23" s="70">
        <f t="shared" si="65"/>
        <v>0</v>
      </c>
      <c r="BG23" s="34"/>
      <c r="BI23" s="47" t="b">
        <f t="shared" si="66"/>
        <v>1</v>
      </c>
      <c r="BJ23" s="47" t="b">
        <f t="shared" si="67"/>
        <v>1</v>
      </c>
      <c r="BK23" s="42" t="b">
        <f t="shared" si="68"/>
        <v>0</v>
      </c>
      <c r="BL23" s="42" t="b">
        <f t="shared" si="69"/>
        <v>0</v>
      </c>
      <c r="BM23" s="42">
        <f t="shared" si="70"/>
        <v>0</v>
      </c>
      <c r="BN23" s="42">
        <f t="shared" si="71"/>
        <v>0</v>
      </c>
      <c r="BP23" t="e">
        <f t="shared" si="72"/>
        <v>#N/A</v>
      </c>
      <c r="BQ23" t="e">
        <f t="shared" si="73"/>
        <v>#N/A</v>
      </c>
      <c r="BR23" t="e">
        <f t="shared" si="74"/>
        <v>#N/A</v>
      </c>
      <c r="BT23" s="60">
        <f t="shared" si="16"/>
        <v>0</v>
      </c>
      <c r="BU23" s="60">
        <f t="shared" si="17"/>
        <v>0</v>
      </c>
      <c r="BV23" s="60">
        <f t="shared" si="18"/>
        <v>0</v>
      </c>
      <c r="BW23" s="60">
        <f t="shared" si="19"/>
        <v>0</v>
      </c>
      <c r="BX23" s="60">
        <f t="shared" si="75"/>
        <v>0</v>
      </c>
      <c r="BY23" s="60">
        <f t="shared" si="76"/>
        <v>0</v>
      </c>
      <c r="BZ23" s="60">
        <f t="shared" si="77"/>
        <v>0</v>
      </c>
      <c r="CA23" s="60">
        <f t="shared" si="78"/>
        <v>0</v>
      </c>
      <c r="CB23" s="60" t="e">
        <f t="shared" si="20"/>
        <v>#N/A</v>
      </c>
      <c r="CC23" s="60">
        <f t="shared" si="21"/>
        <v>100000</v>
      </c>
      <c r="CD23" s="60" t="e">
        <f t="shared" si="22"/>
        <v>#N/A</v>
      </c>
      <c r="CE23" s="60">
        <f t="shared" si="23"/>
        <v>100000</v>
      </c>
      <c r="CF23" s="83" t="e">
        <f t="shared" si="79"/>
        <v>#N/A</v>
      </c>
      <c r="CG23" s="83">
        <f t="shared" si="80"/>
        <v>0</v>
      </c>
      <c r="CH23" s="83" t="e">
        <f t="shared" si="81"/>
        <v>#N/A</v>
      </c>
      <c r="CI23" s="83">
        <f t="shared" si="82"/>
        <v>0</v>
      </c>
      <c r="CJ23" s="86" t="e">
        <f t="shared" si="24"/>
        <v>#N/A</v>
      </c>
      <c r="CK23" s="82">
        <f t="shared" si="25"/>
        <v>5.3070370403969858E-3</v>
      </c>
      <c r="CL23" s="82" t="e">
        <f t="shared" si="26"/>
        <v>#N/A</v>
      </c>
      <c r="CM23" s="82">
        <f t="shared" si="27"/>
        <v>5.3070370403969858E-3</v>
      </c>
      <c r="CO23" s="149" t="str">
        <f>IF($I23&lt;&gt;"",IF(O23="User Specified",U23,INDEX('Refrigerant GWPs'!$G$2:$G$156,MATCH(O23,'Refrigerant GWPs'!$A$2:$A$156,0))),"")</f>
        <v/>
      </c>
      <c r="CP23" s="138" t="str">
        <f>IF($I23&lt;&gt;"",INDEX('Device Refrigerant Leakage'!$E$2:$E$42,MATCH($M23,'Device Refrigerant Leakage'!$B$2:$B$42,0)),"")</f>
        <v/>
      </c>
      <c r="CQ23" s="138" t="str">
        <f>IF($I23&lt;&gt;"",INDEX('Device Refrigerant Leakage'!$F$2:$F$42,MATCH($M23,'Device Refrigerant Leakage'!$B$2:$B$42,0)),"")</f>
        <v/>
      </c>
      <c r="CR23" s="145" t="str">
        <f>IF($I23&lt;&gt;"",INDEX('Device Refrigerant Leakage'!$G$2:$G$42,MATCH($M23,'Device Refrigerant Leakage'!$B$2:$B$42,0)),"")</f>
        <v/>
      </c>
      <c r="CS23" s="145" t="str">
        <f>IF($I23&lt;&gt;"",INDEX('Device Refrigerant Leakage'!$D$2:$D$42,MATCH($M23,'Device Refrigerant Leakage'!$B$2:$B$42,0))*CP23/2204.62*CO23,"")</f>
        <v/>
      </c>
      <c r="CT23" s="145" t="str">
        <f>IF($I23&lt;&gt;"",J23*(INDEX('Device Refrigerant Leakage'!$D$2:$D$42,MATCH($M23,'Device Refrigerant Leakage'!$B$2:$B$42,0))-(INDEX('Device Refrigerant Leakage'!$D$2:$D$42,MATCH($M23,'Device Refrigerant Leakage'!$B$2:$B$42,0)))*CR23*CP23)*CQ23/2204.62*CO23,"")</f>
        <v/>
      </c>
      <c r="CU23" s="135" t="str">
        <f>IF($I23&lt;&gt;"",J23*IF(W23&lt;&gt;"AR",(CS23*K23)+CT23,(CS23*AB23)+CT23*(AB23/INDEX('Device Refrigerant Leakage'!$C$2:$C$42,MATCH($M23,'Device Refrigerant Leakage'!$B$2:$B$42,0)))),"")</f>
        <v/>
      </c>
      <c r="CW23" s="135" t="str">
        <f>IF($I23&lt;&gt;"",IF(S23="User Specified",V23,INDEX('Refrigerant GWPs'!$G$2:$G$156,MATCH(S23,'Refrigerant GWPs'!$A$2:$A$157,0))),"")</f>
        <v/>
      </c>
      <c r="CX23" s="138" t="str">
        <f>IF($I23&lt;&gt;"",INDEX('Device Refrigerant Leakage'!$E$2:$E$42,MATCH($Q23,'Device Refrigerant Leakage'!$B$2:$B$42,0)),"")</f>
        <v/>
      </c>
      <c r="CY23" s="138" t="str">
        <f>IF($I23&lt;&gt;"",INDEX('Device Refrigerant Leakage'!$F$2:$F$42,MATCH($Q23,'Device Refrigerant Leakage'!$B$2:$B$42,0)),"")</f>
        <v/>
      </c>
      <c r="CZ23" s="145" t="str">
        <f>IF($I23&lt;&gt;"",INDEX('Device Refrigerant Leakage'!$G$2:$G$42,MATCH($Q23,'Device Refrigerant Leakage'!$B$2:$B$42,0)),"")</f>
        <v/>
      </c>
      <c r="DA23" s="145" t="str">
        <f>IF($I23&lt;&gt;"",J23*INDEX('Device Refrigerant Leakage'!$D$2:$D$42,MATCH($Q23,'Device Refrigerant Leakage'!$B$2:$B$42,0))*CX23/2204.62*CW23,"")</f>
        <v/>
      </c>
      <c r="DB23" s="145" t="str">
        <f>IF($I23&lt;&gt;"",J23*(INDEX('Device Refrigerant Leakage'!$D$2:$D$42,MATCH($Q23,'Device Refrigerant Leakage'!$B$2:$B$42,0))-(INDEX('Device Refrigerant Leakage'!$D$2:$D$42,MATCH($Q23,'Device Refrigerant Leakage'!$B$2:$B$42,0)))*CZ23*CX23)*CY23/2204.62*CW23,"")</f>
        <v/>
      </c>
      <c r="DC23" s="135" t="str">
        <f t="shared" si="59"/>
        <v/>
      </c>
      <c r="DE23" s="146" t="str">
        <f>IF(W23&lt;&gt;"AR","",IF(Y23="User Specified", AA23, INDEX('Refrigerant GWPs'!$G$2:$G$154,MATCH(Y23,'Refrigerant GWPs'!$A$2:$A$154,0))))</f>
        <v/>
      </c>
      <c r="DF23" s="146" t="str">
        <f>IF(W23&lt;&gt;"AR","",INDEX('Device Refrigerant Leakage'!$E$2:$E$42,MATCH(X23,'Device Refrigerant Leakage'!$B$2:$B$42,0)))</f>
        <v/>
      </c>
      <c r="DG23" s="146" t="str">
        <f>IF(W23&lt;&gt;"AR","",INDEX('Device Refrigerant Leakage'!$F$2:$F$42,MATCH(X23,'Device Refrigerant Leakage'!$B$2:$B$42,0)))</f>
        <v/>
      </c>
      <c r="DH23" s="146" t="str">
        <f>IF(W23&lt;&gt;"AR","",INDEX('Device Refrigerant Leakage'!$G$2:$G$42,MATCH(X23,'Device Refrigerant Leakage'!$B$2:$B$42,0)))</f>
        <v/>
      </c>
      <c r="DI23" s="146" t="str">
        <f>IF(W23&lt;&gt;"AR","",J23*INDEX('Device Refrigerant Leakage'!$D$2:$D$42,MATCH(X23,'Device Refrigerant Leakage'!$B$2:$B$42,0))*DF23/2204.62*DE23)</f>
        <v/>
      </c>
      <c r="DJ23" s="146" t="str">
        <f>IF(W23&lt;&gt;"AR","",J23*(INDEX('Device Refrigerant Leakage'!$D$2:$D$42,MATCH(X23,'Device Refrigerant Leakage'!$B$2:$B$42,0))-(INDEX('Device Refrigerant Leakage'!$D$2:$D$42,MATCH(X23,'Device Refrigerant Leakage'!$B$2:$B$42,0)))*DH23*DF23)*DG23/2204.62*DE23)</f>
        <v/>
      </c>
      <c r="DK23" s="146" t="str">
        <f>IF(W23&lt;&gt;"AR","",DI23*(K23-AB23)+'Fuel Sub Calcs-Deemed'!DJ23*((K23-AB23)/INDEX('Device Refrigerant Leakage'!$C$2:$C$42,MATCH('Fuel Sub Calcs-Deemed'!X23,'Device Refrigerant Leakage'!$B$2:$B$42,0))))</f>
        <v/>
      </c>
      <c r="DM23" s="56">
        <v>9</v>
      </c>
      <c r="DN23" s="67" t="e">
        <f t="shared" si="28"/>
        <v>#N/A</v>
      </c>
      <c r="DO23" s="45" t="e">
        <f t="shared" si="29"/>
        <v>#N/A</v>
      </c>
      <c r="DP23" s="67" t="e">
        <f t="shared" si="30"/>
        <v>#N/A</v>
      </c>
      <c r="DQ23" s="45" t="e">
        <f t="shared" si="31"/>
        <v>#N/A</v>
      </c>
      <c r="DR23" s="69" t="e">
        <f t="shared" si="32"/>
        <v>#N/A</v>
      </c>
      <c r="DS23" s="34"/>
      <c r="DT23" s="67" t="e">
        <f>((BX23*CJ23)+IF($W23=MAT_AR,(BZ23*CL23),0))*(1+Reference!$E$50+Reference!$E$51)</f>
        <v>#N/A</v>
      </c>
      <c r="DU23" s="67">
        <f>((BY23*CK23)+IF($W23=MAT_AR,(CA23*CM23),0))*(1+Reference!$G$50+Reference!$G$51)</f>
        <v>0</v>
      </c>
      <c r="DV23" s="67" t="e">
        <f t="shared" si="33"/>
        <v>#VALUE!</v>
      </c>
      <c r="DX23" s="56">
        <v>9</v>
      </c>
      <c r="DY23" s="67">
        <f t="shared" si="34"/>
        <v>0</v>
      </c>
      <c r="DZ23" s="45" t="e">
        <f>VLOOKUP($R23,Dropdown!$C$3:$D$4,2,FALSE)</f>
        <v>#N/A</v>
      </c>
      <c r="EA23" s="68">
        <f t="shared" si="35"/>
        <v>0</v>
      </c>
      <c r="EB23" s="68" t="str">
        <f t="shared" si="36"/>
        <v>N/A</v>
      </c>
      <c r="EC23" s="68">
        <f t="shared" si="37"/>
        <v>0</v>
      </c>
      <c r="ED23" s="68" t="str">
        <f t="shared" si="38"/>
        <v>N/A</v>
      </c>
      <c r="EF23" s="56">
        <v>9</v>
      </c>
      <c r="EG23" s="46">
        <f t="shared" si="39"/>
        <v>0</v>
      </c>
      <c r="EH23" s="68" t="e">
        <f t="shared" si="40"/>
        <v>#N/A</v>
      </c>
      <c r="EI23" s="68" t="e">
        <f t="shared" si="41"/>
        <v>#N/A</v>
      </c>
      <c r="EJ23" s="68" t="e">
        <f t="shared" si="42"/>
        <v>#N/A</v>
      </c>
      <c r="EK23" s="68" t="e">
        <f t="shared" si="43"/>
        <v>#N/A</v>
      </c>
      <c r="EL23" s="46">
        <f t="shared" si="44"/>
        <v>0</v>
      </c>
      <c r="EM23" s="46">
        <f t="shared" si="45"/>
        <v>0</v>
      </c>
    </row>
    <row r="24" spans="1:143">
      <c r="A24" s="89"/>
      <c r="B24" s="89"/>
      <c r="C24" s="89"/>
      <c r="D24" s="89"/>
      <c r="E24" s="89"/>
      <c r="F24" s="89"/>
      <c r="G24" s="34"/>
      <c r="H24" s="56">
        <f t="shared" si="46"/>
        <v>10</v>
      </c>
      <c r="I24" s="165"/>
      <c r="J24" s="163"/>
      <c r="K24" s="163"/>
      <c r="L24" s="164"/>
      <c r="M24" s="155"/>
      <c r="N24" s="155"/>
      <c r="O24" s="144"/>
      <c r="P24" s="159" t="str">
        <f>IFERROR(IF(O24&lt;&gt;"User Specified",IF(O24&lt;&gt;"", INDEX('Refrigerant GWPs'!$G$2:$G$154,MATCH(O24,'Refrigerant GWPs'!$A$2:$A$154,0)),""),U24),0)</f>
        <v/>
      </c>
      <c r="Q24" s="155"/>
      <c r="R24" s="155"/>
      <c r="S24" s="144"/>
      <c r="T24" s="159" t="str">
        <f>IF(S24&lt;&gt;"User Specified",IF(AND(S24&lt;&gt;"User Specified",S24&lt;&gt;""), INDEX('Refrigerant GWPs'!$G$2:$G$154,MATCH(S24,'Refrigerant GWPs'!$A$2:$A$154,0)),""),V24)</f>
        <v/>
      </c>
      <c r="U24" s="144"/>
      <c r="V24" s="144"/>
      <c r="W24" s="155"/>
      <c r="X24" s="155"/>
      <c r="Y24" s="155"/>
      <c r="Z24" s="159" t="str">
        <f>IF(AND(Y24&lt;&gt;"User Specified",Y24&lt;&gt;""), INDEX('Refrigerant GWPs'!$G$2:$G$154,MATCH(Y24,'Refrigerant GWPs'!$A$2:$A$154,0)),"")</f>
        <v/>
      </c>
      <c r="AA24" s="155"/>
      <c r="AB24" s="156">
        <v>5</v>
      </c>
      <c r="AC24" s="66"/>
      <c r="AD24" s="66"/>
      <c r="AE24" s="66"/>
      <c r="AF24" s="66"/>
      <c r="AG24" s="66"/>
      <c r="AH24" s="66"/>
      <c r="AI24" s="34"/>
      <c r="AJ24" s="88">
        <f t="shared" si="0"/>
        <v>0</v>
      </c>
      <c r="AK24" s="88">
        <f t="shared" si="1"/>
        <v>0</v>
      </c>
      <c r="AL24" s="88">
        <v>0</v>
      </c>
      <c r="AM24" s="88">
        <v>0</v>
      </c>
      <c r="AN24" s="81" t="str">
        <f t="shared" si="47"/>
        <v/>
      </c>
      <c r="AO24" s="88">
        <f t="shared" si="2"/>
        <v>0</v>
      </c>
      <c r="AP24" s="88">
        <f t="shared" si="3"/>
        <v>0</v>
      </c>
      <c r="AQ24" s="81" t="str">
        <f t="shared" si="4"/>
        <v/>
      </c>
      <c r="AS24" s="41" t="b">
        <f t="shared" si="5"/>
        <v>1</v>
      </c>
      <c r="AT24" s="38">
        <f t="shared" si="6"/>
        <v>0</v>
      </c>
      <c r="AU24" s="60">
        <f t="shared" si="7"/>
        <v>0</v>
      </c>
      <c r="AV24" s="41">
        <f t="shared" si="8"/>
        <v>0</v>
      </c>
      <c r="AW24" s="41" t="b">
        <f t="shared" si="9"/>
        <v>0</v>
      </c>
      <c r="AX24" t="str">
        <f t="shared" si="10"/>
        <v>+00</v>
      </c>
      <c r="AY24" t="str">
        <f t="shared" si="11"/>
        <v>+00</v>
      </c>
      <c r="BA24" s="47" t="b">
        <f t="shared" si="60"/>
        <v>1</v>
      </c>
      <c r="BB24" s="42" t="b">
        <f t="shared" si="61"/>
        <v>1</v>
      </c>
      <c r="BC24" s="42" t="b">
        <f t="shared" si="62"/>
        <v>0</v>
      </c>
      <c r="BD24" s="42" t="b">
        <f t="shared" si="63"/>
        <v>0</v>
      </c>
      <c r="BE24" s="70">
        <f t="shared" si="64"/>
        <v>0</v>
      </c>
      <c r="BF24" s="70">
        <f t="shared" si="65"/>
        <v>0</v>
      </c>
      <c r="BG24" s="34"/>
      <c r="BI24" s="47" t="b">
        <f t="shared" si="66"/>
        <v>1</v>
      </c>
      <c r="BJ24" s="47" t="b">
        <f t="shared" si="67"/>
        <v>1</v>
      </c>
      <c r="BK24" s="42" t="b">
        <f t="shared" si="68"/>
        <v>0</v>
      </c>
      <c r="BL24" s="42" t="b">
        <f t="shared" si="69"/>
        <v>0</v>
      </c>
      <c r="BM24" s="42">
        <f t="shared" si="70"/>
        <v>0</v>
      </c>
      <c r="BN24" s="42">
        <f t="shared" si="71"/>
        <v>0</v>
      </c>
      <c r="BP24" t="e">
        <f t="shared" si="72"/>
        <v>#N/A</v>
      </c>
      <c r="BQ24" t="e">
        <f t="shared" si="73"/>
        <v>#N/A</v>
      </c>
      <c r="BR24" t="e">
        <f t="shared" si="74"/>
        <v>#N/A</v>
      </c>
      <c r="BT24" s="60">
        <f t="shared" si="16"/>
        <v>0</v>
      </c>
      <c r="BU24" s="60">
        <f t="shared" si="17"/>
        <v>0</v>
      </c>
      <c r="BV24" s="60">
        <f t="shared" si="18"/>
        <v>0</v>
      </c>
      <c r="BW24" s="60">
        <f t="shared" si="19"/>
        <v>0</v>
      </c>
      <c r="BX24" s="60">
        <f t="shared" si="75"/>
        <v>0</v>
      </c>
      <c r="BY24" s="60">
        <f t="shared" si="76"/>
        <v>0</v>
      </c>
      <c r="BZ24" s="60">
        <f t="shared" si="77"/>
        <v>0</v>
      </c>
      <c r="CA24" s="60">
        <f t="shared" si="78"/>
        <v>0</v>
      </c>
      <c r="CB24" s="60" t="e">
        <f t="shared" si="20"/>
        <v>#N/A</v>
      </c>
      <c r="CC24" s="60">
        <f t="shared" si="21"/>
        <v>100000</v>
      </c>
      <c r="CD24" s="60" t="e">
        <f t="shared" si="22"/>
        <v>#N/A</v>
      </c>
      <c r="CE24" s="60">
        <f t="shared" si="23"/>
        <v>100000</v>
      </c>
      <c r="CF24" s="83" t="e">
        <f t="shared" si="79"/>
        <v>#N/A</v>
      </c>
      <c r="CG24" s="83">
        <f t="shared" si="80"/>
        <v>0</v>
      </c>
      <c r="CH24" s="83" t="e">
        <f t="shared" si="81"/>
        <v>#N/A</v>
      </c>
      <c r="CI24" s="83">
        <f t="shared" si="82"/>
        <v>0</v>
      </c>
      <c r="CJ24" s="86" t="e">
        <f t="shared" si="24"/>
        <v>#N/A</v>
      </c>
      <c r="CK24" s="82">
        <f t="shared" si="25"/>
        <v>5.3070370403969858E-3</v>
      </c>
      <c r="CL24" s="82" t="e">
        <f t="shared" si="26"/>
        <v>#N/A</v>
      </c>
      <c r="CM24" s="82">
        <f t="shared" si="27"/>
        <v>5.3070370403969858E-3</v>
      </c>
      <c r="CO24" s="149" t="str">
        <f>IF($I24&lt;&gt;"",IF(O24="User Specified",U24,INDEX('Refrigerant GWPs'!$G$2:$G$156,MATCH(O24,'Refrigerant GWPs'!$A$2:$A$156,0))),"")</f>
        <v/>
      </c>
      <c r="CP24" s="138" t="str">
        <f>IF($I24&lt;&gt;"",INDEX('Device Refrigerant Leakage'!$E$2:$E$42,MATCH($M24,'Device Refrigerant Leakage'!$B$2:$B$42,0)),"")</f>
        <v/>
      </c>
      <c r="CQ24" s="138" t="str">
        <f>IF($I24&lt;&gt;"",INDEX('Device Refrigerant Leakage'!$F$2:$F$42,MATCH($M24,'Device Refrigerant Leakage'!$B$2:$B$42,0)),"")</f>
        <v/>
      </c>
      <c r="CR24" s="145" t="str">
        <f>IF($I24&lt;&gt;"",INDEX('Device Refrigerant Leakage'!$G$2:$G$42,MATCH($M24,'Device Refrigerant Leakage'!$B$2:$B$42,0)),"")</f>
        <v/>
      </c>
      <c r="CS24" s="145" t="str">
        <f>IF($I24&lt;&gt;"",INDEX('Device Refrigerant Leakage'!$D$2:$D$42,MATCH($M24,'Device Refrigerant Leakage'!$B$2:$B$42,0))*CP24/2204.62*CO24,"")</f>
        <v/>
      </c>
      <c r="CT24" s="145" t="str">
        <f>IF($I24&lt;&gt;"",J24*(INDEX('Device Refrigerant Leakage'!$D$2:$D$42,MATCH($M24,'Device Refrigerant Leakage'!$B$2:$B$42,0))-(INDEX('Device Refrigerant Leakage'!$D$2:$D$42,MATCH($M24,'Device Refrigerant Leakage'!$B$2:$B$42,0)))*CR24*CP24)*CQ24/2204.62*CO24,"")</f>
        <v/>
      </c>
      <c r="CU24" s="135" t="str">
        <f>IF($I24&lt;&gt;"",J24*IF(W24&lt;&gt;"AR",(CS24*K24)+CT24,(CS24*AB24)+CT24*(AB24/INDEX('Device Refrigerant Leakage'!$C$2:$C$42,MATCH($M24,'Device Refrigerant Leakage'!$B$2:$B$42,0)))),"")</f>
        <v/>
      </c>
      <c r="CW24" s="135" t="str">
        <f>IF($I24&lt;&gt;"",IF(S24="User Specified",V24,INDEX('Refrigerant GWPs'!$G$2:$G$156,MATCH(S24,'Refrigerant GWPs'!$A$2:$A$157,0))),"")</f>
        <v/>
      </c>
      <c r="CX24" s="138" t="str">
        <f>IF($I24&lt;&gt;"",INDEX('Device Refrigerant Leakage'!$E$2:$E$42,MATCH($Q24,'Device Refrigerant Leakage'!$B$2:$B$42,0)),"")</f>
        <v/>
      </c>
      <c r="CY24" s="138" t="str">
        <f>IF($I24&lt;&gt;"",INDEX('Device Refrigerant Leakage'!$F$2:$F$42,MATCH($Q24,'Device Refrigerant Leakage'!$B$2:$B$42,0)),"")</f>
        <v/>
      </c>
      <c r="CZ24" s="145" t="str">
        <f>IF($I24&lt;&gt;"",INDEX('Device Refrigerant Leakage'!$G$2:$G$42,MATCH($Q24,'Device Refrigerant Leakage'!$B$2:$B$42,0)),"")</f>
        <v/>
      </c>
      <c r="DA24" s="145" t="str">
        <f>IF($I24&lt;&gt;"",J24*INDEX('Device Refrigerant Leakage'!$D$2:$D$42,MATCH($Q24,'Device Refrigerant Leakage'!$B$2:$B$42,0))*CX24/2204.62*CW24,"")</f>
        <v/>
      </c>
      <c r="DB24" s="145" t="str">
        <f>IF($I24&lt;&gt;"",J24*(INDEX('Device Refrigerant Leakage'!$D$2:$D$42,MATCH($Q24,'Device Refrigerant Leakage'!$B$2:$B$42,0))-(INDEX('Device Refrigerant Leakage'!$D$2:$D$42,MATCH($Q24,'Device Refrigerant Leakage'!$B$2:$B$42,0)))*CZ24*CX24)*CY24/2204.62*CW24,"")</f>
        <v/>
      </c>
      <c r="DC24" s="135" t="str">
        <f t="shared" si="59"/>
        <v/>
      </c>
      <c r="DE24" s="146" t="str">
        <f>IF(W24&lt;&gt;"AR","",IF(Y24="User Specified", AA24, INDEX('Refrigerant GWPs'!$G$2:$G$154,MATCH(Y24,'Refrigerant GWPs'!$A$2:$A$154,0))))</f>
        <v/>
      </c>
      <c r="DF24" s="146" t="str">
        <f>IF(W24&lt;&gt;"AR","",INDEX('Device Refrigerant Leakage'!$E$2:$E$42,MATCH(X24,'Device Refrigerant Leakage'!$B$2:$B$42,0)))</f>
        <v/>
      </c>
      <c r="DG24" s="146" t="str">
        <f>IF(W24&lt;&gt;"AR","",INDEX('Device Refrigerant Leakage'!$F$2:$F$42,MATCH(X24,'Device Refrigerant Leakage'!$B$2:$B$42,0)))</f>
        <v/>
      </c>
      <c r="DH24" s="146" t="str">
        <f>IF(W24&lt;&gt;"AR","",INDEX('Device Refrigerant Leakage'!$G$2:$G$42,MATCH(X24,'Device Refrigerant Leakage'!$B$2:$B$42,0)))</f>
        <v/>
      </c>
      <c r="DI24" s="146" t="str">
        <f>IF(W24&lt;&gt;"AR","",J24*INDEX('Device Refrigerant Leakage'!$D$2:$D$42,MATCH(X24,'Device Refrigerant Leakage'!$B$2:$B$42,0))*DF24/2204.62*DE24)</f>
        <v/>
      </c>
      <c r="DJ24" s="146" t="str">
        <f>IF(W24&lt;&gt;"AR","",J24*(INDEX('Device Refrigerant Leakage'!$D$2:$D$42,MATCH(X24,'Device Refrigerant Leakage'!$B$2:$B$42,0))-(INDEX('Device Refrigerant Leakage'!$D$2:$D$42,MATCH(X24,'Device Refrigerant Leakage'!$B$2:$B$42,0)))*DH24*DF24)*DG24/2204.62*DE24)</f>
        <v/>
      </c>
      <c r="DK24" s="146" t="str">
        <f>IF(W24&lt;&gt;"AR","",DI24*(K24-AB24)+'Fuel Sub Calcs-Deemed'!DJ24*((K24-AB24)/INDEX('Device Refrigerant Leakage'!$C$2:$C$42,MATCH('Fuel Sub Calcs-Deemed'!X24,'Device Refrigerant Leakage'!$B$2:$B$42,0))))</f>
        <v/>
      </c>
      <c r="DM24" s="56">
        <v>10</v>
      </c>
      <c r="DN24" s="67" t="e">
        <f t="shared" si="28"/>
        <v>#N/A</v>
      </c>
      <c r="DO24" s="45" t="e">
        <f t="shared" si="29"/>
        <v>#N/A</v>
      </c>
      <c r="DP24" s="67" t="e">
        <f t="shared" si="30"/>
        <v>#N/A</v>
      </c>
      <c r="DQ24" s="45" t="e">
        <f t="shared" si="31"/>
        <v>#N/A</v>
      </c>
      <c r="DR24" s="69" t="e">
        <f t="shared" si="32"/>
        <v>#N/A</v>
      </c>
      <c r="DS24" s="34"/>
      <c r="DT24" s="67" t="e">
        <f>((BX24*CJ24)+IF($W24=MAT_AR,(BZ24*CL24),0))*(1+Reference!$E$50+Reference!$E$51)</f>
        <v>#N/A</v>
      </c>
      <c r="DU24" s="67">
        <f>((BY24*CK24)+IF($W24=MAT_AR,(CA24*CM24),0))*(1+Reference!$G$50+Reference!$G$51)</f>
        <v>0</v>
      </c>
      <c r="DV24" s="67" t="e">
        <f t="shared" si="33"/>
        <v>#VALUE!</v>
      </c>
      <c r="DX24" s="56">
        <v>10</v>
      </c>
      <c r="DY24" s="67">
        <f t="shared" si="34"/>
        <v>0</v>
      </c>
      <c r="DZ24" s="45" t="e">
        <f>VLOOKUP($R24,Dropdown!$C$3:$D$4,2,FALSE)</f>
        <v>#N/A</v>
      </c>
      <c r="EA24" s="68">
        <f t="shared" si="35"/>
        <v>0</v>
      </c>
      <c r="EB24" s="68" t="str">
        <f t="shared" si="36"/>
        <v>N/A</v>
      </c>
      <c r="EC24" s="68">
        <f t="shared" si="37"/>
        <v>0</v>
      </c>
      <c r="ED24" s="68" t="str">
        <f t="shared" si="38"/>
        <v>N/A</v>
      </c>
      <c r="EF24" s="56">
        <v>10</v>
      </c>
      <c r="EG24" s="46">
        <f t="shared" si="39"/>
        <v>0</v>
      </c>
      <c r="EH24" s="68" t="e">
        <f t="shared" si="40"/>
        <v>#N/A</v>
      </c>
      <c r="EI24" s="68" t="e">
        <f t="shared" si="41"/>
        <v>#N/A</v>
      </c>
      <c r="EJ24" s="68" t="e">
        <f t="shared" si="42"/>
        <v>#N/A</v>
      </c>
      <c r="EK24" s="68" t="e">
        <f t="shared" si="43"/>
        <v>#N/A</v>
      </c>
      <c r="EL24" s="46">
        <f t="shared" si="44"/>
        <v>0</v>
      </c>
      <c r="EM24" s="46">
        <f t="shared" si="45"/>
        <v>0</v>
      </c>
    </row>
    <row r="25" spans="1:143">
      <c r="A25" s="89"/>
      <c r="B25" s="89"/>
      <c r="D25" s="89"/>
      <c r="E25" s="89"/>
      <c r="F25" s="89"/>
      <c r="G25" s="34"/>
      <c r="H25" s="56">
        <f t="shared" si="46"/>
        <v>11</v>
      </c>
      <c r="I25" s="165"/>
      <c r="J25" s="163"/>
      <c r="K25" s="163"/>
      <c r="L25" s="164"/>
      <c r="M25" s="155"/>
      <c r="N25" s="155"/>
      <c r="O25" s="144"/>
      <c r="P25" s="159" t="str">
        <f>IFERROR(IF(O25&lt;&gt;"User Specified",IF(O25&lt;&gt;"", INDEX('Refrigerant GWPs'!$G$2:$G$154,MATCH(O25,'Refrigerant GWPs'!$A$2:$A$154,0)),""),U25),0)</f>
        <v/>
      </c>
      <c r="Q25" s="155"/>
      <c r="R25" s="155"/>
      <c r="S25" s="144"/>
      <c r="T25" s="159" t="str">
        <f>IF(S25&lt;&gt;"User Specified",IF(AND(S25&lt;&gt;"User Specified",S25&lt;&gt;""), INDEX('Refrigerant GWPs'!$G$2:$G$154,MATCH(S25,'Refrigerant GWPs'!$A$2:$A$154,0)),""),V25)</f>
        <v/>
      </c>
      <c r="U25" s="144"/>
      <c r="V25" s="144"/>
      <c r="W25" s="155"/>
      <c r="X25" s="155"/>
      <c r="Y25" s="155"/>
      <c r="Z25" s="159" t="str">
        <f>IF(AND(Y25&lt;&gt;"User Specified",Y25&lt;&gt;""), INDEX('Refrigerant GWPs'!$G$2:$G$154,MATCH(Y25,'Refrigerant GWPs'!$A$2:$A$154,0)),"")</f>
        <v/>
      </c>
      <c r="AA25" s="155"/>
      <c r="AB25" s="156">
        <v>5</v>
      </c>
      <c r="AC25" s="66"/>
      <c r="AD25" s="66"/>
      <c r="AE25" s="66"/>
      <c r="AF25" s="66"/>
      <c r="AG25" s="66"/>
      <c r="AH25" s="66"/>
      <c r="AI25" s="34"/>
      <c r="AJ25" s="88">
        <f t="shared" si="0"/>
        <v>0</v>
      </c>
      <c r="AK25" s="88">
        <f t="shared" si="1"/>
        <v>0</v>
      </c>
      <c r="AL25" s="88">
        <v>0</v>
      </c>
      <c r="AM25" s="88">
        <v>0</v>
      </c>
      <c r="AN25" s="81" t="str">
        <f t="shared" si="47"/>
        <v/>
      </c>
      <c r="AO25" s="88">
        <f t="shared" si="2"/>
        <v>0</v>
      </c>
      <c r="AP25" s="88">
        <f t="shared" si="3"/>
        <v>0</v>
      </c>
      <c r="AQ25" s="81" t="str">
        <f t="shared" si="4"/>
        <v/>
      </c>
      <c r="AS25" s="41" t="b">
        <f t="shared" si="5"/>
        <v>1</v>
      </c>
      <c r="AT25" s="38">
        <f t="shared" si="6"/>
        <v>0</v>
      </c>
      <c r="AU25" s="60">
        <f t="shared" si="7"/>
        <v>0</v>
      </c>
      <c r="AV25" s="41">
        <f t="shared" si="8"/>
        <v>0</v>
      </c>
      <c r="AW25" s="41" t="b">
        <f t="shared" si="9"/>
        <v>0</v>
      </c>
      <c r="AX25" t="str">
        <f t="shared" si="10"/>
        <v>+00</v>
      </c>
      <c r="AY25" t="str">
        <f t="shared" si="11"/>
        <v>+00</v>
      </c>
      <c r="BA25" s="47" t="b">
        <f t="shared" si="60"/>
        <v>1</v>
      </c>
      <c r="BB25" s="42" t="b">
        <f t="shared" si="61"/>
        <v>1</v>
      </c>
      <c r="BC25" s="42" t="b">
        <f t="shared" si="62"/>
        <v>0</v>
      </c>
      <c r="BD25" s="42" t="b">
        <f t="shared" si="63"/>
        <v>0</v>
      </c>
      <c r="BE25" s="70">
        <f t="shared" si="64"/>
        <v>0</v>
      </c>
      <c r="BF25" s="70">
        <f t="shared" si="65"/>
        <v>0</v>
      </c>
      <c r="BG25" s="34"/>
      <c r="BI25" s="47" t="b">
        <f t="shared" si="66"/>
        <v>1</v>
      </c>
      <c r="BJ25" s="47" t="b">
        <f t="shared" si="67"/>
        <v>1</v>
      </c>
      <c r="BK25" s="42" t="b">
        <f t="shared" si="68"/>
        <v>0</v>
      </c>
      <c r="BL25" s="42" t="b">
        <f t="shared" si="69"/>
        <v>0</v>
      </c>
      <c r="BM25" s="42">
        <f t="shared" si="70"/>
        <v>0</v>
      </c>
      <c r="BN25" s="42">
        <f t="shared" si="71"/>
        <v>0</v>
      </c>
      <c r="BP25" t="e">
        <f t="shared" si="72"/>
        <v>#N/A</v>
      </c>
      <c r="BQ25" t="e">
        <f t="shared" si="73"/>
        <v>#N/A</v>
      </c>
      <c r="BR25" t="e">
        <f t="shared" si="74"/>
        <v>#N/A</v>
      </c>
      <c r="BT25" s="60">
        <f t="shared" si="16"/>
        <v>0</v>
      </c>
      <c r="BU25" s="60">
        <f t="shared" si="17"/>
        <v>0</v>
      </c>
      <c r="BV25" s="60">
        <f t="shared" si="18"/>
        <v>0</v>
      </c>
      <c r="BW25" s="60">
        <f t="shared" si="19"/>
        <v>0</v>
      </c>
      <c r="BX25" s="60">
        <f t="shared" si="75"/>
        <v>0</v>
      </c>
      <c r="BY25" s="60">
        <f t="shared" si="76"/>
        <v>0</v>
      </c>
      <c r="BZ25" s="60">
        <f t="shared" si="77"/>
        <v>0</v>
      </c>
      <c r="CA25" s="60">
        <f t="shared" si="78"/>
        <v>0</v>
      </c>
      <c r="CB25" s="60" t="e">
        <f t="shared" si="20"/>
        <v>#N/A</v>
      </c>
      <c r="CC25" s="60">
        <f t="shared" si="21"/>
        <v>100000</v>
      </c>
      <c r="CD25" s="60" t="e">
        <f t="shared" si="22"/>
        <v>#N/A</v>
      </c>
      <c r="CE25" s="60">
        <f t="shared" si="23"/>
        <v>100000</v>
      </c>
      <c r="CF25" s="83" t="e">
        <f t="shared" si="79"/>
        <v>#N/A</v>
      </c>
      <c r="CG25" s="83">
        <f t="shared" si="80"/>
        <v>0</v>
      </c>
      <c r="CH25" s="83" t="e">
        <f t="shared" si="81"/>
        <v>#N/A</v>
      </c>
      <c r="CI25" s="83">
        <f t="shared" si="82"/>
        <v>0</v>
      </c>
      <c r="CJ25" s="86" t="e">
        <f t="shared" si="24"/>
        <v>#N/A</v>
      </c>
      <c r="CK25" s="82">
        <f t="shared" si="25"/>
        <v>5.3070370403969858E-3</v>
      </c>
      <c r="CL25" s="82" t="e">
        <f t="shared" si="26"/>
        <v>#N/A</v>
      </c>
      <c r="CM25" s="82">
        <f t="shared" si="27"/>
        <v>5.3070370403969858E-3</v>
      </c>
      <c r="CO25" s="149" t="str">
        <f>IF($I25&lt;&gt;"",IF(O25="User Specified",U25,INDEX('Refrigerant GWPs'!$G$2:$G$156,MATCH(O25,'Refrigerant GWPs'!$A$2:$A$156,0))),"")</f>
        <v/>
      </c>
      <c r="CP25" s="138" t="str">
        <f>IF($I25&lt;&gt;"",INDEX('Device Refrigerant Leakage'!$E$2:$E$42,MATCH($M25,'Device Refrigerant Leakage'!$B$2:$B$42,0)),"")</f>
        <v/>
      </c>
      <c r="CQ25" s="138" t="str">
        <f>IF($I25&lt;&gt;"",INDEX('Device Refrigerant Leakage'!$F$2:$F$42,MATCH($M25,'Device Refrigerant Leakage'!$B$2:$B$42,0)),"")</f>
        <v/>
      </c>
      <c r="CR25" s="145" t="str">
        <f>IF($I25&lt;&gt;"",INDEX('Device Refrigerant Leakage'!$G$2:$G$42,MATCH($M25,'Device Refrigerant Leakage'!$B$2:$B$42,0)),"")</f>
        <v/>
      </c>
      <c r="CS25" s="145" t="str">
        <f>IF($I25&lt;&gt;"",INDEX('Device Refrigerant Leakage'!$D$2:$D$42,MATCH($M25,'Device Refrigerant Leakage'!$B$2:$B$42,0))*CP25/2204.62*CO25,"")</f>
        <v/>
      </c>
      <c r="CT25" s="145" t="str">
        <f>IF($I25&lt;&gt;"",J25*(INDEX('Device Refrigerant Leakage'!$D$2:$D$42,MATCH($M25,'Device Refrigerant Leakage'!$B$2:$B$42,0))-(INDEX('Device Refrigerant Leakage'!$D$2:$D$42,MATCH($M25,'Device Refrigerant Leakage'!$B$2:$B$42,0)))*CR25*CP25)*CQ25/2204.62*CO25,"")</f>
        <v/>
      </c>
      <c r="CU25" s="135" t="str">
        <f>IF($I25&lt;&gt;"",J25*IF(W25&lt;&gt;"AR",(CS25*K25)+CT25,(CS25*AB25)+CT25*(AB25/INDEX('Device Refrigerant Leakage'!$C$2:$C$42,MATCH($M25,'Device Refrigerant Leakage'!$B$2:$B$42,0)))),"")</f>
        <v/>
      </c>
      <c r="CW25" s="135" t="str">
        <f>IF($I25&lt;&gt;"",IF(S25="User Specified",V25,INDEX('Refrigerant GWPs'!$G$2:$G$156,MATCH(S25,'Refrigerant GWPs'!$A$2:$A$157,0))),"")</f>
        <v/>
      </c>
      <c r="CX25" s="138" t="str">
        <f>IF($I25&lt;&gt;"",INDEX('Device Refrigerant Leakage'!$E$2:$E$42,MATCH($Q25,'Device Refrigerant Leakage'!$B$2:$B$42,0)),"")</f>
        <v/>
      </c>
      <c r="CY25" s="138" t="str">
        <f>IF($I25&lt;&gt;"",INDEX('Device Refrigerant Leakage'!$F$2:$F$42,MATCH($Q25,'Device Refrigerant Leakage'!$B$2:$B$42,0)),"")</f>
        <v/>
      </c>
      <c r="CZ25" s="145" t="str">
        <f>IF($I25&lt;&gt;"",INDEX('Device Refrigerant Leakage'!$G$2:$G$42,MATCH($Q25,'Device Refrigerant Leakage'!$B$2:$B$42,0)),"")</f>
        <v/>
      </c>
      <c r="DA25" s="145" t="str">
        <f>IF($I25&lt;&gt;"",J25*INDEX('Device Refrigerant Leakage'!$D$2:$D$42,MATCH($Q25,'Device Refrigerant Leakage'!$B$2:$B$42,0))*CX25/2204.62*CW25,"")</f>
        <v/>
      </c>
      <c r="DB25" s="145" t="str">
        <f>IF($I25&lt;&gt;"",J25*(INDEX('Device Refrigerant Leakage'!$D$2:$D$42,MATCH($Q25,'Device Refrigerant Leakage'!$B$2:$B$42,0))-(INDEX('Device Refrigerant Leakage'!$D$2:$D$42,MATCH($Q25,'Device Refrigerant Leakage'!$B$2:$B$42,0)))*CZ25*CX25)*CY25/2204.62*CW25,"")</f>
        <v/>
      </c>
      <c r="DC25" s="135" t="str">
        <f t="shared" si="59"/>
        <v/>
      </c>
      <c r="DE25" s="146" t="str">
        <f>IF(W25&lt;&gt;"AR","",IF(Y25="User Specified", AA25, INDEX('Refrigerant GWPs'!$G$2:$G$154,MATCH(Y25,'Refrigerant GWPs'!$A$2:$A$154,0))))</f>
        <v/>
      </c>
      <c r="DF25" s="146" t="str">
        <f>IF(W25&lt;&gt;"AR","",INDEX('Device Refrigerant Leakage'!$E$2:$E$42,MATCH(X25,'Device Refrigerant Leakage'!$B$2:$B$42,0)))</f>
        <v/>
      </c>
      <c r="DG25" s="146" t="str">
        <f>IF(W25&lt;&gt;"AR","",INDEX('Device Refrigerant Leakage'!$F$2:$F$42,MATCH(X25,'Device Refrigerant Leakage'!$B$2:$B$42,0)))</f>
        <v/>
      </c>
      <c r="DH25" s="146" t="str">
        <f>IF(W25&lt;&gt;"AR","",INDEX('Device Refrigerant Leakage'!$G$2:$G$42,MATCH(X25,'Device Refrigerant Leakage'!$B$2:$B$42,0)))</f>
        <v/>
      </c>
      <c r="DI25" s="146" t="str">
        <f>IF(W25&lt;&gt;"AR","",J25*INDEX('Device Refrigerant Leakage'!$D$2:$D$42,MATCH(X25,'Device Refrigerant Leakage'!$B$2:$B$42,0))*DF25/2204.62*DE25)</f>
        <v/>
      </c>
      <c r="DJ25" s="146" t="str">
        <f>IF(W25&lt;&gt;"AR","",J25*(INDEX('Device Refrigerant Leakage'!$D$2:$D$42,MATCH(X25,'Device Refrigerant Leakage'!$B$2:$B$42,0))-(INDEX('Device Refrigerant Leakage'!$D$2:$D$42,MATCH(X25,'Device Refrigerant Leakage'!$B$2:$B$42,0)))*DH25*DF25)*DG25/2204.62*DE25)</f>
        <v/>
      </c>
      <c r="DK25" s="146" t="str">
        <f>IF(W25&lt;&gt;"AR","",DI25*(K25-AB25)+'Fuel Sub Calcs-Deemed'!DJ25*((K25-AB25)/INDEX('Device Refrigerant Leakage'!$C$2:$C$42,MATCH('Fuel Sub Calcs-Deemed'!X25,'Device Refrigerant Leakage'!$B$2:$B$42,0))))</f>
        <v/>
      </c>
      <c r="DM25" s="56">
        <v>11</v>
      </c>
      <c r="DN25" s="67" t="e">
        <f t="shared" si="28"/>
        <v>#N/A</v>
      </c>
      <c r="DO25" s="45" t="e">
        <f t="shared" si="29"/>
        <v>#N/A</v>
      </c>
      <c r="DP25" s="67" t="e">
        <f t="shared" si="30"/>
        <v>#N/A</v>
      </c>
      <c r="DQ25" s="45" t="e">
        <f t="shared" si="31"/>
        <v>#N/A</v>
      </c>
      <c r="DR25" s="69" t="e">
        <f t="shared" si="32"/>
        <v>#N/A</v>
      </c>
      <c r="DS25" s="34"/>
      <c r="DT25" s="67" t="e">
        <f>((BX25*CJ25)+IF($W25=MAT_AR,(BZ25*CL25),0))*(1+Reference!$E$50+Reference!$E$51)</f>
        <v>#N/A</v>
      </c>
      <c r="DU25" s="67">
        <f>((BY25*CK25)+IF($W25=MAT_AR,(CA25*CM25),0))*(1+Reference!$G$50+Reference!$G$51)</f>
        <v>0</v>
      </c>
      <c r="DV25" s="67" t="e">
        <f t="shared" si="33"/>
        <v>#VALUE!</v>
      </c>
      <c r="DX25" s="56">
        <v>11</v>
      </c>
      <c r="DY25" s="67">
        <f t="shared" si="34"/>
        <v>0</v>
      </c>
      <c r="DZ25" s="45" t="e">
        <f>VLOOKUP($R25,Dropdown!$C$3:$D$4,2,FALSE)</f>
        <v>#N/A</v>
      </c>
      <c r="EA25" s="68">
        <f t="shared" si="35"/>
        <v>0</v>
      </c>
      <c r="EB25" s="68" t="str">
        <f t="shared" si="36"/>
        <v>N/A</v>
      </c>
      <c r="EC25" s="68">
        <f t="shared" si="37"/>
        <v>0</v>
      </c>
      <c r="ED25" s="68" t="str">
        <f t="shared" si="38"/>
        <v>N/A</v>
      </c>
      <c r="EF25" s="56">
        <v>11</v>
      </c>
      <c r="EG25" s="46">
        <f t="shared" si="39"/>
        <v>0</v>
      </c>
      <c r="EH25" s="68" t="e">
        <f t="shared" si="40"/>
        <v>#N/A</v>
      </c>
      <c r="EI25" s="68" t="e">
        <f t="shared" si="41"/>
        <v>#N/A</v>
      </c>
      <c r="EJ25" s="68" t="e">
        <f t="shared" si="42"/>
        <v>#N/A</v>
      </c>
      <c r="EK25" s="68" t="e">
        <f t="shared" si="43"/>
        <v>#N/A</v>
      </c>
      <c r="EL25" s="46">
        <f t="shared" si="44"/>
        <v>0</v>
      </c>
      <c r="EM25" s="46">
        <f t="shared" si="45"/>
        <v>0</v>
      </c>
    </row>
    <row r="26" spans="1:143">
      <c r="A26" s="89"/>
      <c r="B26" s="89"/>
      <c r="D26" s="89"/>
      <c r="E26" s="89"/>
      <c r="F26" s="89"/>
      <c r="G26" s="34"/>
      <c r="H26" s="56">
        <f t="shared" si="46"/>
        <v>12</v>
      </c>
      <c r="I26" s="165"/>
      <c r="J26" s="163"/>
      <c r="K26" s="163"/>
      <c r="L26" s="164"/>
      <c r="M26" s="155"/>
      <c r="N26" s="155"/>
      <c r="O26" s="144"/>
      <c r="P26" s="159" t="str">
        <f>IFERROR(IF(O26&lt;&gt;"User Specified",IF(O26&lt;&gt;"", INDEX('Refrigerant GWPs'!$G$2:$G$154,MATCH(O26,'Refrigerant GWPs'!$A$2:$A$154,0)),""),U26),0)</f>
        <v/>
      </c>
      <c r="Q26" s="155"/>
      <c r="R26" s="155"/>
      <c r="S26" s="144"/>
      <c r="T26" s="159" t="str">
        <f>IF(S26&lt;&gt;"User Specified",IF(AND(S26&lt;&gt;"User Specified",S26&lt;&gt;""), INDEX('Refrigerant GWPs'!$G$2:$G$154,MATCH(S26,'Refrigerant GWPs'!$A$2:$A$154,0)),""),V26)</f>
        <v/>
      </c>
      <c r="U26" s="144"/>
      <c r="V26" s="144"/>
      <c r="W26" s="155"/>
      <c r="X26" s="155"/>
      <c r="Y26" s="155"/>
      <c r="Z26" s="159" t="str">
        <f>IF(AND(Y26&lt;&gt;"User Specified",Y26&lt;&gt;""), INDEX('Refrigerant GWPs'!$G$2:$G$154,MATCH(Y26,'Refrigerant GWPs'!$A$2:$A$154,0)),"")</f>
        <v/>
      </c>
      <c r="AA26" s="155"/>
      <c r="AB26" s="156">
        <v>5</v>
      </c>
      <c r="AC26" s="66"/>
      <c r="AD26" s="66"/>
      <c r="AE26" s="66"/>
      <c r="AF26" s="66"/>
      <c r="AG26" s="66"/>
      <c r="AH26" s="66"/>
      <c r="AI26" s="34"/>
      <c r="AJ26" s="88">
        <f t="shared" si="0"/>
        <v>0</v>
      </c>
      <c r="AK26" s="88">
        <f t="shared" si="1"/>
        <v>0</v>
      </c>
      <c r="AL26" s="88">
        <v>0</v>
      </c>
      <c r="AM26" s="88">
        <v>0</v>
      </c>
      <c r="AN26" s="81" t="str">
        <f t="shared" si="47"/>
        <v/>
      </c>
      <c r="AO26" s="88">
        <f t="shared" si="2"/>
        <v>0</v>
      </c>
      <c r="AP26" s="88">
        <f t="shared" si="3"/>
        <v>0</v>
      </c>
      <c r="AQ26" s="81" t="str">
        <f t="shared" si="4"/>
        <v/>
      </c>
      <c r="AS26" s="41" t="b">
        <f t="shared" si="5"/>
        <v>1</v>
      </c>
      <c r="AT26" s="38">
        <f t="shared" si="6"/>
        <v>0</v>
      </c>
      <c r="AU26" s="60">
        <f t="shared" si="7"/>
        <v>0</v>
      </c>
      <c r="AV26" s="41">
        <f t="shared" si="8"/>
        <v>0</v>
      </c>
      <c r="AW26" s="41" t="b">
        <f t="shared" si="9"/>
        <v>0</v>
      </c>
      <c r="AX26" t="str">
        <f t="shared" si="10"/>
        <v>+00</v>
      </c>
      <c r="AY26" t="str">
        <f t="shared" si="11"/>
        <v>+00</v>
      </c>
      <c r="BA26" s="47" t="b">
        <f t="shared" si="60"/>
        <v>1</v>
      </c>
      <c r="BB26" s="42" t="b">
        <f t="shared" si="61"/>
        <v>1</v>
      </c>
      <c r="BC26" s="42" t="b">
        <f t="shared" si="62"/>
        <v>0</v>
      </c>
      <c r="BD26" s="42" t="b">
        <f t="shared" si="63"/>
        <v>0</v>
      </c>
      <c r="BE26" s="70">
        <f t="shared" si="64"/>
        <v>0</v>
      </c>
      <c r="BF26" s="70">
        <f t="shared" si="65"/>
        <v>0</v>
      </c>
      <c r="BG26" s="34"/>
      <c r="BI26" s="47" t="b">
        <f t="shared" si="66"/>
        <v>1</v>
      </c>
      <c r="BJ26" s="47" t="b">
        <f t="shared" si="67"/>
        <v>1</v>
      </c>
      <c r="BK26" s="42" t="b">
        <f t="shared" si="68"/>
        <v>0</v>
      </c>
      <c r="BL26" s="42" t="b">
        <f t="shared" si="69"/>
        <v>0</v>
      </c>
      <c r="BM26" s="42">
        <f t="shared" si="70"/>
        <v>0</v>
      </c>
      <c r="BN26" s="42">
        <f t="shared" si="71"/>
        <v>0</v>
      </c>
      <c r="BP26" t="e">
        <f t="shared" si="72"/>
        <v>#N/A</v>
      </c>
      <c r="BQ26" t="e">
        <f t="shared" si="73"/>
        <v>#N/A</v>
      </c>
      <c r="BR26" t="e">
        <f t="shared" si="74"/>
        <v>#N/A</v>
      </c>
      <c r="BT26" s="60">
        <f t="shared" si="16"/>
        <v>0</v>
      </c>
      <c r="BU26" s="60">
        <f t="shared" si="17"/>
        <v>0</v>
      </c>
      <c r="BV26" s="60">
        <f t="shared" si="18"/>
        <v>0</v>
      </c>
      <c r="BW26" s="60">
        <f t="shared" si="19"/>
        <v>0</v>
      </c>
      <c r="BX26" s="60">
        <f t="shared" si="75"/>
        <v>0</v>
      </c>
      <c r="BY26" s="60">
        <f t="shared" si="76"/>
        <v>0</v>
      </c>
      <c r="BZ26" s="60">
        <f t="shared" si="77"/>
        <v>0</v>
      </c>
      <c r="CA26" s="60">
        <f t="shared" si="78"/>
        <v>0</v>
      </c>
      <c r="CB26" s="60" t="e">
        <f t="shared" si="20"/>
        <v>#N/A</v>
      </c>
      <c r="CC26" s="60">
        <f t="shared" si="21"/>
        <v>100000</v>
      </c>
      <c r="CD26" s="60" t="e">
        <f t="shared" si="22"/>
        <v>#N/A</v>
      </c>
      <c r="CE26" s="60">
        <f t="shared" si="23"/>
        <v>100000</v>
      </c>
      <c r="CF26" s="83" t="e">
        <f t="shared" si="79"/>
        <v>#N/A</v>
      </c>
      <c r="CG26" s="83">
        <f t="shared" si="80"/>
        <v>0</v>
      </c>
      <c r="CH26" s="83" t="e">
        <f t="shared" si="81"/>
        <v>#N/A</v>
      </c>
      <c r="CI26" s="83">
        <f t="shared" si="82"/>
        <v>0</v>
      </c>
      <c r="CJ26" s="86" t="e">
        <f t="shared" si="24"/>
        <v>#N/A</v>
      </c>
      <c r="CK26" s="82">
        <f t="shared" si="25"/>
        <v>5.3070370403969858E-3</v>
      </c>
      <c r="CL26" s="82" t="e">
        <f t="shared" si="26"/>
        <v>#N/A</v>
      </c>
      <c r="CM26" s="82">
        <f t="shared" si="27"/>
        <v>5.3070370403969858E-3</v>
      </c>
      <c r="CO26" s="149" t="str">
        <f>IF($I26&lt;&gt;"",IF(O26="User Specified",U26,INDEX('Refrigerant GWPs'!$G$2:$G$156,MATCH(O26,'Refrigerant GWPs'!$A$2:$A$156,0))),"")</f>
        <v/>
      </c>
      <c r="CP26" s="138" t="str">
        <f>IF($I26&lt;&gt;"",INDEX('Device Refrigerant Leakage'!$E$2:$E$42,MATCH($M26,'Device Refrigerant Leakage'!$B$2:$B$42,0)),"")</f>
        <v/>
      </c>
      <c r="CQ26" s="138" t="str">
        <f>IF($I26&lt;&gt;"",INDEX('Device Refrigerant Leakage'!$F$2:$F$42,MATCH($M26,'Device Refrigerant Leakage'!$B$2:$B$42,0)),"")</f>
        <v/>
      </c>
      <c r="CR26" s="145" t="str">
        <f>IF($I26&lt;&gt;"",INDEX('Device Refrigerant Leakage'!$G$2:$G$42,MATCH($M26,'Device Refrigerant Leakage'!$B$2:$B$42,0)),"")</f>
        <v/>
      </c>
      <c r="CS26" s="145" t="str">
        <f>IF($I26&lt;&gt;"",INDEX('Device Refrigerant Leakage'!$D$2:$D$42,MATCH($M26,'Device Refrigerant Leakage'!$B$2:$B$42,0))*CP26/2204.62*CO26,"")</f>
        <v/>
      </c>
      <c r="CT26" s="145" t="str">
        <f>IF($I26&lt;&gt;"",J26*(INDEX('Device Refrigerant Leakage'!$D$2:$D$42,MATCH($M26,'Device Refrigerant Leakage'!$B$2:$B$42,0))-(INDEX('Device Refrigerant Leakage'!$D$2:$D$42,MATCH($M26,'Device Refrigerant Leakage'!$B$2:$B$42,0)))*CR26*CP26)*CQ26/2204.62*CO26,"")</f>
        <v/>
      </c>
      <c r="CU26" s="135" t="str">
        <f>IF($I26&lt;&gt;"",J26*IF(W26&lt;&gt;"AR",(CS26*K26)+CT26,(CS26*AB26)+CT26*(AB26/INDEX('Device Refrigerant Leakage'!$C$2:$C$42,MATCH($M26,'Device Refrigerant Leakage'!$B$2:$B$42,0)))),"")</f>
        <v/>
      </c>
      <c r="CW26" s="135" t="str">
        <f>IF($I26&lt;&gt;"",IF(S26="User Specified",V26,INDEX('Refrigerant GWPs'!$G$2:$G$156,MATCH(S26,'Refrigerant GWPs'!$A$2:$A$157,0))),"")</f>
        <v/>
      </c>
      <c r="CX26" s="138" t="str">
        <f>IF($I26&lt;&gt;"",INDEX('Device Refrigerant Leakage'!$E$2:$E$42,MATCH($Q26,'Device Refrigerant Leakage'!$B$2:$B$42,0)),"")</f>
        <v/>
      </c>
      <c r="CY26" s="138" t="str">
        <f>IF($I26&lt;&gt;"",INDEX('Device Refrigerant Leakage'!$F$2:$F$42,MATCH($Q26,'Device Refrigerant Leakage'!$B$2:$B$42,0)),"")</f>
        <v/>
      </c>
      <c r="CZ26" s="145" t="str">
        <f>IF($I26&lt;&gt;"",INDEX('Device Refrigerant Leakage'!$G$2:$G$42,MATCH($Q26,'Device Refrigerant Leakage'!$B$2:$B$42,0)),"")</f>
        <v/>
      </c>
      <c r="DA26" s="145" t="str">
        <f>IF($I26&lt;&gt;"",J26*INDEX('Device Refrigerant Leakage'!$D$2:$D$42,MATCH($Q26,'Device Refrigerant Leakage'!$B$2:$B$42,0))*CX26/2204.62*CW26,"")</f>
        <v/>
      </c>
      <c r="DB26" s="145" t="str">
        <f>IF($I26&lt;&gt;"",J26*(INDEX('Device Refrigerant Leakage'!$D$2:$D$42,MATCH($Q26,'Device Refrigerant Leakage'!$B$2:$B$42,0))-(INDEX('Device Refrigerant Leakage'!$D$2:$D$42,MATCH($Q26,'Device Refrigerant Leakage'!$B$2:$B$42,0)))*CZ26*CX26)*CY26/2204.62*CW26,"")</f>
        <v/>
      </c>
      <c r="DC26" s="135" t="str">
        <f t="shared" si="59"/>
        <v/>
      </c>
      <c r="DE26" s="146" t="str">
        <f>IF(W26&lt;&gt;"AR","",IF(Y26="User Specified", AA26, INDEX('Refrigerant GWPs'!$G$2:$G$154,MATCH(Y26,'Refrigerant GWPs'!$A$2:$A$154,0))))</f>
        <v/>
      </c>
      <c r="DF26" s="146" t="str">
        <f>IF(W26&lt;&gt;"AR","",INDEX('Device Refrigerant Leakage'!$E$2:$E$42,MATCH(X26,'Device Refrigerant Leakage'!$B$2:$B$42,0)))</f>
        <v/>
      </c>
      <c r="DG26" s="146" t="str">
        <f>IF(W26&lt;&gt;"AR","",INDEX('Device Refrigerant Leakage'!$F$2:$F$42,MATCH(X26,'Device Refrigerant Leakage'!$B$2:$B$42,0)))</f>
        <v/>
      </c>
      <c r="DH26" s="146" t="str">
        <f>IF(W26&lt;&gt;"AR","",INDEX('Device Refrigerant Leakage'!$G$2:$G$42,MATCH(X26,'Device Refrigerant Leakage'!$B$2:$B$42,0)))</f>
        <v/>
      </c>
      <c r="DI26" s="146" t="str">
        <f>IF(W26&lt;&gt;"AR","",J26*INDEX('Device Refrigerant Leakage'!$D$2:$D$42,MATCH(X26,'Device Refrigerant Leakage'!$B$2:$B$42,0))*DF26/2204.62*DE26)</f>
        <v/>
      </c>
      <c r="DJ26" s="146" t="str">
        <f>IF(W26&lt;&gt;"AR","",J26*(INDEX('Device Refrigerant Leakage'!$D$2:$D$42,MATCH(X26,'Device Refrigerant Leakage'!$B$2:$B$42,0))-(INDEX('Device Refrigerant Leakage'!$D$2:$D$42,MATCH(X26,'Device Refrigerant Leakage'!$B$2:$B$42,0)))*DH26*DF26)*DG26/2204.62*DE26)</f>
        <v/>
      </c>
      <c r="DK26" s="146" t="str">
        <f>IF(W26&lt;&gt;"AR","",DI26*(K26-AB26)+'Fuel Sub Calcs-Deemed'!DJ26*((K26-AB26)/INDEX('Device Refrigerant Leakage'!$C$2:$C$42,MATCH('Fuel Sub Calcs-Deemed'!X26,'Device Refrigerant Leakage'!$B$2:$B$42,0))))</f>
        <v/>
      </c>
      <c r="DM26" s="56">
        <v>12</v>
      </c>
      <c r="DN26" s="67" t="e">
        <f t="shared" si="28"/>
        <v>#N/A</v>
      </c>
      <c r="DO26" s="45" t="e">
        <f t="shared" si="29"/>
        <v>#N/A</v>
      </c>
      <c r="DP26" s="67" t="e">
        <f t="shared" si="30"/>
        <v>#N/A</v>
      </c>
      <c r="DQ26" s="45" t="e">
        <f t="shared" si="31"/>
        <v>#N/A</v>
      </c>
      <c r="DR26" s="69" t="e">
        <f t="shared" si="32"/>
        <v>#N/A</v>
      </c>
      <c r="DS26" s="34"/>
      <c r="DT26" s="67" t="e">
        <f>((BX26*CJ26)+IF($W26=MAT_AR,(BZ26*CL26),0))*(1+Reference!$E$50+Reference!$E$51)</f>
        <v>#N/A</v>
      </c>
      <c r="DU26" s="67">
        <f>((BY26*CK26)+IF($W26=MAT_AR,(CA26*CM26),0))*(1+Reference!$G$50+Reference!$G$51)</f>
        <v>0</v>
      </c>
      <c r="DV26" s="67" t="e">
        <f t="shared" si="33"/>
        <v>#VALUE!</v>
      </c>
      <c r="DX26" s="56">
        <v>12</v>
      </c>
      <c r="DY26" s="67">
        <f t="shared" si="34"/>
        <v>0</v>
      </c>
      <c r="DZ26" s="45" t="e">
        <f>VLOOKUP($R26,Dropdown!$C$3:$D$4,2,FALSE)</f>
        <v>#N/A</v>
      </c>
      <c r="EA26" s="68">
        <f t="shared" si="35"/>
        <v>0</v>
      </c>
      <c r="EB26" s="68" t="str">
        <f t="shared" si="36"/>
        <v>N/A</v>
      </c>
      <c r="EC26" s="68">
        <f t="shared" si="37"/>
        <v>0</v>
      </c>
      <c r="ED26" s="68" t="str">
        <f t="shared" si="38"/>
        <v>N/A</v>
      </c>
      <c r="EF26" s="56">
        <v>12</v>
      </c>
      <c r="EG26" s="46">
        <f t="shared" si="39"/>
        <v>0</v>
      </c>
      <c r="EH26" s="68" t="e">
        <f t="shared" si="40"/>
        <v>#N/A</v>
      </c>
      <c r="EI26" s="68" t="e">
        <f t="shared" si="41"/>
        <v>#N/A</v>
      </c>
      <c r="EJ26" s="68" t="e">
        <f t="shared" si="42"/>
        <v>#N/A</v>
      </c>
      <c r="EK26" s="68" t="e">
        <f t="shared" si="43"/>
        <v>#N/A</v>
      </c>
      <c r="EL26" s="46">
        <f t="shared" si="44"/>
        <v>0</v>
      </c>
      <c r="EM26" s="46">
        <f t="shared" si="45"/>
        <v>0</v>
      </c>
    </row>
    <row r="27" spans="1:143">
      <c r="A27" s="89"/>
      <c r="B27" s="89"/>
      <c r="D27" s="89"/>
      <c r="E27" s="89"/>
      <c r="F27" s="89"/>
      <c r="G27" s="34"/>
      <c r="H27" s="56">
        <f t="shared" si="46"/>
        <v>13</v>
      </c>
      <c r="I27" s="165"/>
      <c r="J27" s="163"/>
      <c r="K27" s="163"/>
      <c r="L27" s="164"/>
      <c r="M27" s="155"/>
      <c r="N27" s="155"/>
      <c r="O27" s="144"/>
      <c r="P27" s="159" t="str">
        <f>IFERROR(IF(O27&lt;&gt;"User Specified",IF(O27&lt;&gt;"", INDEX('Refrigerant GWPs'!$G$2:$G$154,MATCH(O27,'Refrigerant GWPs'!$A$2:$A$154,0)),""),U27),0)</f>
        <v/>
      </c>
      <c r="Q27" s="155"/>
      <c r="R27" s="155"/>
      <c r="S27" s="144"/>
      <c r="T27" s="159" t="str">
        <f>IF(S27&lt;&gt;"User Specified",IF(AND(S27&lt;&gt;"User Specified",S27&lt;&gt;""), INDEX('Refrigerant GWPs'!$G$2:$G$154,MATCH(S27,'Refrigerant GWPs'!$A$2:$A$154,0)),""),V27)</f>
        <v/>
      </c>
      <c r="U27" s="144"/>
      <c r="V27" s="144"/>
      <c r="W27" s="155"/>
      <c r="X27" s="155"/>
      <c r="Y27" s="155"/>
      <c r="Z27" s="159" t="str">
        <f>IF(AND(Y27&lt;&gt;"User Specified",Y27&lt;&gt;""), INDEX('Refrigerant GWPs'!$G$2:$G$154,MATCH(Y27,'Refrigerant GWPs'!$A$2:$A$154,0)),"")</f>
        <v/>
      </c>
      <c r="AA27" s="155"/>
      <c r="AB27" s="156">
        <v>5</v>
      </c>
      <c r="AC27" s="66"/>
      <c r="AD27" s="66"/>
      <c r="AE27" s="66"/>
      <c r="AF27" s="66"/>
      <c r="AG27" s="66"/>
      <c r="AH27" s="66"/>
      <c r="AI27" s="34"/>
      <c r="AJ27" s="88">
        <f t="shared" si="0"/>
        <v>0</v>
      </c>
      <c r="AK27" s="88">
        <f t="shared" si="1"/>
        <v>0</v>
      </c>
      <c r="AL27" s="88">
        <v>0</v>
      </c>
      <c r="AM27" s="88">
        <v>0</v>
      </c>
      <c r="AN27" s="81" t="str">
        <f t="shared" si="47"/>
        <v/>
      </c>
      <c r="AO27" s="88">
        <f t="shared" si="2"/>
        <v>0</v>
      </c>
      <c r="AP27" s="88">
        <f t="shared" si="3"/>
        <v>0</v>
      </c>
      <c r="AQ27" s="81" t="str">
        <f t="shared" si="4"/>
        <v/>
      </c>
      <c r="AS27" s="41" t="b">
        <f t="shared" si="5"/>
        <v>1</v>
      </c>
      <c r="AT27" s="38">
        <f t="shared" si="6"/>
        <v>0</v>
      </c>
      <c r="AU27" s="60">
        <f t="shared" si="7"/>
        <v>0</v>
      </c>
      <c r="AV27" s="41">
        <f t="shared" si="8"/>
        <v>0</v>
      </c>
      <c r="AW27" s="41" t="b">
        <f t="shared" si="9"/>
        <v>0</v>
      </c>
      <c r="AX27" t="str">
        <f t="shared" si="10"/>
        <v>+00</v>
      </c>
      <c r="AY27" t="str">
        <f t="shared" si="11"/>
        <v>+00</v>
      </c>
      <c r="BA27" s="47" t="b">
        <f t="shared" si="60"/>
        <v>1</v>
      </c>
      <c r="BB27" s="42" t="b">
        <f t="shared" si="61"/>
        <v>1</v>
      </c>
      <c r="BC27" s="42" t="b">
        <f t="shared" si="62"/>
        <v>0</v>
      </c>
      <c r="BD27" s="42" t="b">
        <f t="shared" si="63"/>
        <v>0</v>
      </c>
      <c r="BE27" s="70">
        <f t="shared" si="64"/>
        <v>0</v>
      </c>
      <c r="BF27" s="70">
        <f t="shared" si="65"/>
        <v>0</v>
      </c>
      <c r="BG27" s="34"/>
      <c r="BI27" s="47" t="b">
        <f t="shared" si="66"/>
        <v>1</v>
      </c>
      <c r="BJ27" s="47" t="b">
        <f t="shared" si="67"/>
        <v>1</v>
      </c>
      <c r="BK27" s="42" t="b">
        <f t="shared" si="68"/>
        <v>0</v>
      </c>
      <c r="BL27" s="42" t="b">
        <f t="shared" si="69"/>
        <v>0</v>
      </c>
      <c r="BM27" s="42">
        <f t="shared" si="70"/>
        <v>0</v>
      </c>
      <c r="BN27" s="42">
        <f t="shared" si="71"/>
        <v>0</v>
      </c>
      <c r="BP27" t="e">
        <f t="shared" si="72"/>
        <v>#N/A</v>
      </c>
      <c r="BQ27" t="e">
        <f t="shared" si="73"/>
        <v>#N/A</v>
      </c>
      <c r="BR27" t="e">
        <f t="shared" si="74"/>
        <v>#N/A</v>
      </c>
      <c r="BT27" s="60">
        <f t="shared" si="16"/>
        <v>0</v>
      </c>
      <c r="BU27" s="60">
        <f t="shared" si="17"/>
        <v>0</v>
      </c>
      <c r="BV27" s="60">
        <f t="shared" si="18"/>
        <v>0</v>
      </c>
      <c r="BW27" s="60">
        <f t="shared" si="19"/>
        <v>0</v>
      </c>
      <c r="BX27" s="60">
        <f t="shared" si="75"/>
        <v>0</v>
      </c>
      <c r="BY27" s="60">
        <f t="shared" si="76"/>
        <v>0</v>
      </c>
      <c r="BZ27" s="60">
        <f t="shared" si="77"/>
        <v>0</v>
      </c>
      <c r="CA27" s="60">
        <f t="shared" si="78"/>
        <v>0</v>
      </c>
      <c r="CB27" s="60" t="e">
        <f t="shared" si="20"/>
        <v>#N/A</v>
      </c>
      <c r="CC27" s="60">
        <f t="shared" si="21"/>
        <v>100000</v>
      </c>
      <c r="CD27" s="60" t="e">
        <f t="shared" si="22"/>
        <v>#N/A</v>
      </c>
      <c r="CE27" s="60">
        <f t="shared" si="23"/>
        <v>100000</v>
      </c>
      <c r="CF27" s="83" t="e">
        <f t="shared" si="79"/>
        <v>#N/A</v>
      </c>
      <c r="CG27" s="83">
        <f t="shared" si="80"/>
        <v>0</v>
      </c>
      <c r="CH27" s="83" t="e">
        <f t="shared" si="81"/>
        <v>#N/A</v>
      </c>
      <c r="CI27" s="83">
        <f t="shared" si="82"/>
        <v>0</v>
      </c>
      <c r="CJ27" s="86" t="e">
        <f t="shared" si="24"/>
        <v>#N/A</v>
      </c>
      <c r="CK27" s="82">
        <f t="shared" si="25"/>
        <v>5.3070370403969858E-3</v>
      </c>
      <c r="CL27" s="82" t="e">
        <f t="shared" si="26"/>
        <v>#N/A</v>
      </c>
      <c r="CM27" s="82">
        <f t="shared" si="27"/>
        <v>5.3070370403969858E-3</v>
      </c>
      <c r="CO27" s="149" t="str">
        <f>IF($I27&lt;&gt;"",IF(O27="User Specified",U27,INDEX('Refrigerant GWPs'!$G$2:$G$156,MATCH(O27,'Refrigerant GWPs'!$A$2:$A$156,0))),"")</f>
        <v/>
      </c>
      <c r="CP27" s="138" t="str">
        <f>IF($I27&lt;&gt;"",INDEX('Device Refrigerant Leakage'!$E$2:$E$42,MATCH($M27,'Device Refrigerant Leakage'!$B$2:$B$42,0)),"")</f>
        <v/>
      </c>
      <c r="CQ27" s="138" t="str">
        <f>IF($I27&lt;&gt;"",INDEX('Device Refrigerant Leakage'!$F$2:$F$42,MATCH($M27,'Device Refrigerant Leakage'!$B$2:$B$42,0)),"")</f>
        <v/>
      </c>
      <c r="CR27" s="145" t="str">
        <f>IF($I27&lt;&gt;"",INDEX('Device Refrigerant Leakage'!$G$2:$G$42,MATCH($M27,'Device Refrigerant Leakage'!$B$2:$B$42,0)),"")</f>
        <v/>
      </c>
      <c r="CS27" s="145" t="str">
        <f>IF($I27&lt;&gt;"",INDEX('Device Refrigerant Leakage'!$D$2:$D$42,MATCH($M27,'Device Refrigerant Leakage'!$B$2:$B$42,0))*CP27/2204.62*CO27,"")</f>
        <v/>
      </c>
      <c r="CT27" s="145" t="str">
        <f>IF($I27&lt;&gt;"",J27*(INDEX('Device Refrigerant Leakage'!$D$2:$D$42,MATCH($M27,'Device Refrigerant Leakage'!$B$2:$B$42,0))-(INDEX('Device Refrigerant Leakage'!$D$2:$D$42,MATCH($M27,'Device Refrigerant Leakage'!$B$2:$B$42,0)))*CR27*CP27)*CQ27/2204.62*CO27,"")</f>
        <v/>
      </c>
      <c r="CU27" s="135" t="str">
        <f>IF($I27&lt;&gt;"",J27*IF(W27&lt;&gt;"AR",(CS27*K27)+CT27,(CS27*AB27)+CT27*(AB27/INDEX('Device Refrigerant Leakage'!$C$2:$C$42,MATCH($M27,'Device Refrigerant Leakage'!$B$2:$B$42,0)))),"")</f>
        <v/>
      </c>
      <c r="CW27" s="135" t="str">
        <f>IF($I27&lt;&gt;"",IF(S27="User Specified",V27,INDEX('Refrigerant GWPs'!$G$2:$G$156,MATCH(S27,'Refrigerant GWPs'!$A$2:$A$157,0))),"")</f>
        <v/>
      </c>
      <c r="CX27" s="138" t="str">
        <f>IF($I27&lt;&gt;"",INDEX('Device Refrigerant Leakage'!$E$2:$E$42,MATCH($Q27,'Device Refrigerant Leakage'!$B$2:$B$42,0)),"")</f>
        <v/>
      </c>
      <c r="CY27" s="138" t="str">
        <f>IF($I27&lt;&gt;"",INDEX('Device Refrigerant Leakage'!$F$2:$F$42,MATCH($Q27,'Device Refrigerant Leakage'!$B$2:$B$42,0)),"")</f>
        <v/>
      </c>
      <c r="CZ27" s="145" t="str">
        <f>IF($I27&lt;&gt;"",INDEX('Device Refrigerant Leakage'!$G$2:$G$42,MATCH($Q27,'Device Refrigerant Leakage'!$B$2:$B$42,0)),"")</f>
        <v/>
      </c>
      <c r="DA27" s="145" t="str">
        <f>IF($I27&lt;&gt;"",J27*INDEX('Device Refrigerant Leakage'!$D$2:$D$42,MATCH($Q27,'Device Refrigerant Leakage'!$B$2:$B$42,0))*CX27/2204.62*CW27,"")</f>
        <v/>
      </c>
      <c r="DB27" s="145" t="str">
        <f>IF($I27&lt;&gt;"",J27*(INDEX('Device Refrigerant Leakage'!$D$2:$D$42,MATCH($Q27,'Device Refrigerant Leakage'!$B$2:$B$42,0))-(INDEX('Device Refrigerant Leakage'!$D$2:$D$42,MATCH($Q27,'Device Refrigerant Leakage'!$B$2:$B$42,0)))*CZ27*CX27)*CY27/2204.62*CW27,"")</f>
        <v/>
      </c>
      <c r="DC27" s="135" t="str">
        <f t="shared" si="59"/>
        <v/>
      </c>
      <c r="DE27" s="146" t="str">
        <f>IF(W27&lt;&gt;"AR","",IF(Y27="User Specified", AA27, INDEX('Refrigerant GWPs'!$G$2:$G$154,MATCH(Y27,'Refrigerant GWPs'!$A$2:$A$154,0))))</f>
        <v/>
      </c>
      <c r="DF27" s="146" t="str">
        <f>IF(W27&lt;&gt;"AR","",INDEX('Device Refrigerant Leakage'!$E$2:$E$42,MATCH(X27,'Device Refrigerant Leakage'!$B$2:$B$42,0)))</f>
        <v/>
      </c>
      <c r="DG27" s="146" t="str">
        <f>IF(W27&lt;&gt;"AR","",INDEX('Device Refrigerant Leakage'!$F$2:$F$42,MATCH(X27,'Device Refrigerant Leakage'!$B$2:$B$42,0)))</f>
        <v/>
      </c>
      <c r="DH27" s="146" t="str">
        <f>IF(W27&lt;&gt;"AR","",INDEX('Device Refrigerant Leakage'!$G$2:$G$42,MATCH(X27,'Device Refrigerant Leakage'!$B$2:$B$42,0)))</f>
        <v/>
      </c>
      <c r="DI27" s="146" t="str">
        <f>IF(W27&lt;&gt;"AR","",J27*INDEX('Device Refrigerant Leakage'!$D$2:$D$42,MATCH(X27,'Device Refrigerant Leakage'!$B$2:$B$42,0))*DF27/2204.62*DE27)</f>
        <v/>
      </c>
      <c r="DJ27" s="146" t="str">
        <f>IF(W27&lt;&gt;"AR","",J27*(INDEX('Device Refrigerant Leakage'!$D$2:$D$42,MATCH(X27,'Device Refrigerant Leakage'!$B$2:$B$42,0))-(INDEX('Device Refrigerant Leakage'!$D$2:$D$42,MATCH(X27,'Device Refrigerant Leakage'!$B$2:$B$42,0)))*DH27*DF27)*DG27/2204.62*DE27)</f>
        <v/>
      </c>
      <c r="DK27" s="146" t="str">
        <f>IF(W27&lt;&gt;"AR","",DI27*(K27-AB27)+'Fuel Sub Calcs-Deemed'!DJ27*((K27-AB27)/INDEX('Device Refrigerant Leakage'!$C$2:$C$42,MATCH('Fuel Sub Calcs-Deemed'!X27,'Device Refrigerant Leakage'!$B$2:$B$42,0))))</f>
        <v/>
      </c>
      <c r="DM27" s="56">
        <v>13</v>
      </c>
      <c r="DN27" s="67" t="e">
        <f t="shared" si="28"/>
        <v>#N/A</v>
      </c>
      <c r="DO27" s="45" t="e">
        <f t="shared" si="29"/>
        <v>#N/A</v>
      </c>
      <c r="DP27" s="67" t="e">
        <f t="shared" si="30"/>
        <v>#N/A</v>
      </c>
      <c r="DQ27" s="45" t="e">
        <f t="shared" si="31"/>
        <v>#N/A</v>
      </c>
      <c r="DR27" s="69" t="e">
        <f t="shared" si="32"/>
        <v>#N/A</v>
      </c>
      <c r="DS27" s="34"/>
      <c r="DT27" s="67" t="e">
        <f>((BX27*CJ27)+IF($W27=MAT_AR,(BZ27*CL27),0))*(1+Reference!$E$50+Reference!$E$51)</f>
        <v>#N/A</v>
      </c>
      <c r="DU27" s="67">
        <f>((BY27*CK27)+IF($W27=MAT_AR,(CA27*CM27),0))*(1+Reference!$G$50+Reference!$G$51)</f>
        <v>0</v>
      </c>
      <c r="DV27" s="67" t="e">
        <f t="shared" si="33"/>
        <v>#VALUE!</v>
      </c>
      <c r="DX27" s="56">
        <v>13</v>
      </c>
      <c r="DY27" s="67">
        <f t="shared" si="34"/>
        <v>0</v>
      </c>
      <c r="DZ27" s="45" t="e">
        <f>VLOOKUP($R27,Dropdown!$C$3:$D$4,2,FALSE)</f>
        <v>#N/A</v>
      </c>
      <c r="EA27" s="68">
        <f t="shared" si="35"/>
        <v>0</v>
      </c>
      <c r="EB27" s="68" t="str">
        <f t="shared" si="36"/>
        <v>N/A</v>
      </c>
      <c r="EC27" s="68">
        <f t="shared" si="37"/>
        <v>0</v>
      </c>
      <c r="ED27" s="68" t="str">
        <f t="shared" si="38"/>
        <v>N/A</v>
      </c>
      <c r="EF27" s="56">
        <v>13</v>
      </c>
      <c r="EG27" s="46">
        <f t="shared" si="39"/>
        <v>0</v>
      </c>
      <c r="EH27" s="68" t="e">
        <f t="shared" si="40"/>
        <v>#N/A</v>
      </c>
      <c r="EI27" s="68" t="e">
        <f t="shared" si="41"/>
        <v>#N/A</v>
      </c>
      <c r="EJ27" s="68" t="e">
        <f t="shared" si="42"/>
        <v>#N/A</v>
      </c>
      <c r="EK27" s="68" t="e">
        <f t="shared" si="43"/>
        <v>#N/A</v>
      </c>
      <c r="EL27" s="46">
        <f t="shared" si="44"/>
        <v>0</v>
      </c>
      <c r="EM27" s="46">
        <f t="shared" si="45"/>
        <v>0</v>
      </c>
    </row>
    <row r="28" spans="1:143">
      <c r="A28" s="89"/>
      <c r="B28" s="89"/>
      <c r="D28" s="89"/>
      <c r="E28" s="89"/>
      <c r="F28" s="89"/>
      <c r="G28" s="34"/>
      <c r="H28" s="56">
        <f t="shared" si="46"/>
        <v>14</v>
      </c>
      <c r="I28" s="165"/>
      <c r="J28" s="163"/>
      <c r="K28" s="163"/>
      <c r="L28" s="164"/>
      <c r="M28" s="155"/>
      <c r="N28" s="155"/>
      <c r="O28" s="144"/>
      <c r="P28" s="159" t="str">
        <f>IFERROR(IF(O28&lt;&gt;"User Specified",IF(O28&lt;&gt;"", INDEX('Refrigerant GWPs'!$G$2:$G$154,MATCH(O28,'Refrigerant GWPs'!$A$2:$A$154,0)),""),U28),0)</f>
        <v/>
      </c>
      <c r="Q28" s="155"/>
      <c r="R28" s="155"/>
      <c r="S28" s="144"/>
      <c r="T28" s="159" t="str">
        <f>IF(S28&lt;&gt;"User Specified",IF(AND(S28&lt;&gt;"User Specified",S28&lt;&gt;""), INDEX('Refrigerant GWPs'!$G$2:$G$154,MATCH(S28,'Refrigerant GWPs'!$A$2:$A$154,0)),""),V28)</f>
        <v/>
      </c>
      <c r="U28" s="144"/>
      <c r="V28" s="144"/>
      <c r="W28" s="155"/>
      <c r="X28" s="155"/>
      <c r="Y28" s="155"/>
      <c r="Z28" s="159" t="str">
        <f>IF(AND(Y28&lt;&gt;"User Specified",Y28&lt;&gt;""), INDEX('Refrigerant GWPs'!$G$2:$G$154,MATCH(Y28,'Refrigerant GWPs'!$A$2:$A$154,0)),"")</f>
        <v/>
      </c>
      <c r="AA28" s="155"/>
      <c r="AB28" s="156">
        <v>5</v>
      </c>
      <c r="AC28" s="66"/>
      <c r="AD28" s="66"/>
      <c r="AE28" s="66"/>
      <c r="AF28" s="66"/>
      <c r="AG28" s="66"/>
      <c r="AH28" s="66"/>
      <c r="AI28" s="34"/>
      <c r="AJ28" s="88">
        <f t="shared" si="0"/>
        <v>0</v>
      </c>
      <c r="AK28" s="88">
        <f t="shared" si="1"/>
        <v>0</v>
      </c>
      <c r="AL28" s="88">
        <v>0</v>
      </c>
      <c r="AM28" s="88">
        <v>0</v>
      </c>
      <c r="AN28" s="81" t="str">
        <f t="shared" si="47"/>
        <v/>
      </c>
      <c r="AO28" s="88">
        <f t="shared" si="2"/>
        <v>0</v>
      </c>
      <c r="AP28" s="88">
        <f t="shared" si="3"/>
        <v>0</v>
      </c>
      <c r="AQ28" s="81" t="str">
        <f t="shared" si="4"/>
        <v/>
      </c>
      <c r="AS28" s="41" t="b">
        <f t="shared" si="5"/>
        <v>1</v>
      </c>
      <c r="AT28" s="38">
        <f t="shared" si="6"/>
        <v>0</v>
      </c>
      <c r="AU28" s="60">
        <f t="shared" si="7"/>
        <v>0</v>
      </c>
      <c r="AV28" s="41">
        <f t="shared" si="8"/>
        <v>0</v>
      </c>
      <c r="AW28" s="41" t="b">
        <f t="shared" si="9"/>
        <v>0</v>
      </c>
      <c r="AX28" t="str">
        <f t="shared" si="10"/>
        <v>+00</v>
      </c>
      <c r="AY28" t="str">
        <f t="shared" si="11"/>
        <v>+00</v>
      </c>
      <c r="BA28" s="47" t="b">
        <f t="shared" si="60"/>
        <v>1</v>
      </c>
      <c r="BB28" s="42" t="b">
        <f t="shared" si="61"/>
        <v>1</v>
      </c>
      <c r="BC28" s="42" t="b">
        <f t="shared" si="62"/>
        <v>0</v>
      </c>
      <c r="BD28" s="42" t="b">
        <f t="shared" si="63"/>
        <v>0</v>
      </c>
      <c r="BE28" s="70">
        <f t="shared" si="64"/>
        <v>0</v>
      </c>
      <c r="BF28" s="70">
        <f t="shared" si="65"/>
        <v>0</v>
      </c>
      <c r="BG28" s="34"/>
      <c r="BI28" s="47" t="b">
        <f t="shared" si="66"/>
        <v>1</v>
      </c>
      <c r="BJ28" s="47" t="b">
        <f t="shared" si="67"/>
        <v>1</v>
      </c>
      <c r="BK28" s="42" t="b">
        <f t="shared" si="68"/>
        <v>0</v>
      </c>
      <c r="BL28" s="42" t="b">
        <f t="shared" si="69"/>
        <v>0</v>
      </c>
      <c r="BM28" s="42">
        <f t="shared" si="70"/>
        <v>0</v>
      </c>
      <c r="BN28" s="42">
        <f t="shared" si="71"/>
        <v>0</v>
      </c>
      <c r="BP28" t="e">
        <f t="shared" si="72"/>
        <v>#N/A</v>
      </c>
      <c r="BQ28" t="e">
        <f t="shared" si="73"/>
        <v>#N/A</v>
      </c>
      <c r="BR28" t="e">
        <f t="shared" si="74"/>
        <v>#N/A</v>
      </c>
      <c r="BT28" s="60">
        <f t="shared" si="16"/>
        <v>0</v>
      </c>
      <c r="BU28" s="60">
        <f t="shared" si="17"/>
        <v>0</v>
      </c>
      <c r="BV28" s="60">
        <f t="shared" si="18"/>
        <v>0</v>
      </c>
      <c r="BW28" s="60">
        <f t="shared" si="19"/>
        <v>0</v>
      </c>
      <c r="BX28" s="60">
        <f t="shared" si="75"/>
        <v>0</v>
      </c>
      <c r="BY28" s="60">
        <f t="shared" si="76"/>
        <v>0</v>
      </c>
      <c r="BZ28" s="60">
        <f t="shared" si="77"/>
        <v>0</v>
      </c>
      <c r="CA28" s="60">
        <f t="shared" si="78"/>
        <v>0</v>
      </c>
      <c r="CB28" s="60" t="e">
        <f t="shared" si="20"/>
        <v>#N/A</v>
      </c>
      <c r="CC28" s="60">
        <f t="shared" si="21"/>
        <v>100000</v>
      </c>
      <c r="CD28" s="60" t="e">
        <f t="shared" si="22"/>
        <v>#N/A</v>
      </c>
      <c r="CE28" s="60">
        <f t="shared" si="23"/>
        <v>100000</v>
      </c>
      <c r="CF28" s="83" t="e">
        <f t="shared" si="79"/>
        <v>#N/A</v>
      </c>
      <c r="CG28" s="83">
        <f t="shared" si="80"/>
        <v>0</v>
      </c>
      <c r="CH28" s="83" t="e">
        <f t="shared" si="81"/>
        <v>#N/A</v>
      </c>
      <c r="CI28" s="83">
        <f t="shared" si="82"/>
        <v>0</v>
      </c>
      <c r="CJ28" s="86" t="e">
        <f t="shared" si="24"/>
        <v>#N/A</v>
      </c>
      <c r="CK28" s="82">
        <f t="shared" si="25"/>
        <v>5.3070370403969858E-3</v>
      </c>
      <c r="CL28" s="82" t="e">
        <f t="shared" si="26"/>
        <v>#N/A</v>
      </c>
      <c r="CM28" s="82">
        <f t="shared" si="27"/>
        <v>5.3070370403969858E-3</v>
      </c>
      <c r="CO28" s="149" t="str">
        <f>IF($I28&lt;&gt;"",IF(O28="User Specified",U28,INDEX('Refrigerant GWPs'!$G$2:$G$156,MATCH(O28,'Refrigerant GWPs'!$A$2:$A$156,0))),"")</f>
        <v/>
      </c>
      <c r="CP28" s="138" t="str">
        <f>IF($I28&lt;&gt;"",INDEX('Device Refrigerant Leakage'!$E$2:$E$42,MATCH($M28,'Device Refrigerant Leakage'!$B$2:$B$42,0)),"")</f>
        <v/>
      </c>
      <c r="CQ28" s="138" t="str">
        <f>IF($I28&lt;&gt;"",INDEX('Device Refrigerant Leakage'!$F$2:$F$42,MATCH($M28,'Device Refrigerant Leakage'!$B$2:$B$42,0)),"")</f>
        <v/>
      </c>
      <c r="CR28" s="145" t="str">
        <f>IF($I28&lt;&gt;"",INDEX('Device Refrigerant Leakage'!$G$2:$G$42,MATCH($M28,'Device Refrigerant Leakage'!$B$2:$B$42,0)),"")</f>
        <v/>
      </c>
      <c r="CS28" s="145" t="str">
        <f>IF($I28&lt;&gt;"",INDEX('Device Refrigerant Leakage'!$D$2:$D$42,MATCH($M28,'Device Refrigerant Leakage'!$B$2:$B$42,0))*CP28/2204.62*CO28,"")</f>
        <v/>
      </c>
      <c r="CT28" s="145" t="str">
        <f>IF($I28&lt;&gt;"",J28*(INDEX('Device Refrigerant Leakage'!$D$2:$D$42,MATCH($M28,'Device Refrigerant Leakage'!$B$2:$B$42,0))-(INDEX('Device Refrigerant Leakage'!$D$2:$D$42,MATCH($M28,'Device Refrigerant Leakage'!$B$2:$B$42,0)))*CR28*CP28)*CQ28/2204.62*CO28,"")</f>
        <v/>
      </c>
      <c r="CU28" s="135" t="str">
        <f>IF($I28&lt;&gt;"",J28*IF(W28&lt;&gt;"AR",(CS28*K28)+CT28,(CS28*AB28)+CT28*(AB28/INDEX('Device Refrigerant Leakage'!$C$2:$C$42,MATCH($M28,'Device Refrigerant Leakage'!$B$2:$B$42,0)))),"")</f>
        <v/>
      </c>
      <c r="CW28" s="135" t="str">
        <f>IF($I28&lt;&gt;"",IF(S28="User Specified",V28,INDEX('Refrigerant GWPs'!$G$2:$G$156,MATCH(S28,'Refrigerant GWPs'!$A$2:$A$157,0))),"")</f>
        <v/>
      </c>
      <c r="CX28" s="138" t="str">
        <f>IF($I28&lt;&gt;"",INDEX('Device Refrigerant Leakage'!$E$2:$E$42,MATCH($Q28,'Device Refrigerant Leakage'!$B$2:$B$42,0)),"")</f>
        <v/>
      </c>
      <c r="CY28" s="138" t="str">
        <f>IF($I28&lt;&gt;"",INDEX('Device Refrigerant Leakage'!$F$2:$F$42,MATCH($Q28,'Device Refrigerant Leakage'!$B$2:$B$42,0)),"")</f>
        <v/>
      </c>
      <c r="CZ28" s="145" t="str">
        <f>IF($I28&lt;&gt;"",INDEX('Device Refrigerant Leakage'!$G$2:$G$42,MATCH($Q28,'Device Refrigerant Leakage'!$B$2:$B$42,0)),"")</f>
        <v/>
      </c>
      <c r="DA28" s="145" t="str">
        <f>IF($I28&lt;&gt;"",J28*INDEX('Device Refrigerant Leakage'!$D$2:$D$42,MATCH($Q28,'Device Refrigerant Leakage'!$B$2:$B$42,0))*CX28/2204.62*CW28,"")</f>
        <v/>
      </c>
      <c r="DB28" s="145" t="str">
        <f>IF($I28&lt;&gt;"",J28*(INDEX('Device Refrigerant Leakage'!$D$2:$D$42,MATCH($Q28,'Device Refrigerant Leakage'!$B$2:$B$42,0))-(INDEX('Device Refrigerant Leakage'!$D$2:$D$42,MATCH($Q28,'Device Refrigerant Leakage'!$B$2:$B$42,0)))*CZ28*CX28)*CY28/2204.62*CW28,"")</f>
        <v/>
      </c>
      <c r="DC28" s="135" t="str">
        <f t="shared" si="59"/>
        <v/>
      </c>
      <c r="DE28" s="146" t="str">
        <f>IF(W28&lt;&gt;"AR","",IF(Y28="User Specified", AA28, INDEX('Refrigerant GWPs'!$G$2:$G$154,MATCH(Y28,'Refrigerant GWPs'!$A$2:$A$154,0))))</f>
        <v/>
      </c>
      <c r="DF28" s="146" t="str">
        <f>IF(W28&lt;&gt;"AR","",INDEX('Device Refrigerant Leakage'!$E$2:$E$42,MATCH(X28,'Device Refrigerant Leakage'!$B$2:$B$42,0)))</f>
        <v/>
      </c>
      <c r="DG28" s="146" t="str">
        <f>IF(W28&lt;&gt;"AR","",INDEX('Device Refrigerant Leakage'!$F$2:$F$42,MATCH(X28,'Device Refrigerant Leakage'!$B$2:$B$42,0)))</f>
        <v/>
      </c>
      <c r="DH28" s="146" t="str">
        <f>IF(W28&lt;&gt;"AR","",INDEX('Device Refrigerant Leakage'!$G$2:$G$42,MATCH(X28,'Device Refrigerant Leakage'!$B$2:$B$42,0)))</f>
        <v/>
      </c>
      <c r="DI28" s="146" t="str">
        <f>IF(W28&lt;&gt;"AR","",J28*INDEX('Device Refrigerant Leakage'!$D$2:$D$42,MATCH(X28,'Device Refrigerant Leakage'!$B$2:$B$42,0))*DF28/2204.62*DE28)</f>
        <v/>
      </c>
      <c r="DJ28" s="146" t="str">
        <f>IF(W28&lt;&gt;"AR","",J28*(INDEX('Device Refrigerant Leakage'!$D$2:$D$42,MATCH(X28,'Device Refrigerant Leakage'!$B$2:$B$42,0))-(INDEX('Device Refrigerant Leakage'!$D$2:$D$42,MATCH(X28,'Device Refrigerant Leakage'!$B$2:$B$42,0)))*DH28*DF28)*DG28/2204.62*DE28)</f>
        <v/>
      </c>
      <c r="DK28" s="146" t="str">
        <f>IF(W28&lt;&gt;"AR","",DI28*(K28-AB28)+'Fuel Sub Calcs-Deemed'!DJ28*((K28-AB28)/INDEX('Device Refrigerant Leakage'!$C$2:$C$42,MATCH('Fuel Sub Calcs-Deemed'!X28,'Device Refrigerant Leakage'!$B$2:$B$42,0))))</f>
        <v/>
      </c>
      <c r="DM28" s="56">
        <v>14</v>
      </c>
      <c r="DN28" s="67" t="e">
        <f t="shared" si="28"/>
        <v>#N/A</v>
      </c>
      <c r="DO28" s="45" t="e">
        <f t="shared" si="29"/>
        <v>#N/A</v>
      </c>
      <c r="DP28" s="67" t="e">
        <f t="shared" si="30"/>
        <v>#N/A</v>
      </c>
      <c r="DQ28" s="45" t="e">
        <f t="shared" si="31"/>
        <v>#N/A</v>
      </c>
      <c r="DR28" s="69" t="e">
        <f t="shared" si="32"/>
        <v>#N/A</v>
      </c>
      <c r="DS28" s="34"/>
      <c r="DT28" s="67" t="e">
        <f>((BX28*CJ28)+IF($W28=MAT_AR,(BZ28*CL28),0))*(1+Reference!$E$50+Reference!$E$51)</f>
        <v>#N/A</v>
      </c>
      <c r="DU28" s="67">
        <f>((BY28*CK28)+IF($W28=MAT_AR,(CA28*CM28),0))*(1+Reference!$G$50+Reference!$G$51)</f>
        <v>0</v>
      </c>
      <c r="DV28" s="67" t="e">
        <f t="shared" si="33"/>
        <v>#VALUE!</v>
      </c>
      <c r="DX28" s="56">
        <v>14</v>
      </c>
      <c r="DY28" s="67">
        <f t="shared" si="34"/>
        <v>0</v>
      </c>
      <c r="DZ28" s="45" t="e">
        <f>VLOOKUP($R28,Dropdown!$C$3:$D$4,2,FALSE)</f>
        <v>#N/A</v>
      </c>
      <c r="EA28" s="68">
        <f t="shared" si="35"/>
        <v>0</v>
      </c>
      <c r="EB28" s="68" t="str">
        <f t="shared" si="36"/>
        <v>N/A</v>
      </c>
      <c r="EC28" s="68">
        <f t="shared" si="37"/>
        <v>0</v>
      </c>
      <c r="ED28" s="68" t="str">
        <f t="shared" si="38"/>
        <v>N/A</v>
      </c>
      <c r="EF28" s="56">
        <v>14</v>
      </c>
      <c r="EG28" s="46">
        <f t="shared" si="39"/>
        <v>0</v>
      </c>
      <c r="EH28" s="68" t="e">
        <f t="shared" si="40"/>
        <v>#N/A</v>
      </c>
      <c r="EI28" s="68" t="e">
        <f t="shared" si="41"/>
        <v>#N/A</v>
      </c>
      <c r="EJ28" s="68" t="e">
        <f t="shared" si="42"/>
        <v>#N/A</v>
      </c>
      <c r="EK28" s="68" t="e">
        <f t="shared" si="43"/>
        <v>#N/A</v>
      </c>
      <c r="EL28" s="46">
        <f t="shared" si="44"/>
        <v>0</v>
      </c>
      <c r="EM28" s="46">
        <f t="shared" si="45"/>
        <v>0</v>
      </c>
    </row>
    <row r="29" spans="1:143">
      <c r="A29" s="89"/>
      <c r="B29" s="89"/>
      <c r="D29" s="89"/>
      <c r="E29" s="89"/>
      <c r="F29" s="89"/>
      <c r="G29" s="34"/>
      <c r="H29" s="56">
        <f t="shared" si="46"/>
        <v>15</v>
      </c>
      <c r="I29" s="165"/>
      <c r="J29" s="163"/>
      <c r="K29" s="163"/>
      <c r="L29" s="164"/>
      <c r="M29" s="155"/>
      <c r="N29" s="155"/>
      <c r="O29" s="144"/>
      <c r="P29" s="159" t="str">
        <f>IFERROR(IF(O29&lt;&gt;"User Specified",IF(O29&lt;&gt;"", INDEX('Refrigerant GWPs'!$G$2:$G$154,MATCH(O29,'Refrigerant GWPs'!$A$2:$A$154,0)),""),U29),0)</f>
        <v/>
      </c>
      <c r="Q29" s="155"/>
      <c r="R29" s="155"/>
      <c r="S29" s="144"/>
      <c r="T29" s="159" t="str">
        <f>IF(S29&lt;&gt;"User Specified",IF(AND(S29&lt;&gt;"User Specified",S29&lt;&gt;""), INDEX('Refrigerant GWPs'!$G$2:$G$154,MATCH(S29,'Refrigerant GWPs'!$A$2:$A$154,0)),""),V29)</f>
        <v/>
      </c>
      <c r="U29" s="144"/>
      <c r="V29" s="144"/>
      <c r="W29" s="155"/>
      <c r="X29" s="155"/>
      <c r="Y29" s="155"/>
      <c r="Z29" s="159" t="str">
        <f>IF(AND(Y29&lt;&gt;"User Specified",Y29&lt;&gt;""), INDEX('Refrigerant GWPs'!$G$2:$G$154,MATCH(Y29,'Refrigerant GWPs'!$A$2:$A$154,0)),"")</f>
        <v/>
      </c>
      <c r="AA29" s="155"/>
      <c r="AB29" s="156">
        <v>5</v>
      </c>
      <c r="AC29" s="66"/>
      <c r="AD29" s="66"/>
      <c r="AE29" s="66"/>
      <c r="AF29" s="66"/>
      <c r="AG29" s="66"/>
      <c r="AH29" s="66"/>
      <c r="AI29" s="34"/>
      <c r="AJ29" s="88">
        <f t="shared" si="0"/>
        <v>0</v>
      </c>
      <c r="AK29" s="88">
        <f t="shared" si="1"/>
        <v>0</v>
      </c>
      <c r="AL29" s="88">
        <v>0</v>
      </c>
      <c r="AM29" s="88">
        <v>0</v>
      </c>
      <c r="AN29" s="81" t="str">
        <f t="shared" si="47"/>
        <v/>
      </c>
      <c r="AO29" s="88">
        <f t="shared" si="2"/>
        <v>0</v>
      </c>
      <c r="AP29" s="88">
        <f t="shared" si="3"/>
        <v>0</v>
      </c>
      <c r="AQ29" s="81" t="str">
        <f t="shared" si="4"/>
        <v/>
      </c>
      <c r="AS29" s="41" t="b">
        <f t="shared" si="5"/>
        <v>1</v>
      </c>
      <c r="AT29" s="38">
        <f t="shared" si="6"/>
        <v>0</v>
      </c>
      <c r="AU29" s="60">
        <f t="shared" si="7"/>
        <v>0</v>
      </c>
      <c r="AV29" s="41">
        <f t="shared" si="8"/>
        <v>0</v>
      </c>
      <c r="AW29" s="41" t="b">
        <f t="shared" si="9"/>
        <v>0</v>
      </c>
      <c r="AX29" t="str">
        <f t="shared" si="10"/>
        <v>+00</v>
      </c>
      <c r="AY29" t="str">
        <f t="shared" si="11"/>
        <v>+00</v>
      </c>
      <c r="BA29" s="47" t="b">
        <f t="shared" si="60"/>
        <v>1</v>
      </c>
      <c r="BB29" s="42" t="b">
        <f t="shared" si="61"/>
        <v>1</v>
      </c>
      <c r="BC29" s="42" t="b">
        <f t="shared" si="62"/>
        <v>0</v>
      </c>
      <c r="BD29" s="42" t="b">
        <f t="shared" si="63"/>
        <v>0</v>
      </c>
      <c r="BE29" s="70">
        <f t="shared" si="64"/>
        <v>0</v>
      </c>
      <c r="BF29" s="70">
        <f t="shared" si="65"/>
        <v>0</v>
      </c>
      <c r="BG29" s="34"/>
      <c r="BI29" s="47" t="b">
        <f t="shared" si="66"/>
        <v>1</v>
      </c>
      <c r="BJ29" s="47" t="b">
        <f t="shared" si="67"/>
        <v>1</v>
      </c>
      <c r="BK29" s="42" t="b">
        <f t="shared" si="68"/>
        <v>0</v>
      </c>
      <c r="BL29" s="42" t="b">
        <f t="shared" si="69"/>
        <v>0</v>
      </c>
      <c r="BM29" s="42">
        <f t="shared" si="70"/>
        <v>0</v>
      </c>
      <c r="BN29" s="42">
        <f t="shared" si="71"/>
        <v>0</v>
      </c>
      <c r="BP29" t="e">
        <f t="shared" si="72"/>
        <v>#N/A</v>
      </c>
      <c r="BQ29" t="e">
        <f t="shared" si="73"/>
        <v>#N/A</v>
      </c>
      <c r="BR29" t="e">
        <f t="shared" si="74"/>
        <v>#N/A</v>
      </c>
      <c r="BT29" s="60">
        <f t="shared" si="16"/>
        <v>0</v>
      </c>
      <c r="BU29" s="60">
        <f t="shared" si="17"/>
        <v>0</v>
      </c>
      <c r="BV29" s="60">
        <f t="shared" si="18"/>
        <v>0</v>
      </c>
      <c r="BW29" s="60">
        <f t="shared" si="19"/>
        <v>0</v>
      </c>
      <c r="BX29" s="60">
        <f t="shared" si="75"/>
        <v>0</v>
      </c>
      <c r="BY29" s="60">
        <f t="shared" si="76"/>
        <v>0</v>
      </c>
      <c r="BZ29" s="60">
        <f t="shared" si="77"/>
        <v>0</v>
      </c>
      <c r="CA29" s="60">
        <f t="shared" si="78"/>
        <v>0</v>
      </c>
      <c r="CB29" s="60" t="e">
        <f t="shared" si="20"/>
        <v>#N/A</v>
      </c>
      <c r="CC29" s="60">
        <f t="shared" si="21"/>
        <v>100000</v>
      </c>
      <c r="CD29" s="60" t="e">
        <f t="shared" si="22"/>
        <v>#N/A</v>
      </c>
      <c r="CE29" s="60">
        <f t="shared" si="23"/>
        <v>100000</v>
      </c>
      <c r="CF29" s="83" t="e">
        <f t="shared" si="79"/>
        <v>#N/A</v>
      </c>
      <c r="CG29" s="83">
        <f t="shared" si="80"/>
        <v>0</v>
      </c>
      <c r="CH29" s="83" t="e">
        <f t="shared" si="81"/>
        <v>#N/A</v>
      </c>
      <c r="CI29" s="83">
        <f t="shared" si="82"/>
        <v>0</v>
      </c>
      <c r="CJ29" s="86" t="e">
        <f t="shared" si="24"/>
        <v>#N/A</v>
      </c>
      <c r="CK29" s="82">
        <f t="shared" si="25"/>
        <v>5.3070370403969858E-3</v>
      </c>
      <c r="CL29" s="82" t="e">
        <f t="shared" si="26"/>
        <v>#N/A</v>
      </c>
      <c r="CM29" s="82">
        <f t="shared" si="27"/>
        <v>5.3070370403969858E-3</v>
      </c>
      <c r="CO29" s="149" t="str">
        <f>IF($I29&lt;&gt;"",IF(O29="User Specified",U29,INDEX('Refrigerant GWPs'!$G$2:$G$156,MATCH(O29,'Refrigerant GWPs'!$A$2:$A$156,0))),"")</f>
        <v/>
      </c>
      <c r="CP29" s="138" t="str">
        <f>IF($I29&lt;&gt;"",INDEX('Device Refrigerant Leakage'!$E$2:$E$42,MATCH($M29,'Device Refrigerant Leakage'!$B$2:$B$42,0)),"")</f>
        <v/>
      </c>
      <c r="CQ29" s="138" t="str">
        <f>IF($I29&lt;&gt;"",INDEX('Device Refrigerant Leakage'!$F$2:$F$42,MATCH($M29,'Device Refrigerant Leakage'!$B$2:$B$42,0)),"")</f>
        <v/>
      </c>
      <c r="CR29" s="145" t="str">
        <f>IF($I29&lt;&gt;"",INDEX('Device Refrigerant Leakage'!$G$2:$G$42,MATCH($M29,'Device Refrigerant Leakage'!$B$2:$B$42,0)),"")</f>
        <v/>
      </c>
      <c r="CS29" s="145" t="str">
        <f>IF($I29&lt;&gt;"",INDEX('Device Refrigerant Leakage'!$D$2:$D$42,MATCH($M29,'Device Refrigerant Leakage'!$B$2:$B$42,0))*CP29/2204.62*CO29,"")</f>
        <v/>
      </c>
      <c r="CT29" s="145" t="str">
        <f>IF($I29&lt;&gt;"",J29*(INDEX('Device Refrigerant Leakage'!$D$2:$D$42,MATCH($M29,'Device Refrigerant Leakage'!$B$2:$B$42,0))-(INDEX('Device Refrigerant Leakage'!$D$2:$D$42,MATCH($M29,'Device Refrigerant Leakage'!$B$2:$B$42,0)))*CR29*CP29)*CQ29/2204.62*CO29,"")</f>
        <v/>
      </c>
      <c r="CU29" s="135" t="str">
        <f>IF($I29&lt;&gt;"",J29*IF(W29&lt;&gt;"AR",(CS29*K29)+CT29,(CS29*AB29)+CT29*(AB29/INDEX('Device Refrigerant Leakage'!$C$2:$C$42,MATCH($M29,'Device Refrigerant Leakage'!$B$2:$B$42,0)))),"")</f>
        <v/>
      </c>
      <c r="CW29" s="135" t="str">
        <f>IF($I29&lt;&gt;"",IF(S29="User Specified",V29,INDEX('Refrigerant GWPs'!$G$2:$G$156,MATCH(S29,'Refrigerant GWPs'!$A$2:$A$157,0))),"")</f>
        <v/>
      </c>
      <c r="CX29" s="138" t="str">
        <f>IF($I29&lt;&gt;"",INDEX('Device Refrigerant Leakage'!$E$2:$E$42,MATCH($Q29,'Device Refrigerant Leakage'!$B$2:$B$42,0)),"")</f>
        <v/>
      </c>
      <c r="CY29" s="138" t="str">
        <f>IF($I29&lt;&gt;"",INDEX('Device Refrigerant Leakage'!$F$2:$F$42,MATCH($Q29,'Device Refrigerant Leakage'!$B$2:$B$42,0)),"")</f>
        <v/>
      </c>
      <c r="CZ29" s="145" t="str">
        <f>IF($I29&lt;&gt;"",INDEX('Device Refrigerant Leakage'!$G$2:$G$42,MATCH($Q29,'Device Refrigerant Leakage'!$B$2:$B$42,0)),"")</f>
        <v/>
      </c>
      <c r="DA29" s="145" t="str">
        <f>IF($I29&lt;&gt;"",J29*INDEX('Device Refrigerant Leakage'!$D$2:$D$42,MATCH($Q29,'Device Refrigerant Leakage'!$B$2:$B$42,0))*CX29/2204.62*CW29,"")</f>
        <v/>
      </c>
      <c r="DB29" s="145" t="str">
        <f>IF($I29&lt;&gt;"",J29*(INDEX('Device Refrigerant Leakage'!$D$2:$D$42,MATCH($Q29,'Device Refrigerant Leakage'!$B$2:$B$42,0))-(INDEX('Device Refrigerant Leakage'!$D$2:$D$42,MATCH($Q29,'Device Refrigerant Leakage'!$B$2:$B$42,0)))*CZ29*CX29)*CY29/2204.62*CW29,"")</f>
        <v/>
      </c>
      <c r="DC29" s="135" t="str">
        <f t="shared" si="59"/>
        <v/>
      </c>
      <c r="DE29" s="146" t="str">
        <f>IF(W29&lt;&gt;"AR","",IF(Y29="User Specified", AA29, INDEX('Refrigerant GWPs'!$G$2:$G$154,MATCH(Y29,'Refrigerant GWPs'!$A$2:$A$154,0))))</f>
        <v/>
      </c>
      <c r="DF29" s="146" t="str">
        <f>IF(W29&lt;&gt;"AR","",INDEX('Device Refrigerant Leakage'!$E$2:$E$42,MATCH(X29,'Device Refrigerant Leakage'!$B$2:$B$42,0)))</f>
        <v/>
      </c>
      <c r="DG29" s="146" t="str">
        <f>IF(W29&lt;&gt;"AR","",INDEX('Device Refrigerant Leakage'!$F$2:$F$42,MATCH(X29,'Device Refrigerant Leakage'!$B$2:$B$42,0)))</f>
        <v/>
      </c>
      <c r="DH29" s="146" t="str">
        <f>IF(W29&lt;&gt;"AR","",INDEX('Device Refrigerant Leakage'!$G$2:$G$42,MATCH(X29,'Device Refrigerant Leakage'!$B$2:$B$42,0)))</f>
        <v/>
      </c>
      <c r="DI29" s="146" t="str">
        <f>IF(W29&lt;&gt;"AR","",J29*INDEX('Device Refrigerant Leakage'!$D$2:$D$42,MATCH(X29,'Device Refrigerant Leakage'!$B$2:$B$42,0))*DF29/2204.62*DE29)</f>
        <v/>
      </c>
      <c r="DJ29" s="146" t="str">
        <f>IF(W29&lt;&gt;"AR","",J29*(INDEX('Device Refrigerant Leakage'!$D$2:$D$42,MATCH(X29,'Device Refrigerant Leakage'!$B$2:$B$42,0))-(INDEX('Device Refrigerant Leakage'!$D$2:$D$42,MATCH(X29,'Device Refrigerant Leakage'!$B$2:$B$42,0)))*DH29*DF29)*DG29/2204.62*DE29)</f>
        <v/>
      </c>
      <c r="DK29" s="146" t="str">
        <f>IF(W29&lt;&gt;"AR","",DI29*(K29-AB29)+'Fuel Sub Calcs-Deemed'!DJ29*((K29-AB29)/INDEX('Device Refrigerant Leakage'!$C$2:$C$42,MATCH('Fuel Sub Calcs-Deemed'!X29,'Device Refrigerant Leakage'!$B$2:$B$42,0))))</f>
        <v/>
      </c>
      <c r="DM29" s="56">
        <v>15</v>
      </c>
      <c r="DN29" s="67" t="e">
        <f t="shared" si="28"/>
        <v>#N/A</v>
      </c>
      <c r="DO29" s="45" t="e">
        <f t="shared" si="29"/>
        <v>#N/A</v>
      </c>
      <c r="DP29" s="67" t="e">
        <f t="shared" si="30"/>
        <v>#N/A</v>
      </c>
      <c r="DQ29" s="45" t="e">
        <f t="shared" si="31"/>
        <v>#N/A</v>
      </c>
      <c r="DR29" s="69" t="e">
        <f t="shared" si="32"/>
        <v>#N/A</v>
      </c>
      <c r="DS29" s="34"/>
      <c r="DT29" s="67" t="e">
        <f>((BX29*CJ29)+IF($W29=MAT_AR,(BZ29*CL29),0))*(1+Reference!$E$50+Reference!$E$51)</f>
        <v>#N/A</v>
      </c>
      <c r="DU29" s="67">
        <f>((BY29*CK29)+IF($W29=MAT_AR,(CA29*CM29),0))*(1+Reference!$G$50+Reference!$G$51)</f>
        <v>0</v>
      </c>
      <c r="DV29" s="67" t="e">
        <f t="shared" si="33"/>
        <v>#VALUE!</v>
      </c>
      <c r="DX29" s="56">
        <v>15</v>
      </c>
      <c r="DY29" s="67">
        <f t="shared" si="34"/>
        <v>0</v>
      </c>
      <c r="DZ29" s="45" t="e">
        <f>VLOOKUP($R29,Dropdown!$C$3:$D$4,2,FALSE)</f>
        <v>#N/A</v>
      </c>
      <c r="EA29" s="68">
        <f t="shared" si="35"/>
        <v>0</v>
      </c>
      <c r="EB29" s="68" t="str">
        <f t="shared" si="36"/>
        <v>N/A</v>
      </c>
      <c r="EC29" s="68">
        <f t="shared" si="37"/>
        <v>0</v>
      </c>
      <c r="ED29" s="68" t="str">
        <f t="shared" si="38"/>
        <v>N/A</v>
      </c>
      <c r="EF29" s="56">
        <v>15</v>
      </c>
      <c r="EG29" s="46">
        <f t="shared" si="39"/>
        <v>0</v>
      </c>
      <c r="EH29" s="68" t="e">
        <f t="shared" si="40"/>
        <v>#N/A</v>
      </c>
      <c r="EI29" s="68" t="e">
        <f t="shared" si="41"/>
        <v>#N/A</v>
      </c>
      <c r="EJ29" s="68" t="e">
        <f t="shared" si="42"/>
        <v>#N/A</v>
      </c>
      <c r="EK29" s="68" t="e">
        <f t="shared" si="43"/>
        <v>#N/A</v>
      </c>
      <c r="EL29" s="46">
        <f t="shared" si="44"/>
        <v>0</v>
      </c>
      <c r="EM29" s="46">
        <f t="shared" si="45"/>
        <v>0</v>
      </c>
    </row>
    <row r="30" spans="1:143">
      <c r="A30" s="89"/>
      <c r="B30" s="89"/>
      <c r="D30" s="89"/>
      <c r="E30" s="89"/>
      <c r="F30" s="89"/>
      <c r="G30" s="34"/>
      <c r="H30" s="56">
        <f t="shared" si="46"/>
        <v>16</v>
      </c>
      <c r="I30" s="165"/>
      <c r="J30" s="163"/>
      <c r="K30" s="163"/>
      <c r="L30" s="164"/>
      <c r="M30" s="155"/>
      <c r="N30" s="155"/>
      <c r="O30" s="144"/>
      <c r="P30" s="159" t="str">
        <f>IFERROR(IF(O30&lt;&gt;"User Specified",IF(O30&lt;&gt;"", INDEX('Refrigerant GWPs'!$G$2:$G$154,MATCH(O30,'Refrigerant GWPs'!$A$2:$A$154,0)),""),U30),0)</f>
        <v/>
      </c>
      <c r="Q30" s="155"/>
      <c r="R30" s="155"/>
      <c r="S30" s="144"/>
      <c r="T30" s="159" t="str">
        <f>IF(S30&lt;&gt;"User Specified",IF(AND(S30&lt;&gt;"User Specified",S30&lt;&gt;""), INDEX('Refrigerant GWPs'!$G$2:$G$154,MATCH(S30,'Refrigerant GWPs'!$A$2:$A$154,0)),""),V30)</f>
        <v/>
      </c>
      <c r="U30" s="144"/>
      <c r="V30" s="144"/>
      <c r="W30" s="155"/>
      <c r="X30" s="155"/>
      <c r="Y30" s="144"/>
      <c r="Z30" s="159" t="str">
        <f>IF(AND(Y30&lt;&gt;"User Specified",Y30&lt;&gt;""), INDEX('Refrigerant GWPs'!$G$2:$G$154,MATCH(Y30,'Refrigerant GWPs'!$A$2:$A$154,0)),"")</f>
        <v/>
      </c>
      <c r="AA30" s="155"/>
      <c r="AB30" s="156"/>
      <c r="AC30" s="66"/>
      <c r="AD30" s="66"/>
      <c r="AE30" s="66"/>
      <c r="AF30" s="66"/>
      <c r="AG30" s="66"/>
      <c r="AH30" s="66"/>
      <c r="AI30" s="34"/>
      <c r="AJ30" s="88">
        <f t="shared" si="0"/>
        <v>0</v>
      </c>
      <c r="AK30" s="88">
        <f t="shared" si="1"/>
        <v>0</v>
      </c>
      <c r="AL30" s="88">
        <v>0</v>
      </c>
      <c r="AM30" s="88">
        <v>0</v>
      </c>
      <c r="AN30" s="81" t="str">
        <f t="shared" si="47"/>
        <v/>
      </c>
      <c r="AO30" s="88">
        <f t="shared" si="2"/>
        <v>0</v>
      </c>
      <c r="AP30" s="88">
        <f t="shared" si="3"/>
        <v>0</v>
      </c>
      <c r="AQ30" s="81" t="str">
        <f t="shared" si="4"/>
        <v/>
      </c>
      <c r="AS30" s="41" t="b">
        <f t="shared" si="5"/>
        <v>1</v>
      </c>
      <c r="AT30" s="38">
        <f t="shared" si="6"/>
        <v>0</v>
      </c>
      <c r="AU30" s="60">
        <f t="shared" si="7"/>
        <v>0</v>
      </c>
      <c r="AV30" s="41">
        <f t="shared" si="8"/>
        <v>0</v>
      </c>
      <c r="AW30" s="41" t="b">
        <f t="shared" si="9"/>
        <v>0</v>
      </c>
      <c r="AX30" t="str">
        <f t="shared" si="10"/>
        <v>+00</v>
      </c>
      <c r="AY30" t="str">
        <f t="shared" si="11"/>
        <v>+00</v>
      </c>
      <c r="BA30" s="47" t="b">
        <f t="shared" si="60"/>
        <v>1</v>
      </c>
      <c r="BB30" s="42" t="b">
        <f t="shared" si="61"/>
        <v>1</v>
      </c>
      <c r="BC30" s="42" t="b">
        <f t="shared" si="62"/>
        <v>0</v>
      </c>
      <c r="BD30" s="42" t="b">
        <f t="shared" si="63"/>
        <v>0</v>
      </c>
      <c r="BE30" s="70">
        <f t="shared" si="64"/>
        <v>0</v>
      </c>
      <c r="BF30" s="70">
        <f t="shared" si="65"/>
        <v>0</v>
      </c>
      <c r="BG30" s="34"/>
      <c r="BI30" s="47" t="b">
        <f t="shared" si="66"/>
        <v>1</v>
      </c>
      <c r="BJ30" s="47" t="b">
        <f t="shared" si="67"/>
        <v>1</v>
      </c>
      <c r="BK30" s="42" t="b">
        <f t="shared" si="68"/>
        <v>0</v>
      </c>
      <c r="BL30" s="42" t="b">
        <f t="shared" si="69"/>
        <v>0</v>
      </c>
      <c r="BM30" s="42">
        <f t="shared" si="70"/>
        <v>0</v>
      </c>
      <c r="BN30" s="42">
        <f t="shared" si="71"/>
        <v>0</v>
      </c>
      <c r="BP30" t="e">
        <f t="shared" si="72"/>
        <v>#N/A</v>
      </c>
      <c r="BQ30" t="e">
        <f t="shared" si="73"/>
        <v>#N/A</v>
      </c>
      <c r="BR30" t="e">
        <f t="shared" si="74"/>
        <v>#N/A</v>
      </c>
      <c r="BT30" s="60">
        <f t="shared" si="16"/>
        <v>0</v>
      </c>
      <c r="BU30" s="60">
        <f t="shared" si="17"/>
        <v>0</v>
      </c>
      <c r="BV30" s="60">
        <f t="shared" si="18"/>
        <v>0</v>
      </c>
      <c r="BW30" s="60">
        <f t="shared" si="19"/>
        <v>0</v>
      </c>
      <c r="BX30" s="60">
        <f t="shared" si="75"/>
        <v>0</v>
      </c>
      <c r="BY30" s="60">
        <f t="shared" si="76"/>
        <v>0</v>
      </c>
      <c r="BZ30" s="60">
        <f t="shared" si="77"/>
        <v>0</v>
      </c>
      <c r="CA30" s="60">
        <f t="shared" si="78"/>
        <v>0</v>
      </c>
      <c r="CB30" s="60" t="e">
        <f t="shared" si="20"/>
        <v>#N/A</v>
      </c>
      <c r="CC30" s="60">
        <f t="shared" si="21"/>
        <v>100000</v>
      </c>
      <c r="CD30" s="60" t="e">
        <f t="shared" si="22"/>
        <v>#N/A</v>
      </c>
      <c r="CE30" s="60">
        <f t="shared" si="23"/>
        <v>100000</v>
      </c>
      <c r="CF30" s="83" t="e">
        <f t="shared" si="79"/>
        <v>#N/A</v>
      </c>
      <c r="CG30" s="83">
        <f t="shared" si="80"/>
        <v>0</v>
      </c>
      <c r="CH30" s="83" t="e">
        <f t="shared" si="81"/>
        <v>#N/A</v>
      </c>
      <c r="CI30" s="83">
        <f t="shared" si="82"/>
        <v>0</v>
      </c>
      <c r="CJ30" s="86" t="e">
        <f t="shared" si="24"/>
        <v>#N/A</v>
      </c>
      <c r="CK30" s="82">
        <f t="shared" si="25"/>
        <v>5.3070370403969858E-3</v>
      </c>
      <c r="CL30" s="82" t="e">
        <f t="shared" si="26"/>
        <v>#N/A</v>
      </c>
      <c r="CM30" s="82">
        <f t="shared" si="27"/>
        <v>5.3070370403969858E-3</v>
      </c>
      <c r="CO30" s="149" t="str">
        <f>IF($I30&lt;&gt;"",IF(O30="User Specified",U30,INDEX('Refrigerant GWPs'!$G$2:$G$156,MATCH(O30,'Refrigerant GWPs'!$A$2:$A$156,0))),"")</f>
        <v/>
      </c>
      <c r="CP30" s="138" t="str">
        <f>IF($I30&lt;&gt;"",INDEX('Device Refrigerant Leakage'!$E$2:$E$42,MATCH($M30,'Device Refrigerant Leakage'!$B$2:$B$42,0)),"")</f>
        <v/>
      </c>
      <c r="CQ30" s="138" t="str">
        <f>IF($I30&lt;&gt;"",INDEX('Device Refrigerant Leakage'!$F$2:$F$42,MATCH($M30,'Device Refrigerant Leakage'!$B$2:$B$42,0)),"")</f>
        <v/>
      </c>
      <c r="CR30" s="145" t="str">
        <f>IF($I30&lt;&gt;"",INDEX('Device Refrigerant Leakage'!$G$2:$G$42,MATCH($M30,'Device Refrigerant Leakage'!$B$2:$B$42,0)),"")</f>
        <v/>
      </c>
      <c r="CS30" s="145" t="str">
        <f>IF($I30&lt;&gt;"",INDEX('Device Refrigerant Leakage'!$D$2:$D$42,MATCH($M30,'Device Refrigerant Leakage'!$B$2:$B$42,0))*CP30/2204.62*CO30,"")</f>
        <v/>
      </c>
      <c r="CT30" s="145" t="str">
        <f>IF($I30&lt;&gt;"",J30*(INDEX('Device Refrigerant Leakage'!$D$2:$D$42,MATCH($M30,'Device Refrigerant Leakage'!$B$2:$B$42,0))-(INDEX('Device Refrigerant Leakage'!$D$2:$D$42,MATCH($M30,'Device Refrigerant Leakage'!$B$2:$B$42,0)))*CR30*CP30)*CQ30/2204.62*CO30,"")</f>
        <v/>
      </c>
      <c r="CU30" s="135" t="str">
        <f>IF($I30&lt;&gt;"",J30*IF(W30&lt;&gt;"AR",(CS30*K30)+CT30,(CS30*AB30)+CT30*(AB30/INDEX('Device Refrigerant Leakage'!$C$2:$C$42,MATCH($M30,'Device Refrigerant Leakage'!$B$2:$B$42,0)))),"")</f>
        <v/>
      </c>
      <c r="CW30" s="135" t="str">
        <f>IF($I30&lt;&gt;"",IF(S30="User Specified",V30,INDEX('Refrigerant GWPs'!$G$2:$G$156,MATCH(S30,'Refrigerant GWPs'!$A$2:$A$157,0))),"")</f>
        <v/>
      </c>
      <c r="CX30" s="138" t="str">
        <f>IF($I30&lt;&gt;"",INDEX('Device Refrigerant Leakage'!$E$2:$E$42,MATCH($Q30,'Device Refrigerant Leakage'!$B$2:$B$42,0)),"")</f>
        <v/>
      </c>
      <c r="CY30" s="138" t="str">
        <f>IF($I30&lt;&gt;"",INDEX('Device Refrigerant Leakage'!$F$2:$F$42,MATCH($Q30,'Device Refrigerant Leakage'!$B$2:$B$42,0)),"")</f>
        <v/>
      </c>
      <c r="CZ30" s="145" t="str">
        <f>IF($I30&lt;&gt;"",INDEX('Device Refrigerant Leakage'!$G$2:$G$42,MATCH($Q30,'Device Refrigerant Leakage'!$B$2:$B$42,0)),"")</f>
        <v/>
      </c>
      <c r="DA30" s="145" t="str">
        <f>IF($I30&lt;&gt;"",J30*INDEX('Device Refrigerant Leakage'!$D$2:$D$42,MATCH($Q30,'Device Refrigerant Leakage'!$B$2:$B$42,0))*CX30/2204.62*CW30,"")</f>
        <v/>
      </c>
      <c r="DB30" s="145" t="str">
        <f>IF($I30&lt;&gt;"",J30*(INDEX('Device Refrigerant Leakage'!$D$2:$D$42,MATCH($Q30,'Device Refrigerant Leakage'!$B$2:$B$42,0))-(INDEX('Device Refrigerant Leakage'!$D$2:$D$42,MATCH($Q30,'Device Refrigerant Leakage'!$B$2:$B$42,0)))*CZ30*CX30)*CY30/2204.62*CW30,"")</f>
        <v/>
      </c>
      <c r="DC30" s="135" t="str">
        <f t="shared" si="59"/>
        <v/>
      </c>
      <c r="DE30" s="146" t="str">
        <f>IF(W30&lt;&gt;"AR","",IF(Y30="User Specified", AA30, INDEX('Refrigerant GWPs'!$G$2:$G$154,MATCH(Y30,'Refrigerant GWPs'!$A$2:$A$154,0))))</f>
        <v/>
      </c>
      <c r="DF30" s="146" t="str">
        <f>IF(W30&lt;&gt;"AR","",INDEX('Device Refrigerant Leakage'!$E$2:$E$42,MATCH(X30,'Device Refrigerant Leakage'!$B$2:$B$42,0)))</f>
        <v/>
      </c>
      <c r="DG30" s="146" t="str">
        <f>IF(W30&lt;&gt;"AR","",INDEX('Device Refrigerant Leakage'!$F$2:$F$42,MATCH(X30,'Device Refrigerant Leakage'!$B$2:$B$42,0)))</f>
        <v/>
      </c>
      <c r="DH30" s="146" t="str">
        <f>IF(W30&lt;&gt;"AR","",INDEX('Device Refrigerant Leakage'!$G$2:$G$42,MATCH(X30,'Device Refrigerant Leakage'!$B$2:$B$42,0)))</f>
        <v/>
      </c>
      <c r="DI30" s="146" t="str">
        <f>IF(W30&lt;&gt;"AR","",J30*INDEX('Device Refrigerant Leakage'!$D$2:$D$42,MATCH(X30,'Device Refrigerant Leakage'!$B$2:$B$42,0))*DF30/2204.62*DE30)</f>
        <v/>
      </c>
      <c r="DJ30" s="146" t="str">
        <f>IF(W30&lt;&gt;"AR","",J30*(INDEX('Device Refrigerant Leakage'!$D$2:$D$42,MATCH(X30,'Device Refrigerant Leakage'!$B$2:$B$42,0))-(INDEX('Device Refrigerant Leakage'!$D$2:$D$42,MATCH(X30,'Device Refrigerant Leakage'!$B$2:$B$42,0)))*DH30*DF30)*DG30/2204.62*DE30)</f>
        <v/>
      </c>
      <c r="DK30" s="146" t="str">
        <f>IF(W30&lt;&gt;"AR","",DI30*(K30-AB30)+'Fuel Sub Calcs-Deemed'!DJ30*((K30-AB30)/INDEX('Device Refrigerant Leakage'!$C$2:$C$42,MATCH('Fuel Sub Calcs-Deemed'!X30,'Device Refrigerant Leakage'!$B$2:$B$42,0))))</f>
        <v/>
      </c>
      <c r="DM30" s="56">
        <v>16</v>
      </c>
      <c r="DN30" s="67" t="e">
        <f t="shared" si="28"/>
        <v>#N/A</v>
      </c>
      <c r="DO30" s="45" t="e">
        <f t="shared" si="29"/>
        <v>#N/A</v>
      </c>
      <c r="DP30" s="67" t="e">
        <f t="shared" si="30"/>
        <v>#N/A</v>
      </c>
      <c r="DQ30" s="45" t="e">
        <f t="shared" si="31"/>
        <v>#N/A</v>
      </c>
      <c r="DR30" s="69" t="e">
        <f t="shared" si="32"/>
        <v>#N/A</v>
      </c>
      <c r="DS30" s="34"/>
      <c r="DT30" s="67" t="e">
        <f>((BX30*CJ30)+IF($W30=MAT_AR,(BZ30*CL30),0))*(1+Reference!$E$50+Reference!$E$51)</f>
        <v>#N/A</v>
      </c>
      <c r="DU30" s="67">
        <f>((BY30*CK30)+IF($W30=MAT_AR,(CA30*CM30),0))*(1+Reference!$G$50+Reference!$G$51)</f>
        <v>0</v>
      </c>
      <c r="DV30" s="67" t="e">
        <f t="shared" si="33"/>
        <v>#VALUE!</v>
      </c>
      <c r="DX30" s="56">
        <v>16</v>
      </c>
      <c r="DY30" s="67">
        <f t="shared" si="34"/>
        <v>0</v>
      </c>
      <c r="DZ30" s="45" t="e">
        <f>VLOOKUP($R30,Dropdown!$C$3:$D$4,2,FALSE)</f>
        <v>#N/A</v>
      </c>
      <c r="EA30" s="68">
        <f t="shared" si="35"/>
        <v>0</v>
      </c>
      <c r="EB30" s="68" t="str">
        <f t="shared" si="36"/>
        <v>N/A</v>
      </c>
      <c r="EC30" s="68">
        <f t="shared" si="37"/>
        <v>0</v>
      </c>
      <c r="ED30" s="68" t="str">
        <f t="shared" si="38"/>
        <v>N/A</v>
      </c>
      <c r="EF30" s="56">
        <v>16</v>
      </c>
      <c r="EG30" s="46">
        <f t="shared" si="39"/>
        <v>0</v>
      </c>
      <c r="EH30" s="68" t="e">
        <f t="shared" si="40"/>
        <v>#N/A</v>
      </c>
      <c r="EI30" s="68" t="e">
        <f t="shared" si="41"/>
        <v>#N/A</v>
      </c>
      <c r="EJ30" s="68" t="e">
        <f t="shared" si="42"/>
        <v>#N/A</v>
      </c>
      <c r="EK30" s="68" t="e">
        <f t="shared" si="43"/>
        <v>#N/A</v>
      </c>
      <c r="EL30" s="46">
        <f t="shared" si="44"/>
        <v>0</v>
      </c>
      <c r="EM30" s="46">
        <f t="shared" si="45"/>
        <v>0</v>
      </c>
    </row>
    <row r="31" spans="1:143">
      <c r="A31" s="89"/>
      <c r="B31" s="89"/>
      <c r="D31" s="89"/>
      <c r="E31" s="89"/>
      <c r="F31" s="89"/>
      <c r="G31" s="34"/>
      <c r="H31" s="56">
        <f t="shared" si="46"/>
        <v>17</v>
      </c>
      <c r="I31" s="165"/>
      <c r="J31" s="163"/>
      <c r="K31" s="163"/>
      <c r="L31" s="164"/>
      <c r="M31" s="155"/>
      <c r="N31" s="155"/>
      <c r="O31" s="144"/>
      <c r="P31" s="159" t="str">
        <f>IFERROR(IF(O31&lt;&gt;"User Specified",IF(O31&lt;&gt;"", INDEX('Refrigerant GWPs'!$G$2:$G$154,MATCH(O31,'Refrigerant GWPs'!$A$2:$A$154,0)),""),U31),0)</f>
        <v/>
      </c>
      <c r="Q31" s="155"/>
      <c r="R31" s="155"/>
      <c r="S31" s="144"/>
      <c r="T31" s="159" t="str">
        <f>IF(S31&lt;&gt;"User Specified",IF(AND(S31&lt;&gt;"User Specified",S31&lt;&gt;""), INDEX('Refrigerant GWPs'!$G$2:$G$154,MATCH(S31,'Refrigerant GWPs'!$A$2:$A$154,0)),""),V31)</f>
        <v/>
      </c>
      <c r="U31" s="144"/>
      <c r="V31" s="144"/>
      <c r="W31" s="155"/>
      <c r="X31" s="155"/>
      <c r="Y31" s="144"/>
      <c r="Z31" s="159" t="str">
        <f>IF(AND(Y31&lt;&gt;"User Specified",Y31&lt;&gt;""), INDEX('Refrigerant GWPs'!$G$2:$G$154,MATCH(Y31,'Refrigerant GWPs'!$A$2:$A$154,0)),"")</f>
        <v/>
      </c>
      <c r="AA31" s="155"/>
      <c r="AB31" s="156"/>
      <c r="AC31" s="66"/>
      <c r="AD31" s="66"/>
      <c r="AE31" s="66"/>
      <c r="AF31" s="66"/>
      <c r="AG31" s="66"/>
      <c r="AH31" s="66"/>
      <c r="AI31" s="34"/>
      <c r="AJ31" s="88">
        <f t="shared" si="0"/>
        <v>0</v>
      </c>
      <c r="AK31" s="88">
        <f t="shared" si="1"/>
        <v>0</v>
      </c>
      <c r="AL31" s="88">
        <v>0</v>
      </c>
      <c r="AM31" s="88">
        <v>0</v>
      </c>
      <c r="AN31" s="81" t="str">
        <f t="shared" si="47"/>
        <v/>
      </c>
      <c r="AO31" s="88">
        <f t="shared" si="2"/>
        <v>0</v>
      </c>
      <c r="AP31" s="88">
        <f t="shared" si="3"/>
        <v>0</v>
      </c>
      <c r="AQ31" s="81" t="str">
        <f t="shared" si="4"/>
        <v/>
      </c>
      <c r="AS31" s="41" t="b">
        <f t="shared" si="5"/>
        <v>1</v>
      </c>
      <c r="AT31" s="38">
        <f t="shared" si="6"/>
        <v>0</v>
      </c>
      <c r="AU31" s="60">
        <f t="shared" si="7"/>
        <v>0</v>
      </c>
      <c r="AV31" s="41">
        <f t="shared" si="8"/>
        <v>0</v>
      </c>
      <c r="AW31" s="41" t="b">
        <f t="shared" si="9"/>
        <v>0</v>
      </c>
      <c r="AX31" t="str">
        <f t="shared" si="10"/>
        <v>+00</v>
      </c>
      <c r="AY31" t="str">
        <f t="shared" si="11"/>
        <v>+00</v>
      </c>
      <c r="BA31" s="47" t="b">
        <f t="shared" si="60"/>
        <v>1</v>
      </c>
      <c r="BB31" s="42" t="b">
        <f t="shared" si="61"/>
        <v>1</v>
      </c>
      <c r="BC31" s="42" t="b">
        <f t="shared" si="62"/>
        <v>0</v>
      </c>
      <c r="BD31" s="42" t="b">
        <f t="shared" si="63"/>
        <v>0</v>
      </c>
      <c r="BE31" s="70">
        <f t="shared" si="64"/>
        <v>0</v>
      </c>
      <c r="BF31" s="70">
        <f t="shared" si="65"/>
        <v>0</v>
      </c>
      <c r="BG31" s="34"/>
      <c r="BI31" s="47" t="b">
        <f t="shared" si="66"/>
        <v>1</v>
      </c>
      <c r="BJ31" s="47" t="b">
        <f t="shared" si="67"/>
        <v>1</v>
      </c>
      <c r="BK31" s="42" t="b">
        <f t="shared" si="68"/>
        <v>0</v>
      </c>
      <c r="BL31" s="42" t="b">
        <f t="shared" si="69"/>
        <v>0</v>
      </c>
      <c r="BM31" s="42">
        <f t="shared" si="70"/>
        <v>0</v>
      </c>
      <c r="BN31" s="42">
        <f t="shared" si="71"/>
        <v>0</v>
      </c>
      <c r="BP31" t="e">
        <f t="shared" si="72"/>
        <v>#N/A</v>
      </c>
      <c r="BQ31" t="e">
        <f t="shared" si="73"/>
        <v>#N/A</v>
      </c>
      <c r="BR31" t="e">
        <f t="shared" si="74"/>
        <v>#N/A</v>
      </c>
      <c r="BT31" s="60">
        <f t="shared" si="16"/>
        <v>0</v>
      </c>
      <c r="BU31" s="60">
        <f t="shared" si="17"/>
        <v>0</v>
      </c>
      <c r="BV31" s="60">
        <f t="shared" si="18"/>
        <v>0</v>
      </c>
      <c r="BW31" s="60">
        <f t="shared" si="19"/>
        <v>0</v>
      </c>
      <c r="BX31" s="60">
        <f t="shared" si="75"/>
        <v>0</v>
      </c>
      <c r="BY31" s="60">
        <f t="shared" si="76"/>
        <v>0</v>
      </c>
      <c r="BZ31" s="60">
        <f t="shared" si="77"/>
        <v>0</v>
      </c>
      <c r="CA31" s="60">
        <f t="shared" si="78"/>
        <v>0</v>
      </c>
      <c r="CB31" s="60" t="e">
        <f t="shared" si="20"/>
        <v>#N/A</v>
      </c>
      <c r="CC31" s="60">
        <f t="shared" si="21"/>
        <v>100000</v>
      </c>
      <c r="CD31" s="60" t="e">
        <f t="shared" si="22"/>
        <v>#N/A</v>
      </c>
      <c r="CE31" s="60">
        <f t="shared" si="23"/>
        <v>100000</v>
      </c>
      <c r="CF31" s="83" t="e">
        <f t="shared" si="79"/>
        <v>#N/A</v>
      </c>
      <c r="CG31" s="83">
        <f t="shared" si="80"/>
        <v>0</v>
      </c>
      <c r="CH31" s="83" t="e">
        <f t="shared" si="81"/>
        <v>#N/A</v>
      </c>
      <c r="CI31" s="83">
        <f t="shared" si="82"/>
        <v>0</v>
      </c>
      <c r="CJ31" s="86" t="e">
        <f t="shared" si="24"/>
        <v>#N/A</v>
      </c>
      <c r="CK31" s="82">
        <f t="shared" si="25"/>
        <v>5.3070370403969858E-3</v>
      </c>
      <c r="CL31" s="82" t="e">
        <f t="shared" si="26"/>
        <v>#N/A</v>
      </c>
      <c r="CM31" s="82">
        <f t="shared" si="27"/>
        <v>5.3070370403969858E-3</v>
      </c>
      <c r="CO31" s="149" t="str">
        <f>IF($I31&lt;&gt;"",IF(O31="User Specified",U31,INDEX('Refrigerant GWPs'!$G$2:$G$156,MATCH(O31,'Refrigerant GWPs'!$A$2:$A$156,0))),"")</f>
        <v/>
      </c>
      <c r="CP31" s="138" t="str">
        <f>IF($I31&lt;&gt;"",INDEX('Device Refrigerant Leakage'!$E$2:$E$42,MATCH($M31,'Device Refrigerant Leakage'!$B$2:$B$42,0)),"")</f>
        <v/>
      </c>
      <c r="CQ31" s="138" t="str">
        <f>IF($I31&lt;&gt;"",INDEX('Device Refrigerant Leakage'!$F$2:$F$42,MATCH($M31,'Device Refrigerant Leakage'!$B$2:$B$42,0)),"")</f>
        <v/>
      </c>
      <c r="CR31" s="145" t="str">
        <f>IF($I31&lt;&gt;"",INDEX('Device Refrigerant Leakage'!$G$2:$G$42,MATCH($M31,'Device Refrigerant Leakage'!$B$2:$B$42,0)),"")</f>
        <v/>
      </c>
      <c r="CS31" s="145" t="str">
        <f>IF($I31&lt;&gt;"",INDEX('Device Refrigerant Leakage'!$D$2:$D$42,MATCH($M31,'Device Refrigerant Leakage'!$B$2:$B$42,0))*CP31/2204.62*CO31,"")</f>
        <v/>
      </c>
      <c r="CT31" s="145" t="str">
        <f>IF($I31&lt;&gt;"",J31*(INDEX('Device Refrigerant Leakage'!$D$2:$D$42,MATCH($M31,'Device Refrigerant Leakage'!$B$2:$B$42,0))-(INDEX('Device Refrigerant Leakage'!$D$2:$D$42,MATCH($M31,'Device Refrigerant Leakage'!$B$2:$B$42,0)))*CR31*CP31)*CQ31/2204.62*CO31,"")</f>
        <v/>
      </c>
      <c r="CU31" s="135" t="str">
        <f>IF($I31&lt;&gt;"",J31*IF(W31&lt;&gt;"AR",(CS31*K31)+CT31,(CS31*AB31)+CT31*(AB31/INDEX('Device Refrigerant Leakage'!$C$2:$C$42,MATCH($M31,'Device Refrigerant Leakage'!$B$2:$B$42,0)))),"")</f>
        <v/>
      </c>
      <c r="CW31" s="135" t="str">
        <f>IF($I31&lt;&gt;"",IF(S31="User Specified",V31,INDEX('Refrigerant GWPs'!$G$2:$G$156,MATCH(S31,'Refrigerant GWPs'!$A$2:$A$157,0))),"")</f>
        <v/>
      </c>
      <c r="CX31" s="138" t="str">
        <f>IF($I31&lt;&gt;"",INDEX('Device Refrigerant Leakage'!$E$2:$E$42,MATCH($Q31,'Device Refrigerant Leakage'!$B$2:$B$42,0)),"")</f>
        <v/>
      </c>
      <c r="CY31" s="138" t="str">
        <f>IF($I31&lt;&gt;"",INDEX('Device Refrigerant Leakage'!$F$2:$F$42,MATCH($Q31,'Device Refrigerant Leakage'!$B$2:$B$42,0)),"")</f>
        <v/>
      </c>
      <c r="CZ31" s="145" t="str">
        <f>IF($I31&lt;&gt;"",INDEX('Device Refrigerant Leakage'!$G$2:$G$42,MATCH($Q31,'Device Refrigerant Leakage'!$B$2:$B$42,0)),"")</f>
        <v/>
      </c>
      <c r="DA31" s="145" t="str">
        <f>IF($I31&lt;&gt;"",J31*INDEX('Device Refrigerant Leakage'!$D$2:$D$42,MATCH($Q31,'Device Refrigerant Leakage'!$B$2:$B$42,0))*CX31/2204.62*CW31,"")</f>
        <v/>
      </c>
      <c r="DB31" s="145" t="str">
        <f>IF($I31&lt;&gt;"",J31*(INDEX('Device Refrigerant Leakage'!$D$2:$D$42,MATCH($Q31,'Device Refrigerant Leakage'!$B$2:$B$42,0))-(INDEX('Device Refrigerant Leakage'!$D$2:$D$42,MATCH($Q31,'Device Refrigerant Leakage'!$B$2:$B$42,0)))*CZ31*CX31)*CY31/2204.62*CW31,"")</f>
        <v/>
      </c>
      <c r="DC31" s="135" t="str">
        <f t="shared" si="59"/>
        <v/>
      </c>
      <c r="DE31" s="146" t="str">
        <f>IF(W31&lt;&gt;"AR","",IF(Y31="User Specified", AA31, INDEX('Refrigerant GWPs'!$G$2:$G$154,MATCH(Y31,'Refrigerant GWPs'!$A$2:$A$154,0))))</f>
        <v/>
      </c>
      <c r="DF31" s="146" t="str">
        <f>IF(W31&lt;&gt;"AR","",INDEX('Device Refrigerant Leakage'!$E$2:$E$42,MATCH(X31,'Device Refrigerant Leakage'!$B$2:$B$42,0)))</f>
        <v/>
      </c>
      <c r="DG31" s="146" t="str">
        <f>IF(W31&lt;&gt;"AR","",INDEX('Device Refrigerant Leakage'!$F$2:$F$42,MATCH(X31,'Device Refrigerant Leakage'!$B$2:$B$42,0)))</f>
        <v/>
      </c>
      <c r="DH31" s="146" t="str">
        <f>IF(W31&lt;&gt;"AR","",INDEX('Device Refrigerant Leakage'!$G$2:$G$42,MATCH(X31,'Device Refrigerant Leakage'!$B$2:$B$42,0)))</f>
        <v/>
      </c>
      <c r="DI31" s="146" t="str">
        <f>IF(W31&lt;&gt;"AR","",J31*INDEX('Device Refrigerant Leakage'!$D$2:$D$42,MATCH(X31,'Device Refrigerant Leakage'!$B$2:$B$42,0))*DF31/2204.62*DE31)</f>
        <v/>
      </c>
      <c r="DJ31" s="146" t="str">
        <f>IF(W31&lt;&gt;"AR","",J31*(INDEX('Device Refrigerant Leakage'!$D$2:$D$42,MATCH(X31,'Device Refrigerant Leakage'!$B$2:$B$42,0))-(INDEX('Device Refrigerant Leakage'!$D$2:$D$42,MATCH(X31,'Device Refrigerant Leakage'!$B$2:$B$42,0)))*DH31*DF31)*DG31/2204.62*DE31)</f>
        <v/>
      </c>
      <c r="DK31" s="146" t="str">
        <f>IF(W31&lt;&gt;"AR","",DI31*(K31-AB31)+'Fuel Sub Calcs-Deemed'!DJ31*((K31-AB31)/INDEX('Device Refrigerant Leakage'!$C$2:$C$42,MATCH('Fuel Sub Calcs-Deemed'!X31,'Device Refrigerant Leakage'!$B$2:$B$42,0))))</f>
        <v/>
      </c>
      <c r="DM31" s="56">
        <v>17</v>
      </c>
      <c r="DN31" s="67" t="e">
        <f t="shared" si="28"/>
        <v>#N/A</v>
      </c>
      <c r="DO31" s="45" t="e">
        <f t="shared" si="29"/>
        <v>#N/A</v>
      </c>
      <c r="DP31" s="67" t="e">
        <f t="shared" si="30"/>
        <v>#N/A</v>
      </c>
      <c r="DQ31" s="45" t="e">
        <f t="shared" si="31"/>
        <v>#N/A</v>
      </c>
      <c r="DR31" s="69" t="e">
        <f t="shared" si="32"/>
        <v>#N/A</v>
      </c>
      <c r="DS31" s="34"/>
      <c r="DT31" s="67" t="e">
        <f>((BX31*CJ31)+IF($W31=MAT_AR,(BZ31*CL31),0))*(1+Reference!$E$50+Reference!$E$51)</f>
        <v>#N/A</v>
      </c>
      <c r="DU31" s="67">
        <f>((BY31*CK31)+IF($W31=MAT_AR,(CA31*CM31),0))*(1+Reference!$G$50+Reference!$G$51)</f>
        <v>0</v>
      </c>
      <c r="DV31" s="67" t="e">
        <f t="shared" si="33"/>
        <v>#VALUE!</v>
      </c>
      <c r="DX31" s="56">
        <v>17</v>
      </c>
      <c r="DY31" s="67">
        <f t="shared" si="34"/>
        <v>0</v>
      </c>
      <c r="DZ31" s="45" t="e">
        <f>VLOOKUP($R31,Dropdown!$C$3:$D$4,2,FALSE)</f>
        <v>#N/A</v>
      </c>
      <c r="EA31" s="68">
        <f t="shared" si="35"/>
        <v>0</v>
      </c>
      <c r="EB31" s="68" t="str">
        <f t="shared" si="36"/>
        <v>N/A</v>
      </c>
      <c r="EC31" s="68">
        <f t="shared" si="37"/>
        <v>0</v>
      </c>
      <c r="ED31" s="68" t="str">
        <f t="shared" si="38"/>
        <v>N/A</v>
      </c>
      <c r="EF31" s="56">
        <v>17</v>
      </c>
      <c r="EG31" s="46">
        <f t="shared" si="39"/>
        <v>0</v>
      </c>
      <c r="EH31" s="68" t="e">
        <f t="shared" si="40"/>
        <v>#N/A</v>
      </c>
      <c r="EI31" s="68" t="e">
        <f t="shared" si="41"/>
        <v>#N/A</v>
      </c>
      <c r="EJ31" s="68" t="e">
        <f t="shared" si="42"/>
        <v>#N/A</v>
      </c>
      <c r="EK31" s="68" t="e">
        <f t="shared" si="43"/>
        <v>#N/A</v>
      </c>
      <c r="EL31" s="46">
        <f t="shared" si="44"/>
        <v>0</v>
      </c>
      <c r="EM31" s="46">
        <f t="shared" si="45"/>
        <v>0</v>
      </c>
    </row>
    <row r="32" spans="1:143">
      <c r="A32" s="89"/>
      <c r="B32" s="89"/>
      <c r="D32" s="89"/>
      <c r="E32" s="89"/>
      <c r="F32" s="89"/>
      <c r="G32" s="34"/>
      <c r="H32" s="56">
        <f t="shared" si="46"/>
        <v>18</v>
      </c>
      <c r="I32" s="165"/>
      <c r="J32" s="163"/>
      <c r="K32" s="163"/>
      <c r="L32" s="164"/>
      <c r="M32" s="155"/>
      <c r="N32" s="155"/>
      <c r="O32" s="144"/>
      <c r="P32" s="159" t="str">
        <f>IFERROR(IF(O32&lt;&gt;"User Specified",IF(O32&lt;&gt;"", INDEX('Refrigerant GWPs'!$G$2:$G$154,MATCH(O32,'Refrigerant GWPs'!$A$2:$A$154,0)),""),U32),0)</f>
        <v/>
      </c>
      <c r="Q32" s="155"/>
      <c r="R32" s="155"/>
      <c r="S32" s="144"/>
      <c r="T32" s="159" t="str">
        <f>IF(S32&lt;&gt;"User Specified",IF(AND(S32&lt;&gt;"User Specified",S32&lt;&gt;""), INDEX('Refrigerant GWPs'!$G$2:$G$154,MATCH(S32,'Refrigerant GWPs'!$A$2:$A$154,0)),""),V32)</f>
        <v/>
      </c>
      <c r="U32" s="144"/>
      <c r="V32" s="144"/>
      <c r="W32" s="155"/>
      <c r="X32" s="155"/>
      <c r="Y32" s="144"/>
      <c r="Z32" s="159" t="str">
        <f>IF(AND(Y32&lt;&gt;"User Specified",Y32&lt;&gt;""), INDEX('Refrigerant GWPs'!$G$2:$G$154,MATCH(Y32,'Refrigerant GWPs'!$A$2:$A$154,0)),"")</f>
        <v/>
      </c>
      <c r="AA32" s="155"/>
      <c r="AB32" s="156"/>
      <c r="AC32" s="66"/>
      <c r="AD32" s="66"/>
      <c r="AE32" s="66"/>
      <c r="AF32" s="66"/>
      <c r="AG32" s="66"/>
      <c r="AH32" s="66"/>
      <c r="AI32" s="34"/>
      <c r="AJ32" s="88">
        <f t="shared" si="0"/>
        <v>0</v>
      </c>
      <c r="AK32" s="88">
        <f t="shared" si="1"/>
        <v>0</v>
      </c>
      <c r="AL32" s="88">
        <v>0</v>
      </c>
      <c r="AM32" s="88">
        <v>0</v>
      </c>
      <c r="AN32" s="81" t="str">
        <f t="shared" si="47"/>
        <v/>
      </c>
      <c r="AO32" s="88">
        <f t="shared" si="2"/>
        <v>0</v>
      </c>
      <c r="AP32" s="88">
        <f t="shared" si="3"/>
        <v>0</v>
      </c>
      <c r="AQ32" s="81" t="str">
        <f t="shared" si="4"/>
        <v/>
      </c>
      <c r="AS32" s="41" t="b">
        <f t="shared" si="5"/>
        <v>1</v>
      </c>
      <c r="AT32" s="38">
        <f t="shared" si="6"/>
        <v>0</v>
      </c>
      <c r="AU32" s="60">
        <f t="shared" si="7"/>
        <v>0</v>
      </c>
      <c r="AV32" s="41">
        <f t="shared" si="8"/>
        <v>0</v>
      </c>
      <c r="AW32" s="41" t="b">
        <f t="shared" si="9"/>
        <v>0</v>
      </c>
      <c r="AX32" t="str">
        <f t="shared" si="10"/>
        <v>+00</v>
      </c>
      <c r="AY32" t="str">
        <f t="shared" si="11"/>
        <v>+00</v>
      </c>
      <c r="BA32" s="47" t="b">
        <f t="shared" ref="BA32:BA95" si="83">NOT(OR(ISBLANK(AJ32),ISBLANK(AL32)))</f>
        <v>1</v>
      </c>
      <c r="BB32" s="42" t="b">
        <f t="shared" ref="BB32:BB95" si="84">NOT(OR(ISBLANK(AK32),ISBLANK(AM32)))</f>
        <v>1</v>
      </c>
      <c r="BC32" s="42" t="b">
        <f t="shared" ref="BC32:BC95" si="85">AND(NOT(BA32))</f>
        <v>0</v>
      </c>
      <c r="BD32" s="42" t="b">
        <f t="shared" ref="BD32:BD95" si="86">AND(NOT(BB32))</f>
        <v>0</v>
      </c>
      <c r="BE32" s="70">
        <f t="shared" ref="BE32:BE95" si="87">AJ32-AL32</f>
        <v>0</v>
      </c>
      <c r="BF32" s="70">
        <f t="shared" ref="BF32:BF95" si="88">AK32-AM32</f>
        <v>0</v>
      </c>
      <c r="BG32" s="34"/>
      <c r="BI32" s="47" t="b">
        <f t="shared" ref="BI32:BI95" si="89">NOT(OR(ISBLANK(AL32),ISBLANK(AO32)))</f>
        <v>1</v>
      </c>
      <c r="BJ32" s="47" t="b">
        <f t="shared" ref="BJ32:BJ95" si="90">NOT(OR(ISBLANK(AM32),ISBLANK(AP32)))</f>
        <v>1</v>
      </c>
      <c r="BK32" s="42" t="b">
        <f t="shared" ref="BK32:BK95" si="91">AND(NOT(BI32))</f>
        <v>0</v>
      </c>
      <c r="BL32" s="42" t="b">
        <f t="shared" ref="BL32:BL95" si="92">AND(NOT(BJ32))</f>
        <v>0</v>
      </c>
      <c r="BM32" s="42">
        <f t="shared" ref="BM32:BM95" si="93">IF(NOT(OR(ISBLANK(AO32),ISBLANK(AL32))),AO32-AL32,0)</f>
        <v>0</v>
      </c>
      <c r="BN32" s="42">
        <f t="shared" ref="BN32:BN95" si="94">IF(NOT(OR(ISBLANK(AP32),ISBLANK(AM32))),AP32-AM32,0)</f>
        <v>0</v>
      </c>
      <c r="BP32" t="e">
        <f t="shared" ref="BP32:BP95" si="95">(DN32&gt;=0)</f>
        <v>#N/A</v>
      </c>
      <c r="BQ32" t="e">
        <f t="shared" ref="BQ32:BQ95" si="96">(DP32&gt;=0)</f>
        <v>#N/A</v>
      </c>
      <c r="BR32" t="e">
        <f t="shared" ref="BR32:BR95" si="97">AND(BP32,BQ32)</f>
        <v>#N/A</v>
      </c>
      <c r="BT32" s="60">
        <f t="shared" si="16"/>
        <v>0</v>
      </c>
      <c r="BU32" s="60">
        <f t="shared" si="17"/>
        <v>0</v>
      </c>
      <c r="BV32" s="60">
        <f t="shared" si="18"/>
        <v>0</v>
      </c>
      <c r="BW32" s="60">
        <f t="shared" si="19"/>
        <v>0</v>
      </c>
      <c r="BX32" s="60">
        <f t="shared" ref="BX32:BX95" si="98">$AT32*BT32</f>
        <v>0</v>
      </c>
      <c r="BY32" s="60">
        <f t="shared" ref="BY32:BY95" si="99">$AT32*BU32</f>
        <v>0</v>
      </c>
      <c r="BZ32" s="60">
        <f t="shared" ref="BZ32:BZ95" si="100">$AU32*BV32</f>
        <v>0</v>
      </c>
      <c r="CA32" s="60">
        <f t="shared" ref="CA32:CA95" si="101">$AU32*BW32</f>
        <v>0</v>
      </c>
      <c r="CB32" s="60" t="e">
        <f t="shared" si="20"/>
        <v>#N/A</v>
      </c>
      <c r="CC32" s="60">
        <f t="shared" si="21"/>
        <v>100000</v>
      </c>
      <c r="CD32" s="60" t="e">
        <f t="shared" si="22"/>
        <v>#N/A</v>
      </c>
      <c r="CE32" s="60">
        <f t="shared" si="23"/>
        <v>100000</v>
      </c>
      <c r="CF32" s="83" t="e">
        <f t="shared" ref="CF32:CF95" si="102">$AT32*CB32/1000000</f>
        <v>#N/A</v>
      </c>
      <c r="CG32" s="83">
        <f t="shared" ref="CG32:CG95" si="103">$AT32*CC32/1000000</f>
        <v>0</v>
      </c>
      <c r="CH32" s="83" t="e">
        <f t="shared" ref="CH32:CH95" si="104">$AU32*CD32/1000000</f>
        <v>#N/A</v>
      </c>
      <c r="CI32" s="83">
        <f t="shared" ref="CI32:CI95" si="105">$AU32*CE32/1000000</f>
        <v>0</v>
      </c>
      <c r="CJ32" s="86" t="e">
        <f t="shared" si="24"/>
        <v>#N/A</v>
      </c>
      <c r="CK32" s="82">
        <f t="shared" si="25"/>
        <v>5.3070370403969858E-3</v>
      </c>
      <c r="CL32" s="82" t="e">
        <f t="shared" si="26"/>
        <v>#N/A</v>
      </c>
      <c r="CM32" s="82">
        <f t="shared" si="27"/>
        <v>5.3070370403969858E-3</v>
      </c>
      <c r="CO32" s="149" t="str">
        <f>IF($I32&lt;&gt;"",IF(O32="User Specified",U32,INDEX('Refrigerant GWPs'!$G$2:$G$156,MATCH(O32,'Refrigerant GWPs'!$A$2:$A$156,0))),"")</f>
        <v/>
      </c>
      <c r="CP32" s="138" t="str">
        <f>IF($I32&lt;&gt;"",INDEX('Device Refrigerant Leakage'!$E$2:$E$42,MATCH($M32,'Device Refrigerant Leakage'!$B$2:$B$42,0)),"")</f>
        <v/>
      </c>
      <c r="CQ32" s="138" t="str">
        <f>IF($I32&lt;&gt;"",INDEX('Device Refrigerant Leakage'!$F$2:$F$42,MATCH($M32,'Device Refrigerant Leakage'!$B$2:$B$42,0)),"")</f>
        <v/>
      </c>
      <c r="CR32" s="145" t="str">
        <f>IF($I32&lt;&gt;"",INDEX('Device Refrigerant Leakage'!$G$2:$G$42,MATCH($M32,'Device Refrigerant Leakage'!$B$2:$B$42,0)),"")</f>
        <v/>
      </c>
      <c r="CS32" s="145" t="str">
        <f>IF($I32&lt;&gt;"",INDEX('Device Refrigerant Leakage'!$D$2:$D$42,MATCH($M32,'Device Refrigerant Leakage'!$B$2:$B$42,0))*CP32/2204.62*CO32,"")</f>
        <v/>
      </c>
      <c r="CT32" s="145" t="str">
        <f>IF($I32&lt;&gt;"",J32*(INDEX('Device Refrigerant Leakage'!$D$2:$D$42,MATCH($M32,'Device Refrigerant Leakage'!$B$2:$B$42,0))-(INDEX('Device Refrigerant Leakage'!$D$2:$D$42,MATCH($M32,'Device Refrigerant Leakage'!$B$2:$B$42,0)))*CR32*CP32)*CQ32/2204.62*CO32,"")</f>
        <v/>
      </c>
      <c r="CU32" s="135" t="str">
        <f>IF($I32&lt;&gt;"",J32*IF(W32&lt;&gt;"AR",(CS32*K32)+CT32,(CS32*AB32)+CT32*(AB32/INDEX('Device Refrigerant Leakage'!$C$2:$C$42,MATCH($M32,'Device Refrigerant Leakage'!$B$2:$B$42,0)))),"")</f>
        <v/>
      </c>
      <c r="CW32" s="135" t="str">
        <f>IF($I32&lt;&gt;"",IF(S32="User Specified",V32,INDEX('Refrigerant GWPs'!$G$2:$G$156,MATCH(S32,'Refrigerant GWPs'!$A$2:$A$157,0))),"")</f>
        <v/>
      </c>
      <c r="CX32" s="138" t="str">
        <f>IF($I32&lt;&gt;"",INDEX('Device Refrigerant Leakage'!$E$2:$E$42,MATCH($Q32,'Device Refrigerant Leakage'!$B$2:$B$42,0)),"")</f>
        <v/>
      </c>
      <c r="CY32" s="138" t="str">
        <f>IF($I32&lt;&gt;"",INDEX('Device Refrigerant Leakage'!$F$2:$F$42,MATCH($Q32,'Device Refrigerant Leakage'!$B$2:$B$42,0)),"")</f>
        <v/>
      </c>
      <c r="CZ32" s="145" t="str">
        <f>IF($I32&lt;&gt;"",INDEX('Device Refrigerant Leakage'!$G$2:$G$42,MATCH($Q32,'Device Refrigerant Leakage'!$B$2:$B$42,0)),"")</f>
        <v/>
      </c>
      <c r="DA32" s="145" t="str">
        <f>IF($I32&lt;&gt;"",J32*INDEX('Device Refrigerant Leakage'!$D$2:$D$42,MATCH($Q32,'Device Refrigerant Leakage'!$B$2:$B$42,0))*CX32/2204.62*CW32,"")</f>
        <v/>
      </c>
      <c r="DB32" s="145" t="str">
        <f>IF($I32&lt;&gt;"",J32*(INDEX('Device Refrigerant Leakage'!$D$2:$D$42,MATCH($Q32,'Device Refrigerant Leakage'!$B$2:$B$42,0))-(INDEX('Device Refrigerant Leakage'!$D$2:$D$42,MATCH($Q32,'Device Refrigerant Leakage'!$B$2:$B$42,0)))*CZ32*CX32)*CY32/2204.62*CW32,"")</f>
        <v/>
      </c>
      <c r="DC32" s="135" t="str">
        <f t="shared" si="59"/>
        <v/>
      </c>
      <c r="DE32" s="146" t="str">
        <f>IF(W32&lt;&gt;"AR","",IF(Y32="User Specified", AA32, INDEX('Refrigerant GWPs'!$G$2:$G$154,MATCH(Y32,'Refrigerant GWPs'!$A$2:$A$154,0))))</f>
        <v/>
      </c>
      <c r="DF32" s="146" t="str">
        <f>IF(W32&lt;&gt;"AR","",INDEX('Device Refrigerant Leakage'!$E$2:$E$42,MATCH(X32,'Device Refrigerant Leakage'!$B$2:$B$42,0)))</f>
        <v/>
      </c>
      <c r="DG32" s="146" t="str">
        <f>IF(W32&lt;&gt;"AR","",INDEX('Device Refrigerant Leakage'!$F$2:$F$42,MATCH(X32,'Device Refrigerant Leakage'!$B$2:$B$42,0)))</f>
        <v/>
      </c>
      <c r="DH32" s="146" t="str">
        <f>IF(W32&lt;&gt;"AR","",INDEX('Device Refrigerant Leakage'!$G$2:$G$42,MATCH(X32,'Device Refrigerant Leakage'!$B$2:$B$42,0)))</f>
        <v/>
      </c>
      <c r="DI32" s="146" t="str">
        <f>IF(W32&lt;&gt;"AR","",J32*INDEX('Device Refrigerant Leakage'!$D$2:$D$42,MATCH(X32,'Device Refrigerant Leakage'!$B$2:$B$42,0))*DF32/2204.62*DE32)</f>
        <v/>
      </c>
      <c r="DJ32" s="146" t="str">
        <f>IF(W32&lt;&gt;"AR","",J32*(INDEX('Device Refrigerant Leakage'!$D$2:$D$42,MATCH(X32,'Device Refrigerant Leakage'!$B$2:$B$42,0))-(INDEX('Device Refrigerant Leakage'!$D$2:$D$42,MATCH(X32,'Device Refrigerant Leakage'!$B$2:$B$42,0)))*DH32*DF32)*DG32/2204.62*DE32)</f>
        <v/>
      </c>
      <c r="DK32" s="146" t="str">
        <f>IF(W32&lt;&gt;"AR","",DI32*(K32-AB32)+'Fuel Sub Calcs-Deemed'!DJ32*((K32-AB32)/INDEX('Device Refrigerant Leakage'!$C$2:$C$42,MATCH('Fuel Sub Calcs-Deemed'!X32,'Device Refrigerant Leakage'!$B$2:$B$42,0))))</f>
        <v/>
      </c>
      <c r="DM32" s="56">
        <v>18</v>
      </c>
      <c r="DN32" s="67" t="e">
        <f t="shared" si="28"/>
        <v>#N/A</v>
      </c>
      <c r="DO32" s="45" t="e">
        <f t="shared" si="29"/>
        <v>#N/A</v>
      </c>
      <c r="DP32" s="67" t="e">
        <f t="shared" si="30"/>
        <v>#N/A</v>
      </c>
      <c r="DQ32" s="45" t="e">
        <f t="shared" si="31"/>
        <v>#N/A</v>
      </c>
      <c r="DR32" s="69" t="e">
        <f t="shared" si="32"/>
        <v>#N/A</v>
      </c>
      <c r="DS32" s="34"/>
      <c r="DT32" s="67" t="e">
        <f>((BX32*CJ32)+IF($W32=MAT_AR,(BZ32*CL32),0))*(1+Reference!$E$50+Reference!$E$51)</f>
        <v>#N/A</v>
      </c>
      <c r="DU32" s="67">
        <f>((BY32*CK32)+IF($W32=MAT_AR,(CA32*CM32),0))*(1+Reference!$G$50+Reference!$G$51)</f>
        <v>0</v>
      </c>
      <c r="DV32" s="67" t="e">
        <f t="shared" si="33"/>
        <v>#VALUE!</v>
      </c>
      <c r="DX32" s="56">
        <v>18</v>
      </c>
      <c r="DY32" s="67">
        <f t="shared" si="34"/>
        <v>0</v>
      </c>
      <c r="DZ32" s="45" t="e">
        <f>VLOOKUP($R32,Dropdown!$C$3:$D$4,2,FALSE)</f>
        <v>#N/A</v>
      </c>
      <c r="EA32" s="68">
        <f t="shared" si="35"/>
        <v>0</v>
      </c>
      <c r="EB32" s="68" t="str">
        <f t="shared" si="36"/>
        <v>N/A</v>
      </c>
      <c r="EC32" s="68">
        <f t="shared" si="37"/>
        <v>0</v>
      </c>
      <c r="ED32" s="68" t="str">
        <f t="shared" si="38"/>
        <v>N/A</v>
      </c>
      <c r="EF32" s="56">
        <v>18</v>
      </c>
      <c r="EG32" s="46">
        <f t="shared" si="39"/>
        <v>0</v>
      </c>
      <c r="EH32" s="68" t="e">
        <f t="shared" si="40"/>
        <v>#N/A</v>
      </c>
      <c r="EI32" s="68" t="e">
        <f t="shared" si="41"/>
        <v>#N/A</v>
      </c>
      <c r="EJ32" s="68" t="e">
        <f t="shared" si="42"/>
        <v>#N/A</v>
      </c>
      <c r="EK32" s="68" t="e">
        <f t="shared" si="43"/>
        <v>#N/A</v>
      </c>
      <c r="EL32" s="46">
        <f t="shared" si="44"/>
        <v>0</v>
      </c>
      <c r="EM32" s="46">
        <f t="shared" si="45"/>
        <v>0</v>
      </c>
    </row>
    <row r="33" spans="1:143">
      <c r="A33" s="89"/>
      <c r="B33" s="89"/>
      <c r="D33" s="89"/>
      <c r="E33" s="89"/>
      <c r="F33" s="89"/>
      <c r="G33" s="34"/>
      <c r="H33" s="56">
        <f t="shared" si="46"/>
        <v>19</v>
      </c>
      <c r="I33" s="165"/>
      <c r="J33" s="163"/>
      <c r="K33" s="163"/>
      <c r="L33" s="164"/>
      <c r="M33" s="155"/>
      <c r="N33" s="155"/>
      <c r="O33" s="144"/>
      <c r="P33" s="159" t="str">
        <f>IFERROR(IF(O33&lt;&gt;"User Specified",IF(O33&lt;&gt;"", INDEX('Refrigerant GWPs'!$G$2:$G$154,MATCH(O33,'Refrigerant GWPs'!$A$2:$A$154,0)),""),U33),0)</f>
        <v/>
      </c>
      <c r="Q33" s="155"/>
      <c r="R33" s="155"/>
      <c r="S33" s="144"/>
      <c r="T33" s="159" t="str">
        <f>IF(S33&lt;&gt;"User Specified",IF(AND(S33&lt;&gt;"User Specified",S33&lt;&gt;""), INDEX('Refrigerant GWPs'!$G$2:$G$154,MATCH(S33,'Refrigerant GWPs'!$A$2:$A$154,0)),""),V33)</f>
        <v/>
      </c>
      <c r="U33" s="144"/>
      <c r="V33" s="144"/>
      <c r="W33" s="155"/>
      <c r="X33" s="155"/>
      <c r="Y33" s="144"/>
      <c r="Z33" s="159" t="str">
        <f>IF(AND(Y33&lt;&gt;"User Specified",Y33&lt;&gt;""), INDEX('Refrigerant GWPs'!$G$2:$G$154,MATCH(Y33,'Refrigerant GWPs'!$A$2:$A$154,0)),"")</f>
        <v/>
      </c>
      <c r="AA33" s="155"/>
      <c r="AB33" s="156"/>
      <c r="AC33" s="66"/>
      <c r="AD33" s="66"/>
      <c r="AE33" s="66"/>
      <c r="AF33" s="66"/>
      <c r="AG33" s="66"/>
      <c r="AH33" s="66"/>
      <c r="AI33" s="34"/>
      <c r="AJ33" s="88">
        <f t="shared" si="0"/>
        <v>0</v>
      </c>
      <c r="AK33" s="88">
        <f t="shared" si="1"/>
        <v>0</v>
      </c>
      <c r="AL33" s="88">
        <v>0</v>
      </c>
      <c r="AM33" s="88">
        <v>0</v>
      </c>
      <c r="AN33" s="81" t="str">
        <f t="shared" si="47"/>
        <v/>
      </c>
      <c r="AO33" s="88">
        <f t="shared" si="2"/>
        <v>0</v>
      </c>
      <c r="AP33" s="88">
        <f t="shared" si="3"/>
        <v>0</v>
      </c>
      <c r="AQ33" s="81" t="str">
        <f t="shared" si="4"/>
        <v/>
      </c>
      <c r="AS33" s="41" t="b">
        <f t="shared" si="5"/>
        <v>1</v>
      </c>
      <c r="AT33" s="38">
        <f t="shared" si="6"/>
        <v>0</v>
      </c>
      <c r="AU33" s="60">
        <f t="shared" si="7"/>
        <v>0</v>
      </c>
      <c r="AV33" s="41">
        <f t="shared" si="8"/>
        <v>0</v>
      </c>
      <c r="AW33" s="41" t="b">
        <f t="shared" si="9"/>
        <v>0</v>
      </c>
      <c r="AX33" t="str">
        <f t="shared" si="10"/>
        <v>+00</v>
      </c>
      <c r="AY33" t="str">
        <f t="shared" si="11"/>
        <v>+00</v>
      </c>
      <c r="BA33" s="47" t="b">
        <f t="shared" si="83"/>
        <v>1</v>
      </c>
      <c r="BB33" s="42" t="b">
        <f t="shared" si="84"/>
        <v>1</v>
      </c>
      <c r="BC33" s="42" t="b">
        <f t="shared" si="85"/>
        <v>0</v>
      </c>
      <c r="BD33" s="42" t="b">
        <f t="shared" si="86"/>
        <v>0</v>
      </c>
      <c r="BE33" s="70">
        <f t="shared" si="87"/>
        <v>0</v>
      </c>
      <c r="BF33" s="70">
        <f t="shared" si="88"/>
        <v>0</v>
      </c>
      <c r="BG33" s="34"/>
      <c r="BI33" s="47" t="b">
        <f t="shared" si="89"/>
        <v>1</v>
      </c>
      <c r="BJ33" s="47" t="b">
        <f t="shared" si="90"/>
        <v>1</v>
      </c>
      <c r="BK33" s="42" t="b">
        <f t="shared" si="91"/>
        <v>0</v>
      </c>
      <c r="BL33" s="42" t="b">
        <f t="shared" si="92"/>
        <v>0</v>
      </c>
      <c r="BM33" s="42">
        <f t="shared" si="93"/>
        <v>0</v>
      </c>
      <c r="BN33" s="42">
        <f t="shared" si="94"/>
        <v>0</v>
      </c>
      <c r="BP33" t="e">
        <f t="shared" si="95"/>
        <v>#N/A</v>
      </c>
      <c r="BQ33" t="e">
        <f t="shared" si="96"/>
        <v>#N/A</v>
      </c>
      <c r="BR33" t="e">
        <f t="shared" si="97"/>
        <v>#N/A</v>
      </c>
      <c r="BT33" s="60">
        <f t="shared" si="16"/>
        <v>0</v>
      </c>
      <c r="BU33" s="60">
        <f t="shared" si="17"/>
        <v>0</v>
      </c>
      <c r="BV33" s="60">
        <f t="shared" si="18"/>
        <v>0</v>
      </c>
      <c r="BW33" s="60">
        <f t="shared" si="19"/>
        <v>0</v>
      </c>
      <c r="BX33" s="60">
        <f t="shared" si="98"/>
        <v>0</v>
      </c>
      <c r="BY33" s="60">
        <f t="shared" si="99"/>
        <v>0</v>
      </c>
      <c r="BZ33" s="60">
        <f t="shared" si="100"/>
        <v>0</v>
      </c>
      <c r="CA33" s="60">
        <f t="shared" si="101"/>
        <v>0</v>
      </c>
      <c r="CB33" s="60" t="e">
        <f t="shared" si="20"/>
        <v>#N/A</v>
      </c>
      <c r="CC33" s="60">
        <f t="shared" si="21"/>
        <v>100000</v>
      </c>
      <c r="CD33" s="60" t="e">
        <f t="shared" si="22"/>
        <v>#N/A</v>
      </c>
      <c r="CE33" s="60">
        <f t="shared" si="23"/>
        <v>100000</v>
      </c>
      <c r="CF33" s="83" t="e">
        <f t="shared" si="102"/>
        <v>#N/A</v>
      </c>
      <c r="CG33" s="83">
        <f t="shared" si="103"/>
        <v>0</v>
      </c>
      <c r="CH33" s="83" t="e">
        <f t="shared" si="104"/>
        <v>#N/A</v>
      </c>
      <c r="CI33" s="83">
        <f t="shared" si="105"/>
        <v>0</v>
      </c>
      <c r="CJ33" s="86" t="e">
        <f t="shared" si="24"/>
        <v>#N/A</v>
      </c>
      <c r="CK33" s="82">
        <f t="shared" si="25"/>
        <v>5.3070370403969858E-3</v>
      </c>
      <c r="CL33" s="82" t="e">
        <f t="shared" si="26"/>
        <v>#N/A</v>
      </c>
      <c r="CM33" s="82">
        <f t="shared" si="27"/>
        <v>5.3070370403969858E-3</v>
      </c>
      <c r="CO33" s="149" t="str">
        <f>IF($I33&lt;&gt;"",IF(O33="User Specified",U33,INDEX('Refrigerant GWPs'!$G$2:$G$156,MATCH(O33,'Refrigerant GWPs'!$A$2:$A$156,0))),"")</f>
        <v/>
      </c>
      <c r="CP33" s="138" t="str">
        <f>IF($I33&lt;&gt;"",INDEX('Device Refrigerant Leakage'!$E$2:$E$42,MATCH($M33,'Device Refrigerant Leakage'!$B$2:$B$42,0)),"")</f>
        <v/>
      </c>
      <c r="CQ33" s="138" t="str">
        <f>IF($I33&lt;&gt;"",INDEX('Device Refrigerant Leakage'!$F$2:$F$42,MATCH($M33,'Device Refrigerant Leakage'!$B$2:$B$42,0)),"")</f>
        <v/>
      </c>
      <c r="CR33" s="145" t="str">
        <f>IF($I33&lt;&gt;"",INDEX('Device Refrigerant Leakage'!$G$2:$G$42,MATCH($M33,'Device Refrigerant Leakage'!$B$2:$B$42,0)),"")</f>
        <v/>
      </c>
      <c r="CS33" s="145" t="str">
        <f>IF($I33&lt;&gt;"",INDEX('Device Refrigerant Leakage'!$D$2:$D$42,MATCH($M33,'Device Refrigerant Leakage'!$B$2:$B$42,0))*CP33/2204.62*CO33,"")</f>
        <v/>
      </c>
      <c r="CT33" s="145" t="str">
        <f>IF($I33&lt;&gt;"",J33*(INDEX('Device Refrigerant Leakage'!$D$2:$D$42,MATCH($M33,'Device Refrigerant Leakage'!$B$2:$B$42,0))-(INDEX('Device Refrigerant Leakage'!$D$2:$D$42,MATCH($M33,'Device Refrigerant Leakage'!$B$2:$B$42,0)))*CR33*CP33)*CQ33/2204.62*CO33,"")</f>
        <v/>
      </c>
      <c r="CU33" s="135" t="str">
        <f>IF($I33&lt;&gt;"",J33*IF(W33&lt;&gt;"AR",(CS33*K33)+CT33,(CS33*AB33)+CT33*(AB33/INDEX('Device Refrigerant Leakage'!$C$2:$C$42,MATCH($M33,'Device Refrigerant Leakage'!$B$2:$B$42,0)))),"")</f>
        <v/>
      </c>
      <c r="CW33" s="135" t="str">
        <f>IF($I33&lt;&gt;"",IF(S33="User Specified",V33,INDEX('Refrigerant GWPs'!$G$2:$G$156,MATCH(S33,'Refrigerant GWPs'!$A$2:$A$157,0))),"")</f>
        <v/>
      </c>
      <c r="CX33" s="138" t="str">
        <f>IF($I33&lt;&gt;"",INDEX('Device Refrigerant Leakage'!$E$2:$E$42,MATCH($Q33,'Device Refrigerant Leakage'!$B$2:$B$42,0)),"")</f>
        <v/>
      </c>
      <c r="CY33" s="138" t="str">
        <f>IF($I33&lt;&gt;"",INDEX('Device Refrigerant Leakage'!$F$2:$F$42,MATCH($Q33,'Device Refrigerant Leakage'!$B$2:$B$42,0)),"")</f>
        <v/>
      </c>
      <c r="CZ33" s="145" t="str">
        <f>IF($I33&lt;&gt;"",INDEX('Device Refrigerant Leakage'!$G$2:$G$42,MATCH($Q33,'Device Refrigerant Leakage'!$B$2:$B$42,0)),"")</f>
        <v/>
      </c>
      <c r="DA33" s="145" t="str">
        <f>IF($I33&lt;&gt;"",J33*INDEX('Device Refrigerant Leakage'!$D$2:$D$42,MATCH($Q33,'Device Refrigerant Leakage'!$B$2:$B$42,0))*CX33/2204.62*CW33,"")</f>
        <v/>
      </c>
      <c r="DB33" s="145" t="str">
        <f>IF($I33&lt;&gt;"",J33*(INDEX('Device Refrigerant Leakage'!$D$2:$D$42,MATCH($Q33,'Device Refrigerant Leakage'!$B$2:$B$42,0))-(INDEX('Device Refrigerant Leakage'!$D$2:$D$42,MATCH($Q33,'Device Refrigerant Leakage'!$B$2:$B$42,0)))*CZ33*CX33)*CY33/2204.62*CW33,"")</f>
        <v/>
      </c>
      <c r="DC33" s="135" t="str">
        <f t="shared" si="59"/>
        <v/>
      </c>
      <c r="DE33" s="146" t="str">
        <f>IF(W33&lt;&gt;"AR","",IF(Y33="User Specified", AA33, INDEX('Refrigerant GWPs'!$G$2:$G$154,MATCH(Y33,'Refrigerant GWPs'!$A$2:$A$154,0))))</f>
        <v/>
      </c>
      <c r="DF33" s="146" t="str">
        <f>IF(W33&lt;&gt;"AR","",INDEX('Device Refrigerant Leakage'!$E$2:$E$42,MATCH(X33,'Device Refrigerant Leakage'!$B$2:$B$42,0)))</f>
        <v/>
      </c>
      <c r="DG33" s="146" t="str">
        <f>IF(W33&lt;&gt;"AR","",INDEX('Device Refrigerant Leakage'!$F$2:$F$42,MATCH(X33,'Device Refrigerant Leakage'!$B$2:$B$42,0)))</f>
        <v/>
      </c>
      <c r="DH33" s="146" t="str">
        <f>IF(W33&lt;&gt;"AR","",INDEX('Device Refrigerant Leakage'!$G$2:$G$42,MATCH(X33,'Device Refrigerant Leakage'!$B$2:$B$42,0)))</f>
        <v/>
      </c>
      <c r="DI33" s="146" t="str">
        <f>IF(W33&lt;&gt;"AR","",J33*INDEX('Device Refrigerant Leakage'!$D$2:$D$42,MATCH(X33,'Device Refrigerant Leakage'!$B$2:$B$42,0))*DF33/2204.62*DE33)</f>
        <v/>
      </c>
      <c r="DJ33" s="146" t="str">
        <f>IF(W33&lt;&gt;"AR","",J33*(INDEX('Device Refrigerant Leakage'!$D$2:$D$42,MATCH(X33,'Device Refrigerant Leakage'!$B$2:$B$42,0))-(INDEX('Device Refrigerant Leakage'!$D$2:$D$42,MATCH(X33,'Device Refrigerant Leakage'!$B$2:$B$42,0)))*DH33*DF33)*DG33/2204.62*DE33)</f>
        <v/>
      </c>
      <c r="DK33" s="146" t="str">
        <f>IF(W33&lt;&gt;"AR","",DI33*(K33-AB33)+'Fuel Sub Calcs-Deemed'!DJ33*((K33-AB33)/INDEX('Device Refrigerant Leakage'!$C$2:$C$42,MATCH('Fuel Sub Calcs-Deemed'!X33,'Device Refrigerant Leakage'!$B$2:$B$42,0))))</f>
        <v/>
      </c>
      <c r="DM33" s="56">
        <v>19</v>
      </c>
      <c r="DN33" s="67" t="e">
        <f t="shared" si="28"/>
        <v>#N/A</v>
      </c>
      <c r="DO33" s="45" t="e">
        <f t="shared" si="29"/>
        <v>#N/A</v>
      </c>
      <c r="DP33" s="67" t="e">
        <f t="shared" si="30"/>
        <v>#N/A</v>
      </c>
      <c r="DQ33" s="45" t="e">
        <f t="shared" si="31"/>
        <v>#N/A</v>
      </c>
      <c r="DR33" s="69" t="e">
        <f t="shared" si="32"/>
        <v>#N/A</v>
      </c>
      <c r="DS33" s="34"/>
      <c r="DT33" s="67" t="e">
        <f>((BX33*CJ33)+IF($W33=MAT_AR,(BZ33*CL33),0))*(1+Reference!$E$50+Reference!$E$51)</f>
        <v>#N/A</v>
      </c>
      <c r="DU33" s="67">
        <f>((BY33*CK33)+IF($W33=MAT_AR,(CA33*CM33),0))*(1+Reference!$G$50+Reference!$G$51)</f>
        <v>0</v>
      </c>
      <c r="DV33" s="67" t="e">
        <f t="shared" si="33"/>
        <v>#VALUE!</v>
      </c>
      <c r="DX33" s="56">
        <v>19</v>
      </c>
      <c r="DY33" s="67">
        <f t="shared" si="34"/>
        <v>0</v>
      </c>
      <c r="DZ33" s="45" t="e">
        <f>VLOOKUP($R33,Dropdown!$C$3:$D$4,2,FALSE)</f>
        <v>#N/A</v>
      </c>
      <c r="EA33" s="68">
        <f t="shared" si="35"/>
        <v>0</v>
      </c>
      <c r="EB33" s="68" t="str">
        <f t="shared" si="36"/>
        <v>N/A</v>
      </c>
      <c r="EC33" s="68">
        <f t="shared" si="37"/>
        <v>0</v>
      </c>
      <c r="ED33" s="68" t="str">
        <f t="shared" si="38"/>
        <v>N/A</v>
      </c>
      <c r="EF33" s="56">
        <v>19</v>
      </c>
      <c r="EG33" s="46">
        <f t="shared" si="39"/>
        <v>0</v>
      </c>
      <c r="EH33" s="68" t="e">
        <f t="shared" si="40"/>
        <v>#N/A</v>
      </c>
      <c r="EI33" s="68" t="e">
        <f t="shared" si="41"/>
        <v>#N/A</v>
      </c>
      <c r="EJ33" s="68" t="e">
        <f t="shared" si="42"/>
        <v>#N/A</v>
      </c>
      <c r="EK33" s="68" t="e">
        <f t="shared" si="43"/>
        <v>#N/A</v>
      </c>
      <c r="EL33" s="46">
        <f t="shared" si="44"/>
        <v>0</v>
      </c>
      <c r="EM33" s="46">
        <f t="shared" si="45"/>
        <v>0</v>
      </c>
    </row>
    <row r="34" spans="1:143">
      <c r="A34" s="89"/>
      <c r="B34" s="89"/>
      <c r="D34" s="89"/>
      <c r="E34" s="89"/>
      <c r="F34" s="89"/>
      <c r="G34" s="34"/>
      <c r="H34" s="56">
        <f t="shared" si="46"/>
        <v>20</v>
      </c>
      <c r="I34" s="165"/>
      <c r="J34" s="163"/>
      <c r="K34" s="163"/>
      <c r="L34" s="164"/>
      <c r="M34" s="155"/>
      <c r="N34" s="155"/>
      <c r="O34" s="144"/>
      <c r="P34" s="159" t="str">
        <f>IFERROR(IF(O34&lt;&gt;"User Specified",IF(O34&lt;&gt;"", INDEX('Refrigerant GWPs'!$G$2:$G$154,MATCH(O34,'Refrigerant GWPs'!$A$2:$A$154,0)),""),U34),0)</f>
        <v/>
      </c>
      <c r="Q34" s="155"/>
      <c r="R34" s="155"/>
      <c r="S34" s="144"/>
      <c r="T34" s="159" t="str">
        <f>IF(S34&lt;&gt;"User Specified",IF(AND(S34&lt;&gt;"User Specified",S34&lt;&gt;""), INDEX('Refrigerant GWPs'!$G$2:$G$154,MATCH(S34,'Refrigerant GWPs'!$A$2:$A$154,0)),""),V34)</f>
        <v/>
      </c>
      <c r="U34" s="144"/>
      <c r="V34" s="144"/>
      <c r="W34" s="155"/>
      <c r="X34" s="155"/>
      <c r="Y34" s="144"/>
      <c r="Z34" s="159" t="str">
        <f>IF(AND(Y34&lt;&gt;"User Specified",Y34&lt;&gt;""), INDEX('Refrigerant GWPs'!$G$2:$G$154,MATCH(Y34,'Refrigerant GWPs'!$A$2:$A$154,0)),"")</f>
        <v/>
      </c>
      <c r="AA34" s="155"/>
      <c r="AB34" s="156"/>
      <c r="AC34" s="66"/>
      <c r="AD34" s="66"/>
      <c r="AE34" s="66"/>
      <c r="AF34" s="66"/>
      <c r="AG34" s="66"/>
      <c r="AH34" s="66"/>
      <c r="AI34" s="34"/>
      <c r="AJ34" s="88">
        <f t="shared" si="0"/>
        <v>0</v>
      </c>
      <c r="AK34" s="88">
        <f t="shared" si="1"/>
        <v>0</v>
      </c>
      <c r="AL34" s="88">
        <v>0</v>
      </c>
      <c r="AM34" s="88">
        <v>0</v>
      </c>
      <c r="AN34" s="81" t="str">
        <f t="shared" si="47"/>
        <v/>
      </c>
      <c r="AO34" s="88">
        <f t="shared" si="2"/>
        <v>0</v>
      </c>
      <c r="AP34" s="88">
        <f t="shared" si="3"/>
        <v>0</v>
      </c>
      <c r="AQ34" s="81" t="str">
        <f t="shared" si="4"/>
        <v/>
      </c>
      <c r="AS34" s="41" t="b">
        <f t="shared" si="5"/>
        <v>1</v>
      </c>
      <c r="AT34" s="38">
        <f t="shared" si="6"/>
        <v>0</v>
      </c>
      <c r="AU34" s="60">
        <f t="shared" si="7"/>
        <v>0</v>
      </c>
      <c r="AV34" s="41">
        <f t="shared" si="8"/>
        <v>0</v>
      </c>
      <c r="AW34" s="41" t="b">
        <f t="shared" si="9"/>
        <v>0</v>
      </c>
      <c r="AX34" t="str">
        <f t="shared" si="10"/>
        <v>+00</v>
      </c>
      <c r="AY34" t="str">
        <f t="shared" si="11"/>
        <v>+00</v>
      </c>
      <c r="BA34" s="47" t="b">
        <f t="shared" si="83"/>
        <v>1</v>
      </c>
      <c r="BB34" s="42" t="b">
        <f t="shared" si="84"/>
        <v>1</v>
      </c>
      <c r="BC34" s="42" t="b">
        <f t="shared" si="85"/>
        <v>0</v>
      </c>
      <c r="BD34" s="42" t="b">
        <f t="shared" si="86"/>
        <v>0</v>
      </c>
      <c r="BE34" s="70">
        <f t="shared" si="87"/>
        <v>0</v>
      </c>
      <c r="BF34" s="70">
        <f t="shared" si="88"/>
        <v>0</v>
      </c>
      <c r="BG34" s="34"/>
      <c r="BI34" s="47" t="b">
        <f t="shared" si="89"/>
        <v>1</v>
      </c>
      <c r="BJ34" s="47" t="b">
        <f t="shared" si="90"/>
        <v>1</v>
      </c>
      <c r="BK34" s="42" t="b">
        <f t="shared" si="91"/>
        <v>0</v>
      </c>
      <c r="BL34" s="42" t="b">
        <f t="shared" si="92"/>
        <v>0</v>
      </c>
      <c r="BM34" s="42">
        <f t="shared" si="93"/>
        <v>0</v>
      </c>
      <c r="BN34" s="42">
        <f t="shared" si="94"/>
        <v>0</v>
      </c>
      <c r="BP34" t="e">
        <f t="shared" si="95"/>
        <v>#N/A</v>
      </c>
      <c r="BQ34" t="e">
        <f t="shared" si="96"/>
        <v>#N/A</v>
      </c>
      <c r="BR34" t="e">
        <f t="shared" si="97"/>
        <v>#N/A</v>
      </c>
      <c r="BT34" s="60">
        <f t="shared" si="16"/>
        <v>0</v>
      </c>
      <c r="BU34" s="60">
        <f t="shared" si="17"/>
        <v>0</v>
      </c>
      <c r="BV34" s="60">
        <f t="shared" si="18"/>
        <v>0</v>
      </c>
      <c r="BW34" s="60">
        <f t="shared" si="19"/>
        <v>0</v>
      </c>
      <c r="BX34" s="60">
        <f t="shared" si="98"/>
        <v>0</v>
      </c>
      <c r="BY34" s="60">
        <f t="shared" si="99"/>
        <v>0</v>
      </c>
      <c r="BZ34" s="60">
        <f t="shared" si="100"/>
        <v>0</v>
      </c>
      <c r="CA34" s="60">
        <f t="shared" si="101"/>
        <v>0</v>
      </c>
      <c r="CB34" s="60" t="e">
        <f t="shared" si="20"/>
        <v>#N/A</v>
      </c>
      <c r="CC34" s="60">
        <f t="shared" si="21"/>
        <v>100000</v>
      </c>
      <c r="CD34" s="60" t="e">
        <f t="shared" si="22"/>
        <v>#N/A</v>
      </c>
      <c r="CE34" s="60">
        <f t="shared" si="23"/>
        <v>100000</v>
      </c>
      <c r="CF34" s="83" t="e">
        <f t="shared" si="102"/>
        <v>#N/A</v>
      </c>
      <c r="CG34" s="83">
        <f t="shared" si="103"/>
        <v>0</v>
      </c>
      <c r="CH34" s="83" t="e">
        <f t="shared" si="104"/>
        <v>#N/A</v>
      </c>
      <c r="CI34" s="83">
        <f t="shared" si="105"/>
        <v>0</v>
      </c>
      <c r="CJ34" s="86" t="e">
        <f t="shared" si="24"/>
        <v>#N/A</v>
      </c>
      <c r="CK34" s="82">
        <f t="shared" si="25"/>
        <v>5.3070370403969858E-3</v>
      </c>
      <c r="CL34" s="82" t="e">
        <f t="shared" si="26"/>
        <v>#N/A</v>
      </c>
      <c r="CM34" s="82">
        <f t="shared" si="27"/>
        <v>5.3070370403969858E-3</v>
      </c>
      <c r="CO34" s="149" t="str">
        <f>IF($I34&lt;&gt;"",IF(O34="User Specified",U34,INDEX('Refrigerant GWPs'!$G$2:$G$156,MATCH(O34,'Refrigerant GWPs'!$A$2:$A$156,0))),"")</f>
        <v/>
      </c>
      <c r="CP34" s="138" t="str">
        <f>IF($I34&lt;&gt;"",INDEX('Device Refrigerant Leakage'!$E$2:$E$42,MATCH($M34,'Device Refrigerant Leakage'!$B$2:$B$42,0)),"")</f>
        <v/>
      </c>
      <c r="CQ34" s="138" t="str">
        <f>IF($I34&lt;&gt;"",INDEX('Device Refrigerant Leakage'!$F$2:$F$42,MATCH($M34,'Device Refrigerant Leakage'!$B$2:$B$42,0)),"")</f>
        <v/>
      </c>
      <c r="CR34" s="145" t="str">
        <f>IF($I34&lt;&gt;"",INDEX('Device Refrigerant Leakage'!$G$2:$G$42,MATCH($M34,'Device Refrigerant Leakage'!$B$2:$B$42,0)),"")</f>
        <v/>
      </c>
      <c r="CS34" s="145" t="str">
        <f>IF($I34&lt;&gt;"",INDEX('Device Refrigerant Leakage'!$D$2:$D$42,MATCH($M34,'Device Refrigerant Leakage'!$B$2:$B$42,0))*CP34/2204.62*CO34,"")</f>
        <v/>
      </c>
      <c r="CT34" s="145" t="str">
        <f>IF($I34&lt;&gt;"",J34*(INDEX('Device Refrigerant Leakage'!$D$2:$D$42,MATCH($M34,'Device Refrigerant Leakage'!$B$2:$B$42,0))-(INDEX('Device Refrigerant Leakage'!$D$2:$D$42,MATCH($M34,'Device Refrigerant Leakage'!$B$2:$B$42,0)))*CR34*CP34)*CQ34/2204.62*CO34,"")</f>
        <v/>
      </c>
      <c r="CU34" s="135" t="str">
        <f>IF($I34&lt;&gt;"",J34*IF(W34&lt;&gt;"AR",(CS34*K34)+CT34,(CS34*AB34)+CT34*(AB34/INDEX('Device Refrigerant Leakage'!$C$2:$C$42,MATCH($M34,'Device Refrigerant Leakage'!$B$2:$B$42,0)))),"")</f>
        <v/>
      </c>
      <c r="CW34" s="135" t="str">
        <f>IF($I34&lt;&gt;"",IF(S34="User Specified",V34,INDEX('Refrigerant GWPs'!$G$2:$G$156,MATCH(S34,'Refrigerant GWPs'!$A$2:$A$157,0))),"")</f>
        <v/>
      </c>
      <c r="CX34" s="138" t="str">
        <f>IF($I34&lt;&gt;"",INDEX('Device Refrigerant Leakage'!$E$2:$E$42,MATCH($Q34,'Device Refrigerant Leakage'!$B$2:$B$42,0)),"")</f>
        <v/>
      </c>
      <c r="CY34" s="138" t="str">
        <f>IF($I34&lt;&gt;"",INDEX('Device Refrigerant Leakage'!$F$2:$F$42,MATCH($Q34,'Device Refrigerant Leakage'!$B$2:$B$42,0)),"")</f>
        <v/>
      </c>
      <c r="CZ34" s="145" t="str">
        <f>IF($I34&lt;&gt;"",INDEX('Device Refrigerant Leakage'!$G$2:$G$42,MATCH($Q34,'Device Refrigerant Leakage'!$B$2:$B$42,0)),"")</f>
        <v/>
      </c>
      <c r="DA34" s="145" t="str">
        <f>IF($I34&lt;&gt;"",J34*INDEX('Device Refrigerant Leakage'!$D$2:$D$42,MATCH($Q34,'Device Refrigerant Leakage'!$B$2:$B$42,0))*CX34/2204.62*CW34,"")</f>
        <v/>
      </c>
      <c r="DB34" s="145" t="str">
        <f>IF($I34&lt;&gt;"",J34*(INDEX('Device Refrigerant Leakage'!$D$2:$D$42,MATCH($Q34,'Device Refrigerant Leakage'!$B$2:$B$42,0))-(INDEX('Device Refrigerant Leakage'!$D$2:$D$42,MATCH($Q34,'Device Refrigerant Leakage'!$B$2:$B$42,0)))*CZ34*CX34)*CY34/2204.62*CW34,"")</f>
        <v/>
      </c>
      <c r="DC34" s="135" t="str">
        <f t="shared" si="59"/>
        <v/>
      </c>
      <c r="DE34" s="146" t="str">
        <f>IF(W34&lt;&gt;"AR","",IF(Y34="User Specified", AA34, INDEX('Refrigerant GWPs'!$G$2:$G$154,MATCH(Y34,'Refrigerant GWPs'!$A$2:$A$154,0))))</f>
        <v/>
      </c>
      <c r="DF34" s="146" t="str">
        <f>IF(W34&lt;&gt;"AR","",INDEX('Device Refrigerant Leakage'!$E$2:$E$42,MATCH(X34,'Device Refrigerant Leakage'!$B$2:$B$42,0)))</f>
        <v/>
      </c>
      <c r="DG34" s="146" t="str">
        <f>IF(W34&lt;&gt;"AR","",INDEX('Device Refrigerant Leakage'!$F$2:$F$42,MATCH(X34,'Device Refrigerant Leakage'!$B$2:$B$42,0)))</f>
        <v/>
      </c>
      <c r="DH34" s="146" t="str">
        <f>IF(W34&lt;&gt;"AR","",INDEX('Device Refrigerant Leakage'!$G$2:$G$42,MATCH(X34,'Device Refrigerant Leakage'!$B$2:$B$42,0)))</f>
        <v/>
      </c>
      <c r="DI34" s="146" t="str">
        <f>IF(W34&lt;&gt;"AR","",J34*INDEX('Device Refrigerant Leakage'!$D$2:$D$42,MATCH(X34,'Device Refrigerant Leakage'!$B$2:$B$42,0))*DF34/2204.62*DE34)</f>
        <v/>
      </c>
      <c r="DJ34" s="146" t="str">
        <f>IF(W34&lt;&gt;"AR","",J34*(INDEX('Device Refrigerant Leakage'!$D$2:$D$42,MATCH(X34,'Device Refrigerant Leakage'!$B$2:$B$42,0))-(INDEX('Device Refrigerant Leakage'!$D$2:$D$42,MATCH(X34,'Device Refrigerant Leakage'!$B$2:$B$42,0)))*DH34*DF34)*DG34/2204.62*DE34)</f>
        <v/>
      </c>
      <c r="DK34" s="146" t="str">
        <f>IF(W34&lt;&gt;"AR","",DI34*(K34-AB34)+'Fuel Sub Calcs-Deemed'!DJ34*((K34-AB34)/INDEX('Device Refrigerant Leakage'!$C$2:$C$42,MATCH('Fuel Sub Calcs-Deemed'!X34,'Device Refrigerant Leakage'!$B$2:$B$42,0))))</f>
        <v/>
      </c>
      <c r="DM34" s="56">
        <v>20</v>
      </c>
      <c r="DN34" s="67" t="e">
        <f t="shared" si="28"/>
        <v>#N/A</v>
      </c>
      <c r="DO34" s="45" t="e">
        <f t="shared" si="29"/>
        <v>#N/A</v>
      </c>
      <c r="DP34" s="67" t="e">
        <f t="shared" si="30"/>
        <v>#N/A</v>
      </c>
      <c r="DQ34" s="45" t="e">
        <f t="shared" si="31"/>
        <v>#N/A</v>
      </c>
      <c r="DR34" s="69" t="e">
        <f t="shared" si="32"/>
        <v>#N/A</v>
      </c>
      <c r="DS34" s="34"/>
      <c r="DT34" s="67" t="e">
        <f>((BX34*CJ34)+IF($W34=MAT_AR,(BZ34*CL34),0))*(1+Reference!$E$50+Reference!$E$51)</f>
        <v>#N/A</v>
      </c>
      <c r="DU34" s="67">
        <f>((BY34*CK34)+IF($W34=MAT_AR,(CA34*CM34),0))*(1+Reference!$G$50+Reference!$G$51)</f>
        <v>0</v>
      </c>
      <c r="DV34" s="67" t="e">
        <f t="shared" si="33"/>
        <v>#VALUE!</v>
      </c>
      <c r="DX34" s="56">
        <v>20</v>
      </c>
      <c r="DY34" s="67">
        <f t="shared" si="34"/>
        <v>0</v>
      </c>
      <c r="DZ34" s="45" t="e">
        <f>VLOOKUP($R34,Dropdown!$C$3:$D$4,2,FALSE)</f>
        <v>#N/A</v>
      </c>
      <c r="EA34" s="68">
        <f t="shared" si="35"/>
        <v>0</v>
      </c>
      <c r="EB34" s="68" t="str">
        <f t="shared" si="36"/>
        <v>N/A</v>
      </c>
      <c r="EC34" s="68">
        <f t="shared" si="37"/>
        <v>0</v>
      </c>
      <c r="ED34" s="68" t="str">
        <f t="shared" si="38"/>
        <v>N/A</v>
      </c>
      <c r="EF34" s="56">
        <v>20</v>
      </c>
      <c r="EG34" s="46">
        <f t="shared" si="39"/>
        <v>0</v>
      </c>
      <c r="EH34" s="68" t="e">
        <f t="shared" si="40"/>
        <v>#N/A</v>
      </c>
      <c r="EI34" s="68" t="e">
        <f t="shared" si="41"/>
        <v>#N/A</v>
      </c>
      <c r="EJ34" s="68" t="e">
        <f t="shared" si="42"/>
        <v>#N/A</v>
      </c>
      <c r="EK34" s="68" t="e">
        <f t="shared" si="43"/>
        <v>#N/A</v>
      </c>
      <c r="EL34" s="46">
        <f t="shared" si="44"/>
        <v>0</v>
      </c>
      <c r="EM34" s="46">
        <f t="shared" si="45"/>
        <v>0</v>
      </c>
    </row>
    <row r="35" spans="1:143">
      <c r="A35" s="89"/>
      <c r="B35" s="89"/>
      <c r="D35" s="89"/>
      <c r="E35" s="89"/>
      <c r="F35" s="89"/>
      <c r="G35" s="34"/>
      <c r="H35" s="56">
        <f t="shared" si="46"/>
        <v>21</v>
      </c>
      <c r="I35" s="165"/>
      <c r="J35" s="163"/>
      <c r="K35" s="163"/>
      <c r="L35" s="164"/>
      <c r="M35" s="155"/>
      <c r="N35" s="155"/>
      <c r="O35" s="144"/>
      <c r="P35" s="159" t="str">
        <f>IFERROR(IF(O35&lt;&gt;"User Specified",IF(O35&lt;&gt;"", INDEX('Refrigerant GWPs'!$G$2:$G$154,MATCH(O35,'Refrigerant GWPs'!$A$2:$A$154,0)),""),U35),0)</f>
        <v/>
      </c>
      <c r="Q35" s="155"/>
      <c r="R35" s="155"/>
      <c r="S35" s="144"/>
      <c r="T35" s="159" t="str">
        <f>IF(S35&lt;&gt;"User Specified",IF(AND(S35&lt;&gt;"User Specified",S35&lt;&gt;""), INDEX('Refrigerant GWPs'!$G$2:$G$154,MATCH(S35,'Refrigerant GWPs'!$A$2:$A$154,0)),""),V35)</f>
        <v/>
      </c>
      <c r="U35" s="144"/>
      <c r="V35" s="144"/>
      <c r="W35" s="155"/>
      <c r="X35" s="155"/>
      <c r="Y35" s="144"/>
      <c r="Z35" s="159" t="str">
        <f>IF(AND(Y35&lt;&gt;"User Specified",Y35&lt;&gt;""), INDEX('Refrigerant GWPs'!$G$2:$G$154,MATCH(Y35,'Refrigerant GWPs'!$A$2:$A$154,0)),"")</f>
        <v/>
      </c>
      <c r="AA35" s="155"/>
      <c r="AB35" s="156"/>
      <c r="AC35" s="66"/>
      <c r="AD35" s="66"/>
      <c r="AE35" s="66"/>
      <c r="AF35" s="66"/>
      <c r="AG35" s="66"/>
      <c r="AH35" s="66"/>
      <c r="AI35" s="34"/>
      <c r="AJ35" s="88">
        <f t="shared" si="0"/>
        <v>0</v>
      </c>
      <c r="AK35" s="88">
        <f t="shared" si="1"/>
        <v>0</v>
      </c>
      <c r="AL35" s="88">
        <v>0</v>
      </c>
      <c r="AM35" s="88">
        <v>0</v>
      </c>
      <c r="AN35" s="81" t="str">
        <f t="shared" si="47"/>
        <v/>
      </c>
      <c r="AO35" s="88">
        <f t="shared" si="2"/>
        <v>0</v>
      </c>
      <c r="AP35" s="88">
        <f t="shared" si="3"/>
        <v>0</v>
      </c>
      <c r="AQ35" s="81" t="str">
        <f t="shared" si="4"/>
        <v/>
      </c>
      <c r="AS35" s="41" t="b">
        <f t="shared" si="5"/>
        <v>1</v>
      </c>
      <c r="AT35" s="38">
        <f t="shared" si="6"/>
        <v>0</v>
      </c>
      <c r="AU35" s="60">
        <f t="shared" si="7"/>
        <v>0</v>
      </c>
      <c r="AV35" s="41">
        <f t="shared" si="8"/>
        <v>0</v>
      </c>
      <c r="AW35" s="41" t="b">
        <f t="shared" si="9"/>
        <v>0</v>
      </c>
      <c r="AX35" t="str">
        <f t="shared" si="10"/>
        <v>+00</v>
      </c>
      <c r="AY35" t="str">
        <f t="shared" si="11"/>
        <v>+00</v>
      </c>
      <c r="BA35" s="47" t="b">
        <f t="shared" si="83"/>
        <v>1</v>
      </c>
      <c r="BB35" s="42" t="b">
        <f t="shared" si="84"/>
        <v>1</v>
      </c>
      <c r="BC35" s="42" t="b">
        <f t="shared" si="85"/>
        <v>0</v>
      </c>
      <c r="BD35" s="42" t="b">
        <f t="shared" si="86"/>
        <v>0</v>
      </c>
      <c r="BE35" s="70">
        <f t="shared" si="87"/>
        <v>0</v>
      </c>
      <c r="BF35" s="70">
        <f t="shared" si="88"/>
        <v>0</v>
      </c>
      <c r="BG35" s="34"/>
      <c r="BI35" s="47" t="b">
        <f t="shared" si="89"/>
        <v>1</v>
      </c>
      <c r="BJ35" s="47" t="b">
        <f t="shared" si="90"/>
        <v>1</v>
      </c>
      <c r="BK35" s="42" t="b">
        <f t="shared" si="91"/>
        <v>0</v>
      </c>
      <c r="BL35" s="42" t="b">
        <f t="shared" si="92"/>
        <v>0</v>
      </c>
      <c r="BM35" s="42">
        <f t="shared" si="93"/>
        <v>0</v>
      </c>
      <c r="BN35" s="42">
        <f t="shared" si="94"/>
        <v>0</v>
      </c>
      <c r="BP35" t="e">
        <f t="shared" si="95"/>
        <v>#N/A</v>
      </c>
      <c r="BQ35" t="e">
        <f t="shared" si="96"/>
        <v>#N/A</v>
      </c>
      <c r="BR35" t="e">
        <f t="shared" si="97"/>
        <v>#N/A</v>
      </c>
      <c r="BT35" s="60">
        <f t="shared" si="16"/>
        <v>0</v>
      </c>
      <c r="BU35" s="60">
        <f t="shared" si="17"/>
        <v>0</v>
      </c>
      <c r="BV35" s="60">
        <f t="shared" si="18"/>
        <v>0</v>
      </c>
      <c r="BW35" s="60">
        <f t="shared" si="19"/>
        <v>0</v>
      </c>
      <c r="BX35" s="60">
        <f t="shared" si="98"/>
        <v>0</v>
      </c>
      <c r="BY35" s="60">
        <f t="shared" si="99"/>
        <v>0</v>
      </c>
      <c r="BZ35" s="60">
        <f t="shared" si="100"/>
        <v>0</v>
      </c>
      <c r="CA35" s="60">
        <f t="shared" si="101"/>
        <v>0</v>
      </c>
      <c r="CB35" s="60" t="e">
        <f t="shared" si="20"/>
        <v>#N/A</v>
      </c>
      <c r="CC35" s="60">
        <f t="shared" si="21"/>
        <v>100000</v>
      </c>
      <c r="CD35" s="60" t="e">
        <f t="shared" si="22"/>
        <v>#N/A</v>
      </c>
      <c r="CE35" s="60">
        <f t="shared" si="23"/>
        <v>100000</v>
      </c>
      <c r="CF35" s="83" t="e">
        <f t="shared" si="102"/>
        <v>#N/A</v>
      </c>
      <c r="CG35" s="83">
        <f t="shared" si="103"/>
        <v>0</v>
      </c>
      <c r="CH35" s="83" t="e">
        <f t="shared" si="104"/>
        <v>#N/A</v>
      </c>
      <c r="CI35" s="83">
        <f t="shared" si="105"/>
        <v>0</v>
      </c>
      <c r="CJ35" s="86" t="e">
        <f t="shared" si="24"/>
        <v>#N/A</v>
      </c>
      <c r="CK35" s="82">
        <f t="shared" si="25"/>
        <v>5.3070370403969858E-3</v>
      </c>
      <c r="CL35" s="82" t="e">
        <f t="shared" si="26"/>
        <v>#N/A</v>
      </c>
      <c r="CM35" s="82">
        <f t="shared" si="27"/>
        <v>5.3070370403969858E-3</v>
      </c>
      <c r="CO35" s="149" t="str">
        <f>IF($I35&lt;&gt;"",IF(O35="User Specified",U35,INDEX('Refrigerant GWPs'!$G$2:$G$156,MATCH(O35,'Refrigerant GWPs'!$A$2:$A$156,0))),"")</f>
        <v/>
      </c>
      <c r="CP35" s="138" t="str">
        <f>IF($I35&lt;&gt;"",INDEX('Device Refrigerant Leakage'!$E$2:$E$42,MATCH($M35,'Device Refrigerant Leakage'!$B$2:$B$42,0)),"")</f>
        <v/>
      </c>
      <c r="CQ35" s="138" t="str">
        <f>IF($I35&lt;&gt;"",INDEX('Device Refrigerant Leakage'!$F$2:$F$42,MATCH($M35,'Device Refrigerant Leakage'!$B$2:$B$42,0)),"")</f>
        <v/>
      </c>
      <c r="CR35" s="145" t="str">
        <f>IF($I35&lt;&gt;"",INDEX('Device Refrigerant Leakage'!$G$2:$G$42,MATCH($M35,'Device Refrigerant Leakage'!$B$2:$B$42,0)),"")</f>
        <v/>
      </c>
      <c r="CS35" s="145" t="str">
        <f>IF($I35&lt;&gt;"",INDEX('Device Refrigerant Leakage'!$D$2:$D$42,MATCH($M35,'Device Refrigerant Leakage'!$B$2:$B$42,0))*CP35/2204.62*CO35,"")</f>
        <v/>
      </c>
      <c r="CT35" s="145" t="str">
        <f>IF($I35&lt;&gt;"",J35*(INDEX('Device Refrigerant Leakage'!$D$2:$D$42,MATCH($M35,'Device Refrigerant Leakage'!$B$2:$B$42,0))-(INDEX('Device Refrigerant Leakage'!$D$2:$D$42,MATCH($M35,'Device Refrigerant Leakage'!$B$2:$B$42,0)))*CR35*CP35)*CQ35/2204.62*CO35,"")</f>
        <v/>
      </c>
      <c r="CU35" s="135" t="str">
        <f>IF($I35&lt;&gt;"",J35*IF(W35&lt;&gt;"AR",(CS35*K35)+CT35,(CS35*AB35)+CT35*(AB35/INDEX('Device Refrigerant Leakage'!$C$2:$C$42,MATCH($M35,'Device Refrigerant Leakage'!$B$2:$B$42,0)))),"")</f>
        <v/>
      </c>
      <c r="CW35" s="135" t="str">
        <f>IF($I35&lt;&gt;"",IF(S35="User Specified",V35,INDEX('Refrigerant GWPs'!$G$2:$G$156,MATCH(S35,'Refrigerant GWPs'!$A$2:$A$157,0))),"")</f>
        <v/>
      </c>
      <c r="CX35" s="138" t="str">
        <f>IF($I35&lt;&gt;"",INDEX('Device Refrigerant Leakage'!$E$2:$E$42,MATCH($Q35,'Device Refrigerant Leakage'!$B$2:$B$42,0)),"")</f>
        <v/>
      </c>
      <c r="CY35" s="138" t="str">
        <f>IF($I35&lt;&gt;"",INDEX('Device Refrigerant Leakage'!$F$2:$F$42,MATCH($Q35,'Device Refrigerant Leakage'!$B$2:$B$42,0)),"")</f>
        <v/>
      </c>
      <c r="CZ35" s="145" t="str">
        <f>IF($I35&lt;&gt;"",INDEX('Device Refrigerant Leakage'!$G$2:$G$42,MATCH($Q35,'Device Refrigerant Leakage'!$B$2:$B$42,0)),"")</f>
        <v/>
      </c>
      <c r="DA35" s="145" t="str">
        <f>IF($I35&lt;&gt;"",J35*INDEX('Device Refrigerant Leakage'!$D$2:$D$42,MATCH($Q35,'Device Refrigerant Leakage'!$B$2:$B$42,0))*CX35/2204.62*CW35,"")</f>
        <v/>
      </c>
      <c r="DB35" s="145" t="str">
        <f>IF($I35&lt;&gt;"",J35*(INDEX('Device Refrigerant Leakage'!$D$2:$D$42,MATCH($Q35,'Device Refrigerant Leakage'!$B$2:$B$42,0))-(INDEX('Device Refrigerant Leakage'!$D$2:$D$42,MATCH($Q35,'Device Refrigerant Leakage'!$B$2:$B$42,0)))*CZ35*CX35)*CY35/2204.62*CW35,"")</f>
        <v/>
      </c>
      <c r="DC35" s="135" t="str">
        <f t="shared" si="59"/>
        <v/>
      </c>
      <c r="DE35" s="146" t="str">
        <f>IF(W35&lt;&gt;"AR","",IF(Y35="User Specified", AA35, INDEX('Refrigerant GWPs'!$G$2:$G$154,MATCH(Y35,'Refrigerant GWPs'!$A$2:$A$154,0))))</f>
        <v/>
      </c>
      <c r="DF35" s="146" t="str">
        <f>IF(W35&lt;&gt;"AR","",INDEX('Device Refrigerant Leakage'!$E$2:$E$42,MATCH(X35,'Device Refrigerant Leakage'!$B$2:$B$42,0)))</f>
        <v/>
      </c>
      <c r="DG35" s="146" t="str">
        <f>IF(W35&lt;&gt;"AR","",INDEX('Device Refrigerant Leakage'!$F$2:$F$42,MATCH(X35,'Device Refrigerant Leakage'!$B$2:$B$42,0)))</f>
        <v/>
      </c>
      <c r="DH35" s="146" t="str">
        <f>IF(W35&lt;&gt;"AR","",INDEX('Device Refrigerant Leakage'!$G$2:$G$42,MATCH(X35,'Device Refrigerant Leakage'!$B$2:$B$42,0)))</f>
        <v/>
      </c>
      <c r="DI35" s="146" t="str">
        <f>IF(W35&lt;&gt;"AR","",J35*INDEX('Device Refrigerant Leakage'!$D$2:$D$42,MATCH(X35,'Device Refrigerant Leakage'!$B$2:$B$42,0))*DF35/2204.62*DE35)</f>
        <v/>
      </c>
      <c r="DJ35" s="146" t="str">
        <f>IF(W35&lt;&gt;"AR","",J35*(INDEX('Device Refrigerant Leakage'!$D$2:$D$42,MATCH(X35,'Device Refrigerant Leakage'!$B$2:$B$42,0))-(INDEX('Device Refrigerant Leakage'!$D$2:$D$42,MATCH(X35,'Device Refrigerant Leakage'!$B$2:$B$42,0)))*DH35*DF35)*DG35/2204.62*DE35)</f>
        <v/>
      </c>
      <c r="DK35" s="146" t="str">
        <f>IF(W35&lt;&gt;"AR","",DI35*(K35-AB35)+'Fuel Sub Calcs-Deemed'!DJ35*((K35-AB35)/INDEX('Device Refrigerant Leakage'!$C$2:$C$42,MATCH('Fuel Sub Calcs-Deemed'!X35,'Device Refrigerant Leakage'!$B$2:$B$42,0))))</f>
        <v/>
      </c>
      <c r="DM35" s="56">
        <v>21</v>
      </c>
      <c r="DN35" s="67" t="e">
        <f t="shared" si="28"/>
        <v>#N/A</v>
      </c>
      <c r="DO35" s="45" t="e">
        <f t="shared" si="29"/>
        <v>#N/A</v>
      </c>
      <c r="DP35" s="67" t="e">
        <f t="shared" si="30"/>
        <v>#N/A</v>
      </c>
      <c r="DQ35" s="45" t="e">
        <f t="shared" si="31"/>
        <v>#N/A</v>
      </c>
      <c r="DR35" s="69" t="e">
        <f t="shared" si="32"/>
        <v>#N/A</v>
      </c>
      <c r="DS35" s="34"/>
      <c r="DT35" s="67" t="e">
        <f>((BX35*CJ35)+IF($W35=MAT_AR,(BZ35*CL35),0))*(1+Reference!$E$50+Reference!$E$51)</f>
        <v>#N/A</v>
      </c>
      <c r="DU35" s="67">
        <f>((BY35*CK35)+IF($W35=MAT_AR,(CA35*CM35),0))*(1+Reference!$G$50+Reference!$G$51)</f>
        <v>0</v>
      </c>
      <c r="DV35" s="67" t="e">
        <f t="shared" si="33"/>
        <v>#VALUE!</v>
      </c>
      <c r="DX35" s="56">
        <v>21</v>
      </c>
      <c r="DY35" s="67">
        <f t="shared" si="34"/>
        <v>0</v>
      </c>
      <c r="DZ35" s="45" t="e">
        <f>VLOOKUP($R35,Dropdown!$C$3:$D$4,2,FALSE)</f>
        <v>#N/A</v>
      </c>
      <c r="EA35" s="68">
        <f t="shared" si="35"/>
        <v>0</v>
      </c>
      <c r="EB35" s="68" t="str">
        <f t="shared" si="36"/>
        <v>N/A</v>
      </c>
      <c r="EC35" s="68">
        <f t="shared" si="37"/>
        <v>0</v>
      </c>
      <c r="ED35" s="68" t="str">
        <f t="shared" si="38"/>
        <v>N/A</v>
      </c>
      <c r="EF35" s="56">
        <v>21</v>
      </c>
      <c r="EG35" s="46">
        <f t="shared" si="39"/>
        <v>0</v>
      </c>
      <c r="EH35" s="68" t="e">
        <f t="shared" si="40"/>
        <v>#N/A</v>
      </c>
      <c r="EI35" s="68" t="e">
        <f t="shared" si="41"/>
        <v>#N/A</v>
      </c>
      <c r="EJ35" s="68" t="e">
        <f t="shared" si="42"/>
        <v>#N/A</v>
      </c>
      <c r="EK35" s="68" t="e">
        <f t="shared" si="43"/>
        <v>#N/A</v>
      </c>
      <c r="EL35" s="46">
        <f t="shared" si="44"/>
        <v>0</v>
      </c>
      <c r="EM35" s="46">
        <f t="shared" si="45"/>
        <v>0</v>
      </c>
    </row>
    <row r="36" spans="1:143">
      <c r="A36" s="89"/>
      <c r="B36" s="89"/>
      <c r="D36" s="89"/>
      <c r="E36" s="89"/>
      <c r="F36" s="89"/>
      <c r="G36" s="34"/>
      <c r="H36" s="56">
        <f t="shared" si="46"/>
        <v>22</v>
      </c>
      <c r="I36" s="165"/>
      <c r="J36" s="163"/>
      <c r="K36" s="163"/>
      <c r="L36" s="164"/>
      <c r="M36" s="155"/>
      <c r="N36" s="155"/>
      <c r="O36" s="144"/>
      <c r="P36" s="159" t="str">
        <f>IFERROR(IF(O36&lt;&gt;"User Specified",IF(O36&lt;&gt;"", INDEX('Refrigerant GWPs'!$G$2:$G$154,MATCH(O36,'Refrigerant GWPs'!$A$2:$A$154,0)),""),U36),0)</f>
        <v/>
      </c>
      <c r="Q36" s="155"/>
      <c r="R36" s="155"/>
      <c r="S36" s="144"/>
      <c r="T36" s="159" t="str">
        <f>IF(S36&lt;&gt;"User Specified",IF(AND(S36&lt;&gt;"User Specified",S36&lt;&gt;""), INDEX('Refrigerant GWPs'!$G$2:$G$154,MATCH(S36,'Refrigerant GWPs'!$A$2:$A$154,0)),""),V36)</f>
        <v/>
      </c>
      <c r="U36" s="144"/>
      <c r="V36" s="144"/>
      <c r="W36" s="155"/>
      <c r="X36" s="155"/>
      <c r="Y36" s="144"/>
      <c r="Z36" s="159" t="str">
        <f>IF(AND(Y36&lt;&gt;"User Specified",Y36&lt;&gt;""), INDEX('Refrigerant GWPs'!$G$2:$G$154,MATCH(Y36,'Refrigerant GWPs'!$A$2:$A$154,0)),"")</f>
        <v/>
      </c>
      <c r="AA36" s="155"/>
      <c r="AB36" s="156"/>
      <c r="AC36" s="66"/>
      <c r="AD36" s="66"/>
      <c r="AE36" s="66"/>
      <c r="AF36" s="66"/>
      <c r="AG36" s="66"/>
      <c r="AH36" s="66"/>
      <c r="AI36" s="34"/>
      <c r="AJ36" s="88">
        <f t="shared" si="0"/>
        <v>0</v>
      </c>
      <c r="AK36" s="88">
        <f t="shared" si="1"/>
        <v>0</v>
      </c>
      <c r="AL36" s="88">
        <v>0</v>
      </c>
      <c r="AM36" s="88">
        <v>0</v>
      </c>
      <c r="AN36" s="81" t="str">
        <f t="shared" si="47"/>
        <v/>
      </c>
      <c r="AO36" s="88">
        <f t="shared" si="2"/>
        <v>0</v>
      </c>
      <c r="AP36" s="88">
        <f t="shared" si="3"/>
        <v>0</v>
      </c>
      <c r="AQ36" s="81" t="str">
        <f t="shared" si="4"/>
        <v/>
      </c>
      <c r="AS36" s="41" t="b">
        <f t="shared" si="5"/>
        <v>1</v>
      </c>
      <c r="AT36" s="38">
        <f t="shared" si="6"/>
        <v>0</v>
      </c>
      <c r="AU36" s="60">
        <f t="shared" si="7"/>
        <v>0</v>
      </c>
      <c r="AV36" s="41">
        <f t="shared" si="8"/>
        <v>0</v>
      </c>
      <c r="AW36" s="41" t="b">
        <f t="shared" si="9"/>
        <v>0</v>
      </c>
      <c r="AX36" t="str">
        <f t="shared" si="10"/>
        <v>+00</v>
      </c>
      <c r="AY36" t="str">
        <f t="shared" si="11"/>
        <v>+00</v>
      </c>
      <c r="BA36" s="47" t="b">
        <f t="shared" si="83"/>
        <v>1</v>
      </c>
      <c r="BB36" s="42" t="b">
        <f t="shared" si="84"/>
        <v>1</v>
      </c>
      <c r="BC36" s="42" t="b">
        <f t="shared" si="85"/>
        <v>0</v>
      </c>
      <c r="BD36" s="42" t="b">
        <f t="shared" si="86"/>
        <v>0</v>
      </c>
      <c r="BE36" s="70">
        <f t="shared" si="87"/>
        <v>0</v>
      </c>
      <c r="BF36" s="70">
        <f t="shared" si="88"/>
        <v>0</v>
      </c>
      <c r="BG36" s="34"/>
      <c r="BI36" s="47" t="b">
        <f t="shared" si="89"/>
        <v>1</v>
      </c>
      <c r="BJ36" s="47" t="b">
        <f t="shared" si="90"/>
        <v>1</v>
      </c>
      <c r="BK36" s="42" t="b">
        <f t="shared" si="91"/>
        <v>0</v>
      </c>
      <c r="BL36" s="42" t="b">
        <f t="shared" si="92"/>
        <v>0</v>
      </c>
      <c r="BM36" s="42">
        <f t="shared" si="93"/>
        <v>0</v>
      </c>
      <c r="BN36" s="42">
        <f t="shared" si="94"/>
        <v>0</v>
      </c>
      <c r="BP36" t="e">
        <f t="shared" si="95"/>
        <v>#N/A</v>
      </c>
      <c r="BQ36" t="e">
        <f t="shared" si="96"/>
        <v>#N/A</v>
      </c>
      <c r="BR36" t="e">
        <f t="shared" si="97"/>
        <v>#N/A</v>
      </c>
      <c r="BT36" s="60">
        <f t="shared" si="16"/>
        <v>0</v>
      </c>
      <c r="BU36" s="60">
        <f t="shared" si="17"/>
        <v>0</v>
      </c>
      <c r="BV36" s="60">
        <f t="shared" si="18"/>
        <v>0</v>
      </c>
      <c r="BW36" s="60">
        <f t="shared" si="19"/>
        <v>0</v>
      </c>
      <c r="BX36" s="60">
        <f t="shared" si="98"/>
        <v>0</v>
      </c>
      <c r="BY36" s="60">
        <f t="shared" si="99"/>
        <v>0</v>
      </c>
      <c r="BZ36" s="60">
        <f t="shared" si="100"/>
        <v>0</v>
      </c>
      <c r="CA36" s="60">
        <f t="shared" si="101"/>
        <v>0</v>
      </c>
      <c r="CB36" s="60" t="e">
        <f t="shared" si="20"/>
        <v>#N/A</v>
      </c>
      <c r="CC36" s="60">
        <f t="shared" si="21"/>
        <v>100000</v>
      </c>
      <c r="CD36" s="60" t="e">
        <f t="shared" si="22"/>
        <v>#N/A</v>
      </c>
      <c r="CE36" s="60">
        <f t="shared" si="23"/>
        <v>100000</v>
      </c>
      <c r="CF36" s="83" t="e">
        <f t="shared" si="102"/>
        <v>#N/A</v>
      </c>
      <c r="CG36" s="83">
        <f t="shared" si="103"/>
        <v>0</v>
      </c>
      <c r="CH36" s="83" t="e">
        <f t="shared" si="104"/>
        <v>#N/A</v>
      </c>
      <c r="CI36" s="83">
        <f t="shared" si="105"/>
        <v>0</v>
      </c>
      <c r="CJ36" s="86" t="e">
        <f t="shared" si="24"/>
        <v>#N/A</v>
      </c>
      <c r="CK36" s="82">
        <f t="shared" si="25"/>
        <v>5.3070370403969858E-3</v>
      </c>
      <c r="CL36" s="82" t="e">
        <f t="shared" si="26"/>
        <v>#N/A</v>
      </c>
      <c r="CM36" s="82">
        <f t="shared" si="27"/>
        <v>5.3070370403969858E-3</v>
      </c>
      <c r="CO36" s="149" t="str">
        <f>IF($I36&lt;&gt;"",IF(O36="User Specified",U36,INDEX('Refrigerant GWPs'!$G$2:$G$156,MATCH(O36,'Refrigerant GWPs'!$A$2:$A$156,0))),"")</f>
        <v/>
      </c>
      <c r="CP36" s="138" t="str">
        <f>IF($I36&lt;&gt;"",INDEX('Device Refrigerant Leakage'!$E$2:$E$42,MATCH($M36,'Device Refrigerant Leakage'!$B$2:$B$42,0)),"")</f>
        <v/>
      </c>
      <c r="CQ36" s="138" t="str">
        <f>IF($I36&lt;&gt;"",INDEX('Device Refrigerant Leakage'!$F$2:$F$42,MATCH($M36,'Device Refrigerant Leakage'!$B$2:$B$42,0)),"")</f>
        <v/>
      </c>
      <c r="CR36" s="145" t="str">
        <f>IF($I36&lt;&gt;"",INDEX('Device Refrigerant Leakage'!$G$2:$G$42,MATCH($M36,'Device Refrigerant Leakage'!$B$2:$B$42,0)),"")</f>
        <v/>
      </c>
      <c r="CS36" s="145" t="str">
        <f>IF($I36&lt;&gt;"",INDEX('Device Refrigerant Leakage'!$D$2:$D$42,MATCH($M36,'Device Refrigerant Leakage'!$B$2:$B$42,0))*CP36/2204.62*CO36,"")</f>
        <v/>
      </c>
      <c r="CT36" s="145" t="str">
        <f>IF($I36&lt;&gt;"",J36*(INDEX('Device Refrigerant Leakage'!$D$2:$D$42,MATCH($M36,'Device Refrigerant Leakage'!$B$2:$B$42,0))-(INDEX('Device Refrigerant Leakage'!$D$2:$D$42,MATCH($M36,'Device Refrigerant Leakage'!$B$2:$B$42,0)))*CR36*CP36)*CQ36/2204.62*CO36,"")</f>
        <v/>
      </c>
      <c r="CU36" s="135" t="str">
        <f>IF($I36&lt;&gt;"",J36*IF(W36&lt;&gt;"AR",(CS36*K36)+CT36,(CS36*AB36)+CT36*(AB36/INDEX('Device Refrigerant Leakage'!$C$2:$C$42,MATCH($M36,'Device Refrigerant Leakage'!$B$2:$B$42,0)))),"")</f>
        <v/>
      </c>
      <c r="CW36" s="135" t="str">
        <f>IF($I36&lt;&gt;"",IF(S36="User Specified",V36,INDEX('Refrigerant GWPs'!$G$2:$G$156,MATCH(S36,'Refrigerant GWPs'!$A$2:$A$157,0))),"")</f>
        <v/>
      </c>
      <c r="CX36" s="138" t="str">
        <f>IF($I36&lt;&gt;"",INDEX('Device Refrigerant Leakage'!$E$2:$E$42,MATCH($Q36,'Device Refrigerant Leakage'!$B$2:$B$42,0)),"")</f>
        <v/>
      </c>
      <c r="CY36" s="138" t="str">
        <f>IF($I36&lt;&gt;"",INDEX('Device Refrigerant Leakage'!$F$2:$F$42,MATCH($Q36,'Device Refrigerant Leakage'!$B$2:$B$42,0)),"")</f>
        <v/>
      </c>
      <c r="CZ36" s="145" t="str">
        <f>IF($I36&lt;&gt;"",INDEX('Device Refrigerant Leakage'!$G$2:$G$42,MATCH($Q36,'Device Refrigerant Leakage'!$B$2:$B$42,0)),"")</f>
        <v/>
      </c>
      <c r="DA36" s="145" t="str">
        <f>IF($I36&lt;&gt;"",J36*INDEX('Device Refrigerant Leakage'!$D$2:$D$42,MATCH($Q36,'Device Refrigerant Leakage'!$B$2:$B$42,0))*CX36/2204.62*CW36,"")</f>
        <v/>
      </c>
      <c r="DB36" s="145" t="str">
        <f>IF($I36&lt;&gt;"",J36*(INDEX('Device Refrigerant Leakage'!$D$2:$D$42,MATCH($Q36,'Device Refrigerant Leakage'!$B$2:$B$42,0))-(INDEX('Device Refrigerant Leakage'!$D$2:$D$42,MATCH($Q36,'Device Refrigerant Leakage'!$B$2:$B$42,0)))*CZ36*CX36)*CY36/2204.62*CW36,"")</f>
        <v/>
      </c>
      <c r="DC36" s="135" t="str">
        <f t="shared" si="59"/>
        <v/>
      </c>
      <c r="DE36" s="146" t="str">
        <f>IF(W36&lt;&gt;"AR","",IF(Y36="User Specified", AA36, INDEX('Refrigerant GWPs'!$G$2:$G$154,MATCH(Y36,'Refrigerant GWPs'!$A$2:$A$154,0))))</f>
        <v/>
      </c>
      <c r="DF36" s="146" t="str">
        <f>IF(W36&lt;&gt;"AR","",INDEX('Device Refrigerant Leakage'!$E$2:$E$42,MATCH(X36,'Device Refrigerant Leakage'!$B$2:$B$42,0)))</f>
        <v/>
      </c>
      <c r="DG36" s="146" t="str">
        <f>IF(W36&lt;&gt;"AR","",INDEX('Device Refrigerant Leakage'!$F$2:$F$42,MATCH(X36,'Device Refrigerant Leakage'!$B$2:$B$42,0)))</f>
        <v/>
      </c>
      <c r="DH36" s="146" t="str">
        <f>IF(W36&lt;&gt;"AR","",INDEX('Device Refrigerant Leakage'!$G$2:$G$42,MATCH(X36,'Device Refrigerant Leakage'!$B$2:$B$42,0)))</f>
        <v/>
      </c>
      <c r="DI36" s="146" t="str">
        <f>IF(W36&lt;&gt;"AR","",J36*INDEX('Device Refrigerant Leakage'!$D$2:$D$42,MATCH(X36,'Device Refrigerant Leakage'!$B$2:$B$42,0))*DF36/2204.62*DE36)</f>
        <v/>
      </c>
      <c r="DJ36" s="146" t="str">
        <f>IF(W36&lt;&gt;"AR","",J36*(INDEX('Device Refrigerant Leakage'!$D$2:$D$42,MATCH(X36,'Device Refrigerant Leakage'!$B$2:$B$42,0))-(INDEX('Device Refrigerant Leakage'!$D$2:$D$42,MATCH(X36,'Device Refrigerant Leakage'!$B$2:$B$42,0)))*DH36*DF36)*DG36/2204.62*DE36)</f>
        <v/>
      </c>
      <c r="DK36" s="146" t="str">
        <f>IF(W36&lt;&gt;"AR","",DI36*(K36-AB36)+'Fuel Sub Calcs-Deemed'!DJ36*((K36-AB36)/INDEX('Device Refrigerant Leakage'!$C$2:$C$42,MATCH('Fuel Sub Calcs-Deemed'!X36,'Device Refrigerant Leakage'!$B$2:$B$42,0))))</f>
        <v/>
      </c>
      <c r="DM36" s="56">
        <v>22</v>
      </c>
      <c r="DN36" s="67" t="e">
        <f t="shared" si="28"/>
        <v>#N/A</v>
      </c>
      <c r="DO36" s="45" t="e">
        <f t="shared" si="29"/>
        <v>#N/A</v>
      </c>
      <c r="DP36" s="67" t="e">
        <f t="shared" si="30"/>
        <v>#N/A</v>
      </c>
      <c r="DQ36" s="45" t="e">
        <f t="shared" si="31"/>
        <v>#N/A</v>
      </c>
      <c r="DR36" s="69" t="e">
        <f t="shared" si="32"/>
        <v>#N/A</v>
      </c>
      <c r="DS36" s="34"/>
      <c r="DT36" s="67" t="e">
        <f>((BX36*CJ36)+IF($W36=MAT_AR,(BZ36*CL36),0))*(1+Reference!$E$50+Reference!$E$51)</f>
        <v>#N/A</v>
      </c>
      <c r="DU36" s="67">
        <f>((BY36*CK36)+IF($W36=MAT_AR,(CA36*CM36),0))*(1+Reference!$G$50+Reference!$G$51)</f>
        <v>0</v>
      </c>
      <c r="DV36" s="67" t="e">
        <f t="shared" si="33"/>
        <v>#VALUE!</v>
      </c>
      <c r="DX36" s="56">
        <v>22</v>
      </c>
      <c r="DY36" s="67">
        <f t="shared" si="34"/>
        <v>0</v>
      </c>
      <c r="DZ36" s="45" t="e">
        <f>VLOOKUP($R36,Dropdown!$C$3:$D$4,2,FALSE)</f>
        <v>#N/A</v>
      </c>
      <c r="EA36" s="68">
        <f t="shared" si="35"/>
        <v>0</v>
      </c>
      <c r="EB36" s="68" t="str">
        <f t="shared" si="36"/>
        <v>N/A</v>
      </c>
      <c r="EC36" s="68">
        <f t="shared" si="37"/>
        <v>0</v>
      </c>
      <c r="ED36" s="68" t="str">
        <f t="shared" si="38"/>
        <v>N/A</v>
      </c>
      <c r="EF36" s="56">
        <v>22</v>
      </c>
      <c r="EG36" s="46">
        <f t="shared" si="39"/>
        <v>0</v>
      </c>
      <c r="EH36" s="68" t="e">
        <f t="shared" si="40"/>
        <v>#N/A</v>
      </c>
      <c r="EI36" s="68" t="e">
        <f t="shared" si="41"/>
        <v>#N/A</v>
      </c>
      <c r="EJ36" s="68" t="e">
        <f t="shared" si="42"/>
        <v>#N/A</v>
      </c>
      <c r="EK36" s="68" t="e">
        <f t="shared" si="43"/>
        <v>#N/A</v>
      </c>
      <c r="EL36" s="46">
        <f t="shared" si="44"/>
        <v>0</v>
      </c>
      <c r="EM36" s="46">
        <f t="shared" si="45"/>
        <v>0</v>
      </c>
    </row>
    <row r="37" spans="1:143">
      <c r="A37" s="89"/>
      <c r="B37" s="89"/>
      <c r="D37" s="89"/>
      <c r="E37" s="89"/>
      <c r="F37" s="89"/>
      <c r="G37" s="34"/>
      <c r="H37" s="56">
        <f t="shared" si="46"/>
        <v>23</v>
      </c>
      <c r="I37" s="165"/>
      <c r="J37" s="163"/>
      <c r="K37" s="163"/>
      <c r="L37" s="164"/>
      <c r="M37" s="155"/>
      <c r="N37" s="155"/>
      <c r="O37" s="144"/>
      <c r="P37" s="159" t="str">
        <f>IFERROR(IF(O37&lt;&gt;"User Specified",IF(O37&lt;&gt;"", INDEX('Refrigerant GWPs'!$G$2:$G$154,MATCH(O37,'Refrigerant GWPs'!$A$2:$A$154,0)),""),U37),0)</f>
        <v/>
      </c>
      <c r="Q37" s="155"/>
      <c r="R37" s="155"/>
      <c r="S37" s="144"/>
      <c r="T37" s="159" t="str">
        <f>IF(S37&lt;&gt;"User Specified",IF(AND(S37&lt;&gt;"User Specified",S37&lt;&gt;""), INDEX('Refrigerant GWPs'!$G$2:$G$154,MATCH(S37,'Refrigerant GWPs'!$A$2:$A$154,0)),""),V37)</f>
        <v/>
      </c>
      <c r="U37" s="144"/>
      <c r="V37" s="144"/>
      <c r="W37" s="155"/>
      <c r="X37" s="155"/>
      <c r="Y37" s="144"/>
      <c r="Z37" s="159" t="str">
        <f>IF(AND(Y37&lt;&gt;"User Specified",Y37&lt;&gt;""), INDEX('Refrigerant GWPs'!$G$2:$G$154,MATCH(Y37,'Refrigerant GWPs'!$A$2:$A$154,0)),"")</f>
        <v/>
      </c>
      <c r="AA37" s="155"/>
      <c r="AB37" s="156"/>
      <c r="AC37" s="66"/>
      <c r="AD37" s="66"/>
      <c r="AE37" s="66"/>
      <c r="AF37" s="66"/>
      <c r="AG37" s="66"/>
      <c r="AH37" s="66"/>
      <c r="AI37" s="34"/>
      <c r="AJ37" s="88">
        <f t="shared" si="0"/>
        <v>0</v>
      </c>
      <c r="AK37" s="88">
        <f t="shared" si="1"/>
        <v>0</v>
      </c>
      <c r="AL37" s="88">
        <v>0</v>
      </c>
      <c r="AM37" s="88">
        <v>0</v>
      </c>
      <c r="AN37" s="81" t="str">
        <f t="shared" si="47"/>
        <v/>
      </c>
      <c r="AO37" s="88">
        <f t="shared" si="2"/>
        <v>0</v>
      </c>
      <c r="AP37" s="88">
        <f t="shared" si="3"/>
        <v>0</v>
      </c>
      <c r="AQ37" s="81" t="str">
        <f t="shared" si="4"/>
        <v/>
      </c>
      <c r="AS37" s="41" t="b">
        <f t="shared" si="5"/>
        <v>1</v>
      </c>
      <c r="AT37" s="38">
        <f t="shared" si="6"/>
        <v>0</v>
      </c>
      <c r="AU37" s="60">
        <f t="shared" si="7"/>
        <v>0</v>
      </c>
      <c r="AV37" s="41">
        <f t="shared" si="8"/>
        <v>0</v>
      </c>
      <c r="AW37" s="41" t="b">
        <f t="shared" si="9"/>
        <v>0</v>
      </c>
      <c r="AX37" t="str">
        <f t="shared" si="10"/>
        <v>+00</v>
      </c>
      <c r="AY37" t="str">
        <f t="shared" si="11"/>
        <v>+00</v>
      </c>
      <c r="BA37" s="47" t="b">
        <f t="shared" si="83"/>
        <v>1</v>
      </c>
      <c r="BB37" s="42" t="b">
        <f t="shared" si="84"/>
        <v>1</v>
      </c>
      <c r="BC37" s="42" t="b">
        <f t="shared" si="85"/>
        <v>0</v>
      </c>
      <c r="BD37" s="42" t="b">
        <f t="shared" si="86"/>
        <v>0</v>
      </c>
      <c r="BE37" s="70">
        <f t="shared" si="87"/>
        <v>0</v>
      </c>
      <c r="BF37" s="70">
        <f t="shared" si="88"/>
        <v>0</v>
      </c>
      <c r="BG37" s="34"/>
      <c r="BI37" s="47" t="b">
        <f t="shared" si="89"/>
        <v>1</v>
      </c>
      <c r="BJ37" s="47" t="b">
        <f t="shared" si="90"/>
        <v>1</v>
      </c>
      <c r="BK37" s="42" t="b">
        <f t="shared" si="91"/>
        <v>0</v>
      </c>
      <c r="BL37" s="42" t="b">
        <f t="shared" si="92"/>
        <v>0</v>
      </c>
      <c r="BM37" s="42">
        <f t="shared" si="93"/>
        <v>0</v>
      </c>
      <c r="BN37" s="42">
        <f t="shared" si="94"/>
        <v>0</v>
      </c>
      <c r="BP37" t="e">
        <f t="shared" si="95"/>
        <v>#N/A</v>
      </c>
      <c r="BQ37" t="e">
        <f t="shared" si="96"/>
        <v>#N/A</v>
      </c>
      <c r="BR37" t="e">
        <f t="shared" si="97"/>
        <v>#N/A</v>
      </c>
      <c r="BT37" s="60">
        <f t="shared" si="16"/>
        <v>0</v>
      </c>
      <c r="BU37" s="60">
        <f t="shared" si="17"/>
        <v>0</v>
      </c>
      <c r="BV37" s="60">
        <f t="shared" si="18"/>
        <v>0</v>
      </c>
      <c r="BW37" s="60">
        <f t="shared" si="19"/>
        <v>0</v>
      </c>
      <c r="BX37" s="60">
        <f t="shared" si="98"/>
        <v>0</v>
      </c>
      <c r="BY37" s="60">
        <f t="shared" si="99"/>
        <v>0</v>
      </c>
      <c r="BZ37" s="60">
        <f t="shared" si="100"/>
        <v>0</v>
      </c>
      <c r="CA37" s="60">
        <f t="shared" si="101"/>
        <v>0</v>
      </c>
      <c r="CB37" s="60" t="e">
        <f t="shared" si="20"/>
        <v>#N/A</v>
      </c>
      <c r="CC37" s="60">
        <f t="shared" si="21"/>
        <v>100000</v>
      </c>
      <c r="CD37" s="60" t="e">
        <f t="shared" si="22"/>
        <v>#N/A</v>
      </c>
      <c r="CE37" s="60">
        <f t="shared" si="23"/>
        <v>100000</v>
      </c>
      <c r="CF37" s="83" t="e">
        <f t="shared" si="102"/>
        <v>#N/A</v>
      </c>
      <c r="CG37" s="83">
        <f t="shared" si="103"/>
        <v>0</v>
      </c>
      <c r="CH37" s="83" t="e">
        <f t="shared" si="104"/>
        <v>#N/A</v>
      </c>
      <c r="CI37" s="83">
        <f t="shared" si="105"/>
        <v>0</v>
      </c>
      <c r="CJ37" s="86" t="e">
        <f t="shared" si="24"/>
        <v>#N/A</v>
      </c>
      <c r="CK37" s="82">
        <f t="shared" si="25"/>
        <v>5.3070370403969858E-3</v>
      </c>
      <c r="CL37" s="82" t="e">
        <f t="shared" si="26"/>
        <v>#N/A</v>
      </c>
      <c r="CM37" s="82">
        <f t="shared" si="27"/>
        <v>5.3070370403969858E-3</v>
      </c>
      <c r="CO37" s="149" t="str">
        <f>IF($I37&lt;&gt;"",IF(O37="User Specified",U37,INDEX('Refrigerant GWPs'!$G$2:$G$156,MATCH(O37,'Refrigerant GWPs'!$A$2:$A$156,0))),"")</f>
        <v/>
      </c>
      <c r="CP37" s="138" t="str">
        <f>IF($I37&lt;&gt;"",INDEX('Device Refrigerant Leakage'!$E$2:$E$42,MATCH($M37,'Device Refrigerant Leakage'!$B$2:$B$42,0)),"")</f>
        <v/>
      </c>
      <c r="CQ37" s="138" t="str">
        <f>IF($I37&lt;&gt;"",INDEX('Device Refrigerant Leakage'!$F$2:$F$42,MATCH($M37,'Device Refrigerant Leakage'!$B$2:$B$42,0)),"")</f>
        <v/>
      </c>
      <c r="CR37" s="145" t="str">
        <f>IF($I37&lt;&gt;"",INDEX('Device Refrigerant Leakage'!$G$2:$G$42,MATCH($M37,'Device Refrigerant Leakage'!$B$2:$B$42,0)),"")</f>
        <v/>
      </c>
      <c r="CS37" s="145" t="str">
        <f>IF($I37&lt;&gt;"",INDEX('Device Refrigerant Leakage'!$D$2:$D$42,MATCH($M37,'Device Refrigerant Leakage'!$B$2:$B$42,0))*CP37/2204.62*CO37,"")</f>
        <v/>
      </c>
      <c r="CT37" s="145" t="str">
        <f>IF($I37&lt;&gt;"",J37*(INDEX('Device Refrigerant Leakage'!$D$2:$D$42,MATCH($M37,'Device Refrigerant Leakage'!$B$2:$B$42,0))-(INDEX('Device Refrigerant Leakage'!$D$2:$D$42,MATCH($M37,'Device Refrigerant Leakage'!$B$2:$B$42,0)))*CR37*CP37)*CQ37/2204.62*CO37,"")</f>
        <v/>
      </c>
      <c r="CU37" s="135" t="str">
        <f>IF($I37&lt;&gt;"",J37*IF(W37&lt;&gt;"AR",(CS37*K37)+CT37,(CS37*AB37)+CT37*(AB37/INDEX('Device Refrigerant Leakage'!$C$2:$C$42,MATCH($M37,'Device Refrigerant Leakage'!$B$2:$B$42,0)))),"")</f>
        <v/>
      </c>
      <c r="CW37" s="135" t="str">
        <f>IF($I37&lt;&gt;"",IF(S37="User Specified",V37,INDEX('Refrigerant GWPs'!$G$2:$G$156,MATCH(S37,'Refrigerant GWPs'!$A$2:$A$157,0))),"")</f>
        <v/>
      </c>
      <c r="CX37" s="138" t="str">
        <f>IF($I37&lt;&gt;"",INDEX('Device Refrigerant Leakage'!$E$2:$E$42,MATCH($Q37,'Device Refrigerant Leakage'!$B$2:$B$42,0)),"")</f>
        <v/>
      </c>
      <c r="CY37" s="138" t="str">
        <f>IF($I37&lt;&gt;"",INDEX('Device Refrigerant Leakage'!$F$2:$F$42,MATCH($Q37,'Device Refrigerant Leakage'!$B$2:$B$42,0)),"")</f>
        <v/>
      </c>
      <c r="CZ37" s="145" t="str">
        <f>IF($I37&lt;&gt;"",INDEX('Device Refrigerant Leakage'!$G$2:$G$42,MATCH($Q37,'Device Refrigerant Leakage'!$B$2:$B$42,0)),"")</f>
        <v/>
      </c>
      <c r="DA37" s="145" t="str">
        <f>IF($I37&lt;&gt;"",J37*INDEX('Device Refrigerant Leakage'!$D$2:$D$42,MATCH($Q37,'Device Refrigerant Leakage'!$B$2:$B$42,0))*CX37/2204.62*CW37,"")</f>
        <v/>
      </c>
      <c r="DB37" s="145" t="str">
        <f>IF($I37&lt;&gt;"",J37*(INDEX('Device Refrigerant Leakage'!$D$2:$D$42,MATCH($Q37,'Device Refrigerant Leakage'!$B$2:$B$42,0))-(INDEX('Device Refrigerant Leakage'!$D$2:$D$42,MATCH($Q37,'Device Refrigerant Leakage'!$B$2:$B$42,0)))*CZ37*CX37)*CY37/2204.62*CW37,"")</f>
        <v/>
      </c>
      <c r="DC37" s="135" t="str">
        <f t="shared" si="59"/>
        <v/>
      </c>
      <c r="DE37" s="146" t="str">
        <f>IF(W37&lt;&gt;"AR","",IF(Y37="User Specified", AA37, INDEX('Refrigerant GWPs'!$G$2:$G$154,MATCH(Y37,'Refrigerant GWPs'!$A$2:$A$154,0))))</f>
        <v/>
      </c>
      <c r="DF37" s="146" t="str">
        <f>IF(W37&lt;&gt;"AR","",INDEX('Device Refrigerant Leakage'!$E$2:$E$42,MATCH(X37,'Device Refrigerant Leakage'!$B$2:$B$42,0)))</f>
        <v/>
      </c>
      <c r="DG37" s="146" t="str">
        <f>IF(W37&lt;&gt;"AR","",INDEX('Device Refrigerant Leakage'!$F$2:$F$42,MATCH(X37,'Device Refrigerant Leakage'!$B$2:$B$42,0)))</f>
        <v/>
      </c>
      <c r="DH37" s="146" t="str">
        <f>IF(W37&lt;&gt;"AR","",INDEX('Device Refrigerant Leakage'!$G$2:$G$42,MATCH(X37,'Device Refrigerant Leakage'!$B$2:$B$42,0)))</f>
        <v/>
      </c>
      <c r="DI37" s="146" t="str">
        <f>IF(W37&lt;&gt;"AR","",J37*INDEX('Device Refrigerant Leakage'!$D$2:$D$42,MATCH(X37,'Device Refrigerant Leakage'!$B$2:$B$42,0))*DF37/2204.62*DE37)</f>
        <v/>
      </c>
      <c r="DJ37" s="146" t="str">
        <f>IF(W37&lt;&gt;"AR","",J37*(INDEX('Device Refrigerant Leakage'!$D$2:$D$42,MATCH(X37,'Device Refrigerant Leakage'!$B$2:$B$42,0))-(INDEX('Device Refrigerant Leakage'!$D$2:$D$42,MATCH(X37,'Device Refrigerant Leakage'!$B$2:$B$42,0)))*DH37*DF37)*DG37/2204.62*DE37)</f>
        <v/>
      </c>
      <c r="DK37" s="146" t="str">
        <f>IF(W37&lt;&gt;"AR","",DI37*(K37-AB37)+'Fuel Sub Calcs-Deemed'!DJ37*((K37-AB37)/INDEX('Device Refrigerant Leakage'!$C$2:$C$42,MATCH('Fuel Sub Calcs-Deemed'!X37,'Device Refrigerant Leakage'!$B$2:$B$42,0))))</f>
        <v/>
      </c>
      <c r="DM37" s="56">
        <v>23</v>
      </c>
      <c r="DN37" s="67" t="e">
        <f t="shared" si="28"/>
        <v>#N/A</v>
      </c>
      <c r="DO37" s="45" t="e">
        <f t="shared" si="29"/>
        <v>#N/A</v>
      </c>
      <c r="DP37" s="67" t="e">
        <f t="shared" si="30"/>
        <v>#N/A</v>
      </c>
      <c r="DQ37" s="45" t="e">
        <f t="shared" si="31"/>
        <v>#N/A</v>
      </c>
      <c r="DR37" s="69" t="e">
        <f t="shared" si="32"/>
        <v>#N/A</v>
      </c>
      <c r="DS37" s="34"/>
      <c r="DT37" s="67" t="e">
        <f>((BX37*CJ37)+IF($W37=MAT_AR,(BZ37*CL37),0))*(1+Reference!$E$50+Reference!$E$51)</f>
        <v>#N/A</v>
      </c>
      <c r="DU37" s="67">
        <f>((BY37*CK37)+IF($W37=MAT_AR,(CA37*CM37),0))*(1+Reference!$G$50+Reference!$G$51)</f>
        <v>0</v>
      </c>
      <c r="DV37" s="67" t="e">
        <f t="shared" si="33"/>
        <v>#VALUE!</v>
      </c>
      <c r="DX37" s="56">
        <v>23</v>
      </c>
      <c r="DY37" s="67">
        <f t="shared" si="34"/>
        <v>0</v>
      </c>
      <c r="DZ37" s="45" t="e">
        <f>VLOOKUP($R37,Dropdown!$C$3:$D$4,2,FALSE)</f>
        <v>#N/A</v>
      </c>
      <c r="EA37" s="68">
        <f t="shared" si="35"/>
        <v>0</v>
      </c>
      <c r="EB37" s="68" t="str">
        <f t="shared" si="36"/>
        <v>N/A</v>
      </c>
      <c r="EC37" s="68">
        <f t="shared" si="37"/>
        <v>0</v>
      </c>
      <c r="ED37" s="68" t="str">
        <f t="shared" si="38"/>
        <v>N/A</v>
      </c>
      <c r="EF37" s="56">
        <v>23</v>
      </c>
      <c r="EG37" s="46">
        <f t="shared" si="39"/>
        <v>0</v>
      </c>
      <c r="EH37" s="68" t="e">
        <f t="shared" si="40"/>
        <v>#N/A</v>
      </c>
      <c r="EI37" s="68" t="e">
        <f t="shared" si="41"/>
        <v>#N/A</v>
      </c>
      <c r="EJ37" s="68" t="e">
        <f t="shared" si="42"/>
        <v>#N/A</v>
      </c>
      <c r="EK37" s="68" t="e">
        <f t="shared" si="43"/>
        <v>#N/A</v>
      </c>
      <c r="EL37" s="46">
        <f t="shared" si="44"/>
        <v>0</v>
      </c>
      <c r="EM37" s="46">
        <f t="shared" si="45"/>
        <v>0</v>
      </c>
    </row>
    <row r="38" spans="1:143">
      <c r="A38" s="89"/>
      <c r="B38" s="89"/>
      <c r="D38" s="89"/>
      <c r="E38" s="89"/>
      <c r="F38" s="89"/>
      <c r="G38" s="34"/>
      <c r="H38" s="56">
        <f t="shared" si="46"/>
        <v>24</v>
      </c>
      <c r="I38" s="165"/>
      <c r="J38" s="163"/>
      <c r="K38" s="163"/>
      <c r="L38" s="164"/>
      <c r="M38" s="155"/>
      <c r="N38" s="155"/>
      <c r="O38" s="144"/>
      <c r="P38" s="159" t="str">
        <f>IFERROR(IF(O38&lt;&gt;"User Specified",IF(O38&lt;&gt;"", INDEX('Refrigerant GWPs'!$G$2:$G$154,MATCH(O38,'Refrigerant GWPs'!$A$2:$A$154,0)),""),U38),0)</f>
        <v/>
      </c>
      <c r="Q38" s="155"/>
      <c r="R38" s="155"/>
      <c r="S38" s="144"/>
      <c r="T38" s="159" t="str">
        <f>IF(S38&lt;&gt;"User Specified",IF(AND(S38&lt;&gt;"User Specified",S38&lt;&gt;""), INDEX('Refrigerant GWPs'!$G$2:$G$154,MATCH(S38,'Refrigerant GWPs'!$A$2:$A$154,0)),""),V38)</f>
        <v/>
      </c>
      <c r="U38" s="144"/>
      <c r="V38" s="144"/>
      <c r="W38" s="155"/>
      <c r="X38" s="155"/>
      <c r="Y38" s="144"/>
      <c r="Z38" s="159" t="str">
        <f>IF(AND(Y38&lt;&gt;"User Specified",Y38&lt;&gt;""), INDEX('Refrigerant GWPs'!$G$2:$G$154,MATCH(Y38,'Refrigerant GWPs'!$A$2:$A$154,0)),"")</f>
        <v/>
      </c>
      <c r="AA38" s="155"/>
      <c r="AB38" s="156"/>
      <c r="AC38" s="66"/>
      <c r="AD38" s="66"/>
      <c r="AE38" s="66"/>
      <c r="AF38" s="66"/>
      <c r="AG38" s="66"/>
      <c r="AH38" s="66"/>
      <c r="AI38" s="34"/>
      <c r="AJ38" s="88">
        <f t="shared" si="0"/>
        <v>0</v>
      </c>
      <c r="AK38" s="88">
        <f t="shared" si="1"/>
        <v>0</v>
      </c>
      <c r="AL38" s="88">
        <v>0</v>
      </c>
      <c r="AM38" s="88">
        <v>0</v>
      </c>
      <c r="AN38" s="81" t="str">
        <f t="shared" si="47"/>
        <v/>
      </c>
      <c r="AO38" s="88">
        <f t="shared" si="2"/>
        <v>0</v>
      </c>
      <c r="AP38" s="88">
        <f t="shared" si="3"/>
        <v>0</v>
      </c>
      <c r="AQ38" s="81" t="str">
        <f t="shared" si="4"/>
        <v/>
      </c>
      <c r="AS38" s="41" t="b">
        <f t="shared" si="5"/>
        <v>1</v>
      </c>
      <c r="AT38" s="38">
        <f t="shared" si="6"/>
        <v>0</v>
      </c>
      <c r="AU38" s="60">
        <f t="shared" si="7"/>
        <v>0</v>
      </c>
      <c r="AV38" s="41">
        <f t="shared" si="8"/>
        <v>0</v>
      </c>
      <c r="AW38" s="41" t="b">
        <f t="shared" si="9"/>
        <v>0</v>
      </c>
      <c r="AX38" t="str">
        <f t="shared" si="10"/>
        <v>+00</v>
      </c>
      <c r="AY38" t="str">
        <f t="shared" si="11"/>
        <v>+00</v>
      </c>
      <c r="BA38" s="47" t="b">
        <f t="shared" si="83"/>
        <v>1</v>
      </c>
      <c r="BB38" s="42" t="b">
        <f t="shared" si="84"/>
        <v>1</v>
      </c>
      <c r="BC38" s="42" t="b">
        <f t="shared" si="85"/>
        <v>0</v>
      </c>
      <c r="BD38" s="42" t="b">
        <f t="shared" si="86"/>
        <v>0</v>
      </c>
      <c r="BE38" s="70">
        <f t="shared" si="87"/>
        <v>0</v>
      </c>
      <c r="BF38" s="70">
        <f t="shared" si="88"/>
        <v>0</v>
      </c>
      <c r="BG38" s="34"/>
      <c r="BI38" s="47" t="b">
        <f t="shared" si="89"/>
        <v>1</v>
      </c>
      <c r="BJ38" s="47" t="b">
        <f t="shared" si="90"/>
        <v>1</v>
      </c>
      <c r="BK38" s="42" t="b">
        <f t="shared" si="91"/>
        <v>0</v>
      </c>
      <c r="BL38" s="42" t="b">
        <f t="shared" si="92"/>
        <v>0</v>
      </c>
      <c r="BM38" s="42">
        <f t="shared" si="93"/>
        <v>0</v>
      </c>
      <c r="BN38" s="42">
        <f t="shared" si="94"/>
        <v>0</v>
      </c>
      <c r="BP38" t="e">
        <f t="shared" si="95"/>
        <v>#N/A</v>
      </c>
      <c r="BQ38" t="e">
        <f t="shared" si="96"/>
        <v>#N/A</v>
      </c>
      <c r="BR38" t="e">
        <f t="shared" si="97"/>
        <v>#N/A</v>
      </c>
      <c r="BT38" s="60">
        <f t="shared" si="16"/>
        <v>0</v>
      </c>
      <c r="BU38" s="60">
        <f t="shared" si="17"/>
        <v>0</v>
      </c>
      <c r="BV38" s="60">
        <f t="shared" si="18"/>
        <v>0</v>
      </c>
      <c r="BW38" s="60">
        <f t="shared" si="19"/>
        <v>0</v>
      </c>
      <c r="BX38" s="60">
        <f t="shared" si="98"/>
        <v>0</v>
      </c>
      <c r="BY38" s="60">
        <f t="shared" si="99"/>
        <v>0</v>
      </c>
      <c r="BZ38" s="60">
        <f t="shared" si="100"/>
        <v>0</v>
      </c>
      <c r="CA38" s="60">
        <f t="shared" si="101"/>
        <v>0</v>
      </c>
      <c r="CB38" s="60" t="e">
        <f t="shared" si="20"/>
        <v>#N/A</v>
      </c>
      <c r="CC38" s="60">
        <f t="shared" si="21"/>
        <v>100000</v>
      </c>
      <c r="CD38" s="60" t="e">
        <f t="shared" si="22"/>
        <v>#N/A</v>
      </c>
      <c r="CE38" s="60">
        <f t="shared" si="23"/>
        <v>100000</v>
      </c>
      <c r="CF38" s="83" t="e">
        <f t="shared" si="102"/>
        <v>#N/A</v>
      </c>
      <c r="CG38" s="83">
        <f t="shared" si="103"/>
        <v>0</v>
      </c>
      <c r="CH38" s="83" t="e">
        <f t="shared" si="104"/>
        <v>#N/A</v>
      </c>
      <c r="CI38" s="83">
        <f t="shared" si="105"/>
        <v>0</v>
      </c>
      <c r="CJ38" s="86" t="e">
        <f t="shared" si="24"/>
        <v>#N/A</v>
      </c>
      <c r="CK38" s="82">
        <f t="shared" si="25"/>
        <v>5.3070370403969858E-3</v>
      </c>
      <c r="CL38" s="82" t="e">
        <f t="shared" si="26"/>
        <v>#N/A</v>
      </c>
      <c r="CM38" s="82">
        <f t="shared" si="27"/>
        <v>5.3070370403969858E-3</v>
      </c>
      <c r="CO38" s="149" t="str">
        <f>IF($I38&lt;&gt;"",IF(O38="User Specified",U38,INDEX('Refrigerant GWPs'!$G$2:$G$156,MATCH(O38,'Refrigerant GWPs'!$A$2:$A$156,0))),"")</f>
        <v/>
      </c>
      <c r="CP38" s="138" t="str">
        <f>IF($I38&lt;&gt;"",INDEX('Device Refrigerant Leakage'!$E$2:$E$42,MATCH($M38,'Device Refrigerant Leakage'!$B$2:$B$42,0)),"")</f>
        <v/>
      </c>
      <c r="CQ38" s="138" t="str">
        <f>IF($I38&lt;&gt;"",INDEX('Device Refrigerant Leakage'!$F$2:$F$42,MATCH($M38,'Device Refrigerant Leakage'!$B$2:$B$42,0)),"")</f>
        <v/>
      </c>
      <c r="CR38" s="145" t="str">
        <f>IF($I38&lt;&gt;"",INDEX('Device Refrigerant Leakage'!$G$2:$G$42,MATCH($M38,'Device Refrigerant Leakage'!$B$2:$B$42,0)),"")</f>
        <v/>
      </c>
      <c r="CS38" s="145" t="str">
        <f>IF($I38&lt;&gt;"",INDEX('Device Refrigerant Leakage'!$D$2:$D$42,MATCH($M38,'Device Refrigerant Leakage'!$B$2:$B$42,0))*CP38/2204.62*CO38,"")</f>
        <v/>
      </c>
      <c r="CT38" s="145" t="str">
        <f>IF($I38&lt;&gt;"",J38*(INDEX('Device Refrigerant Leakage'!$D$2:$D$42,MATCH($M38,'Device Refrigerant Leakage'!$B$2:$B$42,0))-(INDEX('Device Refrigerant Leakage'!$D$2:$D$42,MATCH($M38,'Device Refrigerant Leakage'!$B$2:$B$42,0)))*CR38*CP38)*CQ38/2204.62*CO38,"")</f>
        <v/>
      </c>
      <c r="CU38" s="135" t="str">
        <f>IF($I38&lt;&gt;"",J38*IF(W38&lt;&gt;"AR",(CS38*K38)+CT38,(CS38*AB38)+CT38*(AB38/INDEX('Device Refrigerant Leakage'!$C$2:$C$42,MATCH($M38,'Device Refrigerant Leakage'!$B$2:$B$42,0)))),"")</f>
        <v/>
      </c>
      <c r="CW38" s="135" t="str">
        <f>IF($I38&lt;&gt;"",IF(S38="User Specified",V38,INDEX('Refrigerant GWPs'!$G$2:$G$156,MATCH(S38,'Refrigerant GWPs'!$A$2:$A$157,0))),"")</f>
        <v/>
      </c>
      <c r="CX38" s="138" t="str">
        <f>IF($I38&lt;&gt;"",INDEX('Device Refrigerant Leakage'!$E$2:$E$42,MATCH($Q38,'Device Refrigerant Leakage'!$B$2:$B$42,0)),"")</f>
        <v/>
      </c>
      <c r="CY38" s="138" t="str">
        <f>IF($I38&lt;&gt;"",INDEX('Device Refrigerant Leakage'!$F$2:$F$42,MATCH($Q38,'Device Refrigerant Leakage'!$B$2:$B$42,0)),"")</f>
        <v/>
      </c>
      <c r="CZ38" s="145" t="str">
        <f>IF($I38&lt;&gt;"",INDEX('Device Refrigerant Leakage'!$G$2:$G$42,MATCH($Q38,'Device Refrigerant Leakage'!$B$2:$B$42,0)),"")</f>
        <v/>
      </c>
      <c r="DA38" s="145" t="str">
        <f>IF($I38&lt;&gt;"",J38*INDEX('Device Refrigerant Leakage'!$D$2:$D$42,MATCH($Q38,'Device Refrigerant Leakage'!$B$2:$B$42,0))*CX38/2204.62*CW38,"")</f>
        <v/>
      </c>
      <c r="DB38" s="145" t="str">
        <f>IF($I38&lt;&gt;"",J38*(INDEX('Device Refrigerant Leakage'!$D$2:$D$42,MATCH($Q38,'Device Refrigerant Leakage'!$B$2:$B$42,0))-(INDEX('Device Refrigerant Leakage'!$D$2:$D$42,MATCH($Q38,'Device Refrigerant Leakage'!$B$2:$B$42,0)))*CZ38*CX38)*CY38/2204.62*CW38,"")</f>
        <v/>
      </c>
      <c r="DC38" s="135" t="str">
        <f t="shared" si="59"/>
        <v/>
      </c>
      <c r="DE38" s="146" t="str">
        <f>IF(W38&lt;&gt;"AR","",IF(Y38="User Specified", AA38, INDEX('Refrigerant GWPs'!$G$2:$G$154,MATCH(Y38,'Refrigerant GWPs'!$A$2:$A$154,0))))</f>
        <v/>
      </c>
      <c r="DF38" s="146" t="str">
        <f>IF(W38&lt;&gt;"AR","",INDEX('Device Refrigerant Leakage'!$E$2:$E$42,MATCH(X38,'Device Refrigerant Leakage'!$B$2:$B$42,0)))</f>
        <v/>
      </c>
      <c r="DG38" s="146" t="str">
        <f>IF(W38&lt;&gt;"AR","",INDEX('Device Refrigerant Leakage'!$F$2:$F$42,MATCH(X38,'Device Refrigerant Leakage'!$B$2:$B$42,0)))</f>
        <v/>
      </c>
      <c r="DH38" s="146" t="str">
        <f>IF(W38&lt;&gt;"AR","",INDEX('Device Refrigerant Leakage'!$G$2:$G$42,MATCH(X38,'Device Refrigerant Leakage'!$B$2:$B$42,0)))</f>
        <v/>
      </c>
      <c r="DI38" s="146" t="str">
        <f>IF(W38&lt;&gt;"AR","",J38*INDEX('Device Refrigerant Leakage'!$D$2:$D$42,MATCH(X38,'Device Refrigerant Leakage'!$B$2:$B$42,0))*DF38/2204.62*DE38)</f>
        <v/>
      </c>
      <c r="DJ38" s="146" t="str">
        <f>IF(W38&lt;&gt;"AR","",J38*(INDEX('Device Refrigerant Leakage'!$D$2:$D$42,MATCH(X38,'Device Refrigerant Leakage'!$B$2:$B$42,0))-(INDEX('Device Refrigerant Leakage'!$D$2:$D$42,MATCH(X38,'Device Refrigerant Leakage'!$B$2:$B$42,0)))*DH38*DF38)*DG38/2204.62*DE38)</f>
        <v/>
      </c>
      <c r="DK38" s="146" t="str">
        <f>IF(W38&lt;&gt;"AR","",DI38*(K38-AB38)+'Fuel Sub Calcs-Deemed'!DJ38*((K38-AB38)/INDEX('Device Refrigerant Leakage'!$C$2:$C$42,MATCH('Fuel Sub Calcs-Deemed'!X38,'Device Refrigerant Leakage'!$B$2:$B$42,0))))</f>
        <v/>
      </c>
      <c r="DM38" s="56">
        <v>24</v>
      </c>
      <c r="DN38" s="67" t="e">
        <f t="shared" si="28"/>
        <v>#N/A</v>
      </c>
      <c r="DO38" s="45" t="e">
        <f t="shared" si="29"/>
        <v>#N/A</v>
      </c>
      <c r="DP38" s="67" t="e">
        <f t="shared" si="30"/>
        <v>#N/A</v>
      </c>
      <c r="DQ38" s="45" t="e">
        <f t="shared" si="31"/>
        <v>#N/A</v>
      </c>
      <c r="DR38" s="69" t="e">
        <f t="shared" si="32"/>
        <v>#N/A</v>
      </c>
      <c r="DS38" s="34"/>
      <c r="DT38" s="67" t="e">
        <f>((BX38*CJ38)+IF($W38=MAT_AR,(BZ38*CL38),0))*(1+Reference!$E$50+Reference!$E$51)</f>
        <v>#N/A</v>
      </c>
      <c r="DU38" s="67">
        <f>((BY38*CK38)+IF($W38=MAT_AR,(CA38*CM38),0))*(1+Reference!$G$50+Reference!$G$51)</f>
        <v>0</v>
      </c>
      <c r="DV38" s="67" t="e">
        <f t="shared" si="33"/>
        <v>#VALUE!</v>
      </c>
      <c r="DX38" s="56">
        <v>24</v>
      </c>
      <c r="DY38" s="67">
        <f t="shared" si="34"/>
        <v>0</v>
      </c>
      <c r="DZ38" s="45" t="e">
        <f>VLOOKUP($R38,Dropdown!$C$3:$D$4,2,FALSE)</f>
        <v>#N/A</v>
      </c>
      <c r="EA38" s="68">
        <f t="shared" si="35"/>
        <v>0</v>
      </c>
      <c r="EB38" s="68" t="str">
        <f t="shared" si="36"/>
        <v>N/A</v>
      </c>
      <c r="EC38" s="68">
        <f t="shared" si="37"/>
        <v>0</v>
      </c>
      <c r="ED38" s="68" t="str">
        <f t="shared" si="38"/>
        <v>N/A</v>
      </c>
      <c r="EF38" s="56">
        <v>24</v>
      </c>
      <c r="EG38" s="46">
        <f t="shared" si="39"/>
        <v>0</v>
      </c>
      <c r="EH38" s="68" t="e">
        <f t="shared" si="40"/>
        <v>#N/A</v>
      </c>
      <c r="EI38" s="68" t="e">
        <f t="shared" si="41"/>
        <v>#N/A</v>
      </c>
      <c r="EJ38" s="68" t="e">
        <f t="shared" si="42"/>
        <v>#N/A</v>
      </c>
      <c r="EK38" s="68" t="e">
        <f t="shared" si="43"/>
        <v>#N/A</v>
      </c>
      <c r="EL38" s="46">
        <f t="shared" si="44"/>
        <v>0</v>
      </c>
      <c r="EM38" s="46">
        <f t="shared" si="45"/>
        <v>0</v>
      </c>
    </row>
    <row r="39" spans="1:143">
      <c r="A39" s="89"/>
      <c r="B39" s="89"/>
      <c r="C39" s="89"/>
      <c r="D39" s="89"/>
      <c r="E39" s="89"/>
      <c r="F39" s="89"/>
      <c r="G39" s="34"/>
      <c r="H39" s="56">
        <f t="shared" si="46"/>
        <v>25</v>
      </c>
      <c r="I39" s="165"/>
      <c r="J39" s="163"/>
      <c r="K39" s="163"/>
      <c r="L39" s="164"/>
      <c r="M39" s="155"/>
      <c r="N39" s="155"/>
      <c r="O39" s="144"/>
      <c r="P39" s="159" t="str">
        <f>IFERROR(IF(O39&lt;&gt;"User Specified",IF(O39&lt;&gt;"", INDEX('Refrigerant GWPs'!$G$2:$G$154,MATCH(O39,'Refrigerant GWPs'!$A$2:$A$154,0)),""),U39),0)</f>
        <v/>
      </c>
      <c r="Q39" s="155"/>
      <c r="R39" s="155"/>
      <c r="S39" s="144"/>
      <c r="T39" s="159" t="str">
        <f>IF(S39&lt;&gt;"User Specified",IF(AND(S39&lt;&gt;"User Specified",S39&lt;&gt;""), INDEX('Refrigerant GWPs'!$G$2:$G$154,MATCH(S39,'Refrigerant GWPs'!$A$2:$A$154,0)),""),V39)</f>
        <v/>
      </c>
      <c r="U39" s="144"/>
      <c r="V39" s="144"/>
      <c r="W39" s="155"/>
      <c r="X39" s="155"/>
      <c r="Y39" s="144"/>
      <c r="Z39" s="159" t="str">
        <f>IF(AND(Y39&lt;&gt;"User Specified",Y39&lt;&gt;""), INDEX('Refrigerant GWPs'!$G$2:$G$154,MATCH(Y39,'Refrigerant GWPs'!$A$2:$A$154,0)),"")</f>
        <v/>
      </c>
      <c r="AA39" s="155"/>
      <c r="AB39" s="156"/>
      <c r="AC39" s="66"/>
      <c r="AD39" s="66"/>
      <c r="AE39" s="66"/>
      <c r="AF39" s="66"/>
      <c r="AG39" s="66"/>
      <c r="AH39" s="66"/>
      <c r="AI39" s="34"/>
      <c r="AJ39" s="88">
        <f t="shared" si="0"/>
        <v>0</v>
      </c>
      <c r="AK39" s="88">
        <f t="shared" si="1"/>
        <v>0</v>
      </c>
      <c r="AL39" s="88">
        <v>0</v>
      </c>
      <c r="AM39" s="88">
        <v>0</v>
      </c>
      <c r="AN39" s="81" t="str">
        <f t="shared" si="47"/>
        <v/>
      </c>
      <c r="AO39" s="88">
        <f t="shared" si="2"/>
        <v>0</v>
      </c>
      <c r="AP39" s="88">
        <f t="shared" si="3"/>
        <v>0</v>
      </c>
      <c r="AQ39" s="81" t="str">
        <f t="shared" si="4"/>
        <v/>
      </c>
      <c r="AS39" s="41" t="b">
        <f t="shared" si="5"/>
        <v>1</v>
      </c>
      <c r="AT39" s="38">
        <f t="shared" si="6"/>
        <v>0</v>
      </c>
      <c r="AU39" s="60">
        <f t="shared" si="7"/>
        <v>0</v>
      </c>
      <c r="AV39" s="41">
        <f t="shared" si="8"/>
        <v>0</v>
      </c>
      <c r="AW39" s="41" t="b">
        <f t="shared" si="9"/>
        <v>0</v>
      </c>
      <c r="AX39" t="str">
        <f t="shared" si="10"/>
        <v>+00</v>
      </c>
      <c r="AY39" t="str">
        <f t="shared" si="11"/>
        <v>+00</v>
      </c>
      <c r="BA39" s="47" t="b">
        <f t="shared" si="83"/>
        <v>1</v>
      </c>
      <c r="BB39" s="42" t="b">
        <f t="shared" si="84"/>
        <v>1</v>
      </c>
      <c r="BC39" s="42" t="b">
        <f t="shared" si="85"/>
        <v>0</v>
      </c>
      <c r="BD39" s="42" t="b">
        <f t="shared" si="86"/>
        <v>0</v>
      </c>
      <c r="BE39" s="70">
        <f t="shared" si="87"/>
        <v>0</v>
      </c>
      <c r="BF39" s="70">
        <f t="shared" si="88"/>
        <v>0</v>
      </c>
      <c r="BG39" s="34"/>
      <c r="BI39" s="47" t="b">
        <f t="shared" si="89"/>
        <v>1</v>
      </c>
      <c r="BJ39" s="47" t="b">
        <f t="shared" si="90"/>
        <v>1</v>
      </c>
      <c r="BK39" s="42" t="b">
        <f t="shared" si="91"/>
        <v>0</v>
      </c>
      <c r="BL39" s="42" t="b">
        <f t="shared" si="92"/>
        <v>0</v>
      </c>
      <c r="BM39" s="42">
        <f t="shared" si="93"/>
        <v>0</v>
      </c>
      <c r="BN39" s="42">
        <f t="shared" si="94"/>
        <v>0</v>
      </c>
      <c r="BP39" t="e">
        <f t="shared" si="95"/>
        <v>#N/A</v>
      </c>
      <c r="BQ39" t="e">
        <f t="shared" si="96"/>
        <v>#N/A</v>
      </c>
      <c r="BR39" t="e">
        <f t="shared" si="97"/>
        <v>#N/A</v>
      </c>
      <c r="BT39" s="60">
        <f t="shared" si="16"/>
        <v>0</v>
      </c>
      <c r="BU39" s="60">
        <f t="shared" si="17"/>
        <v>0</v>
      </c>
      <c r="BV39" s="60">
        <f t="shared" si="18"/>
        <v>0</v>
      </c>
      <c r="BW39" s="60">
        <f t="shared" si="19"/>
        <v>0</v>
      </c>
      <c r="BX39" s="60">
        <f t="shared" si="98"/>
        <v>0</v>
      </c>
      <c r="BY39" s="60">
        <f t="shared" si="99"/>
        <v>0</v>
      </c>
      <c r="BZ39" s="60">
        <f t="shared" si="100"/>
        <v>0</v>
      </c>
      <c r="CA39" s="60">
        <f t="shared" si="101"/>
        <v>0</v>
      </c>
      <c r="CB39" s="60" t="e">
        <f t="shared" si="20"/>
        <v>#N/A</v>
      </c>
      <c r="CC39" s="60">
        <f t="shared" si="21"/>
        <v>100000</v>
      </c>
      <c r="CD39" s="60" t="e">
        <f t="shared" si="22"/>
        <v>#N/A</v>
      </c>
      <c r="CE39" s="60">
        <f t="shared" si="23"/>
        <v>100000</v>
      </c>
      <c r="CF39" s="83" t="e">
        <f t="shared" si="102"/>
        <v>#N/A</v>
      </c>
      <c r="CG39" s="83">
        <f t="shared" si="103"/>
        <v>0</v>
      </c>
      <c r="CH39" s="83" t="e">
        <f t="shared" si="104"/>
        <v>#N/A</v>
      </c>
      <c r="CI39" s="83">
        <f t="shared" si="105"/>
        <v>0</v>
      </c>
      <c r="CJ39" s="86" t="e">
        <f t="shared" si="24"/>
        <v>#N/A</v>
      </c>
      <c r="CK39" s="82">
        <f t="shared" si="25"/>
        <v>5.3070370403969858E-3</v>
      </c>
      <c r="CL39" s="82" t="e">
        <f t="shared" si="26"/>
        <v>#N/A</v>
      </c>
      <c r="CM39" s="82">
        <f t="shared" si="27"/>
        <v>5.3070370403969858E-3</v>
      </c>
      <c r="CO39" s="149" t="str">
        <f>IF($I39&lt;&gt;"",IF(O39="User Specified",U39,INDEX('Refrigerant GWPs'!$G$2:$G$156,MATCH(O39,'Refrigerant GWPs'!$A$2:$A$156,0))),"")</f>
        <v/>
      </c>
      <c r="CP39" s="138" t="str">
        <f>IF($I39&lt;&gt;"",INDEX('Device Refrigerant Leakage'!$E$2:$E$42,MATCH($M39,'Device Refrigerant Leakage'!$B$2:$B$42,0)),"")</f>
        <v/>
      </c>
      <c r="CQ39" s="138" t="str">
        <f>IF($I39&lt;&gt;"",INDEX('Device Refrigerant Leakage'!$F$2:$F$42,MATCH($M39,'Device Refrigerant Leakage'!$B$2:$B$42,0)),"")</f>
        <v/>
      </c>
      <c r="CR39" s="145" t="str">
        <f>IF($I39&lt;&gt;"",INDEX('Device Refrigerant Leakage'!$G$2:$G$42,MATCH($M39,'Device Refrigerant Leakage'!$B$2:$B$42,0)),"")</f>
        <v/>
      </c>
      <c r="CS39" s="145" t="str">
        <f>IF($I39&lt;&gt;"",INDEX('Device Refrigerant Leakage'!$D$2:$D$42,MATCH($M39,'Device Refrigerant Leakage'!$B$2:$B$42,0))*CP39/2204.62*CO39,"")</f>
        <v/>
      </c>
      <c r="CT39" s="145" t="str">
        <f>IF($I39&lt;&gt;"",J39*(INDEX('Device Refrigerant Leakage'!$D$2:$D$42,MATCH($M39,'Device Refrigerant Leakage'!$B$2:$B$42,0))-(INDEX('Device Refrigerant Leakage'!$D$2:$D$42,MATCH($M39,'Device Refrigerant Leakage'!$B$2:$B$42,0)))*CR39*CP39)*CQ39/2204.62*CO39,"")</f>
        <v/>
      </c>
      <c r="CU39" s="135" t="str">
        <f>IF($I39&lt;&gt;"",J39*IF(W39&lt;&gt;"AR",(CS39*K39)+CT39,(CS39*AB39)+CT39*(AB39/INDEX('Device Refrigerant Leakage'!$C$2:$C$42,MATCH($M39,'Device Refrigerant Leakage'!$B$2:$B$42,0)))),"")</f>
        <v/>
      </c>
      <c r="CW39" s="135" t="str">
        <f>IF($I39&lt;&gt;"",IF(S39="User Specified",V39,INDEX('Refrigerant GWPs'!$G$2:$G$156,MATCH(S39,'Refrigerant GWPs'!$A$2:$A$157,0))),"")</f>
        <v/>
      </c>
      <c r="CX39" s="138" t="str">
        <f>IF($I39&lt;&gt;"",INDEX('Device Refrigerant Leakage'!$E$2:$E$42,MATCH($Q39,'Device Refrigerant Leakage'!$B$2:$B$42,0)),"")</f>
        <v/>
      </c>
      <c r="CY39" s="138" t="str">
        <f>IF($I39&lt;&gt;"",INDEX('Device Refrigerant Leakage'!$F$2:$F$42,MATCH($Q39,'Device Refrigerant Leakage'!$B$2:$B$42,0)),"")</f>
        <v/>
      </c>
      <c r="CZ39" s="145" t="str">
        <f>IF($I39&lt;&gt;"",INDEX('Device Refrigerant Leakage'!$G$2:$G$42,MATCH($Q39,'Device Refrigerant Leakage'!$B$2:$B$42,0)),"")</f>
        <v/>
      </c>
      <c r="DA39" s="145" t="str">
        <f>IF($I39&lt;&gt;"",J39*INDEX('Device Refrigerant Leakage'!$D$2:$D$42,MATCH($Q39,'Device Refrigerant Leakage'!$B$2:$B$42,0))*CX39/2204.62*CW39,"")</f>
        <v/>
      </c>
      <c r="DB39" s="145" t="str">
        <f>IF($I39&lt;&gt;"",J39*(INDEX('Device Refrigerant Leakage'!$D$2:$D$42,MATCH($Q39,'Device Refrigerant Leakage'!$B$2:$B$42,0))-(INDEX('Device Refrigerant Leakage'!$D$2:$D$42,MATCH($Q39,'Device Refrigerant Leakage'!$B$2:$B$42,0)))*CZ39*CX39)*CY39/2204.62*CW39,"")</f>
        <v/>
      </c>
      <c r="DC39" s="135" t="str">
        <f t="shared" si="59"/>
        <v/>
      </c>
      <c r="DE39" s="146" t="str">
        <f>IF(W39&lt;&gt;"AR","",IF(Y39="User Specified", AA39, INDEX('Refrigerant GWPs'!$G$2:$G$154,MATCH(Y39,'Refrigerant GWPs'!$A$2:$A$154,0))))</f>
        <v/>
      </c>
      <c r="DF39" s="146" t="str">
        <f>IF(W39&lt;&gt;"AR","",INDEX('Device Refrigerant Leakage'!$E$2:$E$42,MATCH(X39,'Device Refrigerant Leakage'!$B$2:$B$42,0)))</f>
        <v/>
      </c>
      <c r="DG39" s="146" t="str">
        <f>IF(W39&lt;&gt;"AR","",INDEX('Device Refrigerant Leakage'!$F$2:$F$42,MATCH(X39,'Device Refrigerant Leakage'!$B$2:$B$42,0)))</f>
        <v/>
      </c>
      <c r="DH39" s="146" t="str">
        <f>IF(W39&lt;&gt;"AR","",INDEX('Device Refrigerant Leakage'!$G$2:$G$42,MATCH(X39,'Device Refrigerant Leakage'!$B$2:$B$42,0)))</f>
        <v/>
      </c>
      <c r="DI39" s="146" t="str">
        <f>IF(W39&lt;&gt;"AR","",J39*INDEX('Device Refrigerant Leakage'!$D$2:$D$42,MATCH(X39,'Device Refrigerant Leakage'!$B$2:$B$42,0))*DF39/2204.62*DE39)</f>
        <v/>
      </c>
      <c r="DJ39" s="146" t="str">
        <f>IF(W39&lt;&gt;"AR","",J39*(INDEX('Device Refrigerant Leakage'!$D$2:$D$42,MATCH(X39,'Device Refrigerant Leakage'!$B$2:$B$42,0))-(INDEX('Device Refrigerant Leakage'!$D$2:$D$42,MATCH(X39,'Device Refrigerant Leakage'!$B$2:$B$42,0)))*DH39*DF39)*DG39/2204.62*DE39)</f>
        <v/>
      </c>
      <c r="DK39" s="146" t="str">
        <f>IF(W39&lt;&gt;"AR","",DI39*(K39-AB39)+'Fuel Sub Calcs-Deemed'!DJ39*((K39-AB39)/INDEX('Device Refrigerant Leakage'!$C$2:$C$42,MATCH('Fuel Sub Calcs-Deemed'!X39,'Device Refrigerant Leakage'!$B$2:$B$42,0))))</f>
        <v/>
      </c>
      <c r="DM39" s="56">
        <v>25</v>
      </c>
      <c r="DN39" s="67" t="e">
        <f t="shared" si="28"/>
        <v>#N/A</v>
      </c>
      <c r="DO39" s="45" t="e">
        <f t="shared" si="29"/>
        <v>#N/A</v>
      </c>
      <c r="DP39" s="67" t="e">
        <f t="shared" si="30"/>
        <v>#N/A</v>
      </c>
      <c r="DQ39" s="45" t="e">
        <f t="shared" si="31"/>
        <v>#N/A</v>
      </c>
      <c r="DR39" s="69" t="e">
        <f t="shared" si="32"/>
        <v>#N/A</v>
      </c>
      <c r="DS39" s="34"/>
      <c r="DT39" s="67" t="e">
        <f>((BX39*CJ39)+IF($W39=MAT_AR,(BZ39*CL39),0))*(1+Reference!$E$50+Reference!$E$51)</f>
        <v>#N/A</v>
      </c>
      <c r="DU39" s="67">
        <f>((BY39*CK39)+IF($W39=MAT_AR,(CA39*CM39),0))*(1+Reference!$G$50+Reference!$G$51)</f>
        <v>0</v>
      </c>
      <c r="DV39" s="67" t="e">
        <f t="shared" si="33"/>
        <v>#VALUE!</v>
      </c>
      <c r="DX39" s="56">
        <v>25</v>
      </c>
      <c r="DY39" s="67">
        <f t="shared" si="34"/>
        <v>0</v>
      </c>
      <c r="DZ39" s="45" t="e">
        <f>VLOOKUP($R39,Dropdown!$C$3:$D$4,2,FALSE)</f>
        <v>#N/A</v>
      </c>
      <c r="EA39" s="68">
        <f t="shared" si="35"/>
        <v>0</v>
      </c>
      <c r="EB39" s="68" t="str">
        <f t="shared" si="36"/>
        <v>N/A</v>
      </c>
      <c r="EC39" s="68">
        <f t="shared" si="37"/>
        <v>0</v>
      </c>
      <c r="ED39" s="68" t="str">
        <f t="shared" si="38"/>
        <v>N/A</v>
      </c>
      <c r="EF39" s="56">
        <v>25</v>
      </c>
      <c r="EG39" s="46">
        <f t="shared" si="39"/>
        <v>0</v>
      </c>
      <c r="EH39" s="68" t="e">
        <f t="shared" si="40"/>
        <v>#N/A</v>
      </c>
      <c r="EI39" s="68" t="e">
        <f t="shared" si="41"/>
        <v>#N/A</v>
      </c>
      <c r="EJ39" s="68" t="e">
        <f t="shared" si="42"/>
        <v>#N/A</v>
      </c>
      <c r="EK39" s="68" t="e">
        <f t="shared" si="43"/>
        <v>#N/A</v>
      </c>
      <c r="EL39" s="46">
        <f t="shared" si="44"/>
        <v>0</v>
      </c>
      <c r="EM39" s="46">
        <f t="shared" si="45"/>
        <v>0</v>
      </c>
    </row>
    <row r="40" spans="1:143">
      <c r="A40" s="89"/>
      <c r="B40" s="89"/>
      <c r="C40" s="89"/>
      <c r="D40" s="89"/>
      <c r="E40" s="89"/>
      <c r="F40" s="89"/>
      <c r="G40" s="34"/>
      <c r="H40" s="56">
        <f t="shared" si="46"/>
        <v>26</v>
      </c>
      <c r="I40" s="165"/>
      <c r="J40" s="163"/>
      <c r="K40" s="163"/>
      <c r="L40" s="164"/>
      <c r="M40" s="155"/>
      <c r="N40" s="155"/>
      <c r="O40" s="144"/>
      <c r="P40" s="159" t="str">
        <f>IFERROR(IF(O40&lt;&gt;"User Specified",IF(O40&lt;&gt;"", INDEX('Refrigerant GWPs'!$G$2:$G$154,MATCH(O40,'Refrigerant GWPs'!$A$2:$A$154,0)),""),U40),0)</f>
        <v/>
      </c>
      <c r="Q40" s="155"/>
      <c r="R40" s="155"/>
      <c r="S40" s="144"/>
      <c r="T40" s="159" t="str">
        <f>IF(S40&lt;&gt;"User Specified",IF(AND(S40&lt;&gt;"User Specified",S40&lt;&gt;""), INDEX('Refrigerant GWPs'!$G$2:$G$154,MATCH(S40,'Refrigerant GWPs'!$A$2:$A$154,0)),""),V40)</f>
        <v/>
      </c>
      <c r="U40" s="144"/>
      <c r="V40" s="144"/>
      <c r="W40" s="155"/>
      <c r="X40" s="155"/>
      <c r="Y40" s="144"/>
      <c r="Z40" s="159" t="str">
        <f>IF(AND(Y40&lt;&gt;"User Specified",Y40&lt;&gt;""), INDEX('Refrigerant GWPs'!$G$2:$G$154,MATCH(Y40,'Refrigerant GWPs'!$A$2:$A$154,0)),"")</f>
        <v/>
      </c>
      <c r="AA40" s="155"/>
      <c r="AB40" s="156"/>
      <c r="AC40" s="66"/>
      <c r="AD40" s="66"/>
      <c r="AE40" s="66"/>
      <c r="AF40" s="66"/>
      <c r="AG40" s="66"/>
      <c r="AH40" s="66"/>
      <c r="AI40" s="34"/>
      <c r="AJ40" s="88">
        <f t="shared" si="0"/>
        <v>0</v>
      </c>
      <c r="AK40" s="88">
        <f t="shared" si="1"/>
        <v>0</v>
      </c>
      <c r="AL40" s="88">
        <v>0</v>
      </c>
      <c r="AM40" s="88">
        <v>0</v>
      </c>
      <c r="AN40" s="81" t="str">
        <f t="shared" si="47"/>
        <v/>
      </c>
      <c r="AO40" s="88">
        <f t="shared" si="2"/>
        <v>0</v>
      </c>
      <c r="AP40" s="88">
        <f t="shared" si="3"/>
        <v>0</v>
      </c>
      <c r="AQ40" s="81" t="str">
        <f t="shared" si="4"/>
        <v/>
      </c>
      <c r="AS40" s="41" t="b">
        <f t="shared" si="5"/>
        <v>1</v>
      </c>
      <c r="AT40" s="38">
        <f t="shared" si="6"/>
        <v>0</v>
      </c>
      <c r="AU40" s="60">
        <f t="shared" si="7"/>
        <v>0</v>
      </c>
      <c r="AV40" s="41">
        <f t="shared" si="8"/>
        <v>0</v>
      </c>
      <c r="AW40" s="41" t="b">
        <f t="shared" si="9"/>
        <v>0</v>
      </c>
      <c r="AX40" t="str">
        <f t="shared" si="10"/>
        <v>+00</v>
      </c>
      <c r="AY40" t="str">
        <f t="shared" si="11"/>
        <v>+00</v>
      </c>
      <c r="BA40" s="47" t="b">
        <f t="shared" si="83"/>
        <v>1</v>
      </c>
      <c r="BB40" s="42" t="b">
        <f t="shared" si="84"/>
        <v>1</v>
      </c>
      <c r="BC40" s="42" t="b">
        <f t="shared" si="85"/>
        <v>0</v>
      </c>
      <c r="BD40" s="42" t="b">
        <f t="shared" si="86"/>
        <v>0</v>
      </c>
      <c r="BE40" s="70">
        <f t="shared" si="87"/>
        <v>0</v>
      </c>
      <c r="BF40" s="70">
        <f t="shared" si="88"/>
        <v>0</v>
      </c>
      <c r="BG40" s="34"/>
      <c r="BI40" s="47" t="b">
        <f t="shared" si="89"/>
        <v>1</v>
      </c>
      <c r="BJ40" s="47" t="b">
        <f t="shared" si="90"/>
        <v>1</v>
      </c>
      <c r="BK40" s="42" t="b">
        <f t="shared" si="91"/>
        <v>0</v>
      </c>
      <c r="BL40" s="42" t="b">
        <f t="shared" si="92"/>
        <v>0</v>
      </c>
      <c r="BM40" s="42">
        <f t="shared" si="93"/>
        <v>0</v>
      </c>
      <c r="BN40" s="42">
        <f t="shared" si="94"/>
        <v>0</v>
      </c>
      <c r="BP40" t="e">
        <f t="shared" si="95"/>
        <v>#N/A</v>
      </c>
      <c r="BQ40" t="e">
        <f t="shared" si="96"/>
        <v>#N/A</v>
      </c>
      <c r="BR40" t="e">
        <f t="shared" si="97"/>
        <v>#N/A</v>
      </c>
      <c r="BT40" s="60">
        <f t="shared" si="16"/>
        <v>0</v>
      </c>
      <c r="BU40" s="60">
        <f t="shared" si="17"/>
        <v>0</v>
      </c>
      <c r="BV40" s="60">
        <f t="shared" si="18"/>
        <v>0</v>
      </c>
      <c r="BW40" s="60">
        <f t="shared" si="19"/>
        <v>0</v>
      </c>
      <c r="BX40" s="60">
        <f t="shared" si="98"/>
        <v>0</v>
      </c>
      <c r="BY40" s="60">
        <f t="shared" si="99"/>
        <v>0</v>
      </c>
      <c r="BZ40" s="60">
        <f t="shared" si="100"/>
        <v>0</v>
      </c>
      <c r="CA40" s="60">
        <f t="shared" si="101"/>
        <v>0</v>
      </c>
      <c r="CB40" s="60" t="e">
        <f t="shared" si="20"/>
        <v>#N/A</v>
      </c>
      <c r="CC40" s="60">
        <f t="shared" si="21"/>
        <v>100000</v>
      </c>
      <c r="CD40" s="60" t="e">
        <f t="shared" si="22"/>
        <v>#N/A</v>
      </c>
      <c r="CE40" s="60">
        <f t="shared" si="23"/>
        <v>100000</v>
      </c>
      <c r="CF40" s="83" t="e">
        <f t="shared" si="102"/>
        <v>#N/A</v>
      </c>
      <c r="CG40" s="83">
        <f t="shared" si="103"/>
        <v>0</v>
      </c>
      <c r="CH40" s="83" t="e">
        <f t="shared" si="104"/>
        <v>#N/A</v>
      </c>
      <c r="CI40" s="83">
        <f t="shared" si="105"/>
        <v>0</v>
      </c>
      <c r="CJ40" s="86" t="e">
        <f t="shared" si="24"/>
        <v>#N/A</v>
      </c>
      <c r="CK40" s="82">
        <f t="shared" si="25"/>
        <v>5.3070370403969858E-3</v>
      </c>
      <c r="CL40" s="82" t="e">
        <f t="shared" si="26"/>
        <v>#N/A</v>
      </c>
      <c r="CM40" s="82">
        <f t="shared" si="27"/>
        <v>5.3070370403969858E-3</v>
      </c>
      <c r="CO40" s="149" t="str">
        <f>IF($I40&lt;&gt;"",IF(O40="User Specified",U40,INDEX('Refrigerant GWPs'!$G$2:$G$156,MATCH(O40,'Refrigerant GWPs'!$A$2:$A$156,0))),"")</f>
        <v/>
      </c>
      <c r="CP40" s="138" t="str">
        <f>IF($I40&lt;&gt;"",INDEX('Device Refrigerant Leakage'!$E$2:$E$42,MATCH($M40,'Device Refrigerant Leakage'!$B$2:$B$42,0)),"")</f>
        <v/>
      </c>
      <c r="CQ40" s="138" t="str">
        <f>IF($I40&lt;&gt;"",INDEX('Device Refrigerant Leakage'!$F$2:$F$42,MATCH($M40,'Device Refrigerant Leakage'!$B$2:$B$42,0)),"")</f>
        <v/>
      </c>
      <c r="CR40" s="145" t="str">
        <f>IF($I40&lt;&gt;"",INDEX('Device Refrigerant Leakage'!$G$2:$G$42,MATCH($M40,'Device Refrigerant Leakage'!$B$2:$B$42,0)),"")</f>
        <v/>
      </c>
      <c r="CS40" s="145" t="str">
        <f>IF($I40&lt;&gt;"",INDEX('Device Refrigerant Leakage'!$D$2:$D$42,MATCH($M40,'Device Refrigerant Leakage'!$B$2:$B$42,0))*CP40/2204.62*CO40,"")</f>
        <v/>
      </c>
      <c r="CT40" s="145" t="str">
        <f>IF($I40&lt;&gt;"",J40*(INDEX('Device Refrigerant Leakage'!$D$2:$D$42,MATCH($M40,'Device Refrigerant Leakage'!$B$2:$B$42,0))-(INDEX('Device Refrigerant Leakage'!$D$2:$D$42,MATCH($M40,'Device Refrigerant Leakage'!$B$2:$B$42,0)))*CR40*CP40)*CQ40/2204.62*CO40,"")</f>
        <v/>
      </c>
      <c r="CU40" s="135" t="str">
        <f>IF($I40&lt;&gt;"",J40*IF(W40&lt;&gt;"AR",(CS40*K40)+CT40,(CS40*AB40)+CT40*(AB40/INDEX('Device Refrigerant Leakage'!$C$2:$C$42,MATCH($M40,'Device Refrigerant Leakage'!$B$2:$B$42,0)))),"")</f>
        <v/>
      </c>
      <c r="CW40" s="135" t="str">
        <f>IF($I40&lt;&gt;"",IF(S40="User Specified",V40,INDEX('Refrigerant GWPs'!$G$2:$G$156,MATCH(S40,'Refrigerant GWPs'!$A$2:$A$157,0))),"")</f>
        <v/>
      </c>
      <c r="CX40" s="138" t="str">
        <f>IF($I40&lt;&gt;"",INDEX('Device Refrigerant Leakage'!$E$2:$E$42,MATCH($Q40,'Device Refrigerant Leakage'!$B$2:$B$42,0)),"")</f>
        <v/>
      </c>
      <c r="CY40" s="138" t="str">
        <f>IF($I40&lt;&gt;"",INDEX('Device Refrigerant Leakage'!$F$2:$F$42,MATCH($Q40,'Device Refrigerant Leakage'!$B$2:$B$42,0)),"")</f>
        <v/>
      </c>
      <c r="CZ40" s="145" t="str">
        <f>IF($I40&lt;&gt;"",INDEX('Device Refrigerant Leakage'!$G$2:$G$42,MATCH($Q40,'Device Refrigerant Leakage'!$B$2:$B$42,0)),"")</f>
        <v/>
      </c>
      <c r="DA40" s="145" t="str">
        <f>IF($I40&lt;&gt;"",J40*INDEX('Device Refrigerant Leakage'!$D$2:$D$42,MATCH($Q40,'Device Refrigerant Leakage'!$B$2:$B$42,0))*CX40/2204.62*CW40,"")</f>
        <v/>
      </c>
      <c r="DB40" s="145" t="str">
        <f>IF($I40&lt;&gt;"",J40*(INDEX('Device Refrigerant Leakage'!$D$2:$D$42,MATCH($Q40,'Device Refrigerant Leakage'!$B$2:$B$42,0))-(INDEX('Device Refrigerant Leakage'!$D$2:$D$42,MATCH($Q40,'Device Refrigerant Leakage'!$B$2:$B$42,0)))*CZ40*CX40)*CY40/2204.62*CW40,"")</f>
        <v/>
      </c>
      <c r="DC40" s="135" t="str">
        <f t="shared" si="59"/>
        <v/>
      </c>
      <c r="DE40" s="146" t="str">
        <f>IF(W40&lt;&gt;"AR","",IF(Y40="User Specified", AA40, INDEX('Refrigerant GWPs'!$G$2:$G$154,MATCH(Y40,'Refrigerant GWPs'!$A$2:$A$154,0))))</f>
        <v/>
      </c>
      <c r="DF40" s="146" t="str">
        <f>IF(W40&lt;&gt;"AR","",INDEX('Device Refrigerant Leakage'!$E$2:$E$42,MATCH(X40,'Device Refrigerant Leakage'!$B$2:$B$42,0)))</f>
        <v/>
      </c>
      <c r="DG40" s="146" t="str">
        <f>IF(W40&lt;&gt;"AR","",INDEX('Device Refrigerant Leakage'!$F$2:$F$42,MATCH(X40,'Device Refrigerant Leakage'!$B$2:$B$42,0)))</f>
        <v/>
      </c>
      <c r="DH40" s="146" t="str">
        <f>IF(W40&lt;&gt;"AR","",INDEX('Device Refrigerant Leakage'!$G$2:$G$42,MATCH(X40,'Device Refrigerant Leakage'!$B$2:$B$42,0)))</f>
        <v/>
      </c>
      <c r="DI40" s="146" t="str">
        <f>IF(W40&lt;&gt;"AR","",J40*INDEX('Device Refrigerant Leakage'!$D$2:$D$42,MATCH(X40,'Device Refrigerant Leakage'!$B$2:$B$42,0))*DF40/2204.62*DE40)</f>
        <v/>
      </c>
      <c r="DJ40" s="146" t="str">
        <f>IF(W40&lt;&gt;"AR","",J40*(INDEX('Device Refrigerant Leakage'!$D$2:$D$42,MATCH(X40,'Device Refrigerant Leakage'!$B$2:$B$42,0))-(INDEX('Device Refrigerant Leakage'!$D$2:$D$42,MATCH(X40,'Device Refrigerant Leakage'!$B$2:$B$42,0)))*DH40*DF40)*DG40/2204.62*DE40)</f>
        <v/>
      </c>
      <c r="DK40" s="146" t="str">
        <f>IF(W40&lt;&gt;"AR","",DI40*(K40-AB40)+'Fuel Sub Calcs-Deemed'!DJ40*((K40-AB40)/INDEX('Device Refrigerant Leakage'!$C$2:$C$42,MATCH('Fuel Sub Calcs-Deemed'!X40,'Device Refrigerant Leakage'!$B$2:$B$42,0))))</f>
        <v/>
      </c>
      <c r="DM40" s="56">
        <v>26</v>
      </c>
      <c r="DN40" s="67" t="e">
        <f t="shared" si="28"/>
        <v>#N/A</v>
      </c>
      <c r="DO40" s="45" t="e">
        <f t="shared" si="29"/>
        <v>#N/A</v>
      </c>
      <c r="DP40" s="67" t="e">
        <f t="shared" si="30"/>
        <v>#N/A</v>
      </c>
      <c r="DQ40" s="45" t="e">
        <f t="shared" si="31"/>
        <v>#N/A</v>
      </c>
      <c r="DR40" s="69" t="e">
        <f t="shared" si="32"/>
        <v>#N/A</v>
      </c>
      <c r="DS40" s="34"/>
      <c r="DT40" s="67" t="e">
        <f>((BX40*CJ40)+IF($W40=MAT_AR,(BZ40*CL40),0))*(1+Reference!$E$50+Reference!$E$51)</f>
        <v>#N/A</v>
      </c>
      <c r="DU40" s="67">
        <f>((BY40*CK40)+IF($W40=MAT_AR,(CA40*CM40),0))*(1+Reference!$G$50+Reference!$G$51)</f>
        <v>0</v>
      </c>
      <c r="DV40" s="67" t="e">
        <f t="shared" si="33"/>
        <v>#VALUE!</v>
      </c>
      <c r="DX40" s="56">
        <v>26</v>
      </c>
      <c r="DY40" s="67">
        <f t="shared" si="34"/>
        <v>0</v>
      </c>
      <c r="DZ40" s="45" t="e">
        <f>VLOOKUP($R40,Dropdown!$C$3:$D$4,2,FALSE)</f>
        <v>#N/A</v>
      </c>
      <c r="EA40" s="68">
        <f t="shared" si="35"/>
        <v>0</v>
      </c>
      <c r="EB40" s="68" t="str">
        <f t="shared" si="36"/>
        <v>N/A</v>
      </c>
      <c r="EC40" s="68">
        <f t="shared" si="37"/>
        <v>0</v>
      </c>
      <c r="ED40" s="68" t="str">
        <f t="shared" si="38"/>
        <v>N/A</v>
      </c>
      <c r="EF40" s="56">
        <v>26</v>
      </c>
      <c r="EG40" s="46">
        <f t="shared" si="39"/>
        <v>0</v>
      </c>
      <c r="EH40" s="68" t="e">
        <f t="shared" si="40"/>
        <v>#N/A</v>
      </c>
      <c r="EI40" s="68" t="e">
        <f t="shared" si="41"/>
        <v>#N/A</v>
      </c>
      <c r="EJ40" s="68" t="e">
        <f t="shared" si="42"/>
        <v>#N/A</v>
      </c>
      <c r="EK40" s="68" t="e">
        <f t="shared" si="43"/>
        <v>#N/A</v>
      </c>
      <c r="EL40" s="46">
        <f t="shared" si="44"/>
        <v>0</v>
      </c>
      <c r="EM40" s="46">
        <f t="shared" si="45"/>
        <v>0</v>
      </c>
    </row>
    <row r="41" spans="1:143">
      <c r="A41" s="89"/>
      <c r="B41" s="89"/>
      <c r="C41" s="89"/>
      <c r="D41" s="89"/>
      <c r="E41" s="89"/>
      <c r="F41" s="89"/>
      <c r="G41" s="34"/>
      <c r="H41" s="56">
        <f t="shared" si="46"/>
        <v>27</v>
      </c>
      <c r="I41" s="165"/>
      <c r="J41" s="163"/>
      <c r="K41" s="163"/>
      <c r="L41" s="164"/>
      <c r="M41" s="155"/>
      <c r="N41" s="155"/>
      <c r="O41" s="144"/>
      <c r="P41" s="159" t="str">
        <f>IFERROR(IF(O41&lt;&gt;"User Specified",IF(O41&lt;&gt;"", INDEX('Refrigerant GWPs'!$G$2:$G$154,MATCH(O41,'Refrigerant GWPs'!$A$2:$A$154,0)),""),U41),0)</f>
        <v/>
      </c>
      <c r="Q41" s="155"/>
      <c r="R41" s="155"/>
      <c r="S41" s="144"/>
      <c r="T41" s="159" t="str">
        <f>IF(S41&lt;&gt;"User Specified",IF(AND(S41&lt;&gt;"User Specified",S41&lt;&gt;""), INDEX('Refrigerant GWPs'!$G$2:$G$154,MATCH(S41,'Refrigerant GWPs'!$A$2:$A$154,0)),""),V41)</f>
        <v/>
      </c>
      <c r="U41" s="144"/>
      <c r="V41" s="144"/>
      <c r="W41" s="155"/>
      <c r="X41" s="155"/>
      <c r="Y41" s="144"/>
      <c r="Z41" s="159" t="str">
        <f>IF(AND(Y41&lt;&gt;"User Specified",Y41&lt;&gt;""), INDEX('Refrigerant GWPs'!$G$2:$G$154,MATCH(Y41,'Refrigerant GWPs'!$A$2:$A$154,0)),"")</f>
        <v/>
      </c>
      <c r="AA41" s="155"/>
      <c r="AB41" s="156"/>
      <c r="AC41" s="66"/>
      <c r="AD41" s="66"/>
      <c r="AE41" s="66"/>
      <c r="AF41" s="66"/>
      <c r="AG41" s="66"/>
      <c r="AH41" s="66"/>
      <c r="AI41" s="34"/>
      <c r="AJ41" s="88">
        <f t="shared" si="0"/>
        <v>0</v>
      </c>
      <c r="AK41" s="88">
        <f t="shared" si="1"/>
        <v>0</v>
      </c>
      <c r="AL41" s="88">
        <v>0</v>
      </c>
      <c r="AM41" s="88">
        <v>0</v>
      </c>
      <c r="AN41" s="81" t="str">
        <f t="shared" si="47"/>
        <v/>
      </c>
      <c r="AO41" s="88">
        <f t="shared" si="2"/>
        <v>0</v>
      </c>
      <c r="AP41" s="88">
        <f t="shared" si="3"/>
        <v>0</v>
      </c>
      <c r="AQ41" s="81" t="str">
        <f t="shared" si="4"/>
        <v/>
      </c>
      <c r="AS41" s="41" t="b">
        <f t="shared" si="5"/>
        <v>1</v>
      </c>
      <c r="AT41" s="38">
        <f t="shared" si="6"/>
        <v>0</v>
      </c>
      <c r="AU41" s="60">
        <f t="shared" si="7"/>
        <v>0</v>
      </c>
      <c r="AV41" s="41">
        <f t="shared" si="8"/>
        <v>0</v>
      </c>
      <c r="AW41" s="41" t="b">
        <f t="shared" si="9"/>
        <v>0</v>
      </c>
      <c r="AX41" t="str">
        <f t="shared" si="10"/>
        <v>+00</v>
      </c>
      <c r="AY41" t="str">
        <f t="shared" si="11"/>
        <v>+00</v>
      </c>
      <c r="BA41" s="47" t="b">
        <f t="shared" si="83"/>
        <v>1</v>
      </c>
      <c r="BB41" s="42" t="b">
        <f t="shared" si="84"/>
        <v>1</v>
      </c>
      <c r="BC41" s="42" t="b">
        <f t="shared" si="85"/>
        <v>0</v>
      </c>
      <c r="BD41" s="42" t="b">
        <f t="shared" si="86"/>
        <v>0</v>
      </c>
      <c r="BE41" s="70">
        <f t="shared" si="87"/>
        <v>0</v>
      </c>
      <c r="BF41" s="70">
        <f t="shared" si="88"/>
        <v>0</v>
      </c>
      <c r="BG41" s="34"/>
      <c r="BI41" s="47" t="b">
        <f t="shared" si="89"/>
        <v>1</v>
      </c>
      <c r="BJ41" s="47" t="b">
        <f t="shared" si="90"/>
        <v>1</v>
      </c>
      <c r="BK41" s="42" t="b">
        <f t="shared" si="91"/>
        <v>0</v>
      </c>
      <c r="BL41" s="42" t="b">
        <f t="shared" si="92"/>
        <v>0</v>
      </c>
      <c r="BM41" s="42">
        <f t="shared" si="93"/>
        <v>0</v>
      </c>
      <c r="BN41" s="42">
        <f t="shared" si="94"/>
        <v>0</v>
      </c>
      <c r="BP41" t="e">
        <f t="shared" si="95"/>
        <v>#N/A</v>
      </c>
      <c r="BQ41" t="e">
        <f t="shared" si="96"/>
        <v>#N/A</v>
      </c>
      <c r="BR41" t="e">
        <f t="shared" si="97"/>
        <v>#N/A</v>
      </c>
      <c r="BT41" s="60">
        <f t="shared" si="16"/>
        <v>0</v>
      </c>
      <c r="BU41" s="60">
        <f t="shared" si="17"/>
        <v>0</v>
      </c>
      <c r="BV41" s="60">
        <f t="shared" si="18"/>
        <v>0</v>
      </c>
      <c r="BW41" s="60">
        <f t="shared" si="19"/>
        <v>0</v>
      </c>
      <c r="BX41" s="60">
        <f t="shared" si="98"/>
        <v>0</v>
      </c>
      <c r="BY41" s="60">
        <f t="shared" si="99"/>
        <v>0</v>
      </c>
      <c r="BZ41" s="60">
        <f t="shared" si="100"/>
        <v>0</v>
      </c>
      <c r="CA41" s="60">
        <f t="shared" si="101"/>
        <v>0</v>
      </c>
      <c r="CB41" s="60" t="e">
        <f t="shared" si="20"/>
        <v>#N/A</v>
      </c>
      <c r="CC41" s="60">
        <f t="shared" si="21"/>
        <v>100000</v>
      </c>
      <c r="CD41" s="60" t="e">
        <f t="shared" si="22"/>
        <v>#N/A</v>
      </c>
      <c r="CE41" s="60">
        <f t="shared" si="23"/>
        <v>100000</v>
      </c>
      <c r="CF41" s="83" t="e">
        <f t="shared" si="102"/>
        <v>#N/A</v>
      </c>
      <c r="CG41" s="83">
        <f t="shared" si="103"/>
        <v>0</v>
      </c>
      <c r="CH41" s="83" t="e">
        <f t="shared" si="104"/>
        <v>#N/A</v>
      </c>
      <c r="CI41" s="83">
        <f t="shared" si="105"/>
        <v>0</v>
      </c>
      <c r="CJ41" s="86" t="e">
        <f t="shared" si="24"/>
        <v>#N/A</v>
      </c>
      <c r="CK41" s="82">
        <f t="shared" si="25"/>
        <v>5.3070370403969858E-3</v>
      </c>
      <c r="CL41" s="82" t="e">
        <f t="shared" si="26"/>
        <v>#N/A</v>
      </c>
      <c r="CM41" s="82">
        <f t="shared" si="27"/>
        <v>5.3070370403969858E-3</v>
      </c>
      <c r="CO41" s="149" t="str">
        <f>IF($I41&lt;&gt;"",IF(O41="User Specified",U41,INDEX('Refrigerant GWPs'!$G$2:$G$156,MATCH(O41,'Refrigerant GWPs'!$A$2:$A$156,0))),"")</f>
        <v/>
      </c>
      <c r="CP41" s="138" t="str">
        <f>IF($I41&lt;&gt;"",INDEX('Device Refrigerant Leakage'!$E$2:$E$42,MATCH($M41,'Device Refrigerant Leakage'!$B$2:$B$42,0)),"")</f>
        <v/>
      </c>
      <c r="CQ41" s="138" t="str">
        <f>IF($I41&lt;&gt;"",INDEX('Device Refrigerant Leakage'!$F$2:$F$42,MATCH($M41,'Device Refrigerant Leakage'!$B$2:$B$42,0)),"")</f>
        <v/>
      </c>
      <c r="CR41" s="145" t="str">
        <f>IF($I41&lt;&gt;"",INDEX('Device Refrigerant Leakage'!$G$2:$G$42,MATCH($M41,'Device Refrigerant Leakage'!$B$2:$B$42,0)),"")</f>
        <v/>
      </c>
      <c r="CS41" s="145" t="str">
        <f>IF($I41&lt;&gt;"",INDEX('Device Refrigerant Leakage'!$D$2:$D$42,MATCH($M41,'Device Refrigerant Leakage'!$B$2:$B$42,0))*CP41/2204.62*CO41,"")</f>
        <v/>
      </c>
      <c r="CT41" s="145" t="str">
        <f>IF($I41&lt;&gt;"",J41*(INDEX('Device Refrigerant Leakage'!$D$2:$D$42,MATCH($M41,'Device Refrigerant Leakage'!$B$2:$B$42,0))-(INDEX('Device Refrigerant Leakage'!$D$2:$D$42,MATCH($M41,'Device Refrigerant Leakage'!$B$2:$B$42,0)))*CR41*CP41)*CQ41/2204.62*CO41,"")</f>
        <v/>
      </c>
      <c r="CU41" s="135" t="str">
        <f>IF($I41&lt;&gt;"",J41*IF(W41&lt;&gt;"AR",(CS41*K41)+CT41,(CS41*AB41)+CT41*(AB41/INDEX('Device Refrigerant Leakage'!$C$2:$C$42,MATCH($M41,'Device Refrigerant Leakage'!$B$2:$B$42,0)))),"")</f>
        <v/>
      </c>
      <c r="CW41" s="135" t="str">
        <f>IF($I41&lt;&gt;"",IF(S41="User Specified",V41,INDEX('Refrigerant GWPs'!$G$2:$G$156,MATCH(S41,'Refrigerant GWPs'!$A$2:$A$157,0))),"")</f>
        <v/>
      </c>
      <c r="CX41" s="138" t="str">
        <f>IF($I41&lt;&gt;"",INDEX('Device Refrigerant Leakage'!$E$2:$E$42,MATCH($Q41,'Device Refrigerant Leakage'!$B$2:$B$42,0)),"")</f>
        <v/>
      </c>
      <c r="CY41" s="138" t="str">
        <f>IF($I41&lt;&gt;"",INDEX('Device Refrigerant Leakage'!$F$2:$F$42,MATCH($Q41,'Device Refrigerant Leakage'!$B$2:$B$42,0)),"")</f>
        <v/>
      </c>
      <c r="CZ41" s="145" t="str">
        <f>IF($I41&lt;&gt;"",INDEX('Device Refrigerant Leakage'!$G$2:$G$42,MATCH($Q41,'Device Refrigerant Leakage'!$B$2:$B$42,0)),"")</f>
        <v/>
      </c>
      <c r="DA41" s="145" t="str">
        <f>IF($I41&lt;&gt;"",J41*INDEX('Device Refrigerant Leakage'!$D$2:$D$42,MATCH($Q41,'Device Refrigerant Leakage'!$B$2:$B$42,0))*CX41/2204.62*CW41,"")</f>
        <v/>
      </c>
      <c r="DB41" s="145" t="str">
        <f>IF($I41&lt;&gt;"",J41*(INDEX('Device Refrigerant Leakage'!$D$2:$D$42,MATCH($Q41,'Device Refrigerant Leakage'!$B$2:$B$42,0))-(INDEX('Device Refrigerant Leakage'!$D$2:$D$42,MATCH($Q41,'Device Refrigerant Leakage'!$B$2:$B$42,0)))*CZ41*CX41)*CY41/2204.62*CW41,"")</f>
        <v/>
      </c>
      <c r="DC41" s="135" t="str">
        <f t="shared" si="59"/>
        <v/>
      </c>
      <c r="DE41" s="146" t="str">
        <f>IF(W41&lt;&gt;"AR","",IF(Y41="User Specified", AA41, INDEX('Refrigerant GWPs'!$G$2:$G$154,MATCH(Y41,'Refrigerant GWPs'!$A$2:$A$154,0))))</f>
        <v/>
      </c>
      <c r="DF41" s="146" t="str">
        <f>IF(W41&lt;&gt;"AR","",INDEX('Device Refrigerant Leakage'!$E$2:$E$42,MATCH(X41,'Device Refrigerant Leakage'!$B$2:$B$42,0)))</f>
        <v/>
      </c>
      <c r="DG41" s="146" t="str">
        <f>IF(W41&lt;&gt;"AR","",INDEX('Device Refrigerant Leakage'!$F$2:$F$42,MATCH(X41,'Device Refrigerant Leakage'!$B$2:$B$42,0)))</f>
        <v/>
      </c>
      <c r="DH41" s="146" t="str">
        <f>IF(W41&lt;&gt;"AR","",INDEX('Device Refrigerant Leakage'!$G$2:$G$42,MATCH(X41,'Device Refrigerant Leakage'!$B$2:$B$42,0)))</f>
        <v/>
      </c>
      <c r="DI41" s="146" t="str">
        <f>IF(W41&lt;&gt;"AR","",J41*INDEX('Device Refrigerant Leakage'!$D$2:$D$42,MATCH(X41,'Device Refrigerant Leakage'!$B$2:$B$42,0))*DF41/2204.62*DE41)</f>
        <v/>
      </c>
      <c r="DJ41" s="146" t="str">
        <f>IF(W41&lt;&gt;"AR","",J41*(INDEX('Device Refrigerant Leakage'!$D$2:$D$42,MATCH(X41,'Device Refrigerant Leakage'!$B$2:$B$42,0))-(INDEX('Device Refrigerant Leakage'!$D$2:$D$42,MATCH(X41,'Device Refrigerant Leakage'!$B$2:$B$42,0)))*DH41*DF41)*DG41/2204.62*DE41)</f>
        <v/>
      </c>
      <c r="DK41" s="146" t="str">
        <f>IF(W41&lt;&gt;"AR","",DI41*(K41-AB41)+'Fuel Sub Calcs-Deemed'!DJ41*((K41-AB41)/INDEX('Device Refrigerant Leakage'!$C$2:$C$42,MATCH('Fuel Sub Calcs-Deemed'!X41,'Device Refrigerant Leakage'!$B$2:$B$42,0))))</f>
        <v/>
      </c>
      <c r="DM41" s="56">
        <v>27</v>
      </c>
      <c r="DN41" s="67" t="e">
        <f t="shared" si="28"/>
        <v>#N/A</v>
      </c>
      <c r="DO41" s="45" t="e">
        <f t="shared" si="29"/>
        <v>#N/A</v>
      </c>
      <c r="DP41" s="67" t="e">
        <f t="shared" si="30"/>
        <v>#N/A</v>
      </c>
      <c r="DQ41" s="45" t="e">
        <f t="shared" si="31"/>
        <v>#N/A</v>
      </c>
      <c r="DR41" s="69" t="e">
        <f t="shared" si="32"/>
        <v>#N/A</v>
      </c>
      <c r="DS41" s="34"/>
      <c r="DT41" s="67" t="e">
        <f>((BX41*CJ41)+IF($W41=MAT_AR,(BZ41*CL41),0))*(1+Reference!$E$50+Reference!$E$51)</f>
        <v>#N/A</v>
      </c>
      <c r="DU41" s="67">
        <f>((BY41*CK41)+IF($W41=MAT_AR,(CA41*CM41),0))*(1+Reference!$G$50+Reference!$G$51)</f>
        <v>0</v>
      </c>
      <c r="DV41" s="67" t="e">
        <f t="shared" si="33"/>
        <v>#VALUE!</v>
      </c>
      <c r="DX41" s="56">
        <v>27</v>
      </c>
      <c r="DY41" s="67">
        <f t="shared" si="34"/>
        <v>0</v>
      </c>
      <c r="DZ41" s="45" t="e">
        <f>VLOOKUP($R41,Dropdown!$C$3:$D$4,2,FALSE)</f>
        <v>#N/A</v>
      </c>
      <c r="EA41" s="68">
        <f t="shared" si="35"/>
        <v>0</v>
      </c>
      <c r="EB41" s="68" t="str">
        <f t="shared" si="36"/>
        <v>N/A</v>
      </c>
      <c r="EC41" s="68">
        <f t="shared" si="37"/>
        <v>0</v>
      </c>
      <c r="ED41" s="68" t="str">
        <f t="shared" si="38"/>
        <v>N/A</v>
      </c>
      <c r="EF41" s="56">
        <v>27</v>
      </c>
      <c r="EG41" s="46">
        <f t="shared" si="39"/>
        <v>0</v>
      </c>
      <c r="EH41" s="68" t="e">
        <f t="shared" si="40"/>
        <v>#N/A</v>
      </c>
      <c r="EI41" s="68" t="e">
        <f t="shared" si="41"/>
        <v>#N/A</v>
      </c>
      <c r="EJ41" s="68" t="e">
        <f t="shared" si="42"/>
        <v>#N/A</v>
      </c>
      <c r="EK41" s="68" t="e">
        <f t="shared" si="43"/>
        <v>#N/A</v>
      </c>
      <c r="EL41" s="46">
        <f t="shared" si="44"/>
        <v>0</v>
      </c>
      <c r="EM41" s="46">
        <f t="shared" si="45"/>
        <v>0</v>
      </c>
    </row>
    <row r="42" spans="1:143">
      <c r="A42" s="89"/>
      <c r="B42" s="89"/>
      <c r="C42" s="89"/>
      <c r="D42" s="89"/>
      <c r="E42" s="89"/>
      <c r="F42" s="89"/>
      <c r="G42" s="34"/>
      <c r="H42" s="56">
        <f t="shared" si="46"/>
        <v>28</v>
      </c>
      <c r="I42" s="165"/>
      <c r="J42" s="163"/>
      <c r="K42" s="163"/>
      <c r="L42" s="164"/>
      <c r="M42" s="155"/>
      <c r="N42" s="155"/>
      <c r="O42" s="144"/>
      <c r="P42" s="159" t="str">
        <f>IFERROR(IF(O42&lt;&gt;"User Specified",IF(O42&lt;&gt;"", INDEX('Refrigerant GWPs'!$G$2:$G$154,MATCH(O42,'Refrigerant GWPs'!$A$2:$A$154,0)),""),U42),0)</f>
        <v/>
      </c>
      <c r="Q42" s="155"/>
      <c r="R42" s="155"/>
      <c r="S42" s="144"/>
      <c r="T42" s="159" t="str">
        <f>IF(S42&lt;&gt;"User Specified",IF(AND(S42&lt;&gt;"User Specified",S42&lt;&gt;""), INDEX('Refrigerant GWPs'!$G$2:$G$154,MATCH(S42,'Refrigerant GWPs'!$A$2:$A$154,0)),""),V42)</f>
        <v/>
      </c>
      <c r="U42" s="144"/>
      <c r="V42" s="144"/>
      <c r="W42" s="155"/>
      <c r="X42" s="155"/>
      <c r="Y42" s="144"/>
      <c r="Z42" s="159" t="str">
        <f>IF(AND(Y42&lt;&gt;"User Specified",Y42&lt;&gt;""), INDEX('Refrigerant GWPs'!$G$2:$G$154,MATCH(Y42,'Refrigerant GWPs'!$A$2:$A$154,0)),"")</f>
        <v/>
      </c>
      <c r="AA42" s="155"/>
      <c r="AB42" s="156"/>
      <c r="AC42" s="66"/>
      <c r="AD42" s="66"/>
      <c r="AE42" s="66"/>
      <c r="AF42" s="66"/>
      <c r="AG42" s="66"/>
      <c r="AH42" s="66"/>
      <c r="AI42" s="34"/>
      <c r="AJ42" s="88">
        <f t="shared" si="0"/>
        <v>0</v>
      </c>
      <c r="AK42" s="88">
        <f t="shared" si="1"/>
        <v>0</v>
      </c>
      <c r="AL42" s="88">
        <v>0</v>
      </c>
      <c r="AM42" s="88">
        <v>0</v>
      </c>
      <c r="AN42" s="81" t="str">
        <f t="shared" si="47"/>
        <v/>
      </c>
      <c r="AO42" s="88">
        <f t="shared" si="2"/>
        <v>0</v>
      </c>
      <c r="AP42" s="88">
        <f t="shared" si="3"/>
        <v>0</v>
      </c>
      <c r="AQ42" s="81" t="str">
        <f t="shared" si="4"/>
        <v/>
      </c>
      <c r="AS42" s="41" t="b">
        <f t="shared" si="5"/>
        <v>1</v>
      </c>
      <c r="AT42" s="38">
        <f t="shared" si="6"/>
        <v>0</v>
      </c>
      <c r="AU42" s="60">
        <f t="shared" si="7"/>
        <v>0</v>
      </c>
      <c r="AV42" s="41">
        <f t="shared" si="8"/>
        <v>0</v>
      </c>
      <c r="AW42" s="41" t="b">
        <f t="shared" si="9"/>
        <v>0</v>
      </c>
      <c r="AX42" t="str">
        <f t="shared" si="10"/>
        <v>+00</v>
      </c>
      <c r="AY42" t="str">
        <f t="shared" si="11"/>
        <v>+00</v>
      </c>
      <c r="BA42" s="47" t="b">
        <f t="shared" si="83"/>
        <v>1</v>
      </c>
      <c r="BB42" s="42" t="b">
        <f t="shared" si="84"/>
        <v>1</v>
      </c>
      <c r="BC42" s="42" t="b">
        <f t="shared" si="85"/>
        <v>0</v>
      </c>
      <c r="BD42" s="42" t="b">
        <f t="shared" si="86"/>
        <v>0</v>
      </c>
      <c r="BE42" s="70">
        <f t="shared" si="87"/>
        <v>0</v>
      </c>
      <c r="BF42" s="70">
        <f t="shared" si="88"/>
        <v>0</v>
      </c>
      <c r="BG42" s="34"/>
      <c r="BI42" s="47" t="b">
        <f t="shared" si="89"/>
        <v>1</v>
      </c>
      <c r="BJ42" s="47" t="b">
        <f t="shared" si="90"/>
        <v>1</v>
      </c>
      <c r="BK42" s="42" t="b">
        <f t="shared" si="91"/>
        <v>0</v>
      </c>
      <c r="BL42" s="42" t="b">
        <f t="shared" si="92"/>
        <v>0</v>
      </c>
      <c r="BM42" s="42">
        <f t="shared" si="93"/>
        <v>0</v>
      </c>
      <c r="BN42" s="42">
        <f t="shared" si="94"/>
        <v>0</v>
      </c>
      <c r="BP42" t="e">
        <f t="shared" si="95"/>
        <v>#N/A</v>
      </c>
      <c r="BQ42" t="e">
        <f t="shared" si="96"/>
        <v>#N/A</v>
      </c>
      <c r="BR42" t="e">
        <f t="shared" si="97"/>
        <v>#N/A</v>
      </c>
      <c r="BT42" s="60">
        <f t="shared" si="16"/>
        <v>0</v>
      </c>
      <c r="BU42" s="60">
        <f t="shared" si="17"/>
        <v>0</v>
      </c>
      <c r="BV42" s="60">
        <f t="shared" si="18"/>
        <v>0</v>
      </c>
      <c r="BW42" s="60">
        <f t="shared" si="19"/>
        <v>0</v>
      </c>
      <c r="BX42" s="60">
        <f t="shared" si="98"/>
        <v>0</v>
      </c>
      <c r="BY42" s="60">
        <f t="shared" si="99"/>
        <v>0</v>
      </c>
      <c r="BZ42" s="60">
        <f t="shared" si="100"/>
        <v>0</v>
      </c>
      <c r="CA42" s="60">
        <f t="shared" si="101"/>
        <v>0</v>
      </c>
      <c r="CB42" s="60" t="e">
        <f t="shared" si="20"/>
        <v>#N/A</v>
      </c>
      <c r="CC42" s="60">
        <f t="shared" si="21"/>
        <v>100000</v>
      </c>
      <c r="CD42" s="60" t="e">
        <f t="shared" si="22"/>
        <v>#N/A</v>
      </c>
      <c r="CE42" s="60">
        <f t="shared" si="23"/>
        <v>100000</v>
      </c>
      <c r="CF42" s="83" t="e">
        <f t="shared" si="102"/>
        <v>#N/A</v>
      </c>
      <c r="CG42" s="83">
        <f t="shared" si="103"/>
        <v>0</v>
      </c>
      <c r="CH42" s="83" t="e">
        <f t="shared" si="104"/>
        <v>#N/A</v>
      </c>
      <c r="CI42" s="83">
        <f t="shared" si="105"/>
        <v>0</v>
      </c>
      <c r="CJ42" s="86" t="e">
        <f t="shared" si="24"/>
        <v>#N/A</v>
      </c>
      <c r="CK42" s="82">
        <f t="shared" si="25"/>
        <v>5.3070370403969858E-3</v>
      </c>
      <c r="CL42" s="82" t="e">
        <f t="shared" si="26"/>
        <v>#N/A</v>
      </c>
      <c r="CM42" s="82">
        <f t="shared" si="27"/>
        <v>5.3070370403969858E-3</v>
      </c>
      <c r="CO42" s="149" t="str">
        <f>IF($I42&lt;&gt;"",IF(O42="User Specified",U42,INDEX('Refrigerant GWPs'!$G$2:$G$156,MATCH(O42,'Refrigerant GWPs'!$A$2:$A$156,0))),"")</f>
        <v/>
      </c>
      <c r="CP42" s="138" t="str">
        <f>IF($I42&lt;&gt;"",INDEX('Device Refrigerant Leakage'!$E$2:$E$42,MATCH($M42,'Device Refrigerant Leakage'!$B$2:$B$42,0)),"")</f>
        <v/>
      </c>
      <c r="CQ42" s="138" t="str">
        <f>IF($I42&lt;&gt;"",INDEX('Device Refrigerant Leakage'!$F$2:$F$42,MATCH($M42,'Device Refrigerant Leakage'!$B$2:$B$42,0)),"")</f>
        <v/>
      </c>
      <c r="CR42" s="145" t="str">
        <f>IF($I42&lt;&gt;"",INDEX('Device Refrigerant Leakage'!$G$2:$G$42,MATCH($M42,'Device Refrigerant Leakage'!$B$2:$B$42,0)),"")</f>
        <v/>
      </c>
      <c r="CS42" s="145" t="str">
        <f>IF($I42&lt;&gt;"",INDEX('Device Refrigerant Leakage'!$D$2:$D$42,MATCH($M42,'Device Refrigerant Leakage'!$B$2:$B$42,0))*CP42/2204.62*CO42,"")</f>
        <v/>
      </c>
      <c r="CT42" s="145" t="str">
        <f>IF($I42&lt;&gt;"",J42*(INDEX('Device Refrigerant Leakage'!$D$2:$D$42,MATCH($M42,'Device Refrigerant Leakage'!$B$2:$B$42,0))-(INDEX('Device Refrigerant Leakage'!$D$2:$D$42,MATCH($M42,'Device Refrigerant Leakage'!$B$2:$B$42,0)))*CR42*CP42)*CQ42/2204.62*CO42,"")</f>
        <v/>
      </c>
      <c r="CU42" s="135" t="str">
        <f>IF($I42&lt;&gt;"",J42*IF(W42&lt;&gt;"AR",(CS42*K42)+CT42,(CS42*AB42)+CT42*(AB42/INDEX('Device Refrigerant Leakage'!$C$2:$C$42,MATCH($M42,'Device Refrigerant Leakage'!$B$2:$B$42,0)))),"")</f>
        <v/>
      </c>
      <c r="CW42" s="135" t="str">
        <f>IF($I42&lt;&gt;"",IF(S42="User Specified",V42,INDEX('Refrigerant GWPs'!$G$2:$G$156,MATCH(S42,'Refrigerant GWPs'!$A$2:$A$157,0))),"")</f>
        <v/>
      </c>
      <c r="CX42" s="138" t="str">
        <f>IF($I42&lt;&gt;"",INDEX('Device Refrigerant Leakage'!$E$2:$E$42,MATCH($Q42,'Device Refrigerant Leakage'!$B$2:$B$42,0)),"")</f>
        <v/>
      </c>
      <c r="CY42" s="138" t="str">
        <f>IF($I42&lt;&gt;"",INDEX('Device Refrigerant Leakage'!$F$2:$F$42,MATCH($Q42,'Device Refrigerant Leakage'!$B$2:$B$42,0)),"")</f>
        <v/>
      </c>
      <c r="CZ42" s="145" t="str">
        <f>IF($I42&lt;&gt;"",INDEX('Device Refrigerant Leakage'!$G$2:$G$42,MATCH($Q42,'Device Refrigerant Leakage'!$B$2:$B$42,0)),"")</f>
        <v/>
      </c>
      <c r="DA42" s="145" t="str">
        <f>IF($I42&lt;&gt;"",J42*INDEX('Device Refrigerant Leakage'!$D$2:$D$42,MATCH($Q42,'Device Refrigerant Leakage'!$B$2:$B$42,0))*CX42/2204.62*CW42,"")</f>
        <v/>
      </c>
      <c r="DB42" s="145" t="str">
        <f>IF($I42&lt;&gt;"",J42*(INDEX('Device Refrigerant Leakage'!$D$2:$D$42,MATCH($Q42,'Device Refrigerant Leakage'!$B$2:$B$42,0))-(INDEX('Device Refrigerant Leakage'!$D$2:$D$42,MATCH($Q42,'Device Refrigerant Leakage'!$B$2:$B$42,0)))*CZ42*CX42)*CY42/2204.62*CW42,"")</f>
        <v/>
      </c>
      <c r="DC42" s="135" t="str">
        <f t="shared" si="59"/>
        <v/>
      </c>
      <c r="DE42" s="146" t="str">
        <f>IF(W42&lt;&gt;"AR","",IF(Y42="User Specified", AA42, INDEX('Refrigerant GWPs'!$G$2:$G$154,MATCH(Y42,'Refrigerant GWPs'!$A$2:$A$154,0))))</f>
        <v/>
      </c>
      <c r="DF42" s="146" t="str">
        <f>IF(W42&lt;&gt;"AR","",INDEX('Device Refrigerant Leakage'!$E$2:$E$42,MATCH(X42,'Device Refrigerant Leakage'!$B$2:$B$42,0)))</f>
        <v/>
      </c>
      <c r="DG42" s="146" t="str">
        <f>IF(W42&lt;&gt;"AR","",INDEX('Device Refrigerant Leakage'!$F$2:$F$42,MATCH(X42,'Device Refrigerant Leakage'!$B$2:$B$42,0)))</f>
        <v/>
      </c>
      <c r="DH42" s="146" t="str">
        <f>IF(W42&lt;&gt;"AR","",INDEX('Device Refrigerant Leakage'!$G$2:$G$42,MATCH(X42,'Device Refrigerant Leakage'!$B$2:$B$42,0)))</f>
        <v/>
      </c>
      <c r="DI42" s="146" t="str">
        <f>IF(W42&lt;&gt;"AR","",J42*INDEX('Device Refrigerant Leakage'!$D$2:$D$42,MATCH(X42,'Device Refrigerant Leakage'!$B$2:$B$42,0))*DF42/2204.62*DE42)</f>
        <v/>
      </c>
      <c r="DJ42" s="146" t="str">
        <f>IF(W42&lt;&gt;"AR","",J42*(INDEX('Device Refrigerant Leakage'!$D$2:$D$42,MATCH(X42,'Device Refrigerant Leakage'!$B$2:$B$42,0))-(INDEX('Device Refrigerant Leakage'!$D$2:$D$42,MATCH(X42,'Device Refrigerant Leakage'!$B$2:$B$42,0)))*DH42*DF42)*DG42/2204.62*DE42)</f>
        <v/>
      </c>
      <c r="DK42" s="146" t="str">
        <f>IF(W42&lt;&gt;"AR","",DI42*(K42-AB42)+'Fuel Sub Calcs-Deemed'!DJ42*((K42-AB42)/INDEX('Device Refrigerant Leakage'!$C$2:$C$42,MATCH('Fuel Sub Calcs-Deemed'!X42,'Device Refrigerant Leakage'!$B$2:$B$42,0))))</f>
        <v/>
      </c>
      <c r="DM42" s="56">
        <v>28</v>
      </c>
      <c r="DN42" s="67" t="e">
        <f t="shared" si="28"/>
        <v>#N/A</v>
      </c>
      <c r="DO42" s="45" t="e">
        <f t="shared" si="29"/>
        <v>#N/A</v>
      </c>
      <c r="DP42" s="67" t="e">
        <f t="shared" si="30"/>
        <v>#N/A</v>
      </c>
      <c r="DQ42" s="45" t="e">
        <f t="shared" si="31"/>
        <v>#N/A</v>
      </c>
      <c r="DR42" s="69" t="e">
        <f t="shared" si="32"/>
        <v>#N/A</v>
      </c>
      <c r="DS42" s="34"/>
      <c r="DT42" s="67" t="e">
        <f>((BX42*CJ42)+IF($W42=MAT_AR,(BZ42*CL42),0))*(1+Reference!$E$50+Reference!$E$51)</f>
        <v>#N/A</v>
      </c>
      <c r="DU42" s="67">
        <f>((BY42*CK42)+IF($W42=MAT_AR,(CA42*CM42),0))*(1+Reference!$G$50+Reference!$G$51)</f>
        <v>0</v>
      </c>
      <c r="DV42" s="67" t="e">
        <f t="shared" si="33"/>
        <v>#VALUE!</v>
      </c>
      <c r="DX42" s="56">
        <v>28</v>
      </c>
      <c r="DY42" s="67">
        <f t="shared" si="34"/>
        <v>0</v>
      </c>
      <c r="DZ42" s="45" t="e">
        <f>VLOOKUP($R42,Dropdown!$C$3:$D$4,2,FALSE)</f>
        <v>#N/A</v>
      </c>
      <c r="EA42" s="68">
        <f t="shared" si="35"/>
        <v>0</v>
      </c>
      <c r="EB42" s="68" t="str">
        <f t="shared" si="36"/>
        <v>N/A</v>
      </c>
      <c r="EC42" s="68">
        <f t="shared" si="37"/>
        <v>0</v>
      </c>
      <c r="ED42" s="68" t="str">
        <f t="shared" si="38"/>
        <v>N/A</v>
      </c>
      <c r="EF42" s="56">
        <v>28</v>
      </c>
      <c r="EG42" s="46">
        <f t="shared" si="39"/>
        <v>0</v>
      </c>
      <c r="EH42" s="68" t="e">
        <f t="shared" si="40"/>
        <v>#N/A</v>
      </c>
      <c r="EI42" s="68" t="e">
        <f t="shared" si="41"/>
        <v>#N/A</v>
      </c>
      <c r="EJ42" s="68" t="e">
        <f t="shared" si="42"/>
        <v>#N/A</v>
      </c>
      <c r="EK42" s="68" t="e">
        <f t="shared" si="43"/>
        <v>#N/A</v>
      </c>
      <c r="EL42" s="46">
        <f t="shared" si="44"/>
        <v>0</v>
      </c>
      <c r="EM42" s="46">
        <f t="shared" si="45"/>
        <v>0</v>
      </c>
    </row>
    <row r="43" spans="1:143">
      <c r="A43" s="89"/>
      <c r="B43" s="89"/>
      <c r="C43" s="89"/>
      <c r="D43" s="89"/>
      <c r="E43" s="89"/>
      <c r="F43" s="89"/>
      <c r="G43" s="34"/>
      <c r="H43" s="56">
        <f t="shared" si="46"/>
        <v>29</v>
      </c>
      <c r="I43" s="165"/>
      <c r="J43" s="163"/>
      <c r="K43" s="163"/>
      <c r="L43" s="164"/>
      <c r="M43" s="155"/>
      <c r="N43" s="155"/>
      <c r="O43" s="144"/>
      <c r="P43" s="159" t="str">
        <f>IFERROR(IF(O43&lt;&gt;"User Specified",IF(O43&lt;&gt;"", INDEX('Refrigerant GWPs'!$G$2:$G$154,MATCH(O43,'Refrigerant GWPs'!$A$2:$A$154,0)),""),U43),0)</f>
        <v/>
      </c>
      <c r="Q43" s="155"/>
      <c r="R43" s="155"/>
      <c r="S43" s="144"/>
      <c r="T43" s="159" t="str">
        <f>IF(S43&lt;&gt;"User Specified",IF(AND(S43&lt;&gt;"User Specified",S43&lt;&gt;""), INDEX('Refrigerant GWPs'!$G$2:$G$154,MATCH(S43,'Refrigerant GWPs'!$A$2:$A$154,0)),""),V43)</f>
        <v/>
      </c>
      <c r="U43" s="144"/>
      <c r="V43" s="144"/>
      <c r="W43" s="155"/>
      <c r="X43" s="155"/>
      <c r="Y43" s="144"/>
      <c r="Z43" s="159" t="str">
        <f>IF(AND(Y43&lt;&gt;"User Specified",Y43&lt;&gt;""), INDEX('Refrigerant GWPs'!$G$2:$G$154,MATCH(Y43,'Refrigerant GWPs'!$A$2:$A$154,0)),"")</f>
        <v/>
      </c>
      <c r="AA43" s="155"/>
      <c r="AB43" s="156"/>
      <c r="AC43" s="66"/>
      <c r="AD43" s="66"/>
      <c r="AE43" s="66"/>
      <c r="AF43" s="66"/>
      <c r="AG43" s="66"/>
      <c r="AH43" s="66"/>
      <c r="AI43" s="34"/>
      <c r="AJ43" s="88">
        <f t="shared" si="0"/>
        <v>0</v>
      </c>
      <c r="AK43" s="88">
        <f t="shared" si="1"/>
        <v>0</v>
      </c>
      <c r="AL43" s="88">
        <v>0</v>
      </c>
      <c r="AM43" s="88">
        <v>0</v>
      </c>
      <c r="AN43" s="81" t="str">
        <f t="shared" si="47"/>
        <v/>
      </c>
      <c r="AO43" s="88">
        <f t="shared" si="2"/>
        <v>0</v>
      </c>
      <c r="AP43" s="88">
        <f t="shared" si="3"/>
        <v>0</v>
      </c>
      <c r="AQ43" s="81" t="str">
        <f t="shared" si="4"/>
        <v/>
      </c>
      <c r="AS43" s="41" t="b">
        <f t="shared" si="5"/>
        <v>1</v>
      </c>
      <c r="AT43" s="38">
        <f t="shared" si="6"/>
        <v>0</v>
      </c>
      <c r="AU43" s="60">
        <f t="shared" si="7"/>
        <v>0</v>
      </c>
      <c r="AV43" s="41">
        <f t="shared" si="8"/>
        <v>0</v>
      </c>
      <c r="AW43" s="41" t="b">
        <f t="shared" si="9"/>
        <v>0</v>
      </c>
      <c r="AX43" t="str">
        <f t="shared" si="10"/>
        <v>+00</v>
      </c>
      <c r="AY43" t="str">
        <f t="shared" si="11"/>
        <v>+00</v>
      </c>
      <c r="BA43" s="47" t="b">
        <f t="shared" si="83"/>
        <v>1</v>
      </c>
      <c r="BB43" s="42" t="b">
        <f t="shared" si="84"/>
        <v>1</v>
      </c>
      <c r="BC43" s="42" t="b">
        <f t="shared" si="85"/>
        <v>0</v>
      </c>
      <c r="BD43" s="42" t="b">
        <f t="shared" si="86"/>
        <v>0</v>
      </c>
      <c r="BE43" s="70">
        <f t="shared" si="87"/>
        <v>0</v>
      </c>
      <c r="BF43" s="70">
        <f t="shared" si="88"/>
        <v>0</v>
      </c>
      <c r="BG43" s="34"/>
      <c r="BI43" s="47" t="b">
        <f t="shared" si="89"/>
        <v>1</v>
      </c>
      <c r="BJ43" s="47" t="b">
        <f t="shared" si="90"/>
        <v>1</v>
      </c>
      <c r="BK43" s="42" t="b">
        <f t="shared" si="91"/>
        <v>0</v>
      </c>
      <c r="BL43" s="42" t="b">
        <f t="shared" si="92"/>
        <v>0</v>
      </c>
      <c r="BM43" s="42">
        <f t="shared" si="93"/>
        <v>0</v>
      </c>
      <c r="BN43" s="42">
        <f t="shared" si="94"/>
        <v>0</v>
      </c>
      <c r="BP43" t="e">
        <f t="shared" si="95"/>
        <v>#N/A</v>
      </c>
      <c r="BQ43" t="e">
        <f t="shared" si="96"/>
        <v>#N/A</v>
      </c>
      <c r="BR43" t="e">
        <f t="shared" si="97"/>
        <v>#N/A</v>
      </c>
      <c r="BT43" s="60">
        <f t="shared" si="16"/>
        <v>0</v>
      </c>
      <c r="BU43" s="60">
        <f t="shared" si="17"/>
        <v>0</v>
      </c>
      <c r="BV43" s="60">
        <f t="shared" si="18"/>
        <v>0</v>
      </c>
      <c r="BW43" s="60">
        <f t="shared" si="19"/>
        <v>0</v>
      </c>
      <c r="BX43" s="60">
        <f t="shared" si="98"/>
        <v>0</v>
      </c>
      <c r="BY43" s="60">
        <f t="shared" si="99"/>
        <v>0</v>
      </c>
      <c r="BZ43" s="60">
        <f t="shared" si="100"/>
        <v>0</v>
      </c>
      <c r="CA43" s="60">
        <f t="shared" si="101"/>
        <v>0</v>
      </c>
      <c r="CB43" s="60" t="e">
        <f t="shared" si="20"/>
        <v>#N/A</v>
      </c>
      <c r="CC43" s="60">
        <f t="shared" si="21"/>
        <v>100000</v>
      </c>
      <c r="CD43" s="60" t="e">
        <f t="shared" si="22"/>
        <v>#N/A</v>
      </c>
      <c r="CE43" s="60">
        <f t="shared" si="23"/>
        <v>100000</v>
      </c>
      <c r="CF43" s="83" t="e">
        <f t="shared" si="102"/>
        <v>#N/A</v>
      </c>
      <c r="CG43" s="83">
        <f t="shared" si="103"/>
        <v>0</v>
      </c>
      <c r="CH43" s="83" t="e">
        <f t="shared" si="104"/>
        <v>#N/A</v>
      </c>
      <c r="CI43" s="83">
        <f t="shared" si="105"/>
        <v>0</v>
      </c>
      <c r="CJ43" s="86" t="e">
        <f t="shared" si="24"/>
        <v>#N/A</v>
      </c>
      <c r="CK43" s="82">
        <f t="shared" si="25"/>
        <v>5.3070370403969858E-3</v>
      </c>
      <c r="CL43" s="82" t="e">
        <f t="shared" si="26"/>
        <v>#N/A</v>
      </c>
      <c r="CM43" s="82">
        <f t="shared" si="27"/>
        <v>5.3070370403969858E-3</v>
      </c>
      <c r="CO43" s="149" t="str">
        <f>IF($I43&lt;&gt;"",IF(O43="User Specified",U43,INDEX('Refrigerant GWPs'!$G$2:$G$156,MATCH(O43,'Refrigerant GWPs'!$A$2:$A$156,0))),"")</f>
        <v/>
      </c>
      <c r="CP43" s="138" t="str">
        <f>IF($I43&lt;&gt;"",INDEX('Device Refrigerant Leakage'!$E$2:$E$42,MATCH($M43,'Device Refrigerant Leakage'!$B$2:$B$42,0)),"")</f>
        <v/>
      </c>
      <c r="CQ43" s="138" t="str">
        <f>IF($I43&lt;&gt;"",INDEX('Device Refrigerant Leakage'!$F$2:$F$42,MATCH($M43,'Device Refrigerant Leakage'!$B$2:$B$42,0)),"")</f>
        <v/>
      </c>
      <c r="CR43" s="145" t="str">
        <f>IF($I43&lt;&gt;"",INDEX('Device Refrigerant Leakage'!$G$2:$G$42,MATCH($M43,'Device Refrigerant Leakage'!$B$2:$B$42,0)),"")</f>
        <v/>
      </c>
      <c r="CS43" s="145" t="str">
        <f>IF($I43&lt;&gt;"",INDEX('Device Refrigerant Leakage'!$D$2:$D$42,MATCH($M43,'Device Refrigerant Leakage'!$B$2:$B$42,0))*CP43/2204.62*CO43,"")</f>
        <v/>
      </c>
      <c r="CT43" s="145" t="str">
        <f>IF($I43&lt;&gt;"",J43*(INDEX('Device Refrigerant Leakage'!$D$2:$D$42,MATCH($M43,'Device Refrigerant Leakage'!$B$2:$B$42,0))-(INDEX('Device Refrigerant Leakage'!$D$2:$D$42,MATCH($M43,'Device Refrigerant Leakage'!$B$2:$B$42,0)))*CR43*CP43)*CQ43/2204.62*CO43,"")</f>
        <v/>
      </c>
      <c r="CU43" s="135" t="str">
        <f>IF($I43&lt;&gt;"",J43*IF(W43&lt;&gt;"AR",(CS43*K43)+CT43,(CS43*AB43)+CT43*(AB43/INDEX('Device Refrigerant Leakage'!$C$2:$C$42,MATCH($M43,'Device Refrigerant Leakage'!$B$2:$B$42,0)))),"")</f>
        <v/>
      </c>
      <c r="CW43" s="135" t="str">
        <f>IF($I43&lt;&gt;"",IF(S43="User Specified",V43,INDEX('Refrigerant GWPs'!$G$2:$G$156,MATCH(S43,'Refrigerant GWPs'!$A$2:$A$157,0))),"")</f>
        <v/>
      </c>
      <c r="CX43" s="138" t="str">
        <f>IF($I43&lt;&gt;"",INDEX('Device Refrigerant Leakage'!$E$2:$E$42,MATCH($Q43,'Device Refrigerant Leakage'!$B$2:$B$42,0)),"")</f>
        <v/>
      </c>
      <c r="CY43" s="138" t="str">
        <f>IF($I43&lt;&gt;"",INDEX('Device Refrigerant Leakage'!$F$2:$F$42,MATCH($Q43,'Device Refrigerant Leakage'!$B$2:$B$42,0)),"")</f>
        <v/>
      </c>
      <c r="CZ43" s="145" t="str">
        <f>IF($I43&lt;&gt;"",INDEX('Device Refrigerant Leakage'!$G$2:$G$42,MATCH($Q43,'Device Refrigerant Leakage'!$B$2:$B$42,0)),"")</f>
        <v/>
      </c>
      <c r="DA43" s="145" t="str">
        <f>IF($I43&lt;&gt;"",J43*INDEX('Device Refrigerant Leakage'!$D$2:$D$42,MATCH($Q43,'Device Refrigerant Leakage'!$B$2:$B$42,0))*CX43/2204.62*CW43,"")</f>
        <v/>
      </c>
      <c r="DB43" s="145" t="str">
        <f>IF($I43&lt;&gt;"",J43*(INDEX('Device Refrigerant Leakage'!$D$2:$D$42,MATCH($Q43,'Device Refrigerant Leakage'!$B$2:$B$42,0))-(INDEX('Device Refrigerant Leakage'!$D$2:$D$42,MATCH($Q43,'Device Refrigerant Leakage'!$B$2:$B$42,0)))*CZ43*CX43)*CY43/2204.62*CW43,"")</f>
        <v/>
      </c>
      <c r="DC43" s="135" t="str">
        <f t="shared" si="59"/>
        <v/>
      </c>
      <c r="DE43" s="146" t="str">
        <f>IF(W43&lt;&gt;"AR","",IF(Y43="User Specified", AA43, INDEX('Refrigerant GWPs'!$G$2:$G$154,MATCH(Y43,'Refrigerant GWPs'!$A$2:$A$154,0))))</f>
        <v/>
      </c>
      <c r="DF43" s="146" t="str">
        <f>IF(W43&lt;&gt;"AR","",INDEX('Device Refrigerant Leakage'!$E$2:$E$42,MATCH(X43,'Device Refrigerant Leakage'!$B$2:$B$42,0)))</f>
        <v/>
      </c>
      <c r="DG43" s="146" t="str">
        <f>IF(W43&lt;&gt;"AR","",INDEX('Device Refrigerant Leakage'!$F$2:$F$42,MATCH(X43,'Device Refrigerant Leakage'!$B$2:$B$42,0)))</f>
        <v/>
      </c>
      <c r="DH43" s="146" t="str">
        <f>IF(W43&lt;&gt;"AR","",INDEX('Device Refrigerant Leakage'!$G$2:$G$42,MATCH(X43,'Device Refrigerant Leakage'!$B$2:$B$42,0)))</f>
        <v/>
      </c>
      <c r="DI43" s="146" t="str">
        <f>IF(W43&lt;&gt;"AR","",J43*INDEX('Device Refrigerant Leakage'!$D$2:$D$42,MATCH(X43,'Device Refrigerant Leakage'!$B$2:$B$42,0))*DF43/2204.62*DE43)</f>
        <v/>
      </c>
      <c r="DJ43" s="146" t="str">
        <f>IF(W43&lt;&gt;"AR","",J43*(INDEX('Device Refrigerant Leakage'!$D$2:$D$42,MATCH(X43,'Device Refrigerant Leakage'!$B$2:$B$42,0))-(INDEX('Device Refrigerant Leakage'!$D$2:$D$42,MATCH(X43,'Device Refrigerant Leakage'!$B$2:$B$42,0)))*DH43*DF43)*DG43/2204.62*DE43)</f>
        <v/>
      </c>
      <c r="DK43" s="146" t="str">
        <f>IF(W43&lt;&gt;"AR","",DI43*(K43-AB43)+'Fuel Sub Calcs-Deemed'!DJ43*((K43-AB43)/INDEX('Device Refrigerant Leakage'!$C$2:$C$42,MATCH('Fuel Sub Calcs-Deemed'!X43,'Device Refrigerant Leakage'!$B$2:$B$42,0))))</f>
        <v/>
      </c>
      <c r="DM43" s="56">
        <v>29</v>
      </c>
      <c r="DN43" s="67" t="e">
        <f t="shared" si="28"/>
        <v>#N/A</v>
      </c>
      <c r="DO43" s="45" t="e">
        <f t="shared" si="29"/>
        <v>#N/A</v>
      </c>
      <c r="DP43" s="67" t="e">
        <f t="shared" si="30"/>
        <v>#N/A</v>
      </c>
      <c r="DQ43" s="45" t="e">
        <f t="shared" si="31"/>
        <v>#N/A</v>
      </c>
      <c r="DR43" s="69" t="e">
        <f t="shared" si="32"/>
        <v>#N/A</v>
      </c>
      <c r="DS43" s="34"/>
      <c r="DT43" s="67" t="e">
        <f>((BX43*CJ43)+IF($W43=MAT_AR,(BZ43*CL43),0))*(1+Reference!$E$50+Reference!$E$51)</f>
        <v>#N/A</v>
      </c>
      <c r="DU43" s="67">
        <f>((BY43*CK43)+IF($W43=MAT_AR,(CA43*CM43),0))*(1+Reference!$G$50+Reference!$G$51)</f>
        <v>0</v>
      </c>
      <c r="DV43" s="67" t="e">
        <f t="shared" si="33"/>
        <v>#VALUE!</v>
      </c>
      <c r="DX43" s="56">
        <v>29</v>
      </c>
      <c r="DY43" s="67">
        <f t="shared" si="34"/>
        <v>0</v>
      </c>
      <c r="DZ43" s="45" t="e">
        <f>VLOOKUP($R43,Dropdown!$C$3:$D$4,2,FALSE)</f>
        <v>#N/A</v>
      </c>
      <c r="EA43" s="68">
        <f t="shared" si="35"/>
        <v>0</v>
      </c>
      <c r="EB43" s="68" t="str">
        <f t="shared" si="36"/>
        <v>N/A</v>
      </c>
      <c r="EC43" s="68">
        <f t="shared" si="37"/>
        <v>0</v>
      </c>
      <c r="ED43" s="68" t="str">
        <f t="shared" si="38"/>
        <v>N/A</v>
      </c>
      <c r="EF43" s="56">
        <v>29</v>
      </c>
      <c r="EG43" s="46">
        <f t="shared" si="39"/>
        <v>0</v>
      </c>
      <c r="EH43" s="68" t="e">
        <f t="shared" si="40"/>
        <v>#N/A</v>
      </c>
      <c r="EI43" s="68" t="e">
        <f t="shared" si="41"/>
        <v>#N/A</v>
      </c>
      <c r="EJ43" s="68" t="e">
        <f t="shared" si="42"/>
        <v>#N/A</v>
      </c>
      <c r="EK43" s="68" t="e">
        <f t="shared" si="43"/>
        <v>#N/A</v>
      </c>
      <c r="EL43" s="46">
        <f t="shared" si="44"/>
        <v>0</v>
      </c>
      <c r="EM43" s="46">
        <f t="shared" si="45"/>
        <v>0</v>
      </c>
    </row>
    <row r="44" spans="1:143">
      <c r="A44" s="89"/>
      <c r="B44" s="89"/>
      <c r="C44" s="89"/>
      <c r="D44" s="89"/>
      <c r="E44" s="89"/>
      <c r="F44" s="89"/>
      <c r="G44" s="34"/>
      <c r="H44" s="56">
        <f t="shared" si="46"/>
        <v>30</v>
      </c>
      <c r="I44" s="165"/>
      <c r="J44" s="163"/>
      <c r="K44" s="163"/>
      <c r="L44" s="164"/>
      <c r="M44" s="155"/>
      <c r="N44" s="155"/>
      <c r="O44" s="144"/>
      <c r="P44" s="159" t="str">
        <f>IFERROR(IF(O44&lt;&gt;"User Specified",IF(O44&lt;&gt;"", INDEX('Refrigerant GWPs'!$G$2:$G$154,MATCH(O44,'Refrigerant GWPs'!$A$2:$A$154,0)),""),U44),0)</f>
        <v/>
      </c>
      <c r="Q44" s="155"/>
      <c r="R44" s="155"/>
      <c r="S44" s="144"/>
      <c r="T44" s="159" t="str">
        <f>IF(S44&lt;&gt;"User Specified",IF(AND(S44&lt;&gt;"User Specified",S44&lt;&gt;""), INDEX('Refrigerant GWPs'!$G$2:$G$154,MATCH(S44,'Refrigerant GWPs'!$A$2:$A$154,0)),""),V44)</f>
        <v/>
      </c>
      <c r="U44" s="144"/>
      <c r="V44" s="144"/>
      <c r="W44" s="155"/>
      <c r="X44" s="155"/>
      <c r="Y44" s="144"/>
      <c r="Z44" s="159" t="str">
        <f>IF(AND(Y44&lt;&gt;"User Specified",Y44&lt;&gt;""), INDEX('Refrigerant GWPs'!$G$2:$G$154,MATCH(Y44,'Refrigerant GWPs'!$A$2:$A$154,0)),"")</f>
        <v/>
      </c>
      <c r="AA44" s="155"/>
      <c r="AB44" s="156"/>
      <c r="AC44" s="66"/>
      <c r="AD44" s="66"/>
      <c r="AE44" s="66"/>
      <c r="AF44" s="66"/>
      <c r="AG44" s="66"/>
      <c r="AH44" s="66"/>
      <c r="AI44" s="34"/>
      <c r="AJ44" s="88">
        <f t="shared" si="0"/>
        <v>0</v>
      </c>
      <c r="AK44" s="88">
        <f t="shared" si="1"/>
        <v>0</v>
      </c>
      <c r="AL44" s="88">
        <v>0</v>
      </c>
      <c r="AM44" s="88">
        <v>0</v>
      </c>
      <c r="AN44" s="81" t="str">
        <f t="shared" si="47"/>
        <v/>
      </c>
      <c r="AO44" s="88">
        <f t="shared" si="2"/>
        <v>0</v>
      </c>
      <c r="AP44" s="88">
        <f t="shared" si="3"/>
        <v>0</v>
      </c>
      <c r="AQ44" s="81" t="str">
        <f t="shared" si="4"/>
        <v/>
      </c>
      <c r="AS44" s="41" t="b">
        <f t="shared" si="5"/>
        <v>1</v>
      </c>
      <c r="AT44" s="38">
        <f t="shared" si="6"/>
        <v>0</v>
      </c>
      <c r="AU44" s="60">
        <f t="shared" si="7"/>
        <v>0</v>
      </c>
      <c r="AV44" s="41">
        <f t="shared" si="8"/>
        <v>0</v>
      </c>
      <c r="AW44" s="41" t="b">
        <f t="shared" si="9"/>
        <v>0</v>
      </c>
      <c r="AX44" t="str">
        <f t="shared" si="10"/>
        <v>+00</v>
      </c>
      <c r="AY44" t="str">
        <f t="shared" si="11"/>
        <v>+00</v>
      </c>
      <c r="BA44" s="47" t="b">
        <f t="shared" si="83"/>
        <v>1</v>
      </c>
      <c r="BB44" s="42" t="b">
        <f t="shared" si="84"/>
        <v>1</v>
      </c>
      <c r="BC44" s="42" t="b">
        <f t="shared" si="85"/>
        <v>0</v>
      </c>
      <c r="BD44" s="42" t="b">
        <f t="shared" si="86"/>
        <v>0</v>
      </c>
      <c r="BE44" s="70">
        <f t="shared" si="87"/>
        <v>0</v>
      </c>
      <c r="BF44" s="70">
        <f t="shared" si="88"/>
        <v>0</v>
      </c>
      <c r="BG44" s="34"/>
      <c r="BI44" s="47" t="b">
        <f t="shared" si="89"/>
        <v>1</v>
      </c>
      <c r="BJ44" s="47" t="b">
        <f t="shared" si="90"/>
        <v>1</v>
      </c>
      <c r="BK44" s="42" t="b">
        <f t="shared" si="91"/>
        <v>0</v>
      </c>
      <c r="BL44" s="42" t="b">
        <f t="shared" si="92"/>
        <v>0</v>
      </c>
      <c r="BM44" s="42">
        <f t="shared" si="93"/>
        <v>0</v>
      </c>
      <c r="BN44" s="42">
        <f t="shared" si="94"/>
        <v>0</v>
      </c>
      <c r="BP44" t="e">
        <f t="shared" si="95"/>
        <v>#N/A</v>
      </c>
      <c r="BQ44" t="e">
        <f t="shared" si="96"/>
        <v>#N/A</v>
      </c>
      <c r="BR44" t="e">
        <f t="shared" si="97"/>
        <v>#N/A</v>
      </c>
      <c r="BT44" s="60">
        <f t="shared" si="16"/>
        <v>0</v>
      </c>
      <c r="BU44" s="60">
        <f t="shared" si="17"/>
        <v>0</v>
      </c>
      <c r="BV44" s="60">
        <f t="shared" si="18"/>
        <v>0</v>
      </c>
      <c r="BW44" s="60">
        <f t="shared" si="19"/>
        <v>0</v>
      </c>
      <c r="BX44" s="60">
        <f t="shared" si="98"/>
        <v>0</v>
      </c>
      <c r="BY44" s="60">
        <f t="shared" si="99"/>
        <v>0</v>
      </c>
      <c r="BZ44" s="60">
        <f t="shared" si="100"/>
        <v>0</v>
      </c>
      <c r="CA44" s="60">
        <f t="shared" si="101"/>
        <v>0</v>
      </c>
      <c r="CB44" s="60" t="e">
        <f t="shared" si="20"/>
        <v>#N/A</v>
      </c>
      <c r="CC44" s="60">
        <f t="shared" si="21"/>
        <v>100000</v>
      </c>
      <c r="CD44" s="60" t="e">
        <f t="shared" si="22"/>
        <v>#N/A</v>
      </c>
      <c r="CE44" s="60">
        <f t="shared" si="23"/>
        <v>100000</v>
      </c>
      <c r="CF44" s="83" t="e">
        <f t="shared" si="102"/>
        <v>#N/A</v>
      </c>
      <c r="CG44" s="83">
        <f t="shared" si="103"/>
        <v>0</v>
      </c>
      <c r="CH44" s="83" t="e">
        <f t="shared" si="104"/>
        <v>#N/A</v>
      </c>
      <c r="CI44" s="83">
        <f t="shared" si="105"/>
        <v>0</v>
      </c>
      <c r="CJ44" s="86" t="e">
        <f t="shared" si="24"/>
        <v>#N/A</v>
      </c>
      <c r="CK44" s="82">
        <f t="shared" si="25"/>
        <v>5.3070370403969858E-3</v>
      </c>
      <c r="CL44" s="82" t="e">
        <f t="shared" si="26"/>
        <v>#N/A</v>
      </c>
      <c r="CM44" s="82">
        <f t="shared" si="27"/>
        <v>5.3070370403969858E-3</v>
      </c>
      <c r="CO44" s="149" t="str">
        <f>IF($I44&lt;&gt;"",IF(O44="User Specified",U44,INDEX('Refrigerant GWPs'!$G$2:$G$156,MATCH(O44,'Refrigerant GWPs'!$A$2:$A$156,0))),"")</f>
        <v/>
      </c>
      <c r="CP44" s="138" t="str">
        <f>IF($I44&lt;&gt;"",INDEX('Device Refrigerant Leakage'!$E$2:$E$42,MATCH($M44,'Device Refrigerant Leakage'!$B$2:$B$42,0)),"")</f>
        <v/>
      </c>
      <c r="CQ44" s="138" t="str">
        <f>IF($I44&lt;&gt;"",INDEX('Device Refrigerant Leakage'!$F$2:$F$42,MATCH($M44,'Device Refrigerant Leakage'!$B$2:$B$42,0)),"")</f>
        <v/>
      </c>
      <c r="CR44" s="145" t="str">
        <f>IF($I44&lt;&gt;"",INDEX('Device Refrigerant Leakage'!$G$2:$G$42,MATCH($M44,'Device Refrigerant Leakage'!$B$2:$B$42,0)),"")</f>
        <v/>
      </c>
      <c r="CS44" s="145" t="str">
        <f>IF($I44&lt;&gt;"",INDEX('Device Refrigerant Leakage'!$D$2:$D$42,MATCH($M44,'Device Refrigerant Leakage'!$B$2:$B$42,0))*CP44/2204.62*CO44,"")</f>
        <v/>
      </c>
      <c r="CT44" s="145" t="str">
        <f>IF($I44&lt;&gt;"",J44*(INDEX('Device Refrigerant Leakage'!$D$2:$D$42,MATCH($M44,'Device Refrigerant Leakage'!$B$2:$B$42,0))-(INDEX('Device Refrigerant Leakage'!$D$2:$D$42,MATCH($M44,'Device Refrigerant Leakage'!$B$2:$B$42,0)))*CR44*CP44)*CQ44/2204.62*CO44,"")</f>
        <v/>
      </c>
      <c r="CU44" s="135" t="str">
        <f>IF($I44&lt;&gt;"",J44*IF(W44&lt;&gt;"AR",(CS44*K44)+CT44,(CS44*AB44)+CT44*(AB44/INDEX('Device Refrigerant Leakage'!$C$2:$C$42,MATCH($M44,'Device Refrigerant Leakage'!$B$2:$B$42,0)))),"")</f>
        <v/>
      </c>
      <c r="CW44" s="135" t="str">
        <f>IF($I44&lt;&gt;"",IF(S44="User Specified",V44,INDEX('Refrigerant GWPs'!$G$2:$G$156,MATCH(S44,'Refrigerant GWPs'!$A$2:$A$157,0))),"")</f>
        <v/>
      </c>
      <c r="CX44" s="138" t="str">
        <f>IF($I44&lt;&gt;"",INDEX('Device Refrigerant Leakage'!$E$2:$E$42,MATCH($Q44,'Device Refrigerant Leakage'!$B$2:$B$42,0)),"")</f>
        <v/>
      </c>
      <c r="CY44" s="138" t="str">
        <f>IF($I44&lt;&gt;"",INDEX('Device Refrigerant Leakage'!$F$2:$F$42,MATCH($Q44,'Device Refrigerant Leakage'!$B$2:$B$42,0)),"")</f>
        <v/>
      </c>
      <c r="CZ44" s="145" t="str">
        <f>IF($I44&lt;&gt;"",INDEX('Device Refrigerant Leakage'!$G$2:$G$42,MATCH($Q44,'Device Refrigerant Leakage'!$B$2:$B$42,0)),"")</f>
        <v/>
      </c>
      <c r="DA44" s="145" t="str">
        <f>IF($I44&lt;&gt;"",J44*INDEX('Device Refrigerant Leakage'!$D$2:$D$42,MATCH($Q44,'Device Refrigerant Leakage'!$B$2:$B$42,0))*CX44/2204.62*CW44,"")</f>
        <v/>
      </c>
      <c r="DB44" s="145" t="str">
        <f>IF($I44&lt;&gt;"",J44*(INDEX('Device Refrigerant Leakage'!$D$2:$D$42,MATCH($Q44,'Device Refrigerant Leakage'!$B$2:$B$42,0))-(INDEX('Device Refrigerant Leakage'!$D$2:$D$42,MATCH($Q44,'Device Refrigerant Leakage'!$B$2:$B$42,0)))*CZ44*CX44)*CY44/2204.62*CW44,"")</f>
        <v/>
      </c>
      <c r="DC44" s="135" t="str">
        <f t="shared" si="59"/>
        <v/>
      </c>
      <c r="DE44" s="146" t="str">
        <f>IF(W44&lt;&gt;"AR","",IF(Y44="User Specified", AA44, INDEX('Refrigerant GWPs'!$G$2:$G$154,MATCH(Y44,'Refrigerant GWPs'!$A$2:$A$154,0))))</f>
        <v/>
      </c>
      <c r="DF44" s="146" t="str">
        <f>IF(W44&lt;&gt;"AR","",INDEX('Device Refrigerant Leakage'!$E$2:$E$42,MATCH(X44,'Device Refrigerant Leakage'!$B$2:$B$42,0)))</f>
        <v/>
      </c>
      <c r="DG44" s="146" t="str">
        <f>IF(W44&lt;&gt;"AR","",INDEX('Device Refrigerant Leakage'!$F$2:$F$42,MATCH(X44,'Device Refrigerant Leakage'!$B$2:$B$42,0)))</f>
        <v/>
      </c>
      <c r="DH44" s="146" t="str">
        <f>IF(W44&lt;&gt;"AR","",INDEX('Device Refrigerant Leakage'!$G$2:$G$42,MATCH(X44,'Device Refrigerant Leakage'!$B$2:$B$42,0)))</f>
        <v/>
      </c>
      <c r="DI44" s="146" t="str">
        <f>IF(W44&lt;&gt;"AR","",J44*INDEX('Device Refrigerant Leakage'!$D$2:$D$42,MATCH(X44,'Device Refrigerant Leakage'!$B$2:$B$42,0))*DF44/2204.62*DE44)</f>
        <v/>
      </c>
      <c r="DJ44" s="146" t="str">
        <f>IF(W44&lt;&gt;"AR","",J44*(INDEX('Device Refrigerant Leakage'!$D$2:$D$42,MATCH(X44,'Device Refrigerant Leakage'!$B$2:$B$42,0))-(INDEX('Device Refrigerant Leakage'!$D$2:$D$42,MATCH(X44,'Device Refrigerant Leakage'!$B$2:$B$42,0)))*DH44*DF44)*DG44/2204.62*DE44)</f>
        <v/>
      </c>
      <c r="DK44" s="146" t="str">
        <f>IF(W44&lt;&gt;"AR","",DI44*(K44-AB44)+'Fuel Sub Calcs-Deemed'!DJ44*((K44-AB44)/INDEX('Device Refrigerant Leakage'!$C$2:$C$42,MATCH('Fuel Sub Calcs-Deemed'!X44,'Device Refrigerant Leakage'!$B$2:$B$42,0))))</f>
        <v/>
      </c>
      <c r="DM44" s="56">
        <v>30</v>
      </c>
      <c r="DN44" s="67" t="e">
        <f t="shared" si="28"/>
        <v>#N/A</v>
      </c>
      <c r="DO44" s="45" t="e">
        <f t="shared" si="29"/>
        <v>#N/A</v>
      </c>
      <c r="DP44" s="67" t="e">
        <f t="shared" si="30"/>
        <v>#N/A</v>
      </c>
      <c r="DQ44" s="45" t="e">
        <f t="shared" si="31"/>
        <v>#N/A</v>
      </c>
      <c r="DR44" s="69" t="e">
        <f t="shared" si="32"/>
        <v>#N/A</v>
      </c>
      <c r="DS44" s="34"/>
      <c r="DT44" s="67" t="e">
        <f>((BX44*CJ44)+IF($W44=MAT_AR,(BZ44*CL44),0))*(1+Reference!$E$50+Reference!$E$51)</f>
        <v>#N/A</v>
      </c>
      <c r="DU44" s="67">
        <f>((BY44*CK44)+IF($W44=MAT_AR,(CA44*CM44),0))*(1+Reference!$G$50+Reference!$G$51)</f>
        <v>0</v>
      </c>
      <c r="DV44" s="67" t="e">
        <f t="shared" si="33"/>
        <v>#VALUE!</v>
      </c>
      <c r="DX44" s="56">
        <v>30</v>
      </c>
      <c r="DY44" s="67">
        <f t="shared" si="34"/>
        <v>0</v>
      </c>
      <c r="DZ44" s="45" t="e">
        <f>VLOOKUP($R44,Dropdown!$C$3:$D$4,2,FALSE)</f>
        <v>#N/A</v>
      </c>
      <c r="EA44" s="68">
        <f t="shared" si="35"/>
        <v>0</v>
      </c>
      <c r="EB44" s="68" t="str">
        <f t="shared" si="36"/>
        <v>N/A</v>
      </c>
      <c r="EC44" s="68">
        <f t="shared" si="37"/>
        <v>0</v>
      </c>
      <c r="ED44" s="68" t="str">
        <f t="shared" si="38"/>
        <v>N/A</v>
      </c>
      <c r="EF44" s="56">
        <v>30</v>
      </c>
      <c r="EG44" s="46">
        <f t="shared" si="39"/>
        <v>0</v>
      </c>
      <c r="EH44" s="68" t="e">
        <f t="shared" si="40"/>
        <v>#N/A</v>
      </c>
      <c r="EI44" s="68" t="e">
        <f t="shared" si="41"/>
        <v>#N/A</v>
      </c>
      <c r="EJ44" s="68" t="e">
        <f t="shared" si="42"/>
        <v>#N/A</v>
      </c>
      <c r="EK44" s="68" t="e">
        <f t="shared" si="43"/>
        <v>#N/A</v>
      </c>
      <c r="EL44" s="46">
        <f t="shared" si="44"/>
        <v>0</v>
      </c>
      <c r="EM44" s="46">
        <f t="shared" si="45"/>
        <v>0</v>
      </c>
    </row>
    <row r="45" spans="1:143">
      <c r="A45" s="89"/>
      <c r="B45" s="89"/>
      <c r="C45" s="89"/>
      <c r="D45" s="89"/>
      <c r="E45" s="89"/>
      <c r="F45" s="89"/>
      <c r="G45" s="34"/>
      <c r="H45" s="56">
        <f t="shared" si="46"/>
        <v>31</v>
      </c>
      <c r="I45" s="165"/>
      <c r="J45" s="163"/>
      <c r="K45" s="163"/>
      <c r="L45" s="164"/>
      <c r="M45" s="155"/>
      <c r="N45" s="155"/>
      <c r="O45" s="144"/>
      <c r="P45" s="159" t="str">
        <f>IFERROR(IF(O45&lt;&gt;"User Specified",IF(O45&lt;&gt;"", INDEX('Refrigerant GWPs'!$G$2:$G$154,MATCH(O45,'Refrigerant GWPs'!$A$2:$A$154,0)),""),U45),0)</f>
        <v/>
      </c>
      <c r="Q45" s="155"/>
      <c r="R45" s="155"/>
      <c r="S45" s="144"/>
      <c r="T45" s="159" t="str">
        <f>IF(S45&lt;&gt;"User Specified",IF(AND(S45&lt;&gt;"User Specified",S45&lt;&gt;""), INDEX('Refrigerant GWPs'!$G$2:$G$154,MATCH(S45,'Refrigerant GWPs'!$A$2:$A$154,0)),""),V45)</f>
        <v/>
      </c>
      <c r="U45" s="144"/>
      <c r="V45" s="144"/>
      <c r="W45" s="155"/>
      <c r="X45" s="155"/>
      <c r="Y45" s="144"/>
      <c r="Z45" s="159" t="str">
        <f>IF(AND(Y45&lt;&gt;"User Specified",Y45&lt;&gt;""), INDEX('Refrigerant GWPs'!$G$2:$G$154,MATCH(Y45,'Refrigerant GWPs'!$A$2:$A$154,0)),"")</f>
        <v/>
      </c>
      <c r="AA45" s="155"/>
      <c r="AB45" s="156"/>
      <c r="AC45" s="66"/>
      <c r="AD45" s="66"/>
      <c r="AE45" s="66"/>
      <c r="AF45" s="66"/>
      <c r="AG45" s="66"/>
      <c r="AH45" s="66"/>
      <c r="AI45" s="34"/>
      <c r="AJ45" s="88">
        <f t="shared" si="0"/>
        <v>0</v>
      </c>
      <c r="AK45" s="88">
        <f t="shared" si="1"/>
        <v>0</v>
      </c>
      <c r="AL45" s="88">
        <v>0</v>
      </c>
      <c r="AM45" s="88">
        <v>0</v>
      </c>
      <c r="AN45" s="81" t="str">
        <f t="shared" si="47"/>
        <v/>
      </c>
      <c r="AO45" s="88">
        <f t="shared" si="2"/>
        <v>0</v>
      </c>
      <c r="AP45" s="88">
        <f t="shared" si="3"/>
        <v>0</v>
      </c>
      <c r="AQ45" s="81" t="str">
        <f t="shared" si="4"/>
        <v/>
      </c>
      <c r="AS45" s="41" t="b">
        <f t="shared" si="5"/>
        <v>1</v>
      </c>
      <c r="AT45" s="38">
        <f t="shared" si="6"/>
        <v>0</v>
      </c>
      <c r="AU45" s="60">
        <f t="shared" si="7"/>
        <v>0</v>
      </c>
      <c r="AV45" s="41">
        <f t="shared" si="8"/>
        <v>0</v>
      </c>
      <c r="AW45" s="41" t="b">
        <f t="shared" si="9"/>
        <v>0</v>
      </c>
      <c r="AX45" t="str">
        <f t="shared" si="10"/>
        <v>+00</v>
      </c>
      <c r="AY45" t="str">
        <f t="shared" si="11"/>
        <v>+00</v>
      </c>
      <c r="BA45" s="47" t="b">
        <f t="shared" si="83"/>
        <v>1</v>
      </c>
      <c r="BB45" s="42" t="b">
        <f t="shared" si="84"/>
        <v>1</v>
      </c>
      <c r="BC45" s="42" t="b">
        <f t="shared" si="85"/>
        <v>0</v>
      </c>
      <c r="BD45" s="42" t="b">
        <f t="shared" si="86"/>
        <v>0</v>
      </c>
      <c r="BE45" s="70">
        <f t="shared" si="87"/>
        <v>0</v>
      </c>
      <c r="BF45" s="70">
        <f t="shared" si="88"/>
        <v>0</v>
      </c>
      <c r="BG45" s="34"/>
      <c r="BI45" s="47" t="b">
        <f t="shared" si="89"/>
        <v>1</v>
      </c>
      <c r="BJ45" s="47" t="b">
        <f t="shared" si="90"/>
        <v>1</v>
      </c>
      <c r="BK45" s="42" t="b">
        <f t="shared" si="91"/>
        <v>0</v>
      </c>
      <c r="BL45" s="42" t="b">
        <f t="shared" si="92"/>
        <v>0</v>
      </c>
      <c r="BM45" s="42">
        <f t="shared" si="93"/>
        <v>0</v>
      </c>
      <c r="BN45" s="42">
        <f t="shared" si="94"/>
        <v>0</v>
      </c>
      <c r="BP45" t="e">
        <f t="shared" si="95"/>
        <v>#N/A</v>
      </c>
      <c r="BQ45" t="e">
        <f t="shared" si="96"/>
        <v>#N/A</v>
      </c>
      <c r="BR45" t="e">
        <f t="shared" si="97"/>
        <v>#N/A</v>
      </c>
      <c r="BT45" s="60">
        <f t="shared" si="16"/>
        <v>0</v>
      </c>
      <c r="BU45" s="60">
        <f t="shared" si="17"/>
        <v>0</v>
      </c>
      <c r="BV45" s="60">
        <f t="shared" si="18"/>
        <v>0</v>
      </c>
      <c r="BW45" s="60">
        <f t="shared" si="19"/>
        <v>0</v>
      </c>
      <c r="BX45" s="60">
        <f t="shared" si="98"/>
        <v>0</v>
      </c>
      <c r="BY45" s="60">
        <f t="shared" si="99"/>
        <v>0</v>
      </c>
      <c r="BZ45" s="60">
        <f t="shared" si="100"/>
        <v>0</v>
      </c>
      <c r="CA45" s="60">
        <f t="shared" si="101"/>
        <v>0</v>
      </c>
      <c r="CB45" s="60" t="e">
        <f t="shared" si="20"/>
        <v>#N/A</v>
      </c>
      <c r="CC45" s="60">
        <f t="shared" si="21"/>
        <v>100000</v>
      </c>
      <c r="CD45" s="60" t="e">
        <f t="shared" si="22"/>
        <v>#N/A</v>
      </c>
      <c r="CE45" s="60">
        <f t="shared" si="23"/>
        <v>100000</v>
      </c>
      <c r="CF45" s="83" t="e">
        <f t="shared" si="102"/>
        <v>#N/A</v>
      </c>
      <c r="CG45" s="83">
        <f t="shared" si="103"/>
        <v>0</v>
      </c>
      <c r="CH45" s="83" t="e">
        <f t="shared" si="104"/>
        <v>#N/A</v>
      </c>
      <c r="CI45" s="83">
        <f t="shared" si="105"/>
        <v>0</v>
      </c>
      <c r="CJ45" s="86" t="e">
        <f t="shared" si="24"/>
        <v>#N/A</v>
      </c>
      <c r="CK45" s="82">
        <f t="shared" si="25"/>
        <v>5.3070370403969858E-3</v>
      </c>
      <c r="CL45" s="82" t="e">
        <f t="shared" si="26"/>
        <v>#N/A</v>
      </c>
      <c r="CM45" s="82">
        <f t="shared" si="27"/>
        <v>5.3070370403969858E-3</v>
      </c>
      <c r="CO45" s="149" t="str">
        <f>IF($I45&lt;&gt;"",IF(O45="User Specified",U45,INDEX('Refrigerant GWPs'!$G$2:$G$156,MATCH(O45,'Refrigerant GWPs'!$A$2:$A$156,0))),"")</f>
        <v/>
      </c>
      <c r="CP45" s="138" t="str">
        <f>IF($I45&lt;&gt;"",INDEX('Device Refrigerant Leakage'!$E$2:$E$42,MATCH($M45,'Device Refrigerant Leakage'!$B$2:$B$42,0)),"")</f>
        <v/>
      </c>
      <c r="CQ45" s="138" t="str">
        <f>IF($I45&lt;&gt;"",INDEX('Device Refrigerant Leakage'!$F$2:$F$42,MATCH($M45,'Device Refrigerant Leakage'!$B$2:$B$42,0)),"")</f>
        <v/>
      </c>
      <c r="CR45" s="145" t="str">
        <f>IF($I45&lt;&gt;"",INDEX('Device Refrigerant Leakage'!$G$2:$G$42,MATCH($M45,'Device Refrigerant Leakage'!$B$2:$B$42,0)),"")</f>
        <v/>
      </c>
      <c r="CS45" s="145" t="str">
        <f>IF($I45&lt;&gt;"",INDEX('Device Refrigerant Leakage'!$D$2:$D$42,MATCH($M45,'Device Refrigerant Leakage'!$B$2:$B$42,0))*CP45/2204.62*CO45,"")</f>
        <v/>
      </c>
      <c r="CT45" s="145" t="str">
        <f>IF($I45&lt;&gt;"",J45*(INDEX('Device Refrigerant Leakage'!$D$2:$D$42,MATCH($M45,'Device Refrigerant Leakage'!$B$2:$B$42,0))-(INDEX('Device Refrigerant Leakage'!$D$2:$D$42,MATCH($M45,'Device Refrigerant Leakage'!$B$2:$B$42,0)))*CR45*CP45)*CQ45/2204.62*CO45,"")</f>
        <v/>
      </c>
      <c r="CU45" s="135" t="str">
        <f>IF($I45&lt;&gt;"",J45*IF(W45&lt;&gt;"AR",(CS45*K45)+CT45,(CS45*AB45)+CT45*(AB45/INDEX('Device Refrigerant Leakage'!$C$2:$C$42,MATCH($M45,'Device Refrigerant Leakage'!$B$2:$B$42,0)))),"")</f>
        <v/>
      </c>
      <c r="CW45" s="135" t="str">
        <f>IF($I45&lt;&gt;"",IF(S45="User Specified",V45,INDEX('Refrigerant GWPs'!$G$2:$G$156,MATCH(S45,'Refrigerant GWPs'!$A$2:$A$157,0))),"")</f>
        <v/>
      </c>
      <c r="CX45" s="138" t="str">
        <f>IF($I45&lt;&gt;"",INDEX('Device Refrigerant Leakage'!$E$2:$E$42,MATCH($Q45,'Device Refrigerant Leakage'!$B$2:$B$42,0)),"")</f>
        <v/>
      </c>
      <c r="CY45" s="138" t="str">
        <f>IF($I45&lt;&gt;"",INDEX('Device Refrigerant Leakage'!$F$2:$F$42,MATCH($Q45,'Device Refrigerant Leakage'!$B$2:$B$42,0)),"")</f>
        <v/>
      </c>
      <c r="CZ45" s="145" t="str">
        <f>IF($I45&lt;&gt;"",INDEX('Device Refrigerant Leakage'!$G$2:$G$42,MATCH($Q45,'Device Refrigerant Leakage'!$B$2:$B$42,0)),"")</f>
        <v/>
      </c>
      <c r="DA45" s="145" t="str">
        <f>IF($I45&lt;&gt;"",J45*INDEX('Device Refrigerant Leakage'!$D$2:$D$42,MATCH($Q45,'Device Refrigerant Leakage'!$B$2:$B$42,0))*CX45/2204.62*CW45,"")</f>
        <v/>
      </c>
      <c r="DB45" s="145" t="str">
        <f>IF($I45&lt;&gt;"",J45*(INDEX('Device Refrigerant Leakage'!$D$2:$D$42,MATCH($Q45,'Device Refrigerant Leakage'!$B$2:$B$42,0))-(INDEX('Device Refrigerant Leakage'!$D$2:$D$42,MATCH($Q45,'Device Refrigerant Leakage'!$B$2:$B$42,0)))*CZ45*CX45)*CY45/2204.62*CW45,"")</f>
        <v/>
      </c>
      <c r="DC45" s="135" t="str">
        <f t="shared" si="59"/>
        <v/>
      </c>
      <c r="DE45" s="146" t="str">
        <f>IF(W45&lt;&gt;"AR","",IF(Y45="User Specified", AA45, INDEX('Refrigerant GWPs'!$G$2:$G$154,MATCH(Y45,'Refrigerant GWPs'!$A$2:$A$154,0))))</f>
        <v/>
      </c>
      <c r="DF45" s="146" t="str">
        <f>IF(W45&lt;&gt;"AR","",INDEX('Device Refrigerant Leakage'!$E$2:$E$42,MATCH(X45,'Device Refrigerant Leakage'!$B$2:$B$42,0)))</f>
        <v/>
      </c>
      <c r="DG45" s="146" t="str">
        <f>IF(W45&lt;&gt;"AR","",INDEX('Device Refrigerant Leakage'!$F$2:$F$42,MATCH(X45,'Device Refrigerant Leakage'!$B$2:$B$42,0)))</f>
        <v/>
      </c>
      <c r="DH45" s="146" t="str">
        <f>IF(W45&lt;&gt;"AR","",INDEX('Device Refrigerant Leakage'!$G$2:$G$42,MATCH(X45,'Device Refrigerant Leakage'!$B$2:$B$42,0)))</f>
        <v/>
      </c>
      <c r="DI45" s="146" t="str">
        <f>IF(W45&lt;&gt;"AR","",J45*INDEX('Device Refrigerant Leakage'!$D$2:$D$42,MATCH(X45,'Device Refrigerant Leakage'!$B$2:$B$42,0))*DF45/2204.62*DE45)</f>
        <v/>
      </c>
      <c r="DJ45" s="146" t="str">
        <f>IF(W45&lt;&gt;"AR","",J45*(INDEX('Device Refrigerant Leakage'!$D$2:$D$42,MATCH(X45,'Device Refrigerant Leakage'!$B$2:$B$42,0))-(INDEX('Device Refrigerant Leakage'!$D$2:$D$42,MATCH(X45,'Device Refrigerant Leakage'!$B$2:$B$42,0)))*DH45*DF45)*DG45/2204.62*DE45)</f>
        <v/>
      </c>
      <c r="DK45" s="146" t="str">
        <f>IF(W45&lt;&gt;"AR","",DI45*(K45-AB45)+'Fuel Sub Calcs-Deemed'!DJ45*((K45-AB45)/INDEX('Device Refrigerant Leakage'!$C$2:$C$42,MATCH('Fuel Sub Calcs-Deemed'!X45,'Device Refrigerant Leakage'!$B$2:$B$42,0))))</f>
        <v/>
      </c>
      <c r="DM45" s="56">
        <v>31</v>
      </c>
      <c r="DN45" s="67" t="e">
        <f t="shared" si="28"/>
        <v>#N/A</v>
      </c>
      <c r="DO45" s="45" t="e">
        <f t="shared" si="29"/>
        <v>#N/A</v>
      </c>
      <c r="DP45" s="67" t="e">
        <f t="shared" si="30"/>
        <v>#N/A</v>
      </c>
      <c r="DQ45" s="45" t="e">
        <f t="shared" si="31"/>
        <v>#N/A</v>
      </c>
      <c r="DR45" s="69" t="e">
        <f t="shared" si="32"/>
        <v>#N/A</v>
      </c>
      <c r="DS45" s="34"/>
      <c r="DT45" s="67" t="e">
        <f>((BX45*CJ45)+IF($W45=MAT_AR,(BZ45*CL45),0))*(1+Reference!$E$50+Reference!$E$51)</f>
        <v>#N/A</v>
      </c>
      <c r="DU45" s="67">
        <f>((BY45*CK45)+IF($W45=MAT_AR,(CA45*CM45),0))*(1+Reference!$G$50+Reference!$G$51)</f>
        <v>0</v>
      </c>
      <c r="DV45" s="67" t="e">
        <f t="shared" si="33"/>
        <v>#VALUE!</v>
      </c>
      <c r="DX45" s="56">
        <v>31</v>
      </c>
      <c r="DY45" s="67">
        <f t="shared" si="34"/>
        <v>0</v>
      </c>
      <c r="DZ45" s="45" t="e">
        <f>VLOOKUP($R45,Dropdown!$C$3:$D$4,2,FALSE)</f>
        <v>#N/A</v>
      </c>
      <c r="EA45" s="68">
        <f t="shared" si="35"/>
        <v>0</v>
      </c>
      <c r="EB45" s="68" t="str">
        <f t="shared" si="36"/>
        <v>N/A</v>
      </c>
      <c r="EC45" s="68">
        <f t="shared" si="37"/>
        <v>0</v>
      </c>
      <c r="ED45" s="68" t="str">
        <f t="shared" si="38"/>
        <v>N/A</v>
      </c>
      <c r="EF45" s="56">
        <v>31</v>
      </c>
      <c r="EG45" s="46">
        <f t="shared" si="39"/>
        <v>0</v>
      </c>
      <c r="EH45" s="68" t="e">
        <f t="shared" si="40"/>
        <v>#N/A</v>
      </c>
      <c r="EI45" s="68" t="e">
        <f t="shared" si="41"/>
        <v>#N/A</v>
      </c>
      <c r="EJ45" s="68" t="e">
        <f t="shared" si="42"/>
        <v>#N/A</v>
      </c>
      <c r="EK45" s="68" t="e">
        <f t="shared" si="43"/>
        <v>#N/A</v>
      </c>
      <c r="EL45" s="46">
        <f t="shared" si="44"/>
        <v>0</v>
      </c>
      <c r="EM45" s="46">
        <f t="shared" si="45"/>
        <v>0</v>
      </c>
    </row>
    <row r="46" spans="1:143">
      <c r="A46" s="89"/>
      <c r="B46" s="89"/>
      <c r="C46" s="89"/>
      <c r="D46" s="89"/>
      <c r="E46" s="89"/>
      <c r="F46" s="89"/>
      <c r="G46" s="34"/>
      <c r="H46" s="56">
        <f t="shared" si="46"/>
        <v>32</v>
      </c>
      <c r="I46" s="165"/>
      <c r="J46" s="163"/>
      <c r="K46" s="163"/>
      <c r="L46" s="164"/>
      <c r="M46" s="155"/>
      <c r="N46" s="155"/>
      <c r="O46" s="144"/>
      <c r="P46" s="159" t="str">
        <f>IFERROR(IF(O46&lt;&gt;"User Specified",IF(O46&lt;&gt;"", INDEX('Refrigerant GWPs'!$G$2:$G$154,MATCH(O46,'Refrigerant GWPs'!$A$2:$A$154,0)),""),U46),0)</f>
        <v/>
      </c>
      <c r="Q46" s="155"/>
      <c r="R46" s="155"/>
      <c r="S46" s="144"/>
      <c r="T46" s="159" t="str">
        <f>IF(S46&lt;&gt;"User Specified",IF(AND(S46&lt;&gt;"User Specified",S46&lt;&gt;""), INDEX('Refrigerant GWPs'!$G$2:$G$154,MATCH(S46,'Refrigerant GWPs'!$A$2:$A$154,0)),""),V46)</f>
        <v/>
      </c>
      <c r="U46" s="144"/>
      <c r="V46" s="144"/>
      <c r="W46" s="155"/>
      <c r="X46" s="155"/>
      <c r="Y46" s="144"/>
      <c r="Z46" s="159" t="str">
        <f>IF(AND(Y46&lt;&gt;"User Specified",Y46&lt;&gt;""), INDEX('Refrigerant GWPs'!$G$2:$G$154,MATCH(Y46,'Refrigerant GWPs'!$A$2:$A$154,0)),"")</f>
        <v/>
      </c>
      <c r="AA46" s="155"/>
      <c r="AB46" s="156"/>
      <c r="AC46" s="66"/>
      <c r="AD46" s="66"/>
      <c r="AE46" s="66"/>
      <c r="AF46" s="66"/>
      <c r="AG46" s="66"/>
      <c r="AH46" s="66"/>
      <c r="AI46" s="34"/>
      <c r="AJ46" s="88">
        <f t="shared" si="0"/>
        <v>0</v>
      </c>
      <c r="AK46" s="88">
        <f t="shared" si="1"/>
        <v>0</v>
      </c>
      <c r="AL46" s="88">
        <v>0</v>
      </c>
      <c r="AM46" s="88">
        <v>0</v>
      </c>
      <c r="AN46" s="81" t="str">
        <f t="shared" si="47"/>
        <v/>
      </c>
      <c r="AO46" s="88">
        <f t="shared" si="2"/>
        <v>0</v>
      </c>
      <c r="AP46" s="88">
        <f t="shared" si="3"/>
        <v>0</v>
      </c>
      <c r="AQ46" s="81" t="str">
        <f t="shared" si="4"/>
        <v/>
      </c>
      <c r="AS46" s="41" t="b">
        <f t="shared" si="5"/>
        <v>1</v>
      </c>
      <c r="AT46" s="38">
        <f t="shared" si="6"/>
        <v>0</v>
      </c>
      <c r="AU46" s="60">
        <f t="shared" si="7"/>
        <v>0</v>
      </c>
      <c r="AV46" s="41">
        <f t="shared" si="8"/>
        <v>0</v>
      </c>
      <c r="AW46" s="41" t="b">
        <f t="shared" si="9"/>
        <v>0</v>
      </c>
      <c r="AX46" t="str">
        <f t="shared" si="10"/>
        <v>+00</v>
      </c>
      <c r="AY46" t="str">
        <f t="shared" si="11"/>
        <v>+00</v>
      </c>
      <c r="BA46" s="47" t="b">
        <f t="shared" si="83"/>
        <v>1</v>
      </c>
      <c r="BB46" s="42" t="b">
        <f t="shared" si="84"/>
        <v>1</v>
      </c>
      <c r="BC46" s="42" t="b">
        <f t="shared" si="85"/>
        <v>0</v>
      </c>
      <c r="BD46" s="42" t="b">
        <f t="shared" si="86"/>
        <v>0</v>
      </c>
      <c r="BE46" s="70">
        <f t="shared" si="87"/>
        <v>0</v>
      </c>
      <c r="BF46" s="70">
        <f t="shared" si="88"/>
        <v>0</v>
      </c>
      <c r="BG46" s="34"/>
      <c r="BI46" s="47" t="b">
        <f t="shared" si="89"/>
        <v>1</v>
      </c>
      <c r="BJ46" s="47" t="b">
        <f t="shared" si="90"/>
        <v>1</v>
      </c>
      <c r="BK46" s="42" t="b">
        <f t="shared" si="91"/>
        <v>0</v>
      </c>
      <c r="BL46" s="42" t="b">
        <f t="shared" si="92"/>
        <v>0</v>
      </c>
      <c r="BM46" s="42">
        <f t="shared" si="93"/>
        <v>0</v>
      </c>
      <c r="BN46" s="42">
        <f t="shared" si="94"/>
        <v>0</v>
      </c>
      <c r="BP46" t="e">
        <f t="shared" si="95"/>
        <v>#N/A</v>
      </c>
      <c r="BQ46" t="e">
        <f t="shared" si="96"/>
        <v>#N/A</v>
      </c>
      <c r="BR46" t="e">
        <f t="shared" si="97"/>
        <v>#N/A</v>
      </c>
      <c r="BT46" s="60">
        <f t="shared" si="16"/>
        <v>0</v>
      </c>
      <c r="BU46" s="60">
        <f t="shared" si="17"/>
        <v>0</v>
      </c>
      <c r="BV46" s="60">
        <f t="shared" si="18"/>
        <v>0</v>
      </c>
      <c r="BW46" s="60">
        <f t="shared" si="19"/>
        <v>0</v>
      </c>
      <c r="BX46" s="60">
        <f t="shared" si="98"/>
        <v>0</v>
      </c>
      <c r="BY46" s="60">
        <f t="shared" si="99"/>
        <v>0</v>
      </c>
      <c r="BZ46" s="60">
        <f t="shared" si="100"/>
        <v>0</v>
      </c>
      <c r="CA46" s="60">
        <f t="shared" si="101"/>
        <v>0</v>
      </c>
      <c r="CB46" s="60" t="e">
        <f t="shared" si="20"/>
        <v>#N/A</v>
      </c>
      <c r="CC46" s="60">
        <f t="shared" si="21"/>
        <v>100000</v>
      </c>
      <c r="CD46" s="60" t="e">
        <f t="shared" si="22"/>
        <v>#N/A</v>
      </c>
      <c r="CE46" s="60">
        <f t="shared" si="23"/>
        <v>100000</v>
      </c>
      <c r="CF46" s="83" t="e">
        <f t="shared" si="102"/>
        <v>#N/A</v>
      </c>
      <c r="CG46" s="83">
        <f t="shared" si="103"/>
        <v>0</v>
      </c>
      <c r="CH46" s="83" t="e">
        <f t="shared" si="104"/>
        <v>#N/A</v>
      </c>
      <c r="CI46" s="83">
        <f t="shared" si="105"/>
        <v>0</v>
      </c>
      <c r="CJ46" s="86" t="e">
        <f t="shared" si="24"/>
        <v>#N/A</v>
      </c>
      <c r="CK46" s="82">
        <f t="shared" si="25"/>
        <v>5.3070370403969858E-3</v>
      </c>
      <c r="CL46" s="82" t="e">
        <f t="shared" si="26"/>
        <v>#N/A</v>
      </c>
      <c r="CM46" s="82">
        <f t="shared" si="27"/>
        <v>5.3070370403969858E-3</v>
      </c>
      <c r="CO46" s="149" t="str">
        <f>IF($I46&lt;&gt;"",IF(O46="User Specified",U46,INDEX('Refrigerant GWPs'!$G$2:$G$156,MATCH(O46,'Refrigerant GWPs'!$A$2:$A$156,0))),"")</f>
        <v/>
      </c>
      <c r="CP46" s="138" t="str">
        <f>IF($I46&lt;&gt;"",INDEX('Device Refrigerant Leakage'!$E$2:$E$42,MATCH($M46,'Device Refrigerant Leakage'!$B$2:$B$42,0)),"")</f>
        <v/>
      </c>
      <c r="CQ46" s="138" t="str">
        <f>IF($I46&lt;&gt;"",INDEX('Device Refrigerant Leakage'!$F$2:$F$42,MATCH($M46,'Device Refrigerant Leakage'!$B$2:$B$42,0)),"")</f>
        <v/>
      </c>
      <c r="CR46" s="145" t="str">
        <f>IF($I46&lt;&gt;"",INDEX('Device Refrigerant Leakage'!$G$2:$G$42,MATCH($M46,'Device Refrigerant Leakage'!$B$2:$B$42,0)),"")</f>
        <v/>
      </c>
      <c r="CS46" s="145" t="str">
        <f>IF($I46&lt;&gt;"",INDEX('Device Refrigerant Leakage'!$D$2:$D$42,MATCH($M46,'Device Refrigerant Leakage'!$B$2:$B$42,0))*CP46/2204.62*CO46,"")</f>
        <v/>
      </c>
      <c r="CT46" s="145" t="str">
        <f>IF($I46&lt;&gt;"",J46*(INDEX('Device Refrigerant Leakage'!$D$2:$D$42,MATCH($M46,'Device Refrigerant Leakage'!$B$2:$B$42,0))-(INDEX('Device Refrigerant Leakage'!$D$2:$D$42,MATCH($M46,'Device Refrigerant Leakage'!$B$2:$B$42,0)))*CR46*CP46)*CQ46/2204.62*CO46,"")</f>
        <v/>
      </c>
      <c r="CU46" s="135" t="str">
        <f>IF($I46&lt;&gt;"",J46*IF(W46&lt;&gt;"AR",(CS46*K46)+CT46,(CS46*AB46)+CT46*(AB46/INDEX('Device Refrigerant Leakage'!$C$2:$C$42,MATCH($M46,'Device Refrigerant Leakage'!$B$2:$B$42,0)))),"")</f>
        <v/>
      </c>
      <c r="CW46" s="135" t="str">
        <f>IF($I46&lt;&gt;"",IF(S46="User Specified",V46,INDEX('Refrigerant GWPs'!$G$2:$G$156,MATCH(S46,'Refrigerant GWPs'!$A$2:$A$157,0))),"")</f>
        <v/>
      </c>
      <c r="CX46" s="138" t="str">
        <f>IF($I46&lt;&gt;"",INDEX('Device Refrigerant Leakage'!$E$2:$E$42,MATCH($Q46,'Device Refrigerant Leakage'!$B$2:$B$42,0)),"")</f>
        <v/>
      </c>
      <c r="CY46" s="138" t="str">
        <f>IF($I46&lt;&gt;"",INDEX('Device Refrigerant Leakage'!$F$2:$F$42,MATCH($Q46,'Device Refrigerant Leakage'!$B$2:$B$42,0)),"")</f>
        <v/>
      </c>
      <c r="CZ46" s="145" t="str">
        <f>IF($I46&lt;&gt;"",INDEX('Device Refrigerant Leakage'!$G$2:$G$42,MATCH($Q46,'Device Refrigerant Leakage'!$B$2:$B$42,0)),"")</f>
        <v/>
      </c>
      <c r="DA46" s="145" t="str">
        <f>IF($I46&lt;&gt;"",J46*INDEX('Device Refrigerant Leakage'!$D$2:$D$42,MATCH($Q46,'Device Refrigerant Leakage'!$B$2:$B$42,0))*CX46/2204.62*CW46,"")</f>
        <v/>
      </c>
      <c r="DB46" s="145" t="str">
        <f>IF($I46&lt;&gt;"",J46*(INDEX('Device Refrigerant Leakage'!$D$2:$D$42,MATCH($Q46,'Device Refrigerant Leakage'!$B$2:$B$42,0))-(INDEX('Device Refrigerant Leakage'!$D$2:$D$42,MATCH($Q46,'Device Refrigerant Leakage'!$B$2:$B$42,0)))*CZ46*CX46)*CY46/2204.62*CW46,"")</f>
        <v/>
      </c>
      <c r="DC46" s="135" t="str">
        <f t="shared" si="59"/>
        <v/>
      </c>
      <c r="DE46" s="146" t="str">
        <f>IF(W46&lt;&gt;"AR","",IF(Y46="User Specified", AA46, INDEX('Refrigerant GWPs'!$G$2:$G$154,MATCH(Y46,'Refrigerant GWPs'!$A$2:$A$154,0))))</f>
        <v/>
      </c>
      <c r="DF46" s="146" t="str">
        <f>IF(W46&lt;&gt;"AR","",INDEX('Device Refrigerant Leakage'!$E$2:$E$42,MATCH(X46,'Device Refrigerant Leakage'!$B$2:$B$42,0)))</f>
        <v/>
      </c>
      <c r="DG46" s="146" t="str">
        <f>IF(W46&lt;&gt;"AR","",INDEX('Device Refrigerant Leakage'!$F$2:$F$42,MATCH(X46,'Device Refrigerant Leakage'!$B$2:$B$42,0)))</f>
        <v/>
      </c>
      <c r="DH46" s="146" t="str">
        <f>IF(W46&lt;&gt;"AR","",INDEX('Device Refrigerant Leakage'!$G$2:$G$42,MATCH(X46,'Device Refrigerant Leakage'!$B$2:$B$42,0)))</f>
        <v/>
      </c>
      <c r="DI46" s="146" t="str">
        <f>IF(W46&lt;&gt;"AR","",J46*INDEX('Device Refrigerant Leakage'!$D$2:$D$42,MATCH(X46,'Device Refrigerant Leakage'!$B$2:$B$42,0))*DF46/2204.62*DE46)</f>
        <v/>
      </c>
      <c r="DJ46" s="146" t="str">
        <f>IF(W46&lt;&gt;"AR","",J46*(INDEX('Device Refrigerant Leakage'!$D$2:$D$42,MATCH(X46,'Device Refrigerant Leakage'!$B$2:$B$42,0))-(INDEX('Device Refrigerant Leakage'!$D$2:$D$42,MATCH(X46,'Device Refrigerant Leakage'!$B$2:$B$42,0)))*DH46*DF46)*DG46/2204.62*DE46)</f>
        <v/>
      </c>
      <c r="DK46" s="146" t="str">
        <f>IF(W46&lt;&gt;"AR","",DI46*(K46-AB46)+'Fuel Sub Calcs-Deemed'!DJ46*((K46-AB46)/INDEX('Device Refrigerant Leakage'!$C$2:$C$42,MATCH('Fuel Sub Calcs-Deemed'!X46,'Device Refrigerant Leakage'!$B$2:$B$42,0))))</f>
        <v/>
      </c>
      <c r="DM46" s="56">
        <v>32</v>
      </c>
      <c r="DN46" s="67" t="e">
        <f t="shared" si="28"/>
        <v>#N/A</v>
      </c>
      <c r="DO46" s="45" t="e">
        <f t="shared" si="29"/>
        <v>#N/A</v>
      </c>
      <c r="DP46" s="67" t="e">
        <f t="shared" si="30"/>
        <v>#N/A</v>
      </c>
      <c r="DQ46" s="45" t="e">
        <f t="shared" si="31"/>
        <v>#N/A</v>
      </c>
      <c r="DR46" s="69" t="e">
        <f t="shared" si="32"/>
        <v>#N/A</v>
      </c>
      <c r="DS46" s="34"/>
      <c r="DT46" s="67" t="e">
        <f>((BX46*CJ46)+IF($W46=MAT_AR,(BZ46*CL46),0))*(1+Reference!$E$50+Reference!$E$51)</f>
        <v>#N/A</v>
      </c>
      <c r="DU46" s="67">
        <f>((BY46*CK46)+IF($W46=MAT_AR,(CA46*CM46),0))*(1+Reference!$G$50+Reference!$G$51)</f>
        <v>0</v>
      </c>
      <c r="DV46" s="67" t="e">
        <f t="shared" si="33"/>
        <v>#VALUE!</v>
      </c>
      <c r="DX46" s="56">
        <v>32</v>
      </c>
      <c r="DY46" s="67">
        <f t="shared" si="34"/>
        <v>0</v>
      </c>
      <c r="DZ46" s="45" t="e">
        <f>VLOOKUP($R46,Dropdown!$C$3:$D$4,2,FALSE)</f>
        <v>#N/A</v>
      </c>
      <c r="EA46" s="68">
        <f t="shared" si="35"/>
        <v>0</v>
      </c>
      <c r="EB46" s="68" t="str">
        <f t="shared" si="36"/>
        <v>N/A</v>
      </c>
      <c r="EC46" s="68">
        <f t="shared" si="37"/>
        <v>0</v>
      </c>
      <c r="ED46" s="68" t="str">
        <f t="shared" si="38"/>
        <v>N/A</v>
      </c>
      <c r="EF46" s="56">
        <v>32</v>
      </c>
      <c r="EG46" s="46">
        <f t="shared" si="39"/>
        <v>0</v>
      </c>
      <c r="EH46" s="68" t="e">
        <f t="shared" si="40"/>
        <v>#N/A</v>
      </c>
      <c r="EI46" s="68" t="e">
        <f t="shared" si="41"/>
        <v>#N/A</v>
      </c>
      <c r="EJ46" s="68" t="e">
        <f t="shared" si="42"/>
        <v>#N/A</v>
      </c>
      <c r="EK46" s="68" t="e">
        <f t="shared" si="43"/>
        <v>#N/A</v>
      </c>
      <c r="EL46" s="46">
        <f t="shared" si="44"/>
        <v>0</v>
      </c>
      <c r="EM46" s="46">
        <f t="shared" si="45"/>
        <v>0</v>
      </c>
    </row>
    <row r="47" spans="1:143">
      <c r="A47" s="89"/>
      <c r="B47" s="89"/>
      <c r="C47" s="89"/>
      <c r="D47" s="89"/>
      <c r="E47" s="89"/>
      <c r="F47" s="89"/>
      <c r="G47" s="34"/>
      <c r="H47" s="56">
        <f t="shared" si="46"/>
        <v>33</v>
      </c>
      <c r="I47" s="165"/>
      <c r="J47" s="163"/>
      <c r="K47" s="163"/>
      <c r="L47" s="164"/>
      <c r="M47" s="155"/>
      <c r="N47" s="155"/>
      <c r="O47" s="144"/>
      <c r="P47" s="159" t="str">
        <f>IFERROR(IF(O47&lt;&gt;"User Specified",IF(O47&lt;&gt;"", INDEX('Refrigerant GWPs'!$G$2:$G$154,MATCH(O47,'Refrigerant GWPs'!$A$2:$A$154,0)),""),U47),0)</f>
        <v/>
      </c>
      <c r="Q47" s="155"/>
      <c r="R47" s="155"/>
      <c r="S47" s="144"/>
      <c r="T47" s="159" t="str">
        <f>IF(S47&lt;&gt;"User Specified",IF(AND(S47&lt;&gt;"User Specified",S47&lt;&gt;""), INDEX('Refrigerant GWPs'!$G$2:$G$154,MATCH(S47,'Refrigerant GWPs'!$A$2:$A$154,0)),""),V47)</f>
        <v/>
      </c>
      <c r="U47" s="144"/>
      <c r="V47" s="144"/>
      <c r="W47" s="155"/>
      <c r="X47" s="155"/>
      <c r="Y47" s="144"/>
      <c r="Z47" s="159" t="str">
        <f>IF(AND(Y47&lt;&gt;"User Specified",Y47&lt;&gt;""), INDEX('Refrigerant GWPs'!$G$2:$G$154,MATCH(Y47,'Refrigerant GWPs'!$A$2:$A$154,0)),"")</f>
        <v/>
      </c>
      <c r="AA47" s="155"/>
      <c r="AB47" s="156"/>
      <c r="AC47" s="66"/>
      <c r="AD47" s="66"/>
      <c r="AE47" s="66"/>
      <c r="AF47" s="66"/>
      <c r="AG47" s="66"/>
      <c r="AH47" s="66"/>
      <c r="AI47" s="34"/>
      <c r="AJ47" s="88">
        <f t="shared" si="0"/>
        <v>0</v>
      </c>
      <c r="AK47" s="88">
        <f t="shared" si="1"/>
        <v>0</v>
      </c>
      <c r="AL47" s="88">
        <v>0</v>
      </c>
      <c r="AM47" s="88">
        <v>0</v>
      </c>
      <c r="AN47" s="81" t="str">
        <f t="shared" si="47"/>
        <v/>
      </c>
      <c r="AO47" s="88">
        <f t="shared" si="2"/>
        <v>0</v>
      </c>
      <c r="AP47" s="88">
        <f t="shared" si="3"/>
        <v>0</v>
      </c>
      <c r="AQ47" s="81" t="str">
        <f t="shared" si="4"/>
        <v/>
      </c>
      <c r="AS47" s="41" t="b">
        <f t="shared" si="5"/>
        <v>1</v>
      </c>
      <c r="AT47" s="38">
        <f t="shared" si="6"/>
        <v>0</v>
      </c>
      <c r="AU47" s="60">
        <f t="shared" si="7"/>
        <v>0</v>
      </c>
      <c r="AV47" s="41">
        <f t="shared" si="8"/>
        <v>0</v>
      </c>
      <c r="AW47" s="41" t="b">
        <f t="shared" si="9"/>
        <v>0</v>
      </c>
      <c r="AX47" t="str">
        <f t="shared" si="10"/>
        <v>+00</v>
      </c>
      <c r="AY47" t="str">
        <f t="shared" si="11"/>
        <v>+00</v>
      </c>
      <c r="BA47" s="47" t="b">
        <f t="shared" si="83"/>
        <v>1</v>
      </c>
      <c r="BB47" s="42" t="b">
        <f t="shared" si="84"/>
        <v>1</v>
      </c>
      <c r="BC47" s="42" t="b">
        <f t="shared" si="85"/>
        <v>0</v>
      </c>
      <c r="BD47" s="42" t="b">
        <f t="shared" si="86"/>
        <v>0</v>
      </c>
      <c r="BE47" s="70">
        <f t="shared" si="87"/>
        <v>0</v>
      </c>
      <c r="BF47" s="70">
        <f t="shared" si="88"/>
        <v>0</v>
      </c>
      <c r="BG47" s="34"/>
      <c r="BI47" s="47" t="b">
        <f t="shared" si="89"/>
        <v>1</v>
      </c>
      <c r="BJ47" s="47" t="b">
        <f t="shared" si="90"/>
        <v>1</v>
      </c>
      <c r="BK47" s="42" t="b">
        <f t="shared" si="91"/>
        <v>0</v>
      </c>
      <c r="BL47" s="42" t="b">
        <f t="shared" si="92"/>
        <v>0</v>
      </c>
      <c r="BM47" s="42">
        <f t="shared" si="93"/>
        <v>0</v>
      </c>
      <c r="BN47" s="42">
        <f t="shared" si="94"/>
        <v>0</v>
      </c>
      <c r="BP47" t="e">
        <f t="shared" si="95"/>
        <v>#N/A</v>
      </c>
      <c r="BQ47" t="e">
        <f t="shared" si="96"/>
        <v>#N/A</v>
      </c>
      <c r="BR47" t="e">
        <f t="shared" si="97"/>
        <v>#N/A</v>
      </c>
      <c r="BT47" s="60">
        <f t="shared" ref="BT47:BT78" si="106">$J47*BE47</f>
        <v>0</v>
      </c>
      <c r="BU47" s="60">
        <f t="shared" ref="BU47:BU78" si="107">$J47*BF47</f>
        <v>0</v>
      </c>
      <c r="BV47" s="60">
        <f t="shared" ref="BV47:BV78" si="108">$J47*BM47</f>
        <v>0</v>
      </c>
      <c r="BW47" s="60">
        <f t="shared" ref="BW47:BW78" si="109">$J47*BN47</f>
        <v>0</v>
      </c>
      <c r="BX47" s="60">
        <f t="shared" si="98"/>
        <v>0</v>
      </c>
      <c r="BY47" s="60">
        <f t="shared" si="99"/>
        <v>0</v>
      </c>
      <c r="BZ47" s="60">
        <f t="shared" si="100"/>
        <v>0</v>
      </c>
      <c r="CA47" s="60">
        <f t="shared" si="101"/>
        <v>0</v>
      </c>
      <c r="CB47" s="60" t="e">
        <f t="shared" ref="CB47:CB78" si="110">INDEX(AFL_Source_Energy_Btu_per_kWh,MATCH($AX47,AFL_IndexB,0))</f>
        <v>#N/A</v>
      </c>
      <c r="CC47" s="60">
        <f t="shared" ref="CC47:CC78" si="111">Btu_therm</f>
        <v>100000</v>
      </c>
      <c r="CD47" s="60" t="e">
        <f t="shared" ref="CD47:CD78" si="112">INDEX(AFL_Source_Energy_Btu_per_kWh,MATCH($AY47,AFL_IndexB,0))</f>
        <v>#N/A</v>
      </c>
      <c r="CE47" s="60">
        <f t="shared" ref="CE47:CE78" si="113">Btu_therm</f>
        <v>100000</v>
      </c>
      <c r="CF47" s="83" t="e">
        <f t="shared" si="102"/>
        <v>#N/A</v>
      </c>
      <c r="CG47" s="83">
        <f t="shared" si="103"/>
        <v>0</v>
      </c>
      <c r="CH47" s="83" t="e">
        <f t="shared" si="104"/>
        <v>#N/A</v>
      </c>
      <c r="CI47" s="83">
        <f t="shared" si="105"/>
        <v>0</v>
      </c>
      <c r="CJ47" s="86" t="e">
        <f t="shared" ref="CJ47:CJ78" si="114">INDEX(AFL_Emissions_Intensity_metric_tonnes_per_MWh,MATCH($AX47,AFL_IndexB,0))/1000</f>
        <v>#N/A</v>
      </c>
      <c r="CK47" s="82">
        <f t="shared" ref="CK47:CK78" si="115">NG_metric_tonne_CO2_therm</f>
        <v>5.3070370403969858E-3</v>
      </c>
      <c r="CL47" s="82" t="e">
        <f t="shared" ref="CL47:CL78" si="116">INDEX(AFL_Emissions_Intensity_metric_tonnes_per_MWh,MATCH($AY47,AFL_IndexB,0))/1000</f>
        <v>#N/A</v>
      </c>
      <c r="CM47" s="82">
        <f t="shared" ref="CM47:CM78" si="117">NG_metric_tonne_CO2_therm</f>
        <v>5.3070370403969858E-3</v>
      </c>
      <c r="CO47" s="149" t="str">
        <f>IF($I47&lt;&gt;"",IF(O47="User Specified",U47,INDEX('Refrigerant GWPs'!$G$2:$G$156,MATCH(O47,'Refrigerant GWPs'!$A$2:$A$156,0))),"")</f>
        <v/>
      </c>
      <c r="CP47" s="138" t="str">
        <f>IF($I47&lt;&gt;"",INDEX('Device Refrigerant Leakage'!$E$2:$E$42,MATCH($M47,'Device Refrigerant Leakage'!$B$2:$B$42,0)),"")</f>
        <v/>
      </c>
      <c r="CQ47" s="138" t="str">
        <f>IF($I47&lt;&gt;"",INDEX('Device Refrigerant Leakage'!$F$2:$F$42,MATCH($M47,'Device Refrigerant Leakage'!$B$2:$B$42,0)),"")</f>
        <v/>
      </c>
      <c r="CR47" s="145" t="str">
        <f>IF($I47&lt;&gt;"",INDEX('Device Refrigerant Leakage'!$G$2:$G$42,MATCH($M47,'Device Refrigerant Leakage'!$B$2:$B$42,0)),"")</f>
        <v/>
      </c>
      <c r="CS47" s="145" t="str">
        <f>IF($I47&lt;&gt;"",INDEX('Device Refrigerant Leakage'!$D$2:$D$42,MATCH($M47,'Device Refrigerant Leakage'!$B$2:$B$42,0))*CP47/2204.62*CO47,"")</f>
        <v/>
      </c>
      <c r="CT47" s="145" t="str">
        <f>IF($I47&lt;&gt;"",J47*(INDEX('Device Refrigerant Leakage'!$D$2:$D$42,MATCH($M47,'Device Refrigerant Leakage'!$B$2:$B$42,0))-(INDEX('Device Refrigerant Leakage'!$D$2:$D$42,MATCH($M47,'Device Refrigerant Leakage'!$B$2:$B$42,0)))*CR47*CP47)*CQ47/2204.62*CO47,"")</f>
        <v/>
      </c>
      <c r="CU47" s="135" t="str">
        <f>IF($I47&lt;&gt;"",J47*IF(W47&lt;&gt;"AR",(CS47*K47)+CT47,(CS47*AB47)+CT47*(AB47/INDEX('Device Refrigerant Leakage'!$C$2:$C$42,MATCH($M47,'Device Refrigerant Leakage'!$B$2:$B$42,0)))),"")</f>
        <v/>
      </c>
      <c r="CW47" s="135" t="str">
        <f>IF($I47&lt;&gt;"",IF(S47="User Specified",V47,INDEX('Refrigerant GWPs'!$G$2:$G$156,MATCH(S47,'Refrigerant GWPs'!$A$2:$A$157,0))),"")</f>
        <v/>
      </c>
      <c r="CX47" s="138" t="str">
        <f>IF($I47&lt;&gt;"",INDEX('Device Refrigerant Leakage'!$E$2:$E$42,MATCH($Q47,'Device Refrigerant Leakage'!$B$2:$B$42,0)),"")</f>
        <v/>
      </c>
      <c r="CY47" s="138" t="str">
        <f>IF($I47&lt;&gt;"",INDEX('Device Refrigerant Leakage'!$F$2:$F$42,MATCH($Q47,'Device Refrigerant Leakage'!$B$2:$B$42,0)),"")</f>
        <v/>
      </c>
      <c r="CZ47" s="145" t="str">
        <f>IF($I47&lt;&gt;"",INDEX('Device Refrigerant Leakage'!$G$2:$G$42,MATCH($Q47,'Device Refrigerant Leakage'!$B$2:$B$42,0)),"")</f>
        <v/>
      </c>
      <c r="DA47" s="145" t="str">
        <f>IF($I47&lt;&gt;"",J47*INDEX('Device Refrigerant Leakage'!$D$2:$D$42,MATCH($Q47,'Device Refrigerant Leakage'!$B$2:$B$42,0))*CX47/2204.62*CW47,"")</f>
        <v/>
      </c>
      <c r="DB47" s="145" t="str">
        <f>IF($I47&lt;&gt;"",J47*(INDEX('Device Refrigerant Leakage'!$D$2:$D$42,MATCH($Q47,'Device Refrigerant Leakage'!$B$2:$B$42,0))-(INDEX('Device Refrigerant Leakage'!$D$2:$D$42,MATCH($Q47,'Device Refrigerant Leakage'!$B$2:$B$42,0)))*CZ47*CX47)*CY47/2204.62*CW47,"")</f>
        <v/>
      </c>
      <c r="DC47" s="135" t="str">
        <f t="shared" si="59"/>
        <v/>
      </c>
      <c r="DE47" s="146" t="str">
        <f>IF(W47&lt;&gt;"AR","",IF(Y47="User Specified", AA47, INDEX('Refrigerant GWPs'!$G$2:$G$154,MATCH(Y47,'Refrigerant GWPs'!$A$2:$A$154,0))))</f>
        <v/>
      </c>
      <c r="DF47" s="146" t="str">
        <f>IF(W47&lt;&gt;"AR","",INDEX('Device Refrigerant Leakage'!$E$2:$E$42,MATCH(X47,'Device Refrigerant Leakage'!$B$2:$B$42,0)))</f>
        <v/>
      </c>
      <c r="DG47" s="146" t="str">
        <f>IF(W47&lt;&gt;"AR","",INDEX('Device Refrigerant Leakage'!$F$2:$F$42,MATCH(X47,'Device Refrigerant Leakage'!$B$2:$B$42,0)))</f>
        <v/>
      </c>
      <c r="DH47" s="146" t="str">
        <f>IF(W47&lt;&gt;"AR","",INDEX('Device Refrigerant Leakage'!$G$2:$G$42,MATCH(X47,'Device Refrigerant Leakage'!$B$2:$B$42,0)))</f>
        <v/>
      </c>
      <c r="DI47" s="146" t="str">
        <f>IF(W47&lt;&gt;"AR","",J47*INDEX('Device Refrigerant Leakage'!$D$2:$D$42,MATCH(X47,'Device Refrigerant Leakage'!$B$2:$B$42,0))*DF47/2204.62*DE47)</f>
        <v/>
      </c>
      <c r="DJ47" s="146" t="str">
        <f>IF(W47&lt;&gt;"AR","",J47*(INDEX('Device Refrigerant Leakage'!$D$2:$D$42,MATCH(X47,'Device Refrigerant Leakage'!$B$2:$B$42,0))-(INDEX('Device Refrigerant Leakage'!$D$2:$D$42,MATCH(X47,'Device Refrigerant Leakage'!$B$2:$B$42,0)))*DH47*DF47)*DG47/2204.62*DE47)</f>
        <v/>
      </c>
      <c r="DK47" s="146" t="str">
        <f>IF(W47&lt;&gt;"AR","",DI47*(K47-AB47)+'Fuel Sub Calcs-Deemed'!DJ47*((K47-AB47)/INDEX('Device Refrigerant Leakage'!$C$2:$C$42,MATCH('Fuel Sub Calcs-Deemed'!X47,'Device Refrigerant Leakage'!$B$2:$B$42,0))))</f>
        <v/>
      </c>
      <c r="DM47" s="56">
        <v>33</v>
      </c>
      <c r="DN47" s="67" t="e">
        <f t="shared" si="28"/>
        <v>#N/A</v>
      </c>
      <c r="DO47" s="45" t="e">
        <f t="shared" si="29"/>
        <v>#N/A</v>
      </c>
      <c r="DP47" s="67" t="e">
        <f t="shared" si="30"/>
        <v>#N/A</v>
      </c>
      <c r="DQ47" s="45" t="e">
        <f t="shared" si="31"/>
        <v>#N/A</v>
      </c>
      <c r="DR47" s="69" t="e">
        <f t="shared" si="32"/>
        <v>#N/A</v>
      </c>
      <c r="DS47" s="34"/>
      <c r="DT47" s="67" t="e">
        <f>((BX47*CJ47)+IF($W47=MAT_AR,(BZ47*CL47),0))*(1+Reference!$E$50+Reference!$E$51)</f>
        <v>#N/A</v>
      </c>
      <c r="DU47" s="67">
        <f>((BY47*CK47)+IF($W47=MAT_AR,(CA47*CM47),0))*(1+Reference!$G$50+Reference!$G$51)</f>
        <v>0</v>
      </c>
      <c r="DV47" s="67" t="e">
        <f t="shared" si="33"/>
        <v>#VALUE!</v>
      </c>
      <c r="DX47" s="56">
        <v>33</v>
      </c>
      <c r="DY47" s="67">
        <f t="shared" si="34"/>
        <v>0</v>
      </c>
      <c r="DZ47" s="45" t="e">
        <f>VLOOKUP($R47,Dropdown!$C$3:$D$4,2,FALSE)</f>
        <v>#N/A</v>
      </c>
      <c r="EA47" s="68">
        <f t="shared" si="35"/>
        <v>0</v>
      </c>
      <c r="EB47" s="68" t="str">
        <f t="shared" si="36"/>
        <v>N/A</v>
      </c>
      <c r="EC47" s="68">
        <f t="shared" si="37"/>
        <v>0</v>
      </c>
      <c r="ED47" s="68" t="str">
        <f t="shared" ref="ED47:ED78" si="118">IF($R47=fuel_electricity,DY47*10^6/Btu_therm,"N/A")</f>
        <v>N/A</v>
      </c>
      <c r="EF47" s="56">
        <v>33</v>
      </c>
      <c r="EG47" s="46">
        <f t="shared" si="39"/>
        <v>0</v>
      </c>
      <c r="EH47" s="68" t="e">
        <f t="shared" si="40"/>
        <v>#N/A</v>
      </c>
      <c r="EI47" s="68" t="e">
        <f t="shared" si="41"/>
        <v>#N/A</v>
      </c>
      <c r="EJ47" s="68" t="e">
        <f t="shared" si="42"/>
        <v>#N/A</v>
      </c>
      <c r="EK47" s="68" t="e">
        <f t="shared" si="43"/>
        <v>#N/A</v>
      </c>
      <c r="EL47" s="46">
        <f t="shared" si="44"/>
        <v>0</v>
      </c>
      <c r="EM47" s="46">
        <f t="shared" si="45"/>
        <v>0</v>
      </c>
    </row>
    <row r="48" spans="1:143">
      <c r="A48" s="89"/>
      <c r="B48" s="89"/>
      <c r="C48" s="89"/>
      <c r="D48" s="89"/>
      <c r="E48" s="89"/>
      <c r="F48" s="89"/>
      <c r="G48" s="34"/>
      <c r="H48" s="56">
        <f t="shared" si="46"/>
        <v>34</v>
      </c>
      <c r="I48" s="165"/>
      <c r="J48" s="163"/>
      <c r="K48" s="163"/>
      <c r="L48" s="164"/>
      <c r="M48" s="155"/>
      <c r="N48" s="155"/>
      <c r="O48" s="144"/>
      <c r="P48" s="159" t="str">
        <f>IFERROR(IF(O48&lt;&gt;"User Specified",IF(O48&lt;&gt;"", INDEX('Refrigerant GWPs'!$G$2:$G$154,MATCH(O48,'Refrigerant GWPs'!$A$2:$A$154,0)),""),U48),0)</f>
        <v/>
      </c>
      <c r="Q48" s="155"/>
      <c r="R48" s="155"/>
      <c r="S48" s="144"/>
      <c r="T48" s="159" t="str">
        <f>IF(S48&lt;&gt;"User Specified",IF(AND(S48&lt;&gt;"User Specified",S48&lt;&gt;""), INDEX('Refrigerant GWPs'!$G$2:$G$154,MATCH(S48,'Refrigerant GWPs'!$A$2:$A$154,0)),""),V48)</f>
        <v/>
      </c>
      <c r="U48" s="144"/>
      <c r="V48" s="144"/>
      <c r="W48" s="155"/>
      <c r="X48" s="155"/>
      <c r="Y48" s="144"/>
      <c r="Z48" s="159" t="str">
        <f>IF(AND(Y48&lt;&gt;"User Specified",Y48&lt;&gt;""), INDEX('Refrigerant GWPs'!$G$2:$G$154,MATCH(Y48,'Refrigerant GWPs'!$A$2:$A$154,0)),"")</f>
        <v/>
      </c>
      <c r="AA48" s="155"/>
      <c r="AB48" s="156"/>
      <c r="AC48" s="66"/>
      <c r="AD48" s="66"/>
      <c r="AE48" s="66"/>
      <c r="AF48" s="66"/>
      <c r="AG48" s="66"/>
      <c r="AH48" s="66"/>
      <c r="AI48" s="34"/>
      <c r="AJ48" s="88">
        <f t="shared" si="0"/>
        <v>0</v>
      </c>
      <c r="AK48" s="88">
        <f t="shared" si="1"/>
        <v>0</v>
      </c>
      <c r="AL48" s="88">
        <v>0</v>
      </c>
      <c r="AM48" s="88">
        <v>0</v>
      </c>
      <c r="AN48" s="81" t="str">
        <f t="shared" si="47"/>
        <v/>
      </c>
      <c r="AO48" s="88">
        <f t="shared" si="2"/>
        <v>0</v>
      </c>
      <c r="AP48" s="88">
        <f t="shared" si="3"/>
        <v>0</v>
      </c>
      <c r="AQ48" s="81" t="str">
        <f t="shared" si="4"/>
        <v/>
      </c>
      <c r="AS48" s="41" t="b">
        <f t="shared" si="5"/>
        <v>1</v>
      </c>
      <c r="AT48" s="38">
        <f t="shared" si="6"/>
        <v>0</v>
      </c>
      <c r="AU48" s="60">
        <f t="shared" si="7"/>
        <v>0</v>
      </c>
      <c r="AV48" s="41">
        <f t="shared" si="8"/>
        <v>0</v>
      </c>
      <c r="AW48" s="41" t="b">
        <f t="shared" si="9"/>
        <v>0</v>
      </c>
      <c r="AX48" t="str">
        <f t="shared" si="10"/>
        <v>+00</v>
      </c>
      <c r="AY48" t="str">
        <f t="shared" si="11"/>
        <v>+00</v>
      </c>
      <c r="BA48" s="47" t="b">
        <f t="shared" si="83"/>
        <v>1</v>
      </c>
      <c r="BB48" s="42" t="b">
        <f t="shared" si="84"/>
        <v>1</v>
      </c>
      <c r="BC48" s="42" t="b">
        <f t="shared" si="85"/>
        <v>0</v>
      </c>
      <c r="BD48" s="42" t="b">
        <f t="shared" si="86"/>
        <v>0</v>
      </c>
      <c r="BE48" s="70">
        <f t="shared" si="87"/>
        <v>0</v>
      </c>
      <c r="BF48" s="70">
        <f t="shared" si="88"/>
        <v>0</v>
      </c>
      <c r="BG48" s="34"/>
      <c r="BI48" s="47" t="b">
        <f t="shared" si="89"/>
        <v>1</v>
      </c>
      <c r="BJ48" s="47" t="b">
        <f t="shared" si="90"/>
        <v>1</v>
      </c>
      <c r="BK48" s="42" t="b">
        <f t="shared" si="91"/>
        <v>0</v>
      </c>
      <c r="BL48" s="42" t="b">
        <f t="shared" si="92"/>
        <v>0</v>
      </c>
      <c r="BM48" s="42">
        <f t="shared" si="93"/>
        <v>0</v>
      </c>
      <c r="BN48" s="42">
        <f t="shared" si="94"/>
        <v>0</v>
      </c>
      <c r="BP48" t="e">
        <f t="shared" si="95"/>
        <v>#N/A</v>
      </c>
      <c r="BQ48" t="e">
        <f t="shared" si="96"/>
        <v>#N/A</v>
      </c>
      <c r="BR48" t="e">
        <f t="shared" si="97"/>
        <v>#N/A</v>
      </c>
      <c r="BT48" s="60">
        <f t="shared" si="106"/>
        <v>0</v>
      </c>
      <c r="BU48" s="60">
        <f t="shared" si="107"/>
        <v>0</v>
      </c>
      <c r="BV48" s="60">
        <f t="shared" si="108"/>
        <v>0</v>
      </c>
      <c r="BW48" s="60">
        <f t="shared" si="109"/>
        <v>0</v>
      </c>
      <c r="BX48" s="60">
        <f t="shared" si="98"/>
        <v>0</v>
      </c>
      <c r="BY48" s="60">
        <f t="shared" si="99"/>
        <v>0</v>
      </c>
      <c r="BZ48" s="60">
        <f t="shared" si="100"/>
        <v>0</v>
      </c>
      <c r="CA48" s="60">
        <f t="shared" si="101"/>
        <v>0</v>
      </c>
      <c r="CB48" s="60" t="e">
        <f t="shared" si="110"/>
        <v>#N/A</v>
      </c>
      <c r="CC48" s="60">
        <f t="shared" si="111"/>
        <v>100000</v>
      </c>
      <c r="CD48" s="60" t="e">
        <f t="shared" si="112"/>
        <v>#N/A</v>
      </c>
      <c r="CE48" s="60">
        <f t="shared" si="113"/>
        <v>100000</v>
      </c>
      <c r="CF48" s="83" t="e">
        <f t="shared" si="102"/>
        <v>#N/A</v>
      </c>
      <c r="CG48" s="83">
        <f t="shared" si="103"/>
        <v>0</v>
      </c>
      <c r="CH48" s="83" t="e">
        <f t="shared" si="104"/>
        <v>#N/A</v>
      </c>
      <c r="CI48" s="83">
        <f t="shared" si="105"/>
        <v>0</v>
      </c>
      <c r="CJ48" s="86" t="e">
        <f t="shared" si="114"/>
        <v>#N/A</v>
      </c>
      <c r="CK48" s="82">
        <f t="shared" si="115"/>
        <v>5.3070370403969858E-3</v>
      </c>
      <c r="CL48" s="82" t="e">
        <f t="shared" si="116"/>
        <v>#N/A</v>
      </c>
      <c r="CM48" s="82">
        <f t="shared" si="117"/>
        <v>5.3070370403969858E-3</v>
      </c>
      <c r="CO48" s="149" t="str">
        <f>IF($I48&lt;&gt;"",IF(O48="User Specified",U48,INDEX('Refrigerant GWPs'!$G$2:$G$156,MATCH(O48,'Refrigerant GWPs'!$A$2:$A$156,0))),"")</f>
        <v/>
      </c>
      <c r="CP48" s="138" t="str">
        <f>IF($I48&lt;&gt;"",INDEX('Device Refrigerant Leakage'!$E$2:$E$42,MATCH($M48,'Device Refrigerant Leakage'!$B$2:$B$42,0)),"")</f>
        <v/>
      </c>
      <c r="CQ48" s="138" t="str">
        <f>IF($I48&lt;&gt;"",INDEX('Device Refrigerant Leakage'!$F$2:$F$42,MATCH($M48,'Device Refrigerant Leakage'!$B$2:$B$42,0)),"")</f>
        <v/>
      </c>
      <c r="CR48" s="145" t="str">
        <f>IF($I48&lt;&gt;"",INDEX('Device Refrigerant Leakage'!$G$2:$G$42,MATCH($M48,'Device Refrigerant Leakage'!$B$2:$B$42,0)),"")</f>
        <v/>
      </c>
      <c r="CS48" s="145" t="str">
        <f>IF($I48&lt;&gt;"",INDEX('Device Refrigerant Leakage'!$D$2:$D$42,MATCH($M48,'Device Refrigerant Leakage'!$B$2:$B$42,0))*CP48/2204.62*CO48,"")</f>
        <v/>
      </c>
      <c r="CT48" s="145" t="str">
        <f>IF($I48&lt;&gt;"",J48*(INDEX('Device Refrigerant Leakage'!$D$2:$D$42,MATCH($M48,'Device Refrigerant Leakage'!$B$2:$B$42,0))-(INDEX('Device Refrigerant Leakage'!$D$2:$D$42,MATCH($M48,'Device Refrigerant Leakage'!$B$2:$B$42,0)))*CR48*CP48)*CQ48/2204.62*CO48,"")</f>
        <v/>
      </c>
      <c r="CU48" s="135" t="str">
        <f>IF($I48&lt;&gt;"",J48*IF(W48&lt;&gt;"AR",(CS48*K48)+CT48,(CS48*AB48)+CT48*(AB48/INDEX('Device Refrigerant Leakage'!$C$2:$C$42,MATCH($M48,'Device Refrigerant Leakage'!$B$2:$B$42,0)))),"")</f>
        <v/>
      </c>
      <c r="CW48" s="135" t="str">
        <f>IF($I48&lt;&gt;"",IF(S48="User Specified",V48,INDEX('Refrigerant GWPs'!$G$2:$G$156,MATCH(S48,'Refrigerant GWPs'!$A$2:$A$157,0))),"")</f>
        <v/>
      </c>
      <c r="CX48" s="138" t="str">
        <f>IF($I48&lt;&gt;"",INDEX('Device Refrigerant Leakage'!$E$2:$E$42,MATCH($Q48,'Device Refrigerant Leakage'!$B$2:$B$42,0)),"")</f>
        <v/>
      </c>
      <c r="CY48" s="138" t="str">
        <f>IF($I48&lt;&gt;"",INDEX('Device Refrigerant Leakage'!$F$2:$F$42,MATCH($Q48,'Device Refrigerant Leakage'!$B$2:$B$42,0)),"")</f>
        <v/>
      </c>
      <c r="CZ48" s="145" t="str">
        <f>IF($I48&lt;&gt;"",INDEX('Device Refrigerant Leakage'!$G$2:$G$42,MATCH($Q48,'Device Refrigerant Leakage'!$B$2:$B$42,0)),"")</f>
        <v/>
      </c>
      <c r="DA48" s="145" t="str">
        <f>IF($I48&lt;&gt;"",J48*INDEX('Device Refrigerant Leakage'!$D$2:$D$42,MATCH($Q48,'Device Refrigerant Leakage'!$B$2:$B$42,0))*CX48/2204.62*CW48,"")</f>
        <v/>
      </c>
      <c r="DB48" s="145" t="str">
        <f>IF($I48&lt;&gt;"",J48*(INDEX('Device Refrigerant Leakage'!$D$2:$D$42,MATCH($Q48,'Device Refrigerant Leakage'!$B$2:$B$42,0))-(INDEX('Device Refrigerant Leakage'!$D$2:$D$42,MATCH($Q48,'Device Refrigerant Leakage'!$B$2:$B$42,0)))*CZ48*CX48)*CY48/2204.62*CW48,"")</f>
        <v/>
      </c>
      <c r="DC48" s="135" t="str">
        <f t="shared" si="59"/>
        <v/>
      </c>
      <c r="DE48" s="146" t="str">
        <f>IF(W48&lt;&gt;"AR","",IF(Y48="User Specified", AA48, INDEX('Refrigerant GWPs'!$G$2:$G$154,MATCH(Y48,'Refrigerant GWPs'!$A$2:$A$154,0))))</f>
        <v/>
      </c>
      <c r="DF48" s="146" t="str">
        <f>IF(W48&lt;&gt;"AR","",INDEX('Device Refrigerant Leakage'!$E$2:$E$42,MATCH(X48,'Device Refrigerant Leakage'!$B$2:$B$42,0)))</f>
        <v/>
      </c>
      <c r="DG48" s="146" t="str">
        <f>IF(W48&lt;&gt;"AR","",INDEX('Device Refrigerant Leakage'!$F$2:$F$42,MATCH(X48,'Device Refrigerant Leakage'!$B$2:$B$42,0)))</f>
        <v/>
      </c>
      <c r="DH48" s="146" t="str">
        <f>IF(W48&lt;&gt;"AR","",INDEX('Device Refrigerant Leakage'!$G$2:$G$42,MATCH(X48,'Device Refrigerant Leakage'!$B$2:$B$42,0)))</f>
        <v/>
      </c>
      <c r="DI48" s="146" t="str">
        <f>IF(W48&lt;&gt;"AR","",J48*INDEX('Device Refrigerant Leakage'!$D$2:$D$42,MATCH(X48,'Device Refrigerant Leakage'!$B$2:$B$42,0))*DF48/2204.62*DE48)</f>
        <v/>
      </c>
      <c r="DJ48" s="146" t="str">
        <f>IF(W48&lt;&gt;"AR","",J48*(INDEX('Device Refrigerant Leakage'!$D$2:$D$42,MATCH(X48,'Device Refrigerant Leakage'!$B$2:$B$42,0))-(INDEX('Device Refrigerant Leakage'!$D$2:$D$42,MATCH(X48,'Device Refrigerant Leakage'!$B$2:$B$42,0)))*DH48*DF48)*DG48/2204.62*DE48)</f>
        <v/>
      </c>
      <c r="DK48" s="146" t="str">
        <f>IF(W48&lt;&gt;"AR","",DI48*(K48-AB48)+'Fuel Sub Calcs-Deemed'!DJ48*((K48-AB48)/INDEX('Device Refrigerant Leakage'!$C$2:$C$42,MATCH('Fuel Sub Calcs-Deemed'!X48,'Device Refrigerant Leakage'!$B$2:$B$42,0))))</f>
        <v/>
      </c>
      <c r="DM48" s="56">
        <v>34</v>
      </c>
      <c r="DN48" s="67" t="e">
        <f t="shared" si="28"/>
        <v>#N/A</v>
      </c>
      <c r="DO48" s="45" t="e">
        <f t="shared" si="29"/>
        <v>#N/A</v>
      </c>
      <c r="DP48" s="67" t="e">
        <f t="shared" si="30"/>
        <v>#N/A</v>
      </c>
      <c r="DQ48" s="45" t="e">
        <f t="shared" si="31"/>
        <v>#N/A</v>
      </c>
      <c r="DR48" s="69" t="e">
        <f t="shared" si="32"/>
        <v>#N/A</v>
      </c>
      <c r="DS48" s="34"/>
      <c r="DT48" s="67" t="e">
        <f>((BX48*CJ48)+IF($W48=MAT_AR,(BZ48*CL48),0))*(1+Reference!$E$50+Reference!$E$51)</f>
        <v>#N/A</v>
      </c>
      <c r="DU48" s="67">
        <f>((BY48*CK48)+IF($W48=MAT_AR,(CA48*CM48),0))*(1+Reference!$G$50+Reference!$G$51)</f>
        <v>0</v>
      </c>
      <c r="DV48" s="67" t="e">
        <f t="shared" si="33"/>
        <v>#VALUE!</v>
      </c>
      <c r="DX48" s="56">
        <v>34</v>
      </c>
      <c r="DY48" s="67">
        <f t="shared" si="34"/>
        <v>0</v>
      </c>
      <c r="DZ48" s="45" t="e">
        <f>VLOOKUP($R48,Dropdown!$C$3:$D$4,2,FALSE)</f>
        <v>#N/A</v>
      </c>
      <c r="EA48" s="68">
        <f t="shared" si="35"/>
        <v>0</v>
      </c>
      <c r="EB48" s="68" t="str">
        <f t="shared" si="36"/>
        <v>N/A</v>
      </c>
      <c r="EC48" s="68">
        <f t="shared" si="37"/>
        <v>0</v>
      </c>
      <c r="ED48" s="68" t="str">
        <f t="shared" si="118"/>
        <v>N/A</v>
      </c>
      <c r="EF48" s="56">
        <v>34</v>
      </c>
      <c r="EG48" s="46">
        <f t="shared" si="39"/>
        <v>0</v>
      </c>
      <c r="EH48" s="68" t="e">
        <f t="shared" si="40"/>
        <v>#N/A</v>
      </c>
      <c r="EI48" s="68" t="e">
        <f t="shared" si="41"/>
        <v>#N/A</v>
      </c>
      <c r="EJ48" s="68" t="e">
        <f t="shared" si="42"/>
        <v>#N/A</v>
      </c>
      <c r="EK48" s="68" t="e">
        <f t="shared" si="43"/>
        <v>#N/A</v>
      </c>
      <c r="EL48" s="46">
        <f t="shared" si="44"/>
        <v>0</v>
      </c>
      <c r="EM48" s="46">
        <f t="shared" si="45"/>
        <v>0</v>
      </c>
    </row>
    <row r="49" spans="1:143">
      <c r="A49" s="89"/>
      <c r="B49" s="89"/>
      <c r="C49" s="89"/>
      <c r="D49" s="89"/>
      <c r="E49" s="89"/>
      <c r="F49" s="89"/>
      <c r="G49" s="34"/>
      <c r="H49" s="56">
        <f t="shared" si="46"/>
        <v>35</v>
      </c>
      <c r="I49" s="165"/>
      <c r="J49" s="163"/>
      <c r="K49" s="163"/>
      <c r="L49" s="164"/>
      <c r="M49" s="155"/>
      <c r="N49" s="155"/>
      <c r="O49" s="144"/>
      <c r="P49" s="159" t="str">
        <f>IFERROR(IF(O49&lt;&gt;"User Specified",IF(O49&lt;&gt;"", INDEX('Refrigerant GWPs'!$G$2:$G$154,MATCH(O49,'Refrigerant GWPs'!$A$2:$A$154,0)),""),U49),0)</f>
        <v/>
      </c>
      <c r="Q49" s="155"/>
      <c r="R49" s="155"/>
      <c r="S49" s="144"/>
      <c r="T49" s="159" t="str">
        <f>IF(S49&lt;&gt;"User Specified",IF(AND(S49&lt;&gt;"User Specified",S49&lt;&gt;""), INDEX('Refrigerant GWPs'!$G$2:$G$154,MATCH(S49,'Refrigerant GWPs'!$A$2:$A$154,0)),""),V49)</f>
        <v/>
      </c>
      <c r="U49" s="144"/>
      <c r="V49" s="144"/>
      <c r="W49" s="155"/>
      <c r="X49" s="155"/>
      <c r="Y49" s="144"/>
      <c r="Z49" s="159" t="str">
        <f>IF(AND(Y49&lt;&gt;"User Specified",Y49&lt;&gt;""), INDEX('Refrigerant GWPs'!$G$2:$G$154,MATCH(Y49,'Refrigerant GWPs'!$A$2:$A$154,0)),"")</f>
        <v/>
      </c>
      <c r="AA49" s="155"/>
      <c r="AB49" s="156"/>
      <c r="AC49" s="66"/>
      <c r="AD49" s="66"/>
      <c r="AE49" s="66"/>
      <c r="AF49" s="66"/>
      <c r="AG49" s="66"/>
      <c r="AH49" s="66"/>
      <c r="AI49" s="34"/>
      <c r="AJ49" s="88">
        <f t="shared" si="0"/>
        <v>0</v>
      </c>
      <c r="AK49" s="88">
        <f t="shared" si="1"/>
        <v>0</v>
      </c>
      <c r="AL49" s="88">
        <v>0</v>
      </c>
      <c r="AM49" s="88">
        <v>0</v>
      </c>
      <c r="AN49" s="81" t="str">
        <f t="shared" si="47"/>
        <v/>
      </c>
      <c r="AO49" s="88">
        <f t="shared" si="2"/>
        <v>0</v>
      </c>
      <c r="AP49" s="88">
        <f t="shared" si="3"/>
        <v>0</v>
      </c>
      <c r="AQ49" s="81" t="str">
        <f t="shared" si="4"/>
        <v/>
      </c>
      <c r="AS49" s="41" t="b">
        <f t="shared" si="5"/>
        <v>1</v>
      </c>
      <c r="AT49" s="38">
        <f t="shared" si="6"/>
        <v>0</v>
      </c>
      <c r="AU49" s="60">
        <f t="shared" si="7"/>
        <v>0</v>
      </c>
      <c r="AV49" s="41">
        <f t="shared" si="8"/>
        <v>0</v>
      </c>
      <c r="AW49" s="41" t="b">
        <f t="shared" si="9"/>
        <v>0</v>
      </c>
      <c r="AX49" t="str">
        <f t="shared" si="10"/>
        <v>+00</v>
      </c>
      <c r="AY49" t="str">
        <f t="shared" si="11"/>
        <v>+00</v>
      </c>
      <c r="BA49" s="47" t="b">
        <f t="shared" si="83"/>
        <v>1</v>
      </c>
      <c r="BB49" s="42" t="b">
        <f t="shared" si="84"/>
        <v>1</v>
      </c>
      <c r="BC49" s="42" t="b">
        <f t="shared" si="85"/>
        <v>0</v>
      </c>
      <c r="BD49" s="42" t="b">
        <f t="shared" si="86"/>
        <v>0</v>
      </c>
      <c r="BE49" s="70">
        <f t="shared" si="87"/>
        <v>0</v>
      </c>
      <c r="BF49" s="70">
        <f t="shared" si="88"/>
        <v>0</v>
      </c>
      <c r="BG49" s="34"/>
      <c r="BI49" s="47" t="b">
        <f t="shared" si="89"/>
        <v>1</v>
      </c>
      <c r="BJ49" s="47" t="b">
        <f t="shared" si="90"/>
        <v>1</v>
      </c>
      <c r="BK49" s="42" t="b">
        <f t="shared" si="91"/>
        <v>0</v>
      </c>
      <c r="BL49" s="42" t="b">
        <f t="shared" si="92"/>
        <v>0</v>
      </c>
      <c r="BM49" s="42">
        <f t="shared" si="93"/>
        <v>0</v>
      </c>
      <c r="BN49" s="42">
        <f t="shared" si="94"/>
        <v>0</v>
      </c>
      <c r="BP49" t="e">
        <f t="shared" si="95"/>
        <v>#N/A</v>
      </c>
      <c r="BQ49" t="e">
        <f t="shared" si="96"/>
        <v>#N/A</v>
      </c>
      <c r="BR49" t="e">
        <f t="shared" si="97"/>
        <v>#N/A</v>
      </c>
      <c r="BT49" s="60">
        <f t="shared" si="106"/>
        <v>0</v>
      </c>
      <c r="BU49" s="60">
        <f t="shared" si="107"/>
        <v>0</v>
      </c>
      <c r="BV49" s="60">
        <f t="shared" si="108"/>
        <v>0</v>
      </c>
      <c r="BW49" s="60">
        <f t="shared" si="109"/>
        <v>0</v>
      </c>
      <c r="BX49" s="60">
        <f t="shared" si="98"/>
        <v>0</v>
      </c>
      <c r="BY49" s="60">
        <f t="shared" si="99"/>
        <v>0</v>
      </c>
      <c r="BZ49" s="60">
        <f t="shared" si="100"/>
        <v>0</v>
      </c>
      <c r="CA49" s="60">
        <f t="shared" si="101"/>
        <v>0</v>
      </c>
      <c r="CB49" s="60" t="e">
        <f t="shared" si="110"/>
        <v>#N/A</v>
      </c>
      <c r="CC49" s="60">
        <f t="shared" si="111"/>
        <v>100000</v>
      </c>
      <c r="CD49" s="60" t="e">
        <f t="shared" si="112"/>
        <v>#N/A</v>
      </c>
      <c r="CE49" s="60">
        <f t="shared" si="113"/>
        <v>100000</v>
      </c>
      <c r="CF49" s="83" t="e">
        <f t="shared" si="102"/>
        <v>#N/A</v>
      </c>
      <c r="CG49" s="83">
        <f t="shared" si="103"/>
        <v>0</v>
      </c>
      <c r="CH49" s="83" t="e">
        <f t="shared" si="104"/>
        <v>#N/A</v>
      </c>
      <c r="CI49" s="83">
        <f t="shared" si="105"/>
        <v>0</v>
      </c>
      <c r="CJ49" s="86" t="e">
        <f t="shared" si="114"/>
        <v>#N/A</v>
      </c>
      <c r="CK49" s="82">
        <f t="shared" si="115"/>
        <v>5.3070370403969858E-3</v>
      </c>
      <c r="CL49" s="82" t="e">
        <f t="shared" si="116"/>
        <v>#N/A</v>
      </c>
      <c r="CM49" s="82">
        <f t="shared" si="117"/>
        <v>5.3070370403969858E-3</v>
      </c>
      <c r="CO49" s="149" t="str">
        <f>IF($I49&lt;&gt;"",IF(O49="User Specified",U49,INDEX('Refrigerant GWPs'!$G$2:$G$156,MATCH(O49,'Refrigerant GWPs'!$A$2:$A$156,0))),"")</f>
        <v/>
      </c>
      <c r="CP49" s="138" t="str">
        <f>IF($I49&lt;&gt;"",INDEX('Device Refrigerant Leakage'!$E$2:$E$42,MATCH($M49,'Device Refrigerant Leakage'!$B$2:$B$42,0)),"")</f>
        <v/>
      </c>
      <c r="CQ49" s="138" t="str">
        <f>IF($I49&lt;&gt;"",INDEX('Device Refrigerant Leakage'!$F$2:$F$42,MATCH($M49,'Device Refrigerant Leakage'!$B$2:$B$42,0)),"")</f>
        <v/>
      </c>
      <c r="CR49" s="145" t="str">
        <f>IF($I49&lt;&gt;"",INDEX('Device Refrigerant Leakage'!$G$2:$G$42,MATCH($M49,'Device Refrigerant Leakage'!$B$2:$B$42,0)),"")</f>
        <v/>
      </c>
      <c r="CS49" s="145" t="str">
        <f>IF($I49&lt;&gt;"",INDEX('Device Refrigerant Leakage'!$D$2:$D$42,MATCH($M49,'Device Refrigerant Leakage'!$B$2:$B$42,0))*CP49/2204.62*CO49,"")</f>
        <v/>
      </c>
      <c r="CT49" s="145" t="str">
        <f>IF($I49&lt;&gt;"",J49*(INDEX('Device Refrigerant Leakage'!$D$2:$D$42,MATCH($M49,'Device Refrigerant Leakage'!$B$2:$B$42,0))-(INDEX('Device Refrigerant Leakage'!$D$2:$D$42,MATCH($M49,'Device Refrigerant Leakage'!$B$2:$B$42,0)))*CR49*CP49)*CQ49/2204.62*CO49,"")</f>
        <v/>
      </c>
      <c r="CU49" s="135" t="str">
        <f>IF($I49&lt;&gt;"",J49*IF(W49&lt;&gt;"AR",(CS49*K49)+CT49,(CS49*AB49)+CT49*(AB49/INDEX('Device Refrigerant Leakage'!$C$2:$C$42,MATCH($M49,'Device Refrigerant Leakage'!$B$2:$B$42,0)))),"")</f>
        <v/>
      </c>
      <c r="CW49" s="135" t="str">
        <f>IF($I49&lt;&gt;"",IF(S49="User Specified",V49,INDEX('Refrigerant GWPs'!$G$2:$G$156,MATCH(S49,'Refrigerant GWPs'!$A$2:$A$157,0))),"")</f>
        <v/>
      </c>
      <c r="CX49" s="138" t="str">
        <f>IF($I49&lt;&gt;"",INDEX('Device Refrigerant Leakage'!$E$2:$E$42,MATCH($Q49,'Device Refrigerant Leakage'!$B$2:$B$42,0)),"")</f>
        <v/>
      </c>
      <c r="CY49" s="138" t="str">
        <f>IF($I49&lt;&gt;"",INDEX('Device Refrigerant Leakage'!$F$2:$F$42,MATCH($Q49,'Device Refrigerant Leakage'!$B$2:$B$42,0)),"")</f>
        <v/>
      </c>
      <c r="CZ49" s="145" t="str">
        <f>IF($I49&lt;&gt;"",INDEX('Device Refrigerant Leakage'!$G$2:$G$42,MATCH($Q49,'Device Refrigerant Leakage'!$B$2:$B$42,0)),"")</f>
        <v/>
      </c>
      <c r="DA49" s="145" t="str">
        <f>IF($I49&lt;&gt;"",J49*INDEX('Device Refrigerant Leakage'!$D$2:$D$42,MATCH($Q49,'Device Refrigerant Leakage'!$B$2:$B$42,0))*CX49/2204.62*CW49,"")</f>
        <v/>
      </c>
      <c r="DB49" s="145" t="str">
        <f>IF($I49&lt;&gt;"",J49*(INDEX('Device Refrigerant Leakage'!$D$2:$D$42,MATCH($Q49,'Device Refrigerant Leakage'!$B$2:$B$42,0))-(INDEX('Device Refrigerant Leakage'!$D$2:$D$42,MATCH($Q49,'Device Refrigerant Leakage'!$B$2:$B$42,0)))*CZ49*CX49)*CY49/2204.62*CW49,"")</f>
        <v/>
      </c>
      <c r="DC49" s="135" t="str">
        <f t="shared" si="59"/>
        <v/>
      </c>
      <c r="DE49" s="146" t="str">
        <f>IF(W49&lt;&gt;"AR","",IF(Y49="User Specified", AA49, INDEX('Refrigerant GWPs'!$G$2:$G$154,MATCH(Y49,'Refrigerant GWPs'!$A$2:$A$154,0))))</f>
        <v/>
      </c>
      <c r="DF49" s="146" t="str">
        <f>IF(W49&lt;&gt;"AR","",INDEX('Device Refrigerant Leakage'!$E$2:$E$42,MATCH(X49,'Device Refrigerant Leakage'!$B$2:$B$42,0)))</f>
        <v/>
      </c>
      <c r="DG49" s="146" t="str">
        <f>IF(W49&lt;&gt;"AR","",INDEX('Device Refrigerant Leakage'!$F$2:$F$42,MATCH(X49,'Device Refrigerant Leakage'!$B$2:$B$42,0)))</f>
        <v/>
      </c>
      <c r="DH49" s="146" t="str">
        <f>IF(W49&lt;&gt;"AR","",INDEX('Device Refrigerant Leakage'!$G$2:$G$42,MATCH(X49,'Device Refrigerant Leakage'!$B$2:$B$42,0)))</f>
        <v/>
      </c>
      <c r="DI49" s="146" t="str">
        <f>IF(W49&lt;&gt;"AR","",J49*INDEX('Device Refrigerant Leakage'!$D$2:$D$42,MATCH(X49,'Device Refrigerant Leakage'!$B$2:$B$42,0))*DF49/2204.62*DE49)</f>
        <v/>
      </c>
      <c r="DJ49" s="146" t="str">
        <f>IF(W49&lt;&gt;"AR","",J49*(INDEX('Device Refrigerant Leakage'!$D$2:$D$42,MATCH(X49,'Device Refrigerant Leakage'!$B$2:$B$42,0))-(INDEX('Device Refrigerant Leakage'!$D$2:$D$42,MATCH(X49,'Device Refrigerant Leakage'!$B$2:$B$42,0)))*DH49*DF49)*DG49/2204.62*DE49)</f>
        <v/>
      </c>
      <c r="DK49" s="146" t="str">
        <f>IF(W49&lt;&gt;"AR","",DI49*(K49-AB49)+'Fuel Sub Calcs-Deemed'!DJ49*((K49-AB49)/INDEX('Device Refrigerant Leakage'!$C$2:$C$42,MATCH('Fuel Sub Calcs-Deemed'!X49,'Device Refrigerant Leakage'!$B$2:$B$42,0))))</f>
        <v/>
      </c>
      <c r="DM49" s="56">
        <v>35</v>
      </c>
      <c r="DN49" s="67" t="e">
        <f t="shared" si="28"/>
        <v>#N/A</v>
      </c>
      <c r="DO49" s="45" t="e">
        <f t="shared" si="29"/>
        <v>#N/A</v>
      </c>
      <c r="DP49" s="67" t="e">
        <f t="shared" si="30"/>
        <v>#N/A</v>
      </c>
      <c r="DQ49" s="45" t="e">
        <f t="shared" si="31"/>
        <v>#N/A</v>
      </c>
      <c r="DR49" s="69" t="e">
        <f t="shared" si="32"/>
        <v>#N/A</v>
      </c>
      <c r="DS49" s="34"/>
      <c r="DT49" s="67" t="e">
        <f>((BX49*CJ49)+IF($W49=MAT_AR,(BZ49*CL49),0))*(1+Reference!$E$50+Reference!$E$51)</f>
        <v>#N/A</v>
      </c>
      <c r="DU49" s="67">
        <f>((BY49*CK49)+IF($W49=MAT_AR,(CA49*CM49),0))*(1+Reference!$G$50+Reference!$G$51)</f>
        <v>0</v>
      </c>
      <c r="DV49" s="67" t="e">
        <f t="shared" si="33"/>
        <v>#VALUE!</v>
      </c>
      <c r="DX49" s="56">
        <v>35</v>
      </c>
      <c r="DY49" s="67">
        <f t="shared" si="34"/>
        <v>0</v>
      </c>
      <c r="DZ49" s="45" t="e">
        <f>VLOOKUP($R49,Dropdown!$C$3:$D$4,2,FALSE)</f>
        <v>#N/A</v>
      </c>
      <c r="EA49" s="68">
        <f t="shared" si="35"/>
        <v>0</v>
      </c>
      <c r="EB49" s="68" t="str">
        <f t="shared" si="36"/>
        <v>N/A</v>
      </c>
      <c r="EC49" s="68">
        <f t="shared" si="37"/>
        <v>0</v>
      </c>
      <c r="ED49" s="68" t="str">
        <f t="shared" si="118"/>
        <v>N/A</v>
      </c>
      <c r="EF49" s="56">
        <v>35</v>
      </c>
      <c r="EG49" s="46">
        <f t="shared" si="39"/>
        <v>0</v>
      </c>
      <c r="EH49" s="68" t="e">
        <f t="shared" si="40"/>
        <v>#N/A</v>
      </c>
      <c r="EI49" s="68" t="e">
        <f t="shared" si="41"/>
        <v>#N/A</v>
      </c>
      <c r="EJ49" s="68" t="e">
        <f t="shared" si="42"/>
        <v>#N/A</v>
      </c>
      <c r="EK49" s="68" t="e">
        <f t="shared" si="43"/>
        <v>#N/A</v>
      </c>
      <c r="EL49" s="46">
        <f t="shared" si="44"/>
        <v>0</v>
      </c>
      <c r="EM49" s="46">
        <f t="shared" si="45"/>
        <v>0</v>
      </c>
    </row>
    <row r="50" spans="1:143">
      <c r="A50" s="89"/>
      <c r="B50" s="89"/>
      <c r="C50" s="89"/>
      <c r="D50" s="89"/>
      <c r="E50" s="89"/>
      <c r="F50" s="89"/>
      <c r="G50" s="34"/>
      <c r="H50" s="56">
        <f t="shared" si="46"/>
        <v>36</v>
      </c>
      <c r="I50" s="165"/>
      <c r="J50" s="163"/>
      <c r="K50" s="163"/>
      <c r="L50" s="164"/>
      <c r="M50" s="155"/>
      <c r="N50" s="155"/>
      <c r="O50" s="144"/>
      <c r="P50" s="159" t="str">
        <f>IFERROR(IF(O50&lt;&gt;"User Specified",IF(O50&lt;&gt;"", INDEX('Refrigerant GWPs'!$G$2:$G$154,MATCH(O50,'Refrigerant GWPs'!$A$2:$A$154,0)),""),U50),0)</f>
        <v/>
      </c>
      <c r="Q50" s="155"/>
      <c r="R50" s="155"/>
      <c r="S50" s="144"/>
      <c r="T50" s="159" t="str">
        <f>IF(S50&lt;&gt;"User Specified",IF(AND(S50&lt;&gt;"User Specified",S50&lt;&gt;""), INDEX('Refrigerant GWPs'!$G$2:$G$154,MATCH(S50,'Refrigerant GWPs'!$A$2:$A$154,0)),""),V50)</f>
        <v/>
      </c>
      <c r="U50" s="144"/>
      <c r="V50" s="144"/>
      <c r="W50" s="155"/>
      <c r="X50" s="155"/>
      <c r="Y50" s="144"/>
      <c r="Z50" s="159" t="str">
        <f>IF(AND(Y50&lt;&gt;"User Specified",Y50&lt;&gt;""), INDEX('Refrigerant GWPs'!$G$2:$G$154,MATCH(Y50,'Refrigerant GWPs'!$A$2:$A$154,0)),"")</f>
        <v/>
      </c>
      <c r="AA50" s="155"/>
      <c r="AB50" s="156"/>
      <c r="AC50" s="66"/>
      <c r="AD50" s="66"/>
      <c r="AE50" s="66"/>
      <c r="AF50" s="66"/>
      <c r="AG50" s="66"/>
      <c r="AH50" s="66"/>
      <c r="AI50" s="34"/>
      <c r="AJ50" s="88">
        <f t="shared" si="0"/>
        <v>0</v>
      </c>
      <c r="AK50" s="88">
        <f t="shared" si="1"/>
        <v>0</v>
      </c>
      <c r="AL50" s="88">
        <v>0</v>
      </c>
      <c r="AM50" s="88">
        <v>0</v>
      </c>
      <c r="AN50" s="81" t="str">
        <f t="shared" si="47"/>
        <v/>
      </c>
      <c r="AO50" s="88">
        <f t="shared" si="2"/>
        <v>0</v>
      </c>
      <c r="AP50" s="88">
        <f t="shared" si="3"/>
        <v>0</v>
      </c>
      <c r="AQ50" s="81" t="str">
        <f t="shared" si="4"/>
        <v/>
      </c>
      <c r="AS50" s="41" t="b">
        <f t="shared" si="5"/>
        <v>1</v>
      </c>
      <c r="AT50" s="38">
        <f t="shared" si="6"/>
        <v>0</v>
      </c>
      <c r="AU50" s="60">
        <f t="shared" si="7"/>
        <v>0</v>
      </c>
      <c r="AV50" s="41">
        <f t="shared" si="8"/>
        <v>0</v>
      </c>
      <c r="AW50" s="41" t="b">
        <f t="shared" si="9"/>
        <v>0</v>
      </c>
      <c r="AX50" t="str">
        <f t="shared" si="10"/>
        <v>+00</v>
      </c>
      <c r="AY50" t="str">
        <f t="shared" si="11"/>
        <v>+00</v>
      </c>
      <c r="BA50" s="47" t="b">
        <f t="shared" si="83"/>
        <v>1</v>
      </c>
      <c r="BB50" s="42" t="b">
        <f t="shared" si="84"/>
        <v>1</v>
      </c>
      <c r="BC50" s="42" t="b">
        <f t="shared" si="85"/>
        <v>0</v>
      </c>
      <c r="BD50" s="42" t="b">
        <f t="shared" si="86"/>
        <v>0</v>
      </c>
      <c r="BE50" s="70">
        <f t="shared" si="87"/>
        <v>0</v>
      </c>
      <c r="BF50" s="70">
        <f t="shared" si="88"/>
        <v>0</v>
      </c>
      <c r="BG50" s="34"/>
      <c r="BI50" s="47" t="b">
        <f t="shared" si="89"/>
        <v>1</v>
      </c>
      <c r="BJ50" s="47" t="b">
        <f t="shared" si="90"/>
        <v>1</v>
      </c>
      <c r="BK50" s="42" t="b">
        <f t="shared" si="91"/>
        <v>0</v>
      </c>
      <c r="BL50" s="42" t="b">
        <f t="shared" si="92"/>
        <v>0</v>
      </c>
      <c r="BM50" s="42">
        <f t="shared" si="93"/>
        <v>0</v>
      </c>
      <c r="BN50" s="42">
        <f t="shared" si="94"/>
        <v>0</v>
      </c>
      <c r="BP50" t="e">
        <f t="shared" si="95"/>
        <v>#N/A</v>
      </c>
      <c r="BQ50" t="e">
        <f t="shared" si="96"/>
        <v>#N/A</v>
      </c>
      <c r="BR50" t="e">
        <f t="shared" si="97"/>
        <v>#N/A</v>
      </c>
      <c r="BT50" s="60">
        <f t="shared" si="106"/>
        <v>0</v>
      </c>
      <c r="BU50" s="60">
        <f t="shared" si="107"/>
        <v>0</v>
      </c>
      <c r="BV50" s="60">
        <f t="shared" si="108"/>
        <v>0</v>
      </c>
      <c r="BW50" s="60">
        <f t="shared" si="109"/>
        <v>0</v>
      </c>
      <c r="BX50" s="60">
        <f t="shared" si="98"/>
        <v>0</v>
      </c>
      <c r="BY50" s="60">
        <f t="shared" si="99"/>
        <v>0</v>
      </c>
      <c r="BZ50" s="60">
        <f t="shared" si="100"/>
        <v>0</v>
      </c>
      <c r="CA50" s="60">
        <f t="shared" si="101"/>
        <v>0</v>
      </c>
      <c r="CB50" s="60" t="e">
        <f t="shared" si="110"/>
        <v>#N/A</v>
      </c>
      <c r="CC50" s="60">
        <f t="shared" si="111"/>
        <v>100000</v>
      </c>
      <c r="CD50" s="60" t="e">
        <f t="shared" si="112"/>
        <v>#N/A</v>
      </c>
      <c r="CE50" s="60">
        <f t="shared" si="113"/>
        <v>100000</v>
      </c>
      <c r="CF50" s="83" t="e">
        <f t="shared" si="102"/>
        <v>#N/A</v>
      </c>
      <c r="CG50" s="83">
        <f t="shared" si="103"/>
        <v>0</v>
      </c>
      <c r="CH50" s="83" t="e">
        <f t="shared" si="104"/>
        <v>#N/A</v>
      </c>
      <c r="CI50" s="83">
        <f t="shared" si="105"/>
        <v>0</v>
      </c>
      <c r="CJ50" s="86" t="e">
        <f t="shared" si="114"/>
        <v>#N/A</v>
      </c>
      <c r="CK50" s="82">
        <f t="shared" si="115"/>
        <v>5.3070370403969858E-3</v>
      </c>
      <c r="CL50" s="82" t="e">
        <f t="shared" si="116"/>
        <v>#N/A</v>
      </c>
      <c r="CM50" s="82">
        <f t="shared" si="117"/>
        <v>5.3070370403969858E-3</v>
      </c>
      <c r="CO50" s="149" t="str">
        <f>IF($I50&lt;&gt;"",IF(O50="User Specified",U50,INDEX('Refrigerant GWPs'!$G$2:$G$156,MATCH(O50,'Refrigerant GWPs'!$A$2:$A$156,0))),"")</f>
        <v/>
      </c>
      <c r="CP50" s="138" t="str">
        <f>IF($I50&lt;&gt;"",INDEX('Device Refrigerant Leakage'!$E$2:$E$42,MATCH($M50,'Device Refrigerant Leakage'!$B$2:$B$42,0)),"")</f>
        <v/>
      </c>
      <c r="CQ50" s="138" t="str">
        <f>IF($I50&lt;&gt;"",INDEX('Device Refrigerant Leakage'!$F$2:$F$42,MATCH($M50,'Device Refrigerant Leakage'!$B$2:$B$42,0)),"")</f>
        <v/>
      </c>
      <c r="CR50" s="145" t="str">
        <f>IF($I50&lt;&gt;"",INDEX('Device Refrigerant Leakage'!$G$2:$G$42,MATCH($M50,'Device Refrigerant Leakage'!$B$2:$B$42,0)),"")</f>
        <v/>
      </c>
      <c r="CS50" s="145" t="str">
        <f>IF($I50&lt;&gt;"",INDEX('Device Refrigerant Leakage'!$D$2:$D$42,MATCH($M50,'Device Refrigerant Leakage'!$B$2:$B$42,0))*CP50/2204.62*CO50,"")</f>
        <v/>
      </c>
      <c r="CT50" s="145" t="str">
        <f>IF($I50&lt;&gt;"",J50*(INDEX('Device Refrigerant Leakage'!$D$2:$D$42,MATCH($M50,'Device Refrigerant Leakage'!$B$2:$B$42,0))-(INDEX('Device Refrigerant Leakage'!$D$2:$D$42,MATCH($M50,'Device Refrigerant Leakage'!$B$2:$B$42,0)))*CR50*CP50)*CQ50/2204.62*CO50,"")</f>
        <v/>
      </c>
      <c r="CU50" s="135" t="str">
        <f>IF($I50&lt;&gt;"",J50*IF(W50&lt;&gt;"AR",(CS50*K50)+CT50,(CS50*AB50)+CT50*(AB50/INDEX('Device Refrigerant Leakage'!$C$2:$C$42,MATCH($M50,'Device Refrigerant Leakage'!$B$2:$B$42,0)))),"")</f>
        <v/>
      </c>
      <c r="CW50" s="135" t="str">
        <f>IF($I50&lt;&gt;"",IF(S50="User Specified",V50,INDEX('Refrigerant GWPs'!$G$2:$G$156,MATCH(S50,'Refrigerant GWPs'!$A$2:$A$157,0))),"")</f>
        <v/>
      </c>
      <c r="CX50" s="138" t="str">
        <f>IF($I50&lt;&gt;"",INDEX('Device Refrigerant Leakage'!$E$2:$E$42,MATCH($Q50,'Device Refrigerant Leakage'!$B$2:$B$42,0)),"")</f>
        <v/>
      </c>
      <c r="CY50" s="138" t="str">
        <f>IF($I50&lt;&gt;"",INDEX('Device Refrigerant Leakage'!$F$2:$F$42,MATCH($Q50,'Device Refrigerant Leakage'!$B$2:$B$42,0)),"")</f>
        <v/>
      </c>
      <c r="CZ50" s="145" t="str">
        <f>IF($I50&lt;&gt;"",INDEX('Device Refrigerant Leakage'!$G$2:$G$42,MATCH($Q50,'Device Refrigerant Leakage'!$B$2:$B$42,0)),"")</f>
        <v/>
      </c>
      <c r="DA50" s="145" t="str">
        <f>IF($I50&lt;&gt;"",J50*INDEX('Device Refrigerant Leakage'!$D$2:$D$42,MATCH($Q50,'Device Refrigerant Leakage'!$B$2:$B$42,0))*CX50/2204.62*CW50,"")</f>
        <v/>
      </c>
      <c r="DB50" s="145" t="str">
        <f>IF($I50&lt;&gt;"",J50*(INDEX('Device Refrigerant Leakage'!$D$2:$D$42,MATCH($Q50,'Device Refrigerant Leakage'!$B$2:$B$42,0))-(INDEX('Device Refrigerant Leakage'!$D$2:$D$42,MATCH($Q50,'Device Refrigerant Leakage'!$B$2:$B$42,0)))*CZ50*CX50)*CY50/2204.62*CW50,"")</f>
        <v/>
      </c>
      <c r="DC50" s="135" t="str">
        <f t="shared" si="59"/>
        <v/>
      </c>
      <c r="DE50" s="146" t="str">
        <f>IF(W50&lt;&gt;"AR","",IF(Y50="User Specified", AA50, INDEX('Refrigerant GWPs'!$G$2:$G$154,MATCH(Y50,'Refrigerant GWPs'!$A$2:$A$154,0))))</f>
        <v/>
      </c>
      <c r="DF50" s="146" t="str">
        <f>IF(W50&lt;&gt;"AR","",INDEX('Device Refrigerant Leakage'!$E$2:$E$42,MATCH(X50,'Device Refrigerant Leakage'!$B$2:$B$42,0)))</f>
        <v/>
      </c>
      <c r="DG50" s="146" t="str">
        <f>IF(W50&lt;&gt;"AR","",INDEX('Device Refrigerant Leakage'!$F$2:$F$42,MATCH(X50,'Device Refrigerant Leakage'!$B$2:$B$42,0)))</f>
        <v/>
      </c>
      <c r="DH50" s="146" t="str">
        <f>IF(W50&lt;&gt;"AR","",INDEX('Device Refrigerant Leakage'!$G$2:$G$42,MATCH(X50,'Device Refrigerant Leakage'!$B$2:$B$42,0)))</f>
        <v/>
      </c>
      <c r="DI50" s="146" t="str">
        <f>IF(W50&lt;&gt;"AR","",J50*INDEX('Device Refrigerant Leakage'!$D$2:$D$42,MATCH(X50,'Device Refrigerant Leakage'!$B$2:$B$42,0))*DF50/2204.62*DE50)</f>
        <v/>
      </c>
      <c r="DJ50" s="146" t="str">
        <f>IF(W50&lt;&gt;"AR","",J50*(INDEX('Device Refrigerant Leakage'!$D$2:$D$42,MATCH(X50,'Device Refrigerant Leakage'!$B$2:$B$42,0))-(INDEX('Device Refrigerant Leakage'!$D$2:$D$42,MATCH(X50,'Device Refrigerant Leakage'!$B$2:$B$42,0)))*DH50*DF50)*DG50/2204.62*DE50)</f>
        <v/>
      </c>
      <c r="DK50" s="146" t="str">
        <f>IF(W50&lt;&gt;"AR","",DI50*(K50-AB50)+'Fuel Sub Calcs-Deemed'!DJ50*((K50-AB50)/INDEX('Device Refrigerant Leakage'!$C$2:$C$42,MATCH('Fuel Sub Calcs-Deemed'!X50,'Device Refrigerant Leakage'!$B$2:$B$42,0))))</f>
        <v/>
      </c>
      <c r="DM50" s="56">
        <v>36</v>
      </c>
      <c r="DN50" s="67" t="e">
        <f t="shared" si="28"/>
        <v>#N/A</v>
      </c>
      <c r="DO50" s="45" t="e">
        <f t="shared" si="29"/>
        <v>#N/A</v>
      </c>
      <c r="DP50" s="67" t="e">
        <f t="shared" si="30"/>
        <v>#N/A</v>
      </c>
      <c r="DQ50" s="45" t="e">
        <f t="shared" si="31"/>
        <v>#N/A</v>
      </c>
      <c r="DR50" s="69" t="e">
        <f t="shared" si="32"/>
        <v>#N/A</v>
      </c>
      <c r="DS50" s="34"/>
      <c r="DT50" s="67" t="e">
        <f>((BX50*CJ50)+IF($W50=MAT_AR,(BZ50*CL50),0))*(1+Reference!$E$50+Reference!$E$51)</f>
        <v>#N/A</v>
      </c>
      <c r="DU50" s="67">
        <f>((BY50*CK50)+IF($W50=MAT_AR,(CA50*CM50),0))*(1+Reference!$G$50+Reference!$G$51)</f>
        <v>0</v>
      </c>
      <c r="DV50" s="67" t="e">
        <f t="shared" si="33"/>
        <v>#VALUE!</v>
      </c>
      <c r="DX50" s="56">
        <v>36</v>
      </c>
      <c r="DY50" s="67">
        <f t="shared" si="34"/>
        <v>0</v>
      </c>
      <c r="DZ50" s="45" t="e">
        <f>VLOOKUP($R50,Dropdown!$C$3:$D$4,2,FALSE)</f>
        <v>#N/A</v>
      </c>
      <c r="EA50" s="68">
        <f t="shared" si="35"/>
        <v>0</v>
      </c>
      <c r="EB50" s="68" t="str">
        <f t="shared" si="36"/>
        <v>N/A</v>
      </c>
      <c r="EC50" s="68">
        <f t="shared" si="37"/>
        <v>0</v>
      </c>
      <c r="ED50" s="68" t="str">
        <f t="shared" si="118"/>
        <v>N/A</v>
      </c>
      <c r="EF50" s="56">
        <v>36</v>
      </c>
      <c r="EG50" s="46">
        <f t="shared" si="39"/>
        <v>0</v>
      </c>
      <c r="EH50" s="68" t="e">
        <f t="shared" si="40"/>
        <v>#N/A</v>
      </c>
      <c r="EI50" s="68" t="e">
        <f t="shared" si="41"/>
        <v>#N/A</v>
      </c>
      <c r="EJ50" s="68" t="e">
        <f t="shared" si="42"/>
        <v>#N/A</v>
      </c>
      <c r="EK50" s="68" t="e">
        <f t="shared" si="43"/>
        <v>#N/A</v>
      </c>
      <c r="EL50" s="46">
        <f t="shared" si="44"/>
        <v>0</v>
      </c>
      <c r="EM50" s="46">
        <f t="shared" si="45"/>
        <v>0</v>
      </c>
    </row>
    <row r="51" spans="1:143">
      <c r="A51" s="89"/>
      <c r="B51" s="89"/>
      <c r="C51" s="89"/>
      <c r="D51" s="89"/>
      <c r="E51" s="89"/>
      <c r="F51" s="89"/>
      <c r="G51" s="34"/>
      <c r="H51" s="56">
        <f t="shared" si="46"/>
        <v>37</v>
      </c>
      <c r="I51" s="165"/>
      <c r="J51" s="163"/>
      <c r="K51" s="163"/>
      <c r="L51" s="164"/>
      <c r="M51" s="155"/>
      <c r="N51" s="155"/>
      <c r="O51" s="144"/>
      <c r="P51" s="159" t="str">
        <f>IFERROR(IF(O51&lt;&gt;"User Specified",IF(O51&lt;&gt;"", INDEX('Refrigerant GWPs'!$G$2:$G$154,MATCH(O51,'Refrigerant GWPs'!$A$2:$A$154,0)),""),U51),0)</f>
        <v/>
      </c>
      <c r="Q51" s="155"/>
      <c r="R51" s="155"/>
      <c r="S51" s="144"/>
      <c r="T51" s="159" t="str">
        <f>IF(S51&lt;&gt;"User Specified",IF(AND(S51&lt;&gt;"User Specified",S51&lt;&gt;""), INDEX('Refrigerant GWPs'!$G$2:$G$154,MATCH(S51,'Refrigerant GWPs'!$A$2:$A$154,0)),""),V51)</f>
        <v/>
      </c>
      <c r="U51" s="144"/>
      <c r="V51" s="144"/>
      <c r="W51" s="155"/>
      <c r="X51" s="155"/>
      <c r="Y51" s="144"/>
      <c r="Z51" s="159" t="str">
        <f>IF(AND(Y51&lt;&gt;"User Specified",Y51&lt;&gt;""), INDEX('Refrigerant GWPs'!$G$2:$G$154,MATCH(Y51,'Refrigerant GWPs'!$A$2:$A$154,0)),"")</f>
        <v/>
      </c>
      <c r="AA51" s="155"/>
      <c r="AB51" s="156"/>
      <c r="AC51" s="66"/>
      <c r="AD51" s="66"/>
      <c r="AE51" s="66"/>
      <c r="AF51" s="66"/>
      <c r="AG51" s="66"/>
      <c r="AH51" s="66"/>
      <c r="AI51" s="34"/>
      <c r="AJ51" s="88">
        <f t="shared" si="0"/>
        <v>0</v>
      </c>
      <c r="AK51" s="88">
        <f t="shared" si="1"/>
        <v>0</v>
      </c>
      <c r="AL51" s="88">
        <v>0</v>
      </c>
      <c r="AM51" s="88">
        <v>0</v>
      </c>
      <c r="AN51" s="81" t="str">
        <f t="shared" si="47"/>
        <v/>
      </c>
      <c r="AO51" s="88">
        <f t="shared" si="2"/>
        <v>0</v>
      </c>
      <c r="AP51" s="88">
        <f t="shared" si="3"/>
        <v>0</v>
      </c>
      <c r="AQ51" s="81" t="str">
        <f t="shared" si="4"/>
        <v/>
      </c>
      <c r="AS51" s="41" t="b">
        <f t="shared" si="5"/>
        <v>1</v>
      </c>
      <c r="AT51" s="38">
        <f t="shared" si="6"/>
        <v>0</v>
      </c>
      <c r="AU51" s="60">
        <f t="shared" si="7"/>
        <v>0</v>
      </c>
      <c r="AV51" s="41">
        <f t="shared" si="8"/>
        <v>0</v>
      </c>
      <c r="AW51" s="41" t="b">
        <f t="shared" si="9"/>
        <v>0</v>
      </c>
      <c r="AX51" t="str">
        <f t="shared" si="10"/>
        <v>+00</v>
      </c>
      <c r="AY51" t="str">
        <f t="shared" si="11"/>
        <v>+00</v>
      </c>
      <c r="BA51" s="47" t="b">
        <f t="shared" si="83"/>
        <v>1</v>
      </c>
      <c r="BB51" s="42" t="b">
        <f t="shared" si="84"/>
        <v>1</v>
      </c>
      <c r="BC51" s="42" t="b">
        <f t="shared" si="85"/>
        <v>0</v>
      </c>
      <c r="BD51" s="42" t="b">
        <f t="shared" si="86"/>
        <v>0</v>
      </c>
      <c r="BE51" s="70">
        <f t="shared" si="87"/>
        <v>0</v>
      </c>
      <c r="BF51" s="70">
        <f t="shared" si="88"/>
        <v>0</v>
      </c>
      <c r="BG51" s="34"/>
      <c r="BI51" s="47" t="b">
        <f t="shared" si="89"/>
        <v>1</v>
      </c>
      <c r="BJ51" s="47" t="b">
        <f t="shared" si="90"/>
        <v>1</v>
      </c>
      <c r="BK51" s="42" t="b">
        <f t="shared" si="91"/>
        <v>0</v>
      </c>
      <c r="BL51" s="42" t="b">
        <f t="shared" si="92"/>
        <v>0</v>
      </c>
      <c r="BM51" s="42">
        <f t="shared" si="93"/>
        <v>0</v>
      </c>
      <c r="BN51" s="42">
        <f t="shared" si="94"/>
        <v>0</v>
      </c>
      <c r="BP51" t="e">
        <f t="shared" si="95"/>
        <v>#N/A</v>
      </c>
      <c r="BQ51" t="e">
        <f t="shared" si="96"/>
        <v>#N/A</v>
      </c>
      <c r="BR51" t="e">
        <f t="shared" si="97"/>
        <v>#N/A</v>
      </c>
      <c r="BT51" s="60">
        <f t="shared" si="106"/>
        <v>0</v>
      </c>
      <c r="BU51" s="60">
        <f t="shared" si="107"/>
        <v>0</v>
      </c>
      <c r="BV51" s="60">
        <f t="shared" si="108"/>
        <v>0</v>
      </c>
      <c r="BW51" s="60">
        <f t="shared" si="109"/>
        <v>0</v>
      </c>
      <c r="BX51" s="60">
        <f t="shared" si="98"/>
        <v>0</v>
      </c>
      <c r="BY51" s="60">
        <f t="shared" si="99"/>
        <v>0</v>
      </c>
      <c r="BZ51" s="60">
        <f t="shared" si="100"/>
        <v>0</v>
      </c>
      <c r="CA51" s="60">
        <f t="shared" si="101"/>
        <v>0</v>
      </c>
      <c r="CB51" s="60" t="e">
        <f t="shared" si="110"/>
        <v>#N/A</v>
      </c>
      <c r="CC51" s="60">
        <f t="shared" si="111"/>
        <v>100000</v>
      </c>
      <c r="CD51" s="60" t="e">
        <f t="shared" si="112"/>
        <v>#N/A</v>
      </c>
      <c r="CE51" s="60">
        <f t="shared" si="113"/>
        <v>100000</v>
      </c>
      <c r="CF51" s="83" t="e">
        <f t="shared" si="102"/>
        <v>#N/A</v>
      </c>
      <c r="CG51" s="83">
        <f t="shared" si="103"/>
        <v>0</v>
      </c>
      <c r="CH51" s="83" t="e">
        <f t="shared" si="104"/>
        <v>#N/A</v>
      </c>
      <c r="CI51" s="83">
        <f t="shared" si="105"/>
        <v>0</v>
      </c>
      <c r="CJ51" s="86" t="e">
        <f t="shared" si="114"/>
        <v>#N/A</v>
      </c>
      <c r="CK51" s="82">
        <f t="shared" si="115"/>
        <v>5.3070370403969858E-3</v>
      </c>
      <c r="CL51" s="82" t="e">
        <f t="shared" si="116"/>
        <v>#N/A</v>
      </c>
      <c r="CM51" s="82">
        <f t="shared" si="117"/>
        <v>5.3070370403969858E-3</v>
      </c>
      <c r="CO51" s="149" t="str">
        <f>IF($I51&lt;&gt;"",IF(O51="User Specified",U51,INDEX('Refrigerant GWPs'!$G$2:$G$156,MATCH(O51,'Refrigerant GWPs'!$A$2:$A$156,0))),"")</f>
        <v/>
      </c>
      <c r="CP51" s="138" t="str">
        <f>IF($I51&lt;&gt;"",INDEX('Device Refrigerant Leakage'!$E$2:$E$42,MATCH($M51,'Device Refrigerant Leakage'!$B$2:$B$42,0)),"")</f>
        <v/>
      </c>
      <c r="CQ51" s="138" t="str">
        <f>IF($I51&lt;&gt;"",INDEX('Device Refrigerant Leakage'!$F$2:$F$42,MATCH($M51,'Device Refrigerant Leakage'!$B$2:$B$42,0)),"")</f>
        <v/>
      </c>
      <c r="CR51" s="145" t="str">
        <f>IF($I51&lt;&gt;"",INDEX('Device Refrigerant Leakage'!$G$2:$G$42,MATCH($M51,'Device Refrigerant Leakage'!$B$2:$B$42,0)),"")</f>
        <v/>
      </c>
      <c r="CS51" s="145" t="str">
        <f>IF($I51&lt;&gt;"",INDEX('Device Refrigerant Leakage'!$D$2:$D$42,MATCH($M51,'Device Refrigerant Leakage'!$B$2:$B$42,0))*CP51/2204.62*CO51,"")</f>
        <v/>
      </c>
      <c r="CT51" s="145" t="str">
        <f>IF($I51&lt;&gt;"",J51*(INDEX('Device Refrigerant Leakage'!$D$2:$D$42,MATCH($M51,'Device Refrigerant Leakage'!$B$2:$B$42,0))-(INDEX('Device Refrigerant Leakage'!$D$2:$D$42,MATCH($M51,'Device Refrigerant Leakage'!$B$2:$B$42,0)))*CR51*CP51)*CQ51/2204.62*CO51,"")</f>
        <v/>
      </c>
      <c r="CU51" s="135" t="str">
        <f>IF($I51&lt;&gt;"",J51*IF(W51&lt;&gt;"AR",(CS51*K51)+CT51,(CS51*AB51)+CT51*(AB51/INDEX('Device Refrigerant Leakage'!$C$2:$C$42,MATCH($M51,'Device Refrigerant Leakage'!$B$2:$B$42,0)))),"")</f>
        <v/>
      </c>
      <c r="CW51" s="135" t="str">
        <f>IF($I51&lt;&gt;"",IF(S51="User Specified",V51,INDEX('Refrigerant GWPs'!$G$2:$G$156,MATCH(S51,'Refrigerant GWPs'!$A$2:$A$157,0))),"")</f>
        <v/>
      </c>
      <c r="CX51" s="138" t="str">
        <f>IF($I51&lt;&gt;"",INDEX('Device Refrigerant Leakage'!$E$2:$E$42,MATCH($Q51,'Device Refrigerant Leakage'!$B$2:$B$42,0)),"")</f>
        <v/>
      </c>
      <c r="CY51" s="138" t="str">
        <f>IF($I51&lt;&gt;"",INDEX('Device Refrigerant Leakage'!$F$2:$F$42,MATCH($Q51,'Device Refrigerant Leakage'!$B$2:$B$42,0)),"")</f>
        <v/>
      </c>
      <c r="CZ51" s="145" t="str">
        <f>IF($I51&lt;&gt;"",INDEX('Device Refrigerant Leakage'!$G$2:$G$42,MATCH($Q51,'Device Refrigerant Leakage'!$B$2:$B$42,0)),"")</f>
        <v/>
      </c>
      <c r="DA51" s="145" t="str">
        <f>IF($I51&lt;&gt;"",J51*INDEX('Device Refrigerant Leakage'!$D$2:$D$42,MATCH($Q51,'Device Refrigerant Leakage'!$B$2:$B$42,0))*CX51/2204.62*CW51,"")</f>
        <v/>
      </c>
      <c r="DB51" s="145" t="str">
        <f>IF($I51&lt;&gt;"",J51*(INDEX('Device Refrigerant Leakage'!$D$2:$D$42,MATCH($Q51,'Device Refrigerant Leakage'!$B$2:$B$42,0))-(INDEX('Device Refrigerant Leakage'!$D$2:$D$42,MATCH($Q51,'Device Refrigerant Leakage'!$B$2:$B$42,0)))*CZ51*CX51)*CY51/2204.62*CW51,"")</f>
        <v/>
      </c>
      <c r="DC51" s="135" t="str">
        <f t="shared" si="59"/>
        <v/>
      </c>
      <c r="DE51" s="146" t="str">
        <f>IF(W51&lt;&gt;"AR","",IF(Y51="User Specified", AA51, INDEX('Refrigerant GWPs'!$G$2:$G$154,MATCH(Y51,'Refrigerant GWPs'!$A$2:$A$154,0))))</f>
        <v/>
      </c>
      <c r="DF51" s="146" t="str">
        <f>IF(W51&lt;&gt;"AR","",INDEX('Device Refrigerant Leakage'!$E$2:$E$42,MATCH(X51,'Device Refrigerant Leakage'!$B$2:$B$42,0)))</f>
        <v/>
      </c>
      <c r="DG51" s="146" t="str">
        <f>IF(W51&lt;&gt;"AR","",INDEX('Device Refrigerant Leakage'!$F$2:$F$42,MATCH(X51,'Device Refrigerant Leakage'!$B$2:$B$42,0)))</f>
        <v/>
      </c>
      <c r="DH51" s="146" t="str">
        <f>IF(W51&lt;&gt;"AR","",INDEX('Device Refrigerant Leakage'!$G$2:$G$42,MATCH(X51,'Device Refrigerant Leakage'!$B$2:$B$42,0)))</f>
        <v/>
      </c>
      <c r="DI51" s="146" t="str">
        <f>IF(W51&lt;&gt;"AR","",J51*INDEX('Device Refrigerant Leakage'!$D$2:$D$42,MATCH(X51,'Device Refrigerant Leakage'!$B$2:$B$42,0))*DF51/2204.62*DE51)</f>
        <v/>
      </c>
      <c r="DJ51" s="146" t="str">
        <f>IF(W51&lt;&gt;"AR","",J51*(INDEX('Device Refrigerant Leakage'!$D$2:$D$42,MATCH(X51,'Device Refrigerant Leakage'!$B$2:$B$42,0))-(INDEX('Device Refrigerant Leakage'!$D$2:$D$42,MATCH(X51,'Device Refrigerant Leakage'!$B$2:$B$42,0)))*DH51*DF51)*DG51/2204.62*DE51)</f>
        <v/>
      </c>
      <c r="DK51" s="146" t="str">
        <f>IF(W51&lt;&gt;"AR","",DI51*(K51-AB51)+'Fuel Sub Calcs-Deemed'!DJ51*((K51-AB51)/INDEX('Device Refrigerant Leakage'!$C$2:$C$42,MATCH('Fuel Sub Calcs-Deemed'!X51,'Device Refrigerant Leakage'!$B$2:$B$42,0))))</f>
        <v/>
      </c>
      <c r="DM51" s="56">
        <v>37</v>
      </c>
      <c r="DN51" s="67" t="e">
        <f t="shared" si="28"/>
        <v>#N/A</v>
      </c>
      <c r="DO51" s="45" t="e">
        <f t="shared" si="29"/>
        <v>#N/A</v>
      </c>
      <c r="DP51" s="67" t="e">
        <f t="shared" si="30"/>
        <v>#N/A</v>
      </c>
      <c r="DQ51" s="45" t="e">
        <f t="shared" si="31"/>
        <v>#N/A</v>
      </c>
      <c r="DR51" s="69" t="e">
        <f t="shared" si="32"/>
        <v>#N/A</v>
      </c>
      <c r="DS51" s="34"/>
      <c r="DT51" s="67" t="e">
        <f>((BX51*CJ51)+IF($W51=MAT_AR,(BZ51*CL51),0))*(1+Reference!$E$50+Reference!$E$51)</f>
        <v>#N/A</v>
      </c>
      <c r="DU51" s="67">
        <f>((BY51*CK51)+IF($W51=MAT_AR,(CA51*CM51),0))*(1+Reference!$G$50+Reference!$G$51)</f>
        <v>0</v>
      </c>
      <c r="DV51" s="67" t="e">
        <f t="shared" si="33"/>
        <v>#VALUE!</v>
      </c>
      <c r="DX51" s="56">
        <v>37</v>
      </c>
      <c r="DY51" s="67">
        <f t="shared" si="34"/>
        <v>0</v>
      </c>
      <c r="DZ51" s="45" t="e">
        <f>VLOOKUP($R51,Dropdown!$C$3:$D$4,2,FALSE)</f>
        <v>#N/A</v>
      </c>
      <c r="EA51" s="68">
        <f t="shared" si="35"/>
        <v>0</v>
      </c>
      <c r="EB51" s="68" t="str">
        <f t="shared" si="36"/>
        <v>N/A</v>
      </c>
      <c r="EC51" s="68">
        <f t="shared" si="37"/>
        <v>0</v>
      </c>
      <c r="ED51" s="68" t="str">
        <f t="shared" si="118"/>
        <v>N/A</v>
      </c>
      <c r="EF51" s="56">
        <v>37</v>
      </c>
      <c r="EG51" s="46">
        <f t="shared" si="39"/>
        <v>0</v>
      </c>
      <c r="EH51" s="68" t="e">
        <f t="shared" si="40"/>
        <v>#N/A</v>
      </c>
      <c r="EI51" s="68" t="e">
        <f t="shared" si="41"/>
        <v>#N/A</v>
      </c>
      <c r="EJ51" s="68" t="e">
        <f t="shared" si="42"/>
        <v>#N/A</v>
      </c>
      <c r="EK51" s="68" t="e">
        <f t="shared" si="43"/>
        <v>#N/A</v>
      </c>
      <c r="EL51" s="46">
        <f t="shared" si="44"/>
        <v>0</v>
      </c>
      <c r="EM51" s="46">
        <f t="shared" si="45"/>
        <v>0</v>
      </c>
    </row>
    <row r="52" spans="1:143">
      <c r="A52" s="89"/>
      <c r="B52" s="89"/>
      <c r="C52" s="89"/>
      <c r="D52" s="89"/>
      <c r="E52" s="89"/>
      <c r="F52" s="89"/>
      <c r="G52" s="34"/>
      <c r="H52" s="56">
        <f t="shared" si="46"/>
        <v>38</v>
      </c>
      <c r="I52" s="165"/>
      <c r="J52" s="163"/>
      <c r="K52" s="163"/>
      <c r="L52" s="164"/>
      <c r="M52" s="155"/>
      <c r="N52" s="155"/>
      <c r="O52" s="144"/>
      <c r="P52" s="159" t="str">
        <f>IFERROR(IF(O52&lt;&gt;"User Specified",IF(O52&lt;&gt;"", INDEX('Refrigerant GWPs'!$G$2:$G$154,MATCH(O52,'Refrigerant GWPs'!$A$2:$A$154,0)),""),U52),0)</f>
        <v/>
      </c>
      <c r="Q52" s="155"/>
      <c r="R52" s="155"/>
      <c r="S52" s="144"/>
      <c r="T52" s="159" t="str">
        <f>IF(S52&lt;&gt;"User Specified",IF(AND(S52&lt;&gt;"User Specified",S52&lt;&gt;""), INDEX('Refrigerant GWPs'!$G$2:$G$154,MATCH(S52,'Refrigerant GWPs'!$A$2:$A$154,0)),""),V52)</f>
        <v/>
      </c>
      <c r="U52" s="144"/>
      <c r="V52" s="144"/>
      <c r="W52" s="155"/>
      <c r="X52" s="155"/>
      <c r="Y52" s="144"/>
      <c r="Z52" s="159" t="str">
        <f>IF(AND(Y52&lt;&gt;"User Specified",Y52&lt;&gt;""), INDEX('Refrigerant GWPs'!$G$2:$G$154,MATCH(Y52,'Refrigerant GWPs'!$A$2:$A$154,0)),"")</f>
        <v/>
      </c>
      <c r="AA52" s="155"/>
      <c r="AB52" s="156"/>
      <c r="AC52" s="66"/>
      <c r="AD52" s="66"/>
      <c r="AE52" s="66"/>
      <c r="AF52" s="66"/>
      <c r="AG52" s="66"/>
      <c r="AH52" s="66"/>
      <c r="AI52" s="34"/>
      <c r="AJ52" s="88">
        <f t="shared" si="0"/>
        <v>0</v>
      </c>
      <c r="AK52" s="88">
        <f t="shared" si="1"/>
        <v>0</v>
      </c>
      <c r="AL52" s="88">
        <v>0</v>
      </c>
      <c r="AM52" s="88">
        <v>0</v>
      </c>
      <c r="AN52" s="81" t="str">
        <f t="shared" si="47"/>
        <v/>
      </c>
      <c r="AO52" s="88">
        <f t="shared" si="2"/>
        <v>0</v>
      </c>
      <c r="AP52" s="88">
        <f t="shared" si="3"/>
        <v>0</v>
      </c>
      <c r="AQ52" s="81" t="str">
        <f t="shared" si="4"/>
        <v/>
      </c>
      <c r="AS52" s="41" t="b">
        <f t="shared" si="5"/>
        <v>1</v>
      </c>
      <c r="AT52" s="38">
        <f t="shared" si="6"/>
        <v>0</v>
      </c>
      <c r="AU52" s="60">
        <f t="shared" si="7"/>
        <v>0</v>
      </c>
      <c r="AV52" s="41">
        <f t="shared" si="8"/>
        <v>0</v>
      </c>
      <c r="AW52" s="41" t="b">
        <f t="shared" si="9"/>
        <v>0</v>
      </c>
      <c r="AX52" t="str">
        <f t="shared" si="10"/>
        <v>+00</v>
      </c>
      <c r="AY52" t="str">
        <f t="shared" si="11"/>
        <v>+00</v>
      </c>
      <c r="BA52" s="47" t="b">
        <f t="shared" si="83"/>
        <v>1</v>
      </c>
      <c r="BB52" s="42" t="b">
        <f t="shared" si="84"/>
        <v>1</v>
      </c>
      <c r="BC52" s="42" t="b">
        <f t="shared" si="85"/>
        <v>0</v>
      </c>
      <c r="BD52" s="42" t="b">
        <f t="shared" si="86"/>
        <v>0</v>
      </c>
      <c r="BE52" s="70">
        <f t="shared" si="87"/>
        <v>0</v>
      </c>
      <c r="BF52" s="70">
        <f t="shared" si="88"/>
        <v>0</v>
      </c>
      <c r="BG52" s="34"/>
      <c r="BI52" s="47" t="b">
        <f t="shared" si="89"/>
        <v>1</v>
      </c>
      <c r="BJ52" s="47" t="b">
        <f t="shared" si="90"/>
        <v>1</v>
      </c>
      <c r="BK52" s="42" t="b">
        <f t="shared" si="91"/>
        <v>0</v>
      </c>
      <c r="BL52" s="42" t="b">
        <f t="shared" si="92"/>
        <v>0</v>
      </c>
      <c r="BM52" s="42">
        <f t="shared" si="93"/>
        <v>0</v>
      </c>
      <c r="BN52" s="42">
        <f t="shared" si="94"/>
        <v>0</v>
      </c>
      <c r="BP52" t="e">
        <f t="shared" si="95"/>
        <v>#N/A</v>
      </c>
      <c r="BQ52" t="e">
        <f t="shared" si="96"/>
        <v>#N/A</v>
      </c>
      <c r="BR52" t="e">
        <f t="shared" si="97"/>
        <v>#N/A</v>
      </c>
      <c r="BT52" s="60">
        <f t="shared" si="106"/>
        <v>0</v>
      </c>
      <c r="BU52" s="60">
        <f t="shared" si="107"/>
        <v>0</v>
      </c>
      <c r="BV52" s="60">
        <f t="shared" si="108"/>
        <v>0</v>
      </c>
      <c r="BW52" s="60">
        <f t="shared" si="109"/>
        <v>0</v>
      </c>
      <c r="BX52" s="60">
        <f t="shared" si="98"/>
        <v>0</v>
      </c>
      <c r="BY52" s="60">
        <f t="shared" si="99"/>
        <v>0</v>
      </c>
      <c r="BZ52" s="60">
        <f t="shared" si="100"/>
        <v>0</v>
      </c>
      <c r="CA52" s="60">
        <f t="shared" si="101"/>
        <v>0</v>
      </c>
      <c r="CB52" s="60" t="e">
        <f t="shared" si="110"/>
        <v>#N/A</v>
      </c>
      <c r="CC52" s="60">
        <f t="shared" si="111"/>
        <v>100000</v>
      </c>
      <c r="CD52" s="60" t="e">
        <f t="shared" si="112"/>
        <v>#N/A</v>
      </c>
      <c r="CE52" s="60">
        <f t="shared" si="113"/>
        <v>100000</v>
      </c>
      <c r="CF52" s="83" t="e">
        <f t="shared" si="102"/>
        <v>#N/A</v>
      </c>
      <c r="CG52" s="83">
        <f t="shared" si="103"/>
        <v>0</v>
      </c>
      <c r="CH52" s="83" t="e">
        <f t="shared" si="104"/>
        <v>#N/A</v>
      </c>
      <c r="CI52" s="83">
        <f t="shared" si="105"/>
        <v>0</v>
      </c>
      <c r="CJ52" s="86" t="e">
        <f t="shared" si="114"/>
        <v>#N/A</v>
      </c>
      <c r="CK52" s="82">
        <f t="shared" si="115"/>
        <v>5.3070370403969858E-3</v>
      </c>
      <c r="CL52" s="82" t="e">
        <f t="shared" si="116"/>
        <v>#N/A</v>
      </c>
      <c r="CM52" s="82">
        <f t="shared" si="117"/>
        <v>5.3070370403969858E-3</v>
      </c>
      <c r="CO52" s="149" t="str">
        <f>IF($I52&lt;&gt;"",IF(O52="User Specified",U52,INDEX('Refrigerant GWPs'!$G$2:$G$156,MATCH(O52,'Refrigerant GWPs'!$A$2:$A$156,0))),"")</f>
        <v/>
      </c>
      <c r="CP52" s="138" t="str">
        <f>IF($I52&lt;&gt;"",INDEX('Device Refrigerant Leakage'!$E$2:$E$42,MATCH($M52,'Device Refrigerant Leakage'!$B$2:$B$42,0)),"")</f>
        <v/>
      </c>
      <c r="CQ52" s="138" t="str">
        <f>IF($I52&lt;&gt;"",INDEX('Device Refrigerant Leakage'!$F$2:$F$42,MATCH($M52,'Device Refrigerant Leakage'!$B$2:$B$42,0)),"")</f>
        <v/>
      </c>
      <c r="CR52" s="145" t="str">
        <f>IF($I52&lt;&gt;"",INDEX('Device Refrigerant Leakage'!$G$2:$G$42,MATCH($M52,'Device Refrigerant Leakage'!$B$2:$B$42,0)),"")</f>
        <v/>
      </c>
      <c r="CS52" s="145" t="str">
        <f>IF($I52&lt;&gt;"",INDEX('Device Refrigerant Leakage'!$D$2:$D$42,MATCH($M52,'Device Refrigerant Leakage'!$B$2:$B$42,0))*CP52/2204.62*CO52,"")</f>
        <v/>
      </c>
      <c r="CT52" s="145" t="str">
        <f>IF($I52&lt;&gt;"",J52*(INDEX('Device Refrigerant Leakage'!$D$2:$D$42,MATCH($M52,'Device Refrigerant Leakage'!$B$2:$B$42,0))-(INDEX('Device Refrigerant Leakage'!$D$2:$D$42,MATCH($M52,'Device Refrigerant Leakage'!$B$2:$B$42,0)))*CR52*CP52)*CQ52/2204.62*CO52,"")</f>
        <v/>
      </c>
      <c r="CU52" s="135" t="str">
        <f>IF($I52&lt;&gt;"",J52*IF(W52&lt;&gt;"AR",(CS52*K52)+CT52,(CS52*AB52)+CT52*(AB52/INDEX('Device Refrigerant Leakage'!$C$2:$C$42,MATCH($M52,'Device Refrigerant Leakage'!$B$2:$B$42,0)))),"")</f>
        <v/>
      </c>
      <c r="CW52" s="135" t="str">
        <f>IF($I52&lt;&gt;"",IF(S52="User Specified",V52,INDEX('Refrigerant GWPs'!$G$2:$G$156,MATCH(S52,'Refrigerant GWPs'!$A$2:$A$157,0))),"")</f>
        <v/>
      </c>
      <c r="CX52" s="138" t="str">
        <f>IF($I52&lt;&gt;"",INDEX('Device Refrigerant Leakage'!$E$2:$E$42,MATCH($Q52,'Device Refrigerant Leakage'!$B$2:$B$42,0)),"")</f>
        <v/>
      </c>
      <c r="CY52" s="138" t="str">
        <f>IF($I52&lt;&gt;"",INDEX('Device Refrigerant Leakage'!$F$2:$F$42,MATCH($Q52,'Device Refrigerant Leakage'!$B$2:$B$42,0)),"")</f>
        <v/>
      </c>
      <c r="CZ52" s="145" t="str">
        <f>IF($I52&lt;&gt;"",INDEX('Device Refrigerant Leakage'!$G$2:$G$42,MATCH($Q52,'Device Refrigerant Leakage'!$B$2:$B$42,0)),"")</f>
        <v/>
      </c>
      <c r="DA52" s="145" t="str">
        <f>IF($I52&lt;&gt;"",J52*INDEX('Device Refrigerant Leakage'!$D$2:$D$42,MATCH($Q52,'Device Refrigerant Leakage'!$B$2:$B$42,0))*CX52/2204.62*CW52,"")</f>
        <v/>
      </c>
      <c r="DB52" s="145" t="str">
        <f>IF($I52&lt;&gt;"",J52*(INDEX('Device Refrigerant Leakage'!$D$2:$D$42,MATCH($Q52,'Device Refrigerant Leakage'!$B$2:$B$42,0))-(INDEX('Device Refrigerant Leakage'!$D$2:$D$42,MATCH($Q52,'Device Refrigerant Leakage'!$B$2:$B$42,0)))*CZ52*CX52)*CY52/2204.62*CW52,"")</f>
        <v/>
      </c>
      <c r="DC52" s="135" t="str">
        <f t="shared" si="59"/>
        <v/>
      </c>
      <c r="DE52" s="146" t="str">
        <f>IF(W52&lt;&gt;"AR","",IF(Y52="User Specified", AA52, INDEX('Refrigerant GWPs'!$G$2:$G$154,MATCH(Y52,'Refrigerant GWPs'!$A$2:$A$154,0))))</f>
        <v/>
      </c>
      <c r="DF52" s="146" t="str">
        <f>IF(W52&lt;&gt;"AR","",INDEX('Device Refrigerant Leakage'!$E$2:$E$42,MATCH(X52,'Device Refrigerant Leakage'!$B$2:$B$42,0)))</f>
        <v/>
      </c>
      <c r="DG52" s="146" t="str">
        <f>IF(W52&lt;&gt;"AR","",INDEX('Device Refrigerant Leakage'!$F$2:$F$42,MATCH(X52,'Device Refrigerant Leakage'!$B$2:$B$42,0)))</f>
        <v/>
      </c>
      <c r="DH52" s="146" t="str">
        <f>IF(W52&lt;&gt;"AR","",INDEX('Device Refrigerant Leakage'!$G$2:$G$42,MATCH(X52,'Device Refrigerant Leakage'!$B$2:$B$42,0)))</f>
        <v/>
      </c>
      <c r="DI52" s="146" t="str">
        <f>IF(W52&lt;&gt;"AR","",J52*INDEX('Device Refrigerant Leakage'!$D$2:$D$42,MATCH(X52,'Device Refrigerant Leakage'!$B$2:$B$42,0))*DF52/2204.62*DE52)</f>
        <v/>
      </c>
      <c r="DJ52" s="146" t="str">
        <f>IF(W52&lt;&gt;"AR","",J52*(INDEX('Device Refrigerant Leakage'!$D$2:$D$42,MATCH(X52,'Device Refrigerant Leakage'!$B$2:$B$42,0))-(INDEX('Device Refrigerant Leakage'!$D$2:$D$42,MATCH(X52,'Device Refrigerant Leakage'!$B$2:$B$42,0)))*DH52*DF52)*DG52/2204.62*DE52)</f>
        <v/>
      </c>
      <c r="DK52" s="146" t="str">
        <f>IF(W52&lt;&gt;"AR","",DI52*(K52-AB52)+'Fuel Sub Calcs-Deemed'!DJ52*((K52-AB52)/INDEX('Device Refrigerant Leakage'!$C$2:$C$42,MATCH('Fuel Sub Calcs-Deemed'!X52,'Device Refrigerant Leakage'!$B$2:$B$42,0))))</f>
        <v/>
      </c>
      <c r="DM52" s="56">
        <v>38</v>
      </c>
      <c r="DN52" s="67" t="e">
        <f t="shared" si="28"/>
        <v>#N/A</v>
      </c>
      <c r="DO52" s="45" t="e">
        <f t="shared" si="29"/>
        <v>#N/A</v>
      </c>
      <c r="DP52" s="67" t="e">
        <f t="shared" si="30"/>
        <v>#N/A</v>
      </c>
      <c r="DQ52" s="45" t="e">
        <f t="shared" si="31"/>
        <v>#N/A</v>
      </c>
      <c r="DR52" s="69" t="e">
        <f t="shared" si="32"/>
        <v>#N/A</v>
      </c>
      <c r="DS52" s="34"/>
      <c r="DT52" s="67" t="e">
        <f>((BX52*CJ52)+IF($W52=MAT_AR,(BZ52*CL52),0))*(1+Reference!$E$50+Reference!$E$51)</f>
        <v>#N/A</v>
      </c>
      <c r="DU52" s="67">
        <f>((BY52*CK52)+IF($W52=MAT_AR,(CA52*CM52),0))*(1+Reference!$G$50+Reference!$G$51)</f>
        <v>0</v>
      </c>
      <c r="DV52" s="67" t="e">
        <f t="shared" si="33"/>
        <v>#VALUE!</v>
      </c>
      <c r="DX52" s="56">
        <v>38</v>
      </c>
      <c r="DY52" s="67">
        <f t="shared" si="34"/>
        <v>0</v>
      </c>
      <c r="DZ52" s="45" t="e">
        <f>VLOOKUP($R52,Dropdown!$C$3:$D$4,2,FALSE)</f>
        <v>#N/A</v>
      </c>
      <c r="EA52" s="68">
        <f t="shared" si="35"/>
        <v>0</v>
      </c>
      <c r="EB52" s="68" t="str">
        <f t="shared" si="36"/>
        <v>N/A</v>
      </c>
      <c r="EC52" s="68">
        <f t="shared" si="37"/>
        <v>0</v>
      </c>
      <c r="ED52" s="68" t="str">
        <f t="shared" si="118"/>
        <v>N/A</v>
      </c>
      <c r="EF52" s="56">
        <v>38</v>
      </c>
      <c r="EG52" s="46">
        <f t="shared" si="39"/>
        <v>0</v>
      </c>
      <c r="EH52" s="68" t="e">
        <f t="shared" si="40"/>
        <v>#N/A</v>
      </c>
      <c r="EI52" s="68" t="e">
        <f t="shared" si="41"/>
        <v>#N/A</v>
      </c>
      <c r="EJ52" s="68" t="e">
        <f t="shared" si="42"/>
        <v>#N/A</v>
      </c>
      <c r="EK52" s="68" t="e">
        <f t="shared" si="43"/>
        <v>#N/A</v>
      </c>
      <c r="EL52" s="46">
        <f t="shared" si="44"/>
        <v>0</v>
      </c>
      <c r="EM52" s="46">
        <f t="shared" si="45"/>
        <v>0</v>
      </c>
    </row>
    <row r="53" spans="1:143">
      <c r="A53" s="89"/>
      <c r="B53" s="89"/>
      <c r="C53" s="89"/>
      <c r="D53" s="89"/>
      <c r="E53" s="89"/>
      <c r="F53" s="89"/>
      <c r="G53" s="34"/>
      <c r="H53" s="56">
        <f t="shared" si="46"/>
        <v>39</v>
      </c>
      <c r="I53" s="165"/>
      <c r="J53" s="163"/>
      <c r="K53" s="163"/>
      <c r="L53" s="164"/>
      <c r="M53" s="155"/>
      <c r="N53" s="155"/>
      <c r="O53" s="144"/>
      <c r="P53" s="159" t="str">
        <f>IFERROR(IF(O53&lt;&gt;"User Specified",IF(O53&lt;&gt;"", INDEX('Refrigerant GWPs'!$G$2:$G$154,MATCH(O53,'Refrigerant GWPs'!$A$2:$A$154,0)),""),U53),0)</f>
        <v/>
      </c>
      <c r="Q53" s="155"/>
      <c r="R53" s="155"/>
      <c r="S53" s="144"/>
      <c r="T53" s="159" t="str">
        <f>IF(S53&lt;&gt;"User Specified",IF(AND(S53&lt;&gt;"User Specified",S53&lt;&gt;""), INDEX('Refrigerant GWPs'!$G$2:$G$154,MATCH(S53,'Refrigerant GWPs'!$A$2:$A$154,0)),""),V53)</f>
        <v/>
      </c>
      <c r="U53" s="144"/>
      <c r="V53" s="144"/>
      <c r="W53" s="155"/>
      <c r="X53" s="155"/>
      <c r="Y53" s="144"/>
      <c r="Z53" s="159" t="str">
        <f>IF(AND(Y53&lt;&gt;"User Specified",Y53&lt;&gt;""), INDEX('Refrigerant GWPs'!$G$2:$G$154,MATCH(Y53,'Refrigerant GWPs'!$A$2:$A$154,0)),"")</f>
        <v/>
      </c>
      <c r="AA53" s="155"/>
      <c r="AB53" s="156"/>
      <c r="AC53" s="66"/>
      <c r="AD53" s="66"/>
      <c r="AE53" s="66"/>
      <c r="AF53" s="66"/>
      <c r="AG53" s="66"/>
      <c r="AH53" s="66"/>
      <c r="AI53" s="34"/>
      <c r="AJ53" s="88">
        <f t="shared" si="0"/>
        <v>0</v>
      </c>
      <c r="AK53" s="88">
        <f t="shared" si="1"/>
        <v>0</v>
      </c>
      <c r="AL53" s="88">
        <v>0</v>
      </c>
      <c r="AM53" s="88">
        <v>0</v>
      </c>
      <c r="AN53" s="81" t="str">
        <f t="shared" si="47"/>
        <v/>
      </c>
      <c r="AO53" s="88">
        <f t="shared" si="2"/>
        <v>0</v>
      </c>
      <c r="AP53" s="88">
        <f t="shared" si="3"/>
        <v>0</v>
      </c>
      <c r="AQ53" s="81" t="str">
        <f t="shared" si="4"/>
        <v/>
      </c>
      <c r="AS53" s="41" t="b">
        <f t="shared" si="5"/>
        <v>1</v>
      </c>
      <c r="AT53" s="38">
        <f t="shared" si="6"/>
        <v>0</v>
      </c>
      <c r="AU53" s="60">
        <f t="shared" si="7"/>
        <v>0</v>
      </c>
      <c r="AV53" s="41">
        <f t="shared" si="8"/>
        <v>0</v>
      </c>
      <c r="AW53" s="41" t="b">
        <f t="shared" si="9"/>
        <v>0</v>
      </c>
      <c r="AX53" t="str">
        <f t="shared" si="10"/>
        <v>+00</v>
      </c>
      <c r="AY53" t="str">
        <f t="shared" si="11"/>
        <v>+00</v>
      </c>
      <c r="BA53" s="47" t="b">
        <f t="shared" si="83"/>
        <v>1</v>
      </c>
      <c r="BB53" s="42" t="b">
        <f t="shared" si="84"/>
        <v>1</v>
      </c>
      <c r="BC53" s="42" t="b">
        <f t="shared" si="85"/>
        <v>0</v>
      </c>
      <c r="BD53" s="42" t="b">
        <f t="shared" si="86"/>
        <v>0</v>
      </c>
      <c r="BE53" s="70">
        <f t="shared" si="87"/>
        <v>0</v>
      </c>
      <c r="BF53" s="70">
        <f t="shared" si="88"/>
        <v>0</v>
      </c>
      <c r="BG53" s="34"/>
      <c r="BI53" s="47" t="b">
        <f t="shared" si="89"/>
        <v>1</v>
      </c>
      <c r="BJ53" s="47" t="b">
        <f t="shared" si="90"/>
        <v>1</v>
      </c>
      <c r="BK53" s="42" t="b">
        <f t="shared" si="91"/>
        <v>0</v>
      </c>
      <c r="BL53" s="42" t="b">
        <f t="shared" si="92"/>
        <v>0</v>
      </c>
      <c r="BM53" s="42">
        <f t="shared" si="93"/>
        <v>0</v>
      </c>
      <c r="BN53" s="42">
        <f t="shared" si="94"/>
        <v>0</v>
      </c>
      <c r="BP53" t="e">
        <f t="shared" si="95"/>
        <v>#N/A</v>
      </c>
      <c r="BQ53" t="e">
        <f t="shared" si="96"/>
        <v>#N/A</v>
      </c>
      <c r="BR53" t="e">
        <f t="shared" si="97"/>
        <v>#N/A</v>
      </c>
      <c r="BT53" s="60">
        <f t="shared" si="106"/>
        <v>0</v>
      </c>
      <c r="BU53" s="60">
        <f t="shared" si="107"/>
        <v>0</v>
      </c>
      <c r="BV53" s="60">
        <f t="shared" si="108"/>
        <v>0</v>
      </c>
      <c r="BW53" s="60">
        <f t="shared" si="109"/>
        <v>0</v>
      </c>
      <c r="BX53" s="60">
        <f t="shared" si="98"/>
        <v>0</v>
      </c>
      <c r="BY53" s="60">
        <f t="shared" si="99"/>
        <v>0</v>
      </c>
      <c r="BZ53" s="60">
        <f t="shared" si="100"/>
        <v>0</v>
      </c>
      <c r="CA53" s="60">
        <f t="shared" si="101"/>
        <v>0</v>
      </c>
      <c r="CB53" s="60" t="e">
        <f t="shared" si="110"/>
        <v>#N/A</v>
      </c>
      <c r="CC53" s="60">
        <f t="shared" si="111"/>
        <v>100000</v>
      </c>
      <c r="CD53" s="60" t="e">
        <f t="shared" si="112"/>
        <v>#N/A</v>
      </c>
      <c r="CE53" s="60">
        <f t="shared" si="113"/>
        <v>100000</v>
      </c>
      <c r="CF53" s="83" t="e">
        <f t="shared" si="102"/>
        <v>#N/A</v>
      </c>
      <c r="CG53" s="83">
        <f t="shared" si="103"/>
        <v>0</v>
      </c>
      <c r="CH53" s="83" t="e">
        <f t="shared" si="104"/>
        <v>#N/A</v>
      </c>
      <c r="CI53" s="83">
        <f t="shared" si="105"/>
        <v>0</v>
      </c>
      <c r="CJ53" s="86" t="e">
        <f t="shared" si="114"/>
        <v>#N/A</v>
      </c>
      <c r="CK53" s="82">
        <f t="shared" si="115"/>
        <v>5.3070370403969858E-3</v>
      </c>
      <c r="CL53" s="82" t="e">
        <f t="shared" si="116"/>
        <v>#N/A</v>
      </c>
      <c r="CM53" s="82">
        <f t="shared" si="117"/>
        <v>5.3070370403969858E-3</v>
      </c>
      <c r="CO53" s="149" t="str">
        <f>IF($I53&lt;&gt;"",IF(O53="User Specified",U53,INDEX('Refrigerant GWPs'!$G$2:$G$156,MATCH(O53,'Refrigerant GWPs'!$A$2:$A$156,0))),"")</f>
        <v/>
      </c>
      <c r="CP53" s="138" t="str">
        <f>IF($I53&lt;&gt;"",INDEX('Device Refrigerant Leakage'!$E$2:$E$42,MATCH($M53,'Device Refrigerant Leakage'!$B$2:$B$42,0)),"")</f>
        <v/>
      </c>
      <c r="CQ53" s="138" t="str">
        <f>IF($I53&lt;&gt;"",INDEX('Device Refrigerant Leakage'!$F$2:$F$42,MATCH($M53,'Device Refrigerant Leakage'!$B$2:$B$42,0)),"")</f>
        <v/>
      </c>
      <c r="CR53" s="145" t="str">
        <f>IF($I53&lt;&gt;"",INDEX('Device Refrigerant Leakage'!$G$2:$G$42,MATCH($M53,'Device Refrigerant Leakage'!$B$2:$B$42,0)),"")</f>
        <v/>
      </c>
      <c r="CS53" s="145" t="str">
        <f>IF($I53&lt;&gt;"",INDEX('Device Refrigerant Leakage'!$D$2:$D$42,MATCH($M53,'Device Refrigerant Leakage'!$B$2:$B$42,0))*CP53/2204.62*CO53,"")</f>
        <v/>
      </c>
      <c r="CT53" s="145" t="str">
        <f>IF($I53&lt;&gt;"",J53*(INDEX('Device Refrigerant Leakage'!$D$2:$D$42,MATCH($M53,'Device Refrigerant Leakage'!$B$2:$B$42,0))-(INDEX('Device Refrigerant Leakage'!$D$2:$D$42,MATCH($M53,'Device Refrigerant Leakage'!$B$2:$B$42,0)))*CR53*CP53)*CQ53/2204.62*CO53,"")</f>
        <v/>
      </c>
      <c r="CU53" s="135" t="str">
        <f>IF($I53&lt;&gt;"",J53*IF(W53&lt;&gt;"AR",(CS53*K53)+CT53,(CS53*AB53)+CT53*(AB53/INDEX('Device Refrigerant Leakage'!$C$2:$C$42,MATCH($M53,'Device Refrigerant Leakage'!$B$2:$B$42,0)))),"")</f>
        <v/>
      </c>
      <c r="CW53" s="135" t="str">
        <f>IF($I53&lt;&gt;"",IF(S53="User Specified",V53,INDEX('Refrigerant GWPs'!$G$2:$G$156,MATCH(S53,'Refrigerant GWPs'!$A$2:$A$157,0))),"")</f>
        <v/>
      </c>
      <c r="CX53" s="138" t="str">
        <f>IF($I53&lt;&gt;"",INDEX('Device Refrigerant Leakage'!$E$2:$E$42,MATCH($Q53,'Device Refrigerant Leakage'!$B$2:$B$42,0)),"")</f>
        <v/>
      </c>
      <c r="CY53" s="138" t="str">
        <f>IF($I53&lt;&gt;"",INDEX('Device Refrigerant Leakage'!$F$2:$F$42,MATCH($Q53,'Device Refrigerant Leakage'!$B$2:$B$42,0)),"")</f>
        <v/>
      </c>
      <c r="CZ53" s="145" t="str">
        <f>IF($I53&lt;&gt;"",INDEX('Device Refrigerant Leakage'!$G$2:$G$42,MATCH($Q53,'Device Refrigerant Leakage'!$B$2:$B$42,0)),"")</f>
        <v/>
      </c>
      <c r="DA53" s="145" t="str">
        <f>IF($I53&lt;&gt;"",J53*INDEX('Device Refrigerant Leakage'!$D$2:$D$42,MATCH($Q53,'Device Refrigerant Leakage'!$B$2:$B$42,0))*CX53/2204.62*CW53,"")</f>
        <v/>
      </c>
      <c r="DB53" s="145" t="str">
        <f>IF($I53&lt;&gt;"",J53*(INDEX('Device Refrigerant Leakage'!$D$2:$D$42,MATCH($Q53,'Device Refrigerant Leakage'!$B$2:$B$42,0))-(INDEX('Device Refrigerant Leakage'!$D$2:$D$42,MATCH($Q53,'Device Refrigerant Leakage'!$B$2:$B$42,0)))*CZ53*CX53)*CY53/2204.62*CW53,"")</f>
        <v/>
      </c>
      <c r="DC53" s="135" t="str">
        <f t="shared" si="59"/>
        <v/>
      </c>
      <c r="DE53" s="146" t="str">
        <f>IF(W53&lt;&gt;"AR","",IF(Y53="User Specified", AA53, INDEX('Refrigerant GWPs'!$G$2:$G$154,MATCH(Y53,'Refrigerant GWPs'!$A$2:$A$154,0))))</f>
        <v/>
      </c>
      <c r="DF53" s="146" t="str">
        <f>IF(W53&lt;&gt;"AR","",INDEX('Device Refrigerant Leakage'!$E$2:$E$42,MATCH(X53,'Device Refrigerant Leakage'!$B$2:$B$42,0)))</f>
        <v/>
      </c>
      <c r="DG53" s="146" t="str">
        <f>IF(W53&lt;&gt;"AR","",INDEX('Device Refrigerant Leakage'!$F$2:$F$42,MATCH(X53,'Device Refrigerant Leakage'!$B$2:$B$42,0)))</f>
        <v/>
      </c>
      <c r="DH53" s="146" t="str">
        <f>IF(W53&lt;&gt;"AR","",INDEX('Device Refrigerant Leakage'!$G$2:$G$42,MATCH(X53,'Device Refrigerant Leakage'!$B$2:$B$42,0)))</f>
        <v/>
      </c>
      <c r="DI53" s="146" t="str">
        <f>IF(W53&lt;&gt;"AR","",J53*INDEX('Device Refrigerant Leakage'!$D$2:$D$42,MATCH(X53,'Device Refrigerant Leakage'!$B$2:$B$42,0))*DF53/2204.62*DE53)</f>
        <v/>
      </c>
      <c r="DJ53" s="146" t="str">
        <f>IF(W53&lt;&gt;"AR","",J53*(INDEX('Device Refrigerant Leakage'!$D$2:$D$42,MATCH(X53,'Device Refrigerant Leakage'!$B$2:$B$42,0))-(INDEX('Device Refrigerant Leakage'!$D$2:$D$42,MATCH(X53,'Device Refrigerant Leakage'!$B$2:$B$42,0)))*DH53*DF53)*DG53/2204.62*DE53)</f>
        <v/>
      </c>
      <c r="DK53" s="146" t="str">
        <f>IF(W53&lt;&gt;"AR","",DI53*(K53-AB53)+'Fuel Sub Calcs-Deemed'!DJ53*((K53-AB53)/INDEX('Device Refrigerant Leakage'!$C$2:$C$42,MATCH('Fuel Sub Calcs-Deemed'!X53,'Device Refrigerant Leakage'!$B$2:$B$42,0))))</f>
        <v/>
      </c>
      <c r="DM53" s="56">
        <v>39</v>
      </c>
      <c r="DN53" s="67" t="e">
        <f t="shared" si="28"/>
        <v>#N/A</v>
      </c>
      <c r="DO53" s="45" t="e">
        <f t="shared" si="29"/>
        <v>#N/A</v>
      </c>
      <c r="DP53" s="67" t="e">
        <f t="shared" si="30"/>
        <v>#N/A</v>
      </c>
      <c r="DQ53" s="45" t="e">
        <f t="shared" si="31"/>
        <v>#N/A</v>
      </c>
      <c r="DR53" s="69" t="e">
        <f t="shared" si="32"/>
        <v>#N/A</v>
      </c>
      <c r="DS53" s="34"/>
      <c r="DT53" s="67" t="e">
        <f>((BX53*CJ53)+IF($W53=MAT_AR,(BZ53*CL53),0))*(1+Reference!$E$50+Reference!$E$51)</f>
        <v>#N/A</v>
      </c>
      <c r="DU53" s="67">
        <f>((BY53*CK53)+IF($W53=MAT_AR,(CA53*CM53),0))*(1+Reference!$G$50+Reference!$G$51)</f>
        <v>0</v>
      </c>
      <c r="DV53" s="67" t="e">
        <f t="shared" si="33"/>
        <v>#VALUE!</v>
      </c>
      <c r="DX53" s="56">
        <v>39</v>
      </c>
      <c r="DY53" s="67">
        <f t="shared" si="34"/>
        <v>0</v>
      </c>
      <c r="DZ53" s="45" t="e">
        <f>VLOOKUP($R53,Dropdown!$C$3:$D$4,2,FALSE)</f>
        <v>#N/A</v>
      </c>
      <c r="EA53" s="68">
        <f t="shared" si="35"/>
        <v>0</v>
      </c>
      <c r="EB53" s="68" t="str">
        <f t="shared" si="36"/>
        <v>N/A</v>
      </c>
      <c r="EC53" s="68">
        <f t="shared" si="37"/>
        <v>0</v>
      </c>
      <c r="ED53" s="68" t="str">
        <f t="shared" si="118"/>
        <v>N/A</v>
      </c>
      <c r="EF53" s="56">
        <v>39</v>
      </c>
      <c r="EG53" s="46">
        <f t="shared" si="39"/>
        <v>0</v>
      </c>
      <c r="EH53" s="68" t="e">
        <f t="shared" si="40"/>
        <v>#N/A</v>
      </c>
      <c r="EI53" s="68" t="e">
        <f t="shared" si="41"/>
        <v>#N/A</v>
      </c>
      <c r="EJ53" s="68" t="e">
        <f t="shared" si="42"/>
        <v>#N/A</v>
      </c>
      <c r="EK53" s="68" t="e">
        <f t="shared" si="43"/>
        <v>#N/A</v>
      </c>
      <c r="EL53" s="46">
        <f t="shared" si="44"/>
        <v>0</v>
      </c>
      <c r="EM53" s="46">
        <f t="shared" si="45"/>
        <v>0</v>
      </c>
    </row>
    <row r="54" spans="1:143">
      <c r="A54" s="89"/>
      <c r="B54" s="89"/>
      <c r="C54" s="89"/>
      <c r="D54" s="89"/>
      <c r="E54" s="89"/>
      <c r="F54" s="89"/>
      <c r="G54" s="34"/>
      <c r="H54" s="56">
        <f t="shared" si="46"/>
        <v>40</v>
      </c>
      <c r="I54" s="165"/>
      <c r="J54" s="163"/>
      <c r="K54" s="163"/>
      <c r="L54" s="164"/>
      <c r="M54" s="155"/>
      <c r="N54" s="155"/>
      <c r="O54" s="144"/>
      <c r="P54" s="159" t="str">
        <f>IFERROR(IF(O54&lt;&gt;"User Specified",IF(O54&lt;&gt;"", INDEX('Refrigerant GWPs'!$G$2:$G$154,MATCH(O54,'Refrigerant GWPs'!$A$2:$A$154,0)),""),U54),0)</f>
        <v/>
      </c>
      <c r="Q54" s="155"/>
      <c r="R54" s="155"/>
      <c r="S54" s="144"/>
      <c r="T54" s="159" t="str">
        <f>IF(S54&lt;&gt;"User Specified",IF(AND(S54&lt;&gt;"User Specified",S54&lt;&gt;""), INDEX('Refrigerant GWPs'!$G$2:$G$154,MATCH(S54,'Refrigerant GWPs'!$A$2:$A$154,0)),""),V54)</f>
        <v/>
      </c>
      <c r="U54" s="144"/>
      <c r="V54" s="144"/>
      <c r="W54" s="155"/>
      <c r="X54" s="155"/>
      <c r="Y54" s="144"/>
      <c r="Z54" s="159" t="str">
        <f>IF(AND(Y54&lt;&gt;"User Specified",Y54&lt;&gt;""), INDEX('Refrigerant GWPs'!$G$2:$G$154,MATCH(Y54,'Refrigerant GWPs'!$A$2:$A$154,0)),"")</f>
        <v/>
      </c>
      <c r="AA54" s="155"/>
      <c r="AB54" s="156"/>
      <c r="AC54" s="66"/>
      <c r="AD54" s="66"/>
      <c r="AE54" s="66"/>
      <c r="AF54" s="66"/>
      <c r="AG54" s="66"/>
      <c r="AH54" s="66"/>
      <c r="AI54" s="34"/>
      <c r="AJ54" s="88">
        <f t="shared" si="0"/>
        <v>0</v>
      </c>
      <c r="AK54" s="88">
        <f t="shared" si="1"/>
        <v>0</v>
      </c>
      <c r="AL54" s="88">
        <v>0</v>
      </c>
      <c r="AM54" s="88">
        <v>0</v>
      </c>
      <c r="AN54" s="81" t="str">
        <f t="shared" si="47"/>
        <v/>
      </c>
      <c r="AO54" s="88">
        <f t="shared" si="2"/>
        <v>0</v>
      </c>
      <c r="AP54" s="88">
        <f t="shared" si="3"/>
        <v>0</v>
      </c>
      <c r="AQ54" s="81" t="str">
        <f t="shared" si="4"/>
        <v/>
      </c>
      <c r="AS54" s="41" t="b">
        <f t="shared" si="5"/>
        <v>1</v>
      </c>
      <c r="AT54" s="38">
        <f t="shared" si="6"/>
        <v>0</v>
      </c>
      <c r="AU54" s="60">
        <f t="shared" si="7"/>
        <v>0</v>
      </c>
      <c r="AV54" s="41">
        <f t="shared" si="8"/>
        <v>0</v>
      </c>
      <c r="AW54" s="41" t="b">
        <f t="shared" si="9"/>
        <v>0</v>
      </c>
      <c r="AX54" t="str">
        <f t="shared" si="10"/>
        <v>+00</v>
      </c>
      <c r="AY54" t="str">
        <f t="shared" si="11"/>
        <v>+00</v>
      </c>
      <c r="BA54" s="47" t="b">
        <f t="shared" si="83"/>
        <v>1</v>
      </c>
      <c r="BB54" s="42" t="b">
        <f t="shared" si="84"/>
        <v>1</v>
      </c>
      <c r="BC54" s="42" t="b">
        <f t="shared" si="85"/>
        <v>0</v>
      </c>
      <c r="BD54" s="42" t="b">
        <f t="shared" si="86"/>
        <v>0</v>
      </c>
      <c r="BE54" s="70">
        <f t="shared" si="87"/>
        <v>0</v>
      </c>
      <c r="BF54" s="70">
        <f t="shared" si="88"/>
        <v>0</v>
      </c>
      <c r="BG54" s="34"/>
      <c r="BI54" s="47" t="b">
        <f t="shared" si="89"/>
        <v>1</v>
      </c>
      <c r="BJ54" s="47" t="b">
        <f t="shared" si="90"/>
        <v>1</v>
      </c>
      <c r="BK54" s="42" t="b">
        <f t="shared" si="91"/>
        <v>0</v>
      </c>
      <c r="BL54" s="42" t="b">
        <f t="shared" si="92"/>
        <v>0</v>
      </c>
      <c r="BM54" s="42">
        <f t="shared" si="93"/>
        <v>0</v>
      </c>
      <c r="BN54" s="42">
        <f t="shared" si="94"/>
        <v>0</v>
      </c>
      <c r="BP54" t="e">
        <f t="shared" si="95"/>
        <v>#N/A</v>
      </c>
      <c r="BQ54" t="e">
        <f t="shared" si="96"/>
        <v>#N/A</v>
      </c>
      <c r="BR54" t="e">
        <f t="shared" si="97"/>
        <v>#N/A</v>
      </c>
      <c r="BT54" s="60">
        <f t="shared" si="106"/>
        <v>0</v>
      </c>
      <c r="BU54" s="60">
        <f t="shared" si="107"/>
        <v>0</v>
      </c>
      <c r="BV54" s="60">
        <f t="shared" si="108"/>
        <v>0</v>
      </c>
      <c r="BW54" s="60">
        <f t="shared" si="109"/>
        <v>0</v>
      </c>
      <c r="BX54" s="60">
        <f t="shared" si="98"/>
        <v>0</v>
      </c>
      <c r="BY54" s="60">
        <f t="shared" si="99"/>
        <v>0</v>
      </c>
      <c r="BZ54" s="60">
        <f t="shared" si="100"/>
        <v>0</v>
      </c>
      <c r="CA54" s="60">
        <f t="shared" si="101"/>
        <v>0</v>
      </c>
      <c r="CB54" s="60" t="e">
        <f t="shared" si="110"/>
        <v>#N/A</v>
      </c>
      <c r="CC54" s="60">
        <f t="shared" si="111"/>
        <v>100000</v>
      </c>
      <c r="CD54" s="60" t="e">
        <f t="shared" si="112"/>
        <v>#N/A</v>
      </c>
      <c r="CE54" s="60">
        <f t="shared" si="113"/>
        <v>100000</v>
      </c>
      <c r="CF54" s="83" t="e">
        <f t="shared" si="102"/>
        <v>#N/A</v>
      </c>
      <c r="CG54" s="83">
        <f t="shared" si="103"/>
        <v>0</v>
      </c>
      <c r="CH54" s="83" t="e">
        <f t="shared" si="104"/>
        <v>#N/A</v>
      </c>
      <c r="CI54" s="83">
        <f t="shared" si="105"/>
        <v>0</v>
      </c>
      <c r="CJ54" s="86" t="e">
        <f t="shared" si="114"/>
        <v>#N/A</v>
      </c>
      <c r="CK54" s="82">
        <f t="shared" si="115"/>
        <v>5.3070370403969858E-3</v>
      </c>
      <c r="CL54" s="82" t="e">
        <f t="shared" si="116"/>
        <v>#N/A</v>
      </c>
      <c r="CM54" s="82">
        <f t="shared" si="117"/>
        <v>5.3070370403969858E-3</v>
      </c>
      <c r="CO54" s="149" t="str">
        <f>IF($I54&lt;&gt;"",IF(O54="User Specified",U54,INDEX('Refrigerant GWPs'!$G$2:$G$156,MATCH(O54,'Refrigerant GWPs'!$A$2:$A$156,0))),"")</f>
        <v/>
      </c>
      <c r="CP54" s="138" t="str">
        <f>IF($I54&lt;&gt;"",INDEX('Device Refrigerant Leakage'!$E$2:$E$42,MATCH($M54,'Device Refrigerant Leakage'!$B$2:$B$42,0)),"")</f>
        <v/>
      </c>
      <c r="CQ54" s="138" t="str">
        <f>IF($I54&lt;&gt;"",INDEX('Device Refrigerant Leakage'!$F$2:$F$42,MATCH($M54,'Device Refrigerant Leakage'!$B$2:$B$42,0)),"")</f>
        <v/>
      </c>
      <c r="CR54" s="145" t="str">
        <f>IF($I54&lt;&gt;"",INDEX('Device Refrigerant Leakage'!$G$2:$G$42,MATCH($M54,'Device Refrigerant Leakage'!$B$2:$B$42,0)),"")</f>
        <v/>
      </c>
      <c r="CS54" s="145" t="str">
        <f>IF($I54&lt;&gt;"",INDEX('Device Refrigerant Leakage'!$D$2:$D$42,MATCH($M54,'Device Refrigerant Leakage'!$B$2:$B$42,0))*CP54/2204.62*CO54,"")</f>
        <v/>
      </c>
      <c r="CT54" s="145" t="str">
        <f>IF($I54&lt;&gt;"",J54*(INDEX('Device Refrigerant Leakage'!$D$2:$D$42,MATCH($M54,'Device Refrigerant Leakage'!$B$2:$B$42,0))-(INDEX('Device Refrigerant Leakage'!$D$2:$D$42,MATCH($M54,'Device Refrigerant Leakage'!$B$2:$B$42,0)))*CR54*CP54)*CQ54/2204.62*CO54,"")</f>
        <v/>
      </c>
      <c r="CU54" s="135" t="str">
        <f>IF($I54&lt;&gt;"",J54*IF(W54&lt;&gt;"AR",(CS54*K54)+CT54,(CS54*AB54)+CT54*(AB54/INDEX('Device Refrigerant Leakage'!$C$2:$C$42,MATCH($M54,'Device Refrigerant Leakage'!$B$2:$B$42,0)))),"")</f>
        <v/>
      </c>
      <c r="CW54" s="135" t="str">
        <f>IF($I54&lt;&gt;"",IF(S54="User Specified",V54,INDEX('Refrigerant GWPs'!$G$2:$G$156,MATCH(S54,'Refrigerant GWPs'!$A$2:$A$157,0))),"")</f>
        <v/>
      </c>
      <c r="CX54" s="138" t="str">
        <f>IF($I54&lt;&gt;"",INDEX('Device Refrigerant Leakage'!$E$2:$E$42,MATCH($Q54,'Device Refrigerant Leakage'!$B$2:$B$42,0)),"")</f>
        <v/>
      </c>
      <c r="CY54" s="138" t="str">
        <f>IF($I54&lt;&gt;"",INDEX('Device Refrigerant Leakage'!$F$2:$F$42,MATCH($Q54,'Device Refrigerant Leakage'!$B$2:$B$42,0)),"")</f>
        <v/>
      </c>
      <c r="CZ54" s="145" t="str">
        <f>IF($I54&lt;&gt;"",INDEX('Device Refrigerant Leakage'!$G$2:$G$42,MATCH($Q54,'Device Refrigerant Leakage'!$B$2:$B$42,0)),"")</f>
        <v/>
      </c>
      <c r="DA54" s="145" t="str">
        <f>IF($I54&lt;&gt;"",J54*INDEX('Device Refrigerant Leakage'!$D$2:$D$42,MATCH($Q54,'Device Refrigerant Leakage'!$B$2:$B$42,0))*CX54/2204.62*CW54,"")</f>
        <v/>
      </c>
      <c r="DB54" s="145" t="str">
        <f>IF($I54&lt;&gt;"",J54*(INDEX('Device Refrigerant Leakage'!$D$2:$D$42,MATCH($Q54,'Device Refrigerant Leakage'!$B$2:$B$42,0))-(INDEX('Device Refrigerant Leakage'!$D$2:$D$42,MATCH($Q54,'Device Refrigerant Leakage'!$B$2:$B$42,0)))*CZ54*CX54)*CY54/2204.62*CW54,"")</f>
        <v/>
      </c>
      <c r="DC54" s="135" t="str">
        <f t="shared" si="59"/>
        <v/>
      </c>
      <c r="DE54" s="146" t="str">
        <f>IF(W54&lt;&gt;"AR","",IF(Y54="User Specified", AA54, INDEX('Refrigerant GWPs'!$G$2:$G$154,MATCH(Y54,'Refrigerant GWPs'!$A$2:$A$154,0))))</f>
        <v/>
      </c>
      <c r="DF54" s="146" t="str">
        <f>IF(W54&lt;&gt;"AR","",INDEX('Device Refrigerant Leakage'!$E$2:$E$42,MATCH(X54,'Device Refrigerant Leakage'!$B$2:$B$42,0)))</f>
        <v/>
      </c>
      <c r="DG54" s="146" t="str">
        <f>IF(W54&lt;&gt;"AR","",INDEX('Device Refrigerant Leakage'!$F$2:$F$42,MATCH(X54,'Device Refrigerant Leakage'!$B$2:$B$42,0)))</f>
        <v/>
      </c>
      <c r="DH54" s="146" t="str">
        <f>IF(W54&lt;&gt;"AR","",INDEX('Device Refrigerant Leakage'!$G$2:$G$42,MATCH(X54,'Device Refrigerant Leakage'!$B$2:$B$42,0)))</f>
        <v/>
      </c>
      <c r="DI54" s="146" t="str">
        <f>IF(W54&lt;&gt;"AR","",J54*INDEX('Device Refrigerant Leakage'!$D$2:$D$42,MATCH(X54,'Device Refrigerant Leakage'!$B$2:$B$42,0))*DF54/2204.62*DE54)</f>
        <v/>
      </c>
      <c r="DJ54" s="146" t="str">
        <f>IF(W54&lt;&gt;"AR","",J54*(INDEX('Device Refrigerant Leakage'!$D$2:$D$42,MATCH(X54,'Device Refrigerant Leakage'!$B$2:$B$42,0))-(INDEX('Device Refrigerant Leakage'!$D$2:$D$42,MATCH(X54,'Device Refrigerant Leakage'!$B$2:$B$42,0)))*DH54*DF54)*DG54/2204.62*DE54)</f>
        <v/>
      </c>
      <c r="DK54" s="146" t="str">
        <f>IF(W54&lt;&gt;"AR","",DI54*(K54-AB54)+'Fuel Sub Calcs-Deemed'!DJ54*((K54-AB54)/INDEX('Device Refrigerant Leakage'!$C$2:$C$42,MATCH('Fuel Sub Calcs-Deemed'!X54,'Device Refrigerant Leakage'!$B$2:$B$42,0))))</f>
        <v/>
      </c>
      <c r="DM54" s="56">
        <v>40</v>
      </c>
      <c r="DN54" s="67" t="e">
        <f t="shared" si="28"/>
        <v>#N/A</v>
      </c>
      <c r="DO54" s="45" t="e">
        <f t="shared" si="29"/>
        <v>#N/A</v>
      </c>
      <c r="DP54" s="67" t="e">
        <f t="shared" si="30"/>
        <v>#N/A</v>
      </c>
      <c r="DQ54" s="45" t="e">
        <f t="shared" si="31"/>
        <v>#N/A</v>
      </c>
      <c r="DR54" s="69" t="e">
        <f t="shared" si="32"/>
        <v>#N/A</v>
      </c>
      <c r="DS54" s="34"/>
      <c r="DT54" s="67" t="e">
        <f>((BX54*CJ54)+IF($W54=MAT_AR,(BZ54*CL54),0))*(1+Reference!$E$50+Reference!$E$51)</f>
        <v>#N/A</v>
      </c>
      <c r="DU54" s="67">
        <f>((BY54*CK54)+IF($W54=MAT_AR,(CA54*CM54),0))*(1+Reference!$G$50+Reference!$G$51)</f>
        <v>0</v>
      </c>
      <c r="DV54" s="67" t="e">
        <f t="shared" si="33"/>
        <v>#VALUE!</v>
      </c>
      <c r="DX54" s="56">
        <v>40</v>
      </c>
      <c r="DY54" s="67">
        <f t="shared" si="34"/>
        <v>0</v>
      </c>
      <c r="DZ54" s="45" t="e">
        <f>VLOOKUP($R54,Dropdown!$C$3:$D$4,2,FALSE)</f>
        <v>#N/A</v>
      </c>
      <c r="EA54" s="68">
        <f t="shared" si="35"/>
        <v>0</v>
      </c>
      <c r="EB54" s="68" t="str">
        <f t="shared" si="36"/>
        <v>N/A</v>
      </c>
      <c r="EC54" s="68">
        <f t="shared" si="37"/>
        <v>0</v>
      </c>
      <c r="ED54" s="68" t="str">
        <f t="shared" si="118"/>
        <v>N/A</v>
      </c>
      <c r="EF54" s="56">
        <v>40</v>
      </c>
      <c r="EG54" s="46">
        <f t="shared" si="39"/>
        <v>0</v>
      </c>
      <c r="EH54" s="68" t="e">
        <f t="shared" si="40"/>
        <v>#N/A</v>
      </c>
      <c r="EI54" s="68" t="e">
        <f t="shared" si="41"/>
        <v>#N/A</v>
      </c>
      <c r="EJ54" s="68" t="e">
        <f t="shared" si="42"/>
        <v>#N/A</v>
      </c>
      <c r="EK54" s="68" t="e">
        <f t="shared" si="43"/>
        <v>#N/A</v>
      </c>
      <c r="EL54" s="46">
        <f t="shared" si="44"/>
        <v>0</v>
      </c>
      <c r="EM54" s="46">
        <f t="shared" si="45"/>
        <v>0</v>
      </c>
    </row>
    <row r="55" spans="1:143">
      <c r="A55" s="89"/>
      <c r="B55" s="89"/>
      <c r="C55" s="89"/>
      <c r="D55" s="89"/>
      <c r="E55" s="89"/>
      <c r="F55" s="89"/>
      <c r="G55" s="34"/>
      <c r="H55" s="56">
        <f t="shared" si="46"/>
        <v>41</v>
      </c>
      <c r="I55" s="165"/>
      <c r="J55" s="163"/>
      <c r="K55" s="163"/>
      <c r="L55" s="164"/>
      <c r="M55" s="155"/>
      <c r="N55" s="155"/>
      <c r="O55" s="144"/>
      <c r="P55" s="159" t="str">
        <f>IFERROR(IF(O55&lt;&gt;"User Specified",IF(O55&lt;&gt;"", INDEX('Refrigerant GWPs'!$G$2:$G$154,MATCH(O55,'Refrigerant GWPs'!$A$2:$A$154,0)),""),U55),0)</f>
        <v/>
      </c>
      <c r="Q55" s="155"/>
      <c r="R55" s="155"/>
      <c r="S55" s="144"/>
      <c r="T55" s="159" t="str">
        <f>IF(S55&lt;&gt;"User Specified",IF(AND(S55&lt;&gt;"User Specified",S55&lt;&gt;""), INDEX('Refrigerant GWPs'!$G$2:$G$154,MATCH(S55,'Refrigerant GWPs'!$A$2:$A$154,0)),""),V55)</f>
        <v/>
      </c>
      <c r="U55" s="144"/>
      <c r="V55" s="144"/>
      <c r="W55" s="155"/>
      <c r="X55" s="155"/>
      <c r="Y55" s="144"/>
      <c r="Z55" s="159" t="str">
        <f>IF(AND(Y55&lt;&gt;"User Specified",Y55&lt;&gt;""), INDEX('Refrigerant GWPs'!$G$2:$G$154,MATCH(Y55,'Refrigerant GWPs'!$A$2:$A$154,0)),"")</f>
        <v/>
      </c>
      <c r="AA55" s="155"/>
      <c r="AB55" s="156"/>
      <c r="AC55" s="66"/>
      <c r="AD55" s="66"/>
      <c r="AE55" s="66"/>
      <c r="AF55" s="66"/>
      <c r="AG55" s="66"/>
      <c r="AH55" s="66"/>
      <c r="AI55" s="34"/>
      <c r="AJ55" s="88">
        <f t="shared" si="0"/>
        <v>0</v>
      </c>
      <c r="AK55" s="88">
        <f t="shared" si="1"/>
        <v>0</v>
      </c>
      <c r="AL55" s="88">
        <v>0</v>
      </c>
      <c r="AM55" s="88">
        <v>0</v>
      </c>
      <c r="AN55" s="81" t="str">
        <f t="shared" si="47"/>
        <v/>
      </c>
      <c r="AO55" s="88">
        <f t="shared" si="2"/>
        <v>0</v>
      </c>
      <c r="AP55" s="88">
        <f t="shared" si="3"/>
        <v>0</v>
      </c>
      <c r="AQ55" s="81" t="str">
        <f t="shared" si="4"/>
        <v/>
      </c>
      <c r="AS55" s="41" t="b">
        <f t="shared" si="5"/>
        <v>1</v>
      </c>
      <c r="AT55" s="38">
        <f t="shared" si="6"/>
        <v>0</v>
      </c>
      <c r="AU55" s="60">
        <f t="shared" si="7"/>
        <v>0</v>
      </c>
      <c r="AV55" s="41">
        <f t="shared" si="8"/>
        <v>0</v>
      </c>
      <c r="AW55" s="41" t="b">
        <f t="shared" si="9"/>
        <v>0</v>
      </c>
      <c r="AX55" t="str">
        <f t="shared" si="10"/>
        <v>+00</v>
      </c>
      <c r="AY55" t="str">
        <f t="shared" si="11"/>
        <v>+00</v>
      </c>
      <c r="BA55" s="47" t="b">
        <f t="shared" si="83"/>
        <v>1</v>
      </c>
      <c r="BB55" s="42" t="b">
        <f t="shared" si="84"/>
        <v>1</v>
      </c>
      <c r="BC55" s="42" t="b">
        <f t="shared" si="85"/>
        <v>0</v>
      </c>
      <c r="BD55" s="42" t="b">
        <f t="shared" si="86"/>
        <v>0</v>
      </c>
      <c r="BE55" s="70">
        <f t="shared" si="87"/>
        <v>0</v>
      </c>
      <c r="BF55" s="70">
        <f t="shared" si="88"/>
        <v>0</v>
      </c>
      <c r="BG55" s="34"/>
      <c r="BI55" s="47" t="b">
        <f t="shared" si="89"/>
        <v>1</v>
      </c>
      <c r="BJ55" s="47" t="b">
        <f t="shared" si="90"/>
        <v>1</v>
      </c>
      <c r="BK55" s="42" t="b">
        <f t="shared" si="91"/>
        <v>0</v>
      </c>
      <c r="BL55" s="42" t="b">
        <f t="shared" si="92"/>
        <v>0</v>
      </c>
      <c r="BM55" s="42">
        <f t="shared" si="93"/>
        <v>0</v>
      </c>
      <c r="BN55" s="42">
        <f t="shared" si="94"/>
        <v>0</v>
      </c>
      <c r="BP55" t="e">
        <f t="shared" si="95"/>
        <v>#N/A</v>
      </c>
      <c r="BQ55" t="e">
        <f t="shared" si="96"/>
        <v>#N/A</v>
      </c>
      <c r="BR55" t="e">
        <f t="shared" si="97"/>
        <v>#N/A</v>
      </c>
      <c r="BT55" s="60">
        <f t="shared" si="106"/>
        <v>0</v>
      </c>
      <c r="BU55" s="60">
        <f t="shared" si="107"/>
        <v>0</v>
      </c>
      <c r="BV55" s="60">
        <f t="shared" si="108"/>
        <v>0</v>
      </c>
      <c r="BW55" s="60">
        <f t="shared" si="109"/>
        <v>0</v>
      </c>
      <c r="BX55" s="60">
        <f t="shared" si="98"/>
        <v>0</v>
      </c>
      <c r="BY55" s="60">
        <f t="shared" si="99"/>
        <v>0</v>
      </c>
      <c r="BZ55" s="60">
        <f t="shared" si="100"/>
        <v>0</v>
      </c>
      <c r="CA55" s="60">
        <f t="shared" si="101"/>
        <v>0</v>
      </c>
      <c r="CB55" s="60" t="e">
        <f t="shared" si="110"/>
        <v>#N/A</v>
      </c>
      <c r="CC55" s="60">
        <f t="shared" si="111"/>
        <v>100000</v>
      </c>
      <c r="CD55" s="60" t="e">
        <f t="shared" si="112"/>
        <v>#N/A</v>
      </c>
      <c r="CE55" s="60">
        <f t="shared" si="113"/>
        <v>100000</v>
      </c>
      <c r="CF55" s="83" t="e">
        <f t="shared" si="102"/>
        <v>#N/A</v>
      </c>
      <c r="CG55" s="83">
        <f t="shared" si="103"/>
        <v>0</v>
      </c>
      <c r="CH55" s="83" t="e">
        <f t="shared" si="104"/>
        <v>#N/A</v>
      </c>
      <c r="CI55" s="83">
        <f t="shared" si="105"/>
        <v>0</v>
      </c>
      <c r="CJ55" s="86" t="e">
        <f t="shared" si="114"/>
        <v>#N/A</v>
      </c>
      <c r="CK55" s="82">
        <f t="shared" si="115"/>
        <v>5.3070370403969858E-3</v>
      </c>
      <c r="CL55" s="82" t="e">
        <f t="shared" si="116"/>
        <v>#N/A</v>
      </c>
      <c r="CM55" s="82">
        <f t="shared" si="117"/>
        <v>5.3070370403969858E-3</v>
      </c>
      <c r="CO55" s="149" t="str">
        <f>IF($I55&lt;&gt;"",IF(O55="User Specified",U55,INDEX('Refrigerant GWPs'!$G$2:$G$156,MATCH(O55,'Refrigerant GWPs'!$A$2:$A$156,0))),"")</f>
        <v/>
      </c>
      <c r="CP55" s="138" t="str">
        <f>IF($I55&lt;&gt;"",INDEX('Device Refrigerant Leakage'!$E$2:$E$42,MATCH($M55,'Device Refrigerant Leakage'!$B$2:$B$42,0)),"")</f>
        <v/>
      </c>
      <c r="CQ55" s="138" t="str">
        <f>IF($I55&lt;&gt;"",INDEX('Device Refrigerant Leakage'!$F$2:$F$42,MATCH($M55,'Device Refrigerant Leakage'!$B$2:$B$42,0)),"")</f>
        <v/>
      </c>
      <c r="CR55" s="145" t="str">
        <f>IF($I55&lt;&gt;"",INDEX('Device Refrigerant Leakage'!$G$2:$G$42,MATCH($M55,'Device Refrigerant Leakage'!$B$2:$B$42,0)),"")</f>
        <v/>
      </c>
      <c r="CS55" s="145" t="str">
        <f>IF($I55&lt;&gt;"",INDEX('Device Refrigerant Leakage'!$D$2:$D$42,MATCH($M55,'Device Refrigerant Leakage'!$B$2:$B$42,0))*CP55/2204.62*CO55,"")</f>
        <v/>
      </c>
      <c r="CT55" s="145" t="str">
        <f>IF($I55&lt;&gt;"",J55*(INDEX('Device Refrigerant Leakage'!$D$2:$D$42,MATCH($M55,'Device Refrigerant Leakage'!$B$2:$B$42,0))-(INDEX('Device Refrigerant Leakage'!$D$2:$D$42,MATCH($M55,'Device Refrigerant Leakage'!$B$2:$B$42,0)))*CR55*CP55)*CQ55/2204.62*CO55,"")</f>
        <v/>
      </c>
      <c r="CU55" s="135" t="str">
        <f>IF($I55&lt;&gt;"",J55*IF(W55&lt;&gt;"AR",(CS55*K55)+CT55,(CS55*AB55)+CT55*(AB55/INDEX('Device Refrigerant Leakage'!$C$2:$C$42,MATCH($M55,'Device Refrigerant Leakage'!$B$2:$B$42,0)))),"")</f>
        <v/>
      </c>
      <c r="CW55" s="135" t="str">
        <f>IF($I55&lt;&gt;"",IF(S55="User Specified",V55,INDEX('Refrigerant GWPs'!$G$2:$G$156,MATCH(S55,'Refrigerant GWPs'!$A$2:$A$157,0))),"")</f>
        <v/>
      </c>
      <c r="CX55" s="138" t="str">
        <f>IF($I55&lt;&gt;"",INDEX('Device Refrigerant Leakage'!$E$2:$E$42,MATCH($Q55,'Device Refrigerant Leakage'!$B$2:$B$42,0)),"")</f>
        <v/>
      </c>
      <c r="CY55" s="138" t="str">
        <f>IF($I55&lt;&gt;"",INDEX('Device Refrigerant Leakage'!$F$2:$F$42,MATCH($Q55,'Device Refrigerant Leakage'!$B$2:$B$42,0)),"")</f>
        <v/>
      </c>
      <c r="CZ55" s="145" t="str">
        <f>IF($I55&lt;&gt;"",INDEX('Device Refrigerant Leakage'!$G$2:$G$42,MATCH($Q55,'Device Refrigerant Leakage'!$B$2:$B$42,0)),"")</f>
        <v/>
      </c>
      <c r="DA55" s="145" t="str">
        <f>IF($I55&lt;&gt;"",J55*INDEX('Device Refrigerant Leakage'!$D$2:$D$42,MATCH($Q55,'Device Refrigerant Leakage'!$B$2:$B$42,0))*CX55/2204.62*CW55,"")</f>
        <v/>
      </c>
      <c r="DB55" s="145" t="str">
        <f>IF($I55&lt;&gt;"",J55*(INDEX('Device Refrigerant Leakage'!$D$2:$D$42,MATCH($Q55,'Device Refrigerant Leakage'!$B$2:$B$42,0))-(INDEX('Device Refrigerant Leakage'!$D$2:$D$42,MATCH($Q55,'Device Refrigerant Leakage'!$B$2:$B$42,0)))*CZ55*CX55)*CY55/2204.62*CW55,"")</f>
        <v/>
      </c>
      <c r="DC55" s="135" t="str">
        <f t="shared" si="59"/>
        <v/>
      </c>
      <c r="DE55" s="146" t="str">
        <f>IF(W55&lt;&gt;"AR","",IF(Y55="User Specified", AA55, INDEX('Refrigerant GWPs'!$G$2:$G$154,MATCH(Y55,'Refrigerant GWPs'!$A$2:$A$154,0))))</f>
        <v/>
      </c>
      <c r="DF55" s="146" t="str">
        <f>IF(W55&lt;&gt;"AR","",INDEX('Device Refrigerant Leakage'!$E$2:$E$42,MATCH(X55,'Device Refrigerant Leakage'!$B$2:$B$42,0)))</f>
        <v/>
      </c>
      <c r="DG55" s="146" t="str">
        <f>IF(W55&lt;&gt;"AR","",INDEX('Device Refrigerant Leakage'!$F$2:$F$42,MATCH(X55,'Device Refrigerant Leakage'!$B$2:$B$42,0)))</f>
        <v/>
      </c>
      <c r="DH55" s="146" t="str">
        <f>IF(W55&lt;&gt;"AR","",INDEX('Device Refrigerant Leakage'!$G$2:$G$42,MATCH(X55,'Device Refrigerant Leakage'!$B$2:$B$42,0)))</f>
        <v/>
      </c>
      <c r="DI55" s="146" t="str">
        <f>IF(W55&lt;&gt;"AR","",J55*INDEX('Device Refrigerant Leakage'!$D$2:$D$42,MATCH(X55,'Device Refrigerant Leakage'!$B$2:$B$42,0))*DF55/2204.62*DE55)</f>
        <v/>
      </c>
      <c r="DJ55" s="146" t="str">
        <f>IF(W55&lt;&gt;"AR","",J55*(INDEX('Device Refrigerant Leakage'!$D$2:$D$42,MATCH(X55,'Device Refrigerant Leakage'!$B$2:$B$42,0))-(INDEX('Device Refrigerant Leakage'!$D$2:$D$42,MATCH(X55,'Device Refrigerant Leakage'!$B$2:$B$42,0)))*DH55*DF55)*DG55/2204.62*DE55)</f>
        <v/>
      </c>
      <c r="DK55" s="146" t="str">
        <f>IF(W55&lt;&gt;"AR","",DI55*(K55-AB55)+'Fuel Sub Calcs-Deemed'!DJ55*((K55-AB55)/INDEX('Device Refrigerant Leakage'!$C$2:$C$42,MATCH('Fuel Sub Calcs-Deemed'!X55,'Device Refrigerant Leakage'!$B$2:$B$42,0))))</f>
        <v/>
      </c>
      <c r="DM55" s="56">
        <v>41</v>
      </c>
      <c r="DN55" s="67" t="e">
        <f t="shared" si="28"/>
        <v>#N/A</v>
      </c>
      <c r="DO55" s="45" t="e">
        <f t="shared" si="29"/>
        <v>#N/A</v>
      </c>
      <c r="DP55" s="67" t="e">
        <f t="shared" si="30"/>
        <v>#N/A</v>
      </c>
      <c r="DQ55" s="45" t="e">
        <f t="shared" si="31"/>
        <v>#N/A</v>
      </c>
      <c r="DR55" s="69" t="e">
        <f t="shared" si="32"/>
        <v>#N/A</v>
      </c>
      <c r="DS55" s="34"/>
      <c r="DT55" s="67" t="e">
        <f>((BX55*CJ55)+IF($W55=MAT_AR,(BZ55*CL55),0))*(1+Reference!$E$50+Reference!$E$51)</f>
        <v>#N/A</v>
      </c>
      <c r="DU55" s="67">
        <f>((BY55*CK55)+IF($W55=MAT_AR,(CA55*CM55),0))*(1+Reference!$G$50+Reference!$G$51)</f>
        <v>0</v>
      </c>
      <c r="DV55" s="67" t="e">
        <f t="shared" si="33"/>
        <v>#VALUE!</v>
      </c>
      <c r="DX55" s="56">
        <v>41</v>
      </c>
      <c r="DY55" s="67">
        <f t="shared" si="34"/>
        <v>0</v>
      </c>
      <c r="DZ55" s="45" t="e">
        <f>VLOOKUP($R55,Dropdown!$C$3:$D$4,2,FALSE)</f>
        <v>#N/A</v>
      </c>
      <c r="EA55" s="68">
        <f t="shared" si="35"/>
        <v>0</v>
      </c>
      <c r="EB55" s="68" t="str">
        <f t="shared" si="36"/>
        <v>N/A</v>
      </c>
      <c r="EC55" s="68">
        <f t="shared" si="37"/>
        <v>0</v>
      </c>
      <c r="ED55" s="68" t="str">
        <f t="shared" si="118"/>
        <v>N/A</v>
      </c>
      <c r="EF55" s="56">
        <v>41</v>
      </c>
      <c r="EG55" s="46">
        <f t="shared" si="39"/>
        <v>0</v>
      </c>
      <c r="EH55" s="68" t="e">
        <f t="shared" si="40"/>
        <v>#N/A</v>
      </c>
      <c r="EI55" s="68" t="e">
        <f t="shared" si="41"/>
        <v>#N/A</v>
      </c>
      <c r="EJ55" s="68" t="e">
        <f t="shared" si="42"/>
        <v>#N/A</v>
      </c>
      <c r="EK55" s="68" t="e">
        <f t="shared" si="43"/>
        <v>#N/A</v>
      </c>
      <c r="EL55" s="46">
        <f t="shared" si="44"/>
        <v>0</v>
      </c>
      <c r="EM55" s="46">
        <f t="shared" si="45"/>
        <v>0</v>
      </c>
    </row>
    <row r="56" spans="1:143">
      <c r="A56" s="89"/>
      <c r="B56" s="89"/>
      <c r="C56" s="89"/>
      <c r="D56" s="89"/>
      <c r="E56" s="89"/>
      <c r="F56" s="89"/>
      <c r="G56" s="34"/>
      <c r="H56" s="56">
        <f t="shared" si="46"/>
        <v>42</v>
      </c>
      <c r="I56" s="165"/>
      <c r="J56" s="163"/>
      <c r="K56" s="163"/>
      <c r="L56" s="164"/>
      <c r="M56" s="155"/>
      <c r="N56" s="155"/>
      <c r="O56" s="144"/>
      <c r="P56" s="159" t="str">
        <f>IFERROR(IF(O56&lt;&gt;"User Specified",IF(O56&lt;&gt;"", INDEX('Refrigerant GWPs'!$G$2:$G$154,MATCH(O56,'Refrigerant GWPs'!$A$2:$A$154,0)),""),U56),0)</f>
        <v/>
      </c>
      <c r="Q56" s="155"/>
      <c r="R56" s="155"/>
      <c r="S56" s="144"/>
      <c r="T56" s="159" t="str">
        <f>IF(S56&lt;&gt;"User Specified",IF(AND(S56&lt;&gt;"User Specified",S56&lt;&gt;""), INDEX('Refrigerant GWPs'!$G$2:$G$154,MATCH(S56,'Refrigerant GWPs'!$A$2:$A$154,0)),""),V56)</f>
        <v/>
      </c>
      <c r="U56" s="144"/>
      <c r="V56" s="144"/>
      <c r="W56" s="155"/>
      <c r="X56" s="155"/>
      <c r="Y56" s="144"/>
      <c r="Z56" s="159" t="str">
        <f>IF(AND(Y56&lt;&gt;"User Specified",Y56&lt;&gt;""), INDEX('Refrigerant GWPs'!$G$2:$G$154,MATCH(Y56,'Refrigerant GWPs'!$A$2:$A$154,0)),"")</f>
        <v/>
      </c>
      <c r="AA56" s="155"/>
      <c r="AB56" s="156"/>
      <c r="AC56" s="66"/>
      <c r="AD56" s="66"/>
      <c r="AE56" s="66"/>
      <c r="AF56" s="66"/>
      <c r="AG56" s="66"/>
      <c r="AH56" s="66"/>
      <c r="AI56" s="34"/>
      <c r="AJ56" s="88">
        <f t="shared" si="0"/>
        <v>0</v>
      </c>
      <c r="AK56" s="88">
        <f t="shared" si="1"/>
        <v>0</v>
      </c>
      <c r="AL56" s="88">
        <v>0</v>
      </c>
      <c r="AM56" s="88">
        <v>0</v>
      </c>
      <c r="AN56" s="81" t="str">
        <f t="shared" si="47"/>
        <v/>
      </c>
      <c r="AO56" s="88">
        <f t="shared" si="2"/>
        <v>0</v>
      </c>
      <c r="AP56" s="88">
        <f t="shared" si="3"/>
        <v>0</v>
      </c>
      <c r="AQ56" s="81" t="str">
        <f t="shared" si="4"/>
        <v/>
      </c>
      <c r="AS56" s="41" t="b">
        <f t="shared" si="5"/>
        <v>1</v>
      </c>
      <c r="AT56" s="38">
        <f t="shared" si="6"/>
        <v>0</v>
      </c>
      <c r="AU56" s="60">
        <f t="shared" si="7"/>
        <v>0</v>
      </c>
      <c r="AV56" s="41">
        <f t="shared" si="8"/>
        <v>0</v>
      </c>
      <c r="AW56" s="41" t="b">
        <f t="shared" si="9"/>
        <v>0</v>
      </c>
      <c r="AX56" t="str">
        <f t="shared" si="10"/>
        <v>+00</v>
      </c>
      <c r="AY56" t="str">
        <f t="shared" si="11"/>
        <v>+00</v>
      </c>
      <c r="BA56" s="47" t="b">
        <f t="shared" si="83"/>
        <v>1</v>
      </c>
      <c r="BB56" s="42" t="b">
        <f t="shared" si="84"/>
        <v>1</v>
      </c>
      <c r="BC56" s="42" t="b">
        <f t="shared" si="85"/>
        <v>0</v>
      </c>
      <c r="BD56" s="42" t="b">
        <f t="shared" si="86"/>
        <v>0</v>
      </c>
      <c r="BE56" s="70">
        <f t="shared" si="87"/>
        <v>0</v>
      </c>
      <c r="BF56" s="70">
        <f t="shared" si="88"/>
        <v>0</v>
      </c>
      <c r="BG56" s="34"/>
      <c r="BI56" s="47" t="b">
        <f t="shared" si="89"/>
        <v>1</v>
      </c>
      <c r="BJ56" s="47" t="b">
        <f t="shared" si="90"/>
        <v>1</v>
      </c>
      <c r="BK56" s="42" t="b">
        <f t="shared" si="91"/>
        <v>0</v>
      </c>
      <c r="BL56" s="42" t="b">
        <f t="shared" si="92"/>
        <v>0</v>
      </c>
      <c r="BM56" s="42">
        <f t="shared" si="93"/>
        <v>0</v>
      </c>
      <c r="BN56" s="42">
        <f t="shared" si="94"/>
        <v>0</v>
      </c>
      <c r="BP56" t="e">
        <f t="shared" si="95"/>
        <v>#N/A</v>
      </c>
      <c r="BQ56" t="e">
        <f t="shared" si="96"/>
        <v>#N/A</v>
      </c>
      <c r="BR56" t="e">
        <f t="shared" si="97"/>
        <v>#N/A</v>
      </c>
      <c r="BT56" s="60">
        <f t="shared" si="106"/>
        <v>0</v>
      </c>
      <c r="BU56" s="60">
        <f t="shared" si="107"/>
        <v>0</v>
      </c>
      <c r="BV56" s="60">
        <f t="shared" si="108"/>
        <v>0</v>
      </c>
      <c r="BW56" s="60">
        <f t="shared" si="109"/>
        <v>0</v>
      </c>
      <c r="BX56" s="60">
        <f t="shared" si="98"/>
        <v>0</v>
      </c>
      <c r="BY56" s="60">
        <f t="shared" si="99"/>
        <v>0</v>
      </c>
      <c r="BZ56" s="60">
        <f t="shared" si="100"/>
        <v>0</v>
      </c>
      <c r="CA56" s="60">
        <f t="shared" si="101"/>
        <v>0</v>
      </c>
      <c r="CB56" s="60" t="e">
        <f t="shared" si="110"/>
        <v>#N/A</v>
      </c>
      <c r="CC56" s="60">
        <f t="shared" si="111"/>
        <v>100000</v>
      </c>
      <c r="CD56" s="60" t="e">
        <f t="shared" si="112"/>
        <v>#N/A</v>
      </c>
      <c r="CE56" s="60">
        <f t="shared" si="113"/>
        <v>100000</v>
      </c>
      <c r="CF56" s="83" t="e">
        <f t="shared" si="102"/>
        <v>#N/A</v>
      </c>
      <c r="CG56" s="83">
        <f t="shared" si="103"/>
        <v>0</v>
      </c>
      <c r="CH56" s="83" t="e">
        <f t="shared" si="104"/>
        <v>#N/A</v>
      </c>
      <c r="CI56" s="83">
        <f t="shared" si="105"/>
        <v>0</v>
      </c>
      <c r="CJ56" s="86" t="e">
        <f t="shared" si="114"/>
        <v>#N/A</v>
      </c>
      <c r="CK56" s="82">
        <f t="shared" si="115"/>
        <v>5.3070370403969858E-3</v>
      </c>
      <c r="CL56" s="82" t="e">
        <f t="shared" si="116"/>
        <v>#N/A</v>
      </c>
      <c r="CM56" s="82">
        <f t="shared" si="117"/>
        <v>5.3070370403969858E-3</v>
      </c>
      <c r="CO56" s="149" t="str">
        <f>IF($I56&lt;&gt;"",IF(O56="User Specified",U56,INDEX('Refrigerant GWPs'!$G$2:$G$156,MATCH(O56,'Refrigerant GWPs'!$A$2:$A$156,0))),"")</f>
        <v/>
      </c>
      <c r="CP56" s="138" t="str">
        <f>IF($I56&lt;&gt;"",INDEX('Device Refrigerant Leakage'!$E$2:$E$42,MATCH($M56,'Device Refrigerant Leakage'!$B$2:$B$42,0)),"")</f>
        <v/>
      </c>
      <c r="CQ56" s="138" t="str">
        <f>IF($I56&lt;&gt;"",INDEX('Device Refrigerant Leakage'!$F$2:$F$42,MATCH($M56,'Device Refrigerant Leakage'!$B$2:$B$42,0)),"")</f>
        <v/>
      </c>
      <c r="CR56" s="145" t="str">
        <f>IF($I56&lt;&gt;"",INDEX('Device Refrigerant Leakage'!$G$2:$G$42,MATCH($M56,'Device Refrigerant Leakage'!$B$2:$B$42,0)),"")</f>
        <v/>
      </c>
      <c r="CS56" s="145" t="str">
        <f>IF($I56&lt;&gt;"",INDEX('Device Refrigerant Leakage'!$D$2:$D$42,MATCH($M56,'Device Refrigerant Leakage'!$B$2:$B$42,0))*CP56/2204.62*CO56,"")</f>
        <v/>
      </c>
      <c r="CT56" s="145" t="str">
        <f>IF($I56&lt;&gt;"",J56*(INDEX('Device Refrigerant Leakage'!$D$2:$D$42,MATCH($M56,'Device Refrigerant Leakage'!$B$2:$B$42,0))-(INDEX('Device Refrigerant Leakage'!$D$2:$D$42,MATCH($M56,'Device Refrigerant Leakage'!$B$2:$B$42,0)))*CR56*CP56)*CQ56/2204.62*CO56,"")</f>
        <v/>
      </c>
      <c r="CU56" s="135" t="str">
        <f>IF($I56&lt;&gt;"",J56*IF(W56&lt;&gt;"AR",(CS56*K56)+CT56,(CS56*AB56)+CT56*(AB56/INDEX('Device Refrigerant Leakage'!$C$2:$C$42,MATCH($M56,'Device Refrigerant Leakage'!$B$2:$B$42,0)))),"")</f>
        <v/>
      </c>
      <c r="CW56" s="135" t="str">
        <f>IF($I56&lt;&gt;"",IF(S56="User Specified",V56,INDEX('Refrigerant GWPs'!$G$2:$G$156,MATCH(S56,'Refrigerant GWPs'!$A$2:$A$157,0))),"")</f>
        <v/>
      </c>
      <c r="CX56" s="138" t="str">
        <f>IF($I56&lt;&gt;"",INDEX('Device Refrigerant Leakage'!$E$2:$E$42,MATCH($Q56,'Device Refrigerant Leakage'!$B$2:$B$42,0)),"")</f>
        <v/>
      </c>
      <c r="CY56" s="138" t="str">
        <f>IF($I56&lt;&gt;"",INDEX('Device Refrigerant Leakage'!$F$2:$F$42,MATCH($Q56,'Device Refrigerant Leakage'!$B$2:$B$42,0)),"")</f>
        <v/>
      </c>
      <c r="CZ56" s="145" t="str">
        <f>IF($I56&lt;&gt;"",INDEX('Device Refrigerant Leakage'!$G$2:$G$42,MATCH($Q56,'Device Refrigerant Leakage'!$B$2:$B$42,0)),"")</f>
        <v/>
      </c>
      <c r="DA56" s="145" t="str">
        <f>IF($I56&lt;&gt;"",J56*INDEX('Device Refrigerant Leakage'!$D$2:$D$42,MATCH($Q56,'Device Refrigerant Leakage'!$B$2:$B$42,0))*CX56/2204.62*CW56,"")</f>
        <v/>
      </c>
      <c r="DB56" s="145" t="str">
        <f>IF($I56&lt;&gt;"",J56*(INDEX('Device Refrigerant Leakage'!$D$2:$D$42,MATCH($Q56,'Device Refrigerant Leakage'!$B$2:$B$42,0))-(INDEX('Device Refrigerant Leakage'!$D$2:$D$42,MATCH($Q56,'Device Refrigerant Leakage'!$B$2:$B$42,0)))*CZ56*CX56)*CY56/2204.62*CW56,"")</f>
        <v/>
      </c>
      <c r="DC56" s="135" t="str">
        <f t="shared" si="59"/>
        <v/>
      </c>
      <c r="DE56" s="146" t="str">
        <f>IF(W56&lt;&gt;"AR","",IF(Y56="User Specified", AA56, INDEX('Refrigerant GWPs'!$G$2:$G$154,MATCH(Y56,'Refrigerant GWPs'!$A$2:$A$154,0))))</f>
        <v/>
      </c>
      <c r="DF56" s="146" t="str">
        <f>IF(W56&lt;&gt;"AR","",INDEX('Device Refrigerant Leakage'!$E$2:$E$42,MATCH(X56,'Device Refrigerant Leakage'!$B$2:$B$42,0)))</f>
        <v/>
      </c>
      <c r="DG56" s="146" t="str">
        <f>IF(W56&lt;&gt;"AR","",INDEX('Device Refrigerant Leakage'!$F$2:$F$42,MATCH(X56,'Device Refrigerant Leakage'!$B$2:$B$42,0)))</f>
        <v/>
      </c>
      <c r="DH56" s="146" t="str">
        <f>IF(W56&lt;&gt;"AR","",INDEX('Device Refrigerant Leakage'!$G$2:$G$42,MATCH(X56,'Device Refrigerant Leakage'!$B$2:$B$42,0)))</f>
        <v/>
      </c>
      <c r="DI56" s="146" t="str">
        <f>IF(W56&lt;&gt;"AR","",J56*INDEX('Device Refrigerant Leakage'!$D$2:$D$42,MATCH(X56,'Device Refrigerant Leakage'!$B$2:$B$42,0))*DF56/2204.62*DE56)</f>
        <v/>
      </c>
      <c r="DJ56" s="146" t="str">
        <f>IF(W56&lt;&gt;"AR","",J56*(INDEX('Device Refrigerant Leakage'!$D$2:$D$42,MATCH(X56,'Device Refrigerant Leakage'!$B$2:$B$42,0))-(INDEX('Device Refrigerant Leakage'!$D$2:$D$42,MATCH(X56,'Device Refrigerant Leakage'!$B$2:$B$42,0)))*DH56*DF56)*DG56/2204.62*DE56)</f>
        <v/>
      </c>
      <c r="DK56" s="146" t="str">
        <f>IF(W56&lt;&gt;"AR","",DI56*(K56-AB56)+'Fuel Sub Calcs-Deemed'!DJ56*((K56-AB56)/INDEX('Device Refrigerant Leakage'!$C$2:$C$42,MATCH('Fuel Sub Calcs-Deemed'!X56,'Device Refrigerant Leakage'!$B$2:$B$42,0))))</f>
        <v/>
      </c>
      <c r="DM56" s="56">
        <v>42</v>
      </c>
      <c r="DN56" s="67" t="e">
        <f t="shared" si="28"/>
        <v>#N/A</v>
      </c>
      <c r="DO56" s="45" t="e">
        <f t="shared" si="29"/>
        <v>#N/A</v>
      </c>
      <c r="DP56" s="67" t="e">
        <f t="shared" si="30"/>
        <v>#N/A</v>
      </c>
      <c r="DQ56" s="45" t="e">
        <f t="shared" si="31"/>
        <v>#N/A</v>
      </c>
      <c r="DR56" s="69" t="e">
        <f t="shared" si="32"/>
        <v>#N/A</v>
      </c>
      <c r="DS56" s="34"/>
      <c r="DT56" s="67" t="e">
        <f>((BX56*CJ56)+IF($W56=MAT_AR,(BZ56*CL56),0))*(1+Reference!$E$50+Reference!$E$51)</f>
        <v>#N/A</v>
      </c>
      <c r="DU56" s="67">
        <f>((BY56*CK56)+IF($W56=MAT_AR,(CA56*CM56),0))*(1+Reference!$G$50+Reference!$G$51)</f>
        <v>0</v>
      </c>
      <c r="DV56" s="67" t="e">
        <f t="shared" si="33"/>
        <v>#VALUE!</v>
      </c>
      <c r="DX56" s="56">
        <v>42</v>
      </c>
      <c r="DY56" s="67">
        <f t="shared" si="34"/>
        <v>0</v>
      </c>
      <c r="DZ56" s="45" t="e">
        <f>VLOOKUP($R56,Dropdown!$C$3:$D$4,2,FALSE)</f>
        <v>#N/A</v>
      </c>
      <c r="EA56" s="68">
        <f t="shared" si="35"/>
        <v>0</v>
      </c>
      <c r="EB56" s="68" t="str">
        <f t="shared" si="36"/>
        <v>N/A</v>
      </c>
      <c r="EC56" s="68">
        <f t="shared" si="37"/>
        <v>0</v>
      </c>
      <c r="ED56" s="68" t="str">
        <f t="shared" si="118"/>
        <v>N/A</v>
      </c>
      <c r="EF56" s="56">
        <v>42</v>
      </c>
      <c r="EG56" s="46">
        <f t="shared" si="39"/>
        <v>0</v>
      </c>
      <c r="EH56" s="68" t="e">
        <f t="shared" si="40"/>
        <v>#N/A</v>
      </c>
      <c r="EI56" s="68" t="e">
        <f t="shared" si="41"/>
        <v>#N/A</v>
      </c>
      <c r="EJ56" s="68" t="e">
        <f t="shared" si="42"/>
        <v>#N/A</v>
      </c>
      <c r="EK56" s="68" t="e">
        <f t="shared" si="43"/>
        <v>#N/A</v>
      </c>
      <c r="EL56" s="46">
        <f t="shared" si="44"/>
        <v>0</v>
      </c>
      <c r="EM56" s="46">
        <f t="shared" si="45"/>
        <v>0</v>
      </c>
    </row>
    <row r="57" spans="1:143">
      <c r="A57" s="89"/>
      <c r="B57" s="89"/>
      <c r="C57" s="89"/>
      <c r="D57" s="89"/>
      <c r="E57" s="89"/>
      <c r="F57" s="89"/>
      <c r="G57" s="34"/>
      <c r="H57" s="56">
        <f t="shared" si="46"/>
        <v>43</v>
      </c>
      <c r="I57" s="165"/>
      <c r="J57" s="163"/>
      <c r="K57" s="163"/>
      <c r="L57" s="164"/>
      <c r="M57" s="155"/>
      <c r="N57" s="155"/>
      <c r="O57" s="144"/>
      <c r="P57" s="159" t="str">
        <f>IFERROR(IF(O57&lt;&gt;"User Specified",IF(O57&lt;&gt;"", INDEX('Refrigerant GWPs'!$G$2:$G$154,MATCH(O57,'Refrigerant GWPs'!$A$2:$A$154,0)),""),U57),0)</f>
        <v/>
      </c>
      <c r="Q57" s="155"/>
      <c r="R57" s="155"/>
      <c r="S57" s="144"/>
      <c r="T57" s="159" t="str">
        <f>IF(S57&lt;&gt;"User Specified",IF(AND(S57&lt;&gt;"User Specified",S57&lt;&gt;""), INDEX('Refrigerant GWPs'!$G$2:$G$154,MATCH(S57,'Refrigerant GWPs'!$A$2:$A$154,0)),""),V57)</f>
        <v/>
      </c>
      <c r="U57" s="144"/>
      <c r="V57" s="144"/>
      <c r="W57" s="155"/>
      <c r="X57" s="155"/>
      <c r="Y57" s="144"/>
      <c r="Z57" s="159" t="str">
        <f>IF(AND(Y57&lt;&gt;"User Specified",Y57&lt;&gt;""), INDEX('Refrigerant GWPs'!$G$2:$G$154,MATCH(Y57,'Refrigerant GWPs'!$A$2:$A$154,0)),"")</f>
        <v/>
      </c>
      <c r="AA57" s="155"/>
      <c r="AB57" s="156"/>
      <c r="AC57" s="66"/>
      <c r="AD57" s="66"/>
      <c r="AE57" s="66"/>
      <c r="AF57" s="66"/>
      <c r="AG57" s="66"/>
      <c r="AH57" s="66"/>
      <c r="AI57" s="34"/>
      <c r="AJ57" s="88">
        <f t="shared" si="0"/>
        <v>0</v>
      </c>
      <c r="AK57" s="88">
        <f t="shared" si="1"/>
        <v>0</v>
      </c>
      <c r="AL57" s="88">
        <v>0</v>
      </c>
      <c r="AM57" s="88">
        <v>0</v>
      </c>
      <c r="AN57" s="81" t="str">
        <f t="shared" si="47"/>
        <v/>
      </c>
      <c r="AO57" s="88">
        <f t="shared" si="2"/>
        <v>0</v>
      </c>
      <c r="AP57" s="88">
        <f t="shared" si="3"/>
        <v>0</v>
      </c>
      <c r="AQ57" s="81" t="str">
        <f t="shared" si="4"/>
        <v/>
      </c>
      <c r="AS57" s="41" t="b">
        <f t="shared" si="5"/>
        <v>1</v>
      </c>
      <c r="AT57" s="38">
        <f t="shared" si="6"/>
        <v>0</v>
      </c>
      <c r="AU57" s="60">
        <f t="shared" si="7"/>
        <v>0</v>
      </c>
      <c r="AV57" s="41">
        <f t="shared" si="8"/>
        <v>0</v>
      </c>
      <c r="AW57" s="41" t="b">
        <f t="shared" si="9"/>
        <v>0</v>
      </c>
      <c r="AX57" t="str">
        <f t="shared" si="10"/>
        <v>+00</v>
      </c>
      <c r="AY57" t="str">
        <f t="shared" si="11"/>
        <v>+00</v>
      </c>
      <c r="BA57" s="47" t="b">
        <f t="shared" si="83"/>
        <v>1</v>
      </c>
      <c r="BB57" s="42" t="b">
        <f t="shared" si="84"/>
        <v>1</v>
      </c>
      <c r="BC57" s="42" t="b">
        <f t="shared" si="85"/>
        <v>0</v>
      </c>
      <c r="BD57" s="42" t="b">
        <f t="shared" si="86"/>
        <v>0</v>
      </c>
      <c r="BE57" s="70">
        <f t="shared" si="87"/>
        <v>0</v>
      </c>
      <c r="BF57" s="70">
        <f t="shared" si="88"/>
        <v>0</v>
      </c>
      <c r="BG57" s="34"/>
      <c r="BI57" s="47" t="b">
        <f t="shared" si="89"/>
        <v>1</v>
      </c>
      <c r="BJ57" s="47" t="b">
        <f t="shared" si="90"/>
        <v>1</v>
      </c>
      <c r="BK57" s="42" t="b">
        <f t="shared" si="91"/>
        <v>0</v>
      </c>
      <c r="BL57" s="42" t="b">
        <f t="shared" si="92"/>
        <v>0</v>
      </c>
      <c r="BM57" s="42">
        <f t="shared" si="93"/>
        <v>0</v>
      </c>
      <c r="BN57" s="42">
        <f t="shared" si="94"/>
        <v>0</v>
      </c>
      <c r="BP57" t="e">
        <f t="shared" si="95"/>
        <v>#N/A</v>
      </c>
      <c r="BQ57" t="e">
        <f t="shared" si="96"/>
        <v>#N/A</v>
      </c>
      <c r="BR57" t="e">
        <f t="shared" si="97"/>
        <v>#N/A</v>
      </c>
      <c r="BT57" s="60">
        <f t="shared" si="106"/>
        <v>0</v>
      </c>
      <c r="BU57" s="60">
        <f t="shared" si="107"/>
        <v>0</v>
      </c>
      <c r="BV57" s="60">
        <f t="shared" si="108"/>
        <v>0</v>
      </c>
      <c r="BW57" s="60">
        <f t="shared" si="109"/>
        <v>0</v>
      </c>
      <c r="BX57" s="60">
        <f t="shared" si="98"/>
        <v>0</v>
      </c>
      <c r="BY57" s="60">
        <f t="shared" si="99"/>
        <v>0</v>
      </c>
      <c r="BZ57" s="60">
        <f t="shared" si="100"/>
        <v>0</v>
      </c>
      <c r="CA57" s="60">
        <f t="shared" si="101"/>
        <v>0</v>
      </c>
      <c r="CB57" s="60" t="e">
        <f t="shared" si="110"/>
        <v>#N/A</v>
      </c>
      <c r="CC57" s="60">
        <f t="shared" si="111"/>
        <v>100000</v>
      </c>
      <c r="CD57" s="60" t="e">
        <f t="shared" si="112"/>
        <v>#N/A</v>
      </c>
      <c r="CE57" s="60">
        <f t="shared" si="113"/>
        <v>100000</v>
      </c>
      <c r="CF57" s="83" t="e">
        <f t="shared" si="102"/>
        <v>#N/A</v>
      </c>
      <c r="CG57" s="83">
        <f t="shared" si="103"/>
        <v>0</v>
      </c>
      <c r="CH57" s="83" t="e">
        <f t="shared" si="104"/>
        <v>#N/A</v>
      </c>
      <c r="CI57" s="83">
        <f t="shared" si="105"/>
        <v>0</v>
      </c>
      <c r="CJ57" s="86" t="e">
        <f t="shared" si="114"/>
        <v>#N/A</v>
      </c>
      <c r="CK57" s="82">
        <f t="shared" si="115"/>
        <v>5.3070370403969858E-3</v>
      </c>
      <c r="CL57" s="82" t="e">
        <f t="shared" si="116"/>
        <v>#N/A</v>
      </c>
      <c r="CM57" s="82">
        <f t="shared" si="117"/>
        <v>5.3070370403969858E-3</v>
      </c>
      <c r="CO57" s="149" t="str">
        <f>IF($I57&lt;&gt;"",IF(O57="User Specified",U57,INDEX('Refrigerant GWPs'!$G$2:$G$156,MATCH(O57,'Refrigerant GWPs'!$A$2:$A$156,0))),"")</f>
        <v/>
      </c>
      <c r="CP57" s="138" t="str">
        <f>IF($I57&lt;&gt;"",INDEX('Device Refrigerant Leakage'!$E$2:$E$42,MATCH($M57,'Device Refrigerant Leakage'!$B$2:$B$42,0)),"")</f>
        <v/>
      </c>
      <c r="CQ57" s="138" t="str">
        <f>IF($I57&lt;&gt;"",INDEX('Device Refrigerant Leakage'!$F$2:$F$42,MATCH($M57,'Device Refrigerant Leakage'!$B$2:$B$42,0)),"")</f>
        <v/>
      </c>
      <c r="CR57" s="145" t="str">
        <f>IF($I57&lt;&gt;"",INDEX('Device Refrigerant Leakage'!$G$2:$G$42,MATCH($M57,'Device Refrigerant Leakage'!$B$2:$B$42,0)),"")</f>
        <v/>
      </c>
      <c r="CS57" s="145" t="str">
        <f>IF($I57&lt;&gt;"",INDEX('Device Refrigerant Leakage'!$D$2:$D$42,MATCH($M57,'Device Refrigerant Leakage'!$B$2:$B$42,0))*CP57/2204.62*CO57,"")</f>
        <v/>
      </c>
      <c r="CT57" s="145" t="str">
        <f>IF($I57&lt;&gt;"",J57*(INDEX('Device Refrigerant Leakage'!$D$2:$D$42,MATCH($M57,'Device Refrigerant Leakage'!$B$2:$B$42,0))-(INDEX('Device Refrigerant Leakage'!$D$2:$D$42,MATCH($M57,'Device Refrigerant Leakage'!$B$2:$B$42,0)))*CR57*CP57)*CQ57/2204.62*CO57,"")</f>
        <v/>
      </c>
      <c r="CU57" s="135" t="str">
        <f>IF($I57&lt;&gt;"",J57*IF(W57&lt;&gt;"AR",(CS57*K57)+CT57,(CS57*AB57)+CT57*(AB57/INDEX('Device Refrigerant Leakage'!$C$2:$C$42,MATCH($M57,'Device Refrigerant Leakage'!$B$2:$B$42,0)))),"")</f>
        <v/>
      </c>
      <c r="CW57" s="135" t="str">
        <f>IF($I57&lt;&gt;"",IF(S57="User Specified",V57,INDEX('Refrigerant GWPs'!$G$2:$G$156,MATCH(S57,'Refrigerant GWPs'!$A$2:$A$157,0))),"")</f>
        <v/>
      </c>
      <c r="CX57" s="138" t="str">
        <f>IF($I57&lt;&gt;"",INDEX('Device Refrigerant Leakage'!$E$2:$E$42,MATCH($Q57,'Device Refrigerant Leakage'!$B$2:$B$42,0)),"")</f>
        <v/>
      </c>
      <c r="CY57" s="138" t="str">
        <f>IF($I57&lt;&gt;"",INDEX('Device Refrigerant Leakage'!$F$2:$F$42,MATCH($Q57,'Device Refrigerant Leakage'!$B$2:$B$42,0)),"")</f>
        <v/>
      </c>
      <c r="CZ57" s="145" t="str">
        <f>IF($I57&lt;&gt;"",INDEX('Device Refrigerant Leakage'!$G$2:$G$42,MATCH($Q57,'Device Refrigerant Leakage'!$B$2:$B$42,0)),"")</f>
        <v/>
      </c>
      <c r="DA57" s="145" t="str">
        <f>IF($I57&lt;&gt;"",J57*INDEX('Device Refrigerant Leakage'!$D$2:$D$42,MATCH($Q57,'Device Refrigerant Leakage'!$B$2:$B$42,0))*CX57/2204.62*CW57,"")</f>
        <v/>
      </c>
      <c r="DB57" s="145" t="str">
        <f>IF($I57&lt;&gt;"",J57*(INDEX('Device Refrigerant Leakage'!$D$2:$D$42,MATCH($Q57,'Device Refrigerant Leakage'!$B$2:$B$42,0))-(INDEX('Device Refrigerant Leakage'!$D$2:$D$42,MATCH($Q57,'Device Refrigerant Leakage'!$B$2:$B$42,0)))*CZ57*CX57)*CY57/2204.62*CW57,"")</f>
        <v/>
      </c>
      <c r="DC57" s="135" t="str">
        <f t="shared" si="59"/>
        <v/>
      </c>
      <c r="DE57" s="146" t="str">
        <f>IF(W57&lt;&gt;"AR","",IF(Y57="User Specified", AA57, INDEX('Refrigerant GWPs'!$G$2:$G$154,MATCH(Y57,'Refrigerant GWPs'!$A$2:$A$154,0))))</f>
        <v/>
      </c>
      <c r="DF57" s="146" t="str">
        <f>IF(W57&lt;&gt;"AR","",INDEX('Device Refrigerant Leakage'!$E$2:$E$42,MATCH(X57,'Device Refrigerant Leakage'!$B$2:$B$42,0)))</f>
        <v/>
      </c>
      <c r="DG57" s="146" t="str">
        <f>IF(W57&lt;&gt;"AR","",INDEX('Device Refrigerant Leakage'!$F$2:$F$42,MATCH(X57,'Device Refrigerant Leakage'!$B$2:$B$42,0)))</f>
        <v/>
      </c>
      <c r="DH57" s="146" t="str">
        <f>IF(W57&lt;&gt;"AR","",INDEX('Device Refrigerant Leakage'!$G$2:$G$42,MATCH(X57,'Device Refrigerant Leakage'!$B$2:$B$42,0)))</f>
        <v/>
      </c>
      <c r="DI57" s="146" t="str">
        <f>IF(W57&lt;&gt;"AR","",J57*INDEX('Device Refrigerant Leakage'!$D$2:$D$42,MATCH(X57,'Device Refrigerant Leakage'!$B$2:$B$42,0))*DF57/2204.62*DE57)</f>
        <v/>
      </c>
      <c r="DJ57" s="146" t="str">
        <f>IF(W57&lt;&gt;"AR","",J57*(INDEX('Device Refrigerant Leakage'!$D$2:$D$42,MATCH(X57,'Device Refrigerant Leakage'!$B$2:$B$42,0))-(INDEX('Device Refrigerant Leakage'!$D$2:$D$42,MATCH(X57,'Device Refrigerant Leakage'!$B$2:$B$42,0)))*DH57*DF57)*DG57/2204.62*DE57)</f>
        <v/>
      </c>
      <c r="DK57" s="146" t="str">
        <f>IF(W57&lt;&gt;"AR","",DI57*(K57-AB57)+'Fuel Sub Calcs-Deemed'!DJ57*((K57-AB57)/INDEX('Device Refrigerant Leakage'!$C$2:$C$42,MATCH('Fuel Sub Calcs-Deemed'!X57,'Device Refrigerant Leakage'!$B$2:$B$42,0))))</f>
        <v/>
      </c>
      <c r="DM57" s="56">
        <v>43</v>
      </c>
      <c r="DN57" s="67" t="e">
        <f t="shared" si="28"/>
        <v>#N/A</v>
      </c>
      <c r="DO57" s="45" t="e">
        <f t="shared" si="29"/>
        <v>#N/A</v>
      </c>
      <c r="DP57" s="67" t="e">
        <f t="shared" si="30"/>
        <v>#N/A</v>
      </c>
      <c r="DQ57" s="45" t="e">
        <f t="shared" si="31"/>
        <v>#N/A</v>
      </c>
      <c r="DR57" s="69" t="e">
        <f t="shared" si="32"/>
        <v>#N/A</v>
      </c>
      <c r="DS57" s="34"/>
      <c r="DT57" s="67" t="e">
        <f>((BX57*CJ57)+IF($W57=MAT_AR,(BZ57*CL57),0))*(1+Reference!$E$50+Reference!$E$51)</f>
        <v>#N/A</v>
      </c>
      <c r="DU57" s="67">
        <f>((BY57*CK57)+IF($W57=MAT_AR,(CA57*CM57),0))*(1+Reference!$G$50+Reference!$G$51)</f>
        <v>0</v>
      </c>
      <c r="DV57" s="67" t="e">
        <f t="shared" si="33"/>
        <v>#VALUE!</v>
      </c>
      <c r="DX57" s="56">
        <v>43</v>
      </c>
      <c r="DY57" s="67">
        <f t="shared" si="34"/>
        <v>0</v>
      </c>
      <c r="DZ57" s="45" t="e">
        <f>VLOOKUP($R57,Dropdown!$C$3:$D$4,2,FALSE)</f>
        <v>#N/A</v>
      </c>
      <c r="EA57" s="68">
        <f t="shared" si="35"/>
        <v>0</v>
      </c>
      <c r="EB57" s="68" t="str">
        <f t="shared" si="36"/>
        <v>N/A</v>
      </c>
      <c r="EC57" s="68">
        <f t="shared" si="37"/>
        <v>0</v>
      </c>
      <c r="ED57" s="68" t="str">
        <f t="shared" si="118"/>
        <v>N/A</v>
      </c>
      <c r="EF57" s="56">
        <v>43</v>
      </c>
      <c r="EG57" s="46">
        <f t="shared" si="39"/>
        <v>0</v>
      </c>
      <c r="EH57" s="68" t="e">
        <f t="shared" si="40"/>
        <v>#N/A</v>
      </c>
      <c r="EI57" s="68" t="e">
        <f t="shared" si="41"/>
        <v>#N/A</v>
      </c>
      <c r="EJ57" s="68" t="e">
        <f t="shared" si="42"/>
        <v>#N/A</v>
      </c>
      <c r="EK57" s="68" t="e">
        <f t="shared" si="43"/>
        <v>#N/A</v>
      </c>
      <c r="EL57" s="46">
        <f t="shared" si="44"/>
        <v>0</v>
      </c>
      <c r="EM57" s="46">
        <f t="shared" si="45"/>
        <v>0</v>
      </c>
    </row>
    <row r="58" spans="1:143">
      <c r="A58" s="89"/>
      <c r="B58" s="89"/>
      <c r="C58" s="89"/>
      <c r="D58" s="89"/>
      <c r="E58" s="89"/>
      <c r="F58" s="89"/>
      <c r="G58" s="34"/>
      <c r="H58" s="56">
        <f t="shared" si="46"/>
        <v>44</v>
      </c>
      <c r="I58" s="165"/>
      <c r="J58" s="163"/>
      <c r="K58" s="163"/>
      <c r="L58" s="164"/>
      <c r="M58" s="155"/>
      <c r="N58" s="155"/>
      <c r="O58" s="144"/>
      <c r="P58" s="159" t="str">
        <f>IFERROR(IF(O58&lt;&gt;"User Specified",IF(O58&lt;&gt;"", INDEX('Refrigerant GWPs'!$G$2:$G$154,MATCH(O58,'Refrigerant GWPs'!$A$2:$A$154,0)),""),U58),0)</f>
        <v/>
      </c>
      <c r="Q58" s="155"/>
      <c r="R58" s="155"/>
      <c r="S58" s="144"/>
      <c r="T58" s="159" t="str">
        <f>IF(S58&lt;&gt;"User Specified",IF(AND(S58&lt;&gt;"User Specified",S58&lt;&gt;""), INDEX('Refrigerant GWPs'!$G$2:$G$154,MATCH(S58,'Refrigerant GWPs'!$A$2:$A$154,0)),""),V58)</f>
        <v/>
      </c>
      <c r="U58" s="144"/>
      <c r="V58" s="144"/>
      <c r="W58" s="155"/>
      <c r="X58" s="155"/>
      <c r="Y58" s="144"/>
      <c r="Z58" s="159" t="str">
        <f>IF(AND(Y58&lt;&gt;"User Specified",Y58&lt;&gt;""), INDEX('Refrigerant GWPs'!$G$2:$G$154,MATCH(Y58,'Refrigerant GWPs'!$A$2:$A$154,0)),"")</f>
        <v/>
      </c>
      <c r="AA58" s="155"/>
      <c r="AB58" s="156"/>
      <c r="AC58" s="66"/>
      <c r="AD58" s="66"/>
      <c r="AE58" s="66"/>
      <c r="AF58" s="66"/>
      <c r="AG58" s="66"/>
      <c r="AH58" s="66"/>
      <c r="AI58" s="34"/>
      <c r="AJ58" s="88">
        <f t="shared" si="0"/>
        <v>0</v>
      </c>
      <c r="AK58" s="88">
        <f t="shared" si="1"/>
        <v>0</v>
      </c>
      <c r="AL58" s="88">
        <v>0</v>
      </c>
      <c r="AM58" s="88">
        <v>0</v>
      </c>
      <c r="AN58" s="81" t="str">
        <f t="shared" si="47"/>
        <v/>
      </c>
      <c r="AO58" s="88">
        <f t="shared" si="2"/>
        <v>0</v>
      </c>
      <c r="AP58" s="88">
        <f t="shared" si="3"/>
        <v>0</v>
      </c>
      <c r="AQ58" s="81" t="str">
        <f t="shared" si="4"/>
        <v/>
      </c>
      <c r="AS58" s="41" t="b">
        <f t="shared" si="5"/>
        <v>1</v>
      </c>
      <c r="AT58" s="38">
        <f t="shared" si="6"/>
        <v>0</v>
      </c>
      <c r="AU58" s="60">
        <f t="shared" si="7"/>
        <v>0</v>
      </c>
      <c r="AV58" s="41">
        <f t="shared" si="8"/>
        <v>0</v>
      </c>
      <c r="AW58" s="41" t="b">
        <f t="shared" si="9"/>
        <v>0</v>
      </c>
      <c r="AX58" t="str">
        <f t="shared" si="10"/>
        <v>+00</v>
      </c>
      <c r="AY58" t="str">
        <f t="shared" si="11"/>
        <v>+00</v>
      </c>
      <c r="BA58" s="47" t="b">
        <f t="shared" si="83"/>
        <v>1</v>
      </c>
      <c r="BB58" s="42" t="b">
        <f t="shared" si="84"/>
        <v>1</v>
      </c>
      <c r="BC58" s="42" t="b">
        <f t="shared" si="85"/>
        <v>0</v>
      </c>
      <c r="BD58" s="42" t="b">
        <f t="shared" si="86"/>
        <v>0</v>
      </c>
      <c r="BE58" s="70">
        <f t="shared" si="87"/>
        <v>0</v>
      </c>
      <c r="BF58" s="70">
        <f t="shared" si="88"/>
        <v>0</v>
      </c>
      <c r="BG58" s="34"/>
      <c r="BI58" s="47" t="b">
        <f t="shared" si="89"/>
        <v>1</v>
      </c>
      <c r="BJ58" s="47" t="b">
        <f t="shared" si="90"/>
        <v>1</v>
      </c>
      <c r="BK58" s="42" t="b">
        <f t="shared" si="91"/>
        <v>0</v>
      </c>
      <c r="BL58" s="42" t="b">
        <f t="shared" si="92"/>
        <v>0</v>
      </c>
      <c r="BM58" s="42">
        <f t="shared" si="93"/>
        <v>0</v>
      </c>
      <c r="BN58" s="42">
        <f t="shared" si="94"/>
        <v>0</v>
      </c>
      <c r="BP58" t="e">
        <f t="shared" si="95"/>
        <v>#N/A</v>
      </c>
      <c r="BQ58" t="e">
        <f t="shared" si="96"/>
        <v>#N/A</v>
      </c>
      <c r="BR58" t="e">
        <f t="shared" si="97"/>
        <v>#N/A</v>
      </c>
      <c r="BT58" s="60">
        <f t="shared" si="106"/>
        <v>0</v>
      </c>
      <c r="BU58" s="60">
        <f t="shared" si="107"/>
        <v>0</v>
      </c>
      <c r="BV58" s="60">
        <f t="shared" si="108"/>
        <v>0</v>
      </c>
      <c r="BW58" s="60">
        <f t="shared" si="109"/>
        <v>0</v>
      </c>
      <c r="BX58" s="60">
        <f t="shared" si="98"/>
        <v>0</v>
      </c>
      <c r="BY58" s="60">
        <f t="shared" si="99"/>
        <v>0</v>
      </c>
      <c r="BZ58" s="60">
        <f t="shared" si="100"/>
        <v>0</v>
      </c>
      <c r="CA58" s="60">
        <f t="shared" si="101"/>
        <v>0</v>
      </c>
      <c r="CB58" s="60" t="e">
        <f t="shared" si="110"/>
        <v>#N/A</v>
      </c>
      <c r="CC58" s="60">
        <f t="shared" si="111"/>
        <v>100000</v>
      </c>
      <c r="CD58" s="60" t="e">
        <f t="shared" si="112"/>
        <v>#N/A</v>
      </c>
      <c r="CE58" s="60">
        <f t="shared" si="113"/>
        <v>100000</v>
      </c>
      <c r="CF58" s="83" t="e">
        <f t="shared" si="102"/>
        <v>#N/A</v>
      </c>
      <c r="CG58" s="83">
        <f t="shared" si="103"/>
        <v>0</v>
      </c>
      <c r="CH58" s="83" t="e">
        <f t="shared" si="104"/>
        <v>#N/A</v>
      </c>
      <c r="CI58" s="83">
        <f t="shared" si="105"/>
        <v>0</v>
      </c>
      <c r="CJ58" s="86" t="e">
        <f t="shared" si="114"/>
        <v>#N/A</v>
      </c>
      <c r="CK58" s="82">
        <f t="shared" si="115"/>
        <v>5.3070370403969858E-3</v>
      </c>
      <c r="CL58" s="82" t="e">
        <f t="shared" si="116"/>
        <v>#N/A</v>
      </c>
      <c r="CM58" s="82">
        <f t="shared" si="117"/>
        <v>5.3070370403969858E-3</v>
      </c>
      <c r="CO58" s="149" t="str">
        <f>IF($I58&lt;&gt;"",IF(O58="User Specified",U58,INDEX('Refrigerant GWPs'!$G$2:$G$156,MATCH(O58,'Refrigerant GWPs'!$A$2:$A$156,0))),"")</f>
        <v/>
      </c>
      <c r="CP58" s="138" t="str">
        <f>IF($I58&lt;&gt;"",INDEX('Device Refrigerant Leakage'!$E$2:$E$42,MATCH($M58,'Device Refrigerant Leakage'!$B$2:$B$42,0)),"")</f>
        <v/>
      </c>
      <c r="CQ58" s="138" t="str">
        <f>IF($I58&lt;&gt;"",INDEX('Device Refrigerant Leakage'!$F$2:$F$42,MATCH($M58,'Device Refrigerant Leakage'!$B$2:$B$42,0)),"")</f>
        <v/>
      </c>
      <c r="CR58" s="145" t="str">
        <f>IF($I58&lt;&gt;"",INDEX('Device Refrigerant Leakage'!$G$2:$G$42,MATCH($M58,'Device Refrigerant Leakage'!$B$2:$B$42,0)),"")</f>
        <v/>
      </c>
      <c r="CS58" s="145" t="str">
        <f>IF($I58&lt;&gt;"",INDEX('Device Refrigerant Leakage'!$D$2:$D$42,MATCH($M58,'Device Refrigerant Leakage'!$B$2:$B$42,0))*CP58/2204.62*CO58,"")</f>
        <v/>
      </c>
      <c r="CT58" s="145" t="str">
        <f>IF($I58&lt;&gt;"",J58*(INDEX('Device Refrigerant Leakage'!$D$2:$D$42,MATCH($M58,'Device Refrigerant Leakage'!$B$2:$B$42,0))-(INDEX('Device Refrigerant Leakage'!$D$2:$D$42,MATCH($M58,'Device Refrigerant Leakage'!$B$2:$B$42,0)))*CR58*CP58)*CQ58/2204.62*CO58,"")</f>
        <v/>
      </c>
      <c r="CU58" s="135" t="str">
        <f>IF($I58&lt;&gt;"",J58*IF(W58&lt;&gt;"AR",(CS58*K58)+CT58,(CS58*AB58)+CT58*(AB58/INDEX('Device Refrigerant Leakage'!$C$2:$C$42,MATCH($M58,'Device Refrigerant Leakage'!$B$2:$B$42,0)))),"")</f>
        <v/>
      </c>
      <c r="CW58" s="135" t="str">
        <f>IF($I58&lt;&gt;"",IF(S58="User Specified",V58,INDEX('Refrigerant GWPs'!$G$2:$G$156,MATCH(S58,'Refrigerant GWPs'!$A$2:$A$157,0))),"")</f>
        <v/>
      </c>
      <c r="CX58" s="138" t="str">
        <f>IF($I58&lt;&gt;"",INDEX('Device Refrigerant Leakage'!$E$2:$E$42,MATCH($Q58,'Device Refrigerant Leakage'!$B$2:$B$42,0)),"")</f>
        <v/>
      </c>
      <c r="CY58" s="138" t="str">
        <f>IF($I58&lt;&gt;"",INDEX('Device Refrigerant Leakage'!$F$2:$F$42,MATCH($Q58,'Device Refrigerant Leakage'!$B$2:$B$42,0)),"")</f>
        <v/>
      </c>
      <c r="CZ58" s="145" t="str">
        <f>IF($I58&lt;&gt;"",INDEX('Device Refrigerant Leakage'!$G$2:$G$42,MATCH($Q58,'Device Refrigerant Leakage'!$B$2:$B$42,0)),"")</f>
        <v/>
      </c>
      <c r="DA58" s="145" t="str">
        <f>IF($I58&lt;&gt;"",J58*INDEX('Device Refrigerant Leakage'!$D$2:$D$42,MATCH($Q58,'Device Refrigerant Leakage'!$B$2:$B$42,0))*CX58/2204.62*CW58,"")</f>
        <v/>
      </c>
      <c r="DB58" s="145" t="str">
        <f>IF($I58&lt;&gt;"",J58*(INDEX('Device Refrigerant Leakage'!$D$2:$D$42,MATCH($Q58,'Device Refrigerant Leakage'!$B$2:$B$42,0))-(INDEX('Device Refrigerant Leakage'!$D$2:$D$42,MATCH($Q58,'Device Refrigerant Leakage'!$B$2:$B$42,0)))*CZ58*CX58)*CY58/2204.62*CW58,"")</f>
        <v/>
      </c>
      <c r="DC58" s="135" t="str">
        <f t="shared" si="59"/>
        <v/>
      </c>
      <c r="DE58" s="146" t="str">
        <f>IF(W58&lt;&gt;"AR","",IF(Y58="User Specified", AA58, INDEX('Refrigerant GWPs'!$G$2:$G$154,MATCH(Y58,'Refrigerant GWPs'!$A$2:$A$154,0))))</f>
        <v/>
      </c>
      <c r="DF58" s="146" t="str">
        <f>IF(W58&lt;&gt;"AR","",INDEX('Device Refrigerant Leakage'!$E$2:$E$42,MATCH(X58,'Device Refrigerant Leakage'!$B$2:$B$42,0)))</f>
        <v/>
      </c>
      <c r="DG58" s="146" t="str">
        <f>IF(W58&lt;&gt;"AR","",INDEX('Device Refrigerant Leakage'!$F$2:$F$42,MATCH(X58,'Device Refrigerant Leakage'!$B$2:$B$42,0)))</f>
        <v/>
      </c>
      <c r="DH58" s="146" t="str">
        <f>IF(W58&lt;&gt;"AR","",INDEX('Device Refrigerant Leakage'!$G$2:$G$42,MATCH(X58,'Device Refrigerant Leakage'!$B$2:$B$42,0)))</f>
        <v/>
      </c>
      <c r="DI58" s="146" t="str">
        <f>IF(W58&lt;&gt;"AR","",J58*INDEX('Device Refrigerant Leakage'!$D$2:$D$42,MATCH(X58,'Device Refrigerant Leakage'!$B$2:$B$42,0))*DF58/2204.62*DE58)</f>
        <v/>
      </c>
      <c r="DJ58" s="146" t="str">
        <f>IF(W58&lt;&gt;"AR","",J58*(INDEX('Device Refrigerant Leakage'!$D$2:$D$42,MATCH(X58,'Device Refrigerant Leakage'!$B$2:$B$42,0))-(INDEX('Device Refrigerant Leakage'!$D$2:$D$42,MATCH(X58,'Device Refrigerant Leakage'!$B$2:$B$42,0)))*DH58*DF58)*DG58/2204.62*DE58)</f>
        <v/>
      </c>
      <c r="DK58" s="146" t="str">
        <f>IF(W58&lt;&gt;"AR","",DI58*(K58-AB58)+'Fuel Sub Calcs-Deemed'!DJ58*((K58-AB58)/INDEX('Device Refrigerant Leakage'!$C$2:$C$42,MATCH('Fuel Sub Calcs-Deemed'!X58,'Device Refrigerant Leakage'!$B$2:$B$42,0))))</f>
        <v/>
      </c>
      <c r="DM58" s="56">
        <v>44</v>
      </c>
      <c r="DN58" s="67" t="e">
        <f t="shared" si="28"/>
        <v>#N/A</v>
      </c>
      <c r="DO58" s="45" t="e">
        <f t="shared" si="29"/>
        <v>#N/A</v>
      </c>
      <c r="DP58" s="67" t="e">
        <f t="shared" si="30"/>
        <v>#N/A</v>
      </c>
      <c r="DQ58" s="45" t="e">
        <f t="shared" si="31"/>
        <v>#N/A</v>
      </c>
      <c r="DR58" s="69" t="e">
        <f t="shared" si="32"/>
        <v>#N/A</v>
      </c>
      <c r="DS58" s="34"/>
      <c r="DT58" s="67" t="e">
        <f>((BX58*CJ58)+IF($W58=MAT_AR,(BZ58*CL58),0))*(1+Reference!$E$50+Reference!$E$51)</f>
        <v>#N/A</v>
      </c>
      <c r="DU58" s="67">
        <f>((BY58*CK58)+IF($W58=MAT_AR,(CA58*CM58),0))*(1+Reference!$G$50+Reference!$G$51)</f>
        <v>0</v>
      </c>
      <c r="DV58" s="67" t="e">
        <f t="shared" si="33"/>
        <v>#VALUE!</v>
      </c>
      <c r="DX58" s="56">
        <v>44</v>
      </c>
      <c r="DY58" s="67">
        <f t="shared" si="34"/>
        <v>0</v>
      </c>
      <c r="DZ58" s="45" t="e">
        <f>VLOOKUP($R58,Dropdown!$C$3:$D$4,2,FALSE)</f>
        <v>#N/A</v>
      </c>
      <c r="EA58" s="68">
        <f t="shared" si="35"/>
        <v>0</v>
      </c>
      <c r="EB58" s="68" t="str">
        <f t="shared" si="36"/>
        <v>N/A</v>
      </c>
      <c r="EC58" s="68">
        <f t="shared" si="37"/>
        <v>0</v>
      </c>
      <c r="ED58" s="68" t="str">
        <f t="shared" si="118"/>
        <v>N/A</v>
      </c>
      <c r="EF58" s="56">
        <v>44</v>
      </c>
      <c r="EG58" s="46">
        <f t="shared" si="39"/>
        <v>0</v>
      </c>
      <c r="EH58" s="68" t="e">
        <f t="shared" si="40"/>
        <v>#N/A</v>
      </c>
      <c r="EI58" s="68" t="e">
        <f t="shared" si="41"/>
        <v>#N/A</v>
      </c>
      <c r="EJ58" s="68" t="e">
        <f t="shared" si="42"/>
        <v>#N/A</v>
      </c>
      <c r="EK58" s="68" t="e">
        <f t="shared" si="43"/>
        <v>#N/A</v>
      </c>
      <c r="EL58" s="46">
        <f t="shared" si="44"/>
        <v>0</v>
      </c>
      <c r="EM58" s="46">
        <f t="shared" si="45"/>
        <v>0</v>
      </c>
    </row>
    <row r="59" spans="1:143">
      <c r="A59" s="89"/>
      <c r="B59" s="89"/>
      <c r="C59" s="89"/>
      <c r="D59" s="89"/>
      <c r="E59" s="89"/>
      <c r="F59" s="89"/>
      <c r="G59" s="34"/>
      <c r="H59" s="56">
        <f t="shared" si="46"/>
        <v>45</v>
      </c>
      <c r="I59" s="165"/>
      <c r="J59" s="163"/>
      <c r="K59" s="163"/>
      <c r="L59" s="164"/>
      <c r="M59" s="155"/>
      <c r="N59" s="155"/>
      <c r="O59" s="144"/>
      <c r="P59" s="159" t="str">
        <f>IFERROR(IF(O59&lt;&gt;"User Specified",IF(O59&lt;&gt;"", INDEX('Refrigerant GWPs'!$G$2:$G$154,MATCH(O59,'Refrigerant GWPs'!$A$2:$A$154,0)),""),U59),0)</f>
        <v/>
      </c>
      <c r="Q59" s="155"/>
      <c r="R59" s="155"/>
      <c r="S59" s="144"/>
      <c r="T59" s="159" t="str">
        <f>IF(S59&lt;&gt;"User Specified",IF(AND(S59&lt;&gt;"User Specified",S59&lt;&gt;""), INDEX('Refrigerant GWPs'!$G$2:$G$154,MATCH(S59,'Refrigerant GWPs'!$A$2:$A$154,0)),""),V59)</f>
        <v/>
      </c>
      <c r="U59" s="144"/>
      <c r="V59" s="144"/>
      <c r="W59" s="155"/>
      <c r="X59" s="155"/>
      <c r="Y59" s="144"/>
      <c r="Z59" s="159" t="str">
        <f>IF(AND(Y59&lt;&gt;"User Specified",Y59&lt;&gt;""), INDEX('Refrigerant GWPs'!$G$2:$G$154,MATCH(Y59,'Refrigerant GWPs'!$A$2:$A$154,0)),"")</f>
        <v/>
      </c>
      <c r="AA59" s="155"/>
      <c r="AB59" s="156"/>
      <c r="AC59" s="66"/>
      <c r="AD59" s="66"/>
      <c r="AE59" s="66"/>
      <c r="AF59" s="66"/>
      <c r="AG59" s="66"/>
      <c r="AH59" s="66"/>
      <c r="AI59" s="34"/>
      <c r="AJ59" s="88">
        <f t="shared" si="0"/>
        <v>0</v>
      </c>
      <c r="AK59" s="88">
        <f t="shared" si="1"/>
        <v>0</v>
      </c>
      <c r="AL59" s="88">
        <v>0</v>
      </c>
      <c r="AM59" s="88">
        <v>0</v>
      </c>
      <c r="AN59" s="81" t="str">
        <f t="shared" si="47"/>
        <v/>
      </c>
      <c r="AO59" s="88">
        <f t="shared" si="2"/>
        <v>0</v>
      </c>
      <c r="AP59" s="88">
        <f t="shared" si="3"/>
        <v>0</v>
      </c>
      <c r="AQ59" s="81" t="str">
        <f t="shared" si="4"/>
        <v/>
      </c>
      <c r="AS59" s="41" t="b">
        <f t="shared" si="5"/>
        <v>1</v>
      </c>
      <c r="AT59" s="38">
        <f t="shared" si="6"/>
        <v>0</v>
      </c>
      <c r="AU59" s="60">
        <f t="shared" si="7"/>
        <v>0</v>
      </c>
      <c r="AV59" s="41">
        <f t="shared" si="8"/>
        <v>0</v>
      </c>
      <c r="AW59" s="41" t="b">
        <f t="shared" si="9"/>
        <v>0</v>
      </c>
      <c r="AX59" t="str">
        <f t="shared" si="10"/>
        <v>+00</v>
      </c>
      <c r="AY59" t="str">
        <f t="shared" si="11"/>
        <v>+00</v>
      </c>
      <c r="BA59" s="47" t="b">
        <f t="shared" si="83"/>
        <v>1</v>
      </c>
      <c r="BB59" s="42" t="b">
        <f t="shared" si="84"/>
        <v>1</v>
      </c>
      <c r="BC59" s="42" t="b">
        <f t="shared" si="85"/>
        <v>0</v>
      </c>
      <c r="BD59" s="42" t="b">
        <f t="shared" si="86"/>
        <v>0</v>
      </c>
      <c r="BE59" s="70">
        <f t="shared" si="87"/>
        <v>0</v>
      </c>
      <c r="BF59" s="70">
        <f t="shared" si="88"/>
        <v>0</v>
      </c>
      <c r="BG59" s="34"/>
      <c r="BI59" s="47" t="b">
        <f t="shared" si="89"/>
        <v>1</v>
      </c>
      <c r="BJ59" s="47" t="b">
        <f t="shared" si="90"/>
        <v>1</v>
      </c>
      <c r="BK59" s="42" t="b">
        <f t="shared" si="91"/>
        <v>0</v>
      </c>
      <c r="BL59" s="42" t="b">
        <f t="shared" si="92"/>
        <v>0</v>
      </c>
      <c r="BM59" s="42">
        <f t="shared" si="93"/>
        <v>0</v>
      </c>
      <c r="BN59" s="42">
        <f t="shared" si="94"/>
        <v>0</v>
      </c>
      <c r="BP59" t="e">
        <f t="shared" si="95"/>
        <v>#N/A</v>
      </c>
      <c r="BQ59" t="e">
        <f t="shared" si="96"/>
        <v>#N/A</v>
      </c>
      <c r="BR59" t="e">
        <f t="shared" si="97"/>
        <v>#N/A</v>
      </c>
      <c r="BT59" s="60">
        <f t="shared" si="106"/>
        <v>0</v>
      </c>
      <c r="BU59" s="60">
        <f t="shared" si="107"/>
        <v>0</v>
      </c>
      <c r="BV59" s="60">
        <f t="shared" si="108"/>
        <v>0</v>
      </c>
      <c r="BW59" s="60">
        <f t="shared" si="109"/>
        <v>0</v>
      </c>
      <c r="BX59" s="60">
        <f t="shared" si="98"/>
        <v>0</v>
      </c>
      <c r="BY59" s="60">
        <f t="shared" si="99"/>
        <v>0</v>
      </c>
      <c r="BZ59" s="60">
        <f t="shared" si="100"/>
        <v>0</v>
      </c>
      <c r="CA59" s="60">
        <f t="shared" si="101"/>
        <v>0</v>
      </c>
      <c r="CB59" s="60" t="e">
        <f t="shared" si="110"/>
        <v>#N/A</v>
      </c>
      <c r="CC59" s="60">
        <f t="shared" si="111"/>
        <v>100000</v>
      </c>
      <c r="CD59" s="60" t="e">
        <f t="shared" si="112"/>
        <v>#N/A</v>
      </c>
      <c r="CE59" s="60">
        <f t="shared" si="113"/>
        <v>100000</v>
      </c>
      <c r="CF59" s="83" t="e">
        <f t="shared" si="102"/>
        <v>#N/A</v>
      </c>
      <c r="CG59" s="83">
        <f t="shared" si="103"/>
        <v>0</v>
      </c>
      <c r="CH59" s="83" t="e">
        <f t="shared" si="104"/>
        <v>#N/A</v>
      </c>
      <c r="CI59" s="83">
        <f t="shared" si="105"/>
        <v>0</v>
      </c>
      <c r="CJ59" s="86" t="e">
        <f t="shared" si="114"/>
        <v>#N/A</v>
      </c>
      <c r="CK59" s="82">
        <f t="shared" si="115"/>
        <v>5.3070370403969858E-3</v>
      </c>
      <c r="CL59" s="82" t="e">
        <f t="shared" si="116"/>
        <v>#N/A</v>
      </c>
      <c r="CM59" s="82">
        <f t="shared" si="117"/>
        <v>5.3070370403969858E-3</v>
      </c>
      <c r="CO59" s="149" t="str">
        <f>IF($I59&lt;&gt;"",IF(O59="User Specified",U59,INDEX('Refrigerant GWPs'!$G$2:$G$156,MATCH(O59,'Refrigerant GWPs'!$A$2:$A$156,0))),"")</f>
        <v/>
      </c>
      <c r="CP59" s="138" t="str">
        <f>IF($I59&lt;&gt;"",INDEX('Device Refrigerant Leakage'!$E$2:$E$42,MATCH($M59,'Device Refrigerant Leakage'!$B$2:$B$42,0)),"")</f>
        <v/>
      </c>
      <c r="CQ59" s="138" t="str">
        <f>IF($I59&lt;&gt;"",INDEX('Device Refrigerant Leakage'!$F$2:$F$42,MATCH($M59,'Device Refrigerant Leakage'!$B$2:$B$42,0)),"")</f>
        <v/>
      </c>
      <c r="CR59" s="145" t="str">
        <f>IF($I59&lt;&gt;"",INDEX('Device Refrigerant Leakage'!$G$2:$G$42,MATCH($M59,'Device Refrigerant Leakage'!$B$2:$B$42,0)),"")</f>
        <v/>
      </c>
      <c r="CS59" s="145" t="str">
        <f>IF($I59&lt;&gt;"",INDEX('Device Refrigerant Leakage'!$D$2:$D$42,MATCH($M59,'Device Refrigerant Leakage'!$B$2:$B$42,0))*CP59/2204.62*CO59,"")</f>
        <v/>
      </c>
      <c r="CT59" s="145" t="str">
        <f>IF($I59&lt;&gt;"",J59*(INDEX('Device Refrigerant Leakage'!$D$2:$D$42,MATCH($M59,'Device Refrigerant Leakage'!$B$2:$B$42,0))-(INDEX('Device Refrigerant Leakage'!$D$2:$D$42,MATCH($M59,'Device Refrigerant Leakage'!$B$2:$B$42,0)))*CR59*CP59)*CQ59/2204.62*CO59,"")</f>
        <v/>
      </c>
      <c r="CU59" s="135" t="str">
        <f>IF($I59&lt;&gt;"",J59*IF(W59&lt;&gt;"AR",(CS59*K59)+CT59,(CS59*AB59)+CT59*(AB59/INDEX('Device Refrigerant Leakage'!$C$2:$C$42,MATCH($M59,'Device Refrigerant Leakage'!$B$2:$B$42,0)))),"")</f>
        <v/>
      </c>
      <c r="CW59" s="135" t="str">
        <f>IF($I59&lt;&gt;"",IF(S59="User Specified",V59,INDEX('Refrigerant GWPs'!$G$2:$G$156,MATCH(S59,'Refrigerant GWPs'!$A$2:$A$157,0))),"")</f>
        <v/>
      </c>
      <c r="CX59" s="138" t="str">
        <f>IF($I59&lt;&gt;"",INDEX('Device Refrigerant Leakage'!$E$2:$E$42,MATCH($Q59,'Device Refrigerant Leakage'!$B$2:$B$42,0)),"")</f>
        <v/>
      </c>
      <c r="CY59" s="138" t="str">
        <f>IF($I59&lt;&gt;"",INDEX('Device Refrigerant Leakage'!$F$2:$F$42,MATCH($Q59,'Device Refrigerant Leakage'!$B$2:$B$42,0)),"")</f>
        <v/>
      </c>
      <c r="CZ59" s="145" t="str">
        <f>IF($I59&lt;&gt;"",INDEX('Device Refrigerant Leakage'!$G$2:$G$42,MATCH($Q59,'Device Refrigerant Leakage'!$B$2:$B$42,0)),"")</f>
        <v/>
      </c>
      <c r="DA59" s="145" t="str">
        <f>IF($I59&lt;&gt;"",J59*INDEX('Device Refrigerant Leakage'!$D$2:$D$42,MATCH($Q59,'Device Refrigerant Leakage'!$B$2:$B$42,0))*CX59/2204.62*CW59,"")</f>
        <v/>
      </c>
      <c r="DB59" s="145" t="str">
        <f>IF($I59&lt;&gt;"",J59*(INDEX('Device Refrigerant Leakage'!$D$2:$D$42,MATCH($Q59,'Device Refrigerant Leakage'!$B$2:$B$42,0))-(INDEX('Device Refrigerant Leakage'!$D$2:$D$42,MATCH($Q59,'Device Refrigerant Leakage'!$B$2:$B$42,0)))*CZ59*CX59)*CY59/2204.62*CW59,"")</f>
        <v/>
      </c>
      <c r="DC59" s="135" t="str">
        <f t="shared" si="59"/>
        <v/>
      </c>
      <c r="DE59" s="146" t="str">
        <f>IF(W59&lt;&gt;"AR","",IF(Y59="User Specified", AA59, INDEX('Refrigerant GWPs'!$G$2:$G$154,MATCH(Y59,'Refrigerant GWPs'!$A$2:$A$154,0))))</f>
        <v/>
      </c>
      <c r="DF59" s="146" t="str">
        <f>IF(W59&lt;&gt;"AR","",INDEX('Device Refrigerant Leakage'!$E$2:$E$42,MATCH(X59,'Device Refrigerant Leakage'!$B$2:$B$42,0)))</f>
        <v/>
      </c>
      <c r="DG59" s="146" t="str">
        <f>IF(W59&lt;&gt;"AR","",INDEX('Device Refrigerant Leakage'!$F$2:$F$42,MATCH(X59,'Device Refrigerant Leakage'!$B$2:$B$42,0)))</f>
        <v/>
      </c>
      <c r="DH59" s="146" t="str">
        <f>IF(W59&lt;&gt;"AR","",INDEX('Device Refrigerant Leakage'!$G$2:$G$42,MATCH(X59,'Device Refrigerant Leakage'!$B$2:$B$42,0)))</f>
        <v/>
      </c>
      <c r="DI59" s="146" t="str">
        <f>IF(W59&lt;&gt;"AR","",J59*INDEX('Device Refrigerant Leakage'!$D$2:$D$42,MATCH(X59,'Device Refrigerant Leakage'!$B$2:$B$42,0))*DF59/2204.62*DE59)</f>
        <v/>
      </c>
      <c r="DJ59" s="146" t="str">
        <f>IF(W59&lt;&gt;"AR","",J59*(INDEX('Device Refrigerant Leakage'!$D$2:$D$42,MATCH(X59,'Device Refrigerant Leakage'!$B$2:$B$42,0))-(INDEX('Device Refrigerant Leakage'!$D$2:$D$42,MATCH(X59,'Device Refrigerant Leakage'!$B$2:$B$42,0)))*DH59*DF59)*DG59/2204.62*DE59)</f>
        <v/>
      </c>
      <c r="DK59" s="146" t="str">
        <f>IF(W59&lt;&gt;"AR","",DI59*(K59-AB59)+'Fuel Sub Calcs-Deemed'!DJ59*((K59-AB59)/INDEX('Device Refrigerant Leakage'!$C$2:$C$42,MATCH('Fuel Sub Calcs-Deemed'!X59,'Device Refrigerant Leakage'!$B$2:$B$42,0))))</f>
        <v/>
      </c>
      <c r="DM59" s="56">
        <v>45</v>
      </c>
      <c r="DN59" s="67" t="e">
        <f t="shared" si="28"/>
        <v>#N/A</v>
      </c>
      <c r="DO59" s="45" t="e">
        <f t="shared" si="29"/>
        <v>#N/A</v>
      </c>
      <c r="DP59" s="67" t="e">
        <f t="shared" si="30"/>
        <v>#N/A</v>
      </c>
      <c r="DQ59" s="45" t="e">
        <f t="shared" si="31"/>
        <v>#N/A</v>
      </c>
      <c r="DR59" s="69" t="e">
        <f t="shared" si="32"/>
        <v>#N/A</v>
      </c>
      <c r="DS59" s="34"/>
      <c r="DT59" s="67" t="e">
        <f>((BX59*CJ59)+IF($W59=MAT_AR,(BZ59*CL59),0))*(1+Reference!$E$50+Reference!$E$51)</f>
        <v>#N/A</v>
      </c>
      <c r="DU59" s="67">
        <f>((BY59*CK59)+IF($W59=MAT_AR,(CA59*CM59),0))*(1+Reference!$G$50+Reference!$G$51)</f>
        <v>0</v>
      </c>
      <c r="DV59" s="67" t="e">
        <f t="shared" si="33"/>
        <v>#VALUE!</v>
      </c>
      <c r="DX59" s="56">
        <v>45</v>
      </c>
      <c r="DY59" s="67">
        <f t="shared" si="34"/>
        <v>0</v>
      </c>
      <c r="DZ59" s="45" t="e">
        <f>VLOOKUP($R59,Dropdown!$C$3:$D$4,2,FALSE)</f>
        <v>#N/A</v>
      </c>
      <c r="EA59" s="68">
        <f t="shared" si="35"/>
        <v>0</v>
      </c>
      <c r="EB59" s="68" t="str">
        <f t="shared" si="36"/>
        <v>N/A</v>
      </c>
      <c r="EC59" s="68">
        <f t="shared" si="37"/>
        <v>0</v>
      </c>
      <c r="ED59" s="68" t="str">
        <f t="shared" si="118"/>
        <v>N/A</v>
      </c>
      <c r="EF59" s="56">
        <v>45</v>
      </c>
      <c r="EG59" s="46">
        <f t="shared" si="39"/>
        <v>0</v>
      </c>
      <c r="EH59" s="68" t="e">
        <f t="shared" si="40"/>
        <v>#N/A</v>
      </c>
      <c r="EI59" s="68" t="e">
        <f t="shared" si="41"/>
        <v>#N/A</v>
      </c>
      <c r="EJ59" s="68" t="e">
        <f t="shared" si="42"/>
        <v>#N/A</v>
      </c>
      <c r="EK59" s="68" t="e">
        <f t="shared" si="43"/>
        <v>#N/A</v>
      </c>
      <c r="EL59" s="46">
        <f t="shared" si="44"/>
        <v>0</v>
      </c>
      <c r="EM59" s="46">
        <f t="shared" si="45"/>
        <v>0</v>
      </c>
    </row>
    <row r="60" spans="1:143">
      <c r="A60" s="89"/>
      <c r="B60" s="89"/>
      <c r="C60" s="89"/>
      <c r="D60" s="89"/>
      <c r="E60" s="89"/>
      <c r="F60" s="89"/>
      <c r="G60" s="34"/>
      <c r="H60" s="56">
        <f t="shared" si="46"/>
        <v>46</v>
      </c>
      <c r="I60" s="165"/>
      <c r="J60" s="163"/>
      <c r="K60" s="163"/>
      <c r="L60" s="164"/>
      <c r="M60" s="155"/>
      <c r="N60" s="155"/>
      <c r="O60" s="144"/>
      <c r="P60" s="159" t="str">
        <f>IFERROR(IF(O60&lt;&gt;"User Specified",IF(O60&lt;&gt;"", INDEX('Refrigerant GWPs'!$G$2:$G$154,MATCH(O60,'Refrigerant GWPs'!$A$2:$A$154,0)),""),U60),0)</f>
        <v/>
      </c>
      <c r="Q60" s="155"/>
      <c r="R60" s="155"/>
      <c r="S60" s="144"/>
      <c r="T60" s="159" t="str">
        <f>IF(S60&lt;&gt;"User Specified",IF(AND(S60&lt;&gt;"User Specified",S60&lt;&gt;""), INDEX('Refrigerant GWPs'!$G$2:$G$154,MATCH(S60,'Refrigerant GWPs'!$A$2:$A$154,0)),""),V60)</f>
        <v/>
      </c>
      <c r="U60" s="144"/>
      <c r="V60" s="144"/>
      <c r="W60" s="155"/>
      <c r="X60" s="155"/>
      <c r="Y60" s="144"/>
      <c r="Z60" s="159" t="str">
        <f>IF(AND(Y60&lt;&gt;"User Specified",Y60&lt;&gt;""), INDEX('Refrigerant GWPs'!$G$2:$G$154,MATCH(Y60,'Refrigerant GWPs'!$A$2:$A$154,0)),"")</f>
        <v/>
      </c>
      <c r="AA60" s="155"/>
      <c r="AB60" s="156"/>
      <c r="AC60" s="66"/>
      <c r="AD60" s="66"/>
      <c r="AE60" s="66"/>
      <c r="AF60" s="66"/>
      <c r="AG60" s="66"/>
      <c r="AH60" s="66"/>
      <c r="AI60" s="34"/>
      <c r="AJ60" s="88">
        <f t="shared" si="0"/>
        <v>0</v>
      </c>
      <c r="AK60" s="88">
        <f t="shared" si="1"/>
        <v>0</v>
      </c>
      <c r="AL60" s="88">
        <v>0</v>
      </c>
      <c r="AM60" s="88">
        <v>0</v>
      </c>
      <c r="AN60" s="81" t="str">
        <f t="shared" si="47"/>
        <v/>
      </c>
      <c r="AO60" s="88">
        <f t="shared" si="2"/>
        <v>0</v>
      </c>
      <c r="AP60" s="88">
        <f t="shared" si="3"/>
        <v>0</v>
      </c>
      <c r="AQ60" s="81" t="str">
        <f t="shared" si="4"/>
        <v/>
      </c>
      <c r="AS60" s="41" t="b">
        <f t="shared" si="5"/>
        <v>1</v>
      </c>
      <c r="AT60" s="38">
        <f t="shared" si="6"/>
        <v>0</v>
      </c>
      <c r="AU60" s="60">
        <f t="shared" si="7"/>
        <v>0</v>
      </c>
      <c r="AV60" s="41">
        <f t="shared" si="8"/>
        <v>0</v>
      </c>
      <c r="AW60" s="41" t="b">
        <f t="shared" si="9"/>
        <v>0</v>
      </c>
      <c r="AX60" t="str">
        <f t="shared" si="10"/>
        <v>+00</v>
      </c>
      <c r="AY60" t="str">
        <f t="shared" si="11"/>
        <v>+00</v>
      </c>
      <c r="BA60" s="47" t="b">
        <f t="shared" si="83"/>
        <v>1</v>
      </c>
      <c r="BB60" s="42" t="b">
        <f t="shared" si="84"/>
        <v>1</v>
      </c>
      <c r="BC60" s="42" t="b">
        <f t="shared" si="85"/>
        <v>0</v>
      </c>
      <c r="BD60" s="42" t="b">
        <f t="shared" si="86"/>
        <v>0</v>
      </c>
      <c r="BE60" s="70">
        <f t="shared" si="87"/>
        <v>0</v>
      </c>
      <c r="BF60" s="70">
        <f t="shared" si="88"/>
        <v>0</v>
      </c>
      <c r="BG60" s="34"/>
      <c r="BI60" s="47" t="b">
        <f t="shared" si="89"/>
        <v>1</v>
      </c>
      <c r="BJ60" s="47" t="b">
        <f t="shared" si="90"/>
        <v>1</v>
      </c>
      <c r="BK60" s="42" t="b">
        <f t="shared" si="91"/>
        <v>0</v>
      </c>
      <c r="BL60" s="42" t="b">
        <f t="shared" si="92"/>
        <v>0</v>
      </c>
      <c r="BM60" s="42">
        <f t="shared" si="93"/>
        <v>0</v>
      </c>
      <c r="BN60" s="42">
        <f t="shared" si="94"/>
        <v>0</v>
      </c>
      <c r="BP60" t="e">
        <f t="shared" si="95"/>
        <v>#N/A</v>
      </c>
      <c r="BQ60" t="e">
        <f t="shared" si="96"/>
        <v>#N/A</v>
      </c>
      <c r="BR60" t="e">
        <f t="shared" si="97"/>
        <v>#N/A</v>
      </c>
      <c r="BT60" s="60">
        <f t="shared" si="106"/>
        <v>0</v>
      </c>
      <c r="BU60" s="60">
        <f t="shared" si="107"/>
        <v>0</v>
      </c>
      <c r="BV60" s="60">
        <f t="shared" si="108"/>
        <v>0</v>
      </c>
      <c r="BW60" s="60">
        <f t="shared" si="109"/>
        <v>0</v>
      </c>
      <c r="BX60" s="60">
        <f t="shared" si="98"/>
        <v>0</v>
      </c>
      <c r="BY60" s="60">
        <f t="shared" si="99"/>
        <v>0</v>
      </c>
      <c r="BZ60" s="60">
        <f t="shared" si="100"/>
        <v>0</v>
      </c>
      <c r="CA60" s="60">
        <f t="shared" si="101"/>
        <v>0</v>
      </c>
      <c r="CB60" s="60" t="e">
        <f t="shared" si="110"/>
        <v>#N/A</v>
      </c>
      <c r="CC60" s="60">
        <f t="shared" si="111"/>
        <v>100000</v>
      </c>
      <c r="CD60" s="60" t="e">
        <f t="shared" si="112"/>
        <v>#N/A</v>
      </c>
      <c r="CE60" s="60">
        <f t="shared" si="113"/>
        <v>100000</v>
      </c>
      <c r="CF60" s="83" t="e">
        <f t="shared" si="102"/>
        <v>#N/A</v>
      </c>
      <c r="CG60" s="83">
        <f t="shared" si="103"/>
        <v>0</v>
      </c>
      <c r="CH60" s="83" t="e">
        <f t="shared" si="104"/>
        <v>#N/A</v>
      </c>
      <c r="CI60" s="83">
        <f t="shared" si="105"/>
        <v>0</v>
      </c>
      <c r="CJ60" s="86" t="e">
        <f t="shared" si="114"/>
        <v>#N/A</v>
      </c>
      <c r="CK60" s="82">
        <f t="shared" si="115"/>
        <v>5.3070370403969858E-3</v>
      </c>
      <c r="CL60" s="82" t="e">
        <f t="shared" si="116"/>
        <v>#N/A</v>
      </c>
      <c r="CM60" s="82">
        <f t="shared" si="117"/>
        <v>5.3070370403969858E-3</v>
      </c>
      <c r="CO60" s="149" t="str">
        <f>IF($I60&lt;&gt;"",IF(O60="User Specified",U60,INDEX('Refrigerant GWPs'!$G$2:$G$156,MATCH(O60,'Refrigerant GWPs'!$A$2:$A$156,0))),"")</f>
        <v/>
      </c>
      <c r="CP60" s="138" t="str">
        <f>IF($I60&lt;&gt;"",INDEX('Device Refrigerant Leakage'!$E$2:$E$42,MATCH($M60,'Device Refrigerant Leakage'!$B$2:$B$42,0)),"")</f>
        <v/>
      </c>
      <c r="CQ60" s="138" t="str">
        <f>IF($I60&lt;&gt;"",INDEX('Device Refrigerant Leakage'!$F$2:$F$42,MATCH($M60,'Device Refrigerant Leakage'!$B$2:$B$42,0)),"")</f>
        <v/>
      </c>
      <c r="CR60" s="145" t="str">
        <f>IF($I60&lt;&gt;"",INDEX('Device Refrigerant Leakage'!$G$2:$G$42,MATCH($M60,'Device Refrigerant Leakage'!$B$2:$B$42,0)),"")</f>
        <v/>
      </c>
      <c r="CS60" s="145" t="str">
        <f>IF($I60&lt;&gt;"",INDEX('Device Refrigerant Leakage'!$D$2:$D$42,MATCH($M60,'Device Refrigerant Leakage'!$B$2:$B$42,0))*CP60/2204.62*CO60,"")</f>
        <v/>
      </c>
      <c r="CT60" s="145" t="str">
        <f>IF($I60&lt;&gt;"",J60*(INDEX('Device Refrigerant Leakage'!$D$2:$D$42,MATCH($M60,'Device Refrigerant Leakage'!$B$2:$B$42,0))-(INDEX('Device Refrigerant Leakage'!$D$2:$D$42,MATCH($M60,'Device Refrigerant Leakage'!$B$2:$B$42,0)))*CR60*CP60)*CQ60/2204.62*CO60,"")</f>
        <v/>
      </c>
      <c r="CU60" s="135" t="str">
        <f>IF($I60&lt;&gt;"",J60*IF(W60&lt;&gt;"AR",(CS60*K60)+CT60,(CS60*AB60)+CT60*(AB60/INDEX('Device Refrigerant Leakage'!$C$2:$C$42,MATCH($M60,'Device Refrigerant Leakage'!$B$2:$B$42,0)))),"")</f>
        <v/>
      </c>
      <c r="CW60" s="135" t="str">
        <f>IF($I60&lt;&gt;"",IF(S60="User Specified",V60,INDEX('Refrigerant GWPs'!$G$2:$G$156,MATCH(S60,'Refrigerant GWPs'!$A$2:$A$157,0))),"")</f>
        <v/>
      </c>
      <c r="CX60" s="138" t="str">
        <f>IF($I60&lt;&gt;"",INDEX('Device Refrigerant Leakage'!$E$2:$E$42,MATCH($Q60,'Device Refrigerant Leakage'!$B$2:$B$42,0)),"")</f>
        <v/>
      </c>
      <c r="CY60" s="138" t="str">
        <f>IF($I60&lt;&gt;"",INDEX('Device Refrigerant Leakage'!$F$2:$F$42,MATCH($Q60,'Device Refrigerant Leakage'!$B$2:$B$42,0)),"")</f>
        <v/>
      </c>
      <c r="CZ60" s="145" t="str">
        <f>IF($I60&lt;&gt;"",INDEX('Device Refrigerant Leakage'!$G$2:$G$42,MATCH($Q60,'Device Refrigerant Leakage'!$B$2:$B$42,0)),"")</f>
        <v/>
      </c>
      <c r="DA60" s="145" t="str">
        <f>IF($I60&lt;&gt;"",J60*INDEX('Device Refrigerant Leakage'!$D$2:$D$42,MATCH($Q60,'Device Refrigerant Leakage'!$B$2:$B$42,0))*CX60/2204.62*CW60,"")</f>
        <v/>
      </c>
      <c r="DB60" s="145" t="str">
        <f>IF($I60&lt;&gt;"",J60*(INDEX('Device Refrigerant Leakage'!$D$2:$D$42,MATCH($Q60,'Device Refrigerant Leakage'!$B$2:$B$42,0))-(INDEX('Device Refrigerant Leakage'!$D$2:$D$42,MATCH($Q60,'Device Refrigerant Leakage'!$B$2:$B$42,0)))*CZ60*CX60)*CY60/2204.62*CW60,"")</f>
        <v/>
      </c>
      <c r="DC60" s="135" t="str">
        <f t="shared" si="59"/>
        <v/>
      </c>
      <c r="DE60" s="146" t="str">
        <f>IF(W60&lt;&gt;"AR","",IF(Y60="User Specified", AA60, INDEX('Refrigerant GWPs'!$G$2:$G$154,MATCH(Y60,'Refrigerant GWPs'!$A$2:$A$154,0))))</f>
        <v/>
      </c>
      <c r="DF60" s="146" t="str">
        <f>IF(W60&lt;&gt;"AR","",INDEX('Device Refrigerant Leakage'!$E$2:$E$42,MATCH(X60,'Device Refrigerant Leakage'!$B$2:$B$42,0)))</f>
        <v/>
      </c>
      <c r="DG60" s="146" t="str">
        <f>IF(W60&lt;&gt;"AR","",INDEX('Device Refrigerant Leakage'!$F$2:$F$42,MATCH(X60,'Device Refrigerant Leakage'!$B$2:$B$42,0)))</f>
        <v/>
      </c>
      <c r="DH60" s="146" t="str">
        <f>IF(W60&lt;&gt;"AR","",INDEX('Device Refrigerant Leakage'!$G$2:$G$42,MATCH(X60,'Device Refrigerant Leakage'!$B$2:$B$42,0)))</f>
        <v/>
      </c>
      <c r="DI60" s="146" t="str">
        <f>IF(W60&lt;&gt;"AR","",J60*INDEX('Device Refrigerant Leakage'!$D$2:$D$42,MATCH(X60,'Device Refrigerant Leakage'!$B$2:$B$42,0))*DF60/2204.62*DE60)</f>
        <v/>
      </c>
      <c r="DJ60" s="146" t="str">
        <f>IF(W60&lt;&gt;"AR","",J60*(INDEX('Device Refrigerant Leakage'!$D$2:$D$42,MATCH(X60,'Device Refrigerant Leakage'!$B$2:$B$42,0))-(INDEX('Device Refrigerant Leakage'!$D$2:$D$42,MATCH(X60,'Device Refrigerant Leakage'!$B$2:$B$42,0)))*DH60*DF60)*DG60/2204.62*DE60)</f>
        <v/>
      </c>
      <c r="DK60" s="146" t="str">
        <f>IF(W60&lt;&gt;"AR","",DI60*(K60-AB60)+'Fuel Sub Calcs-Deemed'!DJ60*((K60-AB60)/INDEX('Device Refrigerant Leakage'!$C$2:$C$42,MATCH('Fuel Sub Calcs-Deemed'!X60,'Device Refrigerant Leakage'!$B$2:$B$42,0))))</f>
        <v/>
      </c>
      <c r="DM60" s="56">
        <v>46</v>
      </c>
      <c r="DN60" s="67" t="e">
        <f t="shared" si="28"/>
        <v>#N/A</v>
      </c>
      <c r="DO60" s="45" t="e">
        <f t="shared" si="29"/>
        <v>#N/A</v>
      </c>
      <c r="DP60" s="67" t="e">
        <f t="shared" si="30"/>
        <v>#N/A</v>
      </c>
      <c r="DQ60" s="45" t="e">
        <f t="shared" si="31"/>
        <v>#N/A</v>
      </c>
      <c r="DR60" s="69" t="e">
        <f t="shared" si="32"/>
        <v>#N/A</v>
      </c>
      <c r="DS60" s="34"/>
      <c r="DT60" s="67" t="e">
        <f>((BX60*CJ60)+IF($W60=MAT_AR,(BZ60*CL60),0))*(1+Reference!$E$50+Reference!$E$51)</f>
        <v>#N/A</v>
      </c>
      <c r="DU60" s="67">
        <f>((BY60*CK60)+IF($W60=MAT_AR,(CA60*CM60),0))*(1+Reference!$G$50+Reference!$G$51)</f>
        <v>0</v>
      </c>
      <c r="DV60" s="67" t="e">
        <f t="shared" si="33"/>
        <v>#VALUE!</v>
      </c>
      <c r="DX60" s="56">
        <v>46</v>
      </c>
      <c r="DY60" s="67">
        <f t="shared" si="34"/>
        <v>0</v>
      </c>
      <c r="DZ60" s="45" t="e">
        <f>VLOOKUP($R60,Dropdown!$C$3:$D$4,2,FALSE)</f>
        <v>#N/A</v>
      </c>
      <c r="EA60" s="68">
        <f t="shared" si="35"/>
        <v>0</v>
      </c>
      <c r="EB60" s="68" t="str">
        <f t="shared" si="36"/>
        <v>N/A</v>
      </c>
      <c r="EC60" s="68">
        <f t="shared" si="37"/>
        <v>0</v>
      </c>
      <c r="ED60" s="68" t="str">
        <f t="shared" si="118"/>
        <v>N/A</v>
      </c>
      <c r="EF60" s="56">
        <v>46</v>
      </c>
      <c r="EG60" s="46">
        <f t="shared" si="39"/>
        <v>0</v>
      </c>
      <c r="EH60" s="68" t="e">
        <f t="shared" si="40"/>
        <v>#N/A</v>
      </c>
      <c r="EI60" s="68" t="e">
        <f t="shared" si="41"/>
        <v>#N/A</v>
      </c>
      <c r="EJ60" s="68" t="e">
        <f t="shared" si="42"/>
        <v>#N/A</v>
      </c>
      <c r="EK60" s="68" t="e">
        <f t="shared" si="43"/>
        <v>#N/A</v>
      </c>
      <c r="EL60" s="46">
        <f t="shared" si="44"/>
        <v>0</v>
      </c>
      <c r="EM60" s="46">
        <f t="shared" si="45"/>
        <v>0</v>
      </c>
    </row>
    <row r="61" spans="1:143">
      <c r="A61" s="89"/>
      <c r="B61" s="89"/>
      <c r="C61" s="89"/>
      <c r="D61" s="89"/>
      <c r="E61" s="89"/>
      <c r="F61" s="89"/>
      <c r="G61" s="34"/>
      <c r="H61" s="56">
        <f t="shared" si="46"/>
        <v>47</v>
      </c>
      <c r="I61" s="165"/>
      <c r="J61" s="163"/>
      <c r="K61" s="163"/>
      <c r="L61" s="164"/>
      <c r="M61" s="155"/>
      <c r="N61" s="155"/>
      <c r="O61" s="144"/>
      <c r="P61" s="159" t="str">
        <f>IFERROR(IF(O61&lt;&gt;"User Specified",IF(O61&lt;&gt;"", INDEX('Refrigerant GWPs'!$G$2:$G$154,MATCH(O61,'Refrigerant GWPs'!$A$2:$A$154,0)),""),U61),0)</f>
        <v/>
      </c>
      <c r="Q61" s="155"/>
      <c r="R61" s="155"/>
      <c r="S61" s="144"/>
      <c r="T61" s="159" t="str">
        <f>IF(S61&lt;&gt;"User Specified",IF(AND(S61&lt;&gt;"User Specified",S61&lt;&gt;""), INDEX('Refrigerant GWPs'!$G$2:$G$154,MATCH(S61,'Refrigerant GWPs'!$A$2:$A$154,0)),""),V61)</f>
        <v/>
      </c>
      <c r="U61" s="144"/>
      <c r="V61" s="144"/>
      <c r="W61" s="155"/>
      <c r="X61" s="155"/>
      <c r="Y61" s="144"/>
      <c r="Z61" s="159" t="str">
        <f>IF(AND(Y61&lt;&gt;"User Specified",Y61&lt;&gt;""), INDEX('Refrigerant GWPs'!$G$2:$G$154,MATCH(Y61,'Refrigerant GWPs'!$A$2:$A$154,0)),"")</f>
        <v/>
      </c>
      <c r="AA61" s="155"/>
      <c r="AB61" s="156"/>
      <c r="AC61" s="66"/>
      <c r="AD61" s="66"/>
      <c r="AE61" s="66"/>
      <c r="AF61" s="66"/>
      <c r="AG61" s="66"/>
      <c r="AH61" s="66"/>
      <c r="AI61" s="34"/>
      <c r="AJ61" s="88">
        <f t="shared" si="0"/>
        <v>0</v>
      </c>
      <c r="AK61" s="88">
        <f t="shared" si="1"/>
        <v>0</v>
      </c>
      <c r="AL61" s="88">
        <v>0</v>
      </c>
      <c r="AM61" s="88">
        <v>0</v>
      </c>
      <c r="AN61" s="81" t="str">
        <f t="shared" si="47"/>
        <v/>
      </c>
      <c r="AO61" s="88">
        <f t="shared" si="2"/>
        <v>0</v>
      </c>
      <c r="AP61" s="88">
        <f t="shared" si="3"/>
        <v>0</v>
      </c>
      <c r="AQ61" s="81" t="str">
        <f t="shared" si="4"/>
        <v/>
      </c>
      <c r="AS61" s="41" t="b">
        <f t="shared" si="5"/>
        <v>1</v>
      </c>
      <c r="AT61" s="38">
        <f t="shared" si="6"/>
        <v>0</v>
      </c>
      <c r="AU61" s="60">
        <f t="shared" si="7"/>
        <v>0</v>
      </c>
      <c r="AV61" s="41">
        <f t="shared" si="8"/>
        <v>0</v>
      </c>
      <c r="AW61" s="41" t="b">
        <f t="shared" si="9"/>
        <v>0</v>
      </c>
      <c r="AX61" t="str">
        <f t="shared" si="10"/>
        <v>+00</v>
      </c>
      <c r="AY61" t="str">
        <f t="shared" si="11"/>
        <v>+00</v>
      </c>
      <c r="BA61" s="47" t="b">
        <f t="shared" si="83"/>
        <v>1</v>
      </c>
      <c r="BB61" s="42" t="b">
        <f t="shared" si="84"/>
        <v>1</v>
      </c>
      <c r="BC61" s="42" t="b">
        <f t="shared" si="85"/>
        <v>0</v>
      </c>
      <c r="BD61" s="42" t="b">
        <f t="shared" si="86"/>
        <v>0</v>
      </c>
      <c r="BE61" s="70">
        <f t="shared" si="87"/>
        <v>0</v>
      </c>
      <c r="BF61" s="70">
        <f t="shared" si="88"/>
        <v>0</v>
      </c>
      <c r="BG61" s="34"/>
      <c r="BI61" s="47" t="b">
        <f t="shared" si="89"/>
        <v>1</v>
      </c>
      <c r="BJ61" s="47" t="b">
        <f t="shared" si="90"/>
        <v>1</v>
      </c>
      <c r="BK61" s="42" t="b">
        <f t="shared" si="91"/>
        <v>0</v>
      </c>
      <c r="BL61" s="42" t="b">
        <f t="shared" si="92"/>
        <v>0</v>
      </c>
      <c r="BM61" s="42">
        <f t="shared" si="93"/>
        <v>0</v>
      </c>
      <c r="BN61" s="42">
        <f t="shared" si="94"/>
        <v>0</v>
      </c>
      <c r="BP61" t="e">
        <f t="shared" si="95"/>
        <v>#N/A</v>
      </c>
      <c r="BQ61" t="e">
        <f t="shared" si="96"/>
        <v>#N/A</v>
      </c>
      <c r="BR61" t="e">
        <f t="shared" si="97"/>
        <v>#N/A</v>
      </c>
      <c r="BT61" s="60">
        <f t="shared" si="106"/>
        <v>0</v>
      </c>
      <c r="BU61" s="60">
        <f t="shared" si="107"/>
        <v>0</v>
      </c>
      <c r="BV61" s="60">
        <f t="shared" si="108"/>
        <v>0</v>
      </c>
      <c r="BW61" s="60">
        <f t="shared" si="109"/>
        <v>0</v>
      </c>
      <c r="BX61" s="60">
        <f t="shared" si="98"/>
        <v>0</v>
      </c>
      <c r="BY61" s="60">
        <f t="shared" si="99"/>
        <v>0</v>
      </c>
      <c r="BZ61" s="60">
        <f t="shared" si="100"/>
        <v>0</v>
      </c>
      <c r="CA61" s="60">
        <f t="shared" si="101"/>
        <v>0</v>
      </c>
      <c r="CB61" s="60" t="e">
        <f t="shared" si="110"/>
        <v>#N/A</v>
      </c>
      <c r="CC61" s="60">
        <f t="shared" si="111"/>
        <v>100000</v>
      </c>
      <c r="CD61" s="60" t="e">
        <f t="shared" si="112"/>
        <v>#N/A</v>
      </c>
      <c r="CE61" s="60">
        <f t="shared" si="113"/>
        <v>100000</v>
      </c>
      <c r="CF61" s="83" t="e">
        <f t="shared" si="102"/>
        <v>#N/A</v>
      </c>
      <c r="CG61" s="83">
        <f t="shared" si="103"/>
        <v>0</v>
      </c>
      <c r="CH61" s="83" t="e">
        <f t="shared" si="104"/>
        <v>#N/A</v>
      </c>
      <c r="CI61" s="83">
        <f t="shared" si="105"/>
        <v>0</v>
      </c>
      <c r="CJ61" s="86" t="e">
        <f t="shared" si="114"/>
        <v>#N/A</v>
      </c>
      <c r="CK61" s="82">
        <f t="shared" si="115"/>
        <v>5.3070370403969858E-3</v>
      </c>
      <c r="CL61" s="82" t="e">
        <f t="shared" si="116"/>
        <v>#N/A</v>
      </c>
      <c r="CM61" s="82">
        <f t="shared" si="117"/>
        <v>5.3070370403969858E-3</v>
      </c>
      <c r="CO61" s="149" t="str">
        <f>IF($I61&lt;&gt;"",IF(O61="User Specified",U61,INDEX('Refrigerant GWPs'!$G$2:$G$156,MATCH(O61,'Refrigerant GWPs'!$A$2:$A$156,0))),"")</f>
        <v/>
      </c>
      <c r="CP61" s="138" t="str">
        <f>IF($I61&lt;&gt;"",INDEX('Device Refrigerant Leakage'!$E$2:$E$42,MATCH($M61,'Device Refrigerant Leakage'!$B$2:$B$42,0)),"")</f>
        <v/>
      </c>
      <c r="CQ61" s="138" t="str">
        <f>IF($I61&lt;&gt;"",INDEX('Device Refrigerant Leakage'!$F$2:$F$42,MATCH($M61,'Device Refrigerant Leakage'!$B$2:$B$42,0)),"")</f>
        <v/>
      </c>
      <c r="CR61" s="145" t="str">
        <f>IF($I61&lt;&gt;"",INDEX('Device Refrigerant Leakage'!$G$2:$G$42,MATCH($M61,'Device Refrigerant Leakage'!$B$2:$B$42,0)),"")</f>
        <v/>
      </c>
      <c r="CS61" s="145" t="str">
        <f>IF($I61&lt;&gt;"",INDEX('Device Refrigerant Leakage'!$D$2:$D$42,MATCH($M61,'Device Refrigerant Leakage'!$B$2:$B$42,0))*CP61/2204.62*CO61,"")</f>
        <v/>
      </c>
      <c r="CT61" s="145" t="str">
        <f>IF($I61&lt;&gt;"",J61*(INDEX('Device Refrigerant Leakage'!$D$2:$D$42,MATCH($M61,'Device Refrigerant Leakage'!$B$2:$B$42,0))-(INDEX('Device Refrigerant Leakage'!$D$2:$D$42,MATCH($M61,'Device Refrigerant Leakage'!$B$2:$B$42,0)))*CR61*CP61)*CQ61/2204.62*CO61,"")</f>
        <v/>
      </c>
      <c r="CU61" s="135" t="str">
        <f>IF($I61&lt;&gt;"",J61*IF(W61&lt;&gt;"AR",(CS61*K61)+CT61,(CS61*AB61)+CT61*(AB61/INDEX('Device Refrigerant Leakage'!$C$2:$C$42,MATCH($M61,'Device Refrigerant Leakage'!$B$2:$B$42,0)))),"")</f>
        <v/>
      </c>
      <c r="CW61" s="135" t="str">
        <f>IF($I61&lt;&gt;"",IF(S61="User Specified",V61,INDEX('Refrigerant GWPs'!$G$2:$G$156,MATCH(S61,'Refrigerant GWPs'!$A$2:$A$157,0))),"")</f>
        <v/>
      </c>
      <c r="CX61" s="138" t="str">
        <f>IF($I61&lt;&gt;"",INDEX('Device Refrigerant Leakage'!$E$2:$E$42,MATCH($Q61,'Device Refrigerant Leakage'!$B$2:$B$42,0)),"")</f>
        <v/>
      </c>
      <c r="CY61" s="138" t="str">
        <f>IF($I61&lt;&gt;"",INDEX('Device Refrigerant Leakage'!$F$2:$F$42,MATCH($Q61,'Device Refrigerant Leakage'!$B$2:$B$42,0)),"")</f>
        <v/>
      </c>
      <c r="CZ61" s="145" t="str">
        <f>IF($I61&lt;&gt;"",INDEX('Device Refrigerant Leakage'!$G$2:$G$42,MATCH($Q61,'Device Refrigerant Leakage'!$B$2:$B$42,0)),"")</f>
        <v/>
      </c>
      <c r="DA61" s="145" t="str">
        <f>IF($I61&lt;&gt;"",J61*INDEX('Device Refrigerant Leakage'!$D$2:$D$42,MATCH($Q61,'Device Refrigerant Leakage'!$B$2:$B$42,0))*CX61/2204.62*CW61,"")</f>
        <v/>
      </c>
      <c r="DB61" s="145" t="str">
        <f>IF($I61&lt;&gt;"",J61*(INDEX('Device Refrigerant Leakage'!$D$2:$D$42,MATCH($Q61,'Device Refrigerant Leakage'!$B$2:$B$42,0))-(INDEX('Device Refrigerant Leakage'!$D$2:$D$42,MATCH($Q61,'Device Refrigerant Leakage'!$B$2:$B$42,0)))*CZ61*CX61)*CY61/2204.62*CW61,"")</f>
        <v/>
      </c>
      <c r="DC61" s="135" t="str">
        <f t="shared" si="59"/>
        <v/>
      </c>
      <c r="DE61" s="146" t="str">
        <f>IF(W61&lt;&gt;"AR","",IF(Y61="User Specified", AA61, INDEX('Refrigerant GWPs'!$G$2:$G$154,MATCH(Y61,'Refrigerant GWPs'!$A$2:$A$154,0))))</f>
        <v/>
      </c>
      <c r="DF61" s="146" t="str">
        <f>IF(W61&lt;&gt;"AR","",INDEX('Device Refrigerant Leakage'!$E$2:$E$42,MATCH(X61,'Device Refrigerant Leakage'!$B$2:$B$42,0)))</f>
        <v/>
      </c>
      <c r="DG61" s="146" t="str">
        <f>IF(W61&lt;&gt;"AR","",INDEX('Device Refrigerant Leakage'!$F$2:$F$42,MATCH(X61,'Device Refrigerant Leakage'!$B$2:$B$42,0)))</f>
        <v/>
      </c>
      <c r="DH61" s="146" t="str">
        <f>IF(W61&lt;&gt;"AR","",INDEX('Device Refrigerant Leakage'!$G$2:$G$42,MATCH(X61,'Device Refrigerant Leakage'!$B$2:$B$42,0)))</f>
        <v/>
      </c>
      <c r="DI61" s="146" t="str">
        <f>IF(W61&lt;&gt;"AR","",J61*INDEX('Device Refrigerant Leakage'!$D$2:$D$42,MATCH(X61,'Device Refrigerant Leakage'!$B$2:$B$42,0))*DF61/2204.62*DE61)</f>
        <v/>
      </c>
      <c r="DJ61" s="146" t="str">
        <f>IF(W61&lt;&gt;"AR","",J61*(INDEX('Device Refrigerant Leakage'!$D$2:$D$42,MATCH(X61,'Device Refrigerant Leakage'!$B$2:$B$42,0))-(INDEX('Device Refrigerant Leakage'!$D$2:$D$42,MATCH(X61,'Device Refrigerant Leakage'!$B$2:$B$42,0)))*DH61*DF61)*DG61/2204.62*DE61)</f>
        <v/>
      </c>
      <c r="DK61" s="146" t="str">
        <f>IF(W61&lt;&gt;"AR","",DI61*(K61-AB61)+'Fuel Sub Calcs-Deemed'!DJ61*((K61-AB61)/INDEX('Device Refrigerant Leakage'!$C$2:$C$42,MATCH('Fuel Sub Calcs-Deemed'!X61,'Device Refrigerant Leakage'!$B$2:$B$42,0))))</f>
        <v/>
      </c>
      <c r="DM61" s="56">
        <v>47</v>
      </c>
      <c r="DN61" s="67" t="e">
        <f t="shared" si="28"/>
        <v>#N/A</v>
      </c>
      <c r="DO61" s="45" t="e">
        <f t="shared" si="29"/>
        <v>#N/A</v>
      </c>
      <c r="DP61" s="67" t="e">
        <f t="shared" si="30"/>
        <v>#N/A</v>
      </c>
      <c r="DQ61" s="45" t="e">
        <f t="shared" si="31"/>
        <v>#N/A</v>
      </c>
      <c r="DR61" s="69" t="e">
        <f t="shared" si="32"/>
        <v>#N/A</v>
      </c>
      <c r="DS61" s="34"/>
      <c r="DT61" s="67" t="e">
        <f>((BX61*CJ61)+IF($W61=MAT_AR,(BZ61*CL61),0))*(1+Reference!$E$50+Reference!$E$51)</f>
        <v>#N/A</v>
      </c>
      <c r="DU61" s="67">
        <f>((BY61*CK61)+IF($W61=MAT_AR,(CA61*CM61),0))*(1+Reference!$G$50+Reference!$G$51)</f>
        <v>0</v>
      </c>
      <c r="DV61" s="67" t="e">
        <f t="shared" si="33"/>
        <v>#VALUE!</v>
      </c>
      <c r="DX61" s="56">
        <v>47</v>
      </c>
      <c r="DY61" s="67">
        <f t="shared" si="34"/>
        <v>0</v>
      </c>
      <c r="DZ61" s="45" t="e">
        <f>VLOOKUP($R61,Dropdown!$C$3:$D$4,2,FALSE)</f>
        <v>#N/A</v>
      </c>
      <c r="EA61" s="68">
        <f t="shared" si="35"/>
        <v>0</v>
      </c>
      <c r="EB61" s="68" t="str">
        <f t="shared" si="36"/>
        <v>N/A</v>
      </c>
      <c r="EC61" s="68">
        <f t="shared" si="37"/>
        <v>0</v>
      </c>
      <c r="ED61" s="68" t="str">
        <f t="shared" si="118"/>
        <v>N/A</v>
      </c>
      <c r="EF61" s="56">
        <v>47</v>
      </c>
      <c r="EG61" s="46">
        <f t="shared" si="39"/>
        <v>0</v>
      </c>
      <c r="EH61" s="68" t="e">
        <f t="shared" si="40"/>
        <v>#N/A</v>
      </c>
      <c r="EI61" s="68" t="e">
        <f t="shared" si="41"/>
        <v>#N/A</v>
      </c>
      <c r="EJ61" s="68" t="e">
        <f t="shared" si="42"/>
        <v>#N/A</v>
      </c>
      <c r="EK61" s="68" t="e">
        <f t="shared" si="43"/>
        <v>#N/A</v>
      </c>
      <c r="EL61" s="46">
        <f t="shared" si="44"/>
        <v>0</v>
      </c>
      <c r="EM61" s="46">
        <f t="shared" si="45"/>
        <v>0</v>
      </c>
    </row>
    <row r="62" spans="1:143">
      <c r="A62" s="89"/>
      <c r="B62" s="89"/>
      <c r="C62" s="89"/>
      <c r="D62" s="89"/>
      <c r="E62" s="89"/>
      <c r="F62" s="89"/>
      <c r="G62" s="34"/>
      <c r="H62" s="56">
        <f t="shared" si="46"/>
        <v>48</v>
      </c>
      <c r="I62" s="165"/>
      <c r="J62" s="163"/>
      <c r="K62" s="163"/>
      <c r="L62" s="164"/>
      <c r="M62" s="155"/>
      <c r="N62" s="155"/>
      <c r="O62" s="144"/>
      <c r="P62" s="159" t="str">
        <f>IFERROR(IF(O62&lt;&gt;"User Specified",IF(O62&lt;&gt;"", INDEX('Refrigerant GWPs'!$G$2:$G$154,MATCH(O62,'Refrigerant GWPs'!$A$2:$A$154,0)),""),U62),0)</f>
        <v/>
      </c>
      <c r="Q62" s="155"/>
      <c r="R62" s="155"/>
      <c r="S62" s="144"/>
      <c r="T62" s="159" t="str">
        <f>IF(S62&lt;&gt;"User Specified",IF(AND(S62&lt;&gt;"User Specified",S62&lt;&gt;""), INDEX('Refrigerant GWPs'!$G$2:$G$154,MATCH(S62,'Refrigerant GWPs'!$A$2:$A$154,0)),""),V62)</f>
        <v/>
      </c>
      <c r="U62" s="144"/>
      <c r="V62" s="144"/>
      <c r="W62" s="155"/>
      <c r="X62" s="155"/>
      <c r="Y62" s="144"/>
      <c r="Z62" s="159" t="str">
        <f>IF(AND(Y62&lt;&gt;"User Specified",Y62&lt;&gt;""), INDEX('Refrigerant GWPs'!$G$2:$G$154,MATCH(Y62,'Refrigerant GWPs'!$A$2:$A$154,0)),"")</f>
        <v/>
      </c>
      <c r="AA62" s="155"/>
      <c r="AB62" s="156"/>
      <c r="AC62" s="66"/>
      <c r="AD62" s="66"/>
      <c r="AE62" s="66"/>
      <c r="AF62" s="66"/>
      <c r="AG62" s="66"/>
      <c r="AH62" s="66"/>
      <c r="AI62" s="34"/>
      <c r="AJ62" s="88">
        <f t="shared" si="0"/>
        <v>0</v>
      </c>
      <c r="AK62" s="88">
        <f t="shared" si="1"/>
        <v>0</v>
      </c>
      <c r="AL62" s="88">
        <v>0</v>
      </c>
      <c r="AM62" s="88">
        <v>0</v>
      </c>
      <c r="AN62" s="81" t="str">
        <f t="shared" si="47"/>
        <v/>
      </c>
      <c r="AO62" s="88">
        <f t="shared" si="2"/>
        <v>0</v>
      </c>
      <c r="AP62" s="88">
        <f t="shared" si="3"/>
        <v>0</v>
      </c>
      <c r="AQ62" s="81" t="str">
        <f t="shared" si="4"/>
        <v/>
      </c>
      <c r="AS62" s="41" t="b">
        <f t="shared" si="5"/>
        <v>1</v>
      </c>
      <c r="AT62" s="38">
        <f t="shared" si="6"/>
        <v>0</v>
      </c>
      <c r="AU62" s="60">
        <f t="shared" si="7"/>
        <v>0</v>
      </c>
      <c r="AV62" s="41">
        <f t="shared" si="8"/>
        <v>0</v>
      </c>
      <c r="AW62" s="41" t="b">
        <f t="shared" si="9"/>
        <v>0</v>
      </c>
      <c r="AX62" t="str">
        <f t="shared" si="10"/>
        <v>+00</v>
      </c>
      <c r="AY62" t="str">
        <f t="shared" si="11"/>
        <v>+00</v>
      </c>
      <c r="BA62" s="47" t="b">
        <f t="shared" si="83"/>
        <v>1</v>
      </c>
      <c r="BB62" s="42" t="b">
        <f t="shared" si="84"/>
        <v>1</v>
      </c>
      <c r="BC62" s="42" t="b">
        <f t="shared" si="85"/>
        <v>0</v>
      </c>
      <c r="BD62" s="42" t="b">
        <f t="shared" si="86"/>
        <v>0</v>
      </c>
      <c r="BE62" s="70">
        <f t="shared" si="87"/>
        <v>0</v>
      </c>
      <c r="BF62" s="70">
        <f t="shared" si="88"/>
        <v>0</v>
      </c>
      <c r="BG62" s="34"/>
      <c r="BI62" s="47" t="b">
        <f t="shared" si="89"/>
        <v>1</v>
      </c>
      <c r="BJ62" s="47" t="b">
        <f t="shared" si="90"/>
        <v>1</v>
      </c>
      <c r="BK62" s="42" t="b">
        <f t="shared" si="91"/>
        <v>0</v>
      </c>
      <c r="BL62" s="42" t="b">
        <f t="shared" si="92"/>
        <v>0</v>
      </c>
      <c r="BM62" s="42">
        <f t="shared" si="93"/>
        <v>0</v>
      </c>
      <c r="BN62" s="42">
        <f t="shared" si="94"/>
        <v>0</v>
      </c>
      <c r="BP62" t="e">
        <f t="shared" si="95"/>
        <v>#N/A</v>
      </c>
      <c r="BQ62" t="e">
        <f t="shared" si="96"/>
        <v>#N/A</v>
      </c>
      <c r="BR62" t="e">
        <f t="shared" si="97"/>
        <v>#N/A</v>
      </c>
      <c r="BT62" s="60">
        <f t="shared" si="106"/>
        <v>0</v>
      </c>
      <c r="BU62" s="60">
        <f t="shared" si="107"/>
        <v>0</v>
      </c>
      <c r="BV62" s="60">
        <f t="shared" si="108"/>
        <v>0</v>
      </c>
      <c r="BW62" s="60">
        <f t="shared" si="109"/>
        <v>0</v>
      </c>
      <c r="BX62" s="60">
        <f t="shared" si="98"/>
        <v>0</v>
      </c>
      <c r="BY62" s="60">
        <f t="shared" si="99"/>
        <v>0</v>
      </c>
      <c r="BZ62" s="60">
        <f t="shared" si="100"/>
        <v>0</v>
      </c>
      <c r="CA62" s="60">
        <f t="shared" si="101"/>
        <v>0</v>
      </c>
      <c r="CB62" s="60" t="e">
        <f t="shared" si="110"/>
        <v>#N/A</v>
      </c>
      <c r="CC62" s="60">
        <f t="shared" si="111"/>
        <v>100000</v>
      </c>
      <c r="CD62" s="60" t="e">
        <f t="shared" si="112"/>
        <v>#N/A</v>
      </c>
      <c r="CE62" s="60">
        <f t="shared" si="113"/>
        <v>100000</v>
      </c>
      <c r="CF62" s="83" t="e">
        <f t="shared" si="102"/>
        <v>#N/A</v>
      </c>
      <c r="CG62" s="83">
        <f t="shared" si="103"/>
        <v>0</v>
      </c>
      <c r="CH62" s="83" t="e">
        <f t="shared" si="104"/>
        <v>#N/A</v>
      </c>
      <c r="CI62" s="83">
        <f t="shared" si="105"/>
        <v>0</v>
      </c>
      <c r="CJ62" s="86" t="e">
        <f t="shared" si="114"/>
        <v>#N/A</v>
      </c>
      <c r="CK62" s="82">
        <f t="shared" si="115"/>
        <v>5.3070370403969858E-3</v>
      </c>
      <c r="CL62" s="82" t="e">
        <f t="shared" si="116"/>
        <v>#N/A</v>
      </c>
      <c r="CM62" s="82">
        <f t="shared" si="117"/>
        <v>5.3070370403969858E-3</v>
      </c>
      <c r="CO62" s="149" t="str">
        <f>IF($I62&lt;&gt;"",IF(O62="User Specified",U62,INDEX('Refrigerant GWPs'!$G$2:$G$156,MATCH(O62,'Refrigerant GWPs'!$A$2:$A$156,0))),"")</f>
        <v/>
      </c>
      <c r="CP62" s="138" t="str">
        <f>IF($I62&lt;&gt;"",INDEX('Device Refrigerant Leakage'!$E$2:$E$42,MATCH($M62,'Device Refrigerant Leakage'!$B$2:$B$42,0)),"")</f>
        <v/>
      </c>
      <c r="CQ62" s="138" t="str">
        <f>IF($I62&lt;&gt;"",INDEX('Device Refrigerant Leakage'!$F$2:$F$42,MATCH($M62,'Device Refrigerant Leakage'!$B$2:$B$42,0)),"")</f>
        <v/>
      </c>
      <c r="CR62" s="145" t="str">
        <f>IF($I62&lt;&gt;"",INDEX('Device Refrigerant Leakage'!$G$2:$G$42,MATCH($M62,'Device Refrigerant Leakage'!$B$2:$B$42,0)),"")</f>
        <v/>
      </c>
      <c r="CS62" s="145" t="str">
        <f>IF($I62&lt;&gt;"",INDEX('Device Refrigerant Leakage'!$D$2:$D$42,MATCH($M62,'Device Refrigerant Leakage'!$B$2:$B$42,0))*CP62/2204.62*CO62,"")</f>
        <v/>
      </c>
      <c r="CT62" s="145" t="str">
        <f>IF($I62&lt;&gt;"",J62*(INDEX('Device Refrigerant Leakage'!$D$2:$D$42,MATCH($M62,'Device Refrigerant Leakage'!$B$2:$B$42,0))-(INDEX('Device Refrigerant Leakage'!$D$2:$D$42,MATCH($M62,'Device Refrigerant Leakage'!$B$2:$B$42,0)))*CR62*CP62)*CQ62/2204.62*CO62,"")</f>
        <v/>
      </c>
      <c r="CU62" s="135" t="str">
        <f>IF($I62&lt;&gt;"",J62*IF(W62&lt;&gt;"AR",(CS62*K62)+CT62,(CS62*AB62)+CT62*(AB62/INDEX('Device Refrigerant Leakage'!$C$2:$C$42,MATCH($M62,'Device Refrigerant Leakage'!$B$2:$B$42,0)))),"")</f>
        <v/>
      </c>
      <c r="CW62" s="135" t="str">
        <f>IF($I62&lt;&gt;"",IF(S62="User Specified",V62,INDEX('Refrigerant GWPs'!$G$2:$G$156,MATCH(S62,'Refrigerant GWPs'!$A$2:$A$157,0))),"")</f>
        <v/>
      </c>
      <c r="CX62" s="138" t="str">
        <f>IF($I62&lt;&gt;"",INDEX('Device Refrigerant Leakage'!$E$2:$E$42,MATCH($Q62,'Device Refrigerant Leakage'!$B$2:$B$42,0)),"")</f>
        <v/>
      </c>
      <c r="CY62" s="138" t="str">
        <f>IF($I62&lt;&gt;"",INDEX('Device Refrigerant Leakage'!$F$2:$F$42,MATCH($Q62,'Device Refrigerant Leakage'!$B$2:$B$42,0)),"")</f>
        <v/>
      </c>
      <c r="CZ62" s="145" t="str">
        <f>IF($I62&lt;&gt;"",INDEX('Device Refrigerant Leakage'!$G$2:$G$42,MATCH($Q62,'Device Refrigerant Leakage'!$B$2:$B$42,0)),"")</f>
        <v/>
      </c>
      <c r="DA62" s="145" t="str">
        <f>IF($I62&lt;&gt;"",J62*INDEX('Device Refrigerant Leakage'!$D$2:$D$42,MATCH($Q62,'Device Refrigerant Leakage'!$B$2:$B$42,0))*CX62/2204.62*CW62,"")</f>
        <v/>
      </c>
      <c r="DB62" s="145" t="str">
        <f>IF($I62&lt;&gt;"",J62*(INDEX('Device Refrigerant Leakage'!$D$2:$D$42,MATCH($Q62,'Device Refrigerant Leakage'!$B$2:$B$42,0))-(INDEX('Device Refrigerant Leakage'!$D$2:$D$42,MATCH($Q62,'Device Refrigerant Leakage'!$B$2:$B$42,0)))*CZ62*CX62)*CY62/2204.62*CW62,"")</f>
        <v/>
      </c>
      <c r="DC62" s="135" t="str">
        <f t="shared" si="59"/>
        <v/>
      </c>
      <c r="DE62" s="146" t="str">
        <f>IF(W62&lt;&gt;"AR","",IF(Y62="User Specified", AA62, INDEX('Refrigerant GWPs'!$G$2:$G$154,MATCH(Y62,'Refrigerant GWPs'!$A$2:$A$154,0))))</f>
        <v/>
      </c>
      <c r="DF62" s="146" t="str">
        <f>IF(W62&lt;&gt;"AR","",INDEX('Device Refrigerant Leakage'!$E$2:$E$42,MATCH(X62,'Device Refrigerant Leakage'!$B$2:$B$42,0)))</f>
        <v/>
      </c>
      <c r="DG62" s="146" t="str">
        <f>IF(W62&lt;&gt;"AR","",INDEX('Device Refrigerant Leakage'!$F$2:$F$42,MATCH(X62,'Device Refrigerant Leakage'!$B$2:$B$42,0)))</f>
        <v/>
      </c>
      <c r="DH62" s="146" t="str">
        <f>IF(W62&lt;&gt;"AR","",INDEX('Device Refrigerant Leakage'!$G$2:$G$42,MATCH(X62,'Device Refrigerant Leakage'!$B$2:$B$42,0)))</f>
        <v/>
      </c>
      <c r="DI62" s="146" t="str">
        <f>IF(W62&lt;&gt;"AR","",J62*INDEX('Device Refrigerant Leakage'!$D$2:$D$42,MATCH(X62,'Device Refrigerant Leakage'!$B$2:$B$42,0))*DF62/2204.62*DE62)</f>
        <v/>
      </c>
      <c r="DJ62" s="146" t="str">
        <f>IF(W62&lt;&gt;"AR","",J62*(INDEX('Device Refrigerant Leakage'!$D$2:$D$42,MATCH(X62,'Device Refrigerant Leakage'!$B$2:$B$42,0))-(INDEX('Device Refrigerant Leakage'!$D$2:$D$42,MATCH(X62,'Device Refrigerant Leakage'!$B$2:$B$42,0)))*DH62*DF62)*DG62/2204.62*DE62)</f>
        <v/>
      </c>
      <c r="DK62" s="146" t="str">
        <f>IF(W62&lt;&gt;"AR","",DI62*(K62-AB62)+'Fuel Sub Calcs-Deemed'!DJ62*((K62-AB62)/INDEX('Device Refrigerant Leakage'!$C$2:$C$42,MATCH('Fuel Sub Calcs-Deemed'!X62,'Device Refrigerant Leakage'!$B$2:$B$42,0))))</f>
        <v/>
      </c>
      <c r="DM62" s="56">
        <v>48</v>
      </c>
      <c r="DN62" s="67" t="e">
        <f t="shared" si="28"/>
        <v>#N/A</v>
      </c>
      <c r="DO62" s="45" t="e">
        <f t="shared" si="29"/>
        <v>#N/A</v>
      </c>
      <c r="DP62" s="67" t="e">
        <f t="shared" si="30"/>
        <v>#N/A</v>
      </c>
      <c r="DQ62" s="45" t="e">
        <f t="shared" si="31"/>
        <v>#N/A</v>
      </c>
      <c r="DR62" s="69" t="e">
        <f t="shared" si="32"/>
        <v>#N/A</v>
      </c>
      <c r="DS62" s="34"/>
      <c r="DT62" s="67" t="e">
        <f>((BX62*CJ62)+IF($W62=MAT_AR,(BZ62*CL62),0))*(1+Reference!$E$50+Reference!$E$51)</f>
        <v>#N/A</v>
      </c>
      <c r="DU62" s="67">
        <f>((BY62*CK62)+IF($W62=MAT_AR,(CA62*CM62),0))*(1+Reference!$G$50+Reference!$G$51)</f>
        <v>0</v>
      </c>
      <c r="DV62" s="67" t="e">
        <f t="shared" si="33"/>
        <v>#VALUE!</v>
      </c>
      <c r="DX62" s="56">
        <v>48</v>
      </c>
      <c r="DY62" s="67">
        <f t="shared" si="34"/>
        <v>0</v>
      </c>
      <c r="DZ62" s="45" t="e">
        <f>VLOOKUP($R62,Dropdown!$C$3:$D$4,2,FALSE)</f>
        <v>#N/A</v>
      </c>
      <c r="EA62" s="68">
        <f t="shared" si="35"/>
        <v>0</v>
      </c>
      <c r="EB62" s="68" t="str">
        <f t="shared" si="36"/>
        <v>N/A</v>
      </c>
      <c r="EC62" s="68">
        <f t="shared" si="37"/>
        <v>0</v>
      </c>
      <c r="ED62" s="68" t="str">
        <f t="shared" si="118"/>
        <v>N/A</v>
      </c>
      <c r="EF62" s="56">
        <v>48</v>
      </c>
      <c r="EG62" s="46">
        <f t="shared" si="39"/>
        <v>0</v>
      </c>
      <c r="EH62" s="68" t="e">
        <f t="shared" si="40"/>
        <v>#N/A</v>
      </c>
      <c r="EI62" s="68" t="e">
        <f t="shared" si="41"/>
        <v>#N/A</v>
      </c>
      <c r="EJ62" s="68" t="e">
        <f t="shared" si="42"/>
        <v>#N/A</v>
      </c>
      <c r="EK62" s="68" t="e">
        <f t="shared" si="43"/>
        <v>#N/A</v>
      </c>
      <c r="EL62" s="46">
        <f t="shared" si="44"/>
        <v>0</v>
      </c>
      <c r="EM62" s="46">
        <f t="shared" si="45"/>
        <v>0</v>
      </c>
    </row>
    <row r="63" spans="1:143">
      <c r="A63" s="89"/>
      <c r="B63" s="89"/>
      <c r="C63" s="89"/>
      <c r="D63" s="89"/>
      <c r="E63" s="89"/>
      <c r="F63" s="89"/>
      <c r="G63" s="34"/>
      <c r="H63" s="56">
        <f t="shared" si="46"/>
        <v>49</v>
      </c>
      <c r="I63" s="165"/>
      <c r="J63" s="163"/>
      <c r="K63" s="163"/>
      <c r="L63" s="164"/>
      <c r="M63" s="155"/>
      <c r="N63" s="155"/>
      <c r="O63" s="144"/>
      <c r="P63" s="159" t="str">
        <f>IFERROR(IF(O63&lt;&gt;"User Specified",IF(O63&lt;&gt;"", INDEX('Refrigerant GWPs'!$G$2:$G$154,MATCH(O63,'Refrigerant GWPs'!$A$2:$A$154,0)),""),U63),0)</f>
        <v/>
      </c>
      <c r="Q63" s="155"/>
      <c r="R63" s="155"/>
      <c r="S63" s="144"/>
      <c r="T63" s="159" t="str">
        <f>IF(S63&lt;&gt;"User Specified",IF(AND(S63&lt;&gt;"User Specified",S63&lt;&gt;""), INDEX('Refrigerant GWPs'!$G$2:$G$154,MATCH(S63,'Refrigerant GWPs'!$A$2:$A$154,0)),""),V63)</f>
        <v/>
      </c>
      <c r="U63" s="144"/>
      <c r="V63" s="144"/>
      <c r="W63" s="155"/>
      <c r="X63" s="155"/>
      <c r="Y63" s="144"/>
      <c r="Z63" s="159" t="str">
        <f>IF(AND(Y63&lt;&gt;"User Specified",Y63&lt;&gt;""), INDEX('Refrigerant GWPs'!$G$2:$G$154,MATCH(Y63,'Refrigerant GWPs'!$A$2:$A$154,0)),"")</f>
        <v/>
      </c>
      <c r="AA63" s="155"/>
      <c r="AB63" s="156"/>
      <c r="AC63" s="66"/>
      <c r="AD63" s="66"/>
      <c r="AE63" s="66"/>
      <c r="AF63" s="66"/>
      <c r="AG63" s="66"/>
      <c r="AH63" s="66"/>
      <c r="AI63" s="34"/>
      <c r="AJ63" s="88">
        <f t="shared" si="0"/>
        <v>0</v>
      </c>
      <c r="AK63" s="88">
        <f t="shared" si="1"/>
        <v>0</v>
      </c>
      <c r="AL63" s="88">
        <v>0</v>
      </c>
      <c r="AM63" s="88">
        <v>0</v>
      </c>
      <c r="AN63" s="81" t="str">
        <f t="shared" si="47"/>
        <v/>
      </c>
      <c r="AO63" s="88">
        <f t="shared" si="2"/>
        <v>0</v>
      </c>
      <c r="AP63" s="88">
        <f t="shared" si="3"/>
        <v>0</v>
      </c>
      <c r="AQ63" s="81" t="str">
        <f t="shared" si="4"/>
        <v/>
      </c>
      <c r="AS63" s="41" t="b">
        <f t="shared" si="5"/>
        <v>1</v>
      </c>
      <c r="AT63" s="38">
        <f t="shared" si="6"/>
        <v>0</v>
      </c>
      <c r="AU63" s="60">
        <f t="shared" si="7"/>
        <v>0</v>
      </c>
      <c r="AV63" s="41">
        <f t="shared" si="8"/>
        <v>0</v>
      </c>
      <c r="AW63" s="41" t="b">
        <f t="shared" si="9"/>
        <v>0</v>
      </c>
      <c r="AX63" t="str">
        <f t="shared" si="10"/>
        <v>+00</v>
      </c>
      <c r="AY63" t="str">
        <f t="shared" si="11"/>
        <v>+00</v>
      </c>
      <c r="BA63" s="47" t="b">
        <f t="shared" si="83"/>
        <v>1</v>
      </c>
      <c r="BB63" s="42" t="b">
        <f t="shared" si="84"/>
        <v>1</v>
      </c>
      <c r="BC63" s="42" t="b">
        <f t="shared" si="85"/>
        <v>0</v>
      </c>
      <c r="BD63" s="42" t="b">
        <f t="shared" si="86"/>
        <v>0</v>
      </c>
      <c r="BE63" s="70">
        <f t="shared" si="87"/>
        <v>0</v>
      </c>
      <c r="BF63" s="70">
        <f t="shared" si="88"/>
        <v>0</v>
      </c>
      <c r="BG63" s="34"/>
      <c r="BI63" s="47" t="b">
        <f t="shared" si="89"/>
        <v>1</v>
      </c>
      <c r="BJ63" s="47" t="b">
        <f t="shared" si="90"/>
        <v>1</v>
      </c>
      <c r="BK63" s="42" t="b">
        <f t="shared" si="91"/>
        <v>0</v>
      </c>
      <c r="BL63" s="42" t="b">
        <f t="shared" si="92"/>
        <v>0</v>
      </c>
      <c r="BM63" s="42">
        <f t="shared" si="93"/>
        <v>0</v>
      </c>
      <c r="BN63" s="42">
        <f t="shared" si="94"/>
        <v>0</v>
      </c>
      <c r="BP63" t="e">
        <f t="shared" si="95"/>
        <v>#N/A</v>
      </c>
      <c r="BQ63" t="e">
        <f t="shared" si="96"/>
        <v>#N/A</v>
      </c>
      <c r="BR63" t="e">
        <f t="shared" si="97"/>
        <v>#N/A</v>
      </c>
      <c r="BT63" s="60">
        <f t="shared" si="106"/>
        <v>0</v>
      </c>
      <c r="BU63" s="60">
        <f t="shared" si="107"/>
        <v>0</v>
      </c>
      <c r="BV63" s="60">
        <f t="shared" si="108"/>
        <v>0</v>
      </c>
      <c r="BW63" s="60">
        <f t="shared" si="109"/>
        <v>0</v>
      </c>
      <c r="BX63" s="60">
        <f t="shared" si="98"/>
        <v>0</v>
      </c>
      <c r="BY63" s="60">
        <f t="shared" si="99"/>
        <v>0</v>
      </c>
      <c r="BZ63" s="60">
        <f t="shared" si="100"/>
        <v>0</v>
      </c>
      <c r="CA63" s="60">
        <f t="shared" si="101"/>
        <v>0</v>
      </c>
      <c r="CB63" s="60" t="e">
        <f t="shared" si="110"/>
        <v>#N/A</v>
      </c>
      <c r="CC63" s="60">
        <f t="shared" si="111"/>
        <v>100000</v>
      </c>
      <c r="CD63" s="60" t="e">
        <f t="shared" si="112"/>
        <v>#N/A</v>
      </c>
      <c r="CE63" s="60">
        <f t="shared" si="113"/>
        <v>100000</v>
      </c>
      <c r="CF63" s="83" t="e">
        <f t="shared" si="102"/>
        <v>#N/A</v>
      </c>
      <c r="CG63" s="83">
        <f t="shared" si="103"/>
        <v>0</v>
      </c>
      <c r="CH63" s="83" t="e">
        <f t="shared" si="104"/>
        <v>#N/A</v>
      </c>
      <c r="CI63" s="83">
        <f t="shared" si="105"/>
        <v>0</v>
      </c>
      <c r="CJ63" s="86" t="e">
        <f t="shared" si="114"/>
        <v>#N/A</v>
      </c>
      <c r="CK63" s="82">
        <f t="shared" si="115"/>
        <v>5.3070370403969858E-3</v>
      </c>
      <c r="CL63" s="82" t="e">
        <f t="shared" si="116"/>
        <v>#N/A</v>
      </c>
      <c r="CM63" s="82">
        <f t="shared" si="117"/>
        <v>5.3070370403969858E-3</v>
      </c>
      <c r="CO63" s="149" t="str">
        <f>IF($I63&lt;&gt;"",IF(O63="User Specified",U63,INDEX('Refrigerant GWPs'!$G$2:$G$156,MATCH(O63,'Refrigerant GWPs'!$A$2:$A$156,0))),"")</f>
        <v/>
      </c>
      <c r="CP63" s="138" t="str">
        <f>IF($I63&lt;&gt;"",INDEX('Device Refrigerant Leakage'!$E$2:$E$42,MATCH($M63,'Device Refrigerant Leakage'!$B$2:$B$42,0)),"")</f>
        <v/>
      </c>
      <c r="CQ63" s="138" t="str">
        <f>IF($I63&lt;&gt;"",INDEX('Device Refrigerant Leakage'!$F$2:$F$42,MATCH($M63,'Device Refrigerant Leakage'!$B$2:$B$42,0)),"")</f>
        <v/>
      </c>
      <c r="CR63" s="145" t="str">
        <f>IF($I63&lt;&gt;"",INDEX('Device Refrigerant Leakage'!$G$2:$G$42,MATCH($M63,'Device Refrigerant Leakage'!$B$2:$B$42,0)),"")</f>
        <v/>
      </c>
      <c r="CS63" s="145" t="str">
        <f>IF($I63&lt;&gt;"",INDEX('Device Refrigerant Leakage'!$D$2:$D$42,MATCH($M63,'Device Refrigerant Leakage'!$B$2:$B$42,0))*CP63/2204.62*CO63,"")</f>
        <v/>
      </c>
      <c r="CT63" s="145" t="str">
        <f>IF($I63&lt;&gt;"",J63*(INDEX('Device Refrigerant Leakage'!$D$2:$D$42,MATCH($M63,'Device Refrigerant Leakage'!$B$2:$B$42,0))-(INDEX('Device Refrigerant Leakage'!$D$2:$D$42,MATCH($M63,'Device Refrigerant Leakage'!$B$2:$B$42,0)))*CR63*CP63)*CQ63/2204.62*CO63,"")</f>
        <v/>
      </c>
      <c r="CU63" s="135" t="str">
        <f>IF($I63&lt;&gt;"",J63*IF(W63&lt;&gt;"AR",(CS63*K63)+CT63,(CS63*AB63)+CT63*(AB63/INDEX('Device Refrigerant Leakage'!$C$2:$C$42,MATCH($M63,'Device Refrigerant Leakage'!$B$2:$B$42,0)))),"")</f>
        <v/>
      </c>
      <c r="CW63" s="135" t="str">
        <f>IF($I63&lt;&gt;"",IF(S63="User Specified",V63,INDEX('Refrigerant GWPs'!$G$2:$G$156,MATCH(S63,'Refrigerant GWPs'!$A$2:$A$157,0))),"")</f>
        <v/>
      </c>
      <c r="CX63" s="138" t="str">
        <f>IF($I63&lt;&gt;"",INDEX('Device Refrigerant Leakage'!$E$2:$E$42,MATCH($Q63,'Device Refrigerant Leakage'!$B$2:$B$42,0)),"")</f>
        <v/>
      </c>
      <c r="CY63" s="138" t="str">
        <f>IF($I63&lt;&gt;"",INDEX('Device Refrigerant Leakage'!$F$2:$F$42,MATCH($Q63,'Device Refrigerant Leakage'!$B$2:$B$42,0)),"")</f>
        <v/>
      </c>
      <c r="CZ63" s="145" t="str">
        <f>IF($I63&lt;&gt;"",INDEX('Device Refrigerant Leakage'!$G$2:$G$42,MATCH($Q63,'Device Refrigerant Leakage'!$B$2:$B$42,0)),"")</f>
        <v/>
      </c>
      <c r="DA63" s="145" t="str">
        <f>IF($I63&lt;&gt;"",J63*INDEX('Device Refrigerant Leakage'!$D$2:$D$42,MATCH($Q63,'Device Refrigerant Leakage'!$B$2:$B$42,0))*CX63/2204.62*CW63,"")</f>
        <v/>
      </c>
      <c r="DB63" s="145" t="str">
        <f>IF($I63&lt;&gt;"",J63*(INDEX('Device Refrigerant Leakage'!$D$2:$D$42,MATCH($Q63,'Device Refrigerant Leakage'!$B$2:$B$42,0))-(INDEX('Device Refrigerant Leakage'!$D$2:$D$42,MATCH($Q63,'Device Refrigerant Leakage'!$B$2:$B$42,0)))*CZ63*CX63)*CY63/2204.62*CW63,"")</f>
        <v/>
      </c>
      <c r="DC63" s="135" t="str">
        <f t="shared" si="59"/>
        <v/>
      </c>
      <c r="DE63" s="146" t="str">
        <f>IF(W63&lt;&gt;"AR","",IF(Y63="User Specified", AA63, INDEX('Refrigerant GWPs'!$G$2:$G$154,MATCH(Y63,'Refrigerant GWPs'!$A$2:$A$154,0))))</f>
        <v/>
      </c>
      <c r="DF63" s="146" t="str">
        <f>IF(W63&lt;&gt;"AR","",INDEX('Device Refrigerant Leakage'!$E$2:$E$42,MATCH(X63,'Device Refrigerant Leakage'!$B$2:$B$42,0)))</f>
        <v/>
      </c>
      <c r="DG63" s="146" t="str">
        <f>IF(W63&lt;&gt;"AR","",INDEX('Device Refrigerant Leakage'!$F$2:$F$42,MATCH(X63,'Device Refrigerant Leakage'!$B$2:$B$42,0)))</f>
        <v/>
      </c>
      <c r="DH63" s="146" t="str">
        <f>IF(W63&lt;&gt;"AR","",INDEX('Device Refrigerant Leakage'!$G$2:$G$42,MATCH(X63,'Device Refrigerant Leakage'!$B$2:$B$42,0)))</f>
        <v/>
      </c>
      <c r="DI63" s="146" t="str">
        <f>IF(W63&lt;&gt;"AR","",J63*INDEX('Device Refrigerant Leakage'!$D$2:$D$42,MATCH(X63,'Device Refrigerant Leakage'!$B$2:$B$42,0))*DF63/2204.62*DE63)</f>
        <v/>
      </c>
      <c r="DJ63" s="146" t="str">
        <f>IF(W63&lt;&gt;"AR","",J63*(INDEX('Device Refrigerant Leakage'!$D$2:$D$42,MATCH(X63,'Device Refrigerant Leakage'!$B$2:$B$42,0))-(INDEX('Device Refrigerant Leakage'!$D$2:$D$42,MATCH(X63,'Device Refrigerant Leakage'!$B$2:$B$42,0)))*DH63*DF63)*DG63/2204.62*DE63)</f>
        <v/>
      </c>
      <c r="DK63" s="146" t="str">
        <f>IF(W63&lt;&gt;"AR","",DI63*(K63-AB63)+'Fuel Sub Calcs-Deemed'!DJ63*((K63-AB63)/INDEX('Device Refrigerant Leakage'!$C$2:$C$42,MATCH('Fuel Sub Calcs-Deemed'!X63,'Device Refrigerant Leakage'!$B$2:$B$42,0))))</f>
        <v/>
      </c>
      <c r="DM63" s="56">
        <v>49</v>
      </c>
      <c r="DN63" s="67" t="e">
        <f t="shared" si="28"/>
        <v>#N/A</v>
      </c>
      <c r="DO63" s="45" t="e">
        <f t="shared" si="29"/>
        <v>#N/A</v>
      </c>
      <c r="DP63" s="67" t="e">
        <f t="shared" si="30"/>
        <v>#N/A</v>
      </c>
      <c r="DQ63" s="45" t="e">
        <f t="shared" si="31"/>
        <v>#N/A</v>
      </c>
      <c r="DR63" s="69" t="e">
        <f t="shared" si="32"/>
        <v>#N/A</v>
      </c>
      <c r="DS63" s="34"/>
      <c r="DT63" s="67" t="e">
        <f>((BX63*CJ63)+IF($W63=MAT_AR,(BZ63*CL63),0))*(1+Reference!$E$50+Reference!$E$51)</f>
        <v>#N/A</v>
      </c>
      <c r="DU63" s="67">
        <f>((BY63*CK63)+IF($W63=MAT_AR,(CA63*CM63),0))*(1+Reference!$G$50+Reference!$G$51)</f>
        <v>0</v>
      </c>
      <c r="DV63" s="67" t="e">
        <f t="shared" si="33"/>
        <v>#VALUE!</v>
      </c>
      <c r="DX63" s="56">
        <v>49</v>
      </c>
      <c r="DY63" s="67">
        <f t="shared" si="34"/>
        <v>0</v>
      </c>
      <c r="DZ63" s="45" t="e">
        <f>VLOOKUP($R63,Dropdown!$C$3:$D$4,2,FALSE)</f>
        <v>#N/A</v>
      </c>
      <c r="EA63" s="68">
        <f t="shared" si="35"/>
        <v>0</v>
      </c>
      <c r="EB63" s="68" t="str">
        <f t="shared" si="36"/>
        <v>N/A</v>
      </c>
      <c r="EC63" s="68">
        <f t="shared" si="37"/>
        <v>0</v>
      </c>
      <c r="ED63" s="68" t="str">
        <f t="shared" si="118"/>
        <v>N/A</v>
      </c>
      <c r="EF63" s="56">
        <v>49</v>
      </c>
      <c r="EG63" s="46">
        <f t="shared" si="39"/>
        <v>0</v>
      </c>
      <c r="EH63" s="68" t="e">
        <f t="shared" si="40"/>
        <v>#N/A</v>
      </c>
      <c r="EI63" s="68" t="e">
        <f t="shared" si="41"/>
        <v>#N/A</v>
      </c>
      <c r="EJ63" s="68" t="e">
        <f t="shared" si="42"/>
        <v>#N/A</v>
      </c>
      <c r="EK63" s="68" t="e">
        <f t="shared" si="43"/>
        <v>#N/A</v>
      </c>
      <c r="EL63" s="46">
        <f t="shared" si="44"/>
        <v>0</v>
      </c>
      <c r="EM63" s="46">
        <f t="shared" si="45"/>
        <v>0</v>
      </c>
    </row>
    <row r="64" spans="1:143">
      <c r="A64" s="89"/>
      <c r="B64" s="89"/>
      <c r="C64" s="89"/>
      <c r="D64" s="89"/>
      <c r="E64" s="89"/>
      <c r="F64" s="89"/>
      <c r="G64" s="34"/>
      <c r="H64" s="56">
        <f t="shared" si="46"/>
        <v>50</v>
      </c>
      <c r="I64" s="165"/>
      <c r="J64" s="163"/>
      <c r="K64" s="163"/>
      <c r="L64" s="164"/>
      <c r="M64" s="155"/>
      <c r="N64" s="155"/>
      <c r="O64" s="144"/>
      <c r="P64" s="159" t="str">
        <f>IFERROR(IF(O64&lt;&gt;"User Specified",IF(O64&lt;&gt;"", INDEX('Refrigerant GWPs'!$G$2:$G$154,MATCH(O64,'Refrigerant GWPs'!$A$2:$A$154,0)),""),U64),0)</f>
        <v/>
      </c>
      <c r="Q64" s="155"/>
      <c r="R64" s="155"/>
      <c r="S64" s="144"/>
      <c r="T64" s="159" t="str">
        <f>IF(S64&lt;&gt;"User Specified",IF(AND(S64&lt;&gt;"User Specified",S64&lt;&gt;""), INDEX('Refrigerant GWPs'!$G$2:$G$154,MATCH(S64,'Refrigerant GWPs'!$A$2:$A$154,0)),""),V64)</f>
        <v/>
      </c>
      <c r="U64" s="144"/>
      <c r="V64" s="144"/>
      <c r="W64" s="155"/>
      <c r="X64" s="155"/>
      <c r="Y64" s="144"/>
      <c r="Z64" s="159" t="str">
        <f>IF(AND(Y64&lt;&gt;"User Specified",Y64&lt;&gt;""), INDEX('Refrigerant GWPs'!$G$2:$G$154,MATCH(Y64,'Refrigerant GWPs'!$A$2:$A$154,0)),"")</f>
        <v/>
      </c>
      <c r="AA64" s="155"/>
      <c r="AB64" s="156"/>
      <c r="AC64" s="66"/>
      <c r="AD64" s="66"/>
      <c r="AE64" s="66"/>
      <c r="AF64" s="66"/>
      <c r="AG64" s="66"/>
      <c r="AH64" s="66"/>
      <c r="AI64" s="34"/>
      <c r="AJ64" s="88">
        <f t="shared" si="0"/>
        <v>0</v>
      </c>
      <c r="AK64" s="88">
        <f t="shared" si="1"/>
        <v>0</v>
      </c>
      <c r="AL64" s="88">
        <v>0</v>
      </c>
      <c r="AM64" s="88">
        <v>0</v>
      </c>
      <c r="AN64" s="81" t="str">
        <f t="shared" si="47"/>
        <v/>
      </c>
      <c r="AO64" s="88">
        <f t="shared" si="2"/>
        <v>0</v>
      </c>
      <c r="AP64" s="88">
        <f t="shared" si="3"/>
        <v>0</v>
      </c>
      <c r="AQ64" s="81" t="str">
        <f t="shared" si="4"/>
        <v/>
      </c>
      <c r="AS64" s="41" t="b">
        <f t="shared" si="5"/>
        <v>1</v>
      </c>
      <c r="AT64" s="38">
        <f t="shared" si="6"/>
        <v>0</v>
      </c>
      <c r="AU64" s="60">
        <f t="shared" si="7"/>
        <v>0</v>
      </c>
      <c r="AV64" s="41">
        <f t="shared" si="8"/>
        <v>0</v>
      </c>
      <c r="AW64" s="41" t="b">
        <f t="shared" si="9"/>
        <v>0</v>
      </c>
      <c r="AX64" t="str">
        <f t="shared" si="10"/>
        <v>+00</v>
      </c>
      <c r="AY64" t="str">
        <f t="shared" si="11"/>
        <v>+00</v>
      </c>
      <c r="BA64" s="47" t="b">
        <f t="shared" si="83"/>
        <v>1</v>
      </c>
      <c r="BB64" s="42" t="b">
        <f t="shared" si="84"/>
        <v>1</v>
      </c>
      <c r="BC64" s="42" t="b">
        <f t="shared" si="85"/>
        <v>0</v>
      </c>
      <c r="BD64" s="42" t="b">
        <f t="shared" si="86"/>
        <v>0</v>
      </c>
      <c r="BE64" s="70">
        <f t="shared" si="87"/>
        <v>0</v>
      </c>
      <c r="BF64" s="70">
        <f t="shared" si="88"/>
        <v>0</v>
      </c>
      <c r="BG64" s="34"/>
      <c r="BI64" s="47" t="b">
        <f t="shared" si="89"/>
        <v>1</v>
      </c>
      <c r="BJ64" s="47" t="b">
        <f t="shared" si="90"/>
        <v>1</v>
      </c>
      <c r="BK64" s="42" t="b">
        <f t="shared" si="91"/>
        <v>0</v>
      </c>
      <c r="BL64" s="42" t="b">
        <f t="shared" si="92"/>
        <v>0</v>
      </c>
      <c r="BM64" s="42">
        <f t="shared" si="93"/>
        <v>0</v>
      </c>
      <c r="BN64" s="42">
        <f t="shared" si="94"/>
        <v>0</v>
      </c>
      <c r="BP64" t="e">
        <f t="shared" si="95"/>
        <v>#N/A</v>
      </c>
      <c r="BQ64" t="e">
        <f t="shared" si="96"/>
        <v>#N/A</v>
      </c>
      <c r="BR64" t="e">
        <f t="shared" si="97"/>
        <v>#N/A</v>
      </c>
      <c r="BT64" s="60">
        <f t="shared" si="106"/>
        <v>0</v>
      </c>
      <c r="BU64" s="60">
        <f t="shared" si="107"/>
        <v>0</v>
      </c>
      <c r="BV64" s="60">
        <f t="shared" si="108"/>
        <v>0</v>
      </c>
      <c r="BW64" s="60">
        <f t="shared" si="109"/>
        <v>0</v>
      </c>
      <c r="BX64" s="60">
        <f t="shared" si="98"/>
        <v>0</v>
      </c>
      <c r="BY64" s="60">
        <f t="shared" si="99"/>
        <v>0</v>
      </c>
      <c r="BZ64" s="60">
        <f t="shared" si="100"/>
        <v>0</v>
      </c>
      <c r="CA64" s="60">
        <f t="shared" si="101"/>
        <v>0</v>
      </c>
      <c r="CB64" s="60" t="e">
        <f t="shared" si="110"/>
        <v>#N/A</v>
      </c>
      <c r="CC64" s="60">
        <f t="shared" si="111"/>
        <v>100000</v>
      </c>
      <c r="CD64" s="60" t="e">
        <f t="shared" si="112"/>
        <v>#N/A</v>
      </c>
      <c r="CE64" s="60">
        <f t="shared" si="113"/>
        <v>100000</v>
      </c>
      <c r="CF64" s="83" t="e">
        <f t="shared" si="102"/>
        <v>#N/A</v>
      </c>
      <c r="CG64" s="83">
        <f t="shared" si="103"/>
        <v>0</v>
      </c>
      <c r="CH64" s="83" t="e">
        <f t="shared" si="104"/>
        <v>#N/A</v>
      </c>
      <c r="CI64" s="83">
        <f t="shared" si="105"/>
        <v>0</v>
      </c>
      <c r="CJ64" s="86" t="e">
        <f t="shared" si="114"/>
        <v>#N/A</v>
      </c>
      <c r="CK64" s="82">
        <f t="shared" si="115"/>
        <v>5.3070370403969858E-3</v>
      </c>
      <c r="CL64" s="82" t="e">
        <f t="shared" si="116"/>
        <v>#N/A</v>
      </c>
      <c r="CM64" s="82">
        <f t="shared" si="117"/>
        <v>5.3070370403969858E-3</v>
      </c>
      <c r="CO64" s="149" t="str">
        <f>IF($I64&lt;&gt;"",IF(O64="User Specified",U64,INDEX('Refrigerant GWPs'!$G$2:$G$156,MATCH(O64,'Refrigerant GWPs'!$A$2:$A$156,0))),"")</f>
        <v/>
      </c>
      <c r="CP64" s="138" t="str">
        <f>IF($I64&lt;&gt;"",INDEX('Device Refrigerant Leakage'!$E$2:$E$42,MATCH($M64,'Device Refrigerant Leakage'!$B$2:$B$42,0)),"")</f>
        <v/>
      </c>
      <c r="CQ64" s="138" t="str">
        <f>IF($I64&lt;&gt;"",INDEX('Device Refrigerant Leakage'!$F$2:$F$42,MATCH($M64,'Device Refrigerant Leakage'!$B$2:$B$42,0)),"")</f>
        <v/>
      </c>
      <c r="CR64" s="145" t="str">
        <f>IF($I64&lt;&gt;"",INDEX('Device Refrigerant Leakage'!$G$2:$G$42,MATCH($M64,'Device Refrigerant Leakage'!$B$2:$B$42,0)),"")</f>
        <v/>
      </c>
      <c r="CS64" s="145" t="str">
        <f>IF($I64&lt;&gt;"",INDEX('Device Refrigerant Leakage'!$D$2:$D$42,MATCH($M64,'Device Refrigerant Leakage'!$B$2:$B$42,0))*CP64/2204.62*CO64,"")</f>
        <v/>
      </c>
      <c r="CT64" s="145" t="str">
        <f>IF($I64&lt;&gt;"",J64*(INDEX('Device Refrigerant Leakage'!$D$2:$D$42,MATCH($M64,'Device Refrigerant Leakage'!$B$2:$B$42,0))-(INDEX('Device Refrigerant Leakage'!$D$2:$D$42,MATCH($M64,'Device Refrigerant Leakage'!$B$2:$B$42,0)))*CR64*CP64)*CQ64/2204.62*CO64,"")</f>
        <v/>
      </c>
      <c r="CU64" s="135" t="str">
        <f>IF($I64&lt;&gt;"",J64*IF(W64&lt;&gt;"AR",(CS64*K64)+CT64,(CS64*AB64)+CT64*(AB64/INDEX('Device Refrigerant Leakage'!$C$2:$C$42,MATCH($M64,'Device Refrigerant Leakage'!$B$2:$B$42,0)))),"")</f>
        <v/>
      </c>
      <c r="CW64" s="135" t="str">
        <f>IF($I64&lt;&gt;"",IF(S64="User Specified",V64,INDEX('Refrigerant GWPs'!$G$2:$G$156,MATCH(S64,'Refrigerant GWPs'!$A$2:$A$157,0))),"")</f>
        <v/>
      </c>
      <c r="CX64" s="138" t="str">
        <f>IF($I64&lt;&gt;"",INDEX('Device Refrigerant Leakage'!$E$2:$E$42,MATCH($Q64,'Device Refrigerant Leakage'!$B$2:$B$42,0)),"")</f>
        <v/>
      </c>
      <c r="CY64" s="138" t="str">
        <f>IF($I64&lt;&gt;"",INDEX('Device Refrigerant Leakage'!$F$2:$F$42,MATCH($Q64,'Device Refrigerant Leakage'!$B$2:$B$42,0)),"")</f>
        <v/>
      </c>
      <c r="CZ64" s="145" t="str">
        <f>IF($I64&lt;&gt;"",INDEX('Device Refrigerant Leakage'!$G$2:$G$42,MATCH($Q64,'Device Refrigerant Leakage'!$B$2:$B$42,0)),"")</f>
        <v/>
      </c>
      <c r="DA64" s="145" t="str">
        <f>IF($I64&lt;&gt;"",J64*INDEX('Device Refrigerant Leakage'!$D$2:$D$42,MATCH($Q64,'Device Refrigerant Leakage'!$B$2:$B$42,0))*CX64/2204.62*CW64,"")</f>
        <v/>
      </c>
      <c r="DB64" s="145" t="str">
        <f>IF($I64&lt;&gt;"",J64*(INDEX('Device Refrigerant Leakage'!$D$2:$D$42,MATCH($Q64,'Device Refrigerant Leakage'!$B$2:$B$42,0))-(INDEX('Device Refrigerant Leakage'!$D$2:$D$42,MATCH($Q64,'Device Refrigerant Leakage'!$B$2:$B$42,0)))*CZ64*CX64)*CY64/2204.62*CW64,"")</f>
        <v/>
      </c>
      <c r="DC64" s="135" t="str">
        <f t="shared" si="59"/>
        <v/>
      </c>
      <c r="DE64" s="146" t="str">
        <f>IF(W64&lt;&gt;"AR","",IF(Y64="User Specified", AA64, INDEX('Refrigerant GWPs'!$G$2:$G$154,MATCH(Y64,'Refrigerant GWPs'!$A$2:$A$154,0))))</f>
        <v/>
      </c>
      <c r="DF64" s="146" t="str">
        <f>IF(W64&lt;&gt;"AR","",INDEX('Device Refrigerant Leakage'!$E$2:$E$42,MATCH(X64,'Device Refrigerant Leakage'!$B$2:$B$42,0)))</f>
        <v/>
      </c>
      <c r="DG64" s="146" t="str">
        <f>IF(W64&lt;&gt;"AR","",INDEX('Device Refrigerant Leakage'!$F$2:$F$42,MATCH(X64,'Device Refrigerant Leakage'!$B$2:$B$42,0)))</f>
        <v/>
      </c>
      <c r="DH64" s="146" t="str">
        <f>IF(W64&lt;&gt;"AR","",INDEX('Device Refrigerant Leakage'!$G$2:$G$42,MATCH(X64,'Device Refrigerant Leakage'!$B$2:$B$42,0)))</f>
        <v/>
      </c>
      <c r="DI64" s="146" t="str">
        <f>IF(W64&lt;&gt;"AR","",J64*INDEX('Device Refrigerant Leakage'!$D$2:$D$42,MATCH(X64,'Device Refrigerant Leakage'!$B$2:$B$42,0))*DF64/2204.62*DE64)</f>
        <v/>
      </c>
      <c r="DJ64" s="146" t="str">
        <f>IF(W64&lt;&gt;"AR","",J64*(INDEX('Device Refrigerant Leakage'!$D$2:$D$42,MATCH(X64,'Device Refrigerant Leakage'!$B$2:$B$42,0))-(INDEX('Device Refrigerant Leakage'!$D$2:$D$42,MATCH(X64,'Device Refrigerant Leakage'!$B$2:$B$42,0)))*DH64*DF64)*DG64/2204.62*DE64)</f>
        <v/>
      </c>
      <c r="DK64" s="146" t="str">
        <f>IF(W64&lt;&gt;"AR","",DI64*(K64-AB64)+'Fuel Sub Calcs-Deemed'!DJ64*((K64-AB64)/INDEX('Device Refrigerant Leakage'!$C$2:$C$42,MATCH('Fuel Sub Calcs-Deemed'!X64,'Device Refrigerant Leakage'!$B$2:$B$42,0))))</f>
        <v/>
      </c>
      <c r="DM64" s="56">
        <v>50</v>
      </c>
      <c r="DN64" s="67" t="e">
        <f t="shared" si="28"/>
        <v>#N/A</v>
      </c>
      <c r="DO64" s="45" t="e">
        <f t="shared" si="29"/>
        <v>#N/A</v>
      </c>
      <c r="DP64" s="67" t="e">
        <f t="shared" si="30"/>
        <v>#N/A</v>
      </c>
      <c r="DQ64" s="45" t="e">
        <f t="shared" si="31"/>
        <v>#N/A</v>
      </c>
      <c r="DR64" s="69" t="e">
        <f t="shared" si="32"/>
        <v>#N/A</v>
      </c>
      <c r="DS64" s="34"/>
      <c r="DT64" s="67" t="e">
        <f>((BX64*CJ64)+IF($W64=MAT_AR,(BZ64*CL64),0))*(1+Reference!$E$50+Reference!$E$51)</f>
        <v>#N/A</v>
      </c>
      <c r="DU64" s="67">
        <f>((BY64*CK64)+IF($W64=MAT_AR,(CA64*CM64),0))*(1+Reference!$G$50+Reference!$G$51)</f>
        <v>0</v>
      </c>
      <c r="DV64" s="67" t="e">
        <f t="shared" si="33"/>
        <v>#VALUE!</v>
      </c>
      <c r="DX64" s="56">
        <v>50</v>
      </c>
      <c r="DY64" s="67">
        <f t="shared" si="34"/>
        <v>0</v>
      </c>
      <c r="DZ64" s="45" t="e">
        <f>VLOOKUP($R64,Dropdown!$C$3:$D$4,2,FALSE)</f>
        <v>#N/A</v>
      </c>
      <c r="EA64" s="68">
        <f t="shared" si="35"/>
        <v>0</v>
      </c>
      <c r="EB64" s="68" t="str">
        <f t="shared" si="36"/>
        <v>N/A</v>
      </c>
      <c r="EC64" s="68">
        <f t="shared" si="37"/>
        <v>0</v>
      </c>
      <c r="ED64" s="68" t="str">
        <f t="shared" si="118"/>
        <v>N/A</v>
      </c>
      <c r="EF64" s="56">
        <v>50</v>
      </c>
      <c r="EG64" s="46">
        <f t="shared" si="39"/>
        <v>0</v>
      </c>
      <c r="EH64" s="68" t="e">
        <f t="shared" si="40"/>
        <v>#N/A</v>
      </c>
      <c r="EI64" s="68" t="e">
        <f t="shared" si="41"/>
        <v>#N/A</v>
      </c>
      <c r="EJ64" s="68" t="e">
        <f t="shared" si="42"/>
        <v>#N/A</v>
      </c>
      <c r="EK64" s="68" t="e">
        <f t="shared" si="43"/>
        <v>#N/A</v>
      </c>
      <c r="EL64" s="46">
        <f t="shared" si="44"/>
        <v>0</v>
      </c>
      <c r="EM64" s="46">
        <f t="shared" si="45"/>
        <v>0</v>
      </c>
    </row>
    <row r="65" spans="1:143">
      <c r="A65" s="89"/>
      <c r="B65" s="89"/>
      <c r="C65" s="89"/>
      <c r="D65" s="89"/>
      <c r="E65" s="89"/>
      <c r="F65" s="89"/>
      <c r="G65" s="34"/>
      <c r="H65" s="56">
        <f t="shared" si="46"/>
        <v>51</v>
      </c>
      <c r="I65" s="165"/>
      <c r="J65" s="163"/>
      <c r="K65" s="163"/>
      <c r="L65" s="164"/>
      <c r="M65" s="155"/>
      <c r="N65" s="155"/>
      <c r="O65" s="144"/>
      <c r="P65" s="159" t="str">
        <f>IFERROR(IF(O65&lt;&gt;"User Specified",IF(O65&lt;&gt;"", INDEX('Refrigerant GWPs'!$G$2:$G$154,MATCH(O65,'Refrigerant GWPs'!$A$2:$A$154,0)),""),U65),0)</f>
        <v/>
      </c>
      <c r="Q65" s="155"/>
      <c r="R65" s="155"/>
      <c r="S65" s="144"/>
      <c r="T65" s="159" t="str">
        <f>IF(S65&lt;&gt;"User Specified",IF(AND(S65&lt;&gt;"User Specified",S65&lt;&gt;""), INDEX('Refrigerant GWPs'!$G$2:$G$154,MATCH(S65,'Refrigerant GWPs'!$A$2:$A$154,0)),""),V65)</f>
        <v/>
      </c>
      <c r="U65" s="144"/>
      <c r="V65" s="144"/>
      <c r="W65" s="155"/>
      <c r="X65" s="155"/>
      <c r="Y65" s="144"/>
      <c r="Z65" s="159" t="str">
        <f>IF(AND(Y65&lt;&gt;"User Specified",Y65&lt;&gt;""), INDEX('Refrigerant GWPs'!$G$2:$G$154,MATCH(Y65,'Refrigerant GWPs'!$A$2:$A$154,0)),"")</f>
        <v/>
      </c>
      <c r="AA65" s="155"/>
      <c r="AB65" s="156"/>
      <c r="AC65" s="66"/>
      <c r="AD65" s="66"/>
      <c r="AE65" s="66"/>
      <c r="AF65" s="66"/>
      <c r="AG65" s="66"/>
      <c r="AH65" s="66"/>
      <c r="AI65" s="34"/>
      <c r="AJ65" s="88">
        <f t="shared" si="0"/>
        <v>0</v>
      </c>
      <c r="AK65" s="88">
        <f t="shared" si="1"/>
        <v>0</v>
      </c>
      <c r="AL65" s="88">
        <v>0</v>
      </c>
      <c r="AM65" s="88">
        <v>0</v>
      </c>
      <c r="AN65" s="81" t="str">
        <f t="shared" si="47"/>
        <v/>
      </c>
      <c r="AO65" s="88">
        <f t="shared" si="2"/>
        <v>0</v>
      </c>
      <c r="AP65" s="88">
        <f t="shared" si="3"/>
        <v>0</v>
      </c>
      <c r="AQ65" s="81" t="str">
        <f t="shared" si="4"/>
        <v/>
      </c>
      <c r="AS65" s="41" t="b">
        <f t="shared" si="5"/>
        <v>1</v>
      </c>
      <c r="AT65" s="38">
        <f t="shared" si="6"/>
        <v>0</v>
      </c>
      <c r="AU65" s="60">
        <f t="shared" si="7"/>
        <v>0</v>
      </c>
      <c r="AV65" s="41">
        <f t="shared" si="8"/>
        <v>0</v>
      </c>
      <c r="AW65" s="41" t="b">
        <f t="shared" si="9"/>
        <v>0</v>
      </c>
      <c r="AX65" t="str">
        <f t="shared" si="10"/>
        <v>+00</v>
      </c>
      <c r="AY65" t="str">
        <f t="shared" si="11"/>
        <v>+00</v>
      </c>
      <c r="BA65" s="47" t="b">
        <f t="shared" si="83"/>
        <v>1</v>
      </c>
      <c r="BB65" s="42" t="b">
        <f t="shared" si="84"/>
        <v>1</v>
      </c>
      <c r="BC65" s="42" t="b">
        <f t="shared" si="85"/>
        <v>0</v>
      </c>
      <c r="BD65" s="42" t="b">
        <f t="shared" si="86"/>
        <v>0</v>
      </c>
      <c r="BE65" s="70">
        <f t="shared" si="87"/>
        <v>0</v>
      </c>
      <c r="BF65" s="70">
        <f t="shared" si="88"/>
        <v>0</v>
      </c>
      <c r="BG65" s="34"/>
      <c r="BI65" s="47" t="b">
        <f t="shared" si="89"/>
        <v>1</v>
      </c>
      <c r="BJ65" s="47" t="b">
        <f t="shared" si="90"/>
        <v>1</v>
      </c>
      <c r="BK65" s="42" t="b">
        <f t="shared" si="91"/>
        <v>0</v>
      </c>
      <c r="BL65" s="42" t="b">
        <f t="shared" si="92"/>
        <v>0</v>
      </c>
      <c r="BM65" s="42">
        <f t="shared" si="93"/>
        <v>0</v>
      </c>
      <c r="BN65" s="42">
        <f t="shared" si="94"/>
        <v>0</v>
      </c>
      <c r="BP65" t="e">
        <f t="shared" si="95"/>
        <v>#N/A</v>
      </c>
      <c r="BQ65" t="e">
        <f t="shared" si="96"/>
        <v>#N/A</v>
      </c>
      <c r="BR65" t="e">
        <f t="shared" si="97"/>
        <v>#N/A</v>
      </c>
      <c r="BT65" s="60">
        <f t="shared" si="106"/>
        <v>0</v>
      </c>
      <c r="BU65" s="60">
        <f t="shared" si="107"/>
        <v>0</v>
      </c>
      <c r="BV65" s="60">
        <f t="shared" si="108"/>
        <v>0</v>
      </c>
      <c r="BW65" s="60">
        <f t="shared" si="109"/>
        <v>0</v>
      </c>
      <c r="BX65" s="60">
        <f t="shared" si="98"/>
        <v>0</v>
      </c>
      <c r="BY65" s="60">
        <f t="shared" si="99"/>
        <v>0</v>
      </c>
      <c r="BZ65" s="60">
        <f t="shared" si="100"/>
        <v>0</v>
      </c>
      <c r="CA65" s="60">
        <f t="shared" si="101"/>
        <v>0</v>
      </c>
      <c r="CB65" s="60" t="e">
        <f t="shared" si="110"/>
        <v>#N/A</v>
      </c>
      <c r="CC65" s="60">
        <f t="shared" si="111"/>
        <v>100000</v>
      </c>
      <c r="CD65" s="60" t="e">
        <f t="shared" si="112"/>
        <v>#N/A</v>
      </c>
      <c r="CE65" s="60">
        <f t="shared" si="113"/>
        <v>100000</v>
      </c>
      <c r="CF65" s="83" t="e">
        <f t="shared" si="102"/>
        <v>#N/A</v>
      </c>
      <c r="CG65" s="83">
        <f t="shared" si="103"/>
        <v>0</v>
      </c>
      <c r="CH65" s="83" t="e">
        <f t="shared" si="104"/>
        <v>#N/A</v>
      </c>
      <c r="CI65" s="83">
        <f t="shared" si="105"/>
        <v>0</v>
      </c>
      <c r="CJ65" s="86" t="e">
        <f t="shared" si="114"/>
        <v>#N/A</v>
      </c>
      <c r="CK65" s="82">
        <f t="shared" si="115"/>
        <v>5.3070370403969858E-3</v>
      </c>
      <c r="CL65" s="82" t="e">
        <f t="shared" si="116"/>
        <v>#N/A</v>
      </c>
      <c r="CM65" s="82">
        <f t="shared" si="117"/>
        <v>5.3070370403969858E-3</v>
      </c>
      <c r="CO65" s="149" t="str">
        <f>IF($I65&lt;&gt;"",IF(O65="User Specified",U65,INDEX('Refrigerant GWPs'!$G$2:$G$156,MATCH(O65,'Refrigerant GWPs'!$A$2:$A$156,0))),"")</f>
        <v/>
      </c>
      <c r="CP65" s="138" t="str">
        <f>IF($I65&lt;&gt;"",INDEX('Device Refrigerant Leakage'!$E$2:$E$42,MATCH($M65,'Device Refrigerant Leakage'!$B$2:$B$42,0)),"")</f>
        <v/>
      </c>
      <c r="CQ65" s="138" t="str">
        <f>IF($I65&lt;&gt;"",INDEX('Device Refrigerant Leakage'!$F$2:$F$42,MATCH($M65,'Device Refrigerant Leakage'!$B$2:$B$42,0)),"")</f>
        <v/>
      </c>
      <c r="CR65" s="145" t="str">
        <f>IF($I65&lt;&gt;"",INDEX('Device Refrigerant Leakage'!$G$2:$G$42,MATCH($M65,'Device Refrigerant Leakage'!$B$2:$B$42,0)),"")</f>
        <v/>
      </c>
      <c r="CS65" s="145" t="str">
        <f>IF($I65&lt;&gt;"",INDEX('Device Refrigerant Leakage'!$D$2:$D$42,MATCH($M65,'Device Refrigerant Leakage'!$B$2:$B$42,0))*CP65/2204.62*CO65,"")</f>
        <v/>
      </c>
      <c r="CT65" s="145" t="str">
        <f>IF($I65&lt;&gt;"",J65*(INDEX('Device Refrigerant Leakage'!$D$2:$D$42,MATCH($M65,'Device Refrigerant Leakage'!$B$2:$B$42,0))-(INDEX('Device Refrigerant Leakage'!$D$2:$D$42,MATCH($M65,'Device Refrigerant Leakage'!$B$2:$B$42,0)))*CR65*CP65)*CQ65/2204.62*CO65,"")</f>
        <v/>
      </c>
      <c r="CU65" s="135" t="str">
        <f>IF($I65&lt;&gt;"",J65*IF(W65&lt;&gt;"AR",(CS65*K65)+CT65,(CS65*AB65)+CT65*(AB65/INDEX('Device Refrigerant Leakage'!$C$2:$C$42,MATCH($M65,'Device Refrigerant Leakage'!$B$2:$B$42,0)))),"")</f>
        <v/>
      </c>
      <c r="CW65" s="135" t="str">
        <f>IF($I65&lt;&gt;"",IF(S65="User Specified",V65,INDEX('Refrigerant GWPs'!$G$2:$G$156,MATCH(S65,'Refrigerant GWPs'!$A$2:$A$157,0))),"")</f>
        <v/>
      </c>
      <c r="CX65" s="138" t="str">
        <f>IF($I65&lt;&gt;"",INDEX('Device Refrigerant Leakage'!$E$2:$E$42,MATCH($Q65,'Device Refrigerant Leakage'!$B$2:$B$42,0)),"")</f>
        <v/>
      </c>
      <c r="CY65" s="138" t="str">
        <f>IF($I65&lt;&gt;"",INDEX('Device Refrigerant Leakage'!$F$2:$F$42,MATCH($Q65,'Device Refrigerant Leakage'!$B$2:$B$42,0)),"")</f>
        <v/>
      </c>
      <c r="CZ65" s="145" t="str">
        <f>IF($I65&lt;&gt;"",INDEX('Device Refrigerant Leakage'!$G$2:$G$42,MATCH($Q65,'Device Refrigerant Leakage'!$B$2:$B$42,0)),"")</f>
        <v/>
      </c>
      <c r="DA65" s="145" t="str">
        <f>IF($I65&lt;&gt;"",J65*INDEX('Device Refrigerant Leakage'!$D$2:$D$42,MATCH($Q65,'Device Refrigerant Leakage'!$B$2:$B$42,0))*CX65/2204.62*CW65,"")</f>
        <v/>
      </c>
      <c r="DB65" s="145" t="str">
        <f>IF($I65&lt;&gt;"",J65*(INDEX('Device Refrigerant Leakage'!$D$2:$D$42,MATCH($Q65,'Device Refrigerant Leakage'!$B$2:$B$42,0))-(INDEX('Device Refrigerant Leakage'!$D$2:$D$42,MATCH($Q65,'Device Refrigerant Leakage'!$B$2:$B$42,0)))*CZ65*CX65)*CY65/2204.62*CW65,"")</f>
        <v/>
      </c>
      <c r="DC65" s="135" t="str">
        <f t="shared" si="59"/>
        <v/>
      </c>
      <c r="DE65" s="146" t="str">
        <f>IF(W65&lt;&gt;"AR","",IF(Y65="User Specified", AA65, INDEX('Refrigerant GWPs'!$G$2:$G$154,MATCH(Y65,'Refrigerant GWPs'!$A$2:$A$154,0))))</f>
        <v/>
      </c>
      <c r="DF65" s="146" t="str">
        <f>IF(W65&lt;&gt;"AR","",INDEX('Device Refrigerant Leakage'!$E$2:$E$42,MATCH(X65,'Device Refrigerant Leakage'!$B$2:$B$42,0)))</f>
        <v/>
      </c>
      <c r="DG65" s="146" t="str">
        <f>IF(W65&lt;&gt;"AR","",INDEX('Device Refrigerant Leakage'!$F$2:$F$42,MATCH(X65,'Device Refrigerant Leakage'!$B$2:$B$42,0)))</f>
        <v/>
      </c>
      <c r="DH65" s="146" t="str">
        <f>IF(W65&lt;&gt;"AR","",INDEX('Device Refrigerant Leakage'!$G$2:$G$42,MATCH(X65,'Device Refrigerant Leakage'!$B$2:$B$42,0)))</f>
        <v/>
      </c>
      <c r="DI65" s="146" t="str">
        <f>IF(W65&lt;&gt;"AR","",J65*INDEX('Device Refrigerant Leakage'!$D$2:$D$42,MATCH(X65,'Device Refrigerant Leakage'!$B$2:$B$42,0))*DF65/2204.62*DE65)</f>
        <v/>
      </c>
      <c r="DJ65" s="146" t="str">
        <f>IF(W65&lt;&gt;"AR","",J65*(INDEX('Device Refrigerant Leakage'!$D$2:$D$42,MATCH(X65,'Device Refrigerant Leakage'!$B$2:$B$42,0))-(INDEX('Device Refrigerant Leakage'!$D$2:$D$42,MATCH(X65,'Device Refrigerant Leakage'!$B$2:$B$42,0)))*DH65*DF65)*DG65/2204.62*DE65)</f>
        <v/>
      </c>
      <c r="DK65" s="146" t="str">
        <f>IF(W65&lt;&gt;"AR","",DI65*(K65-AB65)+'Fuel Sub Calcs-Deemed'!DJ65*((K65-AB65)/INDEX('Device Refrigerant Leakage'!$C$2:$C$42,MATCH('Fuel Sub Calcs-Deemed'!X65,'Device Refrigerant Leakage'!$B$2:$B$42,0))))</f>
        <v/>
      </c>
      <c r="DM65" s="56">
        <v>51</v>
      </c>
      <c r="DN65" s="67" t="e">
        <f t="shared" si="28"/>
        <v>#N/A</v>
      </c>
      <c r="DO65" s="45" t="e">
        <f t="shared" si="29"/>
        <v>#N/A</v>
      </c>
      <c r="DP65" s="67" t="e">
        <f t="shared" si="30"/>
        <v>#N/A</v>
      </c>
      <c r="DQ65" s="45" t="e">
        <f t="shared" si="31"/>
        <v>#N/A</v>
      </c>
      <c r="DR65" s="69" t="e">
        <f t="shared" si="32"/>
        <v>#N/A</v>
      </c>
      <c r="DS65" s="34"/>
      <c r="DT65" s="67" t="e">
        <f>((BX65*CJ65)+IF($W65=MAT_AR,(BZ65*CL65),0))*(1+Reference!$E$50+Reference!$E$51)</f>
        <v>#N/A</v>
      </c>
      <c r="DU65" s="67">
        <f>((BY65*CK65)+IF($W65=MAT_AR,(CA65*CM65),0))*(1+Reference!$G$50+Reference!$G$51)</f>
        <v>0</v>
      </c>
      <c r="DV65" s="67" t="e">
        <f t="shared" si="33"/>
        <v>#VALUE!</v>
      </c>
      <c r="DX65" s="56">
        <v>51</v>
      </c>
      <c r="DY65" s="67">
        <f t="shared" si="34"/>
        <v>0</v>
      </c>
      <c r="DZ65" s="45" t="e">
        <f>VLOOKUP($R65,Dropdown!$C$3:$D$4,2,FALSE)</f>
        <v>#N/A</v>
      </c>
      <c r="EA65" s="68">
        <f t="shared" si="35"/>
        <v>0</v>
      </c>
      <c r="EB65" s="68" t="str">
        <f t="shared" si="36"/>
        <v>N/A</v>
      </c>
      <c r="EC65" s="68">
        <f t="shared" si="37"/>
        <v>0</v>
      </c>
      <c r="ED65" s="68" t="str">
        <f t="shared" si="118"/>
        <v>N/A</v>
      </c>
      <c r="EF65" s="56">
        <v>51</v>
      </c>
      <c r="EG65" s="46">
        <f t="shared" si="39"/>
        <v>0</v>
      </c>
      <c r="EH65" s="68" t="e">
        <f t="shared" si="40"/>
        <v>#N/A</v>
      </c>
      <c r="EI65" s="68" t="e">
        <f t="shared" si="41"/>
        <v>#N/A</v>
      </c>
      <c r="EJ65" s="68" t="e">
        <f t="shared" si="42"/>
        <v>#N/A</v>
      </c>
      <c r="EK65" s="68" t="e">
        <f t="shared" si="43"/>
        <v>#N/A</v>
      </c>
      <c r="EL65" s="46">
        <f t="shared" si="44"/>
        <v>0</v>
      </c>
      <c r="EM65" s="46">
        <f t="shared" si="45"/>
        <v>0</v>
      </c>
    </row>
    <row r="66" spans="1:143">
      <c r="A66" s="89"/>
      <c r="B66" s="89"/>
      <c r="C66" s="89"/>
      <c r="D66" s="89"/>
      <c r="E66" s="89"/>
      <c r="F66" s="89"/>
      <c r="G66" s="34"/>
      <c r="H66" s="56">
        <f t="shared" si="46"/>
        <v>52</v>
      </c>
      <c r="I66" s="165"/>
      <c r="J66" s="163"/>
      <c r="K66" s="163"/>
      <c r="L66" s="164"/>
      <c r="M66" s="155"/>
      <c r="N66" s="155"/>
      <c r="O66" s="144"/>
      <c r="P66" s="159" t="str">
        <f>IFERROR(IF(O66&lt;&gt;"User Specified",IF(O66&lt;&gt;"", INDEX('Refrigerant GWPs'!$G$2:$G$154,MATCH(O66,'Refrigerant GWPs'!$A$2:$A$154,0)),""),U66),0)</f>
        <v/>
      </c>
      <c r="Q66" s="155"/>
      <c r="R66" s="155"/>
      <c r="S66" s="144"/>
      <c r="T66" s="159" t="str">
        <f>IF(S66&lt;&gt;"User Specified",IF(AND(S66&lt;&gt;"User Specified",S66&lt;&gt;""), INDEX('Refrigerant GWPs'!$G$2:$G$154,MATCH(S66,'Refrigerant GWPs'!$A$2:$A$154,0)),""),V66)</f>
        <v/>
      </c>
      <c r="U66" s="144"/>
      <c r="V66" s="144"/>
      <c r="W66" s="155"/>
      <c r="X66" s="155"/>
      <c r="Y66" s="144"/>
      <c r="Z66" s="159" t="str">
        <f>IF(AND(Y66&lt;&gt;"User Specified",Y66&lt;&gt;""), INDEX('Refrigerant GWPs'!$G$2:$G$154,MATCH(Y66,'Refrigerant GWPs'!$A$2:$A$154,0)),"")</f>
        <v/>
      </c>
      <c r="AA66" s="155"/>
      <c r="AB66" s="156"/>
      <c r="AC66" s="66"/>
      <c r="AD66" s="66"/>
      <c r="AE66" s="66"/>
      <c r="AF66" s="66"/>
      <c r="AG66" s="66"/>
      <c r="AH66" s="66"/>
      <c r="AI66" s="34"/>
      <c r="AJ66" s="88">
        <f t="shared" si="0"/>
        <v>0</v>
      </c>
      <c r="AK66" s="88">
        <f t="shared" si="1"/>
        <v>0</v>
      </c>
      <c r="AL66" s="88">
        <v>0</v>
      </c>
      <c r="AM66" s="88">
        <v>0</v>
      </c>
      <c r="AN66" s="81" t="str">
        <f t="shared" si="47"/>
        <v/>
      </c>
      <c r="AO66" s="88">
        <f t="shared" si="2"/>
        <v>0</v>
      </c>
      <c r="AP66" s="88">
        <f t="shared" si="3"/>
        <v>0</v>
      </c>
      <c r="AQ66" s="81" t="str">
        <f t="shared" si="4"/>
        <v/>
      </c>
      <c r="AS66" s="41" t="b">
        <f t="shared" si="5"/>
        <v>1</v>
      </c>
      <c r="AT66" s="38">
        <f t="shared" si="6"/>
        <v>0</v>
      </c>
      <c r="AU66" s="60">
        <f t="shared" si="7"/>
        <v>0</v>
      </c>
      <c r="AV66" s="41">
        <f t="shared" si="8"/>
        <v>0</v>
      </c>
      <c r="AW66" s="41" t="b">
        <f t="shared" si="9"/>
        <v>0</v>
      </c>
      <c r="AX66" t="str">
        <f t="shared" si="10"/>
        <v>+00</v>
      </c>
      <c r="AY66" t="str">
        <f t="shared" si="11"/>
        <v>+00</v>
      </c>
      <c r="BA66" s="47" t="b">
        <f t="shared" si="83"/>
        <v>1</v>
      </c>
      <c r="BB66" s="42" t="b">
        <f t="shared" si="84"/>
        <v>1</v>
      </c>
      <c r="BC66" s="42" t="b">
        <f t="shared" si="85"/>
        <v>0</v>
      </c>
      <c r="BD66" s="42" t="b">
        <f t="shared" si="86"/>
        <v>0</v>
      </c>
      <c r="BE66" s="70">
        <f t="shared" si="87"/>
        <v>0</v>
      </c>
      <c r="BF66" s="70">
        <f t="shared" si="88"/>
        <v>0</v>
      </c>
      <c r="BG66" s="34"/>
      <c r="BI66" s="47" t="b">
        <f t="shared" si="89"/>
        <v>1</v>
      </c>
      <c r="BJ66" s="47" t="b">
        <f t="shared" si="90"/>
        <v>1</v>
      </c>
      <c r="BK66" s="42" t="b">
        <f t="shared" si="91"/>
        <v>0</v>
      </c>
      <c r="BL66" s="42" t="b">
        <f t="shared" si="92"/>
        <v>0</v>
      </c>
      <c r="BM66" s="42">
        <f t="shared" si="93"/>
        <v>0</v>
      </c>
      <c r="BN66" s="42">
        <f t="shared" si="94"/>
        <v>0</v>
      </c>
      <c r="BP66" t="e">
        <f t="shared" si="95"/>
        <v>#N/A</v>
      </c>
      <c r="BQ66" t="e">
        <f t="shared" si="96"/>
        <v>#N/A</v>
      </c>
      <c r="BR66" t="e">
        <f t="shared" si="97"/>
        <v>#N/A</v>
      </c>
      <c r="BT66" s="60">
        <f t="shared" si="106"/>
        <v>0</v>
      </c>
      <c r="BU66" s="60">
        <f t="shared" si="107"/>
        <v>0</v>
      </c>
      <c r="BV66" s="60">
        <f t="shared" si="108"/>
        <v>0</v>
      </c>
      <c r="BW66" s="60">
        <f t="shared" si="109"/>
        <v>0</v>
      </c>
      <c r="BX66" s="60">
        <f t="shared" si="98"/>
        <v>0</v>
      </c>
      <c r="BY66" s="60">
        <f t="shared" si="99"/>
        <v>0</v>
      </c>
      <c r="BZ66" s="60">
        <f t="shared" si="100"/>
        <v>0</v>
      </c>
      <c r="CA66" s="60">
        <f t="shared" si="101"/>
        <v>0</v>
      </c>
      <c r="CB66" s="60" t="e">
        <f t="shared" si="110"/>
        <v>#N/A</v>
      </c>
      <c r="CC66" s="60">
        <f t="shared" si="111"/>
        <v>100000</v>
      </c>
      <c r="CD66" s="60" t="e">
        <f t="shared" si="112"/>
        <v>#N/A</v>
      </c>
      <c r="CE66" s="60">
        <f t="shared" si="113"/>
        <v>100000</v>
      </c>
      <c r="CF66" s="83" t="e">
        <f t="shared" si="102"/>
        <v>#N/A</v>
      </c>
      <c r="CG66" s="83">
        <f t="shared" si="103"/>
        <v>0</v>
      </c>
      <c r="CH66" s="83" t="e">
        <f t="shared" si="104"/>
        <v>#N/A</v>
      </c>
      <c r="CI66" s="83">
        <f t="shared" si="105"/>
        <v>0</v>
      </c>
      <c r="CJ66" s="86" t="e">
        <f t="shared" si="114"/>
        <v>#N/A</v>
      </c>
      <c r="CK66" s="82">
        <f t="shared" si="115"/>
        <v>5.3070370403969858E-3</v>
      </c>
      <c r="CL66" s="82" t="e">
        <f t="shared" si="116"/>
        <v>#N/A</v>
      </c>
      <c r="CM66" s="82">
        <f t="shared" si="117"/>
        <v>5.3070370403969858E-3</v>
      </c>
      <c r="CO66" s="149" t="str">
        <f>IF($I66&lt;&gt;"",IF(O66="User Specified",U66,INDEX('Refrigerant GWPs'!$G$2:$G$156,MATCH(O66,'Refrigerant GWPs'!$A$2:$A$156,0))),"")</f>
        <v/>
      </c>
      <c r="CP66" s="138" t="str">
        <f>IF($I66&lt;&gt;"",INDEX('Device Refrigerant Leakage'!$E$2:$E$42,MATCH($M66,'Device Refrigerant Leakage'!$B$2:$B$42,0)),"")</f>
        <v/>
      </c>
      <c r="CQ66" s="138" t="str">
        <f>IF($I66&lt;&gt;"",INDEX('Device Refrigerant Leakage'!$F$2:$F$42,MATCH($M66,'Device Refrigerant Leakage'!$B$2:$B$42,0)),"")</f>
        <v/>
      </c>
      <c r="CR66" s="145" t="str">
        <f>IF($I66&lt;&gt;"",INDEX('Device Refrigerant Leakage'!$G$2:$G$42,MATCH($M66,'Device Refrigerant Leakage'!$B$2:$B$42,0)),"")</f>
        <v/>
      </c>
      <c r="CS66" s="145" t="str">
        <f>IF($I66&lt;&gt;"",INDEX('Device Refrigerant Leakage'!$D$2:$D$42,MATCH($M66,'Device Refrigerant Leakage'!$B$2:$B$42,0))*CP66/2204.62*CO66,"")</f>
        <v/>
      </c>
      <c r="CT66" s="145" t="str">
        <f>IF($I66&lt;&gt;"",J66*(INDEX('Device Refrigerant Leakage'!$D$2:$D$42,MATCH($M66,'Device Refrigerant Leakage'!$B$2:$B$42,0))-(INDEX('Device Refrigerant Leakage'!$D$2:$D$42,MATCH($M66,'Device Refrigerant Leakage'!$B$2:$B$42,0)))*CR66*CP66)*CQ66/2204.62*CO66,"")</f>
        <v/>
      </c>
      <c r="CU66" s="135" t="str">
        <f>IF($I66&lt;&gt;"",J66*IF(W66&lt;&gt;"AR",(CS66*K66)+CT66,(CS66*AB66)+CT66*(AB66/INDEX('Device Refrigerant Leakage'!$C$2:$C$42,MATCH($M66,'Device Refrigerant Leakage'!$B$2:$B$42,0)))),"")</f>
        <v/>
      </c>
      <c r="CW66" s="135" t="str">
        <f>IF($I66&lt;&gt;"",IF(S66="User Specified",V66,INDEX('Refrigerant GWPs'!$G$2:$G$156,MATCH(S66,'Refrigerant GWPs'!$A$2:$A$157,0))),"")</f>
        <v/>
      </c>
      <c r="CX66" s="138" t="str">
        <f>IF($I66&lt;&gt;"",INDEX('Device Refrigerant Leakage'!$E$2:$E$42,MATCH($Q66,'Device Refrigerant Leakage'!$B$2:$B$42,0)),"")</f>
        <v/>
      </c>
      <c r="CY66" s="138" t="str">
        <f>IF($I66&lt;&gt;"",INDEX('Device Refrigerant Leakage'!$F$2:$F$42,MATCH($Q66,'Device Refrigerant Leakage'!$B$2:$B$42,0)),"")</f>
        <v/>
      </c>
      <c r="CZ66" s="145" t="str">
        <f>IF($I66&lt;&gt;"",INDEX('Device Refrigerant Leakage'!$G$2:$G$42,MATCH($Q66,'Device Refrigerant Leakage'!$B$2:$B$42,0)),"")</f>
        <v/>
      </c>
      <c r="DA66" s="145" t="str">
        <f>IF($I66&lt;&gt;"",J66*INDEX('Device Refrigerant Leakage'!$D$2:$D$42,MATCH($Q66,'Device Refrigerant Leakage'!$B$2:$B$42,0))*CX66/2204.62*CW66,"")</f>
        <v/>
      </c>
      <c r="DB66" s="145" t="str">
        <f>IF($I66&lt;&gt;"",J66*(INDEX('Device Refrigerant Leakage'!$D$2:$D$42,MATCH($Q66,'Device Refrigerant Leakage'!$B$2:$B$42,0))-(INDEX('Device Refrigerant Leakage'!$D$2:$D$42,MATCH($Q66,'Device Refrigerant Leakage'!$B$2:$B$42,0)))*CZ66*CX66)*CY66/2204.62*CW66,"")</f>
        <v/>
      </c>
      <c r="DC66" s="135" t="str">
        <f t="shared" si="59"/>
        <v/>
      </c>
      <c r="DE66" s="146" t="str">
        <f>IF(W66&lt;&gt;"AR","",IF(Y66="User Specified", AA66, INDEX('Refrigerant GWPs'!$G$2:$G$154,MATCH(Y66,'Refrigerant GWPs'!$A$2:$A$154,0))))</f>
        <v/>
      </c>
      <c r="DF66" s="146" t="str">
        <f>IF(W66&lt;&gt;"AR","",INDEX('Device Refrigerant Leakage'!$E$2:$E$42,MATCH(X66,'Device Refrigerant Leakage'!$B$2:$B$42,0)))</f>
        <v/>
      </c>
      <c r="DG66" s="146" t="str">
        <f>IF(W66&lt;&gt;"AR","",INDEX('Device Refrigerant Leakage'!$F$2:$F$42,MATCH(X66,'Device Refrigerant Leakage'!$B$2:$B$42,0)))</f>
        <v/>
      </c>
      <c r="DH66" s="146" t="str">
        <f>IF(W66&lt;&gt;"AR","",INDEX('Device Refrigerant Leakage'!$G$2:$G$42,MATCH(X66,'Device Refrigerant Leakage'!$B$2:$B$42,0)))</f>
        <v/>
      </c>
      <c r="DI66" s="146" t="str">
        <f>IF(W66&lt;&gt;"AR","",J66*INDEX('Device Refrigerant Leakage'!$D$2:$D$42,MATCH(X66,'Device Refrigerant Leakage'!$B$2:$B$42,0))*DF66/2204.62*DE66)</f>
        <v/>
      </c>
      <c r="DJ66" s="146" t="str">
        <f>IF(W66&lt;&gt;"AR","",J66*(INDEX('Device Refrigerant Leakage'!$D$2:$D$42,MATCH(X66,'Device Refrigerant Leakage'!$B$2:$B$42,0))-(INDEX('Device Refrigerant Leakage'!$D$2:$D$42,MATCH(X66,'Device Refrigerant Leakage'!$B$2:$B$42,0)))*DH66*DF66)*DG66/2204.62*DE66)</f>
        <v/>
      </c>
      <c r="DK66" s="146" t="str">
        <f>IF(W66&lt;&gt;"AR","",DI66*(K66-AB66)+'Fuel Sub Calcs-Deemed'!DJ66*((K66-AB66)/INDEX('Device Refrigerant Leakage'!$C$2:$C$42,MATCH('Fuel Sub Calcs-Deemed'!X66,'Device Refrigerant Leakage'!$B$2:$B$42,0))))</f>
        <v/>
      </c>
      <c r="DM66" s="56">
        <v>52</v>
      </c>
      <c r="DN66" s="67" t="e">
        <f t="shared" si="28"/>
        <v>#N/A</v>
      </c>
      <c r="DO66" s="45" t="e">
        <f t="shared" si="29"/>
        <v>#N/A</v>
      </c>
      <c r="DP66" s="67" t="e">
        <f t="shared" si="30"/>
        <v>#N/A</v>
      </c>
      <c r="DQ66" s="45" t="e">
        <f t="shared" si="31"/>
        <v>#N/A</v>
      </c>
      <c r="DR66" s="69" t="e">
        <f t="shared" si="32"/>
        <v>#N/A</v>
      </c>
      <c r="DS66" s="34"/>
      <c r="DT66" s="67" t="e">
        <f>((BX66*CJ66)+IF($W66=MAT_AR,(BZ66*CL66),0))*(1+Reference!$E$50+Reference!$E$51)</f>
        <v>#N/A</v>
      </c>
      <c r="DU66" s="67">
        <f>((BY66*CK66)+IF($W66=MAT_AR,(CA66*CM66),0))*(1+Reference!$G$50+Reference!$G$51)</f>
        <v>0</v>
      </c>
      <c r="DV66" s="67" t="e">
        <f t="shared" si="33"/>
        <v>#VALUE!</v>
      </c>
      <c r="DX66" s="56">
        <v>52</v>
      </c>
      <c r="DY66" s="67">
        <f t="shared" si="34"/>
        <v>0</v>
      </c>
      <c r="DZ66" s="45" t="e">
        <f>VLOOKUP($R66,Dropdown!$C$3:$D$4,2,FALSE)</f>
        <v>#N/A</v>
      </c>
      <c r="EA66" s="68">
        <f t="shared" si="35"/>
        <v>0</v>
      </c>
      <c r="EB66" s="68" t="str">
        <f t="shared" si="36"/>
        <v>N/A</v>
      </c>
      <c r="EC66" s="68">
        <f t="shared" si="37"/>
        <v>0</v>
      </c>
      <c r="ED66" s="68" t="str">
        <f t="shared" si="118"/>
        <v>N/A</v>
      </c>
      <c r="EF66" s="56">
        <v>52</v>
      </c>
      <c r="EG66" s="46">
        <f t="shared" si="39"/>
        <v>0</v>
      </c>
      <c r="EH66" s="68" t="e">
        <f t="shared" si="40"/>
        <v>#N/A</v>
      </c>
      <c r="EI66" s="68" t="e">
        <f t="shared" si="41"/>
        <v>#N/A</v>
      </c>
      <c r="EJ66" s="68" t="e">
        <f t="shared" si="42"/>
        <v>#N/A</v>
      </c>
      <c r="EK66" s="68" t="e">
        <f t="shared" si="43"/>
        <v>#N/A</v>
      </c>
      <c r="EL66" s="46">
        <f t="shared" si="44"/>
        <v>0</v>
      </c>
      <c r="EM66" s="46">
        <f t="shared" si="45"/>
        <v>0</v>
      </c>
    </row>
    <row r="67" spans="1:143">
      <c r="A67" s="89"/>
      <c r="B67" s="89"/>
      <c r="C67" s="89"/>
      <c r="D67" s="89"/>
      <c r="E67" s="89"/>
      <c r="F67" s="89"/>
      <c r="G67" s="34"/>
      <c r="H67" s="56">
        <f t="shared" si="46"/>
        <v>53</v>
      </c>
      <c r="I67" s="165"/>
      <c r="J67" s="163"/>
      <c r="K67" s="163"/>
      <c r="L67" s="164"/>
      <c r="M67" s="155"/>
      <c r="N67" s="155"/>
      <c r="O67" s="144"/>
      <c r="P67" s="159" t="str">
        <f>IFERROR(IF(O67&lt;&gt;"User Specified",IF(O67&lt;&gt;"", INDEX('Refrigerant GWPs'!$G$2:$G$154,MATCH(O67,'Refrigerant GWPs'!$A$2:$A$154,0)),""),U67),0)</f>
        <v/>
      </c>
      <c r="Q67" s="155"/>
      <c r="R67" s="155"/>
      <c r="S67" s="144"/>
      <c r="T67" s="159" t="str">
        <f>IF(S67&lt;&gt;"User Specified",IF(AND(S67&lt;&gt;"User Specified",S67&lt;&gt;""), INDEX('Refrigerant GWPs'!$G$2:$G$154,MATCH(S67,'Refrigerant GWPs'!$A$2:$A$154,0)),""),V67)</f>
        <v/>
      </c>
      <c r="U67" s="144"/>
      <c r="V67" s="144"/>
      <c r="W67" s="155"/>
      <c r="X67" s="155"/>
      <c r="Y67" s="144"/>
      <c r="Z67" s="159" t="str">
        <f>IF(AND(Y67&lt;&gt;"User Specified",Y67&lt;&gt;""), INDEX('Refrigerant GWPs'!$G$2:$G$154,MATCH(Y67,'Refrigerant GWPs'!$A$2:$A$154,0)),"")</f>
        <v/>
      </c>
      <c r="AA67" s="155"/>
      <c r="AB67" s="156"/>
      <c r="AC67" s="66"/>
      <c r="AD67" s="66"/>
      <c r="AE67" s="66"/>
      <c r="AF67" s="66"/>
      <c r="AG67" s="66"/>
      <c r="AH67" s="66"/>
      <c r="AI67" s="34"/>
      <c r="AJ67" s="88">
        <f t="shared" si="0"/>
        <v>0</v>
      </c>
      <c r="AK67" s="88">
        <f t="shared" si="1"/>
        <v>0</v>
      </c>
      <c r="AL67" s="88">
        <v>0</v>
      </c>
      <c r="AM67" s="88">
        <v>0</v>
      </c>
      <c r="AN67" s="81" t="str">
        <f t="shared" si="47"/>
        <v/>
      </c>
      <c r="AO67" s="88">
        <f t="shared" si="2"/>
        <v>0</v>
      </c>
      <c r="AP67" s="88">
        <f t="shared" si="3"/>
        <v>0</v>
      </c>
      <c r="AQ67" s="81" t="str">
        <f t="shared" si="4"/>
        <v/>
      </c>
      <c r="AS67" s="41" t="b">
        <f t="shared" si="5"/>
        <v>1</v>
      </c>
      <c r="AT67" s="38">
        <f t="shared" si="6"/>
        <v>0</v>
      </c>
      <c r="AU67" s="60">
        <f t="shared" si="7"/>
        <v>0</v>
      </c>
      <c r="AV67" s="41">
        <f t="shared" si="8"/>
        <v>0</v>
      </c>
      <c r="AW67" s="41" t="b">
        <f t="shared" si="9"/>
        <v>0</v>
      </c>
      <c r="AX67" t="str">
        <f t="shared" si="10"/>
        <v>+00</v>
      </c>
      <c r="AY67" t="str">
        <f t="shared" si="11"/>
        <v>+00</v>
      </c>
      <c r="BA67" s="47" t="b">
        <f t="shared" si="83"/>
        <v>1</v>
      </c>
      <c r="BB67" s="42" t="b">
        <f t="shared" si="84"/>
        <v>1</v>
      </c>
      <c r="BC67" s="42" t="b">
        <f t="shared" si="85"/>
        <v>0</v>
      </c>
      <c r="BD67" s="42" t="b">
        <f t="shared" si="86"/>
        <v>0</v>
      </c>
      <c r="BE67" s="70">
        <f t="shared" si="87"/>
        <v>0</v>
      </c>
      <c r="BF67" s="70">
        <f t="shared" si="88"/>
        <v>0</v>
      </c>
      <c r="BG67" s="34"/>
      <c r="BI67" s="47" t="b">
        <f t="shared" si="89"/>
        <v>1</v>
      </c>
      <c r="BJ67" s="47" t="b">
        <f t="shared" si="90"/>
        <v>1</v>
      </c>
      <c r="BK67" s="42" t="b">
        <f t="shared" si="91"/>
        <v>0</v>
      </c>
      <c r="BL67" s="42" t="b">
        <f t="shared" si="92"/>
        <v>0</v>
      </c>
      <c r="BM67" s="42">
        <f t="shared" si="93"/>
        <v>0</v>
      </c>
      <c r="BN67" s="42">
        <f t="shared" si="94"/>
        <v>0</v>
      </c>
      <c r="BP67" t="e">
        <f t="shared" si="95"/>
        <v>#N/A</v>
      </c>
      <c r="BQ67" t="e">
        <f t="shared" si="96"/>
        <v>#N/A</v>
      </c>
      <c r="BR67" t="e">
        <f t="shared" si="97"/>
        <v>#N/A</v>
      </c>
      <c r="BT67" s="60">
        <f t="shared" si="106"/>
        <v>0</v>
      </c>
      <c r="BU67" s="60">
        <f t="shared" si="107"/>
        <v>0</v>
      </c>
      <c r="BV67" s="60">
        <f t="shared" si="108"/>
        <v>0</v>
      </c>
      <c r="BW67" s="60">
        <f t="shared" si="109"/>
        <v>0</v>
      </c>
      <c r="BX67" s="60">
        <f t="shared" si="98"/>
        <v>0</v>
      </c>
      <c r="BY67" s="60">
        <f t="shared" si="99"/>
        <v>0</v>
      </c>
      <c r="BZ67" s="60">
        <f t="shared" si="100"/>
        <v>0</v>
      </c>
      <c r="CA67" s="60">
        <f t="shared" si="101"/>
        <v>0</v>
      </c>
      <c r="CB67" s="60" t="e">
        <f t="shared" si="110"/>
        <v>#N/A</v>
      </c>
      <c r="CC67" s="60">
        <f t="shared" si="111"/>
        <v>100000</v>
      </c>
      <c r="CD67" s="60" t="e">
        <f t="shared" si="112"/>
        <v>#N/A</v>
      </c>
      <c r="CE67" s="60">
        <f t="shared" si="113"/>
        <v>100000</v>
      </c>
      <c r="CF67" s="83" t="e">
        <f t="shared" si="102"/>
        <v>#N/A</v>
      </c>
      <c r="CG67" s="83">
        <f t="shared" si="103"/>
        <v>0</v>
      </c>
      <c r="CH67" s="83" t="e">
        <f t="shared" si="104"/>
        <v>#N/A</v>
      </c>
      <c r="CI67" s="83">
        <f t="shared" si="105"/>
        <v>0</v>
      </c>
      <c r="CJ67" s="86" t="e">
        <f t="shared" si="114"/>
        <v>#N/A</v>
      </c>
      <c r="CK67" s="82">
        <f t="shared" si="115"/>
        <v>5.3070370403969858E-3</v>
      </c>
      <c r="CL67" s="82" t="e">
        <f t="shared" si="116"/>
        <v>#N/A</v>
      </c>
      <c r="CM67" s="82">
        <f t="shared" si="117"/>
        <v>5.3070370403969858E-3</v>
      </c>
      <c r="CO67" s="149" t="str">
        <f>IF($I67&lt;&gt;"",IF(O67="User Specified",U67,INDEX('Refrigerant GWPs'!$G$2:$G$156,MATCH(O67,'Refrigerant GWPs'!$A$2:$A$156,0))),"")</f>
        <v/>
      </c>
      <c r="CP67" s="138" t="str">
        <f>IF($I67&lt;&gt;"",INDEX('Device Refrigerant Leakage'!$E$2:$E$42,MATCH($M67,'Device Refrigerant Leakage'!$B$2:$B$42,0)),"")</f>
        <v/>
      </c>
      <c r="CQ67" s="138" t="str">
        <f>IF($I67&lt;&gt;"",INDEX('Device Refrigerant Leakage'!$F$2:$F$42,MATCH($M67,'Device Refrigerant Leakage'!$B$2:$B$42,0)),"")</f>
        <v/>
      </c>
      <c r="CR67" s="145" t="str">
        <f>IF($I67&lt;&gt;"",INDEX('Device Refrigerant Leakage'!$G$2:$G$42,MATCH($M67,'Device Refrigerant Leakage'!$B$2:$B$42,0)),"")</f>
        <v/>
      </c>
      <c r="CS67" s="145" t="str">
        <f>IF($I67&lt;&gt;"",INDEX('Device Refrigerant Leakage'!$D$2:$D$42,MATCH($M67,'Device Refrigerant Leakage'!$B$2:$B$42,0))*CP67/2204.62*CO67,"")</f>
        <v/>
      </c>
      <c r="CT67" s="145" t="str">
        <f>IF($I67&lt;&gt;"",J67*(INDEX('Device Refrigerant Leakage'!$D$2:$D$42,MATCH($M67,'Device Refrigerant Leakage'!$B$2:$B$42,0))-(INDEX('Device Refrigerant Leakage'!$D$2:$D$42,MATCH($M67,'Device Refrigerant Leakage'!$B$2:$B$42,0)))*CR67*CP67)*CQ67/2204.62*CO67,"")</f>
        <v/>
      </c>
      <c r="CU67" s="135" t="str">
        <f>IF($I67&lt;&gt;"",J67*IF(W67&lt;&gt;"AR",(CS67*K67)+CT67,(CS67*AB67)+CT67*(AB67/INDEX('Device Refrigerant Leakage'!$C$2:$C$42,MATCH($M67,'Device Refrigerant Leakage'!$B$2:$B$42,0)))),"")</f>
        <v/>
      </c>
      <c r="CW67" s="135" t="str">
        <f>IF($I67&lt;&gt;"",IF(S67="User Specified",V67,INDEX('Refrigerant GWPs'!$G$2:$G$156,MATCH(S67,'Refrigerant GWPs'!$A$2:$A$157,0))),"")</f>
        <v/>
      </c>
      <c r="CX67" s="138" t="str">
        <f>IF($I67&lt;&gt;"",INDEX('Device Refrigerant Leakage'!$E$2:$E$42,MATCH($Q67,'Device Refrigerant Leakage'!$B$2:$B$42,0)),"")</f>
        <v/>
      </c>
      <c r="CY67" s="138" t="str">
        <f>IF($I67&lt;&gt;"",INDEX('Device Refrigerant Leakage'!$F$2:$F$42,MATCH($Q67,'Device Refrigerant Leakage'!$B$2:$B$42,0)),"")</f>
        <v/>
      </c>
      <c r="CZ67" s="145" t="str">
        <f>IF($I67&lt;&gt;"",INDEX('Device Refrigerant Leakage'!$G$2:$G$42,MATCH($Q67,'Device Refrigerant Leakage'!$B$2:$B$42,0)),"")</f>
        <v/>
      </c>
      <c r="DA67" s="145" t="str">
        <f>IF($I67&lt;&gt;"",J67*INDEX('Device Refrigerant Leakage'!$D$2:$D$42,MATCH($Q67,'Device Refrigerant Leakage'!$B$2:$B$42,0))*CX67/2204.62*CW67,"")</f>
        <v/>
      </c>
      <c r="DB67" s="145" t="str">
        <f>IF($I67&lt;&gt;"",J67*(INDEX('Device Refrigerant Leakage'!$D$2:$D$42,MATCH($Q67,'Device Refrigerant Leakage'!$B$2:$B$42,0))-(INDEX('Device Refrigerant Leakage'!$D$2:$D$42,MATCH($Q67,'Device Refrigerant Leakage'!$B$2:$B$42,0)))*CZ67*CX67)*CY67/2204.62*CW67,"")</f>
        <v/>
      </c>
      <c r="DC67" s="135" t="str">
        <f t="shared" si="59"/>
        <v/>
      </c>
      <c r="DE67" s="146" t="str">
        <f>IF(W67&lt;&gt;"AR","",IF(Y67="User Specified", AA67, INDEX('Refrigerant GWPs'!$G$2:$G$154,MATCH(Y67,'Refrigerant GWPs'!$A$2:$A$154,0))))</f>
        <v/>
      </c>
      <c r="DF67" s="146" t="str">
        <f>IF(W67&lt;&gt;"AR","",INDEX('Device Refrigerant Leakage'!$E$2:$E$42,MATCH(X67,'Device Refrigerant Leakage'!$B$2:$B$42,0)))</f>
        <v/>
      </c>
      <c r="DG67" s="146" t="str">
        <f>IF(W67&lt;&gt;"AR","",INDEX('Device Refrigerant Leakage'!$F$2:$F$42,MATCH(X67,'Device Refrigerant Leakage'!$B$2:$B$42,0)))</f>
        <v/>
      </c>
      <c r="DH67" s="146" t="str">
        <f>IF(W67&lt;&gt;"AR","",INDEX('Device Refrigerant Leakage'!$G$2:$G$42,MATCH(X67,'Device Refrigerant Leakage'!$B$2:$B$42,0)))</f>
        <v/>
      </c>
      <c r="DI67" s="146" t="str">
        <f>IF(W67&lt;&gt;"AR","",J67*INDEX('Device Refrigerant Leakage'!$D$2:$D$42,MATCH(X67,'Device Refrigerant Leakage'!$B$2:$B$42,0))*DF67/2204.62*DE67)</f>
        <v/>
      </c>
      <c r="DJ67" s="146" t="str">
        <f>IF(W67&lt;&gt;"AR","",J67*(INDEX('Device Refrigerant Leakage'!$D$2:$D$42,MATCH(X67,'Device Refrigerant Leakage'!$B$2:$B$42,0))-(INDEX('Device Refrigerant Leakage'!$D$2:$D$42,MATCH(X67,'Device Refrigerant Leakage'!$B$2:$B$42,0)))*DH67*DF67)*DG67/2204.62*DE67)</f>
        <v/>
      </c>
      <c r="DK67" s="146" t="str">
        <f>IF(W67&lt;&gt;"AR","",DI67*(K67-AB67)+'Fuel Sub Calcs-Deemed'!DJ67*((K67-AB67)/INDEX('Device Refrigerant Leakage'!$C$2:$C$42,MATCH('Fuel Sub Calcs-Deemed'!X67,'Device Refrigerant Leakage'!$B$2:$B$42,0))))</f>
        <v/>
      </c>
      <c r="DM67" s="56">
        <v>53</v>
      </c>
      <c r="DN67" s="67" t="e">
        <f t="shared" si="28"/>
        <v>#N/A</v>
      </c>
      <c r="DO67" s="45" t="e">
        <f t="shared" si="29"/>
        <v>#N/A</v>
      </c>
      <c r="DP67" s="67" t="e">
        <f t="shared" si="30"/>
        <v>#N/A</v>
      </c>
      <c r="DQ67" s="45" t="e">
        <f t="shared" si="31"/>
        <v>#N/A</v>
      </c>
      <c r="DR67" s="69" t="e">
        <f t="shared" si="32"/>
        <v>#N/A</v>
      </c>
      <c r="DS67" s="34"/>
      <c r="DT67" s="67" t="e">
        <f>((BX67*CJ67)+IF($W67=MAT_AR,(BZ67*CL67),0))*(1+Reference!$E$50+Reference!$E$51)</f>
        <v>#N/A</v>
      </c>
      <c r="DU67" s="67">
        <f>((BY67*CK67)+IF($W67=MAT_AR,(CA67*CM67),0))*(1+Reference!$G$50+Reference!$G$51)</f>
        <v>0</v>
      </c>
      <c r="DV67" s="67" t="e">
        <f t="shared" si="33"/>
        <v>#VALUE!</v>
      </c>
      <c r="DX67" s="56">
        <v>53</v>
      </c>
      <c r="DY67" s="67">
        <f t="shared" si="34"/>
        <v>0</v>
      </c>
      <c r="DZ67" s="45" t="e">
        <f>VLOOKUP($R67,Dropdown!$C$3:$D$4,2,FALSE)</f>
        <v>#N/A</v>
      </c>
      <c r="EA67" s="68">
        <f t="shared" si="35"/>
        <v>0</v>
      </c>
      <c r="EB67" s="68" t="str">
        <f t="shared" si="36"/>
        <v>N/A</v>
      </c>
      <c r="EC67" s="68">
        <f t="shared" si="37"/>
        <v>0</v>
      </c>
      <c r="ED67" s="68" t="str">
        <f t="shared" si="118"/>
        <v>N/A</v>
      </c>
      <c r="EF67" s="56">
        <v>53</v>
      </c>
      <c r="EG67" s="46">
        <f t="shared" si="39"/>
        <v>0</v>
      </c>
      <c r="EH67" s="68" t="e">
        <f t="shared" si="40"/>
        <v>#N/A</v>
      </c>
      <c r="EI67" s="68" t="e">
        <f t="shared" si="41"/>
        <v>#N/A</v>
      </c>
      <c r="EJ67" s="68" t="e">
        <f t="shared" si="42"/>
        <v>#N/A</v>
      </c>
      <c r="EK67" s="68" t="e">
        <f t="shared" si="43"/>
        <v>#N/A</v>
      </c>
      <c r="EL67" s="46">
        <f t="shared" si="44"/>
        <v>0</v>
      </c>
      <c r="EM67" s="46">
        <f t="shared" si="45"/>
        <v>0</v>
      </c>
    </row>
    <row r="68" spans="1:143">
      <c r="A68" s="89"/>
      <c r="B68" s="89"/>
      <c r="C68" s="89"/>
      <c r="D68" s="89"/>
      <c r="E68" s="89"/>
      <c r="F68" s="89"/>
      <c r="G68" s="34"/>
      <c r="H68" s="56">
        <f t="shared" si="46"/>
        <v>54</v>
      </c>
      <c r="I68" s="165"/>
      <c r="J68" s="163"/>
      <c r="K68" s="163"/>
      <c r="L68" s="164"/>
      <c r="M68" s="155"/>
      <c r="N68" s="155"/>
      <c r="O68" s="144"/>
      <c r="P68" s="159" t="str">
        <f>IFERROR(IF(O68&lt;&gt;"User Specified",IF(O68&lt;&gt;"", INDEX('Refrigerant GWPs'!$G$2:$G$154,MATCH(O68,'Refrigerant GWPs'!$A$2:$A$154,0)),""),U68),0)</f>
        <v/>
      </c>
      <c r="Q68" s="155"/>
      <c r="R68" s="155"/>
      <c r="S68" s="144"/>
      <c r="T68" s="159" t="str">
        <f>IF(S68&lt;&gt;"User Specified",IF(AND(S68&lt;&gt;"User Specified",S68&lt;&gt;""), INDEX('Refrigerant GWPs'!$G$2:$G$154,MATCH(S68,'Refrigerant GWPs'!$A$2:$A$154,0)),""),V68)</f>
        <v/>
      </c>
      <c r="U68" s="144"/>
      <c r="V68" s="144"/>
      <c r="W68" s="155"/>
      <c r="X68" s="155"/>
      <c r="Y68" s="144"/>
      <c r="Z68" s="159" t="str">
        <f>IF(AND(Y68&lt;&gt;"User Specified",Y68&lt;&gt;""), INDEX('Refrigerant GWPs'!$G$2:$G$154,MATCH(Y68,'Refrigerant GWPs'!$A$2:$A$154,0)),"")</f>
        <v/>
      </c>
      <c r="AA68" s="155"/>
      <c r="AB68" s="156"/>
      <c r="AC68" s="66"/>
      <c r="AD68" s="66"/>
      <c r="AE68" s="66"/>
      <c r="AF68" s="66"/>
      <c r="AG68" s="66"/>
      <c r="AH68" s="66"/>
      <c r="AI68" s="34"/>
      <c r="AJ68" s="88">
        <f t="shared" si="0"/>
        <v>0</v>
      </c>
      <c r="AK68" s="88">
        <f t="shared" si="1"/>
        <v>0</v>
      </c>
      <c r="AL68" s="88">
        <v>0</v>
      </c>
      <c r="AM68" s="88">
        <v>0</v>
      </c>
      <c r="AN68" s="81" t="str">
        <f t="shared" si="47"/>
        <v/>
      </c>
      <c r="AO68" s="88">
        <f t="shared" si="2"/>
        <v>0</v>
      </c>
      <c r="AP68" s="88">
        <f t="shared" si="3"/>
        <v>0</v>
      </c>
      <c r="AQ68" s="81" t="str">
        <f t="shared" si="4"/>
        <v/>
      </c>
      <c r="AS68" s="41" t="b">
        <f t="shared" si="5"/>
        <v>1</v>
      </c>
      <c r="AT68" s="38">
        <f t="shared" si="6"/>
        <v>0</v>
      </c>
      <c r="AU68" s="60">
        <f t="shared" si="7"/>
        <v>0</v>
      </c>
      <c r="AV68" s="41">
        <f t="shared" si="8"/>
        <v>0</v>
      </c>
      <c r="AW68" s="41" t="b">
        <f t="shared" si="9"/>
        <v>0</v>
      </c>
      <c r="AX68" t="str">
        <f t="shared" si="10"/>
        <v>+00</v>
      </c>
      <c r="AY68" t="str">
        <f t="shared" si="11"/>
        <v>+00</v>
      </c>
      <c r="BA68" s="47" t="b">
        <f t="shared" si="83"/>
        <v>1</v>
      </c>
      <c r="BB68" s="42" t="b">
        <f t="shared" si="84"/>
        <v>1</v>
      </c>
      <c r="BC68" s="42" t="b">
        <f t="shared" si="85"/>
        <v>0</v>
      </c>
      <c r="BD68" s="42" t="b">
        <f t="shared" si="86"/>
        <v>0</v>
      </c>
      <c r="BE68" s="70">
        <f t="shared" si="87"/>
        <v>0</v>
      </c>
      <c r="BF68" s="70">
        <f t="shared" si="88"/>
        <v>0</v>
      </c>
      <c r="BG68" s="34"/>
      <c r="BI68" s="47" t="b">
        <f t="shared" si="89"/>
        <v>1</v>
      </c>
      <c r="BJ68" s="47" t="b">
        <f t="shared" si="90"/>
        <v>1</v>
      </c>
      <c r="BK68" s="42" t="b">
        <f t="shared" si="91"/>
        <v>0</v>
      </c>
      <c r="BL68" s="42" t="b">
        <f t="shared" si="92"/>
        <v>0</v>
      </c>
      <c r="BM68" s="42">
        <f t="shared" si="93"/>
        <v>0</v>
      </c>
      <c r="BN68" s="42">
        <f t="shared" si="94"/>
        <v>0</v>
      </c>
      <c r="BP68" t="e">
        <f t="shared" si="95"/>
        <v>#N/A</v>
      </c>
      <c r="BQ68" t="e">
        <f t="shared" si="96"/>
        <v>#N/A</v>
      </c>
      <c r="BR68" t="e">
        <f t="shared" si="97"/>
        <v>#N/A</v>
      </c>
      <c r="BT68" s="60">
        <f t="shared" si="106"/>
        <v>0</v>
      </c>
      <c r="BU68" s="60">
        <f t="shared" si="107"/>
        <v>0</v>
      </c>
      <c r="BV68" s="60">
        <f t="shared" si="108"/>
        <v>0</v>
      </c>
      <c r="BW68" s="60">
        <f t="shared" si="109"/>
        <v>0</v>
      </c>
      <c r="BX68" s="60">
        <f t="shared" si="98"/>
        <v>0</v>
      </c>
      <c r="BY68" s="60">
        <f t="shared" si="99"/>
        <v>0</v>
      </c>
      <c r="BZ68" s="60">
        <f t="shared" si="100"/>
        <v>0</v>
      </c>
      <c r="CA68" s="60">
        <f t="shared" si="101"/>
        <v>0</v>
      </c>
      <c r="CB68" s="60" t="e">
        <f t="shared" si="110"/>
        <v>#N/A</v>
      </c>
      <c r="CC68" s="60">
        <f t="shared" si="111"/>
        <v>100000</v>
      </c>
      <c r="CD68" s="60" t="e">
        <f t="shared" si="112"/>
        <v>#N/A</v>
      </c>
      <c r="CE68" s="60">
        <f t="shared" si="113"/>
        <v>100000</v>
      </c>
      <c r="CF68" s="83" t="e">
        <f t="shared" si="102"/>
        <v>#N/A</v>
      </c>
      <c r="CG68" s="83">
        <f t="shared" si="103"/>
        <v>0</v>
      </c>
      <c r="CH68" s="83" t="e">
        <f t="shared" si="104"/>
        <v>#N/A</v>
      </c>
      <c r="CI68" s="83">
        <f t="shared" si="105"/>
        <v>0</v>
      </c>
      <c r="CJ68" s="86" t="e">
        <f t="shared" si="114"/>
        <v>#N/A</v>
      </c>
      <c r="CK68" s="82">
        <f t="shared" si="115"/>
        <v>5.3070370403969858E-3</v>
      </c>
      <c r="CL68" s="82" t="e">
        <f t="shared" si="116"/>
        <v>#N/A</v>
      </c>
      <c r="CM68" s="82">
        <f t="shared" si="117"/>
        <v>5.3070370403969858E-3</v>
      </c>
      <c r="CO68" s="149" t="str">
        <f>IF($I68&lt;&gt;"",IF(O68="User Specified",U68,INDEX('Refrigerant GWPs'!$G$2:$G$156,MATCH(O68,'Refrigerant GWPs'!$A$2:$A$156,0))),"")</f>
        <v/>
      </c>
      <c r="CP68" s="138" t="str">
        <f>IF($I68&lt;&gt;"",INDEX('Device Refrigerant Leakage'!$E$2:$E$42,MATCH($M68,'Device Refrigerant Leakage'!$B$2:$B$42,0)),"")</f>
        <v/>
      </c>
      <c r="CQ68" s="138" t="str">
        <f>IF($I68&lt;&gt;"",INDEX('Device Refrigerant Leakage'!$F$2:$F$42,MATCH($M68,'Device Refrigerant Leakage'!$B$2:$B$42,0)),"")</f>
        <v/>
      </c>
      <c r="CR68" s="145" t="str">
        <f>IF($I68&lt;&gt;"",INDEX('Device Refrigerant Leakage'!$G$2:$G$42,MATCH($M68,'Device Refrigerant Leakage'!$B$2:$B$42,0)),"")</f>
        <v/>
      </c>
      <c r="CS68" s="145" t="str">
        <f>IF($I68&lt;&gt;"",INDEX('Device Refrigerant Leakage'!$D$2:$D$42,MATCH($M68,'Device Refrigerant Leakage'!$B$2:$B$42,0))*CP68/2204.62*CO68,"")</f>
        <v/>
      </c>
      <c r="CT68" s="145" t="str">
        <f>IF($I68&lt;&gt;"",J68*(INDEX('Device Refrigerant Leakage'!$D$2:$D$42,MATCH($M68,'Device Refrigerant Leakage'!$B$2:$B$42,0))-(INDEX('Device Refrigerant Leakage'!$D$2:$D$42,MATCH($M68,'Device Refrigerant Leakage'!$B$2:$B$42,0)))*CR68*CP68)*CQ68/2204.62*CO68,"")</f>
        <v/>
      </c>
      <c r="CU68" s="135" t="str">
        <f>IF($I68&lt;&gt;"",J68*IF(W68&lt;&gt;"AR",(CS68*K68)+CT68,(CS68*AB68)+CT68*(AB68/INDEX('Device Refrigerant Leakage'!$C$2:$C$42,MATCH($M68,'Device Refrigerant Leakage'!$B$2:$B$42,0)))),"")</f>
        <v/>
      </c>
      <c r="CW68" s="135" t="str">
        <f>IF($I68&lt;&gt;"",IF(S68="User Specified",V68,INDEX('Refrigerant GWPs'!$G$2:$G$156,MATCH(S68,'Refrigerant GWPs'!$A$2:$A$157,0))),"")</f>
        <v/>
      </c>
      <c r="CX68" s="138" t="str">
        <f>IF($I68&lt;&gt;"",INDEX('Device Refrigerant Leakage'!$E$2:$E$42,MATCH($Q68,'Device Refrigerant Leakage'!$B$2:$B$42,0)),"")</f>
        <v/>
      </c>
      <c r="CY68" s="138" t="str">
        <f>IF($I68&lt;&gt;"",INDEX('Device Refrigerant Leakage'!$F$2:$F$42,MATCH($Q68,'Device Refrigerant Leakage'!$B$2:$B$42,0)),"")</f>
        <v/>
      </c>
      <c r="CZ68" s="145" t="str">
        <f>IF($I68&lt;&gt;"",INDEX('Device Refrigerant Leakage'!$G$2:$G$42,MATCH($Q68,'Device Refrigerant Leakage'!$B$2:$B$42,0)),"")</f>
        <v/>
      </c>
      <c r="DA68" s="145" t="str">
        <f>IF($I68&lt;&gt;"",J68*INDEX('Device Refrigerant Leakage'!$D$2:$D$42,MATCH($Q68,'Device Refrigerant Leakage'!$B$2:$B$42,0))*CX68/2204.62*CW68,"")</f>
        <v/>
      </c>
      <c r="DB68" s="145" t="str">
        <f>IF($I68&lt;&gt;"",J68*(INDEX('Device Refrigerant Leakage'!$D$2:$D$42,MATCH($Q68,'Device Refrigerant Leakage'!$B$2:$B$42,0))-(INDEX('Device Refrigerant Leakage'!$D$2:$D$42,MATCH($Q68,'Device Refrigerant Leakage'!$B$2:$B$42,0)))*CZ68*CX68)*CY68/2204.62*CW68,"")</f>
        <v/>
      </c>
      <c r="DC68" s="135" t="str">
        <f t="shared" si="59"/>
        <v/>
      </c>
      <c r="DE68" s="146" t="str">
        <f>IF(W68&lt;&gt;"AR","",IF(Y68="User Specified", AA68, INDEX('Refrigerant GWPs'!$G$2:$G$154,MATCH(Y68,'Refrigerant GWPs'!$A$2:$A$154,0))))</f>
        <v/>
      </c>
      <c r="DF68" s="146" t="str">
        <f>IF(W68&lt;&gt;"AR","",INDEX('Device Refrigerant Leakage'!$E$2:$E$42,MATCH(X68,'Device Refrigerant Leakage'!$B$2:$B$42,0)))</f>
        <v/>
      </c>
      <c r="DG68" s="146" t="str">
        <f>IF(W68&lt;&gt;"AR","",INDEX('Device Refrigerant Leakage'!$F$2:$F$42,MATCH(X68,'Device Refrigerant Leakage'!$B$2:$B$42,0)))</f>
        <v/>
      </c>
      <c r="DH68" s="146" t="str">
        <f>IF(W68&lt;&gt;"AR","",INDEX('Device Refrigerant Leakage'!$G$2:$G$42,MATCH(X68,'Device Refrigerant Leakage'!$B$2:$B$42,0)))</f>
        <v/>
      </c>
      <c r="DI68" s="146" t="str">
        <f>IF(W68&lt;&gt;"AR","",J68*INDEX('Device Refrigerant Leakage'!$D$2:$D$42,MATCH(X68,'Device Refrigerant Leakage'!$B$2:$B$42,0))*DF68/2204.62*DE68)</f>
        <v/>
      </c>
      <c r="DJ68" s="146" t="str">
        <f>IF(W68&lt;&gt;"AR","",J68*(INDEX('Device Refrigerant Leakage'!$D$2:$D$42,MATCH(X68,'Device Refrigerant Leakage'!$B$2:$B$42,0))-(INDEX('Device Refrigerant Leakage'!$D$2:$D$42,MATCH(X68,'Device Refrigerant Leakage'!$B$2:$B$42,0)))*DH68*DF68)*DG68/2204.62*DE68)</f>
        <v/>
      </c>
      <c r="DK68" s="146" t="str">
        <f>IF(W68&lt;&gt;"AR","",DI68*(K68-AB68)+'Fuel Sub Calcs-Deemed'!DJ68*((K68-AB68)/INDEX('Device Refrigerant Leakage'!$C$2:$C$42,MATCH('Fuel Sub Calcs-Deemed'!X68,'Device Refrigerant Leakage'!$B$2:$B$42,0))))</f>
        <v/>
      </c>
      <c r="DM68" s="56">
        <v>54</v>
      </c>
      <c r="DN68" s="67" t="e">
        <f t="shared" si="28"/>
        <v>#N/A</v>
      </c>
      <c r="DO68" s="45" t="e">
        <f t="shared" si="29"/>
        <v>#N/A</v>
      </c>
      <c r="DP68" s="67" t="e">
        <f t="shared" si="30"/>
        <v>#N/A</v>
      </c>
      <c r="DQ68" s="45" t="e">
        <f t="shared" si="31"/>
        <v>#N/A</v>
      </c>
      <c r="DR68" s="69" t="e">
        <f t="shared" si="32"/>
        <v>#N/A</v>
      </c>
      <c r="DS68" s="34"/>
      <c r="DT68" s="67" t="e">
        <f>((BX68*CJ68)+IF($W68=MAT_AR,(BZ68*CL68),0))*(1+Reference!$E$50+Reference!$E$51)</f>
        <v>#N/A</v>
      </c>
      <c r="DU68" s="67">
        <f>((BY68*CK68)+IF($W68=MAT_AR,(CA68*CM68),0))*(1+Reference!$G$50+Reference!$G$51)</f>
        <v>0</v>
      </c>
      <c r="DV68" s="67" t="e">
        <f t="shared" si="33"/>
        <v>#VALUE!</v>
      </c>
      <c r="DX68" s="56">
        <v>54</v>
      </c>
      <c r="DY68" s="67">
        <f t="shared" si="34"/>
        <v>0</v>
      </c>
      <c r="DZ68" s="45" t="e">
        <f>VLOOKUP($R68,Dropdown!$C$3:$D$4,2,FALSE)</f>
        <v>#N/A</v>
      </c>
      <c r="EA68" s="68">
        <f t="shared" si="35"/>
        <v>0</v>
      </c>
      <c r="EB68" s="68" t="str">
        <f t="shared" si="36"/>
        <v>N/A</v>
      </c>
      <c r="EC68" s="68">
        <f t="shared" si="37"/>
        <v>0</v>
      </c>
      <c r="ED68" s="68" t="str">
        <f t="shared" si="118"/>
        <v>N/A</v>
      </c>
      <c r="EF68" s="56">
        <v>54</v>
      </c>
      <c r="EG68" s="46">
        <f t="shared" si="39"/>
        <v>0</v>
      </c>
      <c r="EH68" s="68" t="e">
        <f t="shared" si="40"/>
        <v>#N/A</v>
      </c>
      <c r="EI68" s="68" t="e">
        <f t="shared" si="41"/>
        <v>#N/A</v>
      </c>
      <c r="EJ68" s="68" t="e">
        <f t="shared" si="42"/>
        <v>#N/A</v>
      </c>
      <c r="EK68" s="68" t="e">
        <f t="shared" si="43"/>
        <v>#N/A</v>
      </c>
      <c r="EL68" s="46">
        <f t="shared" si="44"/>
        <v>0</v>
      </c>
      <c r="EM68" s="46">
        <f t="shared" si="45"/>
        <v>0</v>
      </c>
    </row>
    <row r="69" spans="1:143">
      <c r="A69" s="89"/>
      <c r="B69" s="89"/>
      <c r="C69" s="89"/>
      <c r="D69" s="89"/>
      <c r="E69" s="89"/>
      <c r="F69" s="89"/>
      <c r="G69" s="34"/>
      <c r="H69" s="56">
        <f t="shared" si="46"/>
        <v>55</v>
      </c>
      <c r="I69" s="165"/>
      <c r="J69" s="163"/>
      <c r="K69" s="163"/>
      <c r="L69" s="164"/>
      <c r="M69" s="155"/>
      <c r="N69" s="155"/>
      <c r="O69" s="144"/>
      <c r="P69" s="159" t="str">
        <f>IFERROR(IF(O69&lt;&gt;"User Specified",IF(O69&lt;&gt;"", INDEX('Refrigerant GWPs'!$G$2:$G$154,MATCH(O69,'Refrigerant GWPs'!$A$2:$A$154,0)),""),U69),0)</f>
        <v/>
      </c>
      <c r="Q69" s="155"/>
      <c r="R69" s="155"/>
      <c r="S69" s="144"/>
      <c r="T69" s="159" t="str">
        <f>IF(S69&lt;&gt;"User Specified",IF(AND(S69&lt;&gt;"User Specified",S69&lt;&gt;""), INDEX('Refrigerant GWPs'!$G$2:$G$154,MATCH(S69,'Refrigerant GWPs'!$A$2:$A$154,0)),""),V69)</f>
        <v/>
      </c>
      <c r="U69" s="144"/>
      <c r="V69" s="144"/>
      <c r="W69" s="155"/>
      <c r="X69" s="155"/>
      <c r="Y69" s="144"/>
      <c r="Z69" s="159" t="str">
        <f>IF(AND(Y69&lt;&gt;"User Specified",Y69&lt;&gt;""), INDEX('Refrigerant GWPs'!$G$2:$G$154,MATCH(Y69,'Refrigerant GWPs'!$A$2:$A$154,0)),"")</f>
        <v/>
      </c>
      <c r="AA69" s="155"/>
      <c r="AB69" s="156"/>
      <c r="AC69" s="66"/>
      <c r="AD69" s="66"/>
      <c r="AE69" s="66"/>
      <c r="AF69" s="66"/>
      <c r="AG69" s="66"/>
      <c r="AH69" s="66"/>
      <c r="AI69" s="34"/>
      <c r="AJ69" s="88">
        <f t="shared" si="0"/>
        <v>0</v>
      </c>
      <c r="AK69" s="88">
        <f t="shared" si="1"/>
        <v>0</v>
      </c>
      <c r="AL69" s="88">
        <v>0</v>
      </c>
      <c r="AM69" s="88">
        <v>0</v>
      </c>
      <c r="AN69" s="81" t="str">
        <f t="shared" si="47"/>
        <v/>
      </c>
      <c r="AO69" s="88">
        <f t="shared" si="2"/>
        <v>0</v>
      </c>
      <c r="AP69" s="88">
        <f t="shared" si="3"/>
        <v>0</v>
      </c>
      <c r="AQ69" s="81" t="str">
        <f t="shared" si="4"/>
        <v/>
      </c>
      <c r="AS69" s="41" t="b">
        <f t="shared" si="5"/>
        <v>1</v>
      </c>
      <c r="AT69" s="38">
        <f t="shared" si="6"/>
        <v>0</v>
      </c>
      <c r="AU69" s="60">
        <f t="shared" si="7"/>
        <v>0</v>
      </c>
      <c r="AV69" s="41">
        <f t="shared" si="8"/>
        <v>0</v>
      </c>
      <c r="AW69" s="41" t="b">
        <f t="shared" si="9"/>
        <v>0</v>
      </c>
      <c r="AX69" t="str">
        <f t="shared" si="10"/>
        <v>+00</v>
      </c>
      <c r="AY69" t="str">
        <f t="shared" si="11"/>
        <v>+00</v>
      </c>
      <c r="BA69" s="47" t="b">
        <f t="shared" si="83"/>
        <v>1</v>
      </c>
      <c r="BB69" s="42" t="b">
        <f t="shared" si="84"/>
        <v>1</v>
      </c>
      <c r="BC69" s="42" t="b">
        <f t="shared" si="85"/>
        <v>0</v>
      </c>
      <c r="BD69" s="42" t="b">
        <f t="shared" si="86"/>
        <v>0</v>
      </c>
      <c r="BE69" s="70">
        <f t="shared" si="87"/>
        <v>0</v>
      </c>
      <c r="BF69" s="70">
        <f t="shared" si="88"/>
        <v>0</v>
      </c>
      <c r="BG69" s="34"/>
      <c r="BI69" s="47" t="b">
        <f t="shared" si="89"/>
        <v>1</v>
      </c>
      <c r="BJ69" s="47" t="b">
        <f t="shared" si="90"/>
        <v>1</v>
      </c>
      <c r="BK69" s="42" t="b">
        <f t="shared" si="91"/>
        <v>0</v>
      </c>
      <c r="BL69" s="42" t="b">
        <f t="shared" si="92"/>
        <v>0</v>
      </c>
      <c r="BM69" s="42">
        <f t="shared" si="93"/>
        <v>0</v>
      </c>
      <c r="BN69" s="42">
        <f t="shared" si="94"/>
        <v>0</v>
      </c>
      <c r="BP69" t="e">
        <f t="shared" si="95"/>
        <v>#N/A</v>
      </c>
      <c r="BQ69" t="e">
        <f t="shared" si="96"/>
        <v>#N/A</v>
      </c>
      <c r="BR69" t="e">
        <f t="shared" si="97"/>
        <v>#N/A</v>
      </c>
      <c r="BT69" s="60">
        <f t="shared" si="106"/>
        <v>0</v>
      </c>
      <c r="BU69" s="60">
        <f t="shared" si="107"/>
        <v>0</v>
      </c>
      <c r="BV69" s="60">
        <f t="shared" si="108"/>
        <v>0</v>
      </c>
      <c r="BW69" s="60">
        <f t="shared" si="109"/>
        <v>0</v>
      </c>
      <c r="BX69" s="60">
        <f t="shared" si="98"/>
        <v>0</v>
      </c>
      <c r="BY69" s="60">
        <f t="shared" si="99"/>
        <v>0</v>
      </c>
      <c r="BZ69" s="60">
        <f t="shared" si="100"/>
        <v>0</v>
      </c>
      <c r="CA69" s="60">
        <f t="shared" si="101"/>
        <v>0</v>
      </c>
      <c r="CB69" s="60" t="e">
        <f t="shared" si="110"/>
        <v>#N/A</v>
      </c>
      <c r="CC69" s="60">
        <f t="shared" si="111"/>
        <v>100000</v>
      </c>
      <c r="CD69" s="60" t="e">
        <f t="shared" si="112"/>
        <v>#N/A</v>
      </c>
      <c r="CE69" s="60">
        <f t="shared" si="113"/>
        <v>100000</v>
      </c>
      <c r="CF69" s="83" t="e">
        <f t="shared" si="102"/>
        <v>#N/A</v>
      </c>
      <c r="CG69" s="83">
        <f t="shared" si="103"/>
        <v>0</v>
      </c>
      <c r="CH69" s="83" t="e">
        <f t="shared" si="104"/>
        <v>#N/A</v>
      </c>
      <c r="CI69" s="83">
        <f t="shared" si="105"/>
        <v>0</v>
      </c>
      <c r="CJ69" s="86" t="e">
        <f t="shared" si="114"/>
        <v>#N/A</v>
      </c>
      <c r="CK69" s="82">
        <f t="shared" si="115"/>
        <v>5.3070370403969858E-3</v>
      </c>
      <c r="CL69" s="82" t="e">
        <f t="shared" si="116"/>
        <v>#N/A</v>
      </c>
      <c r="CM69" s="82">
        <f t="shared" si="117"/>
        <v>5.3070370403969858E-3</v>
      </c>
      <c r="CO69" s="149" t="str">
        <f>IF($I69&lt;&gt;"",IF(O69="User Specified",U69,INDEX('Refrigerant GWPs'!$G$2:$G$156,MATCH(O69,'Refrigerant GWPs'!$A$2:$A$156,0))),"")</f>
        <v/>
      </c>
      <c r="CP69" s="138" t="str">
        <f>IF($I69&lt;&gt;"",INDEX('Device Refrigerant Leakage'!$E$2:$E$42,MATCH($M69,'Device Refrigerant Leakage'!$B$2:$B$42,0)),"")</f>
        <v/>
      </c>
      <c r="CQ69" s="138" t="str">
        <f>IF($I69&lt;&gt;"",INDEX('Device Refrigerant Leakage'!$F$2:$F$42,MATCH($M69,'Device Refrigerant Leakage'!$B$2:$B$42,0)),"")</f>
        <v/>
      </c>
      <c r="CR69" s="145" t="str">
        <f>IF($I69&lt;&gt;"",INDEX('Device Refrigerant Leakage'!$G$2:$G$42,MATCH($M69,'Device Refrigerant Leakage'!$B$2:$B$42,0)),"")</f>
        <v/>
      </c>
      <c r="CS69" s="145" t="str">
        <f>IF($I69&lt;&gt;"",INDEX('Device Refrigerant Leakage'!$D$2:$D$42,MATCH($M69,'Device Refrigerant Leakage'!$B$2:$B$42,0))*CP69/2204.62*CO69,"")</f>
        <v/>
      </c>
      <c r="CT69" s="145" t="str">
        <f>IF($I69&lt;&gt;"",J69*(INDEX('Device Refrigerant Leakage'!$D$2:$D$42,MATCH($M69,'Device Refrigerant Leakage'!$B$2:$B$42,0))-(INDEX('Device Refrigerant Leakage'!$D$2:$D$42,MATCH($M69,'Device Refrigerant Leakage'!$B$2:$B$42,0)))*CR69*CP69)*CQ69/2204.62*CO69,"")</f>
        <v/>
      </c>
      <c r="CU69" s="135" t="str">
        <f>IF($I69&lt;&gt;"",J69*IF(W69&lt;&gt;"AR",(CS69*K69)+CT69,(CS69*AB69)+CT69*(AB69/INDEX('Device Refrigerant Leakage'!$C$2:$C$42,MATCH($M69,'Device Refrigerant Leakage'!$B$2:$B$42,0)))),"")</f>
        <v/>
      </c>
      <c r="CW69" s="135" t="str">
        <f>IF($I69&lt;&gt;"",IF(S69="User Specified",V69,INDEX('Refrigerant GWPs'!$G$2:$G$156,MATCH(S69,'Refrigerant GWPs'!$A$2:$A$157,0))),"")</f>
        <v/>
      </c>
      <c r="CX69" s="138" t="str">
        <f>IF($I69&lt;&gt;"",INDEX('Device Refrigerant Leakage'!$E$2:$E$42,MATCH($Q69,'Device Refrigerant Leakage'!$B$2:$B$42,0)),"")</f>
        <v/>
      </c>
      <c r="CY69" s="138" t="str">
        <f>IF($I69&lt;&gt;"",INDEX('Device Refrigerant Leakage'!$F$2:$F$42,MATCH($Q69,'Device Refrigerant Leakage'!$B$2:$B$42,0)),"")</f>
        <v/>
      </c>
      <c r="CZ69" s="145" t="str">
        <f>IF($I69&lt;&gt;"",INDEX('Device Refrigerant Leakage'!$G$2:$G$42,MATCH($Q69,'Device Refrigerant Leakage'!$B$2:$B$42,0)),"")</f>
        <v/>
      </c>
      <c r="DA69" s="145" t="str">
        <f>IF($I69&lt;&gt;"",J69*INDEX('Device Refrigerant Leakage'!$D$2:$D$42,MATCH($Q69,'Device Refrigerant Leakage'!$B$2:$B$42,0))*CX69/2204.62*CW69,"")</f>
        <v/>
      </c>
      <c r="DB69" s="145" t="str">
        <f>IF($I69&lt;&gt;"",J69*(INDEX('Device Refrigerant Leakage'!$D$2:$D$42,MATCH($Q69,'Device Refrigerant Leakage'!$B$2:$B$42,0))-(INDEX('Device Refrigerant Leakage'!$D$2:$D$42,MATCH($Q69,'Device Refrigerant Leakage'!$B$2:$B$42,0)))*CZ69*CX69)*CY69/2204.62*CW69,"")</f>
        <v/>
      </c>
      <c r="DC69" s="135" t="str">
        <f t="shared" si="59"/>
        <v/>
      </c>
      <c r="DE69" s="146" t="str">
        <f>IF(W69&lt;&gt;"AR","",IF(Y69="User Specified", AA69, INDEX('Refrigerant GWPs'!$G$2:$G$154,MATCH(Y69,'Refrigerant GWPs'!$A$2:$A$154,0))))</f>
        <v/>
      </c>
      <c r="DF69" s="146" t="str">
        <f>IF(W69&lt;&gt;"AR","",INDEX('Device Refrigerant Leakage'!$E$2:$E$42,MATCH(X69,'Device Refrigerant Leakage'!$B$2:$B$42,0)))</f>
        <v/>
      </c>
      <c r="DG69" s="146" t="str">
        <f>IF(W69&lt;&gt;"AR","",INDEX('Device Refrigerant Leakage'!$F$2:$F$42,MATCH(X69,'Device Refrigerant Leakage'!$B$2:$B$42,0)))</f>
        <v/>
      </c>
      <c r="DH69" s="146" t="str">
        <f>IF(W69&lt;&gt;"AR","",INDEX('Device Refrigerant Leakage'!$G$2:$G$42,MATCH(X69,'Device Refrigerant Leakage'!$B$2:$B$42,0)))</f>
        <v/>
      </c>
      <c r="DI69" s="146" t="str">
        <f>IF(W69&lt;&gt;"AR","",J69*INDEX('Device Refrigerant Leakage'!$D$2:$D$42,MATCH(X69,'Device Refrigerant Leakage'!$B$2:$B$42,0))*DF69/2204.62*DE69)</f>
        <v/>
      </c>
      <c r="DJ69" s="146" t="str">
        <f>IF(W69&lt;&gt;"AR","",J69*(INDEX('Device Refrigerant Leakage'!$D$2:$D$42,MATCH(X69,'Device Refrigerant Leakage'!$B$2:$B$42,0))-(INDEX('Device Refrigerant Leakage'!$D$2:$D$42,MATCH(X69,'Device Refrigerant Leakage'!$B$2:$B$42,0)))*DH69*DF69)*DG69/2204.62*DE69)</f>
        <v/>
      </c>
      <c r="DK69" s="146" t="str">
        <f>IF(W69&lt;&gt;"AR","",DI69*(K69-AB69)+'Fuel Sub Calcs-Deemed'!DJ69*((K69-AB69)/INDEX('Device Refrigerant Leakage'!$C$2:$C$42,MATCH('Fuel Sub Calcs-Deemed'!X69,'Device Refrigerant Leakage'!$B$2:$B$42,0))))</f>
        <v/>
      </c>
      <c r="DM69" s="56">
        <v>55</v>
      </c>
      <c r="DN69" s="67" t="e">
        <f t="shared" si="28"/>
        <v>#N/A</v>
      </c>
      <c r="DO69" s="45" t="e">
        <f t="shared" si="29"/>
        <v>#N/A</v>
      </c>
      <c r="DP69" s="67" t="e">
        <f t="shared" si="30"/>
        <v>#N/A</v>
      </c>
      <c r="DQ69" s="45" t="e">
        <f t="shared" si="31"/>
        <v>#N/A</v>
      </c>
      <c r="DR69" s="69" t="e">
        <f t="shared" si="32"/>
        <v>#N/A</v>
      </c>
      <c r="DS69" s="34"/>
      <c r="DT69" s="67" t="e">
        <f>((BX69*CJ69)+IF($W69=MAT_AR,(BZ69*CL69),0))*(1+Reference!$E$50+Reference!$E$51)</f>
        <v>#N/A</v>
      </c>
      <c r="DU69" s="67">
        <f>((BY69*CK69)+IF($W69=MAT_AR,(CA69*CM69),0))*(1+Reference!$G$50+Reference!$G$51)</f>
        <v>0</v>
      </c>
      <c r="DV69" s="67" t="e">
        <f t="shared" si="33"/>
        <v>#VALUE!</v>
      </c>
      <c r="DX69" s="56">
        <v>55</v>
      </c>
      <c r="DY69" s="67">
        <f t="shared" si="34"/>
        <v>0</v>
      </c>
      <c r="DZ69" s="45" t="e">
        <f>VLOOKUP($R69,Dropdown!$C$3:$D$4,2,FALSE)</f>
        <v>#N/A</v>
      </c>
      <c r="EA69" s="68">
        <f t="shared" si="35"/>
        <v>0</v>
      </c>
      <c r="EB69" s="68" t="str">
        <f t="shared" si="36"/>
        <v>N/A</v>
      </c>
      <c r="EC69" s="68">
        <f t="shared" si="37"/>
        <v>0</v>
      </c>
      <c r="ED69" s="68" t="str">
        <f t="shared" si="118"/>
        <v>N/A</v>
      </c>
      <c r="EF69" s="56">
        <v>55</v>
      </c>
      <c r="EG69" s="46">
        <f t="shared" si="39"/>
        <v>0</v>
      </c>
      <c r="EH69" s="68" t="e">
        <f t="shared" si="40"/>
        <v>#N/A</v>
      </c>
      <c r="EI69" s="68" t="e">
        <f t="shared" si="41"/>
        <v>#N/A</v>
      </c>
      <c r="EJ69" s="68" t="e">
        <f t="shared" si="42"/>
        <v>#N/A</v>
      </c>
      <c r="EK69" s="68" t="e">
        <f t="shared" si="43"/>
        <v>#N/A</v>
      </c>
      <c r="EL69" s="46">
        <f t="shared" si="44"/>
        <v>0</v>
      </c>
      <c r="EM69" s="46">
        <f t="shared" si="45"/>
        <v>0</v>
      </c>
    </row>
    <row r="70" spans="1:143">
      <c r="A70" s="89"/>
      <c r="B70" s="89"/>
      <c r="C70" s="89"/>
      <c r="D70" s="89"/>
      <c r="E70" s="89"/>
      <c r="F70" s="89"/>
      <c r="G70" s="34"/>
      <c r="H70" s="56">
        <f t="shared" si="46"/>
        <v>56</v>
      </c>
      <c r="I70" s="165"/>
      <c r="J70" s="163"/>
      <c r="K70" s="163"/>
      <c r="L70" s="164"/>
      <c r="M70" s="155"/>
      <c r="N70" s="155"/>
      <c r="O70" s="144"/>
      <c r="P70" s="159" t="str">
        <f>IFERROR(IF(O70&lt;&gt;"User Specified",IF(O70&lt;&gt;"", INDEX('Refrigerant GWPs'!$G$2:$G$154,MATCH(O70,'Refrigerant GWPs'!$A$2:$A$154,0)),""),U70),0)</f>
        <v/>
      </c>
      <c r="Q70" s="155"/>
      <c r="R70" s="155"/>
      <c r="S70" s="144"/>
      <c r="T70" s="159" t="str">
        <f>IF(S70&lt;&gt;"User Specified",IF(AND(S70&lt;&gt;"User Specified",S70&lt;&gt;""), INDEX('Refrigerant GWPs'!$G$2:$G$154,MATCH(S70,'Refrigerant GWPs'!$A$2:$A$154,0)),""),V70)</f>
        <v/>
      </c>
      <c r="U70" s="144"/>
      <c r="V70" s="144"/>
      <c r="W70" s="155"/>
      <c r="X70" s="155"/>
      <c r="Y70" s="144"/>
      <c r="Z70" s="159" t="str">
        <f>IF(AND(Y70&lt;&gt;"User Specified",Y70&lt;&gt;""), INDEX('Refrigerant GWPs'!$G$2:$G$154,MATCH(Y70,'Refrigerant GWPs'!$A$2:$A$154,0)),"")</f>
        <v/>
      </c>
      <c r="AA70" s="155"/>
      <c r="AB70" s="156"/>
      <c r="AC70" s="66"/>
      <c r="AD70" s="66"/>
      <c r="AE70" s="66"/>
      <c r="AF70" s="66"/>
      <c r="AG70" s="66"/>
      <c r="AH70" s="66"/>
      <c r="AI70" s="34"/>
      <c r="AJ70" s="88">
        <f t="shared" si="0"/>
        <v>0</v>
      </c>
      <c r="AK70" s="88">
        <f t="shared" si="1"/>
        <v>0</v>
      </c>
      <c r="AL70" s="88">
        <v>0</v>
      </c>
      <c r="AM70" s="88">
        <v>0</v>
      </c>
      <c r="AN70" s="81" t="str">
        <f t="shared" si="47"/>
        <v/>
      </c>
      <c r="AO70" s="88">
        <f t="shared" si="2"/>
        <v>0</v>
      </c>
      <c r="AP70" s="88">
        <f t="shared" si="3"/>
        <v>0</v>
      </c>
      <c r="AQ70" s="81" t="str">
        <f t="shared" si="4"/>
        <v/>
      </c>
      <c r="AS70" s="41" t="b">
        <f t="shared" si="5"/>
        <v>1</v>
      </c>
      <c r="AT70" s="38">
        <f t="shared" si="6"/>
        <v>0</v>
      </c>
      <c r="AU70" s="60">
        <f t="shared" si="7"/>
        <v>0</v>
      </c>
      <c r="AV70" s="41">
        <f t="shared" si="8"/>
        <v>0</v>
      </c>
      <c r="AW70" s="41" t="b">
        <f t="shared" si="9"/>
        <v>0</v>
      </c>
      <c r="AX70" t="str">
        <f t="shared" si="10"/>
        <v>+00</v>
      </c>
      <c r="AY70" t="str">
        <f t="shared" si="11"/>
        <v>+00</v>
      </c>
      <c r="BA70" s="47" t="b">
        <f t="shared" si="83"/>
        <v>1</v>
      </c>
      <c r="BB70" s="42" t="b">
        <f t="shared" si="84"/>
        <v>1</v>
      </c>
      <c r="BC70" s="42" t="b">
        <f t="shared" si="85"/>
        <v>0</v>
      </c>
      <c r="BD70" s="42" t="b">
        <f t="shared" si="86"/>
        <v>0</v>
      </c>
      <c r="BE70" s="70">
        <f t="shared" si="87"/>
        <v>0</v>
      </c>
      <c r="BF70" s="70">
        <f t="shared" si="88"/>
        <v>0</v>
      </c>
      <c r="BG70" s="34"/>
      <c r="BI70" s="47" t="b">
        <f t="shared" si="89"/>
        <v>1</v>
      </c>
      <c r="BJ70" s="47" t="b">
        <f t="shared" si="90"/>
        <v>1</v>
      </c>
      <c r="BK70" s="42" t="b">
        <f t="shared" si="91"/>
        <v>0</v>
      </c>
      <c r="BL70" s="42" t="b">
        <f t="shared" si="92"/>
        <v>0</v>
      </c>
      <c r="BM70" s="42">
        <f t="shared" si="93"/>
        <v>0</v>
      </c>
      <c r="BN70" s="42">
        <f t="shared" si="94"/>
        <v>0</v>
      </c>
      <c r="BP70" t="e">
        <f t="shared" si="95"/>
        <v>#N/A</v>
      </c>
      <c r="BQ70" t="e">
        <f t="shared" si="96"/>
        <v>#N/A</v>
      </c>
      <c r="BR70" t="e">
        <f t="shared" si="97"/>
        <v>#N/A</v>
      </c>
      <c r="BT70" s="60">
        <f t="shared" si="106"/>
        <v>0</v>
      </c>
      <c r="BU70" s="60">
        <f t="shared" si="107"/>
        <v>0</v>
      </c>
      <c r="BV70" s="60">
        <f t="shared" si="108"/>
        <v>0</v>
      </c>
      <c r="BW70" s="60">
        <f t="shared" si="109"/>
        <v>0</v>
      </c>
      <c r="BX70" s="60">
        <f t="shared" si="98"/>
        <v>0</v>
      </c>
      <c r="BY70" s="60">
        <f t="shared" si="99"/>
        <v>0</v>
      </c>
      <c r="BZ70" s="60">
        <f t="shared" si="100"/>
        <v>0</v>
      </c>
      <c r="CA70" s="60">
        <f t="shared" si="101"/>
        <v>0</v>
      </c>
      <c r="CB70" s="60" t="e">
        <f t="shared" si="110"/>
        <v>#N/A</v>
      </c>
      <c r="CC70" s="60">
        <f t="shared" si="111"/>
        <v>100000</v>
      </c>
      <c r="CD70" s="60" t="e">
        <f t="shared" si="112"/>
        <v>#N/A</v>
      </c>
      <c r="CE70" s="60">
        <f t="shared" si="113"/>
        <v>100000</v>
      </c>
      <c r="CF70" s="83" t="e">
        <f t="shared" si="102"/>
        <v>#N/A</v>
      </c>
      <c r="CG70" s="83">
        <f t="shared" si="103"/>
        <v>0</v>
      </c>
      <c r="CH70" s="83" t="e">
        <f t="shared" si="104"/>
        <v>#N/A</v>
      </c>
      <c r="CI70" s="83">
        <f t="shared" si="105"/>
        <v>0</v>
      </c>
      <c r="CJ70" s="86" t="e">
        <f t="shared" si="114"/>
        <v>#N/A</v>
      </c>
      <c r="CK70" s="82">
        <f t="shared" si="115"/>
        <v>5.3070370403969858E-3</v>
      </c>
      <c r="CL70" s="82" t="e">
        <f t="shared" si="116"/>
        <v>#N/A</v>
      </c>
      <c r="CM70" s="82">
        <f t="shared" si="117"/>
        <v>5.3070370403969858E-3</v>
      </c>
      <c r="CO70" s="149" t="str">
        <f>IF($I70&lt;&gt;"",IF(O70="User Specified",U70,INDEX('Refrigerant GWPs'!$G$2:$G$156,MATCH(O70,'Refrigerant GWPs'!$A$2:$A$156,0))),"")</f>
        <v/>
      </c>
      <c r="CP70" s="138" t="str">
        <f>IF($I70&lt;&gt;"",INDEX('Device Refrigerant Leakage'!$E$2:$E$42,MATCH($M70,'Device Refrigerant Leakage'!$B$2:$B$42,0)),"")</f>
        <v/>
      </c>
      <c r="CQ70" s="138" t="str">
        <f>IF($I70&lt;&gt;"",INDEX('Device Refrigerant Leakage'!$F$2:$F$42,MATCH($M70,'Device Refrigerant Leakage'!$B$2:$B$42,0)),"")</f>
        <v/>
      </c>
      <c r="CR70" s="145" t="str">
        <f>IF($I70&lt;&gt;"",INDEX('Device Refrigerant Leakage'!$G$2:$G$42,MATCH($M70,'Device Refrigerant Leakage'!$B$2:$B$42,0)),"")</f>
        <v/>
      </c>
      <c r="CS70" s="145" t="str">
        <f>IF($I70&lt;&gt;"",INDEX('Device Refrigerant Leakage'!$D$2:$D$42,MATCH($M70,'Device Refrigerant Leakage'!$B$2:$B$42,0))*CP70/2204.62*CO70,"")</f>
        <v/>
      </c>
      <c r="CT70" s="145" t="str">
        <f>IF($I70&lt;&gt;"",J70*(INDEX('Device Refrigerant Leakage'!$D$2:$D$42,MATCH($M70,'Device Refrigerant Leakage'!$B$2:$B$42,0))-(INDEX('Device Refrigerant Leakage'!$D$2:$D$42,MATCH($M70,'Device Refrigerant Leakage'!$B$2:$B$42,0)))*CR70*CP70)*CQ70/2204.62*CO70,"")</f>
        <v/>
      </c>
      <c r="CU70" s="135" t="str">
        <f>IF($I70&lt;&gt;"",J70*IF(W70&lt;&gt;"AR",(CS70*K70)+CT70,(CS70*AB70)+CT70*(AB70/INDEX('Device Refrigerant Leakage'!$C$2:$C$42,MATCH($M70,'Device Refrigerant Leakage'!$B$2:$B$42,0)))),"")</f>
        <v/>
      </c>
      <c r="CW70" s="135" t="str">
        <f>IF($I70&lt;&gt;"",IF(S70="User Specified",V70,INDEX('Refrigerant GWPs'!$G$2:$G$156,MATCH(S70,'Refrigerant GWPs'!$A$2:$A$157,0))),"")</f>
        <v/>
      </c>
      <c r="CX70" s="138" t="str">
        <f>IF($I70&lt;&gt;"",INDEX('Device Refrigerant Leakage'!$E$2:$E$42,MATCH($Q70,'Device Refrigerant Leakage'!$B$2:$B$42,0)),"")</f>
        <v/>
      </c>
      <c r="CY70" s="138" t="str">
        <f>IF($I70&lt;&gt;"",INDEX('Device Refrigerant Leakage'!$F$2:$F$42,MATCH($Q70,'Device Refrigerant Leakage'!$B$2:$B$42,0)),"")</f>
        <v/>
      </c>
      <c r="CZ70" s="145" t="str">
        <f>IF($I70&lt;&gt;"",INDEX('Device Refrigerant Leakage'!$G$2:$G$42,MATCH($Q70,'Device Refrigerant Leakage'!$B$2:$B$42,0)),"")</f>
        <v/>
      </c>
      <c r="DA70" s="145" t="str">
        <f>IF($I70&lt;&gt;"",J70*INDEX('Device Refrigerant Leakage'!$D$2:$D$42,MATCH($Q70,'Device Refrigerant Leakage'!$B$2:$B$42,0))*CX70/2204.62*CW70,"")</f>
        <v/>
      </c>
      <c r="DB70" s="145" t="str">
        <f>IF($I70&lt;&gt;"",J70*(INDEX('Device Refrigerant Leakage'!$D$2:$D$42,MATCH($Q70,'Device Refrigerant Leakage'!$B$2:$B$42,0))-(INDEX('Device Refrigerant Leakage'!$D$2:$D$42,MATCH($Q70,'Device Refrigerant Leakage'!$B$2:$B$42,0)))*CZ70*CX70)*CY70/2204.62*CW70,"")</f>
        <v/>
      </c>
      <c r="DC70" s="135" t="str">
        <f t="shared" si="59"/>
        <v/>
      </c>
      <c r="DE70" s="146" t="str">
        <f>IF(W70&lt;&gt;"AR","",IF(Y70="User Specified", AA70, INDEX('Refrigerant GWPs'!$G$2:$G$154,MATCH(Y70,'Refrigerant GWPs'!$A$2:$A$154,0))))</f>
        <v/>
      </c>
      <c r="DF70" s="146" t="str">
        <f>IF(W70&lt;&gt;"AR","",INDEX('Device Refrigerant Leakage'!$E$2:$E$42,MATCH(X70,'Device Refrigerant Leakage'!$B$2:$B$42,0)))</f>
        <v/>
      </c>
      <c r="DG70" s="146" t="str">
        <f>IF(W70&lt;&gt;"AR","",INDEX('Device Refrigerant Leakage'!$F$2:$F$42,MATCH(X70,'Device Refrigerant Leakage'!$B$2:$B$42,0)))</f>
        <v/>
      </c>
      <c r="DH70" s="146" t="str">
        <f>IF(W70&lt;&gt;"AR","",INDEX('Device Refrigerant Leakage'!$G$2:$G$42,MATCH(X70,'Device Refrigerant Leakage'!$B$2:$B$42,0)))</f>
        <v/>
      </c>
      <c r="DI70" s="146" t="str">
        <f>IF(W70&lt;&gt;"AR","",J70*INDEX('Device Refrigerant Leakage'!$D$2:$D$42,MATCH(X70,'Device Refrigerant Leakage'!$B$2:$B$42,0))*DF70/2204.62*DE70)</f>
        <v/>
      </c>
      <c r="DJ70" s="146" t="str">
        <f>IF(W70&lt;&gt;"AR","",J70*(INDEX('Device Refrigerant Leakage'!$D$2:$D$42,MATCH(X70,'Device Refrigerant Leakage'!$B$2:$B$42,0))-(INDEX('Device Refrigerant Leakage'!$D$2:$D$42,MATCH(X70,'Device Refrigerant Leakage'!$B$2:$B$42,0)))*DH70*DF70)*DG70/2204.62*DE70)</f>
        <v/>
      </c>
      <c r="DK70" s="146" t="str">
        <f>IF(W70&lt;&gt;"AR","",DI70*(K70-AB70)+'Fuel Sub Calcs-Deemed'!DJ70*((K70-AB70)/INDEX('Device Refrigerant Leakage'!$C$2:$C$42,MATCH('Fuel Sub Calcs-Deemed'!X70,'Device Refrigerant Leakage'!$B$2:$B$42,0))))</f>
        <v/>
      </c>
      <c r="DM70" s="56">
        <v>56</v>
      </c>
      <c r="DN70" s="67" t="e">
        <f t="shared" si="28"/>
        <v>#N/A</v>
      </c>
      <c r="DO70" s="45" t="e">
        <f t="shared" si="29"/>
        <v>#N/A</v>
      </c>
      <c r="DP70" s="67" t="e">
        <f t="shared" si="30"/>
        <v>#N/A</v>
      </c>
      <c r="DQ70" s="45" t="e">
        <f t="shared" si="31"/>
        <v>#N/A</v>
      </c>
      <c r="DR70" s="69" t="e">
        <f t="shared" si="32"/>
        <v>#N/A</v>
      </c>
      <c r="DS70" s="34"/>
      <c r="DT70" s="67" t="e">
        <f>((BX70*CJ70)+IF($W70=MAT_AR,(BZ70*CL70),0))*(1+Reference!$E$50+Reference!$E$51)</f>
        <v>#N/A</v>
      </c>
      <c r="DU70" s="67">
        <f>((BY70*CK70)+IF($W70=MAT_AR,(CA70*CM70),0))*(1+Reference!$G$50+Reference!$G$51)</f>
        <v>0</v>
      </c>
      <c r="DV70" s="67" t="e">
        <f t="shared" si="33"/>
        <v>#VALUE!</v>
      </c>
      <c r="DX70" s="56">
        <v>56</v>
      </c>
      <c r="DY70" s="67">
        <f t="shared" si="34"/>
        <v>0</v>
      </c>
      <c r="DZ70" s="45" t="e">
        <f>VLOOKUP($R70,Dropdown!$C$3:$D$4,2,FALSE)</f>
        <v>#N/A</v>
      </c>
      <c r="EA70" s="68">
        <f t="shared" si="35"/>
        <v>0</v>
      </c>
      <c r="EB70" s="68" t="str">
        <f t="shared" si="36"/>
        <v>N/A</v>
      </c>
      <c r="EC70" s="68">
        <f t="shared" si="37"/>
        <v>0</v>
      </c>
      <c r="ED70" s="68" t="str">
        <f t="shared" si="118"/>
        <v>N/A</v>
      </c>
      <c r="EF70" s="56">
        <v>56</v>
      </c>
      <c r="EG70" s="46">
        <f t="shared" si="39"/>
        <v>0</v>
      </c>
      <c r="EH70" s="68" t="e">
        <f t="shared" si="40"/>
        <v>#N/A</v>
      </c>
      <c r="EI70" s="68" t="e">
        <f t="shared" si="41"/>
        <v>#N/A</v>
      </c>
      <c r="EJ70" s="68" t="e">
        <f t="shared" si="42"/>
        <v>#N/A</v>
      </c>
      <c r="EK70" s="68" t="e">
        <f t="shared" si="43"/>
        <v>#N/A</v>
      </c>
      <c r="EL70" s="46">
        <f t="shared" si="44"/>
        <v>0</v>
      </c>
      <c r="EM70" s="46">
        <f t="shared" si="45"/>
        <v>0</v>
      </c>
    </row>
    <row r="71" spans="1:143">
      <c r="A71" s="89"/>
      <c r="B71" s="89"/>
      <c r="C71" s="89"/>
      <c r="D71" s="89"/>
      <c r="E71" s="89"/>
      <c r="F71" s="89"/>
      <c r="G71" s="34"/>
      <c r="H71" s="56">
        <f t="shared" si="46"/>
        <v>57</v>
      </c>
      <c r="I71" s="165"/>
      <c r="J71" s="163"/>
      <c r="K71" s="163"/>
      <c r="L71" s="164"/>
      <c r="M71" s="155"/>
      <c r="N71" s="155"/>
      <c r="O71" s="144"/>
      <c r="P71" s="159" t="str">
        <f>IFERROR(IF(O71&lt;&gt;"User Specified",IF(O71&lt;&gt;"", INDEX('Refrigerant GWPs'!$G$2:$G$154,MATCH(O71,'Refrigerant GWPs'!$A$2:$A$154,0)),""),U71),0)</f>
        <v/>
      </c>
      <c r="Q71" s="155"/>
      <c r="R71" s="155"/>
      <c r="S71" s="144"/>
      <c r="T71" s="159" t="str">
        <f>IF(S71&lt;&gt;"User Specified",IF(AND(S71&lt;&gt;"User Specified",S71&lt;&gt;""), INDEX('Refrigerant GWPs'!$G$2:$G$154,MATCH(S71,'Refrigerant GWPs'!$A$2:$A$154,0)),""),V71)</f>
        <v/>
      </c>
      <c r="U71" s="144"/>
      <c r="V71" s="144"/>
      <c r="W71" s="155"/>
      <c r="X71" s="155"/>
      <c r="Y71" s="144"/>
      <c r="Z71" s="159" t="str">
        <f>IF(AND(Y71&lt;&gt;"User Specified",Y71&lt;&gt;""), INDEX('Refrigerant GWPs'!$G$2:$G$154,MATCH(Y71,'Refrigerant GWPs'!$A$2:$A$154,0)),"")</f>
        <v/>
      </c>
      <c r="AA71" s="155"/>
      <c r="AB71" s="156"/>
      <c r="AC71" s="66"/>
      <c r="AD71" s="66"/>
      <c r="AE71" s="66"/>
      <c r="AF71" s="66"/>
      <c r="AG71" s="66"/>
      <c r="AH71" s="66"/>
      <c r="AI71" s="34"/>
      <c r="AJ71" s="88">
        <f t="shared" si="0"/>
        <v>0</v>
      </c>
      <c r="AK71" s="88">
        <f t="shared" si="1"/>
        <v>0</v>
      </c>
      <c r="AL71" s="88">
        <v>0</v>
      </c>
      <c r="AM71" s="88">
        <v>0</v>
      </c>
      <c r="AN71" s="81" t="str">
        <f t="shared" si="47"/>
        <v/>
      </c>
      <c r="AO71" s="88">
        <f t="shared" si="2"/>
        <v>0</v>
      </c>
      <c r="AP71" s="88">
        <f t="shared" si="3"/>
        <v>0</v>
      </c>
      <c r="AQ71" s="81" t="str">
        <f t="shared" si="4"/>
        <v/>
      </c>
      <c r="AS71" s="41" t="b">
        <f t="shared" si="5"/>
        <v>1</v>
      </c>
      <c r="AT71" s="38">
        <f t="shared" si="6"/>
        <v>0</v>
      </c>
      <c r="AU71" s="60">
        <f t="shared" si="7"/>
        <v>0</v>
      </c>
      <c r="AV71" s="41">
        <f t="shared" si="8"/>
        <v>0</v>
      </c>
      <c r="AW71" s="41" t="b">
        <f t="shared" si="9"/>
        <v>0</v>
      </c>
      <c r="AX71" t="str">
        <f t="shared" si="10"/>
        <v>+00</v>
      </c>
      <c r="AY71" t="str">
        <f t="shared" si="11"/>
        <v>+00</v>
      </c>
      <c r="BA71" s="47" t="b">
        <f t="shared" si="83"/>
        <v>1</v>
      </c>
      <c r="BB71" s="42" t="b">
        <f t="shared" si="84"/>
        <v>1</v>
      </c>
      <c r="BC71" s="42" t="b">
        <f t="shared" si="85"/>
        <v>0</v>
      </c>
      <c r="BD71" s="42" t="b">
        <f t="shared" si="86"/>
        <v>0</v>
      </c>
      <c r="BE71" s="70">
        <f t="shared" si="87"/>
        <v>0</v>
      </c>
      <c r="BF71" s="70">
        <f t="shared" si="88"/>
        <v>0</v>
      </c>
      <c r="BG71" s="34"/>
      <c r="BI71" s="47" t="b">
        <f t="shared" si="89"/>
        <v>1</v>
      </c>
      <c r="BJ71" s="47" t="b">
        <f t="shared" si="90"/>
        <v>1</v>
      </c>
      <c r="BK71" s="42" t="b">
        <f t="shared" si="91"/>
        <v>0</v>
      </c>
      <c r="BL71" s="42" t="b">
        <f t="shared" si="92"/>
        <v>0</v>
      </c>
      <c r="BM71" s="42">
        <f t="shared" si="93"/>
        <v>0</v>
      </c>
      <c r="BN71" s="42">
        <f t="shared" si="94"/>
        <v>0</v>
      </c>
      <c r="BP71" t="e">
        <f t="shared" si="95"/>
        <v>#N/A</v>
      </c>
      <c r="BQ71" t="e">
        <f t="shared" si="96"/>
        <v>#N/A</v>
      </c>
      <c r="BR71" t="e">
        <f t="shared" si="97"/>
        <v>#N/A</v>
      </c>
      <c r="BT71" s="60">
        <f t="shared" si="106"/>
        <v>0</v>
      </c>
      <c r="BU71" s="60">
        <f t="shared" si="107"/>
        <v>0</v>
      </c>
      <c r="BV71" s="60">
        <f t="shared" si="108"/>
        <v>0</v>
      </c>
      <c r="BW71" s="60">
        <f t="shared" si="109"/>
        <v>0</v>
      </c>
      <c r="BX71" s="60">
        <f t="shared" si="98"/>
        <v>0</v>
      </c>
      <c r="BY71" s="60">
        <f t="shared" si="99"/>
        <v>0</v>
      </c>
      <c r="BZ71" s="60">
        <f t="shared" si="100"/>
        <v>0</v>
      </c>
      <c r="CA71" s="60">
        <f t="shared" si="101"/>
        <v>0</v>
      </c>
      <c r="CB71" s="60" t="e">
        <f t="shared" si="110"/>
        <v>#N/A</v>
      </c>
      <c r="CC71" s="60">
        <f t="shared" si="111"/>
        <v>100000</v>
      </c>
      <c r="CD71" s="60" t="e">
        <f t="shared" si="112"/>
        <v>#N/A</v>
      </c>
      <c r="CE71" s="60">
        <f t="shared" si="113"/>
        <v>100000</v>
      </c>
      <c r="CF71" s="83" t="e">
        <f t="shared" si="102"/>
        <v>#N/A</v>
      </c>
      <c r="CG71" s="83">
        <f t="shared" si="103"/>
        <v>0</v>
      </c>
      <c r="CH71" s="83" t="e">
        <f t="shared" si="104"/>
        <v>#N/A</v>
      </c>
      <c r="CI71" s="83">
        <f t="shared" si="105"/>
        <v>0</v>
      </c>
      <c r="CJ71" s="86" t="e">
        <f t="shared" si="114"/>
        <v>#N/A</v>
      </c>
      <c r="CK71" s="82">
        <f t="shared" si="115"/>
        <v>5.3070370403969858E-3</v>
      </c>
      <c r="CL71" s="82" t="e">
        <f t="shared" si="116"/>
        <v>#N/A</v>
      </c>
      <c r="CM71" s="82">
        <f t="shared" si="117"/>
        <v>5.3070370403969858E-3</v>
      </c>
      <c r="CO71" s="149" t="str">
        <f>IF($I71&lt;&gt;"",IF(O71="User Specified",U71,INDEX('Refrigerant GWPs'!$G$2:$G$156,MATCH(O71,'Refrigerant GWPs'!$A$2:$A$156,0))),"")</f>
        <v/>
      </c>
      <c r="CP71" s="138" t="str">
        <f>IF($I71&lt;&gt;"",INDEX('Device Refrigerant Leakage'!$E$2:$E$42,MATCH($M71,'Device Refrigerant Leakage'!$B$2:$B$42,0)),"")</f>
        <v/>
      </c>
      <c r="CQ71" s="138" t="str">
        <f>IF($I71&lt;&gt;"",INDEX('Device Refrigerant Leakage'!$F$2:$F$42,MATCH($M71,'Device Refrigerant Leakage'!$B$2:$B$42,0)),"")</f>
        <v/>
      </c>
      <c r="CR71" s="145" t="str">
        <f>IF($I71&lt;&gt;"",INDEX('Device Refrigerant Leakage'!$G$2:$G$42,MATCH($M71,'Device Refrigerant Leakage'!$B$2:$B$42,0)),"")</f>
        <v/>
      </c>
      <c r="CS71" s="145" t="str">
        <f>IF($I71&lt;&gt;"",INDEX('Device Refrigerant Leakage'!$D$2:$D$42,MATCH($M71,'Device Refrigerant Leakage'!$B$2:$B$42,0))*CP71/2204.62*CO71,"")</f>
        <v/>
      </c>
      <c r="CT71" s="145" t="str">
        <f>IF($I71&lt;&gt;"",J71*(INDEX('Device Refrigerant Leakage'!$D$2:$D$42,MATCH($M71,'Device Refrigerant Leakage'!$B$2:$B$42,0))-(INDEX('Device Refrigerant Leakage'!$D$2:$D$42,MATCH($M71,'Device Refrigerant Leakage'!$B$2:$B$42,0)))*CR71*CP71)*CQ71/2204.62*CO71,"")</f>
        <v/>
      </c>
      <c r="CU71" s="135" t="str">
        <f>IF($I71&lt;&gt;"",J71*IF(W71&lt;&gt;"AR",(CS71*K71)+CT71,(CS71*AB71)+CT71*(AB71/INDEX('Device Refrigerant Leakage'!$C$2:$C$42,MATCH($M71,'Device Refrigerant Leakage'!$B$2:$B$42,0)))),"")</f>
        <v/>
      </c>
      <c r="CW71" s="135" t="str">
        <f>IF($I71&lt;&gt;"",IF(S71="User Specified",V71,INDEX('Refrigerant GWPs'!$G$2:$G$156,MATCH(S71,'Refrigerant GWPs'!$A$2:$A$157,0))),"")</f>
        <v/>
      </c>
      <c r="CX71" s="138" t="str">
        <f>IF($I71&lt;&gt;"",INDEX('Device Refrigerant Leakage'!$E$2:$E$42,MATCH($Q71,'Device Refrigerant Leakage'!$B$2:$B$42,0)),"")</f>
        <v/>
      </c>
      <c r="CY71" s="138" t="str">
        <f>IF($I71&lt;&gt;"",INDEX('Device Refrigerant Leakage'!$F$2:$F$42,MATCH($Q71,'Device Refrigerant Leakage'!$B$2:$B$42,0)),"")</f>
        <v/>
      </c>
      <c r="CZ71" s="145" t="str">
        <f>IF($I71&lt;&gt;"",INDEX('Device Refrigerant Leakage'!$G$2:$G$42,MATCH($Q71,'Device Refrigerant Leakage'!$B$2:$B$42,0)),"")</f>
        <v/>
      </c>
      <c r="DA71" s="145" t="str">
        <f>IF($I71&lt;&gt;"",J71*INDEX('Device Refrigerant Leakage'!$D$2:$D$42,MATCH($Q71,'Device Refrigerant Leakage'!$B$2:$B$42,0))*CX71/2204.62*CW71,"")</f>
        <v/>
      </c>
      <c r="DB71" s="145" t="str">
        <f>IF($I71&lt;&gt;"",J71*(INDEX('Device Refrigerant Leakage'!$D$2:$D$42,MATCH($Q71,'Device Refrigerant Leakage'!$B$2:$B$42,0))-(INDEX('Device Refrigerant Leakage'!$D$2:$D$42,MATCH($Q71,'Device Refrigerant Leakage'!$B$2:$B$42,0)))*CZ71*CX71)*CY71/2204.62*CW71,"")</f>
        <v/>
      </c>
      <c r="DC71" s="135" t="str">
        <f t="shared" si="59"/>
        <v/>
      </c>
      <c r="DE71" s="146" t="str">
        <f>IF(W71&lt;&gt;"AR","",IF(Y71="User Specified", AA71, INDEX('Refrigerant GWPs'!$G$2:$G$154,MATCH(Y71,'Refrigerant GWPs'!$A$2:$A$154,0))))</f>
        <v/>
      </c>
      <c r="DF71" s="146" t="str">
        <f>IF(W71&lt;&gt;"AR","",INDEX('Device Refrigerant Leakage'!$E$2:$E$42,MATCH(X71,'Device Refrigerant Leakage'!$B$2:$B$42,0)))</f>
        <v/>
      </c>
      <c r="DG71" s="146" t="str">
        <f>IF(W71&lt;&gt;"AR","",INDEX('Device Refrigerant Leakage'!$F$2:$F$42,MATCH(X71,'Device Refrigerant Leakage'!$B$2:$B$42,0)))</f>
        <v/>
      </c>
      <c r="DH71" s="146" t="str">
        <f>IF(W71&lt;&gt;"AR","",INDEX('Device Refrigerant Leakage'!$G$2:$G$42,MATCH(X71,'Device Refrigerant Leakage'!$B$2:$B$42,0)))</f>
        <v/>
      </c>
      <c r="DI71" s="146" t="str">
        <f>IF(W71&lt;&gt;"AR","",J71*INDEX('Device Refrigerant Leakage'!$D$2:$D$42,MATCH(X71,'Device Refrigerant Leakage'!$B$2:$B$42,0))*DF71/2204.62*DE71)</f>
        <v/>
      </c>
      <c r="DJ71" s="146" t="str">
        <f>IF(W71&lt;&gt;"AR","",J71*(INDEX('Device Refrigerant Leakage'!$D$2:$D$42,MATCH(X71,'Device Refrigerant Leakage'!$B$2:$B$42,0))-(INDEX('Device Refrigerant Leakage'!$D$2:$D$42,MATCH(X71,'Device Refrigerant Leakage'!$B$2:$B$42,0)))*DH71*DF71)*DG71/2204.62*DE71)</f>
        <v/>
      </c>
      <c r="DK71" s="146" t="str">
        <f>IF(W71&lt;&gt;"AR","",DI71*(K71-AB71)+'Fuel Sub Calcs-Deemed'!DJ71*((K71-AB71)/INDEX('Device Refrigerant Leakage'!$C$2:$C$42,MATCH('Fuel Sub Calcs-Deemed'!X71,'Device Refrigerant Leakage'!$B$2:$B$42,0))))</f>
        <v/>
      </c>
      <c r="DM71" s="56">
        <v>57</v>
      </c>
      <c r="DN71" s="67" t="e">
        <f t="shared" si="28"/>
        <v>#N/A</v>
      </c>
      <c r="DO71" s="45" t="e">
        <f t="shared" si="29"/>
        <v>#N/A</v>
      </c>
      <c r="DP71" s="67" t="e">
        <f t="shared" si="30"/>
        <v>#N/A</v>
      </c>
      <c r="DQ71" s="45" t="e">
        <f t="shared" si="31"/>
        <v>#N/A</v>
      </c>
      <c r="DR71" s="69" t="e">
        <f t="shared" si="32"/>
        <v>#N/A</v>
      </c>
      <c r="DS71" s="34"/>
      <c r="DT71" s="67" t="e">
        <f>((BX71*CJ71)+IF($W71=MAT_AR,(BZ71*CL71),0))*(1+Reference!$E$50+Reference!$E$51)</f>
        <v>#N/A</v>
      </c>
      <c r="DU71" s="67">
        <f>((BY71*CK71)+IF($W71=MAT_AR,(CA71*CM71),0))*(1+Reference!$G$50+Reference!$G$51)</f>
        <v>0</v>
      </c>
      <c r="DV71" s="67" t="e">
        <f t="shared" si="33"/>
        <v>#VALUE!</v>
      </c>
      <c r="DX71" s="56">
        <v>57</v>
      </c>
      <c r="DY71" s="67">
        <f t="shared" si="34"/>
        <v>0</v>
      </c>
      <c r="DZ71" s="45" t="e">
        <f>VLOOKUP($R71,Dropdown!$C$3:$D$4,2,FALSE)</f>
        <v>#N/A</v>
      </c>
      <c r="EA71" s="68">
        <f t="shared" si="35"/>
        <v>0</v>
      </c>
      <c r="EB71" s="68" t="str">
        <f t="shared" si="36"/>
        <v>N/A</v>
      </c>
      <c r="EC71" s="68">
        <f t="shared" si="37"/>
        <v>0</v>
      </c>
      <c r="ED71" s="68" t="str">
        <f t="shared" si="118"/>
        <v>N/A</v>
      </c>
      <c r="EF71" s="56">
        <v>57</v>
      </c>
      <c r="EG71" s="46">
        <f t="shared" si="39"/>
        <v>0</v>
      </c>
      <c r="EH71" s="68" t="e">
        <f t="shared" si="40"/>
        <v>#N/A</v>
      </c>
      <c r="EI71" s="68" t="e">
        <f t="shared" si="41"/>
        <v>#N/A</v>
      </c>
      <c r="EJ71" s="68" t="e">
        <f t="shared" si="42"/>
        <v>#N/A</v>
      </c>
      <c r="EK71" s="68" t="e">
        <f t="shared" si="43"/>
        <v>#N/A</v>
      </c>
      <c r="EL71" s="46">
        <f t="shared" si="44"/>
        <v>0</v>
      </c>
      <c r="EM71" s="46">
        <f t="shared" si="45"/>
        <v>0</v>
      </c>
    </row>
    <row r="72" spans="1:143">
      <c r="A72" s="89"/>
      <c r="B72" s="89"/>
      <c r="C72" s="89"/>
      <c r="D72" s="89"/>
      <c r="E72" s="89"/>
      <c r="F72" s="89"/>
      <c r="G72" s="34"/>
      <c r="H72" s="56">
        <f t="shared" si="46"/>
        <v>58</v>
      </c>
      <c r="I72" s="165"/>
      <c r="J72" s="163"/>
      <c r="K72" s="163"/>
      <c r="L72" s="164"/>
      <c r="M72" s="155"/>
      <c r="N72" s="155"/>
      <c r="O72" s="144"/>
      <c r="P72" s="159" t="str">
        <f>IFERROR(IF(O72&lt;&gt;"User Specified",IF(O72&lt;&gt;"", INDEX('Refrigerant GWPs'!$G$2:$G$154,MATCH(O72,'Refrigerant GWPs'!$A$2:$A$154,0)),""),U72),0)</f>
        <v/>
      </c>
      <c r="Q72" s="155"/>
      <c r="R72" s="155"/>
      <c r="S72" s="144"/>
      <c r="T72" s="159" t="str">
        <f>IF(S72&lt;&gt;"User Specified",IF(AND(S72&lt;&gt;"User Specified",S72&lt;&gt;""), INDEX('Refrigerant GWPs'!$G$2:$G$154,MATCH(S72,'Refrigerant GWPs'!$A$2:$A$154,0)),""),V72)</f>
        <v/>
      </c>
      <c r="U72" s="144"/>
      <c r="V72" s="144"/>
      <c r="W72" s="155"/>
      <c r="X72" s="155"/>
      <c r="Y72" s="144"/>
      <c r="Z72" s="159" t="str">
        <f>IF(AND(Y72&lt;&gt;"User Specified",Y72&lt;&gt;""), INDEX('Refrigerant GWPs'!$G$2:$G$154,MATCH(Y72,'Refrigerant GWPs'!$A$2:$A$154,0)),"")</f>
        <v/>
      </c>
      <c r="AA72" s="155"/>
      <c r="AB72" s="156"/>
      <c r="AC72" s="66"/>
      <c r="AD72" s="66"/>
      <c r="AE72" s="66"/>
      <c r="AF72" s="66"/>
      <c r="AG72" s="66"/>
      <c r="AH72" s="66"/>
      <c r="AI72" s="34"/>
      <c r="AJ72" s="88">
        <f t="shared" si="0"/>
        <v>0</v>
      </c>
      <c r="AK72" s="88">
        <f t="shared" si="1"/>
        <v>0</v>
      </c>
      <c r="AL72" s="88">
        <v>0</v>
      </c>
      <c r="AM72" s="88">
        <v>0</v>
      </c>
      <c r="AN72" s="81" t="str">
        <f t="shared" si="47"/>
        <v/>
      </c>
      <c r="AO72" s="88">
        <f t="shared" si="2"/>
        <v>0</v>
      </c>
      <c r="AP72" s="88">
        <f t="shared" si="3"/>
        <v>0</v>
      </c>
      <c r="AQ72" s="81" t="str">
        <f t="shared" si="4"/>
        <v/>
      </c>
      <c r="AS72" s="41" t="b">
        <f t="shared" si="5"/>
        <v>1</v>
      </c>
      <c r="AT72" s="38">
        <f t="shared" si="6"/>
        <v>0</v>
      </c>
      <c r="AU72" s="60">
        <f t="shared" si="7"/>
        <v>0</v>
      </c>
      <c r="AV72" s="41">
        <f t="shared" si="8"/>
        <v>0</v>
      </c>
      <c r="AW72" s="41" t="b">
        <f t="shared" si="9"/>
        <v>0</v>
      </c>
      <c r="AX72" t="str">
        <f t="shared" si="10"/>
        <v>+00</v>
      </c>
      <c r="AY72" t="str">
        <f t="shared" si="11"/>
        <v>+00</v>
      </c>
      <c r="BA72" s="47" t="b">
        <f t="shared" si="83"/>
        <v>1</v>
      </c>
      <c r="BB72" s="42" t="b">
        <f t="shared" si="84"/>
        <v>1</v>
      </c>
      <c r="BC72" s="42" t="b">
        <f t="shared" si="85"/>
        <v>0</v>
      </c>
      <c r="BD72" s="42" t="b">
        <f t="shared" si="86"/>
        <v>0</v>
      </c>
      <c r="BE72" s="70">
        <f t="shared" si="87"/>
        <v>0</v>
      </c>
      <c r="BF72" s="70">
        <f t="shared" si="88"/>
        <v>0</v>
      </c>
      <c r="BG72" s="34"/>
      <c r="BI72" s="47" t="b">
        <f t="shared" si="89"/>
        <v>1</v>
      </c>
      <c r="BJ72" s="47" t="b">
        <f t="shared" si="90"/>
        <v>1</v>
      </c>
      <c r="BK72" s="42" t="b">
        <f t="shared" si="91"/>
        <v>0</v>
      </c>
      <c r="BL72" s="42" t="b">
        <f t="shared" si="92"/>
        <v>0</v>
      </c>
      <c r="BM72" s="42">
        <f t="shared" si="93"/>
        <v>0</v>
      </c>
      <c r="BN72" s="42">
        <f t="shared" si="94"/>
        <v>0</v>
      </c>
      <c r="BP72" t="e">
        <f t="shared" si="95"/>
        <v>#N/A</v>
      </c>
      <c r="BQ72" t="e">
        <f t="shared" si="96"/>
        <v>#N/A</v>
      </c>
      <c r="BR72" t="e">
        <f t="shared" si="97"/>
        <v>#N/A</v>
      </c>
      <c r="BT72" s="60">
        <f t="shared" si="106"/>
        <v>0</v>
      </c>
      <c r="BU72" s="60">
        <f t="shared" si="107"/>
        <v>0</v>
      </c>
      <c r="BV72" s="60">
        <f t="shared" si="108"/>
        <v>0</v>
      </c>
      <c r="BW72" s="60">
        <f t="shared" si="109"/>
        <v>0</v>
      </c>
      <c r="BX72" s="60">
        <f t="shared" si="98"/>
        <v>0</v>
      </c>
      <c r="BY72" s="60">
        <f t="shared" si="99"/>
        <v>0</v>
      </c>
      <c r="BZ72" s="60">
        <f t="shared" si="100"/>
        <v>0</v>
      </c>
      <c r="CA72" s="60">
        <f t="shared" si="101"/>
        <v>0</v>
      </c>
      <c r="CB72" s="60" t="e">
        <f t="shared" si="110"/>
        <v>#N/A</v>
      </c>
      <c r="CC72" s="60">
        <f t="shared" si="111"/>
        <v>100000</v>
      </c>
      <c r="CD72" s="60" t="e">
        <f t="shared" si="112"/>
        <v>#N/A</v>
      </c>
      <c r="CE72" s="60">
        <f t="shared" si="113"/>
        <v>100000</v>
      </c>
      <c r="CF72" s="83" t="e">
        <f t="shared" si="102"/>
        <v>#N/A</v>
      </c>
      <c r="CG72" s="83">
        <f t="shared" si="103"/>
        <v>0</v>
      </c>
      <c r="CH72" s="83" t="e">
        <f t="shared" si="104"/>
        <v>#N/A</v>
      </c>
      <c r="CI72" s="83">
        <f t="shared" si="105"/>
        <v>0</v>
      </c>
      <c r="CJ72" s="86" t="e">
        <f t="shared" si="114"/>
        <v>#N/A</v>
      </c>
      <c r="CK72" s="82">
        <f t="shared" si="115"/>
        <v>5.3070370403969858E-3</v>
      </c>
      <c r="CL72" s="82" t="e">
        <f t="shared" si="116"/>
        <v>#N/A</v>
      </c>
      <c r="CM72" s="82">
        <f t="shared" si="117"/>
        <v>5.3070370403969858E-3</v>
      </c>
      <c r="CO72" s="149" t="str">
        <f>IF($I72&lt;&gt;"",IF(O72="User Specified",U72,INDEX('Refrigerant GWPs'!$G$2:$G$156,MATCH(O72,'Refrigerant GWPs'!$A$2:$A$156,0))),"")</f>
        <v/>
      </c>
      <c r="CP72" s="138" t="str">
        <f>IF($I72&lt;&gt;"",INDEX('Device Refrigerant Leakage'!$E$2:$E$42,MATCH($M72,'Device Refrigerant Leakage'!$B$2:$B$42,0)),"")</f>
        <v/>
      </c>
      <c r="CQ72" s="138" t="str">
        <f>IF($I72&lt;&gt;"",INDEX('Device Refrigerant Leakage'!$F$2:$F$42,MATCH($M72,'Device Refrigerant Leakage'!$B$2:$B$42,0)),"")</f>
        <v/>
      </c>
      <c r="CR72" s="145" t="str">
        <f>IF($I72&lt;&gt;"",INDEX('Device Refrigerant Leakage'!$G$2:$G$42,MATCH($M72,'Device Refrigerant Leakage'!$B$2:$B$42,0)),"")</f>
        <v/>
      </c>
      <c r="CS72" s="145" t="str">
        <f>IF($I72&lt;&gt;"",INDEX('Device Refrigerant Leakage'!$D$2:$D$42,MATCH($M72,'Device Refrigerant Leakage'!$B$2:$B$42,0))*CP72/2204.62*CO72,"")</f>
        <v/>
      </c>
      <c r="CT72" s="145" t="str">
        <f>IF($I72&lt;&gt;"",J72*(INDEX('Device Refrigerant Leakage'!$D$2:$D$42,MATCH($M72,'Device Refrigerant Leakage'!$B$2:$B$42,0))-(INDEX('Device Refrigerant Leakage'!$D$2:$D$42,MATCH($M72,'Device Refrigerant Leakage'!$B$2:$B$42,0)))*CR72*CP72)*CQ72/2204.62*CO72,"")</f>
        <v/>
      </c>
      <c r="CU72" s="135" t="str">
        <f>IF($I72&lt;&gt;"",J72*IF(W72&lt;&gt;"AR",(CS72*K72)+CT72,(CS72*AB72)+CT72*(AB72/INDEX('Device Refrigerant Leakage'!$C$2:$C$42,MATCH($M72,'Device Refrigerant Leakage'!$B$2:$B$42,0)))),"")</f>
        <v/>
      </c>
      <c r="CW72" s="135" t="str">
        <f>IF($I72&lt;&gt;"",IF(S72="User Specified",V72,INDEX('Refrigerant GWPs'!$G$2:$G$156,MATCH(S72,'Refrigerant GWPs'!$A$2:$A$157,0))),"")</f>
        <v/>
      </c>
      <c r="CX72" s="138" t="str">
        <f>IF($I72&lt;&gt;"",INDEX('Device Refrigerant Leakage'!$E$2:$E$42,MATCH($Q72,'Device Refrigerant Leakage'!$B$2:$B$42,0)),"")</f>
        <v/>
      </c>
      <c r="CY72" s="138" t="str">
        <f>IF($I72&lt;&gt;"",INDEX('Device Refrigerant Leakage'!$F$2:$F$42,MATCH($Q72,'Device Refrigerant Leakage'!$B$2:$B$42,0)),"")</f>
        <v/>
      </c>
      <c r="CZ72" s="145" t="str">
        <f>IF($I72&lt;&gt;"",INDEX('Device Refrigerant Leakage'!$G$2:$G$42,MATCH($Q72,'Device Refrigerant Leakage'!$B$2:$B$42,0)),"")</f>
        <v/>
      </c>
      <c r="DA72" s="145" t="str">
        <f>IF($I72&lt;&gt;"",J72*INDEX('Device Refrigerant Leakage'!$D$2:$D$42,MATCH($Q72,'Device Refrigerant Leakage'!$B$2:$B$42,0))*CX72/2204.62*CW72,"")</f>
        <v/>
      </c>
      <c r="DB72" s="145" t="str">
        <f>IF($I72&lt;&gt;"",J72*(INDEX('Device Refrigerant Leakage'!$D$2:$D$42,MATCH($Q72,'Device Refrigerant Leakage'!$B$2:$B$42,0))-(INDEX('Device Refrigerant Leakage'!$D$2:$D$42,MATCH($Q72,'Device Refrigerant Leakage'!$B$2:$B$42,0)))*CZ72*CX72)*CY72/2204.62*CW72,"")</f>
        <v/>
      </c>
      <c r="DC72" s="135" t="str">
        <f t="shared" si="59"/>
        <v/>
      </c>
      <c r="DE72" s="146" t="str">
        <f>IF(W72&lt;&gt;"AR","",IF(Y72="User Specified", AA72, INDEX('Refrigerant GWPs'!$G$2:$G$154,MATCH(Y72,'Refrigerant GWPs'!$A$2:$A$154,0))))</f>
        <v/>
      </c>
      <c r="DF72" s="146" t="str">
        <f>IF(W72&lt;&gt;"AR","",INDEX('Device Refrigerant Leakage'!$E$2:$E$42,MATCH(X72,'Device Refrigerant Leakage'!$B$2:$B$42,0)))</f>
        <v/>
      </c>
      <c r="DG72" s="146" t="str">
        <f>IF(W72&lt;&gt;"AR","",INDEX('Device Refrigerant Leakage'!$F$2:$F$42,MATCH(X72,'Device Refrigerant Leakage'!$B$2:$B$42,0)))</f>
        <v/>
      </c>
      <c r="DH72" s="146" t="str">
        <f>IF(W72&lt;&gt;"AR","",INDEX('Device Refrigerant Leakage'!$G$2:$G$42,MATCH(X72,'Device Refrigerant Leakage'!$B$2:$B$42,0)))</f>
        <v/>
      </c>
      <c r="DI72" s="146" t="str">
        <f>IF(W72&lt;&gt;"AR","",J72*INDEX('Device Refrigerant Leakage'!$D$2:$D$42,MATCH(X72,'Device Refrigerant Leakage'!$B$2:$B$42,0))*DF72/2204.62*DE72)</f>
        <v/>
      </c>
      <c r="DJ72" s="146" t="str">
        <f>IF(W72&lt;&gt;"AR","",J72*(INDEX('Device Refrigerant Leakage'!$D$2:$D$42,MATCH(X72,'Device Refrigerant Leakage'!$B$2:$B$42,0))-(INDEX('Device Refrigerant Leakage'!$D$2:$D$42,MATCH(X72,'Device Refrigerant Leakage'!$B$2:$B$42,0)))*DH72*DF72)*DG72/2204.62*DE72)</f>
        <v/>
      </c>
      <c r="DK72" s="146" t="str">
        <f>IF(W72&lt;&gt;"AR","",DI72*(K72-AB72)+'Fuel Sub Calcs-Deemed'!DJ72*((K72-AB72)/INDEX('Device Refrigerant Leakage'!$C$2:$C$42,MATCH('Fuel Sub Calcs-Deemed'!X72,'Device Refrigerant Leakage'!$B$2:$B$42,0))))</f>
        <v/>
      </c>
      <c r="DM72" s="56">
        <v>58</v>
      </c>
      <c r="DN72" s="67" t="e">
        <f t="shared" si="28"/>
        <v>#N/A</v>
      </c>
      <c r="DO72" s="45" t="e">
        <f t="shared" si="29"/>
        <v>#N/A</v>
      </c>
      <c r="DP72" s="67" t="e">
        <f t="shared" si="30"/>
        <v>#N/A</v>
      </c>
      <c r="DQ72" s="45" t="e">
        <f t="shared" si="31"/>
        <v>#N/A</v>
      </c>
      <c r="DR72" s="69" t="e">
        <f t="shared" si="32"/>
        <v>#N/A</v>
      </c>
      <c r="DS72" s="34"/>
      <c r="DT72" s="67" t="e">
        <f>((BX72*CJ72)+IF($W72=MAT_AR,(BZ72*CL72),0))*(1+Reference!$E$50+Reference!$E$51)</f>
        <v>#N/A</v>
      </c>
      <c r="DU72" s="67">
        <f>((BY72*CK72)+IF($W72=MAT_AR,(CA72*CM72),0))*(1+Reference!$G$50+Reference!$G$51)</f>
        <v>0</v>
      </c>
      <c r="DV72" s="67" t="e">
        <f t="shared" si="33"/>
        <v>#VALUE!</v>
      </c>
      <c r="DX72" s="56">
        <v>58</v>
      </c>
      <c r="DY72" s="67">
        <f t="shared" si="34"/>
        <v>0</v>
      </c>
      <c r="DZ72" s="45" t="e">
        <f>VLOOKUP($R72,Dropdown!$C$3:$D$4,2,FALSE)</f>
        <v>#N/A</v>
      </c>
      <c r="EA72" s="68">
        <f t="shared" si="35"/>
        <v>0</v>
      </c>
      <c r="EB72" s="68" t="str">
        <f t="shared" si="36"/>
        <v>N/A</v>
      </c>
      <c r="EC72" s="68">
        <f t="shared" si="37"/>
        <v>0</v>
      </c>
      <c r="ED72" s="68" t="str">
        <f t="shared" si="118"/>
        <v>N/A</v>
      </c>
      <c r="EF72" s="56">
        <v>58</v>
      </c>
      <c r="EG72" s="46">
        <f t="shared" si="39"/>
        <v>0</v>
      </c>
      <c r="EH72" s="68" t="e">
        <f t="shared" si="40"/>
        <v>#N/A</v>
      </c>
      <c r="EI72" s="68" t="e">
        <f t="shared" si="41"/>
        <v>#N/A</v>
      </c>
      <c r="EJ72" s="68" t="e">
        <f t="shared" si="42"/>
        <v>#N/A</v>
      </c>
      <c r="EK72" s="68" t="e">
        <f t="shared" si="43"/>
        <v>#N/A</v>
      </c>
      <c r="EL72" s="46">
        <f t="shared" si="44"/>
        <v>0</v>
      </c>
      <c r="EM72" s="46">
        <f t="shared" si="45"/>
        <v>0</v>
      </c>
    </row>
    <row r="73" spans="1:143">
      <c r="A73" s="89"/>
      <c r="B73" s="89"/>
      <c r="C73" s="89"/>
      <c r="D73" s="89"/>
      <c r="E73" s="89"/>
      <c r="F73" s="89"/>
      <c r="G73" s="34"/>
      <c r="H73" s="56">
        <f t="shared" si="46"/>
        <v>59</v>
      </c>
      <c r="I73" s="165"/>
      <c r="J73" s="163"/>
      <c r="K73" s="163"/>
      <c r="L73" s="164"/>
      <c r="M73" s="155"/>
      <c r="N73" s="155"/>
      <c r="O73" s="144"/>
      <c r="P73" s="159" t="str">
        <f>IFERROR(IF(O73&lt;&gt;"User Specified",IF(O73&lt;&gt;"", INDEX('Refrigerant GWPs'!$G$2:$G$154,MATCH(O73,'Refrigerant GWPs'!$A$2:$A$154,0)),""),U73),0)</f>
        <v/>
      </c>
      <c r="Q73" s="155"/>
      <c r="R73" s="155"/>
      <c r="S73" s="144"/>
      <c r="T73" s="159" t="str">
        <f>IF(S73&lt;&gt;"User Specified",IF(AND(S73&lt;&gt;"User Specified",S73&lt;&gt;""), INDEX('Refrigerant GWPs'!$G$2:$G$154,MATCH(S73,'Refrigerant GWPs'!$A$2:$A$154,0)),""),V73)</f>
        <v/>
      </c>
      <c r="U73" s="144"/>
      <c r="V73" s="144"/>
      <c r="W73" s="155"/>
      <c r="X73" s="155"/>
      <c r="Y73" s="144"/>
      <c r="Z73" s="159" t="str">
        <f>IF(AND(Y73&lt;&gt;"User Specified",Y73&lt;&gt;""), INDEX('Refrigerant GWPs'!$G$2:$G$154,MATCH(Y73,'Refrigerant GWPs'!$A$2:$A$154,0)),"")</f>
        <v/>
      </c>
      <c r="AA73" s="155"/>
      <c r="AB73" s="156"/>
      <c r="AC73" s="66"/>
      <c r="AD73" s="66"/>
      <c r="AE73" s="66"/>
      <c r="AF73" s="66"/>
      <c r="AG73" s="66"/>
      <c r="AH73" s="66"/>
      <c r="AI73" s="34"/>
      <c r="AJ73" s="88">
        <f t="shared" si="0"/>
        <v>0</v>
      </c>
      <c r="AK73" s="88">
        <f t="shared" si="1"/>
        <v>0</v>
      </c>
      <c r="AL73" s="88">
        <v>0</v>
      </c>
      <c r="AM73" s="88">
        <v>0</v>
      </c>
      <c r="AN73" s="81" t="str">
        <f t="shared" si="47"/>
        <v/>
      </c>
      <c r="AO73" s="88">
        <f t="shared" si="2"/>
        <v>0</v>
      </c>
      <c r="AP73" s="88">
        <f t="shared" si="3"/>
        <v>0</v>
      </c>
      <c r="AQ73" s="81" t="str">
        <f t="shared" si="4"/>
        <v/>
      </c>
      <c r="AS73" s="41" t="b">
        <f t="shared" si="5"/>
        <v>1</v>
      </c>
      <c r="AT73" s="38">
        <f t="shared" si="6"/>
        <v>0</v>
      </c>
      <c r="AU73" s="60">
        <f t="shared" si="7"/>
        <v>0</v>
      </c>
      <c r="AV73" s="41">
        <f t="shared" si="8"/>
        <v>0</v>
      </c>
      <c r="AW73" s="41" t="b">
        <f t="shared" si="9"/>
        <v>0</v>
      </c>
      <c r="AX73" t="str">
        <f t="shared" si="10"/>
        <v>+00</v>
      </c>
      <c r="AY73" t="str">
        <f t="shared" si="11"/>
        <v>+00</v>
      </c>
      <c r="BA73" s="47" t="b">
        <f t="shared" si="83"/>
        <v>1</v>
      </c>
      <c r="BB73" s="42" t="b">
        <f t="shared" si="84"/>
        <v>1</v>
      </c>
      <c r="BC73" s="42" t="b">
        <f t="shared" si="85"/>
        <v>0</v>
      </c>
      <c r="BD73" s="42" t="b">
        <f t="shared" si="86"/>
        <v>0</v>
      </c>
      <c r="BE73" s="70">
        <f t="shared" si="87"/>
        <v>0</v>
      </c>
      <c r="BF73" s="70">
        <f t="shared" si="88"/>
        <v>0</v>
      </c>
      <c r="BG73" s="34"/>
      <c r="BI73" s="47" t="b">
        <f t="shared" si="89"/>
        <v>1</v>
      </c>
      <c r="BJ73" s="47" t="b">
        <f t="shared" si="90"/>
        <v>1</v>
      </c>
      <c r="BK73" s="42" t="b">
        <f t="shared" si="91"/>
        <v>0</v>
      </c>
      <c r="BL73" s="42" t="b">
        <f t="shared" si="92"/>
        <v>0</v>
      </c>
      <c r="BM73" s="42">
        <f t="shared" si="93"/>
        <v>0</v>
      </c>
      <c r="BN73" s="42">
        <f t="shared" si="94"/>
        <v>0</v>
      </c>
      <c r="BP73" t="e">
        <f t="shared" si="95"/>
        <v>#N/A</v>
      </c>
      <c r="BQ73" t="e">
        <f t="shared" si="96"/>
        <v>#N/A</v>
      </c>
      <c r="BR73" t="e">
        <f t="shared" si="97"/>
        <v>#N/A</v>
      </c>
      <c r="BT73" s="60">
        <f t="shared" si="106"/>
        <v>0</v>
      </c>
      <c r="BU73" s="60">
        <f t="shared" si="107"/>
        <v>0</v>
      </c>
      <c r="BV73" s="60">
        <f t="shared" si="108"/>
        <v>0</v>
      </c>
      <c r="BW73" s="60">
        <f t="shared" si="109"/>
        <v>0</v>
      </c>
      <c r="BX73" s="60">
        <f t="shared" si="98"/>
        <v>0</v>
      </c>
      <c r="BY73" s="60">
        <f t="shared" si="99"/>
        <v>0</v>
      </c>
      <c r="BZ73" s="60">
        <f t="shared" si="100"/>
        <v>0</v>
      </c>
      <c r="CA73" s="60">
        <f t="shared" si="101"/>
        <v>0</v>
      </c>
      <c r="CB73" s="60" t="e">
        <f t="shared" si="110"/>
        <v>#N/A</v>
      </c>
      <c r="CC73" s="60">
        <f t="shared" si="111"/>
        <v>100000</v>
      </c>
      <c r="CD73" s="60" t="e">
        <f t="shared" si="112"/>
        <v>#N/A</v>
      </c>
      <c r="CE73" s="60">
        <f t="shared" si="113"/>
        <v>100000</v>
      </c>
      <c r="CF73" s="83" t="e">
        <f t="shared" si="102"/>
        <v>#N/A</v>
      </c>
      <c r="CG73" s="83">
        <f t="shared" si="103"/>
        <v>0</v>
      </c>
      <c r="CH73" s="83" t="e">
        <f t="shared" si="104"/>
        <v>#N/A</v>
      </c>
      <c r="CI73" s="83">
        <f t="shared" si="105"/>
        <v>0</v>
      </c>
      <c r="CJ73" s="86" t="e">
        <f t="shared" si="114"/>
        <v>#N/A</v>
      </c>
      <c r="CK73" s="82">
        <f t="shared" si="115"/>
        <v>5.3070370403969858E-3</v>
      </c>
      <c r="CL73" s="82" t="e">
        <f t="shared" si="116"/>
        <v>#N/A</v>
      </c>
      <c r="CM73" s="82">
        <f t="shared" si="117"/>
        <v>5.3070370403969858E-3</v>
      </c>
      <c r="CO73" s="149" t="str">
        <f>IF($I73&lt;&gt;"",IF(O73="User Specified",U73,INDEX('Refrigerant GWPs'!$G$2:$G$156,MATCH(O73,'Refrigerant GWPs'!$A$2:$A$156,0))),"")</f>
        <v/>
      </c>
      <c r="CP73" s="138" t="str">
        <f>IF($I73&lt;&gt;"",INDEX('Device Refrigerant Leakage'!$E$2:$E$42,MATCH($M73,'Device Refrigerant Leakage'!$B$2:$B$42,0)),"")</f>
        <v/>
      </c>
      <c r="CQ73" s="138" t="str">
        <f>IF($I73&lt;&gt;"",INDEX('Device Refrigerant Leakage'!$F$2:$F$42,MATCH($M73,'Device Refrigerant Leakage'!$B$2:$B$42,0)),"")</f>
        <v/>
      </c>
      <c r="CR73" s="145" t="str">
        <f>IF($I73&lt;&gt;"",INDEX('Device Refrigerant Leakage'!$G$2:$G$42,MATCH($M73,'Device Refrigerant Leakage'!$B$2:$B$42,0)),"")</f>
        <v/>
      </c>
      <c r="CS73" s="145" t="str">
        <f>IF($I73&lt;&gt;"",INDEX('Device Refrigerant Leakage'!$D$2:$D$42,MATCH($M73,'Device Refrigerant Leakage'!$B$2:$B$42,0))*CP73/2204.62*CO73,"")</f>
        <v/>
      </c>
      <c r="CT73" s="145" t="str">
        <f>IF($I73&lt;&gt;"",J73*(INDEX('Device Refrigerant Leakage'!$D$2:$D$42,MATCH($M73,'Device Refrigerant Leakage'!$B$2:$B$42,0))-(INDEX('Device Refrigerant Leakage'!$D$2:$D$42,MATCH($M73,'Device Refrigerant Leakage'!$B$2:$B$42,0)))*CR73*CP73)*CQ73/2204.62*CO73,"")</f>
        <v/>
      </c>
      <c r="CU73" s="135" t="str">
        <f>IF($I73&lt;&gt;"",J73*IF(W73&lt;&gt;"AR",(CS73*K73)+CT73,(CS73*AB73)+CT73*(AB73/INDEX('Device Refrigerant Leakage'!$C$2:$C$42,MATCH($M73,'Device Refrigerant Leakage'!$B$2:$B$42,0)))),"")</f>
        <v/>
      </c>
      <c r="CW73" s="135" t="str">
        <f>IF($I73&lt;&gt;"",IF(S73="User Specified",V73,INDEX('Refrigerant GWPs'!$G$2:$G$156,MATCH(S73,'Refrigerant GWPs'!$A$2:$A$157,0))),"")</f>
        <v/>
      </c>
      <c r="CX73" s="138" t="str">
        <f>IF($I73&lt;&gt;"",INDEX('Device Refrigerant Leakage'!$E$2:$E$42,MATCH($Q73,'Device Refrigerant Leakage'!$B$2:$B$42,0)),"")</f>
        <v/>
      </c>
      <c r="CY73" s="138" t="str">
        <f>IF($I73&lt;&gt;"",INDEX('Device Refrigerant Leakage'!$F$2:$F$42,MATCH($Q73,'Device Refrigerant Leakage'!$B$2:$B$42,0)),"")</f>
        <v/>
      </c>
      <c r="CZ73" s="145" t="str">
        <f>IF($I73&lt;&gt;"",INDEX('Device Refrigerant Leakage'!$G$2:$G$42,MATCH($Q73,'Device Refrigerant Leakage'!$B$2:$B$42,0)),"")</f>
        <v/>
      </c>
      <c r="DA73" s="145" t="str">
        <f>IF($I73&lt;&gt;"",J73*INDEX('Device Refrigerant Leakage'!$D$2:$D$42,MATCH($Q73,'Device Refrigerant Leakage'!$B$2:$B$42,0))*CX73/2204.62*CW73,"")</f>
        <v/>
      </c>
      <c r="DB73" s="145" t="str">
        <f>IF($I73&lt;&gt;"",J73*(INDEX('Device Refrigerant Leakage'!$D$2:$D$42,MATCH($Q73,'Device Refrigerant Leakage'!$B$2:$B$42,0))-(INDEX('Device Refrigerant Leakage'!$D$2:$D$42,MATCH($Q73,'Device Refrigerant Leakage'!$B$2:$B$42,0)))*CZ73*CX73)*CY73/2204.62*CW73,"")</f>
        <v/>
      </c>
      <c r="DC73" s="135" t="str">
        <f t="shared" si="59"/>
        <v/>
      </c>
      <c r="DE73" s="146" t="str">
        <f>IF(W73&lt;&gt;"AR","",IF(Y73="User Specified", AA73, INDEX('Refrigerant GWPs'!$G$2:$G$154,MATCH(Y73,'Refrigerant GWPs'!$A$2:$A$154,0))))</f>
        <v/>
      </c>
      <c r="DF73" s="146" t="str">
        <f>IF(W73&lt;&gt;"AR","",INDEX('Device Refrigerant Leakage'!$E$2:$E$42,MATCH(X73,'Device Refrigerant Leakage'!$B$2:$B$42,0)))</f>
        <v/>
      </c>
      <c r="DG73" s="146" t="str">
        <f>IF(W73&lt;&gt;"AR","",INDEX('Device Refrigerant Leakage'!$F$2:$F$42,MATCH(X73,'Device Refrigerant Leakage'!$B$2:$B$42,0)))</f>
        <v/>
      </c>
      <c r="DH73" s="146" t="str">
        <f>IF(W73&lt;&gt;"AR","",INDEX('Device Refrigerant Leakage'!$G$2:$G$42,MATCH(X73,'Device Refrigerant Leakage'!$B$2:$B$42,0)))</f>
        <v/>
      </c>
      <c r="DI73" s="146" t="str">
        <f>IF(W73&lt;&gt;"AR","",J73*INDEX('Device Refrigerant Leakage'!$D$2:$D$42,MATCH(X73,'Device Refrigerant Leakage'!$B$2:$B$42,0))*DF73/2204.62*DE73)</f>
        <v/>
      </c>
      <c r="DJ73" s="146" t="str">
        <f>IF(W73&lt;&gt;"AR","",J73*(INDEX('Device Refrigerant Leakage'!$D$2:$D$42,MATCH(X73,'Device Refrigerant Leakage'!$B$2:$B$42,0))-(INDEX('Device Refrigerant Leakage'!$D$2:$D$42,MATCH(X73,'Device Refrigerant Leakage'!$B$2:$B$42,0)))*DH73*DF73)*DG73/2204.62*DE73)</f>
        <v/>
      </c>
      <c r="DK73" s="146" t="str">
        <f>IF(W73&lt;&gt;"AR","",DI73*(K73-AB73)+'Fuel Sub Calcs-Deemed'!DJ73*((K73-AB73)/INDEX('Device Refrigerant Leakage'!$C$2:$C$42,MATCH('Fuel Sub Calcs-Deemed'!X73,'Device Refrigerant Leakage'!$B$2:$B$42,0))))</f>
        <v/>
      </c>
      <c r="DM73" s="56">
        <v>59</v>
      </c>
      <c r="DN73" s="67" t="e">
        <f t="shared" si="28"/>
        <v>#N/A</v>
      </c>
      <c r="DO73" s="45" t="e">
        <f t="shared" si="29"/>
        <v>#N/A</v>
      </c>
      <c r="DP73" s="67" t="e">
        <f t="shared" si="30"/>
        <v>#N/A</v>
      </c>
      <c r="DQ73" s="45" t="e">
        <f t="shared" si="31"/>
        <v>#N/A</v>
      </c>
      <c r="DR73" s="69" t="e">
        <f t="shared" si="32"/>
        <v>#N/A</v>
      </c>
      <c r="DS73" s="34"/>
      <c r="DT73" s="67" t="e">
        <f>((BX73*CJ73)+IF($W73=MAT_AR,(BZ73*CL73),0))*(1+Reference!$E$50+Reference!$E$51)</f>
        <v>#N/A</v>
      </c>
      <c r="DU73" s="67">
        <f>((BY73*CK73)+IF($W73=MAT_AR,(CA73*CM73),0))*(1+Reference!$G$50+Reference!$G$51)</f>
        <v>0</v>
      </c>
      <c r="DV73" s="67" t="e">
        <f t="shared" si="33"/>
        <v>#VALUE!</v>
      </c>
      <c r="DX73" s="56">
        <v>59</v>
      </c>
      <c r="DY73" s="67">
        <f t="shared" si="34"/>
        <v>0</v>
      </c>
      <c r="DZ73" s="45" t="e">
        <f>VLOOKUP($R73,Dropdown!$C$3:$D$4,2,FALSE)</f>
        <v>#N/A</v>
      </c>
      <c r="EA73" s="68">
        <f t="shared" si="35"/>
        <v>0</v>
      </c>
      <c r="EB73" s="68" t="str">
        <f t="shared" si="36"/>
        <v>N/A</v>
      </c>
      <c r="EC73" s="68">
        <f t="shared" si="37"/>
        <v>0</v>
      </c>
      <c r="ED73" s="68" t="str">
        <f t="shared" si="118"/>
        <v>N/A</v>
      </c>
      <c r="EF73" s="56">
        <v>59</v>
      </c>
      <c r="EG73" s="46">
        <f t="shared" si="39"/>
        <v>0</v>
      </c>
      <c r="EH73" s="68" t="e">
        <f t="shared" si="40"/>
        <v>#N/A</v>
      </c>
      <c r="EI73" s="68" t="e">
        <f t="shared" si="41"/>
        <v>#N/A</v>
      </c>
      <c r="EJ73" s="68" t="e">
        <f t="shared" si="42"/>
        <v>#N/A</v>
      </c>
      <c r="EK73" s="68" t="e">
        <f t="shared" si="43"/>
        <v>#N/A</v>
      </c>
      <c r="EL73" s="46">
        <f t="shared" si="44"/>
        <v>0</v>
      </c>
      <c r="EM73" s="46">
        <f t="shared" si="45"/>
        <v>0</v>
      </c>
    </row>
    <row r="74" spans="1:143">
      <c r="A74" s="89"/>
      <c r="B74" s="89"/>
      <c r="C74" s="89"/>
      <c r="D74" s="89"/>
      <c r="E74" s="89"/>
      <c r="F74" s="89"/>
      <c r="G74" s="34"/>
      <c r="H74" s="56">
        <f t="shared" si="46"/>
        <v>60</v>
      </c>
      <c r="I74" s="165"/>
      <c r="J74" s="163"/>
      <c r="K74" s="163"/>
      <c r="L74" s="164"/>
      <c r="M74" s="155"/>
      <c r="N74" s="155"/>
      <c r="O74" s="144"/>
      <c r="P74" s="159" t="str">
        <f>IFERROR(IF(O74&lt;&gt;"User Specified",IF(O74&lt;&gt;"", INDEX('Refrigerant GWPs'!$G$2:$G$154,MATCH(O74,'Refrigerant GWPs'!$A$2:$A$154,0)),""),U74),0)</f>
        <v/>
      </c>
      <c r="Q74" s="155"/>
      <c r="R74" s="155"/>
      <c r="S74" s="144"/>
      <c r="T74" s="159" t="str">
        <f>IF(S74&lt;&gt;"User Specified",IF(AND(S74&lt;&gt;"User Specified",S74&lt;&gt;""), INDEX('Refrigerant GWPs'!$G$2:$G$154,MATCH(S74,'Refrigerant GWPs'!$A$2:$A$154,0)),""),V74)</f>
        <v/>
      </c>
      <c r="U74" s="144"/>
      <c r="V74" s="144"/>
      <c r="W74" s="155"/>
      <c r="X74" s="155"/>
      <c r="Y74" s="144"/>
      <c r="Z74" s="159" t="str">
        <f>IF(AND(Y74&lt;&gt;"User Specified",Y74&lt;&gt;""), INDEX('Refrigerant GWPs'!$G$2:$G$154,MATCH(Y74,'Refrigerant GWPs'!$A$2:$A$154,0)),"")</f>
        <v/>
      </c>
      <c r="AA74" s="155"/>
      <c r="AB74" s="156"/>
      <c r="AC74" s="66"/>
      <c r="AD74" s="66"/>
      <c r="AE74" s="66"/>
      <c r="AF74" s="66"/>
      <c r="AG74" s="66"/>
      <c r="AH74" s="66"/>
      <c r="AI74" s="34"/>
      <c r="AJ74" s="88">
        <f t="shared" si="0"/>
        <v>0</v>
      </c>
      <c r="AK74" s="88">
        <f t="shared" si="1"/>
        <v>0</v>
      </c>
      <c r="AL74" s="88">
        <v>0</v>
      </c>
      <c r="AM74" s="88">
        <v>0</v>
      </c>
      <c r="AN74" s="81" t="str">
        <f t="shared" si="47"/>
        <v/>
      </c>
      <c r="AO74" s="88">
        <f t="shared" si="2"/>
        <v>0</v>
      </c>
      <c r="AP74" s="88">
        <f t="shared" si="3"/>
        <v>0</v>
      </c>
      <c r="AQ74" s="81" t="str">
        <f t="shared" si="4"/>
        <v/>
      </c>
      <c r="AS74" s="41" t="b">
        <f t="shared" si="5"/>
        <v>1</v>
      </c>
      <c r="AT74" s="38">
        <f t="shared" si="6"/>
        <v>0</v>
      </c>
      <c r="AU74" s="60">
        <f t="shared" si="7"/>
        <v>0</v>
      </c>
      <c r="AV74" s="41">
        <f t="shared" si="8"/>
        <v>0</v>
      </c>
      <c r="AW74" s="41" t="b">
        <f t="shared" si="9"/>
        <v>0</v>
      </c>
      <c r="AX74" t="str">
        <f t="shared" si="10"/>
        <v>+00</v>
      </c>
      <c r="AY74" t="str">
        <f t="shared" si="11"/>
        <v>+00</v>
      </c>
      <c r="BA74" s="47" t="b">
        <f t="shared" si="83"/>
        <v>1</v>
      </c>
      <c r="BB74" s="42" t="b">
        <f t="shared" si="84"/>
        <v>1</v>
      </c>
      <c r="BC74" s="42" t="b">
        <f t="shared" si="85"/>
        <v>0</v>
      </c>
      <c r="BD74" s="42" t="b">
        <f t="shared" si="86"/>
        <v>0</v>
      </c>
      <c r="BE74" s="70">
        <f t="shared" si="87"/>
        <v>0</v>
      </c>
      <c r="BF74" s="70">
        <f t="shared" si="88"/>
        <v>0</v>
      </c>
      <c r="BG74" s="34"/>
      <c r="BI74" s="47" t="b">
        <f t="shared" si="89"/>
        <v>1</v>
      </c>
      <c r="BJ74" s="47" t="b">
        <f t="shared" si="90"/>
        <v>1</v>
      </c>
      <c r="BK74" s="42" t="b">
        <f t="shared" si="91"/>
        <v>0</v>
      </c>
      <c r="BL74" s="42" t="b">
        <f t="shared" si="92"/>
        <v>0</v>
      </c>
      <c r="BM74" s="42">
        <f t="shared" si="93"/>
        <v>0</v>
      </c>
      <c r="BN74" s="42">
        <f t="shared" si="94"/>
        <v>0</v>
      </c>
      <c r="BP74" t="e">
        <f t="shared" si="95"/>
        <v>#N/A</v>
      </c>
      <c r="BQ74" t="e">
        <f t="shared" si="96"/>
        <v>#N/A</v>
      </c>
      <c r="BR74" t="e">
        <f t="shared" si="97"/>
        <v>#N/A</v>
      </c>
      <c r="BT74" s="60">
        <f t="shared" si="106"/>
        <v>0</v>
      </c>
      <c r="BU74" s="60">
        <f t="shared" si="107"/>
        <v>0</v>
      </c>
      <c r="BV74" s="60">
        <f t="shared" si="108"/>
        <v>0</v>
      </c>
      <c r="BW74" s="60">
        <f t="shared" si="109"/>
        <v>0</v>
      </c>
      <c r="BX74" s="60">
        <f t="shared" si="98"/>
        <v>0</v>
      </c>
      <c r="BY74" s="60">
        <f t="shared" si="99"/>
        <v>0</v>
      </c>
      <c r="BZ74" s="60">
        <f t="shared" si="100"/>
        <v>0</v>
      </c>
      <c r="CA74" s="60">
        <f t="shared" si="101"/>
        <v>0</v>
      </c>
      <c r="CB74" s="60" t="e">
        <f t="shared" si="110"/>
        <v>#N/A</v>
      </c>
      <c r="CC74" s="60">
        <f t="shared" si="111"/>
        <v>100000</v>
      </c>
      <c r="CD74" s="60" t="e">
        <f t="shared" si="112"/>
        <v>#N/A</v>
      </c>
      <c r="CE74" s="60">
        <f t="shared" si="113"/>
        <v>100000</v>
      </c>
      <c r="CF74" s="83" t="e">
        <f t="shared" si="102"/>
        <v>#N/A</v>
      </c>
      <c r="CG74" s="83">
        <f t="shared" si="103"/>
        <v>0</v>
      </c>
      <c r="CH74" s="83" t="e">
        <f t="shared" si="104"/>
        <v>#N/A</v>
      </c>
      <c r="CI74" s="83">
        <f t="shared" si="105"/>
        <v>0</v>
      </c>
      <c r="CJ74" s="86" t="e">
        <f t="shared" si="114"/>
        <v>#N/A</v>
      </c>
      <c r="CK74" s="82">
        <f t="shared" si="115"/>
        <v>5.3070370403969858E-3</v>
      </c>
      <c r="CL74" s="82" t="e">
        <f t="shared" si="116"/>
        <v>#N/A</v>
      </c>
      <c r="CM74" s="82">
        <f t="shared" si="117"/>
        <v>5.3070370403969858E-3</v>
      </c>
      <c r="CO74" s="149" t="str">
        <f>IF($I74&lt;&gt;"",IF(O74="User Specified",U74,INDEX('Refrigerant GWPs'!$G$2:$G$156,MATCH(O74,'Refrigerant GWPs'!$A$2:$A$156,0))),"")</f>
        <v/>
      </c>
      <c r="CP74" s="138" t="str">
        <f>IF($I74&lt;&gt;"",INDEX('Device Refrigerant Leakage'!$E$2:$E$42,MATCH($M74,'Device Refrigerant Leakage'!$B$2:$B$42,0)),"")</f>
        <v/>
      </c>
      <c r="CQ74" s="138" t="str">
        <f>IF($I74&lt;&gt;"",INDEX('Device Refrigerant Leakage'!$F$2:$F$42,MATCH($M74,'Device Refrigerant Leakage'!$B$2:$B$42,0)),"")</f>
        <v/>
      </c>
      <c r="CR74" s="145" t="str">
        <f>IF($I74&lt;&gt;"",INDEX('Device Refrigerant Leakage'!$G$2:$G$42,MATCH($M74,'Device Refrigerant Leakage'!$B$2:$B$42,0)),"")</f>
        <v/>
      </c>
      <c r="CS74" s="145" t="str">
        <f>IF($I74&lt;&gt;"",INDEX('Device Refrigerant Leakage'!$D$2:$D$42,MATCH($M74,'Device Refrigerant Leakage'!$B$2:$B$42,0))*CP74/2204.62*CO74,"")</f>
        <v/>
      </c>
      <c r="CT74" s="145" t="str">
        <f>IF($I74&lt;&gt;"",J74*(INDEX('Device Refrigerant Leakage'!$D$2:$D$42,MATCH($M74,'Device Refrigerant Leakage'!$B$2:$B$42,0))-(INDEX('Device Refrigerant Leakage'!$D$2:$D$42,MATCH($M74,'Device Refrigerant Leakage'!$B$2:$B$42,0)))*CR74*CP74)*CQ74/2204.62*CO74,"")</f>
        <v/>
      </c>
      <c r="CU74" s="135" t="str">
        <f>IF($I74&lt;&gt;"",J74*IF(W74&lt;&gt;"AR",(CS74*K74)+CT74,(CS74*AB74)+CT74*(AB74/INDEX('Device Refrigerant Leakage'!$C$2:$C$42,MATCH($M74,'Device Refrigerant Leakage'!$B$2:$B$42,0)))),"")</f>
        <v/>
      </c>
      <c r="CW74" s="135" t="str">
        <f>IF($I74&lt;&gt;"",IF(S74="User Specified",V74,INDEX('Refrigerant GWPs'!$G$2:$G$156,MATCH(S74,'Refrigerant GWPs'!$A$2:$A$157,0))),"")</f>
        <v/>
      </c>
      <c r="CX74" s="138" t="str">
        <f>IF($I74&lt;&gt;"",INDEX('Device Refrigerant Leakage'!$E$2:$E$42,MATCH($Q74,'Device Refrigerant Leakage'!$B$2:$B$42,0)),"")</f>
        <v/>
      </c>
      <c r="CY74" s="138" t="str">
        <f>IF($I74&lt;&gt;"",INDEX('Device Refrigerant Leakage'!$F$2:$F$42,MATCH($Q74,'Device Refrigerant Leakage'!$B$2:$B$42,0)),"")</f>
        <v/>
      </c>
      <c r="CZ74" s="145" t="str">
        <f>IF($I74&lt;&gt;"",INDEX('Device Refrigerant Leakage'!$G$2:$G$42,MATCH($Q74,'Device Refrigerant Leakage'!$B$2:$B$42,0)),"")</f>
        <v/>
      </c>
      <c r="DA74" s="145" t="str">
        <f>IF($I74&lt;&gt;"",J74*INDEX('Device Refrigerant Leakage'!$D$2:$D$42,MATCH($Q74,'Device Refrigerant Leakage'!$B$2:$B$42,0))*CX74/2204.62*CW74,"")</f>
        <v/>
      </c>
      <c r="DB74" s="145" t="str">
        <f>IF($I74&lt;&gt;"",J74*(INDEX('Device Refrigerant Leakage'!$D$2:$D$42,MATCH($Q74,'Device Refrigerant Leakage'!$B$2:$B$42,0))-(INDEX('Device Refrigerant Leakage'!$D$2:$D$42,MATCH($Q74,'Device Refrigerant Leakage'!$B$2:$B$42,0)))*CZ74*CX74)*CY74/2204.62*CW74,"")</f>
        <v/>
      </c>
      <c r="DC74" s="135" t="str">
        <f t="shared" si="59"/>
        <v/>
      </c>
      <c r="DE74" s="146" t="str">
        <f>IF(W74&lt;&gt;"AR","",IF(Y74="User Specified", AA74, INDEX('Refrigerant GWPs'!$G$2:$G$154,MATCH(Y74,'Refrigerant GWPs'!$A$2:$A$154,0))))</f>
        <v/>
      </c>
      <c r="DF74" s="146" t="str">
        <f>IF(W74&lt;&gt;"AR","",INDEX('Device Refrigerant Leakage'!$E$2:$E$42,MATCH(X74,'Device Refrigerant Leakage'!$B$2:$B$42,0)))</f>
        <v/>
      </c>
      <c r="DG74" s="146" t="str">
        <f>IF(W74&lt;&gt;"AR","",INDEX('Device Refrigerant Leakage'!$F$2:$F$42,MATCH(X74,'Device Refrigerant Leakage'!$B$2:$B$42,0)))</f>
        <v/>
      </c>
      <c r="DH74" s="146" t="str">
        <f>IF(W74&lt;&gt;"AR","",INDEX('Device Refrigerant Leakage'!$G$2:$G$42,MATCH(X74,'Device Refrigerant Leakage'!$B$2:$B$42,0)))</f>
        <v/>
      </c>
      <c r="DI74" s="146" t="str">
        <f>IF(W74&lt;&gt;"AR","",J74*INDEX('Device Refrigerant Leakage'!$D$2:$D$42,MATCH(X74,'Device Refrigerant Leakage'!$B$2:$B$42,0))*DF74/2204.62*DE74)</f>
        <v/>
      </c>
      <c r="DJ74" s="146" t="str">
        <f>IF(W74&lt;&gt;"AR","",J74*(INDEX('Device Refrigerant Leakage'!$D$2:$D$42,MATCH(X74,'Device Refrigerant Leakage'!$B$2:$B$42,0))-(INDEX('Device Refrigerant Leakage'!$D$2:$D$42,MATCH(X74,'Device Refrigerant Leakage'!$B$2:$B$42,0)))*DH74*DF74)*DG74/2204.62*DE74)</f>
        <v/>
      </c>
      <c r="DK74" s="146" t="str">
        <f>IF(W74&lt;&gt;"AR","",DI74*(K74-AB74)+'Fuel Sub Calcs-Deemed'!DJ74*((K74-AB74)/INDEX('Device Refrigerant Leakage'!$C$2:$C$42,MATCH('Fuel Sub Calcs-Deemed'!X74,'Device Refrigerant Leakage'!$B$2:$B$42,0))))</f>
        <v/>
      </c>
      <c r="DM74" s="56">
        <v>60</v>
      </c>
      <c r="DN74" s="67" t="e">
        <f t="shared" si="28"/>
        <v>#N/A</v>
      </c>
      <c r="DO74" s="45" t="e">
        <f t="shared" si="29"/>
        <v>#N/A</v>
      </c>
      <c r="DP74" s="67" t="e">
        <f t="shared" si="30"/>
        <v>#N/A</v>
      </c>
      <c r="DQ74" s="45" t="e">
        <f t="shared" si="31"/>
        <v>#N/A</v>
      </c>
      <c r="DR74" s="69" t="e">
        <f t="shared" si="32"/>
        <v>#N/A</v>
      </c>
      <c r="DS74" s="34"/>
      <c r="DT74" s="67" t="e">
        <f>((BX74*CJ74)+IF($W74=MAT_AR,(BZ74*CL74),0))*(1+Reference!$E$50+Reference!$E$51)</f>
        <v>#N/A</v>
      </c>
      <c r="DU74" s="67">
        <f>((BY74*CK74)+IF($W74=MAT_AR,(CA74*CM74),0))*(1+Reference!$G$50+Reference!$G$51)</f>
        <v>0</v>
      </c>
      <c r="DV74" s="67" t="e">
        <f t="shared" si="33"/>
        <v>#VALUE!</v>
      </c>
      <c r="DX74" s="56">
        <v>60</v>
      </c>
      <c r="DY74" s="67">
        <f t="shared" si="34"/>
        <v>0</v>
      </c>
      <c r="DZ74" s="45" t="e">
        <f>VLOOKUP($R74,Dropdown!$C$3:$D$4,2,FALSE)</f>
        <v>#N/A</v>
      </c>
      <c r="EA74" s="68">
        <f t="shared" si="35"/>
        <v>0</v>
      </c>
      <c r="EB74" s="68" t="str">
        <f t="shared" si="36"/>
        <v>N/A</v>
      </c>
      <c r="EC74" s="68">
        <f t="shared" si="37"/>
        <v>0</v>
      </c>
      <c r="ED74" s="68" t="str">
        <f t="shared" si="118"/>
        <v>N/A</v>
      </c>
      <c r="EF74" s="56">
        <v>60</v>
      </c>
      <c r="EG74" s="46">
        <f t="shared" si="39"/>
        <v>0</v>
      </c>
      <c r="EH74" s="68" t="e">
        <f t="shared" si="40"/>
        <v>#N/A</v>
      </c>
      <c r="EI74" s="68" t="e">
        <f t="shared" si="41"/>
        <v>#N/A</v>
      </c>
      <c r="EJ74" s="68" t="e">
        <f t="shared" si="42"/>
        <v>#N/A</v>
      </c>
      <c r="EK74" s="68" t="e">
        <f t="shared" si="43"/>
        <v>#N/A</v>
      </c>
      <c r="EL74" s="46">
        <f t="shared" si="44"/>
        <v>0</v>
      </c>
      <c r="EM74" s="46">
        <f t="shared" si="45"/>
        <v>0</v>
      </c>
    </row>
    <row r="75" spans="1:143">
      <c r="A75" s="89"/>
      <c r="B75" s="89"/>
      <c r="C75" s="89"/>
      <c r="D75" s="89"/>
      <c r="E75" s="89"/>
      <c r="F75" s="89"/>
      <c r="G75" s="34"/>
      <c r="H75" s="56">
        <f t="shared" si="46"/>
        <v>61</v>
      </c>
      <c r="I75" s="165"/>
      <c r="J75" s="163"/>
      <c r="K75" s="163"/>
      <c r="L75" s="164"/>
      <c r="M75" s="155"/>
      <c r="N75" s="155"/>
      <c r="O75" s="144"/>
      <c r="P75" s="159" t="str">
        <f>IFERROR(IF(O75&lt;&gt;"User Specified",IF(O75&lt;&gt;"", INDEX('Refrigerant GWPs'!$G$2:$G$154,MATCH(O75,'Refrigerant GWPs'!$A$2:$A$154,0)),""),U75),0)</f>
        <v/>
      </c>
      <c r="Q75" s="155"/>
      <c r="R75" s="155"/>
      <c r="S75" s="144"/>
      <c r="T75" s="159" t="str">
        <f>IF(S75&lt;&gt;"User Specified",IF(AND(S75&lt;&gt;"User Specified",S75&lt;&gt;""), INDEX('Refrigerant GWPs'!$G$2:$G$154,MATCH(S75,'Refrigerant GWPs'!$A$2:$A$154,0)),""),V75)</f>
        <v/>
      </c>
      <c r="U75" s="144"/>
      <c r="V75" s="144"/>
      <c r="W75" s="155"/>
      <c r="X75" s="155"/>
      <c r="Y75" s="144"/>
      <c r="Z75" s="159" t="str">
        <f>IF(AND(Y75&lt;&gt;"User Specified",Y75&lt;&gt;""), INDEX('Refrigerant GWPs'!$G$2:$G$154,MATCH(Y75,'Refrigerant GWPs'!$A$2:$A$154,0)),"")</f>
        <v/>
      </c>
      <c r="AA75" s="155"/>
      <c r="AB75" s="156"/>
      <c r="AC75" s="66"/>
      <c r="AD75" s="66"/>
      <c r="AE75" s="66"/>
      <c r="AF75" s="66"/>
      <c r="AG75" s="66"/>
      <c r="AH75" s="66"/>
      <c r="AI75" s="34"/>
      <c r="AJ75" s="88">
        <f t="shared" si="0"/>
        <v>0</v>
      </c>
      <c r="AK75" s="88">
        <f t="shared" si="1"/>
        <v>0</v>
      </c>
      <c r="AL75" s="88">
        <v>0</v>
      </c>
      <c r="AM75" s="88">
        <v>0</v>
      </c>
      <c r="AN75" s="81" t="str">
        <f t="shared" si="47"/>
        <v/>
      </c>
      <c r="AO75" s="88">
        <f t="shared" si="2"/>
        <v>0</v>
      </c>
      <c r="AP75" s="88">
        <f t="shared" si="3"/>
        <v>0</v>
      </c>
      <c r="AQ75" s="81" t="str">
        <f t="shared" si="4"/>
        <v/>
      </c>
      <c r="AS75" s="41" t="b">
        <f t="shared" si="5"/>
        <v>1</v>
      </c>
      <c r="AT75" s="38">
        <f t="shared" si="6"/>
        <v>0</v>
      </c>
      <c r="AU75" s="60">
        <f t="shared" si="7"/>
        <v>0</v>
      </c>
      <c r="AV75" s="41">
        <f t="shared" si="8"/>
        <v>0</v>
      </c>
      <c r="AW75" s="41" t="b">
        <f t="shared" si="9"/>
        <v>0</v>
      </c>
      <c r="AX75" t="str">
        <f t="shared" si="10"/>
        <v>+00</v>
      </c>
      <c r="AY75" t="str">
        <f t="shared" si="11"/>
        <v>+00</v>
      </c>
      <c r="BA75" s="47" t="b">
        <f t="shared" si="83"/>
        <v>1</v>
      </c>
      <c r="BB75" s="42" t="b">
        <f t="shared" si="84"/>
        <v>1</v>
      </c>
      <c r="BC75" s="42" t="b">
        <f t="shared" si="85"/>
        <v>0</v>
      </c>
      <c r="BD75" s="42" t="b">
        <f t="shared" si="86"/>
        <v>0</v>
      </c>
      <c r="BE75" s="70">
        <f t="shared" si="87"/>
        <v>0</v>
      </c>
      <c r="BF75" s="70">
        <f t="shared" si="88"/>
        <v>0</v>
      </c>
      <c r="BG75" s="34"/>
      <c r="BI75" s="47" t="b">
        <f t="shared" si="89"/>
        <v>1</v>
      </c>
      <c r="BJ75" s="47" t="b">
        <f t="shared" si="90"/>
        <v>1</v>
      </c>
      <c r="BK75" s="42" t="b">
        <f t="shared" si="91"/>
        <v>0</v>
      </c>
      <c r="BL75" s="42" t="b">
        <f t="shared" si="92"/>
        <v>0</v>
      </c>
      <c r="BM75" s="42">
        <f t="shared" si="93"/>
        <v>0</v>
      </c>
      <c r="BN75" s="42">
        <f t="shared" si="94"/>
        <v>0</v>
      </c>
      <c r="BP75" t="e">
        <f t="shared" si="95"/>
        <v>#N/A</v>
      </c>
      <c r="BQ75" t="e">
        <f t="shared" si="96"/>
        <v>#N/A</v>
      </c>
      <c r="BR75" t="e">
        <f t="shared" si="97"/>
        <v>#N/A</v>
      </c>
      <c r="BT75" s="60">
        <f t="shared" si="106"/>
        <v>0</v>
      </c>
      <c r="BU75" s="60">
        <f t="shared" si="107"/>
        <v>0</v>
      </c>
      <c r="BV75" s="60">
        <f t="shared" si="108"/>
        <v>0</v>
      </c>
      <c r="BW75" s="60">
        <f t="shared" si="109"/>
        <v>0</v>
      </c>
      <c r="BX75" s="60">
        <f t="shared" si="98"/>
        <v>0</v>
      </c>
      <c r="BY75" s="60">
        <f t="shared" si="99"/>
        <v>0</v>
      </c>
      <c r="BZ75" s="60">
        <f t="shared" si="100"/>
        <v>0</v>
      </c>
      <c r="CA75" s="60">
        <f t="shared" si="101"/>
        <v>0</v>
      </c>
      <c r="CB75" s="60" t="e">
        <f t="shared" si="110"/>
        <v>#N/A</v>
      </c>
      <c r="CC75" s="60">
        <f t="shared" si="111"/>
        <v>100000</v>
      </c>
      <c r="CD75" s="60" t="e">
        <f t="shared" si="112"/>
        <v>#N/A</v>
      </c>
      <c r="CE75" s="60">
        <f t="shared" si="113"/>
        <v>100000</v>
      </c>
      <c r="CF75" s="83" t="e">
        <f t="shared" si="102"/>
        <v>#N/A</v>
      </c>
      <c r="CG75" s="83">
        <f t="shared" si="103"/>
        <v>0</v>
      </c>
      <c r="CH75" s="83" t="e">
        <f t="shared" si="104"/>
        <v>#N/A</v>
      </c>
      <c r="CI75" s="83">
        <f t="shared" si="105"/>
        <v>0</v>
      </c>
      <c r="CJ75" s="86" t="e">
        <f t="shared" si="114"/>
        <v>#N/A</v>
      </c>
      <c r="CK75" s="82">
        <f t="shared" si="115"/>
        <v>5.3070370403969858E-3</v>
      </c>
      <c r="CL75" s="82" t="e">
        <f t="shared" si="116"/>
        <v>#N/A</v>
      </c>
      <c r="CM75" s="82">
        <f t="shared" si="117"/>
        <v>5.3070370403969858E-3</v>
      </c>
      <c r="CO75" s="149" t="str">
        <f>IF($I75&lt;&gt;"",IF(O75="User Specified",U75,INDEX('Refrigerant GWPs'!$G$2:$G$156,MATCH(O75,'Refrigerant GWPs'!$A$2:$A$156,0))),"")</f>
        <v/>
      </c>
      <c r="CP75" s="138" t="str">
        <f>IF($I75&lt;&gt;"",INDEX('Device Refrigerant Leakage'!$E$2:$E$42,MATCH($M75,'Device Refrigerant Leakage'!$B$2:$B$42,0)),"")</f>
        <v/>
      </c>
      <c r="CQ75" s="138" t="str">
        <f>IF($I75&lt;&gt;"",INDEX('Device Refrigerant Leakage'!$F$2:$F$42,MATCH($M75,'Device Refrigerant Leakage'!$B$2:$B$42,0)),"")</f>
        <v/>
      </c>
      <c r="CR75" s="145" t="str">
        <f>IF($I75&lt;&gt;"",INDEX('Device Refrigerant Leakage'!$G$2:$G$42,MATCH($M75,'Device Refrigerant Leakage'!$B$2:$B$42,0)),"")</f>
        <v/>
      </c>
      <c r="CS75" s="145" t="str">
        <f>IF($I75&lt;&gt;"",INDEX('Device Refrigerant Leakage'!$D$2:$D$42,MATCH($M75,'Device Refrigerant Leakage'!$B$2:$B$42,0))*CP75/2204.62*CO75,"")</f>
        <v/>
      </c>
      <c r="CT75" s="145" t="str">
        <f>IF($I75&lt;&gt;"",J75*(INDEX('Device Refrigerant Leakage'!$D$2:$D$42,MATCH($M75,'Device Refrigerant Leakage'!$B$2:$B$42,0))-(INDEX('Device Refrigerant Leakage'!$D$2:$D$42,MATCH($M75,'Device Refrigerant Leakage'!$B$2:$B$42,0)))*CR75*CP75)*CQ75/2204.62*CO75,"")</f>
        <v/>
      </c>
      <c r="CU75" s="135" t="str">
        <f>IF($I75&lt;&gt;"",J75*IF(W75&lt;&gt;"AR",(CS75*K75)+CT75,(CS75*AB75)+CT75*(AB75/INDEX('Device Refrigerant Leakage'!$C$2:$C$42,MATCH($M75,'Device Refrigerant Leakage'!$B$2:$B$42,0)))),"")</f>
        <v/>
      </c>
      <c r="CW75" s="135" t="str">
        <f>IF($I75&lt;&gt;"",IF(S75="User Specified",V75,INDEX('Refrigerant GWPs'!$G$2:$G$156,MATCH(S75,'Refrigerant GWPs'!$A$2:$A$157,0))),"")</f>
        <v/>
      </c>
      <c r="CX75" s="138" t="str">
        <f>IF($I75&lt;&gt;"",INDEX('Device Refrigerant Leakage'!$E$2:$E$42,MATCH($Q75,'Device Refrigerant Leakage'!$B$2:$B$42,0)),"")</f>
        <v/>
      </c>
      <c r="CY75" s="138" t="str">
        <f>IF($I75&lt;&gt;"",INDEX('Device Refrigerant Leakage'!$F$2:$F$42,MATCH($Q75,'Device Refrigerant Leakage'!$B$2:$B$42,0)),"")</f>
        <v/>
      </c>
      <c r="CZ75" s="145" t="str">
        <f>IF($I75&lt;&gt;"",INDEX('Device Refrigerant Leakage'!$G$2:$G$42,MATCH($Q75,'Device Refrigerant Leakage'!$B$2:$B$42,0)),"")</f>
        <v/>
      </c>
      <c r="DA75" s="145" t="str">
        <f>IF($I75&lt;&gt;"",J75*INDEX('Device Refrigerant Leakage'!$D$2:$D$42,MATCH($Q75,'Device Refrigerant Leakage'!$B$2:$B$42,0))*CX75/2204.62*CW75,"")</f>
        <v/>
      </c>
      <c r="DB75" s="145" t="str">
        <f>IF($I75&lt;&gt;"",J75*(INDEX('Device Refrigerant Leakage'!$D$2:$D$42,MATCH($Q75,'Device Refrigerant Leakage'!$B$2:$B$42,0))-(INDEX('Device Refrigerant Leakage'!$D$2:$D$42,MATCH($Q75,'Device Refrigerant Leakage'!$B$2:$B$42,0)))*CZ75*CX75)*CY75/2204.62*CW75,"")</f>
        <v/>
      </c>
      <c r="DC75" s="135" t="str">
        <f t="shared" si="59"/>
        <v/>
      </c>
      <c r="DE75" s="146" t="str">
        <f>IF(W75&lt;&gt;"AR","",IF(Y75="User Specified", AA75, INDEX('Refrigerant GWPs'!$G$2:$G$154,MATCH(Y75,'Refrigerant GWPs'!$A$2:$A$154,0))))</f>
        <v/>
      </c>
      <c r="DF75" s="146" t="str">
        <f>IF(W75&lt;&gt;"AR","",INDEX('Device Refrigerant Leakage'!$E$2:$E$42,MATCH(X75,'Device Refrigerant Leakage'!$B$2:$B$42,0)))</f>
        <v/>
      </c>
      <c r="DG75" s="146" t="str">
        <f>IF(W75&lt;&gt;"AR","",INDEX('Device Refrigerant Leakage'!$F$2:$F$42,MATCH(X75,'Device Refrigerant Leakage'!$B$2:$B$42,0)))</f>
        <v/>
      </c>
      <c r="DH75" s="146" t="str">
        <f>IF(W75&lt;&gt;"AR","",INDEX('Device Refrigerant Leakage'!$G$2:$G$42,MATCH(X75,'Device Refrigerant Leakage'!$B$2:$B$42,0)))</f>
        <v/>
      </c>
      <c r="DI75" s="146" t="str">
        <f>IF(W75&lt;&gt;"AR","",J75*INDEX('Device Refrigerant Leakage'!$D$2:$D$42,MATCH(X75,'Device Refrigerant Leakage'!$B$2:$B$42,0))*DF75/2204.62*DE75)</f>
        <v/>
      </c>
      <c r="DJ75" s="146" t="str">
        <f>IF(W75&lt;&gt;"AR","",J75*(INDEX('Device Refrigerant Leakage'!$D$2:$D$42,MATCH(X75,'Device Refrigerant Leakage'!$B$2:$B$42,0))-(INDEX('Device Refrigerant Leakage'!$D$2:$D$42,MATCH(X75,'Device Refrigerant Leakage'!$B$2:$B$42,0)))*DH75*DF75)*DG75/2204.62*DE75)</f>
        <v/>
      </c>
      <c r="DK75" s="146" t="str">
        <f>IF(W75&lt;&gt;"AR","",DI75*(K75-AB75)+'Fuel Sub Calcs-Deemed'!DJ75*((K75-AB75)/INDEX('Device Refrigerant Leakage'!$C$2:$C$42,MATCH('Fuel Sub Calcs-Deemed'!X75,'Device Refrigerant Leakage'!$B$2:$B$42,0))))</f>
        <v/>
      </c>
      <c r="DM75" s="56">
        <v>61</v>
      </c>
      <c r="DN75" s="67" t="e">
        <f t="shared" si="28"/>
        <v>#N/A</v>
      </c>
      <c r="DO75" s="45" t="e">
        <f t="shared" si="29"/>
        <v>#N/A</v>
      </c>
      <c r="DP75" s="67" t="e">
        <f t="shared" si="30"/>
        <v>#N/A</v>
      </c>
      <c r="DQ75" s="45" t="e">
        <f t="shared" si="31"/>
        <v>#N/A</v>
      </c>
      <c r="DR75" s="69" t="e">
        <f t="shared" si="32"/>
        <v>#N/A</v>
      </c>
      <c r="DS75" s="34"/>
      <c r="DT75" s="67" t="e">
        <f>((BX75*CJ75)+IF($W75=MAT_AR,(BZ75*CL75),0))*(1+Reference!$E$50+Reference!$E$51)</f>
        <v>#N/A</v>
      </c>
      <c r="DU75" s="67">
        <f>((BY75*CK75)+IF($W75=MAT_AR,(CA75*CM75),0))*(1+Reference!$G$50+Reference!$G$51)</f>
        <v>0</v>
      </c>
      <c r="DV75" s="67" t="e">
        <f t="shared" si="33"/>
        <v>#VALUE!</v>
      </c>
      <c r="DX75" s="56">
        <v>61</v>
      </c>
      <c r="DY75" s="67">
        <f t="shared" si="34"/>
        <v>0</v>
      </c>
      <c r="DZ75" s="45" t="e">
        <f>VLOOKUP($R75,Dropdown!$C$3:$D$4,2,FALSE)</f>
        <v>#N/A</v>
      </c>
      <c r="EA75" s="68">
        <f t="shared" si="35"/>
        <v>0</v>
      </c>
      <c r="EB75" s="68" t="str">
        <f t="shared" si="36"/>
        <v>N/A</v>
      </c>
      <c r="EC75" s="68">
        <f t="shared" si="37"/>
        <v>0</v>
      </c>
      <c r="ED75" s="68" t="str">
        <f t="shared" si="118"/>
        <v>N/A</v>
      </c>
      <c r="EF75" s="56">
        <v>61</v>
      </c>
      <c r="EG75" s="46">
        <f t="shared" si="39"/>
        <v>0</v>
      </c>
      <c r="EH75" s="68" t="e">
        <f t="shared" si="40"/>
        <v>#N/A</v>
      </c>
      <c r="EI75" s="68" t="e">
        <f t="shared" si="41"/>
        <v>#N/A</v>
      </c>
      <c r="EJ75" s="68" t="e">
        <f t="shared" si="42"/>
        <v>#N/A</v>
      </c>
      <c r="EK75" s="68" t="e">
        <f t="shared" si="43"/>
        <v>#N/A</v>
      </c>
      <c r="EL75" s="46">
        <f t="shared" si="44"/>
        <v>0</v>
      </c>
      <c r="EM75" s="46">
        <f t="shared" si="45"/>
        <v>0</v>
      </c>
    </row>
    <row r="76" spans="1:143">
      <c r="A76" s="89"/>
      <c r="B76" s="89"/>
      <c r="C76" s="89"/>
      <c r="D76" s="89"/>
      <c r="E76" s="89"/>
      <c r="F76" s="89"/>
      <c r="G76" s="34"/>
      <c r="H76" s="56">
        <f t="shared" si="46"/>
        <v>62</v>
      </c>
      <c r="I76" s="165"/>
      <c r="J76" s="163"/>
      <c r="K76" s="163"/>
      <c r="L76" s="164"/>
      <c r="M76" s="155"/>
      <c r="N76" s="155"/>
      <c r="O76" s="144"/>
      <c r="P76" s="159" t="str">
        <f>IFERROR(IF(O76&lt;&gt;"User Specified",IF(O76&lt;&gt;"", INDEX('Refrigerant GWPs'!$G$2:$G$154,MATCH(O76,'Refrigerant GWPs'!$A$2:$A$154,0)),""),U76),0)</f>
        <v/>
      </c>
      <c r="Q76" s="155"/>
      <c r="R76" s="155"/>
      <c r="S76" s="144"/>
      <c r="T76" s="159" t="str">
        <f>IF(S76&lt;&gt;"User Specified",IF(AND(S76&lt;&gt;"User Specified",S76&lt;&gt;""), INDEX('Refrigerant GWPs'!$G$2:$G$154,MATCH(S76,'Refrigerant GWPs'!$A$2:$A$154,0)),""),V76)</f>
        <v/>
      </c>
      <c r="U76" s="144"/>
      <c r="V76" s="144"/>
      <c r="W76" s="155"/>
      <c r="X76" s="155"/>
      <c r="Y76" s="144"/>
      <c r="Z76" s="159" t="str">
        <f>IF(AND(Y76&lt;&gt;"User Specified",Y76&lt;&gt;""), INDEX('Refrigerant GWPs'!$G$2:$G$154,MATCH(Y76,'Refrigerant GWPs'!$A$2:$A$154,0)),"")</f>
        <v/>
      </c>
      <c r="AA76" s="155"/>
      <c r="AB76" s="156"/>
      <c r="AC76" s="66"/>
      <c r="AD76" s="66"/>
      <c r="AE76" s="66"/>
      <c r="AF76" s="66"/>
      <c r="AG76" s="66"/>
      <c r="AH76" s="66"/>
      <c r="AI76" s="34"/>
      <c r="AJ76" s="88">
        <f t="shared" si="0"/>
        <v>0</v>
      </c>
      <c r="AK76" s="88">
        <f t="shared" si="1"/>
        <v>0</v>
      </c>
      <c r="AL76" s="88">
        <v>0</v>
      </c>
      <c r="AM76" s="88">
        <v>0</v>
      </c>
      <c r="AN76" s="81" t="str">
        <f t="shared" si="47"/>
        <v/>
      </c>
      <c r="AO76" s="88">
        <f t="shared" si="2"/>
        <v>0</v>
      </c>
      <c r="AP76" s="88">
        <f t="shared" si="3"/>
        <v>0</v>
      </c>
      <c r="AQ76" s="81" t="str">
        <f t="shared" si="4"/>
        <v/>
      </c>
      <c r="AS76" s="41" t="b">
        <f t="shared" si="5"/>
        <v>1</v>
      </c>
      <c r="AT76" s="38">
        <f t="shared" si="6"/>
        <v>0</v>
      </c>
      <c r="AU76" s="60">
        <f t="shared" si="7"/>
        <v>0</v>
      </c>
      <c r="AV76" s="41">
        <f t="shared" si="8"/>
        <v>0</v>
      </c>
      <c r="AW76" s="41" t="b">
        <f t="shared" si="9"/>
        <v>0</v>
      </c>
      <c r="AX76" t="str">
        <f t="shared" si="10"/>
        <v>+00</v>
      </c>
      <c r="AY76" t="str">
        <f t="shared" si="11"/>
        <v>+00</v>
      </c>
      <c r="BA76" s="47" t="b">
        <f t="shared" si="83"/>
        <v>1</v>
      </c>
      <c r="BB76" s="42" t="b">
        <f t="shared" si="84"/>
        <v>1</v>
      </c>
      <c r="BC76" s="42" t="b">
        <f t="shared" si="85"/>
        <v>0</v>
      </c>
      <c r="BD76" s="42" t="b">
        <f t="shared" si="86"/>
        <v>0</v>
      </c>
      <c r="BE76" s="70">
        <f t="shared" si="87"/>
        <v>0</v>
      </c>
      <c r="BF76" s="70">
        <f t="shared" si="88"/>
        <v>0</v>
      </c>
      <c r="BG76" s="34"/>
      <c r="BI76" s="47" t="b">
        <f t="shared" si="89"/>
        <v>1</v>
      </c>
      <c r="BJ76" s="47" t="b">
        <f t="shared" si="90"/>
        <v>1</v>
      </c>
      <c r="BK76" s="42" t="b">
        <f t="shared" si="91"/>
        <v>0</v>
      </c>
      <c r="BL76" s="42" t="b">
        <f t="shared" si="92"/>
        <v>0</v>
      </c>
      <c r="BM76" s="42">
        <f t="shared" si="93"/>
        <v>0</v>
      </c>
      <c r="BN76" s="42">
        <f t="shared" si="94"/>
        <v>0</v>
      </c>
      <c r="BP76" t="e">
        <f t="shared" si="95"/>
        <v>#N/A</v>
      </c>
      <c r="BQ76" t="e">
        <f t="shared" si="96"/>
        <v>#N/A</v>
      </c>
      <c r="BR76" t="e">
        <f t="shared" si="97"/>
        <v>#N/A</v>
      </c>
      <c r="BT76" s="60">
        <f t="shared" si="106"/>
        <v>0</v>
      </c>
      <c r="BU76" s="60">
        <f t="shared" si="107"/>
        <v>0</v>
      </c>
      <c r="BV76" s="60">
        <f t="shared" si="108"/>
        <v>0</v>
      </c>
      <c r="BW76" s="60">
        <f t="shared" si="109"/>
        <v>0</v>
      </c>
      <c r="BX76" s="60">
        <f t="shared" si="98"/>
        <v>0</v>
      </c>
      <c r="BY76" s="60">
        <f t="shared" si="99"/>
        <v>0</v>
      </c>
      <c r="BZ76" s="60">
        <f t="shared" si="100"/>
        <v>0</v>
      </c>
      <c r="CA76" s="60">
        <f t="shared" si="101"/>
        <v>0</v>
      </c>
      <c r="CB76" s="60" t="e">
        <f t="shared" si="110"/>
        <v>#N/A</v>
      </c>
      <c r="CC76" s="60">
        <f t="shared" si="111"/>
        <v>100000</v>
      </c>
      <c r="CD76" s="60" t="e">
        <f t="shared" si="112"/>
        <v>#N/A</v>
      </c>
      <c r="CE76" s="60">
        <f t="shared" si="113"/>
        <v>100000</v>
      </c>
      <c r="CF76" s="83" t="e">
        <f t="shared" si="102"/>
        <v>#N/A</v>
      </c>
      <c r="CG76" s="83">
        <f t="shared" si="103"/>
        <v>0</v>
      </c>
      <c r="CH76" s="83" t="e">
        <f t="shared" si="104"/>
        <v>#N/A</v>
      </c>
      <c r="CI76" s="83">
        <f t="shared" si="105"/>
        <v>0</v>
      </c>
      <c r="CJ76" s="86" t="e">
        <f t="shared" si="114"/>
        <v>#N/A</v>
      </c>
      <c r="CK76" s="82">
        <f t="shared" si="115"/>
        <v>5.3070370403969858E-3</v>
      </c>
      <c r="CL76" s="82" t="e">
        <f t="shared" si="116"/>
        <v>#N/A</v>
      </c>
      <c r="CM76" s="82">
        <f t="shared" si="117"/>
        <v>5.3070370403969858E-3</v>
      </c>
      <c r="CO76" s="149" t="str">
        <f>IF($I76&lt;&gt;"",IF(O76="User Specified",U76,INDEX('Refrigerant GWPs'!$G$2:$G$156,MATCH(O76,'Refrigerant GWPs'!$A$2:$A$156,0))),"")</f>
        <v/>
      </c>
      <c r="CP76" s="138" t="str">
        <f>IF($I76&lt;&gt;"",INDEX('Device Refrigerant Leakage'!$E$2:$E$42,MATCH($M76,'Device Refrigerant Leakage'!$B$2:$B$42,0)),"")</f>
        <v/>
      </c>
      <c r="CQ76" s="138" t="str">
        <f>IF($I76&lt;&gt;"",INDEX('Device Refrigerant Leakage'!$F$2:$F$42,MATCH($M76,'Device Refrigerant Leakage'!$B$2:$B$42,0)),"")</f>
        <v/>
      </c>
      <c r="CR76" s="145" t="str">
        <f>IF($I76&lt;&gt;"",INDEX('Device Refrigerant Leakage'!$G$2:$G$42,MATCH($M76,'Device Refrigerant Leakage'!$B$2:$B$42,0)),"")</f>
        <v/>
      </c>
      <c r="CS76" s="145" t="str">
        <f>IF($I76&lt;&gt;"",INDEX('Device Refrigerant Leakage'!$D$2:$D$42,MATCH($M76,'Device Refrigerant Leakage'!$B$2:$B$42,0))*CP76/2204.62*CO76,"")</f>
        <v/>
      </c>
      <c r="CT76" s="145" t="str">
        <f>IF($I76&lt;&gt;"",J76*(INDEX('Device Refrigerant Leakage'!$D$2:$D$42,MATCH($M76,'Device Refrigerant Leakage'!$B$2:$B$42,0))-(INDEX('Device Refrigerant Leakage'!$D$2:$D$42,MATCH($M76,'Device Refrigerant Leakage'!$B$2:$B$42,0)))*CR76*CP76)*CQ76/2204.62*CO76,"")</f>
        <v/>
      </c>
      <c r="CU76" s="135" t="str">
        <f>IF($I76&lt;&gt;"",J76*IF(W76&lt;&gt;"AR",(CS76*K76)+CT76,(CS76*AB76)+CT76*(AB76/INDEX('Device Refrigerant Leakage'!$C$2:$C$42,MATCH($M76,'Device Refrigerant Leakage'!$B$2:$B$42,0)))),"")</f>
        <v/>
      </c>
      <c r="CW76" s="135" t="str">
        <f>IF($I76&lt;&gt;"",IF(S76="User Specified",V76,INDEX('Refrigerant GWPs'!$G$2:$G$156,MATCH(S76,'Refrigerant GWPs'!$A$2:$A$157,0))),"")</f>
        <v/>
      </c>
      <c r="CX76" s="138" t="str">
        <f>IF($I76&lt;&gt;"",INDEX('Device Refrigerant Leakage'!$E$2:$E$42,MATCH($Q76,'Device Refrigerant Leakage'!$B$2:$B$42,0)),"")</f>
        <v/>
      </c>
      <c r="CY76" s="138" t="str">
        <f>IF($I76&lt;&gt;"",INDEX('Device Refrigerant Leakage'!$F$2:$F$42,MATCH($Q76,'Device Refrigerant Leakage'!$B$2:$B$42,0)),"")</f>
        <v/>
      </c>
      <c r="CZ76" s="145" t="str">
        <f>IF($I76&lt;&gt;"",INDEX('Device Refrigerant Leakage'!$G$2:$G$42,MATCH($Q76,'Device Refrigerant Leakage'!$B$2:$B$42,0)),"")</f>
        <v/>
      </c>
      <c r="DA76" s="145" t="str">
        <f>IF($I76&lt;&gt;"",J76*INDEX('Device Refrigerant Leakage'!$D$2:$D$42,MATCH($Q76,'Device Refrigerant Leakage'!$B$2:$B$42,0))*CX76/2204.62*CW76,"")</f>
        <v/>
      </c>
      <c r="DB76" s="145" t="str">
        <f>IF($I76&lt;&gt;"",J76*(INDEX('Device Refrigerant Leakage'!$D$2:$D$42,MATCH($Q76,'Device Refrigerant Leakage'!$B$2:$B$42,0))-(INDEX('Device Refrigerant Leakage'!$D$2:$D$42,MATCH($Q76,'Device Refrigerant Leakage'!$B$2:$B$42,0)))*CZ76*CX76)*CY76/2204.62*CW76,"")</f>
        <v/>
      </c>
      <c r="DC76" s="135" t="str">
        <f t="shared" si="59"/>
        <v/>
      </c>
      <c r="DE76" s="146" t="str">
        <f>IF(W76&lt;&gt;"AR","",IF(Y76="User Specified", AA76, INDEX('Refrigerant GWPs'!$G$2:$G$154,MATCH(Y76,'Refrigerant GWPs'!$A$2:$A$154,0))))</f>
        <v/>
      </c>
      <c r="DF76" s="146" t="str">
        <f>IF(W76&lt;&gt;"AR","",INDEX('Device Refrigerant Leakage'!$E$2:$E$42,MATCH(X76,'Device Refrigerant Leakage'!$B$2:$B$42,0)))</f>
        <v/>
      </c>
      <c r="DG76" s="146" t="str">
        <f>IF(W76&lt;&gt;"AR","",INDEX('Device Refrigerant Leakage'!$F$2:$F$42,MATCH(X76,'Device Refrigerant Leakage'!$B$2:$B$42,0)))</f>
        <v/>
      </c>
      <c r="DH76" s="146" t="str">
        <f>IF(W76&lt;&gt;"AR","",INDEX('Device Refrigerant Leakage'!$G$2:$G$42,MATCH(X76,'Device Refrigerant Leakage'!$B$2:$B$42,0)))</f>
        <v/>
      </c>
      <c r="DI76" s="146" t="str">
        <f>IF(W76&lt;&gt;"AR","",J76*INDEX('Device Refrigerant Leakage'!$D$2:$D$42,MATCH(X76,'Device Refrigerant Leakage'!$B$2:$B$42,0))*DF76/2204.62*DE76)</f>
        <v/>
      </c>
      <c r="DJ76" s="146" t="str">
        <f>IF(W76&lt;&gt;"AR","",J76*(INDEX('Device Refrigerant Leakage'!$D$2:$D$42,MATCH(X76,'Device Refrigerant Leakage'!$B$2:$B$42,0))-(INDEX('Device Refrigerant Leakage'!$D$2:$D$42,MATCH(X76,'Device Refrigerant Leakage'!$B$2:$B$42,0)))*DH76*DF76)*DG76/2204.62*DE76)</f>
        <v/>
      </c>
      <c r="DK76" s="146" t="str">
        <f>IF(W76&lt;&gt;"AR","",DI76*(K76-AB76)+'Fuel Sub Calcs-Deemed'!DJ76*((K76-AB76)/INDEX('Device Refrigerant Leakage'!$C$2:$C$42,MATCH('Fuel Sub Calcs-Deemed'!X76,'Device Refrigerant Leakage'!$B$2:$B$42,0))))</f>
        <v/>
      </c>
      <c r="DM76" s="56">
        <v>62</v>
      </c>
      <c r="DN76" s="67" t="e">
        <f t="shared" si="28"/>
        <v>#N/A</v>
      </c>
      <c r="DO76" s="45" t="e">
        <f t="shared" si="29"/>
        <v>#N/A</v>
      </c>
      <c r="DP76" s="67" t="e">
        <f t="shared" si="30"/>
        <v>#N/A</v>
      </c>
      <c r="DQ76" s="45" t="e">
        <f t="shared" si="31"/>
        <v>#N/A</v>
      </c>
      <c r="DR76" s="69" t="e">
        <f t="shared" si="32"/>
        <v>#N/A</v>
      </c>
      <c r="DS76" s="34"/>
      <c r="DT76" s="67" t="e">
        <f>((BX76*CJ76)+IF($W76=MAT_AR,(BZ76*CL76),0))*(1+Reference!$E$50+Reference!$E$51)</f>
        <v>#N/A</v>
      </c>
      <c r="DU76" s="67">
        <f>((BY76*CK76)+IF($W76=MAT_AR,(CA76*CM76),0))*(1+Reference!$G$50+Reference!$G$51)</f>
        <v>0</v>
      </c>
      <c r="DV76" s="67" t="e">
        <f t="shared" si="33"/>
        <v>#VALUE!</v>
      </c>
      <c r="DX76" s="56">
        <v>62</v>
      </c>
      <c r="DY76" s="67">
        <f t="shared" si="34"/>
        <v>0</v>
      </c>
      <c r="DZ76" s="45" t="e">
        <f>VLOOKUP($R76,Dropdown!$C$3:$D$4,2,FALSE)</f>
        <v>#N/A</v>
      </c>
      <c r="EA76" s="68">
        <f t="shared" si="35"/>
        <v>0</v>
      </c>
      <c r="EB76" s="68" t="str">
        <f t="shared" si="36"/>
        <v>N/A</v>
      </c>
      <c r="EC76" s="68">
        <f t="shared" si="37"/>
        <v>0</v>
      </c>
      <c r="ED76" s="68" t="str">
        <f t="shared" si="118"/>
        <v>N/A</v>
      </c>
      <c r="EF76" s="56">
        <v>62</v>
      </c>
      <c r="EG76" s="46">
        <f t="shared" si="39"/>
        <v>0</v>
      </c>
      <c r="EH76" s="68" t="e">
        <f t="shared" si="40"/>
        <v>#N/A</v>
      </c>
      <c r="EI76" s="68" t="e">
        <f t="shared" si="41"/>
        <v>#N/A</v>
      </c>
      <c r="EJ76" s="68" t="e">
        <f t="shared" si="42"/>
        <v>#N/A</v>
      </c>
      <c r="EK76" s="68" t="e">
        <f t="shared" si="43"/>
        <v>#N/A</v>
      </c>
      <c r="EL76" s="46">
        <f t="shared" si="44"/>
        <v>0</v>
      </c>
      <c r="EM76" s="46">
        <f t="shared" si="45"/>
        <v>0</v>
      </c>
    </row>
    <row r="77" spans="1:143">
      <c r="A77" s="89"/>
      <c r="B77" s="89"/>
      <c r="C77" s="89"/>
      <c r="D77" s="89"/>
      <c r="E77" s="89"/>
      <c r="F77" s="89"/>
      <c r="G77" s="34"/>
      <c r="H77" s="56">
        <f t="shared" si="46"/>
        <v>63</v>
      </c>
      <c r="I77" s="165"/>
      <c r="J77" s="163"/>
      <c r="K77" s="163"/>
      <c r="L77" s="164"/>
      <c r="M77" s="155"/>
      <c r="N77" s="155"/>
      <c r="O77" s="144"/>
      <c r="P77" s="159" t="str">
        <f>IFERROR(IF(O77&lt;&gt;"User Specified",IF(O77&lt;&gt;"", INDEX('Refrigerant GWPs'!$G$2:$G$154,MATCH(O77,'Refrigerant GWPs'!$A$2:$A$154,0)),""),U77),0)</f>
        <v/>
      </c>
      <c r="Q77" s="155"/>
      <c r="R77" s="155"/>
      <c r="S77" s="144"/>
      <c r="T77" s="159" t="str">
        <f>IF(S77&lt;&gt;"User Specified",IF(AND(S77&lt;&gt;"User Specified",S77&lt;&gt;""), INDEX('Refrigerant GWPs'!$G$2:$G$154,MATCH(S77,'Refrigerant GWPs'!$A$2:$A$154,0)),""),V77)</f>
        <v/>
      </c>
      <c r="U77" s="144"/>
      <c r="V77" s="144"/>
      <c r="W77" s="155"/>
      <c r="X77" s="155"/>
      <c r="Y77" s="144"/>
      <c r="Z77" s="159" t="str">
        <f>IF(AND(Y77&lt;&gt;"User Specified",Y77&lt;&gt;""), INDEX('Refrigerant GWPs'!$G$2:$G$154,MATCH(Y77,'Refrigerant GWPs'!$A$2:$A$154,0)),"")</f>
        <v/>
      </c>
      <c r="AA77" s="155"/>
      <c r="AB77" s="156"/>
      <c r="AC77" s="66"/>
      <c r="AD77" s="66"/>
      <c r="AE77" s="66"/>
      <c r="AF77" s="66"/>
      <c r="AG77" s="66"/>
      <c r="AH77" s="66"/>
      <c r="AI77" s="34"/>
      <c r="AJ77" s="88">
        <f t="shared" si="0"/>
        <v>0</v>
      </c>
      <c r="AK77" s="88">
        <f t="shared" si="1"/>
        <v>0</v>
      </c>
      <c r="AL77" s="88">
        <v>0</v>
      </c>
      <c r="AM77" s="88">
        <v>0</v>
      </c>
      <c r="AN77" s="81" t="str">
        <f t="shared" si="47"/>
        <v/>
      </c>
      <c r="AO77" s="88">
        <f t="shared" si="2"/>
        <v>0</v>
      </c>
      <c r="AP77" s="88">
        <f t="shared" si="3"/>
        <v>0</v>
      </c>
      <c r="AQ77" s="81" t="str">
        <f t="shared" si="4"/>
        <v/>
      </c>
      <c r="AS77" s="41" t="b">
        <f t="shared" si="5"/>
        <v>1</v>
      </c>
      <c r="AT77" s="38">
        <f t="shared" si="6"/>
        <v>0</v>
      </c>
      <c r="AU77" s="60">
        <f t="shared" si="7"/>
        <v>0</v>
      </c>
      <c r="AV77" s="41">
        <f t="shared" si="8"/>
        <v>0</v>
      </c>
      <c r="AW77" s="41" t="b">
        <f t="shared" si="9"/>
        <v>0</v>
      </c>
      <c r="AX77" t="str">
        <f t="shared" si="10"/>
        <v>+00</v>
      </c>
      <c r="AY77" t="str">
        <f t="shared" si="11"/>
        <v>+00</v>
      </c>
      <c r="BA77" s="47" t="b">
        <f t="shared" si="83"/>
        <v>1</v>
      </c>
      <c r="BB77" s="42" t="b">
        <f t="shared" si="84"/>
        <v>1</v>
      </c>
      <c r="BC77" s="42" t="b">
        <f t="shared" si="85"/>
        <v>0</v>
      </c>
      <c r="BD77" s="42" t="b">
        <f t="shared" si="86"/>
        <v>0</v>
      </c>
      <c r="BE77" s="70">
        <f t="shared" si="87"/>
        <v>0</v>
      </c>
      <c r="BF77" s="70">
        <f t="shared" si="88"/>
        <v>0</v>
      </c>
      <c r="BG77" s="34"/>
      <c r="BI77" s="47" t="b">
        <f t="shared" si="89"/>
        <v>1</v>
      </c>
      <c r="BJ77" s="47" t="b">
        <f t="shared" si="90"/>
        <v>1</v>
      </c>
      <c r="BK77" s="42" t="b">
        <f t="shared" si="91"/>
        <v>0</v>
      </c>
      <c r="BL77" s="42" t="b">
        <f t="shared" si="92"/>
        <v>0</v>
      </c>
      <c r="BM77" s="42">
        <f t="shared" si="93"/>
        <v>0</v>
      </c>
      <c r="BN77" s="42">
        <f t="shared" si="94"/>
        <v>0</v>
      </c>
      <c r="BP77" t="e">
        <f t="shared" si="95"/>
        <v>#N/A</v>
      </c>
      <c r="BQ77" t="e">
        <f t="shared" si="96"/>
        <v>#N/A</v>
      </c>
      <c r="BR77" t="e">
        <f t="shared" si="97"/>
        <v>#N/A</v>
      </c>
      <c r="BT77" s="60">
        <f t="shared" si="106"/>
        <v>0</v>
      </c>
      <c r="BU77" s="60">
        <f t="shared" si="107"/>
        <v>0</v>
      </c>
      <c r="BV77" s="60">
        <f t="shared" si="108"/>
        <v>0</v>
      </c>
      <c r="BW77" s="60">
        <f t="shared" si="109"/>
        <v>0</v>
      </c>
      <c r="BX77" s="60">
        <f t="shared" si="98"/>
        <v>0</v>
      </c>
      <c r="BY77" s="60">
        <f t="shared" si="99"/>
        <v>0</v>
      </c>
      <c r="BZ77" s="60">
        <f t="shared" si="100"/>
        <v>0</v>
      </c>
      <c r="CA77" s="60">
        <f t="shared" si="101"/>
        <v>0</v>
      </c>
      <c r="CB77" s="60" t="e">
        <f t="shared" si="110"/>
        <v>#N/A</v>
      </c>
      <c r="CC77" s="60">
        <f t="shared" si="111"/>
        <v>100000</v>
      </c>
      <c r="CD77" s="60" t="e">
        <f t="shared" si="112"/>
        <v>#N/A</v>
      </c>
      <c r="CE77" s="60">
        <f t="shared" si="113"/>
        <v>100000</v>
      </c>
      <c r="CF77" s="83" t="e">
        <f t="shared" si="102"/>
        <v>#N/A</v>
      </c>
      <c r="CG77" s="83">
        <f t="shared" si="103"/>
        <v>0</v>
      </c>
      <c r="CH77" s="83" t="e">
        <f t="shared" si="104"/>
        <v>#N/A</v>
      </c>
      <c r="CI77" s="83">
        <f t="shared" si="105"/>
        <v>0</v>
      </c>
      <c r="CJ77" s="86" t="e">
        <f t="shared" si="114"/>
        <v>#N/A</v>
      </c>
      <c r="CK77" s="82">
        <f t="shared" si="115"/>
        <v>5.3070370403969858E-3</v>
      </c>
      <c r="CL77" s="82" t="e">
        <f t="shared" si="116"/>
        <v>#N/A</v>
      </c>
      <c r="CM77" s="82">
        <f t="shared" si="117"/>
        <v>5.3070370403969858E-3</v>
      </c>
      <c r="CO77" s="149" t="str">
        <f>IF($I77&lt;&gt;"",IF(O77="User Specified",U77,INDEX('Refrigerant GWPs'!$G$2:$G$156,MATCH(O77,'Refrigerant GWPs'!$A$2:$A$156,0))),"")</f>
        <v/>
      </c>
      <c r="CP77" s="138" t="str">
        <f>IF($I77&lt;&gt;"",INDEX('Device Refrigerant Leakage'!$E$2:$E$42,MATCH($M77,'Device Refrigerant Leakage'!$B$2:$B$42,0)),"")</f>
        <v/>
      </c>
      <c r="CQ77" s="138" t="str">
        <f>IF($I77&lt;&gt;"",INDEX('Device Refrigerant Leakage'!$F$2:$F$42,MATCH($M77,'Device Refrigerant Leakage'!$B$2:$B$42,0)),"")</f>
        <v/>
      </c>
      <c r="CR77" s="145" t="str">
        <f>IF($I77&lt;&gt;"",INDEX('Device Refrigerant Leakage'!$G$2:$G$42,MATCH($M77,'Device Refrigerant Leakage'!$B$2:$B$42,0)),"")</f>
        <v/>
      </c>
      <c r="CS77" s="145" t="str">
        <f>IF($I77&lt;&gt;"",INDEX('Device Refrigerant Leakage'!$D$2:$D$42,MATCH($M77,'Device Refrigerant Leakage'!$B$2:$B$42,0))*CP77/2204.62*CO77,"")</f>
        <v/>
      </c>
      <c r="CT77" s="145" t="str">
        <f>IF($I77&lt;&gt;"",J77*(INDEX('Device Refrigerant Leakage'!$D$2:$D$42,MATCH($M77,'Device Refrigerant Leakage'!$B$2:$B$42,0))-(INDEX('Device Refrigerant Leakage'!$D$2:$D$42,MATCH($M77,'Device Refrigerant Leakage'!$B$2:$B$42,0)))*CR77*CP77)*CQ77/2204.62*CO77,"")</f>
        <v/>
      </c>
      <c r="CU77" s="135" t="str">
        <f>IF($I77&lt;&gt;"",J77*IF(W77&lt;&gt;"AR",(CS77*K77)+CT77,(CS77*AB77)+CT77*(AB77/INDEX('Device Refrigerant Leakage'!$C$2:$C$42,MATCH($M77,'Device Refrigerant Leakage'!$B$2:$B$42,0)))),"")</f>
        <v/>
      </c>
      <c r="CW77" s="135" t="str">
        <f>IF($I77&lt;&gt;"",IF(S77="User Specified",V77,INDEX('Refrigerant GWPs'!$G$2:$G$156,MATCH(S77,'Refrigerant GWPs'!$A$2:$A$157,0))),"")</f>
        <v/>
      </c>
      <c r="CX77" s="138" t="str">
        <f>IF($I77&lt;&gt;"",INDEX('Device Refrigerant Leakage'!$E$2:$E$42,MATCH($Q77,'Device Refrigerant Leakage'!$B$2:$B$42,0)),"")</f>
        <v/>
      </c>
      <c r="CY77" s="138" t="str">
        <f>IF($I77&lt;&gt;"",INDEX('Device Refrigerant Leakage'!$F$2:$F$42,MATCH($Q77,'Device Refrigerant Leakage'!$B$2:$B$42,0)),"")</f>
        <v/>
      </c>
      <c r="CZ77" s="145" t="str">
        <f>IF($I77&lt;&gt;"",INDEX('Device Refrigerant Leakage'!$G$2:$G$42,MATCH($Q77,'Device Refrigerant Leakage'!$B$2:$B$42,0)),"")</f>
        <v/>
      </c>
      <c r="DA77" s="145" t="str">
        <f>IF($I77&lt;&gt;"",J77*INDEX('Device Refrigerant Leakage'!$D$2:$D$42,MATCH($Q77,'Device Refrigerant Leakage'!$B$2:$B$42,0))*CX77/2204.62*CW77,"")</f>
        <v/>
      </c>
      <c r="DB77" s="145" t="str">
        <f>IF($I77&lt;&gt;"",J77*(INDEX('Device Refrigerant Leakage'!$D$2:$D$42,MATCH($Q77,'Device Refrigerant Leakage'!$B$2:$B$42,0))-(INDEX('Device Refrigerant Leakage'!$D$2:$D$42,MATCH($Q77,'Device Refrigerant Leakage'!$B$2:$B$42,0)))*CZ77*CX77)*CY77/2204.62*CW77,"")</f>
        <v/>
      </c>
      <c r="DC77" s="135" t="str">
        <f t="shared" si="59"/>
        <v/>
      </c>
      <c r="DE77" s="146" t="str">
        <f>IF(W77&lt;&gt;"AR","",IF(Y77="User Specified", AA77, INDEX('Refrigerant GWPs'!$G$2:$G$154,MATCH(Y77,'Refrigerant GWPs'!$A$2:$A$154,0))))</f>
        <v/>
      </c>
      <c r="DF77" s="146" t="str">
        <f>IF(W77&lt;&gt;"AR","",INDEX('Device Refrigerant Leakage'!$E$2:$E$42,MATCH(X77,'Device Refrigerant Leakage'!$B$2:$B$42,0)))</f>
        <v/>
      </c>
      <c r="DG77" s="146" t="str">
        <f>IF(W77&lt;&gt;"AR","",INDEX('Device Refrigerant Leakage'!$F$2:$F$42,MATCH(X77,'Device Refrigerant Leakage'!$B$2:$B$42,0)))</f>
        <v/>
      </c>
      <c r="DH77" s="146" t="str">
        <f>IF(W77&lt;&gt;"AR","",INDEX('Device Refrigerant Leakage'!$G$2:$G$42,MATCH(X77,'Device Refrigerant Leakage'!$B$2:$B$42,0)))</f>
        <v/>
      </c>
      <c r="DI77" s="146" t="str">
        <f>IF(W77&lt;&gt;"AR","",J77*INDEX('Device Refrigerant Leakage'!$D$2:$D$42,MATCH(X77,'Device Refrigerant Leakage'!$B$2:$B$42,0))*DF77/2204.62*DE77)</f>
        <v/>
      </c>
      <c r="DJ77" s="146" t="str">
        <f>IF(W77&lt;&gt;"AR","",J77*(INDEX('Device Refrigerant Leakage'!$D$2:$D$42,MATCH(X77,'Device Refrigerant Leakage'!$B$2:$B$42,0))-(INDEX('Device Refrigerant Leakage'!$D$2:$D$42,MATCH(X77,'Device Refrigerant Leakage'!$B$2:$B$42,0)))*DH77*DF77)*DG77/2204.62*DE77)</f>
        <v/>
      </c>
      <c r="DK77" s="146" t="str">
        <f>IF(W77&lt;&gt;"AR","",DI77*(K77-AB77)+'Fuel Sub Calcs-Deemed'!DJ77*((K77-AB77)/INDEX('Device Refrigerant Leakage'!$C$2:$C$42,MATCH('Fuel Sub Calcs-Deemed'!X77,'Device Refrigerant Leakage'!$B$2:$B$42,0))))</f>
        <v/>
      </c>
      <c r="DM77" s="56">
        <v>63</v>
      </c>
      <c r="DN77" s="67" t="e">
        <f t="shared" si="28"/>
        <v>#N/A</v>
      </c>
      <c r="DO77" s="45" t="e">
        <f t="shared" si="29"/>
        <v>#N/A</v>
      </c>
      <c r="DP77" s="67" t="e">
        <f t="shared" si="30"/>
        <v>#N/A</v>
      </c>
      <c r="DQ77" s="45" t="e">
        <f t="shared" si="31"/>
        <v>#N/A</v>
      </c>
      <c r="DR77" s="69" t="e">
        <f t="shared" si="32"/>
        <v>#N/A</v>
      </c>
      <c r="DS77" s="34"/>
      <c r="DT77" s="67" t="e">
        <f>((BX77*CJ77)+IF($W77=MAT_AR,(BZ77*CL77),0))*(1+Reference!$E$50+Reference!$E$51)</f>
        <v>#N/A</v>
      </c>
      <c r="DU77" s="67">
        <f>((BY77*CK77)+IF($W77=MAT_AR,(CA77*CM77),0))*(1+Reference!$G$50+Reference!$G$51)</f>
        <v>0</v>
      </c>
      <c r="DV77" s="67" t="e">
        <f t="shared" si="33"/>
        <v>#VALUE!</v>
      </c>
      <c r="DX77" s="56">
        <v>63</v>
      </c>
      <c r="DY77" s="67">
        <f t="shared" si="34"/>
        <v>0</v>
      </c>
      <c r="DZ77" s="45" t="e">
        <f>VLOOKUP($R77,Dropdown!$C$3:$D$4,2,FALSE)</f>
        <v>#N/A</v>
      </c>
      <c r="EA77" s="68">
        <f t="shared" si="35"/>
        <v>0</v>
      </c>
      <c r="EB77" s="68" t="str">
        <f t="shared" si="36"/>
        <v>N/A</v>
      </c>
      <c r="EC77" s="68">
        <f t="shared" si="37"/>
        <v>0</v>
      </c>
      <c r="ED77" s="68" t="str">
        <f t="shared" si="118"/>
        <v>N/A</v>
      </c>
      <c r="EF77" s="56">
        <v>63</v>
      </c>
      <c r="EG77" s="46">
        <f t="shared" si="39"/>
        <v>0</v>
      </c>
      <c r="EH77" s="68" t="e">
        <f t="shared" si="40"/>
        <v>#N/A</v>
      </c>
      <c r="EI77" s="68" t="e">
        <f t="shared" si="41"/>
        <v>#N/A</v>
      </c>
      <c r="EJ77" s="68" t="e">
        <f t="shared" si="42"/>
        <v>#N/A</v>
      </c>
      <c r="EK77" s="68" t="e">
        <f t="shared" si="43"/>
        <v>#N/A</v>
      </c>
      <c r="EL77" s="46">
        <f t="shared" si="44"/>
        <v>0</v>
      </c>
      <c r="EM77" s="46">
        <f t="shared" si="45"/>
        <v>0</v>
      </c>
    </row>
    <row r="78" spans="1:143">
      <c r="A78" s="89"/>
      <c r="B78" s="89"/>
      <c r="C78" s="89"/>
      <c r="D78" s="89"/>
      <c r="E78" s="89"/>
      <c r="F78" s="89"/>
      <c r="G78" s="34"/>
      <c r="H78" s="56">
        <f t="shared" si="46"/>
        <v>64</v>
      </c>
      <c r="I78" s="165"/>
      <c r="J78" s="163"/>
      <c r="K78" s="163"/>
      <c r="L78" s="164"/>
      <c r="M78" s="155"/>
      <c r="N78" s="155"/>
      <c r="O78" s="144"/>
      <c r="P78" s="159" t="str">
        <f>IFERROR(IF(O78&lt;&gt;"User Specified",IF(O78&lt;&gt;"", INDEX('Refrigerant GWPs'!$G$2:$G$154,MATCH(O78,'Refrigerant GWPs'!$A$2:$A$154,0)),""),U78),0)</f>
        <v/>
      </c>
      <c r="Q78" s="155"/>
      <c r="R78" s="155"/>
      <c r="S78" s="144"/>
      <c r="T78" s="159" t="str">
        <f>IF(S78&lt;&gt;"User Specified",IF(AND(S78&lt;&gt;"User Specified",S78&lt;&gt;""), INDEX('Refrigerant GWPs'!$G$2:$G$154,MATCH(S78,'Refrigerant GWPs'!$A$2:$A$154,0)),""),V78)</f>
        <v/>
      </c>
      <c r="U78" s="144"/>
      <c r="V78" s="144"/>
      <c r="W78" s="155"/>
      <c r="X78" s="155"/>
      <c r="Y78" s="144"/>
      <c r="Z78" s="159" t="str">
        <f>IF(AND(Y78&lt;&gt;"User Specified",Y78&lt;&gt;""), INDEX('Refrigerant GWPs'!$G$2:$G$154,MATCH(Y78,'Refrigerant GWPs'!$A$2:$A$154,0)),"")</f>
        <v/>
      </c>
      <c r="AA78" s="155"/>
      <c r="AB78" s="156"/>
      <c r="AC78" s="66"/>
      <c r="AD78" s="66"/>
      <c r="AE78" s="66"/>
      <c r="AF78" s="66"/>
      <c r="AG78" s="66"/>
      <c r="AH78" s="66"/>
      <c r="AI78" s="34"/>
      <c r="AJ78" s="88">
        <f t="shared" si="0"/>
        <v>0</v>
      </c>
      <c r="AK78" s="88">
        <f t="shared" si="1"/>
        <v>0</v>
      </c>
      <c r="AL78" s="88">
        <v>0</v>
      </c>
      <c r="AM78" s="88">
        <v>0</v>
      </c>
      <c r="AN78" s="81" t="str">
        <f t="shared" si="47"/>
        <v/>
      </c>
      <c r="AO78" s="88">
        <f t="shared" si="2"/>
        <v>0</v>
      </c>
      <c r="AP78" s="88">
        <f t="shared" si="3"/>
        <v>0</v>
      </c>
      <c r="AQ78" s="81" t="str">
        <f t="shared" si="4"/>
        <v/>
      </c>
      <c r="AS78" s="41" t="b">
        <f t="shared" si="5"/>
        <v>1</v>
      </c>
      <c r="AT78" s="38">
        <f t="shared" si="6"/>
        <v>0</v>
      </c>
      <c r="AU78" s="60">
        <f t="shared" si="7"/>
        <v>0</v>
      </c>
      <c r="AV78" s="41">
        <f t="shared" si="8"/>
        <v>0</v>
      </c>
      <c r="AW78" s="41" t="b">
        <f t="shared" si="9"/>
        <v>0</v>
      </c>
      <c r="AX78" t="str">
        <f t="shared" si="10"/>
        <v>+00</v>
      </c>
      <c r="AY78" t="str">
        <f t="shared" si="11"/>
        <v>+00</v>
      </c>
      <c r="BA78" s="47" t="b">
        <f t="shared" si="83"/>
        <v>1</v>
      </c>
      <c r="BB78" s="42" t="b">
        <f t="shared" si="84"/>
        <v>1</v>
      </c>
      <c r="BC78" s="42" t="b">
        <f t="shared" si="85"/>
        <v>0</v>
      </c>
      <c r="BD78" s="42" t="b">
        <f t="shared" si="86"/>
        <v>0</v>
      </c>
      <c r="BE78" s="70">
        <f t="shared" si="87"/>
        <v>0</v>
      </c>
      <c r="BF78" s="70">
        <f t="shared" si="88"/>
        <v>0</v>
      </c>
      <c r="BG78" s="34"/>
      <c r="BI78" s="47" t="b">
        <f t="shared" si="89"/>
        <v>1</v>
      </c>
      <c r="BJ78" s="47" t="b">
        <f t="shared" si="90"/>
        <v>1</v>
      </c>
      <c r="BK78" s="42" t="b">
        <f t="shared" si="91"/>
        <v>0</v>
      </c>
      <c r="BL78" s="42" t="b">
        <f t="shared" si="92"/>
        <v>0</v>
      </c>
      <c r="BM78" s="42">
        <f t="shared" si="93"/>
        <v>0</v>
      </c>
      <c r="BN78" s="42">
        <f t="shared" si="94"/>
        <v>0</v>
      </c>
      <c r="BP78" t="e">
        <f t="shared" si="95"/>
        <v>#N/A</v>
      </c>
      <c r="BQ78" t="e">
        <f t="shared" si="96"/>
        <v>#N/A</v>
      </c>
      <c r="BR78" t="e">
        <f t="shared" si="97"/>
        <v>#N/A</v>
      </c>
      <c r="BT78" s="60">
        <f t="shared" si="106"/>
        <v>0</v>
      </c>
      <c r="BU78" s="60">
        <f t="shared" si="107"/>
        <v>0</v>
      </c>
      <c r="BV78" s="60">
        <f t="shared" si="108"/>
        <v>0</v>
      </c>
      <c r="BW78" s="60">
        <f t="shared" si="109"/>
        <v>0</v>
      </c>
      <c r="BX78" s="60">
        <f t="shared" si="98"/>
        <v>0</v>
      </c>
      <c r="BY78" s="60">
        <f t="shared" si="99"/>
        <v>0</v>
      </c>
      <c r="BZ78" s="60">
        <f t="shared" si="100"/>
        <v>0</v>
      </c>
      <c r="CA78" s="60">
        <f t="shared" si="101"/>
        <v>0</v>
      </c>
      <c r="CB78" s="60" t="e">
        <f t="shared" si="110"/>
        <v>#N/A</v>
      </c>
      <c r="CC78" s="60">
        <f t="shared" si="111"/>
        <v>100000</v>
      </c>
      <c r="CD78" s="60" t="e">
        <f t="shared" si="112"/>
        <v>#N/A</v>
      </c>
      <c r="CE78" s="60">
        <f t="shared" si="113"/>
        <v>100000</v>
      </c>
      <c r="CF78" s="83" t="e">
        <f t="shared" si="102"/>
        <v>#N/A</v>
      </c>
      <c r="CG78" s="83">
        <f t="shared" si="103"/>
        <v>0</v>
      </c>
      <c r="CH78" s="83" t="e">
        <f t="shared" si="104"/>
        <v>#N/A</v>
      </c>
      <c r="CI78" s="83">
        <f t="shared" si="105"/>
        <v>0</v>
      </c>
      <c r="CJ78" s="86" t="e">
        <f t="shared" si="114"/>
        <v>#N/A</v>
      </c>
      <c r="CK78" s="82">
        <f t="shared" si="115"/>
        <v>5.3070370403969858E-3</v>
      </c>
      <c r="CL78" s="82" t="e">
        <f t="shared" si="116"/>
        <v>#N/A</v>
      </c>
      <c r="CM78" s="82">
        <f t="shared" si="117"/>
        <v>5.3070370403969858E-3</v>
      </c>
      <c r="CO78" s="149" t="str">
        <f>IF($I78&lt;&gt;"",IF(O78="User Specified",U78,INDEX('Refrigerant GWPs'!$G$2:$G$156,MATCH(O78,'Refrigerant GWPs'!$A$2:$A$156,0))),"")</f>
        <v/>
      </c>
      <c r="CP78" s="138" t="str">
        <f>IF($I78&lt;&gt;"",INDEX('Device Refrigerant Leakage'!$E$2:$E$42,MATCH($M78,'Device Refrigerant Leakage'!$B$2:$B$42,0)),"")</f>
        <v/>
      </c>
      <c r="CQ78" s="138" t="str">
        <f>IF($I78&lt;&gt;"",INDEX('Device Refrigerant Leakage'!$F$2:$F$42,MATCH($M78,'Device Refrigerant Leakage'!$B$2:$B$42,0)),"")</f>
        <v/>
      </c>
      <c r="CR78" s="145" t="str">
        <f>IF($I78&lt;&gt;"",INDEX('Device Refrigerant Leakage'!$G$2:$G$42,MATCH($M78,'Device Refrigerant Leakage'!$B$2:$B$42,0)),"")</f>
        <v/>
      </c>
      <c r="CS78" s="145" t="str">
        <f>IF($I78&lt;&gt;"",INDEX('Device Refrigerant Leakage'!$D$2:$D$42,MATCH($M78,'Device Refrigerant Leakage'!$B$2:$B$42,0))*CP78/2204.62*CO78,"")</f>
        <v/>
      </c>
      <c r="CT78" s="145" t="str">
        <f>IF($I78&lt;&gt;"",J78*(INDEX('Device Refrigerant Leakage'!$D$2:$D$42,MATCH($M78,'Device Refrigerant Leakage'!$B$2:$B$42,0))-(INDEX('Device Refrigerant Leakage'!$D$2:$D$42,MATCH($M78,'Device Refrigerant Leakage'!$B$2:$B$42,0)))*CR78*CP78)*CQ78/2204.62*CO78,"")</f>
        <v/>
      </c>
      <c r="CU78" s="135" t="str">
        <f>IF($I78&lt;&gt;"",J78*IF(W78&lt;&gt;"AR",(CS78*K78)+CT78,(CS78*AB78)+CT78*(AB78/INDEX('Device Refrigerant Leakage'!$C$2:$C$42,MATCH($M78,'Device Refrigerant Leakage'!$B$2:$B$42,0)))),"")</f>
        <v/>
      </c>
      <c r="CW78" s="135" t="str">
        <f>IF($I78&lt;&gt;"",IF(S78="User Specified",V78,INDEX('Refrigerant GWPs'!$G$2:$G$156,MATCH(S78,'Refrigerant GWPs'!$A$2:$A$157,0))),"")</f>
        <v/>
      </c>
      <c r="CX78" s="138" t="str">
        <f>IF($I78&lt;&gt;"",INDEX('Device Refrigerant Leakage'!$E$2:$E$42,MATCH($Q78,'Device Refrigerant Leakage'!$B$2:$B$42,0)),"")</f>
        <v/>
      </c>
      <c r="CY78" s="138" t="str">
        <f>IF($I78&lt;&gt;"",INDEX('Device Refrigerant Leakage'!$F$2:$F$42,MATCH($Q78,'Device Refrigerant Leakage'!$B$2:$B$42,0)),"")</f>
        <v/>
      </c>
      <c r="CZ78" s="145" t="str">
        <f>IF($I78&lt;&gt;"",INDEX('Device Refrigerant Leakage'!$G$2:$G$42,MATCH($Q78,'Device Refrigerant Leakage'!$B$2:$B$42,0)),"")</f>
        <v/>
      </c>
      <c r="DA78" s="145" t="str">
        <f>IF($I78&lt;&gt;"",J78*INDEX('Device Refrigerant Leakage'!$D$2:$D$42,MATCH($Q78,'Device Refrigerant Leakage'!$B$2:$B$42,0))*CX78/2204.62*CW78,"")</f>
        <v/>
      </c>
      <c r="DB78" s="145" t="str">
        <f>IF($I78&lt;&gt;"",J78*(INDEX('Device Refrigerant Leakage'!$D$2:$D$42,MATCH($Q78,'Device Refrigerant Leakage'!$B$2:$B$42,0))-(INDEX('Device Refrigerant Leakage'!$D$2:$D$42,MATCH($Q78,'Device Refrigerant Leakage'!$B$2:$B$42,0)))*CZ78*CX78)*CY78/2204.62*CW78,"")</f>
        <v/>
      </c>
      <c r="DC78" s="135" t="str">
        <f t="shared" si="59"/>
        <v/>
      </c>
      <c r="DE78" s="146" t="str">
        <f>IF(W78&lt;&gt;"AR","",IF(Y78="User Specified", AA78, INDEX('Refrigerant GWPs'!$G$2:$G$154,MATCH(Y78,'Refrigerant GWPs'!$A$2:$A$154,0))))</f>
        <v/>
      </c>
      <c r="DF78" s="146" t="str">
        <f>IF(W78&lt;&gt;"AR","",INDEX('Device Refrigerant Leakage'!$E$2:$E$42,MATCH(X78,'Device Refrigerant Leakage'!$B$2:$B$42,0)))</f>
        <v/>
      </c>
      <c r="DG78" s="146" t="str">
        <f>IF(W78&lt;&gt;"AR","",INDEX('Device Refrigerant Leakage'!$F$2:$F$42,MATCH(X78,'Device Refrigerant Leakage'!$B$2:$B$42,0)))</f>
        <v/>
      </c>
      <c r="DH78" s="146" t="str">
        <f>IF(W78&lt;&gt;"AR","",INDEX('Device Refrigerant Leakage'!$G$2:$G$42,MATCH(X78,'Device Refrigerant Leakage'!$B$2:$B$42,0)))</f>
        <v/>
      </c>
      <c r="DI78" s="146" t="str">
        <f>IF(W78&lt;&gt;"AR","",J78*INDEX('Device Refrigerant Leakage'!$D$2:$D$42,MATCH(X78,'Device Refrigerant Leakage'!$B$2:$B$42,0))*DF78/2204.62*DE78)</f>
        <v/>
      </c>
      <c r="DJ78" s="146" t="str">
        <f>IF(W78&lt;&gt;"AR","",J78*(INDEX('Device Refrigerant Leakage'!$D$2:$D$42,MATCH(X78,'Device Refrigerant Leakage'!$B$2:$B$42,0))-(INDEX('Device Refrigerant Leakage'!$D$2:$D$42,MATCH(X78,'Device Refrigerant Leakage'!$B$2:$B$42,0)))*DH78*DF78)*DG78/2204.62*DE78)</f>
        <v/>
      </c>
      <c r="DK78" s="146" t="str">
        <f>IF(W78&lt;&gt;"AR","",DI78*(K78-AB78)+'Fuel Sub Calcs-Deemed'!DJ78*((K78-AB78)/INDEX('Device Refrigerant Leakage'!$C$2:$C$42,MATCH('Fuel Sub Calcs-Deemed'!X78,'Device Refrigerant Leakage'!$B$2:$B$42,0))))</f>
        <v/>
      </c>
      <c r="DM78" s="56">
        <v>64</v>
      </c>
      <c r="DN78" s="67" t="e">
        <f t="shared" si="28"/>
        <v>#N/A</v>
      </c>
      <c r="DO78" s="45" t="e">
        <f t="shared" si="29"/>
        <v>#N/A</v>
      </c>
      <c r="DP78" s="67" t="e">
        <f t="shared" si="30"/>
        <v>#N/A</v>
      </c>
      <c r="DQ78" s="45" t="e">
        <f t="shared" si="31"/>
        <v>#N/A</v>
      </c>
      <c r="DR78" s="69" t="e">
        <f t="shared" si="32"/>
        <v>#N/A</v>
      </c>
      <c r="DS78" s="34"/>
      <c r="DT78" s="67" t="e">
        <f>((BX78*CJ78)+IF($W78=MAT_AR,(BZ78*CL78),0))*(1+Reference!$E$50+Reference!$E$51)</f>
        <v>#N/A</v>
      </c>
      <c r="DU78" s="67">
        <f>((BY78*CK78)+IF($W78=MAT_AR,(CA78*CM78),0))*(1+Reference!$G$50+Reference!$G$51)</f>
        <v>0</v>
      </c>
      <c r="DV78" s="67" t="e">
        <f t="shared" si="33"/>
        <v>#VALUE!</v>
      </c>
      <c r="DX78" s="56">
        <v>64</v>
      </c>
      <c r="DY78" s="67">
        <f t="shared" si="34"/>
        <v>0</v>
      </c>
      <c r="DZ78" s="45" t="e">
        <f>VLOOKUP($R78,Dropdown!$C$3:$D$4,2,FALSE)</f>
        <v>#N/A</v>
      </c>
      <c r="EA78" s="68">
        <f t="shared" si="35"/>
        <v>0</v>
      </c>
      <c r="EB78" s="68" t="str">
        <f t="shared" si="36"/>
        <v>N/A</v>
      </c>
      <c r="EC78" s="68">
        <f t="shared" si="37"/>
        <v>0</v>
      </c>
      <c r="ED78" s="68" t="str">
        <f t="shared" si="118"/>
        <v>N/A</v>
      </c>
      <c r="EF78" s="56">
        <v>64</v>
      </c>
      <c r="EG78" s="46">
        <f t="shared" si="39"/>
        <v>0</v>
      </c>
      <c r="EH78" s="68" t="e">
        <f t="shared" si="40"/>
        <v>#N/A</v>
      </c>
      <c r="EI78" s="68" t="e">
        <f t="shared" si="41"/>
        <v>#N/A</v>
      </c>
      <c r="EJ78" s="68" t="e">
        <f t="shared" si="42"/>
        <v>#N/A</v>
      </c>
      <c r="EK78" s="68" t="e">
        <f t="shared" si="43"/>
        <v>#N/A</v>
      </c>
      <c r="EL78" s="46">
        <f t="shared" si="44"/>
        <v>0</v>
      </c>
      <c r="EM78" s="46">
        <f t="shared" si="45"/>
        <v>0</v>
      </c>
    </row>
    <row r="79" spans="1:143">
      <c r="A79" s="89"/>
      <c r="B79" s="89"/>
      <c r="C79" s="89"/>
      <c r="D79" s="89"/>
      <c r="E79" s="89"/>
      <c r="F79" s="89"/>
      <c r="G79" s="34"/>
      <c r="H79" s="56">
        <f t="shared" si="46"/>
        <v>65</v>
      </c>
      <c r="I79" s="165"/>
      <c r="J79" s="163"/>
      <c r="K79" s="163"/>
      <c r="L79" s="164"/>
      <c r="M79" s="155"/>
      <c r="N79" s="155"/>
      <c r="O79" s="144"/>
      <c r="P79" s="159" t="str">
        <f>IFERROR(IF(O79&lt;&gt;"User Specified",IF(O79&lt;&gt;"", INDEX('Refrigerant GWPs'!$G$2:$G$154,MATCH(O79,'Refrigerant GWPs'!$A$2:$A$154,0)),""),U79),0)</f>
        <v/>
      </c>
      <c r="Q79" s="155"/>
      <c r="R79" s="155"/>
      <c r="S79" s="144"/>
      <c r="T79" s="159" t="str">
        <f>IF(S79&lt;&gt;"User Specified",IF(AND(S79&lt;&gt;"User Specified",S79&lt;&gt;""), INDEX('Refrigerant GWPs'!$G$2:$G$154,MATCH(S79,'Refrigerant GWPs'!$A$2:$A$154,0)),""),V79)</f>
        <v/>
      </c>
      <c r="U79" s="144"/>
      <c r="V79" s="144"/>
      <c r="W79" s="155"/>
      <c r="X79" s="155"/>
      <c r="Y79" s="144"/>
      <c r="Z79" s="159" t="str">
        <f>IF(AND(Y79&lt;&gt;"User Specified",Y79&lt;&gt;""), INDEX('Refrigerant GWPs'!$G$2:$G$154,MATCH(Y79,'Refrigerant GWPs'!$A$2:$A$154,0)),"")</f>
        <v/>
      </c>
      <c r="AA79" s="155"/>
      <c r="AB79" s="156"/>
      <c r="AC79" s="66"/>
      <c r="AD79" s="66"/>
      <c r="AE79" s="66"/>
      <c r="AF79" s="66"/>
      <c r="AG79" s="66"/>
      <c r="AH79" s="66"/>
      <c r="AI79" s="34"/>
      <c r="AJ79" s="88">
        <f t="shared" ref="AJ79:AJ142" si="119">IF($W79=MAT_AR,AC79,AF79)</f>
        <v>0</v>
      </c>
      <c r="AK79" s="88">
        <f t="shared" ref="AK79:AK142" si="120">IF($W79=MAT_AR,AE79,AH79)</f>
        <v>0</v>
      </c>
      <c r="AL79" s="88">
        <v>0</v>
      </c>
      <c r="AM79" s="88">
        <v>0</v>
      </c>
      <c r="AN79" s="81" t="str">
        <f t="shared" si="47"/>
        <v/>
      </c>
      <c r="AO79" s="88">
        <f t="shared" ref="AO79:AO142" si="121">IF($W79=MAT_AR,AF79,0)</f>
        <v>0</v>
      </c>
      <c r="AP79" s="88">
        <f t="shared" ref="AP79:AP142" si="122">IF($W79=MAT_AR,AH79,0)</f>
        <v>0</v>
      </c>
      <c r="AQ79" s="81" t="str">
        <f t="shared" ref="AQ79:AQ142" si="123">IF(AND(W79=MAT_AR,OR(BK79:BL79)),"Warning: Need to enter baseline and measure consumption","")</f>
        <v/>
      </c>
      <c r="AS79" s="41" t="b">
        <f t="shared" ref="AS79:AS142" si="124">NOT(W79=MAT_AR)</f>
        <v>1</v>
      </c>
      <c r="AT79" s="38">
        <f t="shared" ref="AT79:AT142" si="125">IF(W79=MAT_AR,AB79,K79)</f>
        <v>0</v>
      </c>
      <c r="AU79" s="60">
        <f t="shared" ref="AU79:AU142" si="126">K79-AT79</f>
        <v>0</v>
      </c>
      <c r="AV79" s="41">
        <f t="shared" ref="AV79:AV142" si="127">IF(W79=MAT_AR,AB79,0)</f>
        <v>0</v>
      </c>
      <c r="AW79" s="41" t="b">
        <f t="shared" ref="AW79:AW142" si="128">AND(NOT(ISBLANK(I79)),NOT(ISBLANK(J79)),NOT(ISBLANK(K79)),NOT(ISBLANK(L79)),NOT(ISBLANK(N79)),NOT(ISBLANK(R79)),NOT(OR(BC79:BD79)),NOT(ISBLANK(W79)))</f>
        <v>0</v>
      </c>
      <c r="AX79" t="str">
        <f t="shared" ref="AX79:AX142" si="129">$L79&amp;"+"&amp;TEXT(ROUND($AT79,0),"00")</f>
        <v>+00</v>
      </c>
      <c r="AY79" t="str">
        <f t="shared" ref="AY79:AY142" si="130">TEXT(ROUND($L79+$AT79,0),"#")&amp;"+"&amp;TEXT(ROUND($AU79,0),"00")</f>
        <v>+00</v>
      </c>
      <c r="BA79" s="47" t="b">
        <f t="shared" si="83"/>
        <v>1</v>
      </c>
      <c r="BB79" s="42" t="b">
        <f t="shared" si="84"/>
        <v>1</v>
      </c>
      <c r="BC79" s="42" t="b">
        <f t="shared" si="85"/>
        <v>0</v>
      </c>
      <c r="BD79" s="42" t="b">
        <f t="shared" si="86"/>
        <v>0</v>
      </c>
      <c r="BE79" s="70">
        <f t="shared" si="87"/>
        <v>0</v>
      </c>
      <c r="BF79" s="70">
        <f t="shared" si="88"/>
        <v>0</v>
      </c>
      <c r="BG79" s="34"/>
      <c r="BI79" s="47" t="b">
        <f t="shared" si="89"/>
        <v>1</v>
      </c>
      <c r="BJ79" s="47" t="b">
        <f t="shared" si="90"/>
        <v>1</v>
      </c>
      <c r="BK79" s="42" t="b">
        <f t="shared" si="91"/>
        <v>0</v>
      </c>
      <c r="BL79" s="42" t="b">
        <f t="shared" si="92"/>
        <v>0</v>
      </c>
      <c r="BM79" s="42">
        <f t="shared" si="93"/>
        <v>0</v>
      </c>
      <c r="BN79" s="42">
        <f t="shared" si="94"/>
        <v>0</v>
      </c>
      <c r="BP79" t="e">
        <f t="shared" si="95"/>
        <v>#N/A</v>
      </c>
      <c r="BQ79" t="e">
        <f t="shared" si="96"/>
        <v>#N/A</v>
      </c>
      <c r="BR79" t="e">
        <f t="shared" si="97"/>
        <v>#N/A</v>
      </c>
      <c r="BT79" s="60">
        <f t="shared" ref="BT79:BT110" si="131">$J79*BE79</f>
        <v>0</v>
      </c>
      <c r="BU79" s="60">
        <f t="shared" ref="BU79:BU110" si="132">$J79*BF79</f>
        <v>0</v>
      </c>
      <c r="BV79" s="60">
        <f t="shared" ref="BV79:BV110" si="133">$J79*BM79</f>
        <v>0</v>
      </c>
      <c r="BW79" s="60">
        <f t="shared" ref="BW79:BW110" si="134">$J79*BN79</f>
        <v>0</v>
      </c>
      <c r="BX79" s="60">
        <f t="shared" si="98"/>
        <v>0</v>
      </c>
      <c r="BY79" s="60">
        <f t="shared" si="99"/>
        <v>0</v>
      </c>
      <c r="BZ79" s="60">
        <f t="shared" si="100"/>
        <v>0</v>
      </c>
      <c r="CA79" s="60">
        <f t="shared" si="101"/>
        <v>0</v>
      </c>
      <c r="CB79" s="60" t="e">
        <f t="shared" ref="CB79:CB110" si="135">INDEX(AFL_Source_Energy_Btu_per_kWh,MATCH($AX79,AFL_IndexB,0))</f>
        <v>#N/A</v>
      </c>
      <c r="CC79" s="60">
        <f t="shared" ref="CC79:CC110" si="136">Btu_therm</f>
        <v>100000</v>
      </c>
      <c r="CD79" s="60" t="e">
        <f t="shared" ref="CD79:CD110" si="137">INDEX(AFL_Source_Energy_Btu_per_kWh,MATCH($AY79,AFL_IndexB,0))</f>
        <v>#N/A</v>
      </c>
      <c r="CE79" s="60">
        <f t="shared" ref="CE79:CE110" si="138">Btu_therm</f>
        <v>100000</v>
      </c>
      <c r="CF79" s="83" t="e">
        <f t="shared" si="102"/>
        <v>#N/A</v>
      </c>
      <c r="CG79" s="83">
        <f t="shared" si="103"/>
        <v>0</v>
      </c>
      <c r="CH79" s="83" t="e">
        <f t="shared" si="104"/>
        <v>#N/A</v>
      </c>
      <c r="CI79" s="83">
        <f t="shared" si="105"/>
        <v>0</v>
      </c>
      <c r="CJ79" s="86" t="e">
        <f t="shared" ref="CJ79:CJ110" si="139">INDEX(AFL_Emissions_Intensity_metric_tonnes_per_MWh,MATCH($AX79,AFL_IndexB,0))/1000</f>
        <v>#N/A</v>
      </c>
      <c r="CK79" s="82">
        <f t="shared" ref="CK79:CK110" si="140">NG_metric_tonne_CO2_therm</f>
        <v>5.3070370403969858E-3</v>
      </c>
      <c r="CL79" s="82" t="e">
        <f t="shared" ref="CL79:CL110" si="141">INDEX(AFL_Emissions_Intensity_metric_tonnes_per_MWh,MATCH($AY79,AFL_IndexB,0))/1000</f>
        <v>#N/A</v>
      </c>
      <c r="CM79" s="82">
        <f t="shared" ref="CM79:CM110" si="142">NG_metric_tonne_CO2_therm</f>
        <v>5.3070370403969858E-3</v>
      </c>
      <c r="CO79" s="149" t="str">
        <f>IF($I79&lt;&gt;"",IF(O79="User Specified",U79,INDEX('Refrigerant GWPs'!$G$2:$G$156,MATCH(O79,'Refrigerant GWPs'!$A$2:$A$156,0))),"")</f>
        <v/>
      </c>
      <c r="CP79" s="138" t="str">
        <f>IF($I79&lt;&gt;"",INDEX('Device Refrigerant Leakage'!$E$2:$E$42,MATCH($M79,'Device Refrigerant Leakage'!$B$2:$B$42,0)),"")</f>
        <v/>
      </c>
      <c r="CQ79" s="138" t="str">
        <f>IF($I79&lt;&gt;"",INDEX('Device Refrigerant Leakage'!$F$2:$F$42,MATCH($M79,'Device Refrigerant Leakage'!$B$2:$B$42,0)),"")</f>
        <v/>
      </c>
      <c r="CR79" s="145" t="str">
        <f>IF($I79&lt;&gt;"",INDEX('Device Refrigerant Leakage'!$G$2:$G$42,MATCH($M79,'Device Refrigerant Leakage'!$B$2:$B$42,0)),"")</f>
        <v/>
      </c>
      <c r="CS79" s="145" t="str">
        <f>IF($I79&lt;&gt;"",INDEX('Device Refrigerant Leakage'!$D$2:$D$42,MATCH($M79,'Device Refrigerant Leakage'!$B$2:$B$42,0))*CP79/2204.62*CO79,"")</f>
        <v/>
      </c>
      <c r="CT79" s="145" t="str">
        <f>IF($I79&lt;&gt;"",J79*(INDEX('Device Refrigerant Leakage'!$D$2:$D$42,MATCH($M79,'Device Refrigerant Leakage'!$B$2:$B$42,0))-(INDEX('Device Refrigerant Leakage'!$D$2:$D$42,MATCH($M79,'Device Refrigerant Leakage'!$B$2:$B$42,0)))*CR79*CP79)*CQ79/2204.62*CO79,"")</f>
        <v/>
      </c>
      <c r="CU79" s="135" t="str">
        <f>IF($I79&lt;&gt;"",J79*IF(W79&lt;&gt;"AR",(CS79*K79)+CT79,(CS79*AB79)+CT79*(AB79/INDEX('Device Refrigerant Leakage'!$C$2:$C$42,MATCH($M79,'Device Refrigerant Leakage'!$B$2:$B$42,0)))),"")</f>
        <v/>
      </c>
      <c r="CW79" s="135" t="str">
        <f>IF($I79&lt;&gt;"",IF(S79="User Specified",V79,INDEX('Refrigerant GWPs'!$G$2:$G$156,MATCH(S79,'Refrigerant GWPs'!$A$2:$A$157,0))),"")</f>
        <v/>
      </c>
      <c r="CX79" s="138" t="str">
        <f>IF($I79&lt;&gt;"",INDEX('Device Refrigerant Leakage'!$E$2:$E$42,MATCH($Q79,'Device Refrigerant Leakage'!$B$2:$B$42,0)),"")</f>
        <v/>
      </c>
      <c r="CY79" s="138" t="str">
        <f>IF($I79&lt;&gt;"",INDEX('Device Refrigerant Leakage'!$F$2:$F$42,MATCH($Q79,'Device Refrigerant Leakage'!$B$2:$B$42,0)),"")</f>
        <v/>
      </c>
      <c r="CZ79" s="145" t="str">
        <f>IF($I79&lt;&gt;"",INDEX('Device Refrigerant Leakage'!$G$2:$G$42,MATCH($Q79,'Device Refrigerant Leakage'!$B$2:$B$42,0)),"")</f>
        <v/>
      </c>
      <c r="DA79" s="145" t="str">
        <f>IF($I79&lt;&gt;"",J79*INDEX('Device Refrigerant Leakage'!$D$2:$D$42,MATCH($Q79,'Device Refrigerant Leakage'!$B$2:$B$42,0))*CX79/2204.62*CW79,"")</f>
        <v/>
      </c>
      <c r="DB79" s="145" t="str">
        <f>IF($I79&lt;&gt;"",J79*(INDEX('Device Refrigerant Leakage'!$D$2:$D$42,MATCH($Q79,'Device Refrigerant Leakage'!$B$2:$B$42,0))-(INDEX('Device Refrigerant Leakage'!$D$2:$D$42,MATCH($Q79,'Device Refrigerant Leakage'!$B$2:$B$42,0)))*CZ79*CX79)*CY79/2204.62*CW79,"")</f>
        <v/>
      </c>
      <c r="DC79" s="135" t="str">
        <f t="shared" si="59"/>
        <v/>
      </c>
      <c r="DE79" s="146" t="str">
        <f>IF(W79&lt;&gt;"AR","",IF(Y79="User Specified", AA79, INDEX('Refrigerant GWPs'!$G$2:$G$154,MATCH(Y79,'Refrigerant GWPs'!$A$2:$A$154,0))))</f>
        <v/>
      </c>
      <c r="DF79" s="146" t="str">
        <f>IF(W79&lt;&gt;"AR","",INDEX('Device Refrigerant Leakage'!$E$2:$E$42,MATCH(X79,'Device Refrigerant Leakage'!$B$2:$B$42,0)))</f>
        <v/>
      </c>
      <c r="DG79" s="146" t="str">
        <f>IF(W79&lt;&gt;"AR","",INDEX('Device Refrigerant Leakage'!$F$2:$F$42,MATCH(X79,'Device Refrigerant Leakage'!$B$2:$B$42,0)))</f>
        <v/>
      </c>
      <c r="DH79" s="146" t="str">
        <f>IF(W79&lt;&gt;"AR","",INDEX('Device Refrigerant Leakage'!$G$2:$G$42,MATCH(X79,'Device Refrigerant Leakage'!$B$2:$B$42,0)))</f>
        <v/>
      </c>
      <c r="DI79" s="146" t="str">
        <f>IF(W79&lt;&gt;"AR","",J79*INDEX('Device Refrigerant Leakage'!$D$2:$D$42,MATCH(X79,'Device Refrigerant Leakage'!$B$2:$B$42,0))*DF79/2204.62*DE79)</f>
        <v/>
      </c>
      <c r="DJ79" s="146" t="str">
        <f>IF(W79&lt;&gt;"AR","",J79*(INDEX('Device Refrigerant Leakage'!$D$2:$D$42,MATCH(X79,'Device Refrigerant Leakage'!$B$2:$B$42,0))-(INDEX('Device Refrigerant Leakage'!$D$2:$D$42,MATCH(X79,'Device Refrigerant Leakage'!$B$2:$B$42,0)))*DH79*DF79)*DG79/2204.62*DE79)</f>
        <v/>
      </c>
      <c r="DK79" s="146" t="str">
        <f>IF(W79&lt;&gt;"AR","",DI79*(K79-AB79)+'Fuel Sub Calcs-Deemed'!DJ79*((K79-AB79)/INDEX('Device Refrigerant Leakage'!$C$2:$C$42,MATCH('Fuel Sub Calcs-Deemed'!X79,'Device Refrigerant Leakage'!$B$2:$B$42,0))))</f>
        <v/>
      </c>
      <c r="DM79" s="56">
        <v>65</v>
      </c>
      <c r="DN79" s="67" t="e">
        <f t="shared" ref="DN79:DN142" si="143">(CB79*BX79+BY79*CE79)/10^6+IF($W79=MAT_AR,(BZ79*CD79+CA79*CE79)/10^6,0)</f>
        <v>#N/A</v>
      </c>
      <c r="DO79" s="45" t="e">
        <f t="shared" ref="DO79:DO142" si="144">IF(BP79,"PASS","FAIL")</f>
        <v>#N/A</v>
      </c>
      <c r="DP79" s="67" t="e">
        <f t="shared" ref="DP79:DP142" si="145">(DT79+DU79+DV79)</f>
        <v>#N/A</v>
      </c>
      <c r="DQ79" s="45" t="e">
        <f t="shared" ref="DQ79:DQ142" si="146">IF(BQ79,"PASS","FAIL")</f>
        <v>#N/A</v>
      </c>
      <c r="DR79" s="69" t="e">
        <f t="shared" ref="DR79:DR142" si="147">IF(BR79,"Eligible","Not eligible")</f>
        <v>#N/A</v>
      </c>
      <c r="DS79" s="34"/>
      <c r="DT79" s="67" t="e">
        <f>((BX79*CJ79)+IF($W79=MAT_AR,(BZ79*CL79),0))*(1+Reference!$E$50+Reference!$E$51)</f>
        <v>#N/A</v>
      </c>
      <c r="DU79" s="67">
        <f>((BY79*CK79)+IF($W79=MAT_AR,(CA79*CM79),0))*(1+Reference!$G$50+Reference!$G$51)</f>
        <v>0</v>
      </c>
      <c r="DV79" s="67" t="e">
        <f t="shared" ref="DV79:DV142" si="148">IF(W79="NR",CU79-DC79,(CU79+DK79)-DC79)</f>
        <v>#VALUE!</v>
      </c>
      <c r="DX79" s="56">
        <v>65</v>
      </c>
      <c r="DY79" s="67">
        <f t="shared" ref="DY79:DY142" si="149">(Btu_per_kWh*BT79+Btu_therm*BU79)/10^6</f>
        <v>0</v>
      </c>
      <c r="DZ79" s="45" t="e">
        <f>VLOOKUP($R79,Dropdown!$C$3:$D$4,2,FALSE)</f>
        <v>#N/A</v>
      </c>
      <c r="EA79" s="68">
        <f t="shared" ref="EA79:EA142" si="150">IF($R79=fuel_electricity,$DY79*10^6/Btu_per_kWh,0)</f>
        <v>0</v>
      </c>
      <c r="EB79" s="68" t="str">
        <f t="shared" ref="EB79:EB142" si="151">IF($R79=fuel_natural_gas,$DY79/MMBtu_per_therm,"N/A")</f>
        <v>N/A</v>
      </c>
      <c r="EC79" s="68">
        <f t="shared" ref="EC79:EC142" si="152">IF($R79=fuel_electricity,"N/A",AJ79)</f>
        <v>0</v>
      </c>
      <c r="ED79" s="68" t="str">
        <f t="shared" ref="ED79:ED110" si="153">IF($R79=fuel_electricity,DY79*10^6/Btu_therm,"N/A")</f>
        <v>N/A</v>
      </c>
      <c r="EF79" s="56">
        <v>65</v>
      </c>
      <c r="EG79" s="46">
        <f t="shared" ref="EG79:EG142" si="154">J79</f>
        <v>0</v>
      </c>
      <c r="EH79" s="68" t="e">
        <f t="shared" ref="EH79:EH142" si="155">IF($BR79,BE79,0)</f>
        <v>#N/A</v>
      </c>
      <c r="EI79" s="68" t="e">
        <f t="shared" ref="EI79:EI142" si="156">IF($BR79,BF79,0)</f>
        <v>#N/A</v>
      </c>
      <c r="EJ79" s="68" t="e">
        <f t="shared" ref="EJ79:EJ142" si="157">IF($BR79,BM79,0)</f>
        <v>#N/A</v>
      </c>
      <c r="EK79" s="68" t="e">
        <f t="shared" ref="EK79:EK142" si="158">IF($BR79,BN79,0)</f>
        <v>#N/A</v>
      </c>
      <c r="EL79" s="46">
        <f t="shared" ref="EL79:EL142" si="159">K79</f>
        <v>0</v>
      </c>
      <c r="EM79" s="46">
        <f t="shared" ref="EM79:EM142" si="160">AV79</f>
        <v>0</v>
      </c>
    </row>
    <row r="80" spans="1:143">
      <c r="A80" s="89"/>
      <c r="B80" s="89"/>
      <c r="C80" s="89"/>
      <c r="D80" s="89"/>
      <c r="E80" s="89"/>
      <c r="F80" s="89"/>
      <c r="G80" s="34"/>
      <c r="H80" s="56">
        <f t="shared" ref="H80:H143" si="161">ROW($H80)-ROW($H$14)</f>
        <v>66</v>
      </c>
      <c r="I80" s="165"/>
      <c r="J80" s="163"/>
      <c r="K80" s="163"/>
      <c r="L80" s="164"/>
      <c r="M80" s="155"/>
      <c r="N80" s="155"/>
      <c r="O80" s="144"/>
      <c r="P80" s="159" t="str">
        <f>IFERROR(IF(O80&lt;&gt;"User Specified",IF(O80&lt;&gt;"", INDEX('Refrigerant GWPs'!$G$2:$G$154,MATCH(O80,'Refrigerant GWPs'!$A$2:$A$154,0)),""),U80),0)</f>
        <v/>
      </c>
      <c r="Q80" s="155"/>
      <c r="R80" s="155"/>
      <c r="S80" s="144"/>
      <c r="T80" s="159" t="str">
        <f>IF(S80&lt;&gt;"User Specified",IF(AND(S80&lt;&gt;"User Specified",S80&lt;&gt;""), INDEX('Refrigerant GWPs'!$G$2:$G$154,MATCH(S80,'Refrigerant GWPs'!$A$2:$A$154,0)),""),V80)</f>
        <v/>
      </c>
      <c r="U80" s="144"/>
      <c r="V80" s="144"/>
      <c r="W80" s="155"/>
      <c r="X80" s="155"/>
      <c r="Y80" s="144"/>
      <c r="Z80" s="159" t="str">
        <f>IF(AND(Y80&lt;&gt;"User Specified",Y80&lt;&gt;""), INDEX('Refrigerant GWPs'!$G$2:$G$154,MATCH(Y80,'Refrigerant GWPs'!$A$2:$A$154,0)),"")</f>
        <v/>
      </c>
      <c r="AA80" s="155"/>
      <c r="AB80" s="156"/>
      <c r="AC80" s="66"/>
      <c r="AD80" s="66"/>
      <c r="AE80" s="66"/>
      <c r="AF80" s="66"/>
      <c r="AG80" s="66"/>
      <c r="AH80" s="66"/>
      <c r="AI80" s="34"/>
      <c r="AJ80" s="88">
        <f t="shared" si="119"/>
        <v>0</v>
      </c>
      <c r="AK80" s="88">
        <f t="shared" si="120"/>
        <v>0</v>
      </c>
      <c r="AL80" s="88">
        <v>0</v>
      </c>
      <c r="AM80" s="88">
        <v>0</v>
      </c>
      <c r="AN80" s="81" t="str">
        <f t="shared" ref="AN80:AN143" si="162">IF(OR(BC80:BD80),"Warning: Need to enter baseline and measure consumption","")</f>
        <v/>
      </c>
      <c r="AO80" s="88">
        <f t="shared" si="121"/>
        <v>0</v>
      </c>
      <c r="AP80" s="88">
        <f t="shared" si="122"/>
        <v>0</v>
      </c>
      <c r="AQ80" s="81" t="str">
        <f t="shared" si="123"/>
        <v/>
      </c>
      <c r="AS80" s="41" t="b">
        <f t="shared" si="124"/>
        <v>1</v>
      </c>
      <c r="AT80" s="38">
        <f t="shared" si="125"/>
        <v>0</v>
      </c>
      <c r="AU80" s="60">
        <f t="shared" si="126"/>
        <v>0</v>
      </c>
      <c r="AV80" s="41">
        <f t="shared" si="127"/>
        <v>0</v>
      </c>
      <c r="AW80" s="41" t="b">
        <f t="shared" si="128"/>
        <v>0</v>
      </c>
      <c r="AX80" t="str">
        <f t="shared" si="129"/>
        <v>+00</v>
      </c>
      <c r="AY80" t="str">
        <f t="shared" si="130"/>
        <v>+00</v>
      </c>
      <c r="BA80" s="47" t="b">
        <f t="shared" si="83"/>
        <v>1</v>
      </c>
      <c r="BB80" s="42" t="b">
        <f t="shared" si="84"/>
        <v>1</v>
      </c>
      <c r="BC80" s="42" t="b">
        <f t="shared" si="85"/>
        <v>0</v>
      </c>
      <c r="BD80" s="42" t="b">
        <f t="shared" si="86"/>
        <v>0</v>
      </c>
      <c r="BE80" s="70">
        <f t="shared" si="87"/>
        <v>0</v>
      </c>
      <c r="BF80" s="70">
        <f t="shared" si="88"/>
        <v>0</v>
      </c>
      <c r="BG80" s="34"/>
      <c r="BI80" s="47" t="b">
        <f t="shared" si="89"/>
        <v>1</v>
      </c>
      <c r="BJ80" s="47" t="b">
        <f t="shared" si="90"/>
        <v>1</v>
      </c>
      <c r="BK80" s="42" t="b">
        <f t="shared" si="91"/>
        <v>0</v>
      </c>
      <c r="BL80" s="42" t="b">
        <f t="shared" si="92"/>
        <v>0</v>
      </c>
      <c r="BM80" s="42">
        <f t="shared" si="93"/>
        <v>0</v>
      </c>
      <c r="BN80" s="42">
        <f t="shared" si="94"/>
        <v>0</v>
      </c>
      <c r="BP80" t="e">
        <f t="shared" si="95"/>
        <v>#N/A</v>
      </c>
      <c r="BQ80" t="e">
        <f t="shared" si="96"/>
        <v>#N/A</v>
      </c>
      <c r="BR80" t="e">
        <f t="shared" si="97"/>
        <v>#N/A</v>
      </c>
      <c r="BT80" s="60">
        <f t="shared" si="131"/>
        <v>0</v>
      </c>
      <c r="BU80" s="60">
        <f t="shared" si="132"/>
        <v>0</v>
      </c>
      <c r="BV80" s="60">
        <f t="shared" si="133"/>
        <v>0</v>
      </c>
      <c r="BW80" s="60">
        <f t="shared" si="134"/>
        <v>0</v>
      </c>
      <c r="BX80" s="60">
        <f t="shared" si="98"/>
        <v>0</v>
      </c>
      <c r="BY80" s="60">
        <f t="shared" si="99"/>
        <v>0</v>
      </c>
      <c r="BZ80" s="60">
        <f t="shared" si="100"/>
        <v>0</v>
      </c>
      <c r="CA80" s="60">
        <f t="shared" si="101"/>
        <v>0</v>
      </c>
      <c r="CB80" s="60" t="e">
        <f t="shared" si="135"/>
        <v>#N/A</v>
      </c>
      <c r="CC80" s="60">
        <f t="shared" si="136"/>
        <v>100000</v>
      </c>
      <c r="CD80" s="60" t="e">
        <f t="shared" si="137"/>
        <v>#N/A</v>
      </c>
      <c r="CE80" s="60">
        <f t="shared" si="138"/>
        <v>100000</v>
      </c>
      <c r="CF80" s="83" t="e">
        <f t="shared" si="102"/>
        <v>#N/A</v>
      </c>
      <c r="CG80" s="83">
        <f t="shared" si="103"/>
        <v>0</v>
      </c>
      <c r="CH80" s="83" t="e">
        <f t="shared" si="104"/>
        <v>#N/A</v>
      </c>
      <c r="CI80" s="83">
        <f t="shared" si="105"/>
        <v>0</v>
      </c>
      <c r="CJ80" s="86" t="e">
        <f t="shared" si="139"/>
        <v>#N/A</v>
      </c>
      <c r="CK80" s="82">
        <f t="shared" si="140"/>
        <v>5.3070370403969858E-3</v>
      </c>
      <c r="CL80" s="82" t="e">
        <f t="shared" si="141"/>
        <v>#N/A</v>
      </c>
      <c r="CM80" s="82">
        <f t="shared" si="142"/>
        <v>5.3070370403969858E-3</v>
      </c>
      <c r="CO80" s="149" t="str">
        <f>IF($I80&lt;&gt;"",IF(O80="User Specified",U80,INDEX('Refrigerant GWPs'!$G$2:$G$156,MATCH(O80,'Refrigerant GWPs'!$A$2:$A$156,0))),"")</f>
        <v/>
      </c>
      <c r="CP80" s="138" t="str">
        <f>IF($I80&lt;&gt;"",INDEX('Device Refrigerant Leakage'!$E$2:$E$42,MATCH($M80,'Device Refrigerant Leakage'!$B$2:$B$42,0)),"")</f>
        <v/>
      </c>
      <c r="CQ80" s="138" t="str">
        <f>IF($I80&lt;&gt;"",INDEX('Device Refrigerant Leakage'!$F$2:$F$42,MATCH($M80,'Device Refrigerant Leakage'!$B$2:$B$42,0)),"")</f>
        <v/>
      </c>
      <c r="CR80" s="145" t="str">
        <f>IF($I80&lt;&gt;"",INDEX('Device Refrigerant Leakage'!$G$2:$G$42,MATCH($M80,'Device Refrigerant Leakage'!$B$2:$B$42,0)),"")</f>
        <v/>
      </c>
      <c r="CS80" s="145" t="str">
        <f>IF($I80&lt;&gt;"",INDEX('Device Refrigerant Leakage'!$D$2:$D$42,MATCH($M80,'Device Refrigerant Leakage'!$B$2:$B$42,0))*CP80/2204.62*CO80,"")</f>
        <v/>
      </c>
      <c r="CT80" s="145" t="str">
        <f>IF($I80&lt;&gt;"",J80*(INDEX('Device Refrigerant Leakage'!$D$2:$D$42,MATCH($M80,'Device Refrigerant Leakage'!$B$2:$B$42,0))-(INDEX('Device Refrigerant Leakage'!$D$2:$D$42,MATCH($M80,'Device Refrigerant Leakage'!$B$2:$B$42,0)))*CR80*CP80)*CQ80/2204.62*CO80,"")</f>
        <v/>
      </c>
      <c r="CU80" s="135" t="str">
        <f>IF($I80&lt;&gt;"",J80*IF(W80&lt;&gt;"AR",(CS80*K80)+CT80,(CS80*AB80)+CT80*(AB80/INDEX('Device Refrigerant Leakage'!$C$2:$C$42,MATCH($M80,'Device Refrigerant Leakage'!$B$2:$B$42,0)))),"")</f>
        <v/>
      </c>
      <c r="CW80" s="135" t="str">
        <f>IF($I80&lt;&gt;"",IF(S80="User Specified",V80,INDEX('Refrigerant GWPs'!$G$2:$G$156,MATCH(S80,'Refrigerant GWPs'!$A$2:$A$157,0))),"")</f>
        <v/>
      </c>
      <c r="CX80" s="138" t="str">
        <f>IF($I80&lt;&gt;"",INDEX('Device Refrigerant Leakage'!$E$2:$E$42,MATCH($Q80,'Device Refrigerant Leakage'!$B$2:$B$42,0)),"")</f>
        <v/>
      </c>
      <c r="CY80" s="138" t="str">
        <f>IF($I80&lt;&gt;"",INDEX('Device Refrigerant Leakage'!$F$2:$F$42,MATCH($Q80,'Device Refrigerant Leakage'!$B$2:$B$42,0)),"")</f>
        <v/>
      </c>
      <c r="CZ80" s="145" t="str">
        <f>IF($I80&lt;&gt;"",INDEX('Device Refrigerant Leakage'!$G$2:$G$42,MATCH($Q80,'Device Refrigerant Leakage'!$B$2:$B$42,0)),"")</f>
        <v/>
      </c>
      <c r="DA80" s="145" t="str">
        <f>IF($I80&lt;&gt;"",J80*INDEX('Device Refrigerant Leakage'!$D$2:$D$42,MATCH($Q80,'Device Refrigerant Leakage'!$B$2:$B$42,0))*CX80/2204.62*CW80,"")</f>
        <v/>
      </c>
      <c r="DB80" s="145" t="str">
        <f>IF($I80&lt;&gt;"",J80*(INDEX('Device Refrigerant Leakage'!$D$2:$D$42,MATCH($Q80,'Device Refrigerant Leakage'!$B$2:$B$42,0))-(INDEX('Device Refrigerant Leakage'!$D$2:$D$42,MATCH($Q80,'Device Refrigerant Leakage'!$B$2:$B$42,0)))*CZ80*CX80)*CY80/2204.62*CW80,"")</f>
        <v/>
      </c>
      <c r="DC80" s="135" t="str">
        <f t="shared" ref="DC80:DC143" si="163">IF($I80&lt;&gt;"",(DA80*K80)+DB80,"")</f>
        <v/>
      </c>
      <c r="DE80" s="146" t="str">
        <f>IF(W80&lt;&gt;"AR","",IF(Y80="User Specified", AA80, INDEX('Refrigerant GWPs'!$G$2:$G$154,MATCH(Y80,'Refrigerant GWPs'!$A$2:$A$154,0))))</f>
        <v/>
      </c>
      <c r="DF80" s="146" t="str">
        <f>IF(W80&lt;&gt;"AR","",INDEX('Device Refrigerant Leakage'!$E$2:$E$42,MATCH(X80,'Device Refrigerant Leakage'!$B$2:$B$42,0)))</f>
        <v/>
      </c>
      <c r="DG80" s="146" t="str">
        <f>IF(W80&lt;&gt;"AR","",INDEX('Device Refrigerant Leakage'!$F$2:$F$42,MATCH(X80,'Device Refrigerant Leakage'!$B$2:$B$42,0)))</f>
        <v/>
      </c>
      <c r="DH80" s="146" t="str">
        <f>IF(W80&lt;&gt;"AR","",INDEX('Device Refrigerant Leakage'!$G$2:$G$42,MATCH(X80,'Device Refrigerant Leakage'!$B$2:$B$42,0)))</f>
        <v/>
      </c>
      <c r="DI80" s="146" t="str">
        <f>IF(W80&lt;&gt;"AR","",J80*INDEX('Device Refrigerant Leakage'!$D$2:$D$42,MATCH(X80,'Device Refrigerant Leakage'!$B$2:$B$42,0))*DF80/2204.62*DE80)</f>
        <v/>
      </c>
      <c r="DJ80" s="146" t="str">
        <f>IF(W80&lt;&gt;"AR","",J80*(INDEX('Device Refrigerant Leakage'!$D$2:$D$42,MATCH(X80,'Device Refrigerant Leakage'!$B$2:$B$42,0))-(INDEX('Device Refrigerant Leakage'!$D$2:$D$42,MATCH(X80,'Device Refrigerant Leakage'!$B$2:$B$42,0)))*DH80*DF80)*DG80/2204.62*DE80)</f>
        <v/>
      </c>
      <c r="DK80" s="146" t="str">
        <f>IF(W80&lt;&gt;"AR","",DI80*(K80-AB80)+'Fuel Sub Calcs-Deemed'!DJ80*((K80-AB80)/INDEX('Device Refrigerant Leakage'!$C$2:$C$42,MATCH('Fuel Sub Calcs-Deemed'!X80,'Device Refrigerant Leakage'!$B$2:$B$42,0))))</f>
        <v/>
      </c>
      <c r="DM80" s="56">
        <v>66</v>
      </c>
      <c r="DN80" s="67" t="e">
        <f t="shared" si="143"/>
        <v>#N/A</v>
      </c>
      <c r="DO80" s="45" t="e">
        <f t="shared" si="144"/>
        <v>#N/A</v>
      </c>
      <c r="DP80" s="67" t="e">
        <f t="shared" si="145"/>
        <v>#N/A</v>
      </c>
      <c r="DQ80" s="45" t="e">
        <f t="shared" si="146"/>
        <v>#N/A</v>
      </c>
      <c r="DR80" s="69" t="e">
        <f t="shared" si="147"/>
        <v>#N/A</v>
      </c>
      <c r="DS80" s="34"/>
      <c r="DT80" s="67" t="e">
        <f>((BX80*CJ80)+IF($W80=MAT_AR,(BZ80*CL80),0))*(1+Reference!$E$50+Reference!$E$51)</f>
        <v>#N/A</v>
      </c>
      <c r="DU80" s="67">
        <f>((BY80*CK80)+IF($W80=MAT_AR,(CA80*CM80),0))*(1+Reference!$G$50+Reference!$G$51)</f>
        <v>0</v>
      </c>
      <c r="DV80" s="67" t="e">
        <f t="shared" si="148"/>
        <v>#VALUE!</v>
      </c>
      <c r="DX80" s="56">
        <v>66</v>
      </c>
      <c r="DY80" s="67">
        <f t="shared" si="149"/>
        <v>0</v>
      </c>
      <c r="DZ80" s="45" t="e">
        <f>VLOOKUP($R80,Dropdown!$C$3:$D$4,2,FALSE)</f>
        <v>#N/A</v>
      </c>
      <c r="EA80" s="68">
        <f t="shared" si="150"/>
        <v>0</v>
      </c>
      <c r="EB80" s="68" t="str">
        <f t="shared" si="151"/>
        <v>N/A</v>
      </c>
      <c r="EC80" s="68">
        <f t="shared" si="152"/>
        <v>0</v>
      </c>
      <c r="ED80" s="68" t="str">
        <f t="shared" si="153"/>
        <v>N/A</v>
      </c>
      <c r="EF80" s="56">
        <v>66</v>
      </c>
      <c r="EG80" s="46">
        <f t="shared" si="154"/>
        <v>0</v>
      </c>
      <c r="EH80" s="68" t="e">
        <f t="shared" si="155"/>
        <v>#N/A</v>
      </c>
      <c r="EI80" s="68" t="e">
        <f t="shared" si="156"/>
        <v>#N/A</v>
      </c>
      <c r="EJ80" s="68" t="e">
        <f t="shared" si="157"/>
        <v>#N/A</v>
      </c>
      <c r="EK80" s="68" t="e">
        <f t="shared" si="158"/>
        <v>#N/A</v>
      </c>
      <c r="EL80" s="46">
        <f t="shared" si="159"/>
        <v>0</v>
      </c>
      <c r="EM80" s="46">
        <f t="shared" si="160"/>
        <v>0</v>
      </c>
    </row>
    <row r="81" spans="1:143">
      <c r="A81" s="89"/>
      <c r="B81" s="89"/>
      <c r="C81" s="89"/>
      <c r="D81" s="89"/>
      <c r="E81" s="89"/>
      <c r="F81" s="89"/>
      <c r="G81" s="34"/>
      <c r="H81" s="56">
        <f t="shared" si="161"/>
        <v>67</v>
      </c>
      <c r="I81" s="165"/>
      <c r="J81" s="163"/>
      <c r="K81" s="163"/>
      <c r="L81" s="164"/>
      <c r="M81" s="155"/>
      <c r="N81" s="155"/>
      <c r="O81" s="144"/>
      <c r="P81" s="159" t="str">
        <f>IFERROR(IF(O81&lt;&gt;"User Specified",IF(O81&lt;&gt;"", INDEX('Refrigerant GWPs'!$G$2:$G$154,MATCH(O81,'Refrigerant GWPs'!$A$2:$A$154,0)),""),U81),0)</f>
        <v/>
      </c>
      <c r="Q81" s="155"/>
      <c r="R81" s="155"/>
      <c r="S81" s="144"/>
      <c r="T81" s="159" t="str">
        <f>IF(S81&lt;&gt;"User Specified",IF(AND(S81&lt;&gt;"User Specified",S81&lt;&gt;""), INDEX('Refrigerant GWPs'!$G$2:$G$154,MATCH(S81,'Refrigerant GWPs'!$A$2:$A$154,0)),""),V81)</f>
        <v/>
      </c>
      <c r="U81" s="144"/>
      <c r="V81" s="144"/>
      <c r="W81" s="155"/>
      <c r="X81" s="155"/>
      <c r="Y81" s="144"/>
      <c r="Z81" s="159" t="str">
        <f>IF(AND(Y81&lt;&gt;"User Specified",Y81&lt;&gt;""), INDEX('Refrigerant GWPs'!$G$2:$G$154,MATCH(Y81,'Refrigerant GWPs'!$A$2:$A$154,0)),"")</f>
        <v/>
      </c>
      <c r="AA81" s="155"/>
      <c r="AB81" s="156"/>
      <c r="AC81" s="66"/>
      <c r="AD81" s="66"/>
      <c r="AE81" s="66"/>
      <c r="AF81" s="66"/>
      <c r="AG81" s="66"/>
      <c r="AH81" s="66"/>
      <c r="AI81" s="34"/>
      <c r="AJ81" s="88">
        <f t="shared" si="119"/>
        <v>0</v>
      </c>
      <c r="AK81" s="88">
        <f t="shared" si="120"/>
        <v>0</v>
      </c>
      <c r="AL81" s="88">
        <v>0</v>
      </c>
      <c r="AM81" s="88">
        <v>0</v>
      </c>
      <c r="AN81" s="81" t="str">
        <f t="shared" si="162"/>
        <v/>
      </c>
      <c r="AO81" s="88">
        <f t="shared" si="121"/>
        <v>0</v>
      </c>
      <c r="AP81" s="88">
        <f t="shared" si="122"/>
        <v>0</v>
      </c>
      <c r="AQ81" s="81" t="str">
        <f t="shared" si="123"/>
        <v/>
      </c>
      <c r="AS81" s="41" t="b">
        <f t="shared" si="124"/>
        <v>1</v>
      </c>
      <c r="AT81" s="38">
        <f t="shared" si="125"/>
        <v>0</v>
      </c>
      <c r="AU81" s="60">
        <f t="shared" si="126"/>
        <v>0</v>
      </c>
      <c r="AV81" s="41">
        <f t="shared" si="127"/>
        <v>0</v>
      </c>
      <c r="AW81" s="41" t="b">
        <f t="shared" si="128"/>
        <v>0</v>
      </c>
      <c r="AX81" t="str">
        <f t="shared" si="129"/>
        <v>+00</v>
      </c>
      <c r="AY81" t="str">
        <f t="shared" si="130"/>
        <v>+00</v>
      </c>
      <c r="BA81" s="47" t="b">
        <f t="shared" si="83"/>
        <v>1</v>
      </c>
      <c r="BB81" s="42" t="b">
        <f t="shared" si="84"/>
        <v>1</v>
      </c>
      <c r="BC81" s="42" t="b">
        <f t="shared" si="85"/>
        <v>0</v>
      </c>
      <c r="BD81" s="42" t="b">
        <f t="shared" si="86"/>
        <v>0</v>
      </c>
      <c r="BE81" s="70">
        <f t="shared" si="87"/>
        <v>0</v>
      </c>
      <c r="BF81" s="70">
        <f t="shared" si="88"/>
        <v>0</v>
      </c>
      <c r="BG81" s="34"/>
      <c r="BI81" s="47" t="b">
        <f t="shared" si="89"/>
        <v>1</v>
      </c>
      <c r="BJ81" s="47" t="b">
        <f t="shared" si="90"/>
        <v>1</v>
      </c>
      <c r="BK81" s="42" t="b">
        <f t="shared" si="91"/>
        <v>0</v>
      </c>
      <c r="BL81" s="42" t="b">
        <f t="shared" si="92"/>
        <v>0</v>
      </c>
      <c r="BM81" s="42">
        <f t="shared" si="93"/>
        <v>0</v>
      </c>
      <c r="BN81" s="42">
        <f t="shared" si="94"/>
        <v>0</v>
      </c>
      <c r="BP81" t="e">
        <f t="shared" si="95"/>
        <v>#N/A</v>
      </c>
      <c r="BQ81" t="e">
        <f t="shared" si="96"/>
        <v>#N/A</v>
      </c>
      <c r="BR81" t="e">
        <f t="shared" si="97"/>
        <v>#N/A</v>
      </c>
      <c r="BT81" s="60">
        <f t="shared" si="131"/>
        <v>0</v>
      </c>
      <c r="BU81" s="60">
        <f t="shared" si="132"/>
        <v>0</v>
      </c>
      <c r="BV81" s="60">
        <f t="shared" si="133"/>
        <v>0</v>
      </c>
      <c r="BW81" s="60">
        <f t="shared" si="134"/>
        <v>0</v>
      </c>
      <c r="BX81" s="60">
        <f t="shared" si="98"/>
        <v>0</v>
      </c>
      <c r="BY81" s="60">
        <f t="shared" si="99"/>
        <v>0</v>
      </c>
      <c r="BZ81" s="60">
        <f t="shared" si="100"/>
        <v>0</v>
      </c>
      <c r="CA81" s="60">
        <f t="shared" si="101"/>
        <v>0</v>
      </c>
      <c r="CB81" s="60" t="e">
        <f t="shared" si="135"/>
        <v>#N/A</v>
      </c>
      <c r="CC81" s="60">
        <f t="shared" si="136"/>
        <v>100000</v>
      </c>
      <c r="CD81" s="60" t="e">
        <f t="shared" si="137"/>
        <v>#N/A</v>
      </c>
      <c r="CE81" s="60">
        <f t="shared" si="138"/>
        <v>100000</v>
      </c>
      <c r="CF81" s="83" t="e">
        <f t="shared" si="102"/>
        <v>#N/A</v>
      </c>
      <c r="CG81" s="83">
        <f t="shared" si="103"/>
        <v>0</v>
      </c>
      <c r="CH81" s="83" t="e">
        <f t="shared" si="104"/>
        <v>#N/A</v>
      </c>
      <c r="CI81" s="83">
        <f t="shared" si="105"/>
        <v>0</v>
      </c>
      <c r="CJ81" s="86" t="e">
        <f t="shared" si="139"/>
        <v>#N/A</v>
      </c>
      <c r="CK81" s="82">
        <f t="shared" si="140"/>
        <v>5.3070370403969858E-3</v>
      </c>
      <c r="CL81" s="82" t="e">
        <f t="shared" si="141"/>
        <v>#N/A</v>
      </c>
      <c r="CM81" s="82">
        <f t="shared" si="142"/>
        <v>5.3070370403969858E-3</v>
      </c>
      <c r="CO81" s="149" t="str">
        <f>IF($I81&lt;&gt;"",IF(O81="User Specified",U81,INDEX('Refrigerant GWPs'!$G$2:$G$156,MATCH(O81,'Refrigerant GWPs'!$A$2:$A$156,0))),"")</f>
        <v/>
      </c>
      <c r="CP81" s="138" t="str">
        <f>IF($I81&lt;&gt;"",INDEX('Device Refrigerant Leakage'!$E$2:$E$42,MATCH($M81,'Device Refrigerant Leakage'!$B$2:$B$42,0)),"")</f>
        <v/>
      </c>
      <c r="CQ81" s="138" t="str">
        <f>IF($I81&lt;&gt;"",INDEX('Device Refrigerant Leakage'!$F$2:$F$42,MATCH($M81,'Device Refrigerant Leakage'!$B$2:$B$42,0)),"")</f>
        <v/>
      </c>
      <c r="CR81" s="145" t="str">
        <f>IF($I81&lt;&gt;"",INDEX('Device Refrigerant Leakage'!$G$2:$G$42,MATCH($M81,'Device Refrigerant Leakage'!$B$2:$B$42,0)),"")</f>
        <v/>
      </c>
      <c r="CS81" s="145" t="str">
        <f>IF($I81&lt;&gt;"",INDEX('Device Refrigerant Leakage'!$D$2:$D$42,MATCH($M81,'Device Refrigerant Leakage'!$B$2:$B$42,0))*CP81/2204.62*CO81,"")</f>
        <v/>
      </c>
      <c r="CT81" s="145" t="str">
        <f>IF($I81&lt;&gt;"",J81*(INDEX('Device Refrigerant Leakage'!$D$2:$D$42,MATCH($M81,'Device Refrigerant Leakage'!$B$2:$B$42,0))-(INDEX('Device Refrigerant Leakage'!$D$2:$D$42,MATCH($M81,'Device Refrigerant Leakage'!$B$2:$B$42,0)))*CR81*CP81)*CQ81/2204.62*CO81,"")</f>
        <v/>
      </c>
      <c r="CU81" s="135" t="str">
        <f>IF($I81&lt;&gt;"",J81*IF(W81&lt;&gt;"AR",(CS81*K81)+CT81,(CS81*AB81)+CT81*(AB81/INDEX('Device Refrigerant Leakage'!$C$2:$C$42,MATCH($M81,'Device Refrigerant Leakage'!$B$2:$B$42,0)))),"")</f>
        <v/>
      </c>
      <c r="CW81" s="135" t="str">
        <f>IF($I81&lt;&gt;"",IF(S81="User Specified",V81,INDEX('Refrigerant GWPs'!$G$2:$G$156,MATCH(S81,'Refrigerant GWPs'!$A$2:$A$157,0))),"")</f>
        <v/>
      </c>
      <c r="CX81" s="138" t="str">
        <f>IF($I81&lt;&gt;"",INDEX('Device Refrigerant Leakage'!$E$2:$E$42,MATCH($Q81,'Device Refrigerant Leakage'!$B$2:$B$42,0)),"")</f>
        <v/>
      </c>
      <c r="CY81" s="138" t="str">
        <f>IF($I81&lt;&gt;"",INDEX('Device Refrigerant Leakage'!$F$2:$F$42,MATCH($Q81,'Device Refrigerant Leakage'!$B$2:$B$42,0)),"")</f>
        <v/>
      </c>
      <c r="CZ81" s="145" t="str">
        <f>IF($I81&lt;&gt;"",INDEX('Device Refrigerant Leakage'!$G$2:$G$42,MATCH($Q81,'Device Refrigerant Leakage'!$B$2:$B$42,0)),"")</f>
        <v/>
      </c>
      <c r="DA81" s="145" t="str">
        <f>IF($I81&lt;&gt;"",J81*INDEX('Device Refrigerant Leakage'!$D$2:$D$42,MATCH($Q81,'Device Refrigerant Leakage'!$B$2:$B$42,0))*CX81/2204.62*CW81,"")</f>
        <v/>
      </c>
      <c r="DB81" s="145" t="str">
        <f>IF($I81&lt;&gt;"",J81*(INDEX('Device Refrigerant Leakage'!$D$2:$D$42,MATCH($Q81,'Device Refrigerant Leakage'!$B$2:$B$42,0))-(INDEX('Device Refrigerant Leakage'!$D$2:$D$42,MATCH($Q81,'Device Refrigerant Leakage'!$B$2:$B$42,0)))*CZ81*CX81)*CY81/2204.62*CW81,"")</f>
        <v/>
      </c>
      <c r="DC81" s="135" t="str">
        <f t="shared" si="163"/>
        <v/>
      </c>
      <c r="DE81" s="146" t="str">
        <f>IF(W81&lt;&gt;"AR","",IF(Y81="User Specified", AA81, INDEX('Refrigerant GWPs'!$G$2:$G$154,MATCH(Y81,'Refrigerant GWPs'!$A$2:$A$154,0))))</f>
        <v/>
      </c>
      <c r="DF81" s="146" t="str">
        <f>IF(W81&lt;&gt;"AR","",INDEX('Device Refrigerant Leakage'!$E$2:$E$42,MATCH(X81,'Device Refrigerant Leakage'!$B$2:$B$42,0)))</f>
        <v/>
      </c>
      <c r="DG81" s="146" t="str">
        <f>IF(W81&lt;&gt;"AR","",INDEX('Device Refrigerant Leakage'!$F$2:$F$42,MATCH(X81,'Device Refrigerant Leakage'!$B$2:$B$42,0)))</f>
        <v/>
      </c>
      <c r="DH81" s="146" t="str">
        <f>IF(W81&lt;&gt;"AR","",INDEX('Device Refrigerant Leakage'!$G$2:$G$42,MATCH(X81,'Device Refrigerant Leakage'!$B$2:$B$42,0)))</f>
        <v/>
      </c>
      <c r="DI81" s="146" t="str">
        <f>IF(W81&lt;&gt;"AR","",J81*INDEX('Device Refrigerant Leakage'!$D$2:$D$42,MATCH(X81,'Device Refrigerant Leakage'!$B$2:$B$42,0))*DF81/2204.62*DE81)</f>
        <v/>
      </c>
      <c r="DJ81" s="146" t="str">
        <f>IF(W81&lt;&gt;"AR","",J81*(INDEX('Device Refrigerant Leakage'!$D$2:$D$42,MATCH(X81,'Device Refrigerant Leakage'!$B$2:$B$42,0))-(INDEX('Device Refrigerant Leakage'!$D$2:$D$42,MATCH(X81,'Device Refrigerant Leakage'!$B$2:$B$42,0)))*DH81*DF81)*DG81/2204.62*DE81)</f>
        <v/>
      </c>
      <c r="DK81" s="146" t="str">
        <f>IF(W81&lt;&gt;"AR","",DI81*(K81-AB81)+'Fuel Sub Calcs-Deemed'!DJ81*((K81-AB81)/INDEX('Device Refrigerant Leakage'!$C$2:$C$42,MATCH('Fuel Sub Calcs-Deemed'!X81,'Device Refrigerant Leakage'!$B$2:$B$42,0))))</f>
        <v/>
      </c>
      <c r="DM81" s="56">
        <v>67</v>
      </c>
      <c r="DN81" s="67" t="e">
        <f t="shared" si="143"/>
        <v>#N/A</v>
      </c>
      <c r="DO81" s="45" t="e">
        <f t="shared" si="144"/>
        <v>#N/A</v>
      </c>
      <c r="DP81" s="67" t="e">
        <f t="shared" si="145"/>
        <v>#N/A</v>
      </c>
      <c r="DQ81" s="45" t="e">
        <f t="shared" si="146"/>
        <v>#N/A</v>
      </c>
      <c r="DR81" s="69" t="e">
        <f t="shared" si="147"/>
        <v>#N/A</v>
      </c>
      <c r="DS81" s="34"/>
      <c r="DT81" s="67" t="e">
        <f>((BX81*CJ81)+IF($W81=MAT_AR,(BZ81*CL81),0))*(1+Reference!$E$50+Reference!$E$51)</f>
        <v>#N/A</v>
      </c>
      <c r="DU81" s="67">
        <f>((BY81*CK81)+IF($W81=MAT_AR,(CA81*CM81),0))*(1+Reference!$G$50+Reference!$G$51)</f>
        <v>0</v>
      </c>
      <c r="DV81" s="67" t="e">
        <f t="shared" si="148"/>
        <v>#VALUE!</v>
      </c>
      <c r="DX81" s="56">
        <v>67</v>
      </c>
      <c r="DY81" s="67">
        <f t="shared" si="149"/>
        <v>0</v>
      </c>
      <c r="DZ81" s="45" t="e">
        <f>VLOOKUP($R81,Dropdown!$C$3:$D$4,2,FALSE)</f>
        <v>#N/A</v>
      </c>
      <c r="EA81" s="68">
        <f t="shared" si="150"/>
        <v>0</v>
      </c>
      <c r="EB81" s="68" t="str">
        <f t="shared" si="151"/>
        <v>N/A</v>
      </c>
      <c r="EC81" s="68">
        <f t="shared" si="152"/>
        <v>0</v>
      </c>
      <c r="ED81" s="68" t="str">
        <f t="shared" si="153"/>
        <v>N/A</v>
      </c>
      <c r="EF81" s="56">
        <v>67</v>
      </c>
      <c r="EG81" s="46">
        <f t="shared" si="154"/>
        <v>0</v>
      </c>
      <c r="EH81" s="68" t="e">
        <f t="shared" si="155"/>
        <v>#N/A</v>
      </c>
      <c r="EI81" s="68" t="e">
        <f t="shared" si="156"/>
        <v>#N/A</v>
      </c>
      <c r="EJ81" s="68" t="e">
        <f t="shared" si="157"/>
        <v>#N/A</v>
      </c>
      <c r="EK81" s="68" t="e">
        <f t="shared" si="158"/>
        <v>#N/A</v>
      </c>
      <c r="EL81" s="46">
        <f t="shared" si="159"/>
        <v>0</v>
      </c>
      <c r="EM81" s="46">
        <f t="shared" si="160"/>
        <v>0</v>
      </c>
    </row>
    <row r="82" spans="1:143">
      <c r="A82" s="89"/>
      <c r="B82" s="89"/>
      <c r="C82" s="89"/>
      <c r="D82" s="89"/>
      <c r="E82" s="89"/>
      <c r="F82" s="89"/>
      <c r="G82" s="34"/>
      <c r="H82" s="56">
        <f t="shared" si="161"/>
        <v>68</v>
      </c>
      <c r="I82" s="165"/>
      <c r="J82" s="163"/>
      <c r="K82" s="163"/>
      <c r="L82" s="164"/>
      <c r="M82" s="155"/>
      <c r="N82" s="155"/>
      <c r="O82" s="144"/>
      <c r="P82" s="159" t="str">
        <f>IFERROR(IF(O82&lt;&gt;"User Specified",IF(O82&lt;&gt;"", INDEX('Refrigerant GWPs'!$G$2:$G$154,MATCH(O82,'Refrigerant GWPs'!$A$2:$A$154,0)),""),U82),0)</f>
        <v/>
      </c>
      <c r="Q82" s="155"/>
      <c r="R82" s="155"/>
      <c r="S82" s="144"/>
      <c r="T82" s="159" t="str">
        <f>IF(S82&lt;&gt;"User Specified",IF(AND(S82&lt;&gt;"User Specified",S82&lt;&gt;""), INDEX('Refrigerant GWPs'!$G$2:$G$154,MATCH(S82,'Refrigerant GWPs'!$A$2:$A$154,0)),""),V82)</f>
        <v/>
      </c>
      <c r="U82" s="144"/>
      <c r="V82" s="144"/>
      <c r="W82" s="155"/>
      <c r="X82" s="155"/>
      <c r="Y82" s="144"/>
      <c r="Z82" s="159" t="str">
        <f>IF(AND(Y82&lt;&gt;"User Specified",Y82&lt;&gt;""), INDEX('Refrigerant GWPs'!$G$2:$G$154,MATCH(Y82,'Refrigerant GWPs'!$A$2:$A$154,0)),"")</f>
        <v/>
      </c>
      <c r="AA82" s="155"/>
      <c r="AB82" s="156"/>
      <c r="AC82" s="66"/>
      <c r="AD82" s="66"/>
      <c r="AE82" s="66"/>
      <c r="AF82" s="66"/>
      <c r="AG82" s="66"/>
      <c r="AH82" s="66"/>
      <c r="AI82" s="34"/>
      <c r="AJ82" s="88">
        <f t="shared" si="119"/>
        <v>0</v>
      </c>
      <c r="AK82" s="88">
        <f t="shared" si="120"/>
        <v>0</v>
      </c>
      <c r="AL82" s="88">
        <v>0</v>
      </c>
      <c r="AM82" s="88">
        <v>0</v>
      </c>
      <c r="AN82" s="81" t="str">
        <f t="shared" si="162"/>
        <v/>
      </c>
      <c r="AO82" s="88">
        <f t="shared" si="121"/>
        <v>0</v>
      </c>
      <c r="AP82" s="88">
        <f t="shared" si="122"/>
        <v>0</v>
      </c>
      <c r="AQ82" s="81" t="str">
        <f t="shared" si="123"/>
        <v/>
      </c>
      <c r="AS82" s="41" t="b">
        <f t="shared" si="124"/>
        <v>1</v>
      </c>
      <c r="AT82" s="38">
        <f t="shared" si="125"/>
        <v>0</v>
      </c>
      <c r="AU82" s="60">
        <f t="shared" si="126"/>
        <v>0</v>
      </c>
      <c r="AV82" s="41">
        <f t="shared" si="127"/>
        <v>0</v>
      </c>
      <c r="AW82" s="41" t="b">
        <f t="shared" si="128"/>
        <v>0</v>
      </c>
      <c r="AX82" t="str">
        <f t="shared" si="129"/>
        <v>+00</v>
      </c>
      <c r="AY82" t="str">
        <f t="shared" si="130"/>
        <v>+00</v>
      </c>
      <c r="BA82" s="47" t="b">
        <f t="shared" si="83"/>
        <v>1</v>
      </c>
      <c r="BB82" s="42" t="b">
        <f t="shared" si="84"/>
        <v>1</v>
      </c>
      <c r="BC82" s="42" t="b">
        <f t="shared" si="85"/>
        <v>0</v>
      </c>
      <c r="BD82" s="42" t="b">
        <f t="shared" si="86"/>
        <v>0</v>
      </c>
      <c r="BE82" s="70">
        <f t="shared" si="87"/>
        <v>0</v>
      </c>
      <c r="BF82" s="70">
        <f t="shared" si="88"/>
        <v>0</v>
      </c>
      <c r="BG82" s="34"/>
      <c r="BI82" s="47" t="b">
        <f t="shared" si="89"/>
        <v>1</v>
      </c>
      <c r="BJ82" s="47" t="b">
        <f t="shared" si="90"/>
        <v>1</v>
      </c>
      <c r="BK82" s="42" t="b">
        <f t="shared" si="91"/>
        <v>0</v>
      </c>
      <c r="BL82" s="42" t="b">
        <f t="shared" si="92"/>
        <v>0</v>
      </c>
      <c r="BM82" s="42">
        <f t="shared" si="93"/>
        <v>0</v>
      </c>
      <c r="BN82" s="42">
        <f t="shared" si="94"/>
        <v>0</v>
      </c>
      <c r="BP82" t="e">
        <f t="shared" si="95"/>
        <v>#N/A</v>
      </c>
      <c r="BQ82" t="e">
        <f t="shared" si="96"/>
        <v>#N/A</v>
      </c>
      <c r="BR82" t="e">
        <f t="shared" si="97"/>
        <v>#N/A</v>
      </c>
      <c r="BT82" s="60">
        <f t="shared" si="131"/>
        <v>0</v>
      </c>
      <c r="BU82" s="60">
        <f t="shared" si="132"/>
        <v>0</v>
      </c>
      <c r="BV82" s="60">
        <f t="shared" si="133"/>
        <v>0</v>
      </c>
      <c r="BW82" s="60">
        <f t="shared" si="134"/>
        <v>0</v>
      </c>
      <c r="BX82" s="60">
        <f t="shared" si="98"/>
        <v>0</v>
      </c>
      <c r="BY82" s="60">
        <f t="shared" si="99"/>
        <v>0</v>
      </c>
      <c r="BZ82" s="60">
        <f t="shared" si="100"/>
        <v>0</v>
      </c>
      <c r="CA82" s="60">
        <f t="shared" si="101"/>
        <v>0</v>
      </c>
      <c r="CB82" s="60" t="e">
        <f t="shared" si="135"/>
        <v>#N/A</v>
      </c>
      <c r="CC82" s="60">
        <f t="shared" si="136"/>
        <v>100000</v>
      </c>
      <c r="CD82" s="60" t="e">
        <f t="shared" si="137"/>
        <v>#N/A</v>
      </c>
      <c r="CE82" s="60">
        <f t="shared" si="138"/>
        <v>100000</v>
      </c>
      <c r="CF82" s="83" t="e">
        <f t="shared" si="102"/>
        <v>#N/A</v>
      </c>
      <c r="CG82" s="83">
        <f t="shared" si="103"/>
        <v>0</v>
      </c>
      <c r="CH82" s="83" t="e">
        <f t="shared" si="104"/>
        <v>#N/A</v>
      </c>
      <c r="CI82" s="83">
        <f t="shared" si="105"/>
        <v>0</v>
      </c>
      <c r="CJ82" s="86" t="e">
        <f t="shared" si="139"/>
        <v>#N/A</v>
      </c>
      <c r="CK82" s="82">
        <f t="shared" si="140"/>
        <v>5.3070370403969858E-3</v>
      </c>
      <c r="CL82" s="82" t="e">
        <f t="shared" si="141"/>
        <v>#N/A</v>
      </c>
      <c r="CM82" s="82">
        <f t="shared" si="142"/>
        <v>5.3070370403969858E-3</v>
      </c>
      <c r="CO82" s="149" t="str">
        <f>IF($I82&lt;&gt;"",IF(O82="User Specified",U82,INDEX('Refrigerant GWPs'!$G$2:$G$156,MATCH(O82,'Refrigerant GWPs'!$A$2:$A$156,0))),"")</f>
        <v/>
      </c>
      <c r="CP82" s="138" t="str">
        <f>IF($I82&lt;&gt;"",INDEX('Device Refrigerant Leakage'!$E$2:$E$42,MATCH($M82,'Device Refrigerant Leakage'!$B$2:$B$42,0)),"")</f>
        <v/>
      </c>
      <c r="CQ82" s="138" t="str">
        <f>IF($I82&lt;&gt;"",INDEX('Device Refrigerant Leakage'!$F$2:$F$42,MATCH($M82,'Device Refrigerant Leakage'!$B$2:$B$42,0)),"")</f>
        <v/>
      </c>
      <c r="CR82" s="145" t="str">
        <f>IF($I82&lt;&gt;"",INDEX('Device Refrigerant Leakage'!$G$2:$G$42,MATCH($M82,'Device Refrigerant Leakage'!$B$2:$B$42,0)),"")</f>
        <v/>
      </c>
      <c r="CS82" s="145" t="str">
        <f>IF($I82&lt;&gt;"",INDEX('Device Refrigerant Leakage'!$D$2:$D$42,MATCH($M82,'Device Refrigerant Leakage'!$B$2:$B$42,0))*CP82/2204.62*CO82,"")</f>
        <v/>
      </c>
      <c r="CT82" s="145" t="str">
        <f>IF($I82&lt;&gt;"",J82*(INDEX('Device Refrigerant Leakage'!$D$2:$D$42,MATCH($M82,'Device Refrigerant Leakage'!$B$2:$B$42,0))-(INDEX('Device Refrigerant Leakage'!$D$2:$D$42,MATCH($M82,'Device Refrigerant Leakage'!$B$2:$B$42,0)))*CR82*CP82)*CQ82/2204.62*CO82,"")</f>
        <v/>
      </c>
      <c r="CU82" s="135" t="str">
        <f>IF($I82&lt;&gt;"",J82*IF(W82&lt;&gt;"AR",(CS82*K82)+CT82,(CS82*AB82)+CT82*(AB82/INDEX('Device Refrigerant Leakage'!$C$2:$C$42,MATCH($M82,'Device Refrigerant Leakage'!$B$2:$B$42,0)))),"")</f>
        <v/>
      </c>
      <c r="CW82" s="135" t="str">
        <f>IF($I82&lt;&gt;"",IF(S82="User Specified",V82,INDEX('Refrigerant GWPs'!$G$2:$G$156,MATCH(S82,'Refrigerant GWPs'!$A$2:$A$157,0))),"")</f>
        <v/>
      </c>
      <c r="CX82" s="138" t="str">
        <f>IF($I82&lt;&gt;"",INDEX('Device Refrigerant Leakage'!$E$2:$E$42,MATCH($Q82,'Device Refrigerant Leakage'!$B$2:$B$42,0)),"")</f>
        <v/>
      </c>
      <c r="CY82" s="138" t="str">
        <f>IF($I82&lt;&gt;"",INDEX('Device Refrigerant Leakage'!$F$2:$F$42,MATCH($Q82,'Device Refrigerant Leakage'!$B$2:$B$42,0)),"")</f>
        <v/>
      </c>
      <c r="CZ82" s="145" t="str">
        <f>IF($I82&lt;&gt;"",INDEX('Device Refrigerant Leakage'!$G$2:$G$42,MATCH($Q82,'Device Refrigerant Leakage'!$B$2:$B$42,0)),"")</f>
        <v/>
      </c>
      <c r="DA82" s="145" t="str">
        <f>IF($I82&lt;&gt;"",J82*INDEX('Device Refrigerant Leakage'!$D$2:$D$42,MATCH($Q82,'Device Refrigerant Leakage'!$B$2:$B$42,0))*CX82/2204.62*CW82,"")</f>
        <v/>
      </c>
      <c r="DB82" s="145" t="str">
        <f>IF($I82&lt;&gt;"",J82*(INDEX('Device Refrigerant Leakage'!$D$2:$D$42,MATCH($Q82,'Device Refrigerant Leakage'!$B$2:$B$42,0))-(INDEX('Device Refrigerant Leakage'!$D$2:$D$42,MATCH($Q82,'Device Refrigerant Leakage'!$B$2:$B$42,0)))*CZ82*CX82)*CY82/2204.62*CW82,"")</f>
        <v/>
      </c>
      <c r="DC82" s="135" t="str">
        <f t="shared" si="163"/>
        <v/>
      </c>
      <c r="DE82" s="146" t="str">
        <f>IF(W82&lt;&gt;"AR","",IF(Y82="User Specified", AA82, INDEX('Refrigerant GWPs'!$G$2:$G$154,MATCH(Y82,'Refrigerant GWPs'!$A$2:$A$154,0))))</f>
        <v/>
      </c>
      <c r="DF82" s="146" t="str">
        <f>IF(W82&lt;&gt;"AR","",INDEX('Device Refrigerant Leakage'!$E$2:$E$42,MATCH(X82,'Device Refrigerant Leakage'!$B$2:$B$42,0)))</f>
        <v/>
      </c>
      <c r="DG82" s="146" t="str">
        <f>IF(W82&lt;&gt;"AR","",INDEX('Device Refrigerant Leakage'!$F$2:$F$42,MATCH(X82,'Device Refrigerant Leakage'!$B$2:$B$42,0)))</f>
        <v/>
      </c>
      <c r="DH82" s="146" t="str">
        <f>IF(W82&lt;&gt;"AR","",INDEX('Device Refrigerant Leakage'!$G$2:$G$42,MATCH(X82,'Device Refrigerant Leakage'!$B$2:$B$42,0)))</f>
        <v/>
      </c>
      <c r="DI82" s="146" t="str">
        <f>IF(W82&lt;&gt;"AR","",J82*INDEX('Device Refrigerant Leakage'!$D$2:$D$42,MATCH(X82,'Device Refrigerant Leakage'!$B$2:$B$42,0))*DF82/2204.62*DE82)</f>
        <v/>
      </c>
      <c r="DJ82" s="146" t="str">
        <f>IF(W82&lt;&gt;"AR","",J82*(INDEX('Device Refrigerant Leakage'!$D$2:$D$42,MATCH(X82,'Device Refrigerant Leakage'!$B$2:$B$42,0))-(INDEX('Device Refrigerant Leakage'!$D$2:$D$42,MATCH(X82,'Device Refrigerant Leakage'!$B$2:$B$42,0)))*DH82*DF82)*DG82/2204.62*DE82)</f>
        <v/>
      </c>
      <c r="DK82" s="146" t="str">
        <f>IF(W82&lt;&gt;"AR","",DI82*(K82-AB82)+'Fuel Sub Calcs-Deemed'!DJ82*((K82-AB82)/INDEX('Device Refrigerant Leakage'!$C$2:$C$42,MATCH('Fuel Sub Calcs-Deemed'!X82,'Device Refrigerant Leakage'!$B$2:$B$42,0))))</f>
        <v/>
      </c>
      <c r="DM82" s="56">
        <v>68</v>
      </c>
      <c r="DN82" s="67" t="e">
        <f t="shared" si="143"/>
        <v>#N/A</v>
      </c>
      <c r="DO82" s="45" t="e">
        <f t="shared" si="144"/>
        <v>#N/A</v>
      </c>
      <c r="DP82" s="67" t="e">
        <f t="shared" si="145"/>
        <v>#N/A</v>
      </c>
      <c r="DQ82" s="45" t="e">
        <f t="shared" si="146"/>
        <v>#N/A</v>
      </c>
      <c r="DR82" s="69" t="e">
        <f t="shared" si="147"/>
        <v>#N/A</v>
      </c>
      <c r="DS82" s="34"/>
      <c r="DT82" s="67" t="e">
        <f>((BX82*CJ82)+IF($W82=MAT_AR,(BZ82*CL82),0))*(1+Reference!$E$50+Reference!$E$51)</f>
        <v>#N/A</v>
      </c>
      <c r="DU82" s="67">
        <f>((BY82*CK82)+IF($W82=MAT_AR,(CA82*CM82),0))*(1+Reference!$G$50+Reference!$G$51)</f>
        <v>0</v>
      </c>
      <c r="DV82" s="67" t="e">
        <f t="shared" si="148"/>
        <v>#VALUE!</v>
      </c>
      <c r="DX82" s="56">
        <v>68</v>
      </c>
      <c r="DY82" s="67">
        <f t="shared" si="149"/>
        <v>0</v>
      </c>
      <c r="DZ82" s="45" t="e">
        <f>VLOOKUP($R82,Dropdown!$C$3:$D$4,2,FALSE)</f>
        <v>#N/A</v>
      </c>
      <c r="EA82" s="68">
        <f t="shared" si="150"/>
        <v>0</v>
      </c>
      <c r="EB82" s="68" t="str">
        <f t="shared" si="151"/>
        <v>N/A</v>
      </c>
      <c r="EC82" s="68">
        <f t="shared" si="152"/>
        <v>0</v>
      </c>
      <c r="ED82" s="68" t="str">
        <f t="shared" si="153"/>
        <v>N/A</v>
      </c>
      <c r="EF82" s="56">
        <v>68</v>
      </c>
      <c r="EG82" s="46">
        <f t="shared" si="154"/>
        <v>0</v>
      </c>
      <c r="EH82" s="68" t="e">
        <f t="shared" si="155"/>
        <v>#N/A</v>
      </c>
      <c r="EI82" s="68" t="e">
        <f t="shared" si="156"/>
        <v>#N/A</v>
      </c>
      <c r="EJ82" s="68" t="e">
        <f t="shared" si="157"/>
        <v>#N/A</v>
      </c>
      <c r="EK82" s="68" t="e">
        <f t="shared" si="158"/>
        <v>#N/A</v>
      </c>
      <c r="EL82" s="46">
        <f t="shared" si="159"/>
        <v>0</v>
      </c>
      <c r="EM82" s="46">
        <f t="shared" si="160"/>
        <v>0</v>
      </c>
    </row>
    <row r="83" spans="1:143">
      <c r="A83" s="89"/>
      <c r="B83" s="89"/>
      <c r="C83" s="89"/>
      <c r="D83" s="89"/>
      <c r="E83" s="89"/>
      <c r="F83" s="89"/>
      <c r="G83" s="34"/>
      <c r="H83" s="56">
        <f t="shared" si="161"/>
        <v>69</v>
      </c>
      <c r="I83" s="165"/>
      <c r="J83" s="163"/>
      <c r="K83" s="163"/>
      <c r="L83" s="164"/>
      <c r="M83" s="155"/>
      <c r="N83" s="155"/>
      <c r="O83" s="144"/>
      <c r="P83" s="159" t="str">
        <f>IFERROR(IF(O83&lt;&gt;"User Specified",IF(O83&lt;&gt;"", INDEX('Refrigerant GWPs'!$G$2:$G$154,MATCH(O83,'Refrigerant GWPs'!$A$2:$A$154,0)),""),U83),0)</f>
        <v/>
      </c>
      <c r="Q83" s="155"/>
      <c r="R83" s="155"/>
      <c r="S83" s="144"/>
      <c r="T83" s="159" t="str">
        <f>IF(S83&lt;&gt;"User Specified",IF(AND(S83&lt;&gt;"User Specified",S83&lt;&gt;""), INDEX('Refrigerant GWPs'!$G$2:$G$154,MATCH(S83,'Refrigerant GWPs'!$A$2:$A$154,0)),""),V83)</f>
        <v/>
      </c>
      <c r="U83" s="144"/>
      <c r="V83" s="144"/>
      <c r="W83" s="155"/>
      <c r="X83" s="155"/>
      <c r="Y83" s="144"/>
      <c r="Z83" s="159" t="str">
        <f>IF(AND(Y83&lt;&gt;"User Specified",Y83&lt;&gt;""), INDEX('Refrigerant GWPs'!$G$2:$G$154,MATCH(Y83,'Refrigerant GWPs'!$A$2:$A$154,0)),"")</f>
        <v/>
      </c>
      <c r="AA83" s="155"/>
      <c r="AB83" s="156"/>
      <c r="AC83" s="66"/>
      <c r="AD83" s="66"/>
      <c r="AE83" s="66"/>
      <c r="AF83" s="66"/>
      <c r="AG83" s="66"/>
      <c r="AH83" s="66"/>
      <c r="AI83" s="34"/>
      <c r="AJ83" s="88">
        <f t="shared" si="119"/>
        <v>0</v>
      </c>
      <c r="AK83" s="88">
        <f t="shared" si="120"/>
        <v>0</v>
      </c>
      <c r="AL83" s="88">
        <v>0</v>
      </c>
      <c r="AM83" s="88">
        <v>0</v>
      </c>
      <c r="AN83" s="81" t="str">
        <f t="shared" si="162"/>
        <v/>
      </c>
      <c r="AO83" s="88">
        <f t="shared" si="121"/>
        <v>0</v>
      </c>
      <c r="AP83" s="88">
        <f t="shared" si="122"/>
        <v>0</v>
      </c>
      <c r="AQ83" s="81" t="str">
        <f t="shared" si="123"/>
        <v/>
      </c>
      <c r="AS83" s="41" t="b">
        <f t="shared" si="124"/>
        <v>1</v>
      </c>
      <c r="AT83" s="38">
        <f t="shared" si="125"/>
        <v>0</v>
      </c>
      <c r="AU83" s="60">
        <f t="shared" si="126"/>
        <v>0</v>
      </c>
      <c r="AV83" s="41">
        <f t="shared" si="127"/>
        <v>0</v>
      </c>
      <c r="AW83" s="41" t="b">
        <f t="shared" si="128"/>
        <v>0</v>
      </c>
      <c r="AX83" t="str">
        <f t="shared" si="129"/>
        <v>+00</v>
      </c>
      <c r="AY83" t="str">
        <f t="shared" si="130"/>
        <v>+00</v>
      </c>
      <c r="BA83" s="47" t="b">
        <f t="shared" si="83"/>
        <v>1</v>
      </c>
      <c r="BB83" s="42" t="b">
        <f t="shared" si="84"/>
        <v>1</v>
      </c>
      <c r="BC83" s="42" t="b">
        <f t="shared" si="85"/>
        <v>0</v>
      </c>
      <c r="BD83" s="42" t="b">
        <f t="shared" si="86"/>
        <v>0</v>
      </c>
      <c r="BE83" s="70">
        <f t="shared" si="87"/>
        <v>0</v>
      </c>
      <c r="BF83" s="70">
        <f t="shared" si="88"/>
        <v>0</v>
      </c>
      <c r="BG83" s="34"/>
      <c r="BI83" s="47" t="b">
        <f t="shared" si="89"/>
        <v>1</v>
      </c>
      <c r="BJ83" s="47" t="b">
        <f t="shared" si="90"/>
        <v>1</v>
      </c>
      <c r="BK83" s="42" t="b">
        <f t="shared" si="91"/>
        <v>0</v>
      </c>
      <c r="BL83" s="42" t="b">
        <f t="shared" si="92"/>
        <v>0</v>
      </c>
      <c r="BM83" s="42">
        <f t="shared" si="93"/>
        <v>0</v>
      </c>
      <c r="BN83" s="42">
        <f t="shared" si="94"/>
        <v>0</v>
      </c>
      <c r="BP83" t="e">
        <f t="shared" si="95"/>
        <v>#N/A</v>
      </c>
      <c r="BQ83" t="e">
        <f t="shared" si="96"/>
        <v>#N/A</v>
      </c>
      <c r="BR83" t="e">
        <f t="shared" si="97"/>
        <v>#N/A</v>
      </c>
      <c r="BT83" s="60">
        <f t="shared" si="131"/>
        <v>0</v>
      </c>
      <c r="BU83" s="60">
        <f t="shared" si="132"/>
        <v>0</v>
      </c>
      <c r="BV83" s="60">
        <f t="shared" si="133"/>
        <v>0</v>
      </c>
      <c r="BW83" s="60">
        <f t="shared" si="134"/>
        <v>0</v>
      </c>
      <c r="BX83" s="60">
        <f t="shared" si="98"/>
        <v>0</v>
      </c>
      <c r="BY83" s="60">
        <f t="shared" si="99"/>
        <v>0</v>
      </c>
      <c r="BZ83" s="60">
        <f t="shared" si="100"/>
        <v>0</v>
      </c>
      <c r="CA83" s="60">
        <f t="shared" si="101"/>
        <v>0</v>
      </c>
      <c r="CB83" s="60" t="e">
        <f t="shared" si="135"/>
        <v>#N/A</v>
      </c>
      <c r="CC83" s="60">
        <f t="shared" si="136"/>
        <v>100000</v>
      </c>
      <c r="CD83" s="60" t="e">
        <f t="shared" si="137"/>
        <v>#N/A</v>
      </c>
      <c r="CE83" s="60">
        <f t="shared" si="138"/>
        <v>100000</v>
      </c>
      <c r="CF83" s="83" t="e">
        <f t="shared" si="102"/>
        <v>#N/A</v>
      </c>
      <c r="CG83" s="83">
        <f t="shared" si="103"/>
        <v>0</v>
      </c>
      <c r="CH83" s="83" t="e">
        <f t="shared" si="104"/>
        <v>#N/A</v>
      </c>
      <c r="CI83" s="83">
        <f t="shared" si="105"/>
        <v>0</v>
      </c>
      <c r="CJ83" s="86" t="e">
        <f t="shared" si="139"/>
        <v>#N/A</v>
      </c>
      <c r="CK83" s="82">
        <f t="shared" si="140"/>
        <v>5.3070370403969858E-3</v>
      </c>
      <c r="CL83" s="82" t="e">
        <f t="shared" si="141"/>
        <v>#N/A</v>
      </c>
      <c r="CM83" s="82">
        <f t="shared" si="142"/>
        <v>5.3070370403969858E-3</v>
      </c>
      <c r="CO83" s="149" t="str">
        <f>IF($I83&lt;&gt;"",IF(O83="User Specified",U83,INDEX('Refrigerant GWPs'!$G$2:$G$156,MATCH(O83,'Refrigerant GWPs'!$A$2:$A$156,0))),"")</f>
        <v/>
      </c>
      <c r="CP83" s="138" t="str">
        <f>IF($I83&lt;&gt;"",INDEX('Device Refrigerant Leakage'!$E$2:$E$42,MATCH($M83,'Device Refrigerant Leakage'!$B$2:$B$42,0)),"")</f>
        <v/>
      </c>
      <c r="CQ83" s="138" t="str">
        <f>IF($I83&lt;&gt;"",INDEX('Device Refrigerant Leakage'!$F$2:$F$42,MATCH($M83,'Device Refrigerant Leakage'!$B$2:$B$42,0)),"")</f>
        <v/>
      </c>
      <c r="CR83" s="145" t="str">
        <f>IF($I83&lt;&gt;"",INDEX('Device Refrigerant Leakage'!$G$2:$G$42,MATCH($M83,'Device Refrigerant Leakage'!$B$2:$B$42,0)),"")</f>
        <v/>
      </c>
      <c r="CS83" s="145" t="str">
        <f>IF($I83&lt;&gt;"",INDEX('Device Refrigerant Leakage'!$D$2:$D$42,MATCH($M83,'Device Refrigerant Leakage'!$B$2:$B$42,0))*CP83/2204.62*CO83,"")</f>
        <v/>
      </c>
      <c r="CT83" s="145" t="str">
        <f>IF($I83&lt;&gt;"",J83*(INDEX('Device Refrigerant Leakage'!$D$2:$D$42,MATCH($M83,'Device Refrigerant Leakage'!$B$2:$B$42,0))-(INDEX('Device Refrigerant Leakage'!$D$2:$D$42,MATCH($M83,'Device Refrigerant Leakage'!$B$2:$B$42,0)))*CR83*CP83)*CQ83/2204.62*CO83,"")</f>
        <v/>
      </c>
      <c r="CU83" s="135" t="str">
        <f>IF($I83&lt;&gt;"",J83*IF(W83&lt;&gt;"AR",(CS83*K83)+CT83,(CS83*AB83)+CT83*(AB83/INDEX('Device Refrigerant Leakage'!$C$2:$C$42,MATCH($M83,'Device Refrigerant Leakage'!$B$2:$B$42,0)))),"")</f>
        <v/>
      </c>
      <c r="CW83" s="135" t="str">
        <f>IF($I83&lt;&gt;"",IF(S83="User Specified",V83,INDEX('Refrigerant GWPs'!$G$2:$G$156,MATCH(S83,'Refrigerant GWPs'!$A$2:$A$157,0))),"")</f>
        <v/>
      </c>
      <c r="CX83" s="138" t="str">
        <f>IF($I83&lt;&gt;"",INDEX('Device Refrigerant Leakage'!$E$2:$E$42,MATCH($Q83,'Device Refrigerant Leakage'!$B$2:$B$42,0)),"")</f>
        <v/>
      </c>
      <c r="CY83" s="138" t="str">
        <f>IF($I83&lt;&gt;"",INDEX('Device Refrigerant Leakage'!$F$2:$F$42,MATCH($Q83,'Device Refrigerant Leakage'!$B$2:$B$42,0)),"")</f>
        <v/>
      </c>
      <c r="CZ83" s="145" t="str">
        <f>IF($I83&lt;&gt;"",INDEX('Device Refrigerant Leakage'!$G$2:$G$42,MATCH($Q83,'Device Refrigerant Leakage'!$B$2:$B$42,0)),"")</f>
        <v/>
      </c>
      <c r="DA83" s="145" t="str">
        <f>IF($I83&lt;&gt;"",J83*INDEX('Device Refrigerant Leakage'!$D$2:$D$42,MATCH($Q83,'Device Refrigerant Leakage'!$B$2:$B$42,0))*CX83/2204.62*CW83,"")</f>
        <v/>
      </c>
      <c r="DB83" s="145" t="str">
        <f>IF($I83&lt;&gt;"",J83*(INDEX('Device Refrigerant Leakage'!$D$2:$D$42,MATCH($Q83,'Device Refrigerant Leakage'!$B$2:$B$42,0))-(INDEX('Device Refrigerant Leakage'!$D$2:$D$42,MATCH($Q83,'Device Refrigerant Leakage'!$B$2:$B$42,0)))*CZ83*CX83)*CY83/2204.62*CW83,"")</f>
        <v/>
      </c>
      <c r="DC83" s="135" t="str">
        <f t="shared" si="163"/>
        <v/>
      </c>
      <c r="DE83" s="146" t="str">
        <f>IF(W83&lt;&gt;"AR","",IF(Y83="User Specified", AA83, INDEX('Refrigerant GWPs'!$G$2:$G$154,MATCH(Y83,'Refrigerant GWPs'!$A$2:$A$154,0))))</f>
        <v/>
      </c>
      <c r="DF83" s="146" t="str">
        <f>IF(W83&lt;&gt;"AR","",INDEX('Device Refrigerant Leakage'!$E$2:$E$42,MATCH(X83,'Device Refrigerant Leakage'!$B$2:$B$42,0)))</f>
        <v/>
      </c>
      <c r="DG83" s="146" t="str">
        <f>IF(W83&lt;&gt;"AR","",INDEX('Device Refrigerant Leakage'!$F$2:$F$42,MATCH(X83,'Device Refrigerant Leakage'!$B$2:$B$42,0)))</f>
        <v/>
      </c>
      <c r="DH83" s="146" t="str">
        <f>IF(W83&lt;&gt;"AR","",INDEX('Device Refrigerant Leakage'!$G$2:$G$42,MATCH(X83,'Device Refrigerant Leakage'!$B$2:$B$42,0)))</f>
        <v/>
      </c>
      <c r="DI83" s="146" t="str">
        <f>IF(W83&lt;&gt;"AR","",J83*INDEX('Device Refrigerant Leakage'!$D$2:$D$42,MATCH(X83,'Device Refrigerant Leakage'!$B$2:$B$42,0))*DF83/2204.62*DE83)</f>
        <v/>
      </c>
      <c r="DJ83" s="146" t="str">
        <f>IF(W83&lt;&gt;"AR","",J83*(INDEX('Device Refrigerant Leakage'!$D$2:$D$42,MATCH(X83,'Device Refrigerant Leakage'!$B$2:$B$42,0))-(INDEX('Device Refrigerant Leakage'!$D$2:$D$42,MATCH(X83,'Device Refrigerant Leakage'!$B$2:$B$42,0)))*DH83*DF83)*DG83/2204.62*DE83)</f>
        <v/>
      </c>
      <c r="DK83" s="146" t="str">
        <f>IF(W83&lt;&gt;"AR","",DI83*(K83-AB83)+'Fuel Sub Calcs-Deemed'!DJ83*((K83-AB83)/INDEX('Device Refrigerant Leakage'!$C$2:$C$42,MATCH('Fuel Sub Calcs-Deemed'!X83,'Device Refrigerant Leakage'!$B$2:$B$42,0))))</f>
        <v/>
      </c>
      <c r="DM83" s="56">
        <v>69</v>
      </c>
      <c r="DN83" s="67" t="e">
        <f t="shared" si="143"/>
        <v>#N/A</v>
      </c>
      <c r="DO83" s="45" t="e">
        <f t="shared" si="144"/>
        <v>#N/A</v>
      </c>
      <c r="DP83" s="67" t="e">
        <f t="shared" si="145"/>
        <v>#N/A</v>
      </c>
      <c r="DQ83" s="45" t="e">
        <f t="shared" si="146"/>
        <v>#N/A</v>
      </c>
      <c r="DR83" s="69" t="e">
        <f t="shared" si="147"/>
        <v>#N/A</v>
      </c>
      <c r="DS83" s="34"/>
      <c r="DT83" s="67" t="e">
        <f>((BX83*CJ83)+IF($W83=MAT_AR,(BZ83*CL83),0))*(1+Reference!$E$50+Reference!$E$51)</f>
        <v>#N/A</v>
      </c>
      <c r="DU83" s="67">
        <f>((BY83*CK83)+IF($W83=MAT_AR,(CA83*CM83),0))*(1+Reference!$G$50+Reference!$G$51)</f>
        <v>0</v>
      </c>
      <c r="DV83" s="67" t="e">
        <f t="shared" si="148"/>
        <v>#VALUE!</v>
      </c>
      <c r="DX83" s="56">
        <v>69</v>
      </c>
      <c r="DY83" s="67">
        <f t="shared" si="149"/>
        <v>0</v>
      </c>
      <c r="DZ83" s="45" t="e">
        <f>VLOOKUP($R83,Dropdown!$C$3:$D$4,2,FALSE)</f>
        <v>#N/A</v>
      </c>
      <c r="EA83" s="68">
        <f t="shared" si="150"/>
        <v>0</v>
      </c>
      <c r="EB83" s="68" t="str">
        <f t="shared" si="151"/>
        <v>N/A</v>
      </c>
      <c r="EC83" s="68">
        <f t="shared" si="152"/>
        <v>0</v>
      </c>
      <c r="ED83" s="68" t="str">
        <f t="shared" si="153"/>
        <v>N/A</v>
      </c>
      <c r="EF83" s="56">
        <v>69</v>
      </c>
      <c r="EG83" s="46">
        <f t="shared" si="154"/>
        <v>0</v>
      </c>
      <c r="EH83" s="68" t="e">
        <f t="shared" si="155"/>
        <v>#N/A</v>
      </c>
      <c r="EI83" s="68" t="e">
        <f t="shared" si="156"/>
        <v>#N/A</v>
      </c>
      <c r="EJ83" s="68" t="e">
        <f t="shared" si="157"/>
        <v>#N/A</v>
      </c>
      <c r="EK83" s="68" t="e">
        <f t="shared" si="158"/>
        <v>#N/A</v>
      </c>
      <c r="EL83" s="46">
        <f t="shared" si="159"/>
        <v>0</v>
      </c>
      <c r="EM83" s="46">
        <f t="shared" si="160"/>
        <v>0</v>
      </c>
    </row>
    <row r="84" spans="1:143">
      <c r="A84" s="89"/>
      <c r="B84" s="89"/>
      <c r="C84" s="89"/>
      <c r="D84" s="89"/>
      <c r="E84" s="89"/>
      <c r="F84" s="89"/>
      <c r="G84" s="34"/>
      <c r="H84" s="56">
        <f t="shared" si="161"/>
        <v>70</v>
      </c>
      <c r="I84" s="165"/>
      <c r="J84" s="163"/>
      <c r="K84" s="163"/>
      <c r="L84" s="164"/>
      <c r="M84" s="155"/>
      <c r="N84" s="155"/>
      <c r="O84" s="144"/>
      <c r="P84" s="159" t="str">
        <f>IFERROR(IF(O84&lt;&gt;"User Specified",IF(O84&lt;&gt;"", INDEX('Refrigerant GWPs'!$G$2:$G$154,MATCH(O84,'Refrigerant GWPs'!$A$2:$A$154,0)),""),U84),0)</f>
        <v/>
      </c>
      <c r="Q84" s="155"/>
      <c r="R84" s="155"/>
      <c r="S84" s="144"/>
      <c r="T84" s="159" t="str">
        <f>IF(S84&lt;&gt;"User Specified",IF(AND(S84&lt;&gt;"User Specified",S84&lt;&gt;""), INDEX('Refrigerant GWPs'!$G$2:$G$154,MATCH(S84,'Refrigerant GWPs'!$A$2:$A$154,0)),""),V84)</f>
        <v/>
      </c>
      <c r="U84" s="144"/>
      <c r="V84" s="144"/>
      <c r="W84" s="155"/>
      <c r="X84" s="155"/>
      <c r="Y84" s="144"/>
      <c r="Z84" s="159" t="str">
        <f>IF(AND(Y84&lt;&gt;"User Specified",Y84&lt;&gt;""), INDEX('Refrigerant GWPs'!$G$2:$G$154,MATCH(Y84,'Refrigerant GWPs'!$A$2:$A$154,0)),"")</f>
        <v/>
      </c>
      <c r="AA84" s="155"/>
      <c r="AB84" s="156"/>
      <c r="AC84" s="66"/>
      <c r="AD84" s="66"/>
      <c r="AE84" s="66"/>
      <c r="AF84" s="66"/>
      <c r="AG84" s="66"/>
      <c r="AH84" s="66"/>
      <c r="AI84" s="34"/>
      <c r="AJ84" s="88">
        <f t="shared" si="119"/>
        <v>0</v>
      </c>
      <c r="AK84" s="88">
        <f t="shared" si="120"/>
        <v>0</v>
      </c>
      <c r="AL84" s="88">
        <v>0</v>
      </c>
      <c r="AM84" s="88">
        <v>0</v>
      </c>
      <c r="AN84" s="81" t="str">
        <f t="shared" si="162"/>
        <v/>
      </c>
      <c r="AO84" s="88">
        <f t="shared" si="121"/>
        <v>0</v>
      </c>
      <c r="AP84" s="88">
        <f t="shared" si="122"/>
        <v>0</v>
      </c>
      <c r="AQ84" s="81" t="str">
        <f t="shared" si="123"/>
        <v/>
      </c>
      <c r="AS84" s="41" t="b">
        <f t="shared" si="124"/>
        <v>1</v>
      </c>
      <c r="AT84" s="38">
        <f t="shared" si="125"/>
        <v>0</v>
      </c>
      <c r="AU84" s="60">
        <f t="shared" si="126"/>
        <v>0</v>
      </c>
      <c r="AV84" s="41">
        <f t="shared" si="127"/>
        <v>0</v>
      </c>
      <c r="AW84" s="41" t="b">
        <f t="shared" si="128"/>
        <v>0</v>
      </c>
      <c r="AX84" t="str">
        <f t="shared" si="129"/>
        <v>+00</v>
      </c>
      <c r="AY84" t="str">
        <f t="shared" si="130"/>
        <v>+00</v>
      </c>
      <c r="BA84" s="47" t="b">
        <f t="shared" si="83"/>
        <v>1</v>
      </c>
      <c r="BB84" s="42" t="b">
        <f t="shared" si="84"/>
        <v>1</v>
      </c>
      <c r="BC84" s="42" t="b">
        <f t="shared" si="85"/>
        <v>0</v>
      </c>
      <c r="BD84" s="42" t="b">
        <f t="shared" si="86"/>
        <v>0</v>
      </c>
      <c r="BE84" s="70">
        <f t="shared" si="87"/>
        <v>0</v>
      </c>
      <c r="BF84" s="70">
        <f t="shared" si="88"/>
        <v>0</v>
      </c>
      <c r="BG84" s="34"/>
      <c r="BI84" s="47" t="b">
        <f t="shared" si="89"/>
        <v>1</v>
      </c>
      <c r="BJ84" s="47" t="b">
        <f t="shared" si="90"/>
        <v>1</v>
      </c>
      <c r="BK84" s="42" t="b">
        <f t="shared" si="91"/>
        <v>0</v>
      </c>
      <c r="BL84" s="42" t="b">
        <f t="shared" si="92"/>
        <v>0</v>
      </c>
      <c r="BM84" s="42">
        <f t="shared" si="93"/>
        <v>0</v>
      </c>
      <c r="BN84" s="42">
        <f t="shared" si="94"/>
        <v>0</v>
      </c>
      <c r="BP84" t="e">
        <f t="shared" si="95"/>
        <v>#N/A</v>
      </c>
      <c r="BQ84" t="e">
        <f t="shared" si="96"/>
        <v>#N/A</v>
      </c>
      <c r="BR84" t="e">
        <f t="shared" si="97"/>
        <v>#N/A</v>
      </c>
      <c r="BT84" s="60">
        <f t="shared" si="131"/>
        <v>0</v>
      </c>
      <c r="BU84" s="60">
        <f t="shared" si="132"/>
        <v>0</v>
      </c>
      <c r="BV84" s="60">
        <f t="shared" si="133"/>
        <v>0</v>
      </c>
      <c r="BW84" s="60">
        <f t="shared" si="134"/>
        <v>0</v>
      </c>
      <c r="BX84" s="60">
        <f t="shared" si="98"/>
        <v>0</v>
      </c>
      <c r="BY84" s="60">
        <f t="shared" si="99"/>
        <v>0</v>
      </c>
      <c r="BZ84" s="60">
        <f t="shared" si="100"/>
        <v>0</v>
      </c>
      <c r="CA84" s="60">
        <f t="shared" si="101"/>
        <v>0</v>
      </c>
      <c r="CB84" s="60" t="e">
        <f t="shared" si="135"/>
        <v>#N/A</v>
      </c>
      <c r="CC84" s="60">
        <f t="shared" si="136"/>
        <v>100000</v>
      </c>
      <c r="CD84" s="60" t="e">
        <f t="shared" si="137"/>
        <v>#N/A</v>
      </c>
      <c r="CE84" s="60">
        <f t="shared" si="138"/>
        <v>100000</v>
      </c>
      <c r="CF84" s="83" t="e">
        <f t="shared" si="102"/>
        <v>#N/A</v>
      </c>
      <c r="CG84" s="83">
        <f t="shared" si="103"/>
        <v>0</v>
      </c>
      <c r="CH84" s="83" t="e">
        <f t="shared" si="104"/>
        <v>#N/A</v>
      </c>
      <c r="CI84" s="83">
        <f t="shared" si="105"/>
        <v>0</v>
      </c>
      <c r="CJ84" s="86" t="e">
        <f t="shared" si="139"/>
        <v>#N/A</v>
      </c>
      <c r="CK84" s="82">
        <f t="shared" si="140"/>
        <v>5.3070370403969858E-3</v>
      </c>
      <c r="CL84" s="82" t="e">
        <f t="shared" si="141"/>
        <v>#N/A</v>
      </c>
      <c r="CM84" s="82">
        <f t="shared" si="142"/>
        <v>5.3070370403969858E-3</v>
      </c>
      <c r="CO84" s="149" t="str">
        <f>IF($I84&lt;&gt;"",IF(O84="User Specified",U84,INDEX('Refrigerant GWPs'!$G$2:$G$156,MATCH(O84,'Refrigerant GWPs'!$A$2:$A$156,0))),"")</f>
        <v/>
      </c>
      <c r="CP84" s="138" t="str">
        <f>IF($I84&lt;&gt;"",INDEX('Device Refrigerant Leakage'!$E$2:$E$42,MATCH($M84,'Device Refrigerant Leakage'!$B$2:$B$42,0)),"")</f>
        <v/>
      </c>
      <c r="CQ84" s="138" t="str">
        <f>IF($I84&lt;&gt;"",INDEX('Device Refrigerant Leakage'!$F$2:$F$42,MATCH($M84,'Device Refrigerant Leakage'!$B$2:$B$42,0)),"")</f>
        <v/>
      </c>
      <c r="CR84" s="145" t="str">
        <f>IF($I84&lt;&gt;"",INDEX('Device Refrigerant Leakage'!$G$2:$G$42,MATCH($M84,'Device Refrigerant Leakage'!$B$2:$B$42,0)),"")</f>
        <v/>
      </c>
      <c r="CS84" s="145" t="str">
        <f>IF($I84&lt;&gt;"",INDEX('Device Refrigerant Leakage'!$D$2:$D$42,MATCH($M84,'Device Refrigerant Leakage'!$B$2:$B$42,0))*CP84/2204.62*CO84,"")</f>
        <v/>
      </c>
      <c r="CT84" s="145" t="str">
        <f>IF($I84&lt;&gt;"",J84*(INDEX('Device Refrigerant Leakage'!$D$2:$D$42,MATCH($M84,'Device Refrigerant Leakage'!$B$2:$B$42,0))-(INDEX('Device Refrigerant Leakage'!$D$2:$D$42,MATCH($M84,'Device Refrigerant Leakage'!$B$2:$B$42,0)))*CR84*CP84)*CQ84/2204.62*CO84,"")</f>
        <v/>
      </c>
      <c r="CU84" s="135" t="str">
        <f>IF($I84&lt;&gt;"",J84*IF(W84&lt;&gt;"AR",(CS84*K84)+CT84,(CS84*AB84)+CT84*(AB84/INDEX('Device Refrigerant Leakage'!$C$2:$C$42,MATCH($M84,'Device Refrigerant Leakage'!$B$2:$B$42,0)))),"")</f>
        <v/>
      </c>
      <c r="CW84" s="135" t="str">
        <f>IF($I84&lt;&gt;"",IF(S84="User Specified",V84,INDEX('Refrigerant GWPs'!$G$2:$G$156,MATCH(S84,'Refrigerant GWPs'!$A$2:$A$157,0))),"")</f>
        <v/>
      </c>
      <c r="CX84" s="138" t="str">
        <f>IF($I84&lt;&gt;"",INDEX('Device Refrigerant Leakage'!$E$2:$E$42,MATCH($Q84,'Device Refrigerant Leakage'!$B$2:$B$42,0)),"")</f>
        <v/>
      </c>
      <c r="CY84" s="138" t="str">
        <f>IF($I84&lt;&gt;"",INDEX('Device Refrigerant Leakage'!$F$2:$F$42,MATCH($Q84,'Device Refrigerant Leakage'!$B$2:$B$42,0)),"")</f>
        <v/>
      </c>
      <c r="CZ84" s="145" t="str">
        <f>IF($I84&lt;&gt;"",INDEX('Device Refrigerant Leakage'!$G$2:$G$42,MATCH($Q84,'Device Refrigerant Leakage'!$B$2:$B$42,0)),"")</f>
        <v/>
      </c>
      <c r="DA84" s="145" t="str">
        <f>IF($I84&lt;&gt;"",J84*INDEX('Device Refrigerant Leakage'!$D$2:$D$42,MATCH($Q84,'Device Refrigerant Leakage'!$B$2:$B$42,0))*CX84/2204.62*CW84,"")</f>
        <v/>
      </c>
      <c r="DB84" s="145" t="str">
        <f>IF($I84&lt;&gt;"",J84*(INDEX('Device Refrigerant Leakage'!$D$2:$D$42,MATCH($Q84,'Device Refrigerant Leakage'!$B$2:$B$42,0))-(INDEX('Device Refrigerant Leakage'!$D$2:$D$42,MATCH($Q84,'Device Refrigerant Leakage'!$B$2:$B$42,0)))*CZ84*CX84)*CY84/2204.62*CW84,"")</f>
        <v/>
      </c>
      <c r="DC84" s="135" t="str">
        <f t="shared" si="163"/>
        <v/>
      </c>
      <c r="DE84" s="146" t="str">
        <f>IF(W84&lt;&gt;"AR","",IF(Y84="User Specified", AA84, INDEX('Refrigerant GWPs'!$G$2:$G$154,MATCH(Y84,'Refrigerant GWPs'!$A$2:$A$154,0))))</f>
        <v/>
      </c>
      <c r="DF84" s="146" t="str">
        <f>IF(W84&lt;&gt;"AR","",INDEX('Device Refrigerant Leakage'!$E$2:$E$42,MATCH(X84,'Device Refrigerant Leakage'!$B$2:$B$42,0)))</f>
        <v/>
      </c>
      <c r="DG84" s="146" t="str">
        <f>IF(W84&lt;&gt;"AR","",INDEX('Device Refrigerant Leakage'!$F$2:$F$42,MATCH(X84,'Device Refrigerant Leakage'!$B$2:$B$42,0)))</f>
        <v/>
      </c>
      <c r="DH84" s="146" t="str">
        <f>IF(W84&lt;&gt;"AR","",INDEX('Device Refrigerant Leakage'!$G$2:$G$42,MATCH(X84,'Device Refrigerant Leakage'!$B$2:$B$42,0)))</f>
        <v/>
      </c>
      <c r="DI84" s="146" t="str">
        <f>IF(W84&lt;&gt;"AR","",J84*INDEX('Device Refrigerant Leakage'!$D$2:$D$42,MATCH(X84,'Device Refrigerant Leakage'!$B$2:$B$42,0))*DF84/2204.62*DE84)</f>
        <v/>
      </c>
      <c r="DJ84" s="146" t="str">
        <f>IF(W84&lt;&gt;"AR","",J84*(INDEX('Device Refrigerant Leakage'!$D$2:$D$42,MATCH(X84,'Device Refrigerant Leakage'!$B$2:$B$42,0))-(INDEX('Device Refrigerant Leakage'!$D$2:$D$42,MATCH(X84,'Device Refrigerant Leakage'!$B$2:$B$42,0)))*DH84*DF84)*DG84/2204.62*DE84)</f>
        <v/>
      </c>
      <c r="DK84" s="146" t="str">
        <f>IF(W84&lt;&gt;"AR","",DI84*(K84-AB84)+'Fuel Sub Calcs-Deemed'!DJ84*((K84-AB84)/INDEX('Device Refrigerant Leakage'!$C$2:$C$42,MATCH('Fuel Sub Calcs-Deemed'!X84,'Device Refrigerant Leakage'!$B$2:$B$42,0))))</f>
        <v/>
      </c>
      <c r="DM84" s="56">
        <v>70</v>
      </c>
      <c r="DN84" s="67" t="e">
        <f t="shared" si="143"/>
        <v>#N/A</v>
      </c>
      <c r="DO84" s="45" t="e">
        <f t="shared" si="144"/>
        <v>#N/A</v>
      </c>
      <c r="DP84" s="67" t="e">
        <f t="shared" si="145"/>
        <v>#N/A</v>
      </c>
      <c r="DQ84" s="45" t="e">
        <f t="shared" si="146"/>
        <v>#N/A</v>
      </c>
      <c r="DR84" s="69" t="e">
        <f t="shared" si="147"/>
        <v>#N/A</v>
      </c>
      <c r="DS84" s="34"/>
      <c r="DT84" s="67" t="e">
        <f>((BX84*CJ84)+IF($W84=MAT_AR,(BZ84*CL84),0))*(1+Reference!$E$50+Reference!$E$51)</f>
        <v>#N/A</v>
      </c>
      <c r="DU84" s="67">
        <f>((BY84*CK84)+IF($W84=MAT_AR,(CA84*CM84),0))*(1+Reference!$G$50+Reference!$G$51)</f>
        <v>0</v>
      </c>
      <c r="DV84" s="67" t="e">
        <f t="shared" si="148"/>
        <v>#VALUE!</v>
      </c>
      <c r="DX84" s="56">
        <v>70</v>
      </c>
      <c r="DY84" s="67">
        <f t="shared" si="149"/>
        <v>0</v>
      </c>
      <c r="DZ84" s="45" t="e">
        <f>VLOOKUP($R84,Dropdown!$C$3:$D$4,2,FALSE)</f>
        <v>#N/A</v>
      </c>
      <c r="EA84" s="68">
        <f t="shared" si="150"/>
        <v>0</v>
      </c>
      <c r="EB84" s="68" t="str">
        <f t="shared" si="151"/>
        <v>N/A</v>
      </c>
      <c r="EC84" s="68">
        <f t="shared" si="152"/>
        <v>0</v>
      </c>
      <c r="ED84" s="68" t="str">
        <f t="shared" si="153"/>
        <v>N/A</v>
      </c>
      <c r="EF84" s="56">
        <v>70</v>
      </c>
      <c r="EG84" s="46">
        <f t="shared" si="154"/>
        <v>0</v>
      </c>
      <c r="EH84" s="68" t="e">
        <f t="shared" si="155"/>
        <v>#N/A</v>
      </c>
      <c r="EI84" s="68" t="e">
        <f t="shared" si="156"/>
        <v>#N/A</v>
      </c>
      <c r="EJ84" s="68" t="e">
        <f t="shared" si="157"/>
        <v>#N/A</v>
      </c>
      <c r="EK84" s="68" t="e">
        <f t="shared" si="158"/>
        <v>#N/A</v>
      </c>
      <c r="EL84" s="46">
        <f t="shared" si="159"/>
        <v>0</v>
      </c>
      <c r="EM84" s="46">
        <f t="shared" si="160"/>
        <v>0</v>
      </c>
    </row>
    <row r="85" spans="1:143">
      <c r="A85" s="89"/>
      <c r="B85" s="89"/>
      <c r="C85" s="89"/>
      <c r="D85" s="89"/>
      <c r="E85" s="89"/>
      <c r="F85" s="89"/>
      <c r="G85" s="34"/>
      <c r="H85" s="56">
        <f t="shared" si="161"/>
        <v>71</v>
      </c>
      <c r="I85" s="165"/>
      <c r="J85" s="163"/>
      <c r="K85" s="163"/>
      <c r="L85" s="164"/>
      <c r="M85" s="155"/>
      <c r="N85" s="155"/>
      <c r="O85" s="144"/>
      <c r="P85" s="159" t="str">
        <f>IFERROR(IF(O85&lt;&gt;"User Specified",IF(O85&lt;&gt;"", INDEX('Refrigerant GWPs'!$G$2:$G$154,MATCH(O85,'Refrigerant GWPs'!$A$2:$A$154,0)),""),U85),0)</f>
        <v/>
      </c>
      <c r="Q85" s="155"/>
      <c r="R85" s="155"/>
      <c r="S85" s="144"/>
      <c r="T85" s="159" t="str">
        <f>IF(S85&lt;&gt;"User Specified",IF(AND(S85&lt;&gt;"User Specified",S85&lt;&gt;""), INDEX('Refrigerant GWPs'!$G$2:$G$154,MATCH(S85,'Refrigerant GWPs'!$A$2:$A$154,0)),""),V85)</f>
        <v/>
      </c>
      <c r="U85" s="144"/>
      <c r="V85" s="144"/>
      <c r="W85" s="155"/>
      <c r="X85" s="155"/>
      <c r="Y85" s="144"/>
      <c r="Z85" s="159" t="str">
        <f>IF(AND(Y85&lt;&gt;"User Specified",Y85&lt;&gt;""), INDEX('Refrigerant GWPs'!$G$2:$G$154,MATCH(Y85,'Refrigerant GWPs'!$A$2:$A$154,0)),"")</f>
        <v/>
      </c>
      <c r="AA85" s="155"/>
      <c r="AB85" s="156"/>
      <c r="AC85" s="66"/>
      <c r="AD85" s="66"/>
      <c r="AE85" s="66"/>
      <c r="AF85" s="66"/>
      <c r="AG85" s="66"/>
      <c r="AH85" s="66"/>
      <c r="AI85" s="34"/>
      <c r="AJ85" s="88">
        <f t="shared" si="119"/>
        <v>0</v>
      </c>
      <c r="AK85" s="88">
        <f t="shared" si="120"/>
        <v>0</v>
      </c>
      <c r="AL85" s="88">
        <v>0</v>
      </c>
      <c r="AM85" s="88">
        <v>0</v>
      </c>
      <c r="AN85" s="81" t="str">
        <f t="shared" si="162"/>
        <v/>
      </c>
      <c r="AO85" s="88">
        <f t="shared" si="121"/>
        <v>0</v>
      </c>
      <c r="AP85" s="88">
        <f t="shared" si="122"/>
        <v>0</v>
      </c>
      <c r="AQ85" s="81" t="str">
        <f t="shared" si="123"/>
        <v/>
      </c>
      <c r="AS85" s="41" t="b">
        <f t="shared" si="124"/>
        <v>1</v>
      </c>
      <c r="AT85" s="38">
        <f t="shared" si="125"/>
        <v>0</v>
      </c>
      <c r="AU85" s="60">
        <f t="shared" si="126"/>
        <v>0</v>
      </c>
      <c r="AV85" s="41">
        <f t="shared" si="127"/>
        <v>0</v>
      </c>
      <c r="AW85" s="41" t="b">
        <f t="shared" si="128"/>
        <v>0</v>
      </c>
      <c r="AX85" t="str">
        <f t="shared" si="129"/>
        <v>+00</v>
      </c>
      <c r="AY85" t="str">
        <f t="shared" si="130"/>
        <v>+00</v>
      </c>
      <c r="BA85" s="47" t="b">
        <f t="shared" si="83"/>
        <v>1</v>
      </c>
      <c r="BB85" s="42" t="b">
        <f t="shared" si="84"/>
        <v>1</v>
      </c>
      <c r="BC85" s="42" t="b">
        <f t="shared" si="85"/>
        <v>0</v>
      </c>
      <c r="BD85" s="42" t="b">
        <f t="shared" si="86"/>
        <v>0</v>
      </c>
      <c r="BE85" s="70">
        <f t="shared" si="87"/>
        <v>0</v>
      </c>
      <c r="BF85" s="70">
        <f t="shared" si="88"/>
        <v>0</v>
      </c>
      <c r="BG85" s="34"/>
      <c r="BI85" s="47" t="b">
        <f t="shared" si="89"/>
        <v>1</v>
      </c>
      <c r="BJ85" s="47" t="b">
        <f t="shared" si="90"/>
        <v>1</v>
      </c>
      <c r="BK85" s="42" t="b">
        <f t="shared" si="91"/>
        <v>0</v>
      </c>
      <c r="BL85" s="42" t="b">
        <f t="shared" si="92"/>
        <v>0</v>
      </c>
      <c r="BM85" s="42">
        <f t="shared" si="93"/>
        <v>0</v>
      </c>
      <c r="BN85" s="42">
        <f t="shared" si="94"/>
        <v>0</v>
      </c>
      <c r="BP85" t="e">
        <f t="shared" si="95"/>
        <v>#N/A</v>
      </c>
      <c r="BQ85" t="e">
        <f t="shared" si="96"/>
        <v>#N/A</v>
      </c>
      <c r="BR85" t="e">
        <f t="shared" si="97"/>
        <v>#N/A</v>
      </c>
      <c r="BT85" s="60">
        <f t="shared" si="131"/>
        <v>0</v>
      </c>
      <c r="BU85" s="60">
        <f t="shared" si="132"/>
        <v>0</v>
      </c>
      <c r="BV85" s="60">
        <f t="shared" si="133"/>
        <v>0</v>
      </c>
      <c r="BW85" s="60">
        <f t="shared" si="134"/>
        <v>0</v>
      </c>
      <c r="BX85" s="60">
        <f t="shared" si="98"/>
        <v>0</v>
      </c>
      <c r="BY85" s="60">
        <f t="shared" si="99"/>
        <v>0</v>
      </c>
      <c r="BZ85" s="60">
        <f t="shared" si="100"/>
        <v>0</v>
      </c>
      <c r="CA85" s="60">
        <f t="shared" si="101"/>
        <v>0</v>
      </c>
      <c r="CB85" s="60" t="e">
        <f t="shared" si="135"/>
        <v>#N/A</v>
      </c>
      <c r="CC85" s="60">
        <f t="shared" si="136"/>
        <v>100000</v>
      </c>
      <c r="CD85" s="60" t="e">
        <f t="shared" si="137"/>
        <v>#N/A</v>
      </c>
      <c r="CE85" s="60">
        <f t="shared" si="138"/>
        <v>100000</v>
      </c>
      <c r="CF85" s="83" t="e">
        <f t="shared" si="102"/>
        <v>#N/A</v>
      </c>
      <c r="CG85" s="83">
        <f t="shared" si="103"/>
        <v>0</v>
      </c>
      <c r="CH85" s="83" t="e">
        <f t="shared" si="104"/>
        <v>#N/A</v>
      </c>
      <c r="CI85" s="83">
        <f t="shared" si="105"/>
        <v>0</v>
      </c>
      <c r="CJ85" s="86" t="e">
        <f t="shared" si="139"/>
        <v>#N/A</v>
      </c>
      <c r="CK85" s="82">
        <f t="shared" si="140"/>
        <v>5.3070370403969858E-3</v>
      </c>
      <c r="CL85" s="82" t="e">
        <f t="shared" si="141"/>
        <v>#N/A</v>
      </c>
      <c r="CM85" s="82">
        <f t="shared" si="142"/>
        <v>5.3070370403969858E-3</v>
      </c>
      <c r="CO85" s="149" t="str">
        <f>IF($I85&lt;&gt;"",IF(O85="User Specified",U85,INDEX('Refrigerant GWPs'!$G$2:$G$156,MATCH(O85,'Refrigerant GWPs'!$A$2:$A$156,0))),"")</f>
        <v/>
      </c>
      <c r="CP85" s="138" t="str">
        <f>IF($I85&lt;&gt;"",INDEX('Device Refrigerant Leakage'!$E$2:$E$42,MATCH($M85,'Device Refrigerant Leakage'!$B$2:$B$42,0)),"")</f>
        <v/>
      </c>
      <c r="CQ85" s="138" t="str">
        <f>IF($I85&lt;&gt;"",INDEX('Device Refrigerant Leakage'!$F$2:$F$42,MATCH($M85,'Device Refrigerant Leakage'!$B$2:$B$42,0)),"")</f>
        <v/>
      </c>
      <c r="CR85" s="145" t="str">
        <f>IF($I85&lt;&gt;"",INDEX('Device Refrigerant Leakage'!$G$2:$G$42,MATCH($M85,'Device Refrigerant Leakage'!$B$2:$B$42,0)),"")</f>
        <v/>
      </c>
      <c r="CS85" s="145" t="str">
        <f>IF($I85&lt;&gt;"",INDEX('Device Refrigerant Leakage'!$D$2:$D$42,MATCH($M85,'Device Refrigerant Leakage'!$B$2:$B$42,0))*CP85/2204.62*CO85,"")</f>
        <v/>
      </c>
      <c r="CT85" s="145" t="str">
        <f>IF($I85&lt;&gt;"",J85*(INDEX('Device Refrigerant Leakage'!$D$2:$D$42,MATCH($M85,'Device Refrigerant Leakage'!$B$2:$B$42,0))-(INDEX('Device Refrigerant Leakage'!$D$2:$D$42,MATCH($M85,'Device Refrigerant Leakage'!$B$2:$B$42,0)))*CR85*CP85)*CQ85/2204.62*CO85,"")</f>
        <v/>
      </c>
      <c r="CU85" s="135" t="str">
        <f>IF($I85&lt;&gt;"",J85*IF(W85&lt;&gt;"AR",(CS85*K85)+CT85,(CS85*AB85)+CT85*(AB85/INDEX('Device Refrigerant Leakage'!$C$2:$C$42,MATCH($M85,'Device Refrigerant Leakage'!$B$2:$B$42,0)))),"")</f>
        <v/>
      </c>
      <c r="CW85" s="135" t="str">
        <f>IF($I85&lt;&gt;"",IF(S85="User Specified",V85,INDEX('Refrigerant GWPs'!$G$2:$G$156,MATCH(S85,'Refrigerant GWPs'!$A$2:$A$157,0))),"")</f>
        <v/>
      </c>
      <c r="CX85" s="138" t="str">
        <f>IF($I85&lt;&gt;"",INDEX('Device Refrigerant Leakage'!$E$2:$E$42,MATCH($Q85,'Device Refrigerant Leakage'!$B$2:$B$42,0)),"")</f>
        <v/>
      </c>
      <c r="CY85" s="138" t="str">
        <f>IF($I85&lt;&gt;"",INDEX('Device Refrigerant Leakage'!$F$2:$F$42,MATCH($Q85,'Device Refrigerant Leakage'!$B$2:$B$42,0)),"")</f>
        <v/>
      </c>
      <c r="CZ85" s="145" t="str">
        <f>IF($I85&lt;&gt;"",INDEX('Device Refrigerant Leakage'!$G$2:$G$42,MATCH($Q85,'Device Refrigerant Leakage'!$B$2:$B$42,0)),"")</f>
        <v/>
      </c>
      <c r="DA85" s="145" t="str">
        <f>IF($I85&lt;&gt;"",J85*INDEX('Device Refrigerant Leakage'!$D$2:$D$42,MATCH($Q85,'Device Refrigerant Leakage'!$B$2:$B$42,0))*CX85/2204.62*CW85,"")</f>
        <v/>
      </c>
      <c r="DB85" s="145" t="str">
        <f>IF($I85&lt;&gt;"",J85*(INDEX('Device Refrigerant Leakage'!$D$2:$D$42,MATCH($Q85,'Device Refrigerant Leakage'!$B$2:$B$42,0))-(INDEX('Device Refrigerant Leakage'!$D$2:$D$42,MATCH($Q85,'Device Refrigerant Leakage'!$B$2:$B$42,0)))*CZ85*CX85)*CY85/2204.62*CW85,"")</f>
        <v/>
      </c>
      <c r="DC85" s="135" t="str">
        <f t="shared" si="163"/>
        <v/>
      </c>
      <c r="DE85" s="146" t="str">
        <f>IF(W85&lt;&gt;"AR","",IF(Y85="User Specified", AA85, INDEX('Refrigerant GWPs'!$G$2:$G$154,MATCH(Y85,'Refrigerant GWPs'!$A$2:$A$154,0))))</f>
        <v/>
      </c>
      <c r="DF85" s="146" t="str">
        <f>IF(W85&lt;&gt;"AR","",INDEX('Device Refrigerant Leakage'!$E$2:$E$42,MATCH(X85,'Device Refrigerant Leakage'!$B$2:$B$42,0)))</f>
        <v/>
      </c>
      <c r="DG85" s="146" t="str">
        <f>IF(W85&lt;&gt;"AR","",INDEX('Device Refrigerant Leakage'!$F$2:$F$42,MATCH(X85,'Device Refrigerant Leakage'!$B$2:$B$42,0)))</f>
        <v/>
      </c>
      <c r="DH85" s="146" t="str">
        <f>IF(W85&lt;&gt;"AR","",INDEX('Device Refrigerant Leakage'!$G$2:$G$42,MATCH(X85,'Device Refrigerant Leakage'!$B$2:$B$42,0)))</f>
        <v/>
      </c>
      <c r="DI85" s="146" t="str">
        <f>IF(W85&lt;&gt;"AR","",J85*INDEX('Device Refrigerant Leakage'!$D$2:$D$42,MATCH(X85,'Device Refrigerant Leakage'!$B$2:$B$42,0))*DF85/2204.62*DE85)</f>
        <v/>
      </c>
      <c r="DJ85" s="146" t="str">
        <f>IF(W85&lt;&gt;"AR","",J85*(INDEX('Device Refrigerant Leakage'!$D$2:$D$42,MATCH(X85,'Device Refrigerant Leakage'!$B$2:$B$42,0))-(INDEX('Device Refrigerant Leakage'!$D$2:$D$42,MATCH(X85,'Device Refrigerant Leakage'!$B$2:$B$42,0)))*DH85*DF85)*DG85/2204.62*DE85)</f>
        <v/>
      </c>
      <c r="DK85" s="146" t="str">
        <f>IF(W85&lt;&gt;"AR","",DI85*(K85-AB85)+'Fuel Sub Calcs-Deemed'!DJ85*((K85-AB85)/INDEX('Device Refrigerant Leakage'!$C$2:$C$42,MATCH('Fuel Sub Calcs-Deemed'!X85,'Device Refrigerant Leakage'!$B$2:$B$42,0))))</f>
        <v/>
      </c>
      <c r="DM85" s="56">
        <v>71</v>
      </c>
      <c r="DN85" s="67" t="e">
        <f t="shared" si="143"/>
        <v>#N/A</v>
      </c>
      <c r="DO85" s="45" t="e">
        <f t="shared" si="144"/>
        <v>#N/A</v>
      </c>
      <c r="DP85" s="67" t="e">
        <f t="shared" si="145"/>
        <v>#N/A</v>
      </c>
      <c r="DQ85" s="45" t="e">
        <f t="shared" si="146"/>
        <v>#N/A</v>
      </c>
      <c r="DR85" s="69" t="e">
        <f t="shared" si="147"/>
        <v>#N/A</v>
      </c>
      <c r="DS85" s="34"/>
      <c r="DT85" s="67" t="e">
        <f>((BX85*CJ85)+IF($W85=MAT_AR,(BZ85*CL85),0))*(1+Reference!$E$50+Reference!$E$51)</f>
        <v>#N/A</v>
      </c>
      <c r="DU85" s="67">
        <f>((BY85*CK85)+IF($W85=MAT_AR,(CA85*CM85),0))*(1+Reference!$G$50+Reference!$G$51)</f>
        <v>0</v>
      </c>
      <c r="DV85" s="67" t="e">
        <f t="shared" si="148"/>
        <v>#VALUE!</v>
      </c>
      <c r="DX85" s="56">
        <v>71</v>
      </c>
      <c r="DY85" s="67">
        <f t="shared" si="149"/>
        <v>0</v>
      </c>
      <c r="DZ85" s="45" t="e">
        <f>VLOOKUP($R85,Dropdown!$C$3:$D$4,2,FALSE)</f>
        <v>#N/A</v>
      </c>
      <c r="EA85" s="68">
        <f t="shared" si="150"/>
        <v>0</v>
      </c>
      <c r="EB85" s="68" t="str">
        <f t="shared" si="151"/>
        <v>N/A</v>
      </c>
      <c r="EC85" s="68">
        <f t="shared" si="152"/>
        <v>0</v>
      </c>
      <c r="ED85" s="68" t="str">
        <f t="shared" si="153"/>
        <v>N/A</v>
      </c>
      <c r="EF85" s="56">
        <v>71</v>
      </c>
      <c r="EG85" s="46">
        <f t="shared" si="154"/>
        <v>0</v>
      </c>
      <c r="EH85" s="68" t="e">
        <f t="shared" si="155"/>
        <v>#N/A</v>
      </c>
      <c r="EI85" s="68" t="e">
        <f t="shared" si="156"/>
        <v>#N/A</v>
      </c>
      <c r="EJ85" s="68" t="e">
        <f t="shared" si="157"/>
        <v>#N/A</v>
      </c>
      <c r="EK85" s="68" t="e">
        <f t="shared" si="158"/>
        <v>#N/A</v>
      </c>
      <c r="EL85" s="46">
        <f t="shared" si="159"/>
        <v>0</v>
      </c>
      <c r="EM85" s="46">
        <f t="shared" si="160"/>
        <v>0</v>
      </c>
    </row>
    <row r="86" spans="1:143">
      <c r="A86" s="89"/>
      <c r="B86" s="89"/>
      <c r="C86" s="89"/>
      <c r="D86" s="89"/>
      <c r="E86" s="89"/>
      <c r="F86" s="89"/>
      <c r="G86" s="34"/>
      <c r="H86" s="56">
        <f t="shared" si="161"/>
        <v>72</v>
      </c>
      <c r="I86" s="165"/>
      <c r="J86" s="163"/>
      <c r="K86" s="163"/>
      <c r="L86" s="164"/>
      <c r="M86" s="155"/>
      <c r="N86" s="155"/>
      <c r="O86" s="144"/>
      <c r="P86" s="159" t="str">
        <f>IFERROR(IF(O86&lt;&gt;"User Specified",IF(O86&lt;&gt;"", INDEX('Refrigerant GWPs'!$G$2:$G$154,MATCH(O86,'Refrigerant GWPs'!$A$2:$A$154,0)),""),U86),0)</f>
        <v/>
      </c>
      <c r="Q86" s="155"/>
      <c r="R86" s="155"/>
      <c r="S86" s="144"/>
      <c r="T86" s="159" t="str">
        <f>IF(S86&lt;&gt;"User Specified",IF(AND(S86&lt;&gt;"User Specified",S86&lt;&gt;""), INDEX('Refrigerant GWPs'!$G$2:$G$154,MATCH(S86,'Refrigerant GWPs'!$A$2:$A$154,0)),""),V86)</f>
        <v/>
      </c>
      <c r="U86" s="144"/>
      <c r="V86" s="144"/>
      <c r="W86" s="155"/>
      <c r="X86" s="155"/>
      <c r="Y86" s="144"/>
      <c r="Z86" s="159" t="str">
        <f>IF(AND(Y86&lt;&gt;"User Specified",Y86&lt;&gt;""), INDEX('Refrigerant GWPs'!$G$2:$G$154,MATCH(Y86,'Refrigerant GWPs'!$A$2:$A$154,0)),"")</f>
        <v/>
      </c>
      <c r="AA86" s="155"/>
      <c r="AB86" s="156"/>
      <c r="AC86" s="66"/>
      <c r="AD86" s="66"/>
      <c r="AE86" s="66"/>
      <c r="AF86" s="66"/>
      <c r="AG86" s="66"/>
      <c r="AH86" s="66"/>
      <c r="AI86" s="34"/>
      <c r="AJ86" s="88">
        <f t="shared" si="119"/>
        <v>0</v>
      </c>
      <c r="AK86" s="88">
        <f t="shared" si="120"/>
        <v>0</v>
      </c>
      <c r="AL86" s="88">
        <v>0</v>
      </c>
      <c r="AM86" s="88">
        <v>0</v>
      </c>
      <c r="AN86" s="81" t="str">
        <f t="shared" si="162"/>
        <v/>
      </c>
      <c r="AO86" s="88">
        <f t="shared" si="121"/>
        <v>0</v>
      </c>
      <c r="AP86" s="88">
        <f t="shared" si="122"/>
        <v>0</v>
      </c>
      <c r="AQ86" s="81" t="str">
        <f t="shared" si="123"/>
        <v/>
      </c>
      <c r="AS86" s="41" t="b">
        <f t="shared" si="124"/>
        <v>1</v>
      </c>
      <c r="AT86" s="38">
        <f t="shared" si="125"/>
        <v>0</v>
      </c>
      <c r="AU86" s="60">
        <f t="shared" si="126"/>
        <v>0</v>
      </c>
      <c r="AV86" s="41">
        <f t="shared" si="127"/>
        <v>0</v>
      </c>
      <c r="AW86" s="41" t="b">
        <f t="shared" si="128"/>
        <v>0</v>
      </c>
      <c r="AX86" t="str">
        <f t="shared" si="129"/>
        <v>+00</v>
      </c>
      <c r="AY86" t="str">
        <f t="shared" si="130"/>
        <v>+00</v>
      </c>
      <c r="BA86" s="47" t="b">
        <f t="shared" si="83"/>
        <v>1</v>
      </c>
      <c r="BB86" s="42" t="b">
        <f t="shared" si="84"/>
        <v>1</v>
      </c>
      <c r="BC86" s="42" t="b">
        <f t="shared" si="85"/>
        <v>0</v>
      </c>
      <c r="BD86" s="42" t="b">
        <f t="shared" si="86"/>
        <v>0</v>
      </c>
      <c r="BE86" s="70">
        <f t="shared" si="87"/>
        <v>0</v>
      </c>
      <c r="BF86" s="70">
        <f t="shared" si="88"/>
        <v>0</v>
      </c>
      <c r="BG86" s="34"/>
      <c r="BI86" s="47" t="b">
        <f t="shared" si="89"/>
        <v>1</v>
      </c>
      <c r="BJ86" s="47" t="b">
        <f t="shared" si="90"/>
        <v>1</v>
      </c>
      <c r="BK86" s="42" t="b">
        <f t="shared" si="91"/>
        <v>0</v>
      </c>
      <c r="BL86" s="42" t="b">
        <f t="shared" si="92"/>
        <v>0</v>
      </c>
      <c r="BM86" s="42">
        <f t="shared" si="93"/>
        <v>0</v>
      </c>
      <c r="BN86" s="42">
        <f t="shared" si="94"/>
        <v>0</v>
      </c>
      <c r="BP86" t="e">
        <f t="shared" si="95"/>
        <v>#N/A</v>
      </c>
      <c r="BQ86" t="e">
        <f t="shared" si="96"/>
        <v>#N/A</v>
      </c>
      <c r="BR86" t="e">
        <f t="shared" si="97"/>
        <v>#N/A</v>
      </c>
      <c r="BT86" s="60">
        <f t="shared" si="131"/>
        <v>0</v>
      </c>
      <c r="BU86" s="60">
        <f t="shared" si="132"/>
        <v>0</v>
      </c>
      <c r="BV86" s="60">
        <f t="shared" si="133"/>
        <v>0</v>
      </c>
      <c r="BW86" s="60">
        <f t="shared" si="134"/>
        <v>0</v>
      </c>
      <c r="BX86" s="60">
        <f t="shared" si="98"/>
        <v>0</v>
      </c>
      <c r="BY86" s="60">
        <f t="shared" si="99"/>
        <v>0</v>
      </c>
      <c r="BZ86" s="60">
        <f t="shared" si="100"/>
        <v>0</v>
      </c>
      <c r="CA86" s="60">
        <f t="shared" si="101"/>
        <v>0</v>
      </c>
      <c r="CB86" s="60" t="e">
        <f t="shared" si="135"/>
        <v>#N/A</v>
      </c>
      <c r="CC86" s="60">
        <f t="shared" si="136"/>
        <v>100000</v>
      </c>
      <c r="CD86" s="60" t="e">
        <f t="shared" si="137"/>
        <v>#N/A</v>
      </c>
      <c r="CE86" s="60">
        <f t="shared" si="138"/>
        <v>100000</v>
      </c>
      <c r="CF86" s="83" t="e">
        <f t="shared" si="102"/>
        <v>#N/A</v>
      </c>
      <c r="CG86" s="83">
        <f t="shared" si="103"/>
        <v>0</v>
      </c>
      <c r="CH86" s="83" t="e">
        <f t="shared" si="104"/>
        <v>#N/A</v>
      </c>
      <c r="CI86" s="83">
        <f t="shared" si="105"/>
        <v>0</v>
      </c>
      <c r="CJ86" s="86" t="e">
        <f t="shared" si="139"/>
        <v>#N/A</v>
      </c>
      <c r="CK86" s="82">
        <f t="shared" si="140"/>
        <v>5.3070370403969858E-3</v>
      </c>
      <c r="CL86" s="82" t="e">
        <f t="shared" si="141"/>
        <v>#N/A</v>
      </c>
      <c r="CM86" s="82">
        <f t="shared" si="142"/>
        <v>5.3070370403969858E-3</v>
      </c>
      <c r="CO86" s="149" t="str">
        <f>IF($I86&lt;&gt;"",IF(O86="User Specified",U86,INDEX('Refrigerant GWPs'!$G$2:$G$156,MATCH(O86,'Refrigerant GWPs'!$A$2:$A$156,0))),"")</f>
        <v/>
      </c>
      <c r="CP86" s="138" t="str">
        <f>IF($I86&lt;&gt;"",INDEX('Device Refrigerant Leakage'!$E$2:$E$42,MATCH($M86,'Device Refrigerant Leakage'!$B$2:$B$42,0)),"")</f>
        <v/>
      </c>
      <c r="CQ86" s="138" t="str">
        <f>IF($I86&lt;&gt;"",INDEX('Device Refrigerant Leakage'!$F$2:$F$42,MATCH($M86,'Device Refrigerant Leakage'!$B$2:$B$42,0)),"")</f>
        <v/>
      </c>
      <c r="CR86" s="145" t="str">
        <f>IF($I86&lt;&gt;"",INDEX('Device Refrigerant Leakage'!$G$2:$G$42,MATCH($M86,'Device Refrigerant Leakage'!$B$2:$B$42,0)),"")</f>
        <v/>
      </c>
      <c r="CS86" s="145" t="str">
        <f>IF($I86&lt;&gt;"",INDEX('Device Refrigerant Leakage'!$D$2:$D$42,MATCH($M86,'Device Refrigerant Leakage'!$B$2:$B$42,0))*CP86/2204.62*CO86,"")</f>
        <v/>
      </c>
      <c r="CT86" s="145" t="str">
        <f>IF($I86&lt;&gt;"",J86*(INDEX('Device Refrigerant Leakage'!$D$2:$D$42,MATCH($M86,'Device Refrigerant Leakage'!$B$2:$B$42,0))-(INDEX('Device Refrigerant Leakage'!$D$2:$D$42,MATCH($M86,'Device Refrigerant Leakage'!$B$2:$B$42,0)))*CR86*CP86)*CQ86/2204.62*CO86,"")</f>
        <v/>
      </c>
      <c r="CU86" s="135" t="str">
        <f>IF($I86&lt;&gt;"",J86*IF(W86&lt;&gt;"AR",(CS86*K86)+CT86,(CS86*AB86)+CT86*(AB86/INDEX('Device Refrigerant Leakage'!$C$2:$C$42,MATCH($M86,'Device Refrigerant Leakage'!$B$2:$B$42,0)))),"")</f>
        <v/>
      </c>
      <c r="CW86" s="135" t="str">
        <f>IF($I86&lt;&gt;"",IF(S86="User Specified",V86,INDEX('Refrigerant GWPs'!$G$2:$G$156,MATCH(S86,'Refrigerant GWPs'!$A$2:$A$157,0))),"")</f>
        <v/>
      </c>
      <c r="CX86" s="138" t="str">
        <f>IF($I86&lt;&gt;"",INDEX('Device Refrigerant Leakage'!$E$2:$E$42,MATCH($Q86,'Device Refrigerant Leakage'!$B$2:$B$42,0)),"")</f>
        <v/>
      </c>
      <c r="CY86" s="138" t="str">
        <f>IF($I86&lt;&gt;"",INDEX('Device Refrigerant Leakage'!$F$2:$F$42,MATCH($Q86,'Device Refrigerant Leakage'!$B$2:$B$42,0)),"")</f>
        <v/>
      </c>
      <c r="CZ86" s="145" t="str">
        <f>IF($I86&lt;&gt;"",INDEX('Device Refrigerant Leakage'!$G$2:$G$42,MATCH($Q86,'Device Refrigerant Leakage'!$B$2:$B$42,0)),"")</f>
        <v/>
      </c>
      <c r="DA86" s="145" t="str">
        <f>IF($I86&lt;&gt;"",J86*INDEX('Device Refrigerant Leakage'!$D$2:$D$42,MATCH($Q86,'Device Refrigerant Leakage'!$B$2:$B$42,0))*CX86/2204.62*CW86,"")</f>
        <v/>
      </c>
      <c r="DB86" s="145" t="str">
        <f>IF($I86&lt;&gt;"",J86*(INDEX('Device Refrigerant Leakage'!$D$2:$D$42,MATCH($Q86,'Device Refrigerant Leakage'!$B$2:$B$42,0))-(INDEX('Device Refrigerant Leakage'!$D$2:$D$42,MATCH($Q86,'Device Refrigerant Leakage'!$B$2:$B$42,0)))*CZ86*CX86)*CY86/2204.62*CW86,"")</f>
        <v/>
      </c>
      <c r="DC86" s="135" t="str">
        <f t="shared" si="163"/>
        <v/>
      </c>
      <c r="DE86" s="146" t="str">
        <f>IF(W86&lt;&gt;"AR","",IF(Y86="User Specified", AA86, INDEX('Refrigerant GWPs'!$G$2:$G$154,MATCH(Y86,'Refrigerant GWPs'!$A$2:$A$154,0))))</f>
        <v/>
      </c>
      <c r="DF86" s="146" t="str">
        <f>IF(W86&lt;&gt;"AR","",INDEX('Device Refrigerant Leakage'!$E$2:$E$42,MATCH(X86,'Device Refrigerant Leakage'!$B$2:$B$42,0)))</f>
        <v/>
      </c>
      <c r="DG86" s="146" t="str">
        <f>IF(W86&lt;&gt;"AR","",INDEX('Device Refrigerant Leakage'!$F$2:$F$42,MATCH(X86,'Device Refrigerant Leakage'!$B$2:$B$42,0)))</f>
        <v/>
      </c>
      <c r="DH86" s="146" t="str">
        <f>IF(W86&lt;&gt;"AR","",INDEX('Device Refrigerant Leakage'!$G$2:$G$42,MATCH(X86,'Device Refrigerant Leakage'!$B$2:$B$42,0)))</f>
        <v/>
      </c>
      <c r="DI86" s="146" t="str">
        <f>IF(W86&lt;&gt;"AR","",J86*INDEX('Device Refrigerant Leakage'!$D$2:$D$42,MATCH(X86,'Device Refrigerant Leakage'!$B$2:$B$42,0))*DF86/2204.62*DE86)</f>
        <v/>
      </c>
      <c r="DJ86" s="146" t="str">
        <f>IF(W86&lt;&gt;"AR","",J86*(INDEX('Device Refrigerant Leakage'!$D$2:$D$42,MATCH(X86,'Device Refrigerant Leakage'!$B$2:$B$42,0))-(INDEX('Device Refrigerant Leakage'!$D$2:$D$42,MATCH(X86,'Device Refrigerant Leakage'!$B$2:$B$42,0)))*DH86*DF86)*DG86/2204.62*DE86)</f>
        <v/>
      </c>
      <c r="DK86" s="146" t="str">
        <f>IF(W86&lt;&gt;"AR","",DI86*(K86-AB86)+'Fuel Sub Calcs-Deemed'!DJ86*((K86-AB86)/INDEX('Device Refrigerant Leakage'!$C$2:$C$42,MATCH('Fuel Sub Calcs-Deemed'!X86,'Device Refrigerant Leakage'!$B$2:$B$42,0))))</f>
        <v/>
      </c>
      <c r="DM86" s="56">
        <v>72</v>
      </c>
      <c r="DN86" s="67" t="e">
        <f t="shared" si="143"/>
        <v>#N/A</v>
      </c>
      <c r="DO86" s="45" t="e">
        <f t="shared" si="144"/>
        <v>#N/A</v>
      </c>
      <c r="DP86" s="67" t="e">
        <f t="shared" si="145"/>
        <v>#N/A</v>
      </c>
      <c r="DQ86" s="45" t="e">
        <f t="shared" si="146"/>
        <v>#N/A</v>
      </c>
      <c r="DR86" s="69" t="e">
        <f t="shared" si="147"/>
        <v>#N/A</v>
      </c>
      <c r="DS86" s="34"/>
      <c r="DT86" s="67" t="e">
        <f>((BX86*CJ86)+IF($W86=MAT_AR,(BZ86*CL86),0))*(1+Reference!$E$50+Reference!$E$51)</f>
        <v>#N/A</v>
      </c>
      <c r="DU86" s="67">
        <f>((BY86*CK86)+IF($W86=MAT_AR,(CA86*CM86),0))*(1+Reference!$G$50+Reference!$G$51)</f>
        <v>0</v>
      </c>
      <c r="DV86" s="67" t="e">
        <f t="shared" si="148"/>
        <v>#VALUE!</v>
      </c>
      <c r="DX86" s="56">
        <v>72</v>
      </c>
      <c r="DY86" s="67">
        <f t="shared" si="149"/>
        <v>0</v>
      </c>
      <c r="DZ86" s="45" t="e">
        <f>VLOOKUP($R86,Dropdown!$C$3:$D$4,2,FALSE)</f>
        <v>#N/A</v>
      </c>
      <c r="EA86" s="68">
        <f t="shared" si="150"/>
        <v>0</v>
      </c>
      <c r="EB86" s="68" t="str">
        <f t="shared" si="151"/>
        <v>N/A</v>
      </c>
      <c r="EC86" s="68">
        <f t="shared" si="152"/>
        <v>0</v>
      </c>
      <c r="ED86" s="68" t="str">
        <f t="shared" si="153"/>
        <v>N/A</v>
      </c>
      <c r="EF86" s="56">
        <v>72</v>
      </c>
      <c r="EG86" s="46">
        <f t="shared" si="154"/>
        <v>0</v>
      </c>
      <c r="EH86" s="68" t="e">
        <f t="shared" si="155"/>
        <v>#N/A</v>
      </c>
      <c r="EI86" s="68" t="e">
        <f t="shared" si="156"/>
        <v>#N/A</v>
      </c>
      <c r="EJ86" s="68" t="e">
        <f t="shared" si="157"/>
        <v>#N/A</v>
      </c>
      <c r="EK86" s="68" t="e">
        <f t="shared" si="158"/>
        <v>#N/A</v>
      </c>
      <c r="EL86" s="46">
        <f t="shared" si="159"/>
        <v>0</v>
      </c>
      <c r="EM86" s="46">
        <f t="shared" si="160"/>
        <v>0</v>
      </c>
    </row>
    <row r="87" spans="1:143">
      <c r="A87" s="89"/>
      <c r="B87" s="89"/>
      <c r="C87" s="89"/>
      <c r="D87" s="89"/>
      <c r="E87" s="89"/>
      <c r="F87" s="89"/>
      <c r="G87" s="34"/>
      <c r="H87" s="56">
        <f t="shared" si="161"/>
        <v>73</v>
      </c>
      <c r="I87" s="165"/>
      <c r="J87" s="163"/>
      <c r="K87" s="163"/>
      <c r="L87" s="164"/>
      <c r="M87" s="155"/>
      <c r="N87" s="155"/>
      <c r="O87" s="144"/>
      <c r="P87" s="159" t="str">
        <f>IFERROR(IF(O87&lt;&gt;"User Specified",IF(O87&lt;&gt;"", INDEX('Refrigerant GWPs'!$G$2:$G$154,MATCH(O87,'Refrigerant GWPs'!$A$2:$A$154,0)),""),U87),0)</f>
        <v/>
      </c>
      <c r="Q87" s="155"/>
      <c r="R87" s="155"/>
      <c r="S87" s="144"/>
      <c r="T87" s="159" t="str">
        <f>IF(S87&lt;&gt;"User Specified",IF(AND(S87&lt;&gt;"User Specified",S87&lt;&gt;""), INDEX('Refrigerant GWPs'!$G$2:$G$154,MATCH(S87,'Refrigerant GWPs'!$A$2:$A$154,0)),""),V87)</f>
        <v/>
      </c>
      <c r="U87" s="144"/>
      <c r="V87" s="144"/>
      <c r="W87" s="155"/>
      <c r="X87" s="155"/>
      <c r="Y87" s="144"/>
      <c r="Z87" s="159" t="str">
        <f>IF(AND(Y87&lt;&gt;"User Specified",Y87&lt;&gt;""), INDEX('Refrigerant GWPs'!$G$2:$G$154,MATCH(Y87,'Refrigerant GWPs'!$A$2:$A$154,0)),"")</f>
        <v/>
      </c>
      <c r="AA87" s="155"/>
      <c r="AB87" s="156"/>
      <c r="AC87" s="66"/>
      <c r="AD87" s="66"/>
      <c r="AE87" s="66"/>
      <c r="AF87" s="66"/>
      <c r="AG87" s="66"/>
      <c r="AH87" s="66"/>
      <c r="AI87" s="34"/>
      <c r="AJ87" s="88">
        <f t="shared" si="119"/>
        <v>0</v>
      </c>
      <c r="AK87" s="88">
        <f t="shared" si="120"/>
        <v>0</v>
      </c>
      <c r="AL87" s="88">
        <v>0</v>
      </c>
      <c r="AM87" s="88">
        <v>0</v>
      </c>
      <c r="AN87" s="81" t="str">
        <f t="shared" si="162"/>
        <v/>
      </c>
      <c r="AO87" s="88">
        <f t="shared" si="121"/>
        <v>0</v>
      </c>
      <c r="AP87" s="88">
        <f t="shared" si="122"/>
        <v>0</v>
      </c>
      <c r="AQ87" s="81" t="str">
        <f t="shared" si="123"/>
        <v/>
      </c>
      <c r="AS87" s="41" t="b">
        <f t="shared" si="124"/>
        <v>1</v>
      </c>
      <c r="AT87" s="38">
        <f t="shared" si="125"/>
        <v>0</v>
      </c>
      <c r="AU87" s="60">
        <f t="shared" si="126"/>
        <v>0</v>
      </c>
      <c r="AV87" s="41">
        <f t="shared" si="127"/>
        <v>0</v>
      </c>
      <c r="AW87" s="41" t="b">
        <f t="shared" si="128"/>
        <v>0</v>
      </c>
      <c r="AX87" t="str">
        <f t="shared" si="129"/>
        <v>+00</v>
      </c>
      <c r="AY87" t="str">
        <f t="shared" si="130"/>
        <v>+00</v>
      </c>
      <c r="BA87" s="47" t="b">
        <f t="shared" si="83"/>
        <v>1</v>
      </c>
      <c r="BB87" s="42" t="b">
        <f t="shared" si="84"/>
        <v>1</v>
      </c>
      <c r="BC87" s="42" t="b">
        <f t="shared" si="85"/>
        <v>0</v>
      </c>
      <c r="BD87" s="42" t="b">
        <f t="shared" si="86"/>
        <v>0</v>
      </c>
      <c r="BE87" s="70">
        <f t="shared" si="87"/>
        <v>0</v>
      </c>
      <c r="BF87" s="70">
        <f t="shared" si="88"/>
        <v>0</v>
      </c>
      <c r="BG87" s="34"/>
      <c r="BI87" s="47" t="b">
        <f t="shared" si="89"/>
        <v>1</v>
      </c>
      <c r="BJ87" s="47" t="b">
        <f t="shared" si="90"/>
        <v>1</v>
      </c>
      <c r="BK87" s="42" t="b">
        <f t="shared" si="91"/>
        <v>0</v>
      </c>
      <c r="BL87" s="42" t="b">
        <f t="shared" si="92"/>
        <v>0</v>
      </c>
      <c r="BM87" s="42">
        <f t="shared" si="93"/>
        <v>0</v>
      </c>
      <c r="BN87" s="42">
        <f t="shared" si="94"/>
        <v>0</v>
      </c>
      <c r="BP87" t="e">
        <f t="shared" si="95"/>
        <v>#N/A</v>
      </c>
      <c r="BQ87" t="e">
        <f t="shared" si="96"/>
        <v>#N/A</v>
      </c>
      <c r="BR87" t="e">
        <f t="shared" si="97"/>
        <v>#N/A</v>
      </c>
      <c r="BT87" s="60">
        <f t="shared" si="131"/>
        <v>0</v>
      </c>
      <c r="BU87" s="60">
        <f t="shared" si="132"/>
        <v>0</v>
      </c>
      <c r="BV87" s="60">
        <f t="shared" si="133"/>
        <v>0</v>
      </c>
      <c r="BW87" s="60">
        <f t="shared" si="134"/>
        <v>0</v>
      </c>
      <c r="BX87" s="60">
        <f t="shared" si="98"/>
        <v>0</v>
      </c>
      <c r="BY87" s="60">
        <f t="shared" si="99"/>
        <v>0</v>
      </c>
      <c r="BZ87" s="60">
        <f t="shared" si="100"/>
        <v>0</v>
      </c>
      <c r="CA87" s="60">
        <f t="shared" si="101"/>
        <v>0</v>
      </c>
      <c r="CB87" s="60" t="e">
        <f t="shared" si="135"/>
        <v>#N/A</v>
      </c>
      <c r="CC87" s="60">
        <f t="shared" si="136"/>
        <v>100000</v>
      </c>
      <c r="CD87" s="60" t="e">
        <f t="shared" si="137"/>
        <v>#N/A</v>
      </c>
      <c r="CE87" s="60">
        <f t="shared" si="138"/>
        <v>100000</v>
      </c>
      <c r="CF87" s="83" t="e">
        <f t="shared" si="102"/>
        <v>#N/A</v>
      </c>
      <c r="CG87" s="83">
        <f t="shared" si="103"/>
        <v>0</v>
      </c>
      <c r="CH87" s="83" t="e">
        <f t="shared" si="104"/>
        <v>#N/A</v>
      </c>
      <c r="CI87" s="83">
        <f t="shared" si="105"/>
        <v>0</v>
      </c>
      <c r="CJ87" s="86" t="e">
        <f t="shared" si="139"/>
        <v>#N/A</v>
      </c>
      <c r="CK87" s="82">
        <f t="shared" si="140"/>
        <v>5.3070370403969858E-3</v>
      </c>
      <c r="CL87" s="82" t="e">
        <f t="shared" si="141"/>
        <v>#N/A</v>
      </c>
      <c r="CM87" s="82">
        <f t="shared" si="142"/>
        <v>5.3070370403969858E-3</v>
      </c>
      <c r="CO87" s="149" t="str">
        <f>IF($I87&lt;&gt;"",IF(O87="User Specified",U87,INDEX('Refrigerant GWPs'!$G$2:$G$156,MATCH(O87,'Refrigerant GWPs'!$A$2:$A$156,0))),"")</f>
        <v/>
      </c>
      <c r="CP87" s="138" t="str">
        <f>IF($I87&lt;&gt;"",INDEX('Device Refrigerant Leakage'!$E$2:$E$42,MATCH($M87,'Device Refrigerant Leakage'!$B$2:$B$42,0)),"")</f>
        <v/>
      </c>
      <c r="CQ87" s="138" t="str">
        <f>IF($I87&lt;&gt;"",INDEX('Device Refrigerant Leakage'!$F$2:$F$42,MATCH($M87,'Device Refrigerant Leakage'!$B$2:$B$42,0)),"")</f>
        <v/>
      </c>
      <c r="CR87" s="145" t="str">
        <f>IF($I87&lt;&gt;"",INDEX('Device Refrigerant Leakage'!$G$2:$G$42,MATCH($M87,'Device Refrigerant Leakage'!$B$2:$B$42,0)),"")</f>
        <v/>
      </c>
      <c r="CS87" s="145" t="str">
        <f>IF($I87&lt;&gt;"",INDEX('Device Refrigerant Leakage'!$D$2:$D$42,MATCH($M87,'Device Refrigerant Leakage'!$B$2:$B$42,0))*CP87/2204.62*CO87,"")</f>
        <v/>
      </c>
      <c r="CT87" s="145" t="str">
        <f>IF($I87&lt;&gt;"",J87*(INDEX('Device Refrigerant Leakage'!$D$2:$D$42,MATCH($M87,'Device Refrigerant Leakage'!$B$2:$B$42,0))-(INDEX('Device Refrigerant Leakage'!$D$2:$D$42,MATCH($M87,'Device Refrigerant Leakage'!$B$2:$B$42,0)))*CR87*CP87)*CQ87/2204.62*CO87,"")</f>
        <v/>
      </c>
      <c r="CU87" s="135" t="str">
        <f>IF($I87&lt;&gt;"",J87*IF(W87&lt;&gt;"AR",(CS87*K87)+CT87,(CS87*AB87)+CT87*(AB87/INDEX('Device Refrigerant Leakage'!$C$2:$C$42,MATCH($M87,'Device Refrigerant Leakage'!$B$2:$B$42,0)))),"")</f>
        <v/>
      </c>
      <c r="CW87" s="135" t="str">
        <f>IF($I87&lt;&gt;"",IF(S87="User Specified",V87,INDEX('Refrigerant GWPs'!$G$2:$G$156,MATCH(S87,'Refrigerant GWPs'!$A$2:$A$157,0))),"")</f>
        <v/>
      </c>
      <c r="CX87" s="138" t="str">
        <f>IF($I87&lt;&gt;"",INDEX('Device Refrigerant Leakage'!$E$2:$E$42,MATCH($Q87,'Device Refrigerant Leakage'!$B$2:$B$42,0)),"")</f>
        <v/>
      </c>
      <c r="CY87" s="138" t="str">
        <f>IF($I87&lt;&gt;"",INDEX('Device Refrigerant Leakage'!$F$2:$F$42,MATCH($Q87,'Device Refrigerant Leakage'!$B$2:$B$42,0)),"")</f>
        <v/>
      </c>
      <c r="CZ87" s="145" t="str">
        <f>IF($I87&lt;&gt;"",INDEX('Device Refrigerant Leakage'!$G$2:$G$42,MATCH($Q87,'Device Refrigerant Leakage'!$B$2:$B$42,0)),"")</f>
        <v/>
      </c>
      <c r="DA87" s="145" t="str">
        <f>IF($I87&lt;&gt;"",J87*INDEX('Device Refrigerant Leakage'!$D$2:$D$42,MATCH($Q87,'Device Refrigerant Leakage'!$B$2:$B$42,0))*CX87/2204.62*CW87,"")</f>
        <v/>
      </c>
      <c r="DB87" s="145" t="str">
        <f>IF($I87&lt;&gt;"",J87*(INDEX('Device Refrigerant Leakage'!$D$2:$D$42,MATCH($Q87,'Device Refrigerant Leakage'!$B$2:$B$42,0))-(INDEX('Device Refrigerant Leakage'!$D$2:$D$42,MATCH($Q87,'Device Refrigerant Leakage'!$B$2:$B$42,0)))*CZ87*CX87)*CY87/2204.62*CW87,"")</f>
        <v/>
      </c>
      <c r="DC87" s="135" t="str">
        <f t="shared" si="163"/>
        <v/>
      </c>
      <c r="DE87" s="146" t="str">
        <f>IF(W87&lt;&gt;"AR","",IF(Y87="User Specified", AA87, INDEX('Refrigerant GWPs'!$G$2:$G$154,MATCH(Y87,'Refrigerant GWPs'!$A$2:$A$154,0))))</f>
        <v/>
      </c>
      <c r="DF87" s="146" t="str">
        <f>IF(W87&lt;&gt;"AR","",INDEX('Device Refrigerant Leakage'!$E$2:$E$42,MATCH(X87,'Device Refrigerant Leakage'!$B$2:$B$42,0)))</f>
        <v/>
      </c>
      <c r="DG87" s="146" t="str">
        <f>IF(W87&lt;&gt;"AR","",INDEX('Device Refrigerant Leakage'!$F$2:$F$42,MATCH(X87,'Device Refrigerant Leakage'!$B$2:$B$42,0)))</f>
        <v/>
      </c>
      <c r="DH87" s="146" t="str">
        <f>IF(W87&lt;&gt;"AR","",INDEX('Device Refrigerant Leakage'!$G$2:$G$42,MATCH(X87,'Device Refrigerant Leakage'!$B$2:$B$42,0)))</f>
        <v/>
      </c>
      <c r="DI87" s="146" t="str">
        <f>IF(W87&lt;&gt;"AR","",J87*INDEX('Device Refrigerant Leakage'!$D$2:$D$42,MATCH(X87,'Device Refrigerant Leakage'!$B$2:$B$42,0))*DF87/2204.62*DE87)</f>
        <v/>
      </c>
      <c r="DJ87" s="146" t="str">
        <f>IF(W87&lt;&gt;"AR","",J87*(INDEX('Device Refrigerant Leakage'!$D$2:$D$42,MATCH(X87,'Device Refrigerant Leakage'!$B$2:$B$42,0))-(INDEX('Device Refrigerant Leakage'!$D$2:$D$42,MATCH(X87,'Device Refrigerant Leakage'!$B$2:$B$42,0)))*DH87*DF87)*DG87/2204.62*DE87)</f>
        <v/>
      </c>
      <c r="DK87" s="146" t="str">
        <f>IF(W87&lt;&gt;"AR","",DI87*(K87-AB87)+'Fuel Sub Calcs-Deemed'!DJ87*((K87-AB87)/INDEX('Device Refrigerant Leakage'!$C$2:$C$42,MATCH('Fuel Sub Calcs-Deemed'!X87,'Device Refrigerant Leakage'!$B$2:$B$42,0))))</f>
        <v/>
      </c>
      <c r="DM87" s="56">
        <v>73</v>
      </c>
      <c r="DN87" s="67" t="e">
        <f t="shared" si="143"/>
        <v>#N/A</v>
      </c>
      <c r="DO87" s="45" t="e">
        <f t="shared" si="144"/>
        <v>#N/A</v>
      </c>
      <c r="DP87" s="67" t="e">
        <f t="shared" si="145"/>
        <v>#N/A</v>
      </c>
      <c r="DQ87" s="45" t="e">
        <f t="shared" si="146"/>
        <v>#N/A</v>
      </c>
      <c r="DR87" s="69" t="e">
        <f t="shared" si="147"/>
        <v>#N/A</v>
      </c>
      <c r="DS87" s="34"/>
      <c r="DT87" s="67" t="e">
        <f>((BX87*CJ87)+IF($W87=MAT_AR,(BZ87*CL87),0))*(1+Reference!$E$50+Reference!$E$51)</f>
        <v>#N/A</v>
      </c>
      <c r="DU87" s="67">
        <f>((BY87*CK87)+IF($W87=MAT_AR,(CA87*CM87),0))*(1+Reference!$G$50+Reference!$G$51)</f>
        <v>0</v>
      </c>
      <c r="DV87" s="67" t="e">
        <f t="shared" si="148"/>
        <v>#VALUE!</v>
      </c>
      <c r="DX87" s="56">
        <v>73</v>
      </c>
      <c r="DY87" s="67">
        <f t="shared" si="149"/>
        <v>0</v>
      </c>
      <c r="DZ87" s="45" t="e">
        <f>VLOOKUP($R87,Dropdown!$C$3:$D$4,2,FALSE)</f>
        <v>#N/A</v>
      </c>
      <c r="EA87" s="68">
        <f t="shared" si="150"/>
        <v>0</v>
      </c>
      <c r="EB87" s="68" t="str">
        <f t="shared" si="151"/>
        <v>N/A</v>
      </c>
      <c r="EC87" s="68">
        <f t="shared" si="152"/>
        <v>0</v>
      </c>
      <c r="ED87" s="68" t="str">
        <f t="shared" si="153"/>
        <v>N/A</v>
      </c>
      <c r="EF87" s="56">
        <v>73</v>
      </c>
      <c r="EG87" s="46">
        <f t="shared" si="154"/>
        <v>0</v>
      </c>
      <c r="EH87" s="68" t="e">
        <f t="shared" si="155"/>
        <v>#N/A</v>
      </c>
      <c r="EI87" s="68" t="e">
        <f t="shared" si="156"/>
        <v>#N/A</v>
      </c>
      <c r="EJ87" s="68" t="e">
        <f t="shared" si="157"/>
        <v>#N/A</v>
      </c>
      <c r="EK87" s="68" t="e">
        <f t="shared" si="158"/>
        <v>#N/A</v>
      </c>
      <c r="EL87" s="46">
        <f t="shared" si="159"/>
        <v>0</v>
      </c>
      <c r="EM87" s="46">
        <f t="shared" si="160"/>
        <v>0</v>
      </c>
    </row>
    <row r="88" spans="1:143">
      <c r="A88" s="89"/>
      <c r="B88" s="89"/>
      <c r="C88" s="89"/>
      <c r="D88" s="89"/>
      <c r="E88" s="89"/>
      <c r="F88" s="89"/>
      <c r="G88" s="34"/>
      <c r="H88" s="56">
        <f t="shared" si="161"/>
        <v>74</v>
      </c>
      <c r="I88" s="165"/>
      <c r="J88" s="163"/>
      <c r="K88" s="163"/>
      <c r="L88" s="164"/>
      <c r="M88" s="155"/>
      <c r="N88" s="155"/>
      <c r="O88" s="144"/>
      <c r="P88" s="159" t="str">
        <f>IFERROR(IF(O88&lt;&gt;"User Specified",IF(O88&lt;&gt;"", INDEX('Refrigerant GWPs'!$G$2:$G$154,MATCH(O88,'Refrigerant GWPs'!$A$2:$A$154,0)),""),U88),0)</f>
        <v/>
      </c>
      <c r="Q88" s="155"/>
      <c r="R88" s="155"/>
      <c r="S88" s="144"/>
      <c r="T88" s="159" t="str">
        <f>IF(S88&lt;&gt;"User Specified",IF(AND(S88&lt;&gt;"User Specified",S88&lt;&gt;""), INDEX('Refrigerant GWPs'!$G$2:$G$154,MATCH(S88,'Refrigerant GWPs'!$A$2:$A$154,0)),""),V88)</f>
        <v/>
      </c>
      <c r="U88" s="144"/>
      <c r="V88" s="144"/>
      <c r="W88" s="155"/>
      <c r="X88" s="155"/>
      <c r="Y88" s="144"/>
      <c r="Z88" s="159" t="str">
        <f>IF(AND(Y88&lt;&gt;"User Specified",Y88&lt;&gt;""), INDEX('Refrigerant GWPs'!$G$2:$G$154,MATCH(Y88,'Refrigerant GWPs'!$A$2:$A$154,0)),"")</f>
        <v/>
      </c>
      <c r="AA88" s="155"/>
      <c r="AB88" s="156"/>
      <c r="AC88" s="66"/>
      <c r="AD88" s="66"/>
      <c r="AE88" s="66"/>
      <c r="AF88" s="66"/>
      <c r="AG88" s="66"/>
      <c r="AH88" s="66"/>
      <c r="AI88" s="34"/>
      <c r="AJ88" s="88">
        <f t="shared" si="119"/>
        <v>0</v>
      </c>
      <c r="AK88" s="88">
        <f t="shared" si="120"/>
        <v>0</v>
      </c>
      <c r="AL88" s="88">
        <v>0</v>
      </c>
      <c r="AM88" s="88">
        <v>0</v>
      </c>
      <c r="AN88" s="81" t="str">
        <f t="shared" si="162"/>
        <v/>
      </c>
      <c r="AO88" s="88">
        <f t="shared" si="121"/>
        <v>0</v>
      </c>
      <c r="AP88" s="88">
        <f t="shared" si="122"/>
        <v>0</v>
      </c>
      <c r="AQ88" s="81" t="str">
        <f t="shared" si="123"/>
        <v/>
      </c>
      <c r="AS88" s="41" t="b">
        <f t="shared" si="124"/>
        <v>1</v>
      </c>
      <c r="AT88" s="38">
        <f t="shared" si="125"/>
        <v>0</v>
      </c>
      <c r="AU88" s="60">
        <f t="shared" si="126"/>
        <v>0</v>
      </c>
      <c r="AV88" s="41">
        <f t="shared" si="127"/>
        <v>0</v>
      </c>
      <c r="AW88" s="41" t="b">
        <f t="shared" si="128"/>
        <v>0</v>
      </c>
      <c r="AX88" t="str">
        <f t="shared" si="129"/>
        <v>+00</v>
      </c>
      <c r="AY88" t="str">
        <f t="shared" si="130"/>
        <v>+00</v>
      </c>
      <c r="BA88" s="47" t="b">
        <f t="shared" si="83"/>
        <v>1</v>
      </c>
      <c r="BB88" s="42" t="b">
        <f t="shared" si="84"/>
        <v>1</v>
      </c>
      <c r="BC88" s="42" t="b">
        <f t="shared" si="85"/>
        <v>0</v>
      </c>
      <c r="BD88" s="42" t="b">
        <f t="shared" si="86"/>
        <v>0</v>
      </c>
      <c r="BE88" s="70">
        <f t="shared" si="87"/>
        <v>0</v>
      </c>
      <c r="BF88" s="70">
        <f t="shared" si="88"/>
        <v>0</v>
      </c>
      <c r="BG88" s="34"/>
      <c r="BI88" s="47" t="b">
        <f t="shared" si="89"/>
        <v>1</v>
      </c>
      <c r="BJ88" s="47" t="b">
        <f t="shared" si="90"/>
        <v>1</v>
      </c>
      <c r="BK88" s="42" t="b">
        <f t="shared" si="91"/>
        <v>0</v>
      </c>
      <c r="BL88" s="42" t="b">
        <f t="shared" si="92"/>
        <v>0</v>
      </c>
      <c r="BM88" s="42">
        <f t="shared" si="93"/>
        <v>0</v>
      </c>
      <c r="BN88" s="42">
        <f t="shared" si="94"/>
        <v>0</v>
      </c>
      <c r="BP88" t="e">
        <f t="shared" si="95"/>
        <v>#N/A</v>
      </c>
      <c r="BQ88" t="e">
        <f t="shared" si="96"/>
        <v>#N/A</v>
      </c>
      <c r="BR88" t="e">
        <f t="shared" si="97"/>
        <v>#N/A</v>
      </c>
      <c r="BT88" s="60">
        <f t="shared" si="131"/>
        <v>0</v>
      </c>
      <c r="BU88" s="60">
        <f t="shared" si="132"/>
        <v>0</v>
      </c>
      <c r="BV88" s="60">
        <f t="shared" si="133"/>
        <v>0</v>
      </c>
      <c r="BW88" s="60">
        <f t="shared" si="134"/>
        <v>0</v>
      </c>
      <c r="BX88" s="60">
        <f t="shared" si="98"/>
        <v>0</v>
      </c>
      <c r="BY88" s="60">
        <f t="shared" si="99"/>
        <v>0</v>
      </c>
      <c r="BZ88" s="60">
        <f t="shared" si="100"/>
        <v>0</v>
      </c>
      <c r="CA88" s="60">
        <f t="shared" si="101"/>
        <v>0</v>
      </c>
      <c r="CB88" s="60" t="e">
        <f t="shared" si="135"/>
        <v>#N/A</v>
      </c>
      <c r="CC88" s="60">
        <f t="shared" si="136"/>
        <v>100000</v>
      </c>
      <c r="CD88" s="60" t="e">
        <f t="shared" si="137"/>
        <v>#N/A</v>
      </c>
      <c r="CE88" s="60">
        <f t="shared" si="138"/>
        <v>100000</v>
      </c>
      <c r="CF88" s="83" t="e">
        <f t="shared" si="102"/>
        <v>#N/A</v>
      </c>
      <c r="CG88" s="83">
        <f t="shared" si="103"/>
        <v>0</v>
      </c>
      <c r="CH88" s="83" t="e">
        <f t="shared" si="104"/>
        <v>#N/A</v>
      </c>
      <c r="CI88" s="83">
        <f t="shared" si="105"/>
        <v>0</v>
      </c>
      <c r="CJ88" s="86" t="e">
        <f t="shared" si="139"/>
        <v>#N/A</v>
      </c>
      <c r="CK88" s="82">
        <f t="shared" si="140"/>
        <v>5.3070370403969858E-3</v>
      </c>
      <c r="CL88" s="82" t="e">
        <f t="shared" si="141"/>
        <v>#N/A</v>
      </c>
      <c r="CM88" s="82">
        <f t="shared" si="142"/>
        <v>5.3070370403969858E-3</v>
      </c>
      <c r="CO88" s="149" t="str">
        <f>IF($I88&lt;&gt;"",IF(O88="User Specified",U88,INDEX('Refrigerant GWPs'!$G$2:$G$156,MATCH(O88,'Refrigerant GWPs'!$A$2:$A$156,0))),"")</f>
        <v/>
      </c>
      <c r="CP88" s="138" t="str">
        <f>IF($I88&lt;&gt;"",INDEX('Device Refrigerant Leakage'!$E$2:$E$42,MATCH($M88,'Device Refrigerant Leakage'!$B$2:$B$42,0)),"")</f>
        <v/>
      </c>
      <c r="CQ88" s="138" t="str">
        <f>IF($I88&lt;&gt;"",INDEX('Device Refrigerant Leakage'!$F$2:$F$42,MATCH($M88,'Device Refrigerant Leakage'!$B$2:$B$42,0)),"")</f>
        <v/>
      </c>
      <c r="CR88" s="145" t="str">
        <f>IF($I88&lt;&gt;"",INDEX('Device Refrigerant Leakage'!$G$2:$G$42,MATCH($M88,'Device Refrigerant Leakage'!$B$2:$B$42,0)),"")</f>
        <v/>
      </c>
      <c r="CS88" s="145" t="str">
        <f>IF($I88&lt;&gt;"",INDEX('Device Refrigerant Leakage'!$D$2:$D$42,MATCH($M88,'Device Refrigerant Leakage'!$B$2:$B$42,0))*CP88/2204.62*CO88,"")</f>
        <v/>
      </c>
      <c r="CT88" s="145" t="str">
        <f>IF($I88&lt;&gt;"",J88*(INDEX('Device Refrigerant Leakage'!$D$2:$D$42,MATCH($M88,'Device Refrigerant Leakage'!$B$2:$B$42,0))-(INDEX('Device Refrigerant Leakage'!$D$2:$D$42,MATCH($M88,'Device Refrigerant Leakage'!$B$2:$B$42,0)))*CR88*CP88)*CQ88/2204.62*CO88,"")</f>
        <v/>
      </c>
      <c r="CU88" s="135" t="str">
        <f>IF($I88&lt;&gt;"",J88*IF(W88&lt;&gt;"AR",(CS88*K88)+CT88,(CS88*AB88)+CT88*(AB88/INDEX('Device Refrigerant Leakage'!$C$2:$C$42,MATCH($M88,'Device Refrigerant Leakage'!$B$2:$B$42,0)))),"")</f>
        <v/>
      </c>
      <c r="CW88" s="135" t="str">
        <f>IF($I88&lt;&gt;"",IF(S88="User Specified",V88,INDEX('Refrigerant GWPs'!$G$2:$G$156,MATCH(S88,'Refrigerant GWPs'!$A$2:$A$157,0))),"")</f>
        <v/>
      </c>
      <c r="CX88" s="138" t="str">
        <f>IF($I88&lt;&gt;"",INDEX('Device Refrigerant Leakage'!$E$2:$E$42,MATCH($Q88,'Device Refrigerant Leakage'!$B$2:$B$42,0)),"")</f>
        <v/>
      </c>
      <c r="CY88" s="138" t="str">
        <f>IF($I88&lt;&gt;"",INDEX('Device Refrigerant Leakage'!$F$2:$F$42,MATCH($Q88,'Device Refrigerant Leakage'!$B$2:$B$42,0)),"")</f>
        <v/>
      </c>
      <c r="CZ88" s="145" t="str">
        <f>IF($I88&lt;&gt;"",INDEX('Device Refrigerant Leakage'!$G$2:$G$42,MATCH($Q88,'Device Refrigerant Leakage'!$B$2:$B$42,0)),"")</f>
        <v/>
      </c>
      <c r="DA88" s="145" t="str">
        <f>IF($I88&lt;&gt;"",J88*INDEX('Device Refrigerant Leakage'!$D$2:$D$42,MATCH($Q88,'Device Refrigerant Leakage'!$B$2:$B$42,0))*CX88/2204.62*CW88,"")</f>
        <v/>
      </c>
      <c r="DB88" s="145" t="str">
        <f>IF($I88&lt;&gt;"",J88*(INDEX('Device Refrigerant Leakage'!$D$2:$D$42,MATCH($Q88,'Device Refrigerant Leakage'!$B$2:$B$42,0))-(INDEX('Device Refrigerant Leakage'!$D$2:$D$42,MATCH($Q88,'Device Refrigerant Leakage'!$B$2:$B$42,0)))*CZ88*CX88)*CY88/2204.62*CW88,"")</f>
        <v/>
      </c>
      <c r="DC88" s="135" t="str">
        <f t="shared" si="163"/>
        <v/>
      </c>
      <c r="DE88" s="146" t="str">
        <f>IF(W88&lt;&gt;"AR","",IF(Y88="User Specified", AA88, INDEX('Refrigerant GWPs'!$G$2:$G$154,MATCH(Y88,'Refrigerant GWPs'!$A$2:$A$154,0))))</f>
        <v/>
      </c>
      <c r="DF88" s="146" t="str">
        <f>IF(W88&lt;&gt;"AR","",INDEX('Device Refrigerant Leakage'!$E$2:$E$42,MATCH(X88,'Device Refrigerant Leakage'!$B$2:$B$42,0)))</f>
        <v/>
      </c>
      <c r="DG88" s="146" t="str">
        <f>IF(W88&lt;&gt;"AR","",INDEX('Device Refrigerant Leakage'!$F$2:$F$42,MATCH(X88,'Device Refrigerant Leakage'!$B$2:$B$42,0)))</f>
        <v/>
      </c>
      <c r="DH88" s="146" t="str">
        <f>IF(W88&lt;&gt;"AR","",INDEX('Device Refrigerant Leakage'!$G$2:$G$42,MATCH(X88,'Device Refrigerant Leakage'!$B$2:$B$42,0)))</f>
        <v/>
      </c>
      <c r="DI88" s="146" t="str">
        <f>IF(W88&lt;&gt;"AR","",J88*INDEX('Device Refrigerant Leakage'!$D$2:$D$42,MATCH(X88,'Device Refrigerant Leakage'!$B$2:$B$42,0))*DF88/2204.62*DE88)</f>
        <v/>
      </c>
      <c r="DJ88" s="146" t="str">
        <f>IF(W88&lt;&gt;"AR","",J88*(INDEX('Device Refrigerant Leakage'!$D$2:$D$42,MATCH(X88,'Device Refrigerant Leakage'!$B$2:$B$42,0))-(INDEX('Device Refrigerant Leakage'!$D$2:$D$42,MATCH(X88,'Device Refrigerant Leakage'!$B$2:$B$42,0)))*DH88*DF88)*DG88/2204.62*DE88)</f>
        <v/>
      </c>
      <c r="DK88" s="146" t="str">
        <f>IF(W88&lt;&gt;"AR","",DI88*(K88-AB88)+'Fuel Sub Calcs-Deemed'!DJ88*((K88-AB88)/INDEX('Device Refrigerant Leakage'!$C$2:$C$42,MATCH('Fuel Sub Calcs-Deemed'!X88,'Device Refrigerant Leakage'!$B$2:$B$42,0))))</f>
        <v/>
      </c>
      <c r="DM88" s="56">
        <v>74</v>
      </c>
      <c r="DN88" s="67" t="e">
        <f t="shared" si="143"/>
        <v>#N/A</v>
      </c>
      <c r="DO88" s="45" t="e">
        <f t="shared" si="144"/>
        <v>#N/A</v>
      </c>
      <c r="DP88" s="67" t="e">
        <f t="shared" si="145"/>
        <v>#N/A</v>
      </c>
      <c r="DQ88" s="45" t="e">
        <f t="shared" si="146"/>
        <v>#N/A</v>
      </c>
      <c r="DR88" s="69" t="e">
        <f t="shared" si="147"/>
        <v>#N/A</v>
      </c>
      <c r="DS88" s="34"/>
      <c r="DT88" s="67" t="e">
        <f>((BX88*CJ88)+IF($W88=MAT_AR,(BZ88*CL88),0))*(1+Reference!$E$50+Reference!$E$51)</f>
        <v>#N/A</v>
      </c>
      <c r="DU88" s="67">
        <f>((BY88*CK88)+IF($W88=MAT_AR,(CA88*CM88),0))*(1+Reference!$G$50+Reference!$G$51)</f>
        <v>0</v>
      </c>
      <c r="DV88" s="67" t="e">
        <f t="shared" si="148"/>
        <v>#VALUE!</v>
      </c>
      <c r="DX88" s="56">
        <v>74</v>
      </c>
      <c r="DY88" s="67">
        <f t="shared" si="149"/>
        <v>0</v>
      </c>
      <c r="DZ88" s="45" t="e">
        <f>VLOOKUP($R88,Dropdown!$C$3:$D$4,2,FALSE)</f>
        <v>#N/A</v>
      </c>
      <c r="EA88" s="68">
        <f t="shared" si="150"/>
        <v>0</v>
      </c>
      <c r="EB88" s="68" t="str">
        <f t="shared" si="151"/>
        <v>N/A</v>
      </c>
      <c r="EC88" s="68">
        <f t="shared" si="152"/>
        <v>0</v>
      </c>
      <c r="ED88" s="68" t="str">
        <f t="shared" si="153"/>
        <v>N/A</v>
      </c>
      <c r="EF88" s="56">
        <v>74</v>
      </c>
      <c r="EG88" s="46">
        <f t="shared" si="154"/>
        <v>0</v>
      </c>
      <c r="EH88" s="68" t="e">
        <f t="shared" si="155"/>
        <v>#N/A</v>
      </c>
      <c r="EI88" s="68" t="e">
        <f t="shared" si="156"/>
        <v>#N/A</v>
      </c>
      <c r="EJ88" s="68" t="e">
        <f t="shared" si="157"/>
        <v>#N/A</v>
      </c>
      <c r="EK88" s="68" t="e">
        <f t="shared" si="158"/>
        <v>#N/A</v>
      </c>
      <c r="EL88" s="46">
        <f t="shared" si="159"/>
        <v>0</v>
      </c>
      <c r="EM88" s="46">
        <f t="shared" si="160"/>
        <v>0</v>
      </c>
    </row>
    <row r="89" spans="1:143">
      <c r="A89" s="89"/>
      <c r="B89" s="89"/>
      <c r="C89" s="89"/>
      <c r="D89" s="89"/>
      <c r="E89" s="89"/>
      <c r="F89" s="89"/>
      <c r="G89" s="34"/>
      <c r="H89" s="56">
        <f t="shared" si="161"/>
        <v>75</v>
      </c>
      <c r="I89" s="165"/>
      <c r="J89" s="163"/>
      <c r="K89" s="163"/>
      <c r="L89" s="164"/>
      <c r="M89" s="155"/>
      <c r="N89" s="155"/>
      <c r="O89" s="144"/>
      <c r="P89" s="159" t="str">
        <f>IFERROR(IF(O89&lt;&gt;"User Specified",IF(O89&lt;&gt;"", INDEX('Refrigerant GWPs'!$G$2:$G$154,MATCH(O89,'Refrigerant GWPs'!$A$2:$A$154,0)),""),U89),0)</f>
        <v/>
      </c>
      <c r="Q89" s="155"/>
      <c r="R89" s="155"/>
      <c r="S89" s="144"/>
      <c r="T89" s="159" t="str">
        <f>IF(S89&lt;&gt;"User Specified",IF(AND(S89&lt;&gt;"User Specified",S89&lt;&gt;""), INDEX('Refrigerant GWPs'!$G$2:$G$154,MATCH(S89,'Refrigerant GWPs'!$A$2:$A$154,0)),""),V89)</f>
        <v/>
      </c>
      <c r="U89" s="144"/>
      <c r="V89" s="144"/>
      <c r="W89" s="155"/>
      <c r="X89" s="155"/>
      <c r="Y89" s="144"/>
      <c r="Z89" s="159" t="str">
        <f>IF(AND(Y89&lt;&gt;"User Specified",Y89&lt;&gt;""), INDEX('Refrigerant GWPs'!$G$2:$G$154,MATCH(Y89,'Refrigerant GWPs'!$A$2:$A$154,0)),"")</f>
        <v/>
      </c>
      <c r="AA89" s="155"/>
      <c r="AB89" s="156"/>
      <c r="AC89" s="66"/>
      <c r="AD89" s="66"/>
      <c r="AE89" s="66"/>
      <c r="AF89" s="66"/>
      <c r="AG89" s="66"/>
      <c r="AH89" s="66"/>
      <c r="AI89" s="34"/>
      <c r="AJ89" s="88">
        <f t="shared" si="119"/>
        <v>0</v>
      </c>
      <c r="AK89" s="88">
        <f t="shared" si="120"/>
        <v>0</v>
      </c>
      <c r="AL89" s="88">
        <v>0</v>
      </c>
      <c r="AM89" s="88">
        <v>0</v>
      </c>
      <c r="AN89" s="81" t="str">
        <f t="shared" si="162"/>
        <v/>
      </c>
      <c r="AO89" s="88">
        <f t="shared" si="121"/>
        <v>0</v>
      </c>
      <c r="AP89" s="88">
        <f t="shared" si="122"/>
        <v>0</v>
      </c>
      <c r="AQ89" s="81" t="str">
        <f t="shared" si="123"/>
        <v/>
      </c>
      <c r="AS89" s="41" t="b">
        <f t="shared" si="124"/>
        <v>1</v>
      </c>
      <c r="AT89" s="38">
        <f t="shared" si="125"/>
        <v>0</v>
      </c>
      <c r="AU89" s="60">
        <f t="shared" si="126"/>
        <v>0</v>
      </c>
      <c r="AV89" s="41">
        <f t="shared" si="127"/>
        <v>0</v>
      </c>
      <c r="AW89" s="41" t="b">
        <f t="shared" si="128"/>
        <v>0</v>
      </c>
      <c r="AX89" t="str">
        <f t="shared" si="129"/>
        <v>+00</v>
      </c>
      <c r="AY89" t="str">
        <f t="shared" si="130"/>
        <v>+00</v>
      </c>
      <c r="BA89" s="47" t="b">
        <f t="shared" si="83"/>
        <v>1</v>
      </c>
      <c r="BB89" s="42" t="b">
        <f t="shared" si="84"/>
        <v>1</v>
      </c>
      <c r="BC89" s="42" t="b">
        <f t="shared" si="85"/>
        <v>0</v>
      </c>
      <c r="BD89" s="42" t="b">
        <f t="shared" si="86"/>
        <v>0</v>
      </c>
      <c r="BE89" s="70">
        <f t="shared" si="87"/>
        <v>0</v>
      </c>
      <c r="BF89" s="70">
        <f t="shared" si="88"/>
        <v>0</v>
      </c>
      <c r="BG89" s="34"/>
      <c r="BI89" s="47" t="b">
        <f t="shared" si="89"/>
        <v>1</v>
      </c>
      <c r="BJ89" s="47" t="b">
        <f t="shared" si="90"/>
        <v>1</v>
      </c>
      <c r="BK89" s="42" t="b">
        <f t="shared" si="91"/>
        <v>0</v>
      </c>
      <c r="BL89" s="42" t="b">
        <f t="shared" si="92"/>
        <v>0</v>
      </c>
      <c r="BM89" s="42">
        <f t="shared" si="93"/>
        <v>0</v>
      </c>
      <c r="BN89" s="42">
        <f t="shared" si="94"/>
        <v>0</v>
      </c>
      <c r="BP89" t="e">
        <f t="shared" si="95"/>
        <v>#N/A</v>
      </c>
      <c r="BQ89" t="e">
        <f t="shared" si="96"/>
        <v>#N/A</v>
      </c>
      <c r="BR89" t="e">
        <f t="shared" si="97"/>
        <v>#N/A</v>
      </c>
      <c r="BT89" s="60">
        <f t="shared" si="131"/>
        <v>0</v>
      </c>
      <c r="BU89" s="60">
        <f t="shared" si="132"/>
        <v>0</v>
      </c>
      <c r="BV89" s="60">
        <f t="shared" si="133"/>
        <v>0</v>
      </c>
      <c r="BW89" s="60">
        <f t="shared" si="134"/>
        <v>0</v>
      </c>
      <c r="BX89" s="60">
        <f t="shared" si="98"/>
        <v>0</v>
      </c>
      <c r="BY89" s="60">
        <f t="shared" si="99"/>
        <v>0</v>
      </c>
      <c r="BZ89" s="60">
        <f t="shared" si="100"/>
        <v>0</v>
      </c>
      <c r="CA89" s="60">
        <f t="shared" si="101"/>
        <v>0</v>
      </c>
      <c r="CB89" s="60" t="e">
        <f t="shared" si="135"/>
        <v>#N/A</v>
      </c>
      <c r="CC89" s="60">
        <f t="shared" si="136"/>
        <v>100000</v>
      </c>
      <c r="CD89" s="60" t="e">
        <f t="shared" si="137"/>
        <v>#N/A</v>
      </c>
      <c r="CE89" s="60">
        <f t="shared" si="138"/>
        <v>100000</v>
      </c>
      <c r="CF89" s="83" t="e">
        <f t="shared" si="102"/>
        <v>#N/A</v>
      </c>
      <c r="CG89" s="83">
        <f t="shared" si="103"/>
        <v>0</v>
      </c>
      <c r="CH89" s="83" t="e">
        <f t="shared" si="104"/>
        <v>#N/A</v>
      </c>
      <c r="CI89" s="83">
        <f t="shared" si="105"/>
        <v>0</v>
      </c>
      <c r="CJ89" s="86" t="e">
        <f t="shared" si="139"/>
        <v>#N/A</v>
      </c>
      <c r="CK89" s="82">
        <f t="shared" si="140"/>
        <v>5.3070370403969858E-3</v>
      </c>
      <c r="CL89" s="82" t="e">
        <f t="shared" si="141"/>
        <v>#N/A</v>
      </c>
      <c r="CM89" s="82">
        <f t="shared" si="142"/>
        <v>5.3070370403969858E-3</v>
      </c>
      <c r="CO89" s="149" t="str">
        <f>IF($I89&lt;&gt;"",IF(O89="User Specified",U89,INDEX('Refrigerant GWPs'!$G$2:$G$156,MATCH(O89,'Refrigerant GWPs'!$A$2:$A$156,0))),"")</f>
        <v/>
      </c>
      <c r="CP89" s="138" t="str">
        <f>IF($I89&lt;&gt;"",INDEX('Device Refrigerant Leakage'!$E$2:$E$42,MATCH($M89,'Device Refrigerant Leakage'!$B$2:$B$42,0)),"")</f>
        <v/>
      </c>
      <c r="CQ89" s="138" t="str">
        <f>IF($I89&lt;&gt;"",INDEX('Device Refrigerant Leakage'!$F$2:$F$42,MATCH($M89,'Device Refrigerant Leakage'!$B$2:$B$42,0)),"")</f>
        <v/>
      </c>
      <c r="CR89" s="145" t="str">
        <f>IF($I89&lt;&gt;"",INDEX('Device Refrigerant Leakage'!$G$2:$G$42,MATCH($M89,'Device Refrigerant Leakage'!$B$2:$B$42,0)),"")</f>
        <v/>
      </c>
      <c r="CS89" s="145" t="str">
        <f>IF($I89&lt;&gt;"",INDEX('Device Refrigerant Leakage'!$D$2:$D$42,MATCH($M89,'Device Refrigerant Leakage'!$B$2:$B$42,0))*CP89/2204.62*CO89,"")</f>
        <v/>
      </c>
      <c r="CT89" s="145" t="str">
        <f>IF($I89&lt;&gt;"",J89*(INDEX('Device Refrigerant Leakage'!$D$2:$D$42,MATCH($M89,'Device Refrigerant Leakage'!$B$2:$B$42,0))-(INDEX('Device Refrigerant Leakage'!$D$2:$D$42,MATCH($M89,'Device Refrigerant Leakage'!$B$2:$B$42,0)))*CR89*CP89)*CQ89/2204.62*CO89,"")</f>
        <v/>
      </c>
      <c r="CU89" s="135" t="str">
        <f>IF($I89&lt;&gt;"",J89*IF(W89&lt;&gt;"AR",(CS89*K89)+CT89,(CS89*AB89)+CT89*(AB89/INDEX('Device Refrigerant Leakage'!$C$2:$C$42,MATCH($M89,'Device Refrigerant Leakage'!$B$2:$B$42,0)))),"")</f>
        <v/>
      </c>
      <c r="CW89" s="135" t="str">
        <f>IF($I89&lt;&gt;"",IF(S89="User Specified",V89,INDEX('Refrigerant GWPs'!$G$2:$G$156,MATCH(S89,'Refrigerant GWPs'!$A$2:$A$157,0))),"")</f>
        <v/>
      </c>
      <c r="CX89" s="138" t="str">
        <f>IF($I89&lt;&gt;"",INDEX('Device Refrigerant Leakage'!$E$2:$E$42,MATCH($Q89,'Device Refrigerant Leakage'!$B$2:$B$42,0)),"")</f>
        <v/>
      </c>
      <c r="CY89" s="138" t="str">
        <f>IF($I89&lt;&gt;"",INDEX('Device Refrigerant Leakage'!$F$2:$F$42,MATCH($Q89,'Device Refrigerant Leakage'!$B$2:$B$42,0)),"")</f>
        <v/>
      </c>
      <c r="CZ89" s="145" t="str">
        <f>IF($I89&lt;&gt;"",INDEX('Device Refrigerant Leakage'!$G$2:$G$42,MATCH($Q89,'Device Refrigerant Leakage'!$B$2:$B$42,0)),"")</f>
        <v/>
      </c>
      <c r="DA89" s="145" t="str">
        <f>IF($I89&lt;&gt;"",J89*INDEX('Device Refrigerant Leakage'!$D$2:$D$42,MATCH($Q89,'Device Refrigerant Leakage'!$B$2:$B$42,0))*CX89/2204.62*CW89,"")</f>
        <v/>
      </c>
      <c r="DB89" s="145" t="str">
        <f>IF($I89&lt;&gt;"",J89*(INDEX('Device Refrigerant Leakage'!$D$2:$D$42,MATCH($Q89,'Device Refrigerant Leakage'!$B$2:$B$42,0))-(INDEX('Device Refrigerant Leakage'!$D$2:$D$42,MATCH($Q89,'Device Refrigerant Leakage'!$B$2:$B$42,0)))*CZ89*CX89)*CY89/2204.62*CW89,"")</f>
        <v/>
      </c>
      <c r="DC89" s="135" t="str">
        <f t="shared" si="163"/>
        <v/>
      </c>
      <c r="DE89" s="146" t="str">
        <f>IF(W89&lt;&gt;"AR","",IF(Y89="User Specified", AA89, INDEX('Refrigerant GWPs'!$G$2:$G$154,MATCH(Y89,'Refrigerant GWPs'!$A$2:$A$154,0))))</f>
        <v/>
      </c>
      <c r="DF89" s="146" t="str">
        <f>IF(W89&lt;&gt;"AR","",INDEX('Device Refrigerant Leakage'!$E$2:$E$42,MATCH(X89,'Device Refrigerant Leakage'!$B$2:$B$42,0)))</f>
        <v/>
      </c>
      <c r="DG89" s="146" t="str">
        <f>IF(W89&lt;&gt;"AR","",INDEX('Device Refrigerant Leakage'!$F$2:$F$42,MATCH(X89,'Device Refrigerant Leakage'!$B$2:$B$42,0)))</f>
        <v/>
      </c>
      <c r="DH89" s="146" t="str">
        <f>IF(W89&lt;&gt;"AR","",INDEX('Device Refrigerant Leakage'!$G$2:$G$42,MATCH(X89,'Device Refrigerant Leakage'!$B$2:$B$42,0)))</f>
        <v/>
      </c>
      <c r="DI89" s="146" t="str">
        <f>IF(W89&lt;&gt;"AR","",J89*INDEX('Device Refrigerant Leakage'!$D$2:$D$42,MATCH(X89,'Device Refrigerant Leakage'!$B$2:$B$42,0))*DF89/2204.62*DE89)</f>
        <v/>
      </c>
      <c r="DJ89" s="146" t="str">
        <f>IF(W89&lt;&gt;"AR","",J89*(INDEX('Device Refrigerant Leakage'!$D$2:$D$42,MATCH(X89,'Device Refrigerant Leakage'!$B$2:$B$42,0))-(INDEX('Device Refrigerant Leakage'!$D$2:$D$42,MATCH(X89,'Device Refrigerant Leakage'!$B$2:$B$42,0)))*DH89*DF89)*DG89/2204.62*DE89)</f>
        <v/>
      </c>
      <c r="DK89" s="146" t="str">
        <f>IF(W89&lt;&gt;"AR","",DI89*(K89-AB89)+'Fuel Sub Calcs-Deemed'!DJ89*((K89-AB89)/INDEX('Device Refrigerant Leakage'!$C$2:$C$42,MATCH('Fuel Sub Calcs-Deemed'!X89,'Device Refrigerant Leakage'!$B$2:$B$42,0))))</f>
        <v/>
      </c>
      <c r="DM89" s="56">
        <v>75</v>
      </c>
      <c r="DN89" s="67" t="e">
        <f t="shared" si="143"/>
        <v>#N/A</v>
      </c>
      <c r="DO89" s="45" t="e">
        <f t="shared" si="144"/>
        <v>#N/A</v>
      </c>
      <c r="DP89" s="67" t="e">
        <f t="shared" si="145"/>
        <v>#N/A</v>
      </c>
      <c r="DQ89" s="45" t="e">
        <f t="shared" si="146"/>
        <v>#N/A</v>
      </c>
      <c r="DR89" s="69" t="e">
        <f t="shared" si="147"/>
        <v>#N/A</v>
      </c>
      <c r="DS89" s="34"/>
      <c r="DT89" s="67" t="e">
        <f>((BX89*CJ89)+IF($W89=MAT_AR,(BZ89*CL89),0))*(1+Reference!$E$50+Reference!$E$51)</f>
        <v>#N/A</v>
      </c>
      <c r="DU89" s="67">
        <f>((BY89*CK89)+IF($W89=MAT_AR,(CA89*CM89),0))*(1+Reference!$G$50+Reference!$G$51)</f>
        <v>0</v>
      </c>
      <c r="DV89" s="67" t="e">
        <f t="shared" si="148"/>
        <v>#VALUE!</v>
      </c>
      <c r="DX89" s="56">
        <v>75</v>
      </c>
      <c r="DY89" s="67">
        <f t="shared" si="149"/>
        <v>0</v>
      </c>
      <c r="DZ89" s="45" t="e">
        <f>VLOOKUP($R89,Dropdown!$C$3:$D$4,2,FALSE)</f>
        <v>#N/A</v>
      </c>
      <c r="EA89" s="68">
        <f t="shared" si="150"/>
        <v>0</v>
      </c>
      <c r="EB89" s="68" t="str">
        <f t="shared" si="151"/>
        <v>N/A</v>
      </c>
      <c r="EC89" s="68">
        <f t="shared" si="152"/>
        <v>0</v>
      </c>
      <c r="ED89" s="68" t="str">
        <f t="shared" si="153"/>
        <v>N/A</v>
      </c>
      <c r="EF89" s="56">
        <v>75</v>
      </c>
      <c r="EG89" s="46">
        <f t="shared" si="154"/>
        <v>0</v>
      </c>
      <c r="EH89" s="68" t="e">
        <f t="shared" si="155"/>
        <v>#N/A</v>
      </c>
      <c r="EI89" s="68" t="e">
        <f t="shared" si="156"/>
        <v>#N/A</v>
      </c>
      <c r="EJ89" s="68" t="e">
        <f t="shared" si="157"/>
        <v>#N/A</v>
      </c>
      <c r="EK89" s="68" t="e">
        <f t="shared" si="158"/>
        <v>#N/A</v>
      </c>
      <c r="EL89" s="46">
        <f t="shared" si="159"/>
        <v>0</v>
      </c>
      <c r="EM89" s="46">
        <f t="shared" si="160"/>
        <v>0</v>
      </c>
    </row>
    <row r="90" spans="1:143">
      <c r="A90" s="89"/>
      <c r="B90" s="89"/>
      <c r="C90" s="89"/>
      <c r="D90" s="89"/>
      <c r="E90" s="89"/>
      <c r="F90" s="89"/>
      <c r="G90" s="34"/>
      <c r="H90" s="56">
        <f t="shared" si="161"/>
        <v>76</v>
      </c>
      <c r="I90" s="165"/>
      <c r="J90" s="163"/>
      <c r="K90" s="163"/>
      <c r="L90" s="164"/>
      <c r="M90" s="155"/>
      <c r="N90" s="155"/>
      <c r="O90" s="144"/>
      <c r="P90" s="159" t="str">
        <f>IFERROR(IF(O90&lt;&gt;"User Specified",IF(O90&lt;&gt;"", INDEX('Refrigerant GWPs'!$G$2:$G$154,MATCH(O90,'Refrigerant GWPs'!$A$2:$A$154,0)),""),U90),0)</f>
        <v/>
      </c>
      <c r="Q90" s="155"/>
      <c r="R90" s="155"/>
      <c r="S90" s="144"/>
      <c r="T90" s="159" t="str">
        <f>IF(S90&lt;&gt;"User Specified",IF(AND(S90&lt;&gt;"User Specified",S90&lt;&gt;""), INDEX('Refrigerant GWPs'!$G$2:$G$154,MATCH(S90,'Refrigerant GWPs'!$A$2:$A$154,0)),""),V90)</f>
        <v/>
      </c>
      <c r="U90" s="144"/>
      <c r="V90" s="144"/>
      <c r="W90" s="155"/>
      <c r="X90" s="155"/>
      <c r="Y90" s="144"/>
      <c r="Z90" s="159" t="str">
        <f>IF(AND(Y90&lt;&gt;"User Specified",Y90&lt;&gt;""), INDEX('Refrigerant GWPs'!$G$2:$G$154,MATCH(Y90,'Refrigerant GWPs'!$A$2:$A$154,0)),"")</f>
        <v/>
      </c>
      <c r="AA90" s="155"/>
      <c r="AB90" s="156"/>
      <c r="AC90" s="66"/>
      <c r="AD90" s="66"/>
      <c r="AE90" s="66"/>
      <c r="AF90" s="66"/>
      <c r="AG90" s="66"/>
      <c r="AH90" s="66"/>
      <c r="AI90" s="34"/>
      <c r="AJ90" s="88">
        <f t="shared" si="119"/>
        <v>0</v>
      </c>
      <c r="AK90" s="88">
        <f t="shared" si="120"/>
        <v>0</v>
      </c>
      <c r="AL90" s="88">
        <v>0</v>
      </c>
      <c r="AM90" s="88">
        <v>0</v>
      </c>
      <c r="AN90" s="81" t="str">
        <f t="shared" si="162"/>
        <v/>
      </c>
      <c r="AO90" s="88">
        <f t="shared" si="121"/>
        <v>0</v>
      </c>
      <c r="AP90" s="88">
        <f t="shared" si="122"/>
        <v>0</v>
      </c>
      <c r="AQ90" s="81" t="str">
        <f t="shared" si="123"/>
        <v/>
      </c>
      <c r="AS90" s="41" t="b">
        <f t="shared" si="124"/>
        <v>1</v>
      </c>
      <c r="AT90" s="38">
        <f t="shared" si="125"/>
        <v>0</v>
      </c>
      <c r="AU90" s="60">
        <f t="shared" si="126"/>
        <v>0</v>
      </c>
      <c r="AV90" s="41">
        <f t="shared" si="127"/>
        <v>0</v>
      </c>
      <c r="AW90" s="41" t="b">
        <f t="shared" si="128"/>
        <v>0</v>
      </c>
      <c r="AX90" t="str">
        <f t="shared" si="129"/>
        <v>+00</v>
      </c>
      <c r="AY90" t="str">
        <f t="shared" si="130"/>
        <v>+00</v>
      </c>
      <c r="BA90" s="47" t="b">
        <f t="shared" si="83"/>
        <v>1</v>
      </c>
      <c r="BB90" s="42" t="b">
        <f t="shared" si="84"/>
        <v>1</v>
      </c>
      <c r="BC90" s="42" t="b">
        <f t="shared" si="85"/>
        <v>0</v>
      </c>
      <c r="BD90" s="42" t="b">
        <f t="shared" si="86"/>
        <v>0</v>
      </c>
      <c r="BE90" s="70">
        <f t="shared" si="87"/>
        <v>0</v>
      </c>
      <c r="BF90" s="70">
        <f t="shared" si="88"/>
        <v>0</v>
      </c>
      <c r="BG90" s="34"/>
      <c r="BI90" s="47" t="b">
        <f t="shared" si="89"/>
        <v>1</v>
      </c>
      <c r="BJ90" s="47" t="b">
        <f t="shared" si="90"/>
        <v>1</v>
      </c>
      <c r="BK90" s="42" t="b">
        <f t="shared" si="91"/>
        <v>0</v>
      </c>
      <c r="BL90" s="42" t="b">
        <f t="shared" si="92"/>
        <v>0</v>
      </c>
      <c r="BM90" s="42">
        <f t="shared" si="93"/>
        <v>0</v>
      </c>
      <c r="BN90" s="42">
        <f t="shared" si="94"/>
        <v>0</v>
      </c>
      <c r="BP90" t="e">
        <f t="shared" si="95"/>
        <v>#N/A</v>
      </c>
      <c r="BQ90" t="e">
        <f t="shared" si="96"/>
        <v>#N/A</v>
      </c>
      <c r="BR90" t="e">
        <f t="shared" si="97"/>
        <v>#N/A</v>
      </c>
      <c r="BT90" s="60">
        <f t="shared" si="131"/>
        <v>0</v>
      </c>
      <c r="BU90" s="60">
        <f t="shared" si="132"/>
        <v>0</v>
      </c>
      <c r="BV90" s="60">
        <f t="shared" si="133"/>
        <v>0</v>
      </c>
      <c r="BW90" s="60">
        <f t="shared" si="134"/>
        <v>0</v>
      </c>
      <c r="BX90" s="60">
        <f t="shared" si="98"/>
        <v>0</v>
      </c>
      <c r="BY90" s="60">
        <f t="shared" si="99"/>
        <v>0</v>
      </c>
      <c r="BZ90" s="60">
        <f t="shared" si="100"/>
        <v>0</v>
      </c>
      <c r="CA90" s="60">
        <f t="shared" si="101"/>
        <v>0</v>
      </c>
      <c r="CB90" s="60" t="e">
        <f t="shared" si="135"/>
        <v>#N/A</v>
      </c>
      <c r="CC90" s="60">
        <f t="shared" si="136"/>
        <v>100000</v>
      </c>
      <c r="CD90" s="60" t="e">
        <f t="shared" si="137"/>
        <v>#N/A</v>
      </c>
      <c r="CE90" s="60">
        <f t="shared" si="138"/>
        <v>100000</v>
      </c>
      <c r="CF90" s="83" t="e">
        <f t="shared" si="102"/>
        <v>#N/A</v>
      </c>
      <c r="CG90" s="83">
        <f t="shared" si="103"/>
        <v>0</v>
      </c>
      <c r="CH90" s="83" t="e">
        <f t="shared" si="104"/>
        <v>#N/A</v>
      </c>
      <c r="CI90" s="83">
        <f t="shared" si="105"/>
        <v>0</v>
      </c>
      <c r="CJ90" s="86" t="e">
        <f t="shared" si="139"/>
        <v>#N/A</v>
      </c>
      <c r="CK90" s="82">
        <f t="shared" si="140"/>
        <v>5.3070370403969858E-3</v>
      </c>
      <c r="CL90" s="82" t="e">
        <f t="shared" si="141"/>
        <v>#N/A</v>
      </c>
      <c r="CM90" s="82">
        <f t="shared" si="142"/>
        <v>5.3070370403969858E-3</v>
      </c>
      <c r="CO90" s="149" t="str">
        <f>IF($I90&lt;&gt;"",IF(O90="User Specified",U90,INDEX('Refrigerant GWPs'!$G$2:$G$156,MATCH(O90,'Refrigerant GWPs'!$A$2:$A$156,0))),"")</f>
        <v/>
      </c>
      <c r="CP90" s="138" t="str">
        <f>IF($I90&lt;&gt;"",INDEX('Device Refrigerant Leakage'!$E$2:$E$42,MATCH($M90,'Device Refrigerant Leakage'!$B$2:$B$42,0)),"")</f>
        <v/>
      </c>
      <c r="CQ90" s="138" t="str">
        <f>IF($I90&lt;&gt;"",INDEX('Device Refrigerant Leakage'!$F$2:$F$42,MATCH($M90,'Device Refrigerant Leakage'!$B$2:$B$42,0)),"")</f>
        <v/>
      </c>
      <c r="CR90" s="145" t="str">
        <f>IF($I90&lt;&gt;"",INDEX('Device Refrigerant Leakage'!$G$2:$G$42,MATCH($M90,'Device Refrigerant Leakage'!$B$2:$B$42,0)),"")</f>
        <v/>
      </c>
      <c r="CS90" s="145" t="str">
        <f>IF($I90&lt;&gt;"",INDEX('Device Refrigerant Leakage'!$D$2:$D$42,MATCH($M90,'Device Refrigerant Leakage'!$B$2:$B$42,0))*CP90/2204.62*CO90,"")</f>
        <v/>
      </c>
      <c r="CT90" s="145" t="str">
        <f>IF($I90&lt;&gt;"",J90*(INDEX('Device Refrigerant Leakage'!$D$2:$D$42,MATCH($M90,'Device Refrigerant Leakage'!$B$2:$B$42,0))-(INDEX('Device Refrigerant Leakage'!$D$2:$D$42,MATCH($M90,'Device Refrigerant Leakage'!$B$2:$B$42,0)))*CR90*CP90)*CQ90/2204.62*CO90,"")</f>
        <v/>
      </c>
      <c r="CU90" s="135" t="str">
        <f>IF($I90&lt;&gt;"",J90*IF(W90&lt;&gt;"AR",(CS90*K90)+CT90,(CS90*AB90)+CT90*(AB90/INDEX('Device Refrigerant Leakage'!$C$2:$C$42,MATCH($M90,'Device Refrigerant Leakage'!$B$2:$B$42,0)))),"")</f>
        <v/>
      </c>
      <c r="CW90" s="135" t="str">
        <f>IF($I90&lt;&gt;"",IF(S90="User Specified",V90,INDEX('Refrigerant GWPs'!$G$2:$G$156,MATCH(S90,'Refrigerant GWPs'!$A$2:$A$157,0))),"")</f>
        <v/>
      </c>
      <c r="CX90" s="138" t="str">
        <f>IF($I90&lt;&gt;"",INDEX('Device Refrigerant Leakage'!$E$2:$E$42,MATCH($Q90,'Device Refrigerant Leakage'!$B$2:$B$42,0)),"")</f>
        <v/>
      </c>
      <c r="CY90" s="138" t="str">
        <f>IF($I90&lt;&gt;"",INDEX('Device Refrigerant Leakage'!$F$2:$F$42,MATCH($Q90,'Device Refrigerant Leakage'!$B$2:$B$42,0)),"")</f>
        <v/>
      </c>
      <c r="CZ90" s="145" t="str">
        <f>IF($I90&lt;&gt;"",INDEX('Device Refrigerant Leakage'!$G$2:$G$42,MATCH($Q90,'Device Refrigerant Leakage'!$B$2:$B$42,0)),"")</f>
        <v/>
      </c>
      <c r="DA90" s="145" t="str">
        <f>IF($I90&lt;&gt;"",J90*INDEX('Device Refrigerant Leakage'!$D$2:$D$42,MATCH($Q90,'Device Refrigerant Leakage'!$B$2:$B$42,0))*CX90/2204.62*CW90,"")</f>
        <v/>
      </c>
      <c r="DB90" s="145" t="str">
        <f>IF($I90&lt;&gt;"",J90*(INDEX('Device Refrigerant Leakage'!$D$2:$D$42,MATCH($Q90,'Device Refrigerant Leakage'!$B$2:$B$42,0))-(INDEX('Device Refrigerant Leakage'!$D$2:$D$42,MATCH($Q90,'Device Refrigerant Leakage'!$B$2:$B$42,0)))*CZ90*CX90)*CY90/2204.62*CW90,"")</f>
        <v/>
      </c>
      <c r="DC90" s="135" t="str">
        <f t="shared" si="163"/>
        <v/>
      </c>
      <c r="DE90" s="146" t="str">
        <f>IF(W90&lt;&gt;"AR","",IF(Y90="User Specified", AA90, INDEX('Refrigerant GWPs'!$G$2:$G$154,MATCH(Y90,'Refrigerant GWPs'!$A$2:$A$154,0))))</f>
        <v/>
      </c>
      <c r="DF90" s="146" t="str">
        <f>IF(W90&lt;&gt;"AR","",INDEX('Device Refrigerant Leakage'!$E$2:$E$42,MATCH(X90,'Device Refrigerant Leakage'!$B$2:$B$42,0)))</f>
        <v/>
      </c>
      <c r="DG90" s="146" t="str">
        <f>IF(W90&lt;&gt;"AR","",INDEX('Device Refrigerant Leakage'!$F$2:$F$42,MATCH(X90,'Device Refrigerant Leakage'!$B$2:$B$42,0)))</f>
        <v/>
      </c>
      <c r="DH90" s="146" t="str">
        <f>IF(W90&lt;&gt;"AR","",INDEX('Device Refrigerant Leakage'!$G$2:$G$42,MATCH(X90,'Device Refrigerant Leakage'!$B$2:$B$42,0)))</f>
        <v/>
      </c>
      <c r="DI90" s="146" t="str">
        <f>IF(W90&lt;&gt;"AR","",J90*INDEX('Device Refrigerant Leakage'!$D$2:$D$42,MATCH(X90,'Device Refrigerant Leakage'!$B$2:$B$42,0))*DF90/2204.62*DE90)</f>
        <v/>
      </c>
      <c r="DJ90" s="146" t="str">
        <f>IF(W90&lt;&gt;"AR","",J90*(INDEX('Device Refrigerant Leakage'!$D$2:$D$42,MATCH(X90,'Device Refrigerant Leakage'!$B$2:$B$42,0))-(INDEX('Device Refrigerant Leakage'!$D$2:$D$42,MATCH(X90,'Device Refrigerant Leakage'!$B$2:$B$42,0)))*DH90*DF90)*DG90/2204.62*DE90)</f>
        <v/>
      </c>
      <c r="DK90" s="146" t="str">
        <f>IF(W90&lt;&gt;"AR","",DI90*(K90-AB90)+'Fuel Sub Calcs-Deemed'!DJ90*((K90-AB90)/INDEX('Device Refrigerant Leakage'!$C$2:$C$42,MATCH('Fuel Sub Calcs-Deemed'!X90,'Device Refrigerant Leakage'!$B$2:$B$42,0))))</f>
        <v/>
      </c>
      <c r="DM90" s="56">
        <v>76</v>
      </c>
      <c r="DN90" s="67" t="e">
        <f t="shared" si="143"/>
        <v>#N/A</v>
      </c>
      <c r="DO90" s="45" t="e">
        <f t="shared" si="144"/>
        <v>#N/A</v>
      </c>
      <c r="DP90" s="67" t="e">
        <f t="shared" si="145"/>
        <v>#N/A</v>
      </c>
      <c r="DQ90" s="45" t="e">
        <f t="shared" si="146"/>
        <v>#N/A</v>
      </c>
      <c r="DR90" s="69" t="e">
        <f t="shared" si="147"/>
        <v>#N/A</v>
      </c>
      <c r="DS90" s="34"/>
      <c r="DT90" s="67" t="e">
        <f>((BX90*CJ90)+IF($W90=MAT_AR,(BZ90*CL90),0))*(1+Reference!$E$50+Reference!$E$51)</f>
        <v>#N/A</v>
      </c>
      <c r="DU90" s="67">
        <f>((BY90*CK90)+IF($W90=MAT_AR,(CA90*CM90),0))*(1+Reference!$G$50+Reference!$G$51)</f>
        <v>0</v>
      </c>
      <c r="DV90" s="67" t="e">
        <f t="shared" si="148"/>
        <v>#VALUE!</v>
      </c>
      <c r="DX90" s="56">
        <v>76</v>
      </c>
      <c r="DY90" s="67">
        <f t="shared" si="149"/>
        <v>0</v>
      </c>
      <c r="DZ90" s="45" t="e">
        <f>VLOOKUP($R90,Dropdown!$C$3:$D$4,2,FALSE)</f>
        <v>#N/A</v>
      </c>
      <c r="EA90" s="68">
        <f t="shared" si="150"/>
        <v>0</v>
      </c>
      <c r="EB90" s="68" t="str">
        <f t="shared" si="151"/>
        <v>N/A</v>
      </c>
      <c r="EC90" s="68">
        <f t="shared" si="152"/>
        <v>0</v>
      </c>
      <c r="ED90" s="68" t="str">
        <f t="shared" si="153"/>
        <v>N/A</v>
      </c>
      <c r="EF90" s="56">
        <v>76</v>
      </c>
      <c r="EG90" s="46">
        <f t="shared" si="154"/>
        <v>0</v>
      </c>
      <c r="EH90" s="68" t="e">
        <f t="shared" si="155"/>
        <v>#N/A</v>
      </c>
      <c r="EI90" s="68" t="e">
        <f t="shared" si="156"/>
        <v>#N/A</v>
      </c>
      <c r="EJ90" s="68" t="e">
        <f t="shared" si="157"/>
        <v>#N/A</v>
      </c>
      <c r="EK90" s="68" t="e">
        <f t="shared" si="158"/>
        <v>#N/A</v>
      </c>
      <c r="EL90" s="46">
        <f t="shared" si="159"/>
        <v>0</v>
      </c>
      <c r="EM90" s="46">
        <f t="shared" si="160"/>
        <v>0</v>
      </c>
    </row>
    <row r="91" spans="1:143">
      <c r="A91" s="89"/>
      <c r="B91" s="89"/>
      <c r="C91" s="89"/>
      <c r="D91" s="89"/>
      <c r="E91" s="89"/>
      <c r="F91" s="89"/>
      <c r="G91" s="34"/>
      <c r="H91" s="56">
        <f t="shared" si="161"/>
        <v>77</v>
      </c>
      <c r="I91" s="165"/>
      <c r="J91" s="163"/>
      <c r="K91" s="163"/>
      <c r="L91" s="164"/>
      <c r="M91" s="155"/>
      <c r="N91" s="155"/>
      <c r="O91" s="144"/>
      <c r="P91" s="159" t="str">
        <f>IFERROR(IF(O91&lt;&gt;"User Specified",IF(O91&lt;&gt;"", INDEX('Refrigerant GWPs'!$G$2:$G$154,MATCH(O91,'Refrigerant GWPs'!$A$2:$A$154,0)),""),U91),0)</f>
        <v/>
      </c>
      <c r="Q91" s="155"/>
      <c r="R91" s="155"/>
      <c r="S91" s="144"/>
      <c r="T91" s="159" t="str">
        <f>IF(S91&lt;&gt;"User Specified",IF(AND(S91&lt;&gt;"User Specified",S91&lt;&gt;""), INDEX('Refrigerant GWPs'!$G$2:$G$154,MATCH(S91,'Refrigerant GWPs'!$A$2:$A$154,0)),""),V91)</f>
        <v/>
      </c>
      <c r="U91" s="144"/>
      <c r="V91" s="144"/>
      <c r="W91" s="155"/>
      <c r="X91" s="155"/>
      <c r="Y91" s="144"/>
      <c r="Z91" s="159" t="str">
        <f>IF(AND(Y91&lt;&gt;"User Specified",Y91&lt;&gt;""), INDEX('Refrigerant GWPs'!$G$2:$G$154,MATCH(Y91,'Refrigerant GWPs'!$A$2:$A$154,0)),"")</f>
        <v/>
      </c>
      <c r="AA91" s="155"/>
      <c r="AB91" s="156"/>
      <c r="AC91" s="66"/>
      <c r="AD91" s="66"/>
      <c r="AE91" s="66"/>
      <c r="AF91" s="66"/>
      <c r="AG91" s="66"/>
      <c r="AH91" s="66"/>
      <c r="AI91" s="34"/>
      <c r="AJ91" s="88">
        <f t="shared" si="119"/>
        <v>0</v>
      </c>
      <c r="AK91" s="88">
        <f t="shared" si="120"/>
        <v>0</v>
      </c>
      <c r="AL91" s="88">
        <v>0</v>
      </c>
      <c r="AM91" s="88">
        <v>0</v>
      </c>
      <c r="AN91" s="81" t="str">
        <f t="shared" si="162"/>
        <v/>
      </c>
      <c r="AO91" s="88">
        <f t="shared" si="121"/>
        <v>0</v>
      </c>
      <c r="AP91" s="88">
        <f t="shared" si="122"/>
        <v>0</v>
      </c>
      <c r="AQ91" s="81" t="str">
        <f t="shared" si="123"/>
        <v/>
      </c>
      <c r="AS91" s="41" t="b">
        <f t="shared" si="124"/>
        <v>1</v>
      </c>
      <c r="AT91" s="38">
        <f t="shared" si="125"/>
        <v>0</v>
      </c>
      <c r="AU91" s="60">
        <f t="shared" si="126"/>
        <v>0</v>
      </c>
      <c r="AV91" s="41">
        <f t="shared" si="127"/>
        <v>0</v>
      </c>
      <c r="AW91" s="41" t="b">
        <f t="shared" si="128"/>
        <v>0</v>
      </c>
      <c r="AX91" t="str">
        <f t="shared" si="129"/>
        <v>+00</v>
      </c>
      <c r="AY91" t="str">
        <f t="shared" si="130"/>
        <v>+00</v>
      </c>
      <c r="BA91" s="47" t="b">
        <f t="shared" si="83"/>
        <v>1</v>
      </c>
      <c r="BB91" s="42" t="b">
        <f t="shared" si="84"/>
        <v>1</v>
      </c>
      <c r="BC91" s="42" t="b">
        <f t="shared" si="85"/>
        <v>0</v>
      </c>
      <c r="BD91" s="42" t="b">
        <f t="shared" si="86"/>
        <v>0</v>
      </c>
      <c r="BE91" s="70">
        <f t="shared" si="87"/>
        <v>0</v>
      </c>
      <c r="BF91" s="70">
        <f t="shared" si="88"/>
        <v>0</v>
      </c>
      <c r="BG91" s="34"/>
      <c r="BI91" s="47" t="b">
        <f t="shared" si="89"/>
        <v>1</v>
      </c>
      <c r="BJ91" s="47" t="b">
        <f t="shared" si="90"/>
        <v>1</v>
      </c>
      <c r="BK91" s="42" t="b">
        <f t="shared" si="91"/>
        <v>0</v>
      </c>
      <c r="BL91" s="42" t="b">
        <f t="shared" si="92"/>
        <v>0</v>
      </c>
      <c r="BM91" s="42">
        <f t="shared" si="93"/>
        <v>0</v>
      </c>
      <c r="BN91" s="42">
        <f t="shared" si="94"/>
        <v>0</v>
      </c>
      <c r="BP91" t="e">
        <f t="shared" si="95"/>
        <v>#N/A</v>
      </c>
      <c r="BQ91" t="e">
        <f t="shared" si="96"/>
        <v>#N/A</v>
      </c>
      <c r="BR91" t="e">
        <f t="shared" si="97"/>
        <v>#N/A</v>
      </c>
      <c r="BT91" s="60">
        <f t="shared" si="131"/>
        <v>0</v>
      </c>
      <c r="BU91" s="60">
        <f t="shared" si="132"/>
        <v>0</v>
      </c>
      <c r="BV91" s="60">
        <f t="shared" si="133"/>
        <v>0</v>
      </c>
      <c r="BW91" s="60">
        <f t="shared" si="134"/>
        <v>0</v>
      </c>
      <c r="BX91" s="60">
        <f t="shared" si="98"/>
        <v>0</v>
      </c>
      <c r="BY91" s="60">
        <f t="shared" si="99"/>
        <v>0</v>
      </c>
      <c r="BZ91" s="60">
        <f t="shared" si="100"/>
        <v>0</v>
      </c>
      <c r="CA91" s="60">
        <f t="shared" si="101"/>
        <v>0</v>
      </c>
      <c r="CB91" s="60" t="e">
        <f t="shared" si="135"/>
        <v>#N/A</v>
      </c>
      <c r="CC91" s="60">
        <f t="shared" si="136"/>
        <v>100000</v>
      </c>
      <c r="CD91" s="60" t="e">
        <f t="shared" si="137"/>
        <v>#N/A</v>
      </c>
      <c r="CE91" s="60">
        <f t="shared" si="138"/>
        <v>100000</v>
      </c>
      <c r="CF91" s="83" t="e">
        <f t="shared" si="102"/>
        <v>#N/A</v>
      </c>
      <c r="CG91" s="83">
        <f t="shared" si="103"/>
        <v>0</v>
      </c>
      <c r="CH91" s="83" t="e">
        <f t="shared" si="104"/>
        <v>#N/A</v>
      </c>
      <c r="CI91" s="83">
        <f t="shared" si="105"/>
        <v>0</v>
      </c>
      <c r="CJ91" s="86" t="e">
        <f t="shared" si="139"/>
        <v>#N/A</v>
      </c>
      <c r="CK91" s="82">
        <f t="shared" si="140"/>
        <v>5.3070370403969858E-3</v>
      </c>
      <c r="CL91" s="82" t="e">
        <f t="shared" si="141"/>
        <v>#N/A</v>
      </c>
      <c r="CM91" s="82">
        <f t="shared" si="142"/>
        <v>5.3070370403969858E-3</v>
      </c>
      <c r="CO91" s="149" t="str">
        <f>IF($I91&lt;&gt;"",IF(O91="User Specified",U91,INDEX('Refrigerant GWPs'!$G$2:$G$156,MATCH(O91,'Refrigerant GWPs'!$A$2:$A$156,0))),"")</f>
        <v/>
      </c>
      <c r="CP91" s="138" t="str">
        <f>IF($I91&lt;&gt;"",INDEX('Device Refrigerant Leakage'!$E$2:$E$42,MATCH($M91,'Device Refrigerant Leakage'!$B$2:$B$42,0)),"")</f>
        <v/>
      </c>
      <c r="CQ91" s="138" t="str">
        <f>IF($I91&lt;&gt;"",INDEX('Device Refrigerant Leakage'!$F$2:$F$42,MATCH($M91,'Device Refrigerant Leakage'!$B$2:$B$42,0)),"")</f>
        <v/>
      </c>
      <c r="CR91" s="145" t="str">
        <f>IF($I91&lt;&gt;"",INDEX('Device Refrigerant Leakage'!$G$2:$G$42,MATCH($M91,'Device Refrigerant Leakage'!$B$2:$B$42,0)),"")</f>
        <v/>
      </c>
      <c r="CS91" s="145" t="str">
        <f>IF($I91&lt;&gt;"",INDEX('Device Refrigerant Leakage'!$D$2:$D$42,MATCH($M91,'Device Refrigerant Leakage'!$B$2:$B$42,0))*CP91/2204.62*CO91,"")</f>
        <v/>
      </c>
      <c r="CT91" s="145" t="str">
        <f>IF($I91&lt;&gt;"",J91*(INDEX('Device Refrigerant Leakage'!$D$2:$D$42,MATCH($M91,'Device Refrigerant Leakage'!$B$2:$B$42,0))-(INDEX('Device Refrigerant Leakage'!$D$2:$D$42,MATCH($M91,'Device Refrigerant Leakage'!$B$2:$B$42,0)))*CR91*CP91)*CQ91/2204.62*CO91,"")</f>
        <v/>
      </c>
      <c r="CU91" s="135" t="str">
        <f>IF($I91&lt;&gt;"",J91*IF(W91&lt;&gt;"AR",(CS91*K91)+CT91,(CS91*AB91)+CT91*(AB91/INDEX('Device Refrigerant Leakage'!$C$2:$C$42,MATCH($M91,'Device Refrigerant Leakage'!$B$2:$B$42,0)))),"")</f>
        <v/>
      </c>
      <c r="CW91" s="135" t="str">
        <f>IF($I91&lt;&gt;"",IF(S91="User Specified",V91,INDEX('Refrigerant GWPs'!$G$2:$G$156,MATCH(S91,'Refrigerant GWPs'!$A$2:$A$157,0))),"")</f>
        <v/>
      </c>
      <c r="CX91" s="138" t="str">
        <f>IF($I91&lt;&gt;"",INDEX('Device Refrigerant Leakage'!$E$2:$E$42,MATCH($Q91,'Device Refrigerant Leakage'!$B$2:$B$42,0)),"")</f>
        <v/>
      </c>
      <c r="CY91" s="138" t="str">
        <f>IF($I91&lt;&gt;"",INDEX('Device Refrigerant Leakage'!$F$2:$F$42,MATCH($Q91,'Device Refrigerant Leakage'!$B$2:$B$42,0)),"")</f>
        <v/>
      </c>
      <c r="CZ91" s="145" t="str">
        <f>IF($I91&lt;&gt;"",INDEX('Device Refrigerant Leakage'!$G$2:$G$42,MATCH($Q91,'Device Refrigerant Leakage'!$B$2:$B$42,0)),"")</f>
        <v/>
      </c>
      <c r="DA91" s="145" t="str">
        <f>IF($I91&lt;&gt;"",J91*INDEX('Device Refrigerant Leakage'!$D$2:$D$42,MATCH($Q91,'Device Refrigerant Leakage'!$B$2:$B$42,0))*CX91/2204.62*CW91,"")</f>
        <v/>
      </c>
      <c r="DB91" s="145" t="str">
        <f>IF($I91&lt;&gt;"",J91*(INDEX('Device Refrigerant Leakage'!$D$2:$D$42,MATCH($Q91,'Device Refrigerant Leakage'!$B$2:$B$42,0))-(INDEX('Device Refrigerant Leakage'!$D$2:$D$42,MATCH($Q91,'Device Refrigerant Leakage'!$B$2:$B$42,0)))*CZ91*CX91)*CY91/2204.62*CW91,"")</f>
        <v/>
      </c>
      <c r="DC91" s="135" t="str">
        <f t="shared" si="163"/>
        <v/>
      </c>
      <c r="DE91" s="146" t="str">
        <f>IF(W91&lt;&gt;"AR","",IF(Y91="User Specified", AA91, INDEX('Refrigerant GWPs'!$G$2:$G$154,MATCH(Y91,'Refrigerant GWPs'!$A$2:$A$154,0))))</f>
        <v/>
      </c>
      <c r="DF91" s="146" t="str">
        <f>IF(W91&lt;&gt;"AR","",INDEX('Device Refrigerant Leakage'!$E$2:$E$42,MATCH(X91,'Device Refrigerant Leakage'!$B$2:$B$42,0)))</f>
        <v/>
      </c>
      <c r="DG91" s="146" t="str">
        <f>IF(W91&lt;&gt;"AR","",INDEX('Device Refrigerant Leakage'!$F$2:$F$42,MATCH(X91,'Device Refrigerant Leakage'!$B$2:$B$42,0)))</f>
        <v/>
      </c>
      <c r="DH91" s="146" t="str">
        <f>IF(W91&lt;&gt;"AR","",INDEX('Device Refrigerant Leakage'!$G$2:$G$42,MATCH(X91,'Device Refrigerant Leakage'!$B$2:$B$42,0)))</f>
        <v/>
      </c>
      <c r="DI91" s="146" t="str">
        <f>IF(W91&lt;&gt;"AR","",J91*INDEX('Device Refrigerant Leakage'!$D$2:$D$42,MATCH(X91,'Device Refrigerant Leakage'!$B$2:$B$42,0))*DF91/2204.62*DE91)</f>
        <v/>
      </c>
      <c r="DJ91" s="146" t="str">
        <f>IF(W91&lt;&gt;"AR","",J91*(INDEX('Device Refrigerant Leakage'!$D$2:$D$42,MATCH(X91,'Device Refrigerant Leakage'!$B$2:$B$42,0))-(INDEX('Device Refrigerant Leakage'!$D$2:$D$42,MATCH(X91,'Device Refrigerant Leakage'!$B$2:$B$42,0)))*DH91*DF91)*DG91/2204.62*DE91)</f>
        <v/>
      </c>
      <c r="DK91" s="146" t="str">
        <f>IF(W91&lt;&gt;"AR","",DI91*(K91-AB91)+'Fuel Sub Calcs-Deemed'!DJ91*((K91-AB91)/INDEX('Device Refrigerant Leakage'!$C$2:$C$42,MATCH('Fuel Sub Calcs-Deemed'!X91,'Device Refrigerant Leakage'!$B$2:$B$42,0))))</f>
        <v/>
      </c>
      <c r="DM91" s="56">
        <v>77</v>
      </c>
      <c r="DN91" s="67" t="e">
        <f t="shared" si="143"/>
        <v>#N/A</v>
      </c>
      <c r="DO91" s="45" t="e">
        <f t="shared" si="144"/>
        <v>#N/A</v>
      </c>
      <c r="DP91" s="67" t="e">
        <f t="shared" si="145"/>
        <v>#N/A</v>
      </c>
      <c r="DQ91" s="45" t="e">
        <f t="shared" si="146"/>
        <v>#N/A</v>
      </c>
      <c r="DR91" s="69" t="e">
        <f t="shared" si="147"/>
        <v>#N/A</v>
      </c>
      <c r="DS91" s="34"/>
      <c r="DT91" s="67" t="e">
        <f>((BX91*CJ91)+IF($W91=MAT_AR,(BZ91*CL91),0))*(1+Reference!$E$50+Reference!$E$51)</f>
        <v>#N/A</v>
      </c>
      <c r="DU91" s="67">
        <f>((BY91*CK91)+IF($W91=MAT_AR,(CA91*CM91),0))*(1+Reference!$G$50+Reference!$G$51)</f>
        <v>0</v>
      </c>
      <c r="DV91" s="67" t="e">
        <f t="shared" si="148"/>
        <v>#VALUE!</v>
      </c>
      <c r="DX91" s="56">
        <v>77</v>
      </c>
      <c r="DY91" s="67">
        <f t="shared" si="149"/>
        <v>0</v>
      </c>
      <c r="DZ91" s="45" t="e">
        <f>VLOOKUP($R91,Dropdown!$C$3:$D$4,2,FALSE)</f>
        <v>#N/A</v>
      </c>
      <c r="EA91" s="68">
        <f t="shared" si="150"/>
        <v>0</v>
      </c>
      <c r="EB91" s="68" t="str">
        <f t="shared" si="151"/>
        <v>N/A</v>
      </c>
      <c r="EC91" s="68">
        <f t="shared" si="152"/>
        <v>0</v>
      </c>
      <c r="ED91" s="68" t="str">
        <f t="shared" si="153"/>
        <v>N/A</v>
      </c>
      <c r="EF91" s="56">
        <v>77</v>
      </c>
      <c r="EG91" s="46">
        <f t="shared" si="154"/>
        <v>0</v>
      </c>
      <c r="EH91" s="68" t="e">
        <f t="shared" si="155"/>
        <v>#N/A</v>
      </c>
      <c r="EI91" s="68" t="e">
        <f t="shared" si="156"/>
        <v>#N/A</v>
      </c>
      <c r="EJ91" s="68" t="e">
        <f t="shared" si="157"/>
        <v>#N/A</v>
      </c>
      <c r="EK91" s="68" t="e">
        <f t="shared" si="158"/>
        <v>#N/A</v>
      </c>
      <c r="EL91" s="46">
        <f t="shared" si="159"/>
        <v>0</v>
      </c>
      <c r="EM91" s="46">
        <f t="shared" si="160"/>
        <v>0</v>
      </c>
    </row>
    <row r="92" spans="1:143">
      <c r="A92" s="89"/>
      <c r="B92" s="89"/>
      <c r="C92" s="89"/>
      <c r="D92" s="89"/>
      <c r="E92" s="89"/>
      <c r="F92" s="89"/>
      <c r="G92" s="34"/>
      <c r="H92" s="56">
        <f t="shared" si="161"/>
        <v>78</v>
      </c>
      <c r="I92" s="165"/>
      <c r="J92" s="163"/>
      <c r="K92" s="163"/>
      <c r="L92" s="164"/>
      <c r="M92" s="155"/>
      <c r="N92" s="155"/>
      <c r="O92" s="144"/>
      <c r="P92" s="159" t="str">
        <f>IFERROR(IF(O92&lt;&gt;"User Specified",IF(O92&lt;&gt;"", INDEX('Refrigerant GWPs'!$G$2:$G$154,MATCH(O92,'Refrigerant GWPs'!$A$2:$A$154,0)),""),U92),0)</f>
        <v/>
      </c>
      <c r="Q92" s="155"/>
      <c r="R92" s="155"/>
      <c r="S92" s="144"/>
      <c r="T92" s="159" t="str">
        <f>IF(S92&lt;&gt;"User Specified",IF(AND(S92&lt;&gt;"User Specified",S92&lt;&gt;""), INDEX('Refrigerant GWPs'!$G$2:$G$154,MATCH(S92,'Refrigerant GWPs'!$A$2:$A$154,0)),""),V92)</f>
        <v/>
      </c>
      <c r="U92" s="144"/>
      <c r="V92" s="144"/>
      <c r="W92" s="155"/>
      <c r="X92" s="155"/>
      <c r="Y92" s="144"/>
      <c r="Z92" s="159" t="str">
        <f>IF(AND(Y92&lt;&gt;"User Specified",Y92&lt;&gt;""), INDEX('Refrigerant GWPs'!$G$2:$G$154,MATCH(Y92,'Refrigerant GWPs'!$A$2:$A$154,0)),"")</f>
        <v/>
      </c>
      <c r="AA92" s="155"/>
      <c r="AB92" s="156"/>
      <c r="AC92" s="66"/>
      <c r="AD92" s="66"/>
      <c r="AE92" s="66"/>
      <c r="AF92" s="66"/>
      <c r="AG92" s="66"/>
      <c r="AH92" s="66"/>
      <c r="AI92" s="34"/>
      <c r="AJ92" s="88">
        <f t="shared" si="119"/>
        <v>0</v>
      </c>
      <c r="AK92" s="88">
        <f t="shared" si="120"/>
        <v>0</v>
      </c>
      <c r="AL92" s="88">
        <v>0</v>
      </c>
      <c r="AM92" s="88">
        <v>0</v>
      </c>
      <c r="AN92" s="81" t="str">
        <f t="shared" si="162"/>
        <v/>
      </c>
      <c r="AO92" s="88">
        <f t="shared" si="121"/>
        <v>0</v>
      </c>
      <c r="AP92" s="88">
        <f t="shared" si="122"/>
        <v>0</v>
      </c>
      <c r="AQ92" s="81" t="str">
        <f t="shared" si="123"/>
        <v/>
      </c>
      <c r="AS92" s="41" t="b">
        <f t="shared" si="124"/>
        <v>1</v>
      </c>
      <c r="AT92" s="38">
        <f t="shared" si="125"/>
        <v>0</v>
      </c>
      <c r="AU92" s="60">
        <f t="shared" si="126"/>
        <v>0</v>
      </c>
      <c r="AV92" s="41">
        <f t="shared" si="127"/>
        <v>0</v>
      </c>
      <c r="AW92" s="41" t="b">
        <f t="shared" si="128"/>
        <v>0</v>
      </c>
      <c r="AX92" t="str">
        <f t="shared" si="129"/>
        <v>+00</v>
      </c>
      <c r="AY92" t="str">
        <f t="shared" si="130"/>
        <v>+00</v>
      </c>
      <c r="BA92" s="47" t="b">
        <f t="shared" si="83"/>
        <v>1</v>
      </c>
      <c r="BB92" s="42" t="b">
        <f t="shared" si="84"/>
        <v>1</v>
      </c>
      <c r="BC92" s="42" t="b">
        <f t="shared" si="85"/>
        <v>0</v>
      </c>
      <c r="BD92" s="42" t="b">
        <f t="shared" si="86"/>
        <v>0</v>
      </c>
      <c r="BE92" s="70">
        <f t="shared" si="87"/>
        <v>0</v>
      </c>
      <c r="BF92" s="70">
        <f t="shared" si="88"/>
        <v>0</v>
      </c>
      <c r="BG92" s="34"/>
      <c r="BI92" s="47" t="b">
        <f t="shared" si="89"/>
        <v>1</v>
      </c>
      <c r="BJ92" s="47" t="b">
        <f t="shared" si="90"/>
        <v>1</v>
      </c>
      <c r="BK92" s="42" t="b">
        <f t="shared" si="91"/>
        <v>0</v>
      </c>
      <c r="BL92" s="42" t="b">
        <f t="shared" si="92"/>
        <v>0</v>
      </c>
      <c r="BM92" s="42">
        <f t="shared" si="93"/>
        <v>0</v>
      </c>
      <c r="BN92" s="42">
        <f t="shared" si="94"/>
        <v>0</v>
      </c>
      <c r="BP92" t="e">
        <f t="shared" si="95"/>
        <v>#N/A</v>
      </c>
      <c r="BQ92" t="e">
        <f t="shared" si="96"/>
        <v>#N/A</v>
      </c>
      <c r="BR92" t="e">
        <f t="shared" si="97"/>
        <v>#N/A</v>
      </c>
      <c r="BT92" s="60">
        <f t="shared" si="131"/>
        <v>0</v>
      </c>
      <c r="BU92" s="60">
        <f t="shared" si="132"/>
        <v>0</v>
      </c>
      <c r="BV92" s="60">
        <f t="shared" si="133"/>
        <v>0</v>
      </c>
      <c r="BW92" s="60">
        <f t="shared" si="134"/>
        <v>0</v>
      </c>
      <c r="BX92" s="60">
        <f t="shared" si="98"/>
        <v>0</v>
      </c>
      <c r="BY92" s="60">
        <f t="shared" si="99"/>
        <v>0</v>
      </c>
      <c r="BZ92" s="60">
        <f t="shared" si="100"/>
        <v>0</v>
      </c>
      <c r="CA92" s="60">
        <f t="shared" si="101"/>
        <v>0</v>
      </c>
      <c r="CB92" s="60" t="e">
        <f t="shared" si="135"/>
        <v>#N/A</v>
      </c>
      <c r="CC92" s="60">
        <f t="shared" si="136"/>
        <v>100000</v>
      </c>
      <c r="CD92" s="60" t="e">
        <f t="shared" si="137"/>
        <v>#N/A</v>
      </c>
      <c r="CE92" s="60">
        <f t="shared" si="138"/>
        <v>100000</v>
      </c>
      <c r="CF92" s="83" t="e">
        <f t="shared" si="102"/>
        <v>#N/A</v>
      </c>
      <c r="CG92" s="83">
        <f t="shared" si="103"/>
        <v>0</v>
      </c>
      <c r="CH92" s="83" t="e">
        <f t="shared" si="104"/>
        <v>#N/A</v>
      </c>
      <c r="CI92" s="83">
        <f t="shared" si="105"/>
        <v>0</v>
      </c>
      <c r="CJ92" s="86" t="e">
        <f t="shared" si="139"/>
        <v>#N/A</v>
      </c>
      <c r="CK92" s="82">
        <f t="shared" si="140"/>
        <v>5.3070370403969858E-3</v>
      </c>
      <c r="CL92" s="82" t="e">
        <f t="shared" si="141"/>
        <v>#N/A</v>
      </c>
      <c r="CM92" s="82">
        <f t="shared" si="142"/>
        <v>5.3070370403969858E-3</v>
      </c>
      <c r="CO92" s="149" t="str">
        <f>IF($I92&lt;&gt;"",IF(O92="User Specified",U92,INDEX('Refrigerant GWPs'!$G$2:$G$156,MATCH(O92,'Refrigerant GWPs'!$A$2:$A$156,0))),"")</f>
        <v/>
      </c>
      <c r="CP92" s="138" t="str">
        <f>IF($I92&lt;&gt;"",INDEX('Device Refrigerant Leakage'!$E$2:$E$42,MATCH($M92,'Device Refrigerant Leakage'!$B$2:$B$42,0)),"")</f>
        <v/>
      </c>
      <c r="CQ92" s="138" t="str">
        <f>IF($I92&lt;&gt;"",INDEX('Device Refrigerant Leakage'!$F$2:$F$42,MATCH($M92,'Device Refrigerant Leakage'!$B$2:$B$42,0)),"")</f>
        <v/>
      </c>
      <c r="CR92" s="145" t="str">
        <f>IF($I92&lt;&gt;"",INDEX('Device Refrigerant Leakage'!$G$2:$G$42,MATCH($M92,'Device Refrigerant Leakage'!$B$2:$B$42,0)),"")</f>
        <v/>
      </c>
      <c r="CS92" s="145" t="str">
        <f>IF($I92&lt;&gt;"",INDEX('Device Refrigerant Leakage'!$D$2:$D$42,MATCH($M92,'Device Refrigerant Leakage'!$B$2:$B$42,0))*CP92/2204.62*CO92,"")</f>
        <v/>
      </c>
      <c r="CT92" s="145" t="str">
        <f>IF($I92&lt;&gt;"",J92*(INDEX('Device Refrigerant Leakage'!$D$2:$D$42,MATCH($M92,'Device Refrigerant Leakage'!$B$2:$B$42,0))-(INDEX('Device Refrigerant Leakage'!$D$2:$D$42,MATCH($M92,'Device Refrigerant Leakage'!$B$2:$B$42,0)))*CR92*CP92)*CQ92/2204.62*CO92,"")</f>
        <v/>
      </c>
      <c r="CU92" s="135" t="str">
        <f>IF($I92&lt;&gt;"",J92*IF(W92&lt;&gt;"AR",(CS92*K92)+CT92,(CS92*AB92)+CT92*(AB92/INDEX('Device Refrigerant Leakage'!$C$2:$C$42,MATCH($M92,'Device Refrigerant Leakage'!$B$2:$B$42,0)))),"")</f>
        <v/>
      </c>
      <c r="CW92" s="135" t="str">
        <f>IF($I92&lt;&gt;"",IF(S92="User Specified",V92,INDEX('Refrigerant GWPs'!$G$2:$G$156,MATCH(S92,'Refrigerant GWPs'!$A$2:$A$157,0))),"")</f>
        <v/>
      </c>
      <c r="CX92" s="138" t="str">
        <f>IF($I92&lt;&gt;"",INDEX('Device Refrigerant Leakage'!$E$2:$E$42,MATCH($Q92,'Device Refrigerant Leakage'!$B$2:$B$42,0)),"")</f>
        <v/>
      </c>
      <c r="CY92" s="138" t="str">
        <f>IF($I92&lt;&gt;"",INDEX('Device Refrigerant Leakage'!$F$2:$F$42,MATCH($Q92,'Device Refrigerant Leakage'!$B$2:$B$42,0)),"")</f>
        <v/>
      </c>
      <c r="CZ92" s="145" t="str">
        <f>IF($I92&lt;&gt;"",INDEX('Device Refrigerant Leakage'!$G$2:$G$42,MATCH($Q92,'Device Refrigerant Leakage'!$B$2:$B$42,0)),"")</f>
        <v/>
      </c>
      <c r="DA92" s="145" t="str">
        <f>IF($I92&lt;&gt;"",J92*INDEX('Device Refrigerant Leakage'!$D$2:$D$42,MATCH($Q92,'Device Refrigerant Leakage'!$B$2:$B$42,0))*CX92/2204.62*CW92,"")</f>
        <v/>
      </c>
      <c r="DB92" s="145" t="str">
        <f>IF($I92&lt;&gt;"",J92*(INDEX('Device Refrigerant Leakage'!$D$2:$D$42,MATCH($Q92,'Device Refrigerant Leakage'!$B$2:$B$42,0))-(INDEX('Device Refrigerant Leakage'!$D$2:$D$42,MATCH($Q92,'Device Refrigerant Leakage'!$B$2:$B$42,0)))*CZ92*CX92)*CY92/2204.62*CW92,"")</f>
        <v/>
      </c>
      <c r="DC92" s="135" t="str">
        <f t="shared" si="163"/>
        <v/>
      </c>
      <c r="DE92" s="146" t="str">
        <f>IF(W92&lt;&gt;"AR","",IF(Y92="User Specified", AA92, INDEX('Refrigerant GWPs'!$G$2:$G$154,MATCH(Y92,'Refrigerant GWPs'!$A$2:$A$154,0))))</f>
        <v/>
      </c>
      <c r="DF92" s="146" t="str">
        <f>IF(W92&lt;&gt;"AR","",INDEX('Device Refrigerant Leakage'!$E$2:$E$42,MATCH(X92,'Device Refrigerant Leakage'!$B$2:$B$42,0)))</f>
        <v/>
      </c>
      <c r="DG92" s="146" t="str">
        <f>IF(W92&lt;&gt;"AR","",INDEX('Device Refrigerant Leakage'!$F$2:$F$42,MATCH(X92,'Device Refrigerant Leakage'!$B$2:$B$42,0)))</f>
        <v/>
      </c>
      <c r="DH92" s="146" t="str">
        <f>IF(W92&lt;&gt;"AR","",INDEX('Device Refrigerant Leakage'!$G$2:$G$42,MATCH(X92,'Device Refrigerant Leakage'!$B$2:$B$42,0)))</f>
        <v/>
      </c>
      <c r="DI92" s="146" t="str">
        <f>IF(W92&lt;&gt;"AR","",J92*INDEX('Device Refrigerant Leakage'!$D$2:$D$42,MATCH(X92,'Device Refrigerant Leakage'!$B$2:$B$42,0))*DF92/2204.62*DE92)</f>
        <v/>
      </c>
      <c r="DJ92" s="146" t="str">
        <f>IF(W92&lt;&gt;"AR","",J92*(INDEX('Device Refrigerant Leakage'!$D$2:$D$42,MATCH(X92,'Device Refrigerant Leakage'!$B$2:$B$42,0))-(INDEX('Device Refrigerant Leakage'!$D$2:$D$42,MATCH(X92,'Device Refrigerant Leakage'!$B$2:$B$42,0)))*DH92*DF92)*DG92/2204.62*DE92)</f>
        <v/>
      </c>
      <c r="DK92" s="146" t="str">
        <f>IF(W92&lt;&gt;"AR","",DI92*(K92-AB92)+'Fuel Sub Calcs-Deemed'!DJ92*((K92-AB92)/INDEX('Device Refrigerant Leakage'!$C$2:$C$42,MATCH('Fuel Sub Calcs-Deemed'!X92,'Device Refrigerant Leakage'!$B$2:$B$42,0))))</f>
        <v/>
      </c>
      <c r="DM92" s="56">
        <v>78</v>
      </c>
      <c r="DN92" s="67" t="e">
        <f t="shared" si="143"/>
        <v>#N/A</v>
      </c>
      <c r="DO92" s="45" t="e">
        <f t="shared" si="144"/>
        <v>#N/A</v>
      </c>
      <c r="DP92" s="67" t="e">
        <f t="shared" si="145"/>
        <v>#N/A</v>
      </c>
      <c r="DQ92" s="45" t="e">
        <f t="shared" si="146"/>
        <v>#N/A</v>
      </c>
      <c r="DR92" s="69" t="e">
        <f t="shared" si="147"/>
        <v>#N/A</v>
      </c>
      <c r="DS92" s="34"/>
      <c r="DT92" s="67" t="e">
        <f>((BX92*CJ92)+IF($W92=MAT_AR,(BZ92*CL92),0))*(1+Reference!$E$50+Reference!$E$51)</f>
        <v>#N/A</v>
      </c>
      <c r="DU92" s="67">
        <f>((BY92*CK92)+IF($W92=MAT_AR,(CA92*CM92),0))*(1+Reference!$G$50+Reference!$G$51)</f>
        <v>0</v>
      </c>
      <c r="DV92" s="67" t="e">
        <f t="shared" si="148"/>
        <v>#VALUE!</v>
      </c>
      <c r="DX92" s="56">
        <v>78</v>
      </c>
      <c r="DY92" s="67">
        <f t="shared" si="149"/>
        <v>0</v>
      </c>
      <c r="DZ92" s="45" t="e">
        <f>VLOOKUP($R92,Dropdown!$C$3:$D$4,2,FALSE)</f>
        <v>#N/A</v>
      </c>
      <c r="EA92" s="68">
        <f t="shared" si="150"/>
        <v>0</v>
      </c>
      <c r="EB92" s="68" t="str">
        <f t="shared" si="151"/>
        <v>N/A</v>
      </c>
      <c r="EC92" s="68">
        <f t="shared" si="152"/>
        <v>0</v>
      </c>
      <c r="ED92" s="68" t="str">
        <f t="shared" si="153"/>
        <v>N/A</v>
      </c>
      <c r="EF92" s="56">
        <v>78</v>
      </c>
      <c r="EG92" s="46">
        <f t="shared" si="154"/>
        <v>0</v>
      </c>
      <c r="EH92" s="68" t="e">
        <f t="shared" si="155"/>
        <v>#N/A</v>
      </c>
      <c r="EI92" s="68" t="e">
        <f t="shared" si="156"/>
        <v>#N/A</v>
      </c>
      <c r="EJ92" s="68" t="e">
        <f t="shared" si="157"/>
        <v>#N/A</v>
      </c>
      <c r="EK92" s="68" t="e">
        <f t="shared" si="158"/>
        <v>#N/A</v>
      </c>
      <c r="EL92" s="46">
        <f t="shared" si="159"/>
        <v>0</v>
      </c>
      <c r="EM92" s="46">
        <f t="shared" si="160"/>
        <v>0</v>
      </c>
    </row>
    <row r="93" spans="1:143">
      <c r="A93" s="89"/>
      <c r="B93" s="89"/>
      <c r="C93" s="89"/>
      <c r="D93" s="89"/>
      <c r="E93" s="89"/>
      <c r="F93" s="89"/>
      <c r="G93" s="34"/>
      <c r="H93" s="56">
        <f t="shared" si="161"/>
        <v>79</v>
      </c>
      <c r="I93" s="165"/>
      <c r="J93" s="163"/>
      <c r="K93" s="163"/>
      <c r="L93" s="164"/>
      <c r="M93" s="155"/>
      <c r="N93" s="155"/>
      <c r="O93" s="144"/>
      <c r="P93" s="159" t="str">
        <f>IFERROR(IF(O93&lt;&gt;"User Specified",IF(O93&lt;&gt;"", INDEX('Refrigerant GWPs'!$G$2:$G$154,MATCH(O93,'Refrigerant GWPs'!$A$2:$A$154,0)),""),U93),0)</f>
        <v/>
      </c>
      <c r="Q93" s="155"/>
      <c r="R93" s="155"/>
      <c r="S93" s="144"/>
      <c r="T93" s="159" t="str">
        <f>IF(S93&lt;&gt;"User Specified",IF(AND(S93&lt;&gt;"User Specified",S93&lt;&gt;""), INDEX('Refrigerant GWPs'!$G$2:$G$154,MATCH(S93,'Refrigerant GWPs'!$A$2:$A$154,0)),""),V93)</f>
        <v/>
      </c>
      <c r="U93" s="144"/>
      <c r="V93" s="144"/>
      <c r="W93" s="155"/>
      <c r="X93" s="155"/>
      <c r="Y93" s="144"/>
      <c r="Z93" s="159" t="str">
        <f>IF(AND(Y93&lt;&gt;"User Specified",Y93&lt;&gt;""), INDEX('Refrigerant GWPs'!$G$2:$G$154,MATCH(Y93,'Refrigerant GWPs'!$A$2:$A$154,0)),"")</f>
        <v/>
      </c>
      <c r="AA93" s="155"/>
      <c r="AB93" s="156"/>
      <c r="AC93" s="66"/>
      <c r="AD93" s="66"/>
      <c r="AE93" s="66"/>
      <c r="AF93" s="66"/>
      <c r="AG93" s="66"/>
      <c r="AH93" s="66"/>
      <c r="AI93" s="34"/>
      <c r="AJ93" s="88">
        <f t="shared" si="119"/>
        <v>0</v>
      </c>
      <c r="AK93" s="88">
        <f t="shared" si="120"/>
        <v>0</v>
      </c>
      <c r="AL93" s="88">
        <v>0</v>
      </c>
      <c r="AM93" s="88">
        <v>0</v>
      </c>
      <c r="AN93" s="81" t="str">
        <f t="shared" si="162"/>
        <v/>
      </c>
      <c r="AO93" s="88">
        <f t="shared" si="121"/>
        <v>0</v>
      </c>
      <c r="AP93" s="88">
        <f t="shared" si="122"/>
        <v>0</v>
      </c>
      <c r="AQ93" s="81" t="str">
        <f t="shared" si="123"/>
        <v/>
      </c>
      <c r="AS93" s="41" t="b">
        <f t="shared" si="124"/>
        <v>1</v>
      </c>
      <c r="AT93" s="38">
        <f t="shared" si="125"/>
        <v>0</v>
      </c>
      <c r="AU93" s="60">
        <f t="shared" si="126"/>
        <v>0</v>
      </c>
      <c r="AV93" s="41">
        <f t="shared" si="127"/>
        <v>0</v>
      </c>
      <c r="AW93" s="41" t="b">
        <f t="shared" si="128"/>
        <v>0</v>
      </c>
      <c r="AX93" t="str">
        <f t="shared" si="129"/>
        <v>+00</v>
      </c>
      <c r="AY93" t="str">
        <f t="shared" si="130"/>
        <v>+00</v>
      </c>
      <c r="BA93" s="47" t="b">
        <f t="shared" si="83"/>
        <v>1</v>
      </c>
      <c r="BB93" s="42" t="b">
        <f t="shared" si="84"/>
        <v>1</v>
      </c>
      <c r="BC93" s="42" t="b">
        <f t="shared" si="85"/>
        <v>0</v>
      </c>
      <c r="BD93" s="42" t="b">
        <f t="shared" si="86"/>
        <v>0</v>
      </c>
      <c r="BE93" s="70">
        <f t="shared" si="87"/>
        <v>0</v>
      </c>
      <c r="BF93" s="70">
        <f t="shared" si="88"/>
        <v>0</v>
      </c>
      <c r="BG93" s="34"/>
      <c r="BI93" s="47" t="b">
        <f t="shared" si="89"/>
        <v>1</v>
      </c>
      <c r="BJ93" s="47" t="b">
        <f t="shared" si="90"/>
        <v>1</v>
      </c>
      <c r="BK93" s="42" t="b">
        <f t="shared" si="91"/>
        <v>0</v>
      </c>
      <c r="BL93" s="42" t="b">
        <f t="shared" si="92"/>
        <v>0</v>
      </c>
      <c r="BM93" s="42">
        <f t="shared" si="93"/>
        <v>0</v>
      </c>
      <c r="BN93" s="42">
        <f t="shared" si="94"/>
        <v>0</v>
      </c>
      <c r="BP93" t="e">
        <f t="shared" si="95"/>
        <v>#N/A</v>
      </c>
      <c r="BQ93" t="e">
        <f t="shared" si="96"/>
        <v>#N/A</v>
      </c>
      <c r="BR93" t="e">
        <f t="shared" si="97"/>
        <v>#N/A</v>
      </c>
      <c r="BT93" s="60">
        <f t="shared" si="131"/>
        <v>0</v>
      </c>
      <c r="BU93" s="60">
        <f t="shared" si="132"/>
        <v>0</v>
      </c>
      <c r="BV93" s="60">
        <f t="shared" si="133"/>
        <v>0</v>
      </c>
      <c r="BW93" s="60">
        <f t="shared" si="134"/>
        <v>0</v>
      </c>
      <c r="BX93" s="60">
        <f t="shared" si="98"/>
        <v>0</v>
      </c>
      <c r="BY93" s="60">
        <f t="shared" si="99"/>
        <v>0</v>
      </c>
      <c r="BZ93" s="60">
        <f t="shared" si="100"/>
        <v>0</v>
      </c>
      <c r="CA93" s="60">
        <f t="shared" si="101"/>
        <v>0</v>
      </c>
      <c r="CB93" s="60" t="e">
        <f t="shared" si="135"/>
        <v>#N/A</v>
      </c>
      <c r="CC93" s="60">
        <f t="shared" si="136"/>
        <v>100000</v>
      </c>
      <c r="CD93" s="60" t="e">
        <f t="shared" si="137"/>
        <v>#N/A</v>
      </c>
      <c r="CE93" s="60">
        <f t="shared" si="138"/>
        <v>100000</v>
      </c>
      <c r="CF93" s="83" t="e">
        <f t="shared" si="102"/>
        <v>#N/A</v>
      </c>
      <c r="CG93" s="83">
        <f t="shared" si="103"/>
        <v>0</v>
      </c>
      <c r="CH93" s="83" t="e">
        <f t="shared" si="104"/>
        <v>#N/A</v>
      </c>
      <c r="CI93" s="83">
        <f t="shared" si="105"/>
        <v>0</v>
      </c>
      <c r="CJ93" s="86" t="e">
        <f t="shared" si="139"/>
        <v>#N/A</v>
      </c>
      <c r="CK93" s="82">
        <f t="shared" si="140"/>
        <v>5.3070370403969858E-3</v>
      </c>
      <c r="CL93" s="82" t="e">
        <f t="shared" si="141"/>
        <v>#N/A</v>
      </c>
      <c r="CM93" s="82">
        <f t="shared" si="142"/>
        <v>5.3070370403969858E-3</v>
      </c>
      <c r="CO93" s="149" t="str">
        <f>IF($I93&lt;&gt;"",IF(O93="User Specified",U93,INDEX('Refrigerant GWPs'!$G$2:$G$156,MATCH(O93,'Refrigerant GWPs'!$A$2:$A$156,0))),"")</f>
        <v/>
      </c>
      <c r="CP93" s="138" t="str">
        <f>IF($I93&lt;&gt;"",INDEX('Device Refrigerant Leakage'!$E$2:$E$42,MATCH($M93,'Device Refrigerant Leakage'!$B$2:$B$42,0)),"")</f>
        <v/>
      </c>
      <c r="CQ93" s="138" t="str">
        <f>IF($I93&lt;&gt;"",INDEX('Device Refrigerant Leakage'!$F$2:$F$42,MATCH($M93,'Device Refrigerant Leakage'!$B$2:$B$42,0)),"")</f>
        <v/>
      </c>
      <c r="CR93" s="145" t="str">
        <f>IF($I93&lt;&gt;"",INDEX('Device Refrigerant Leakage'!$G$2:$G$42,MATCH($M93,'Device Refrigerant Leakage'!$B$2:$B$42,0)),"")</f>
        <v/>
      </c>
      <c r="CS93" s="145" t="str">
        <f>IF($I93&lt;&gt;"",INDEX('Device Refrigerant Leakage'!$D$2:$D$42,MATCH($M93,'Device Refrigerant Leakage'!$B$2:$B$42,0))*CP93/2204.62*CO93,"")</f>
        <v/>
      </c>
      <c r="CT93" s="145" t="str">
        <f>IF($I93&lt;&gt;"",J93*(INDEX('Device Refrigerant Leakage'!$D$2:$D$42,MATCH($M93,'Device Refrigerant Leakage'!$B$2:$B$42,0))-(INDEX('Device Refrigerant Leakage'!$D$2:$D$42,MATCH($M93,'Device Refrigerant Leakage'!$B$2:$B$42,0)))*CR93*CP93)*CQ93/2204.62*CO93,"")</f>
        <v/>
      </c>
      <c r="CU93" s="135" t="str">
        <f>IF($I93&lt;&gt;"",J93*IF(W93&lt;&gt;"AR",(CS93*K93)+CT93,(CS93*AB93)+CT93*(AB93/INDEX('Device Refrigerant Leakage'!$C$2:$C$42,MATCH($M93,'Device Refrigerant Leakage'!$B$2:$B$42,0)))),"")</f>
        <v/>
      </c>
      <c r="CW93" s="135" t="str">
        <f>IF($I93&lt;&gt;"",IF(S93="User Specified",V93,INDEX('Refrigerant GWPs'!$G$2:$G$156,MATCH(S93,'Refrigerant GWPs'!$A$2:$A$157,0))),"")</f>
        <v/>
      </c>
      <c r="CX93" s="138" t="str">
        <f>IF($I93&lt;&gt;"",INDEX('Device Refrigerant Leakage'!$E$2:$E$42,MATCH($Q93,'Device Refrigerant Leakage'!$B$2:$B$42,0)),"")</f>
        <v/>
      </c>
      <c r="CY93" s="138" t="str">
        <f>IF($I93&lt;&gt;"",INDEX('Device Refrigerant Leakage'!$F$2:$F$42,MATCH($Q93,'Device Refrigerant Leakage'!$B$2:$B$42,0)),"")</f>
        <v/>
      </c>
      <c r="CZ93" s="145" t="str">
        <f>IF($I93&lt;&gt;"",INDEX('Device Refrigerant Leakage'!$G$2:$G$42,MATCH($Q93,'Device Refrigerant Leakage'!$B$2:$B$42,0)),"")</f>
        <v/>
      </c>
      <c r="DA93" s="145" t="str">
        <f>IF($I93&lt;&gt;"",J93*INDEX('Device Refrigerant Leakage'!$D$2:$D$42,MATCH($Q93,'Device Refrigerant Leakage'!$B$2:$B$42,0))*CX93/2204.62*CW93,"")</f>
        <v/>
      </c>
      <c r="DB93" s="145" t="str">
        <f>IF($I93&lt;&gt;"",J93*(INDEX('Device Refrigerant Leakage'!$D$2:$D$42,MATCH($Q93,'Device Refrigerant Leakage'!$B$2:$B$42,0))-(INDEX('Device Refrigerant Leakage'!$D$2:$D$42,MATCH($Q93,'Device Refrigerant Leakage'!$B$2:$B$42,0)))*CZ93*CX93)*CY93/2204.62*CW93,"")</f>
        <v/>
      </c>
      <c r="DC93" s="135" t="str">
        <f t="shared" si="163"/>
        <v/>
      </c>
      <c r="DE93" s="146" t="str">
        <f>IF(W93&lt;&gt;"AR","",IF(Y93="User Specified", AA93, INDEX('Refrigerant GWPs'!$G$2:$G$154,MATCH(Y93,'Refrigerant GWPs'!$A$2:$A$154,0))))</f>
        <v/>
      </c>
      <c r="DF93" s="146" t="str">
        <f>IF(W93&lt;&gt;"AR","",INDEX('Device Refrigerant Leakage'!$E$2:$E$42,MATCH(X93,'Device Refrigerant Leakage'!$B$2:$B$42,0)))</f>
        <v/>
      </c>
      <c r="DG93" s="146" t="str">
        <f>IF(W93&lt;&gt;"AR","",INDEX('Device Refrigerant Leakage'!$F$2:$F$42,MATCH(X93,'Device Refrigerant Leakage'!$B$2:$B$42,0)))</f>
        <v/>
      </c>
      <c r="DH93" s="146" t="str">
        <f>IF(W93&lt;&gt;"AR","",INDEX('Device Refrigerant Leakage'!$G$2:$G$42,MATCH(X93,'Device Refrigerant Leakage'!$B$2:$B$42,0)))</f>
        <v/>
      </c>
      <c r="DI93" s="146" t="str">
        <f>IF(W93&lt;&gt;"AR","",J93*INDEX('Device Refrigerant Leakage'!$D$2:$D$42,MATCH(X93,'Device Refrigerant Leakage'!$B$2:$B$42,0))*DF93/2204.62*DE93)</f>
        <v/>
      </c>
      <c r="DJ93" s="146" t="str">
        <f>IF(W93&lt;&gt;"AR","",J93*(INDEX('Device Refrigerant Leakage'!$D$2:$D$42,MATCH(X93,'Device Refrigerant Leakage'!$B$2:$B$42,0))-(INDEX('Device Refrigerant Leakage'!$D$2:$D$42,MATCH(X93,'Device Refrigerant Leakage'!$B$2:$B$42,0)))*DH93*DF93)*DG93/2204.62*DE93)</f>
        <v/>
      </c>
      <c r="DK93" s="146" t="str">
        <f>IF(W93&lt;&gt;"AR","",DI93*(K93-AB93)+'Fuel Sub Calcs-Deemed'!DJ93*((K93-AB93)/INDEX('Device Refrigerant Leakage'!$C$2:$C$42,MATCH('Fuel Sub Calcs-Deemed'!X93,'Device Refrigerant Leakage'!$B$2:$B$42,0))))</f>
        <v/>
      </c>
      <c r="DM93" s="56">
        <v>79</v>
      </c>
      <c r="DN93" s="67" t="e">
        <f t="shared" si="143"/>
        <v>#N/A</v>
      </c>
      <c r="DO93" s="45" t="e">
        <f t="shared" si="144"/>
        <v>#N/A</v>
      </c>
      <c r="DP93" s="67" t="e">
        <f t="shared" si="145"/>
        <v>#N/A</v>
      </c>
      <c r="DQ93" s="45" t="e">
        <f t="shared" si="146"/>
        <v>#N/A</v>
      </c>
      <c r="DR93" s="69" t="e">
        <f t="shared" si="147"/>
        <v>#N/A</v>
      </c>
      <c r="DS93" s="34"/>
      <c r="DT93" s="67" t="e">
        <f>((BX93*CJ93)+IF($W93=MAT_AR,(BZ93*CL93),0))*(1+Reference!$E$50+Reference!$E$51)</f>
        <v>#N/A</v>
      </c>
      <c r="DU93" s="67">
        <f>((BY93*CK93)+IF($W93=MAT_AR,(CA93*CM93),0))*(1+Reference!$G$50+Reference!$G$51)</f>
        <v>0</v>
      </c>
      <c r="DV93" s="67" t="e">
        <f t="shared" si="148"/>
        <v>#VALUE!</v>
      </c>
      <c r="DX93" s="56">
        <v>79</v>
      </c>
      <c r="DY93" s="67">
        <f t="shared" si="149"/>
        <v>0</v>
      </c>
      <c r="DZ93" s="45" t="e">
        <f>VLOOKUP($R93,Dropdown!$C$3:$D$4,2,FALSE)</f>
        <v>#N/A</v>
      </c>
      <c r="EA93" s="68">
        <f t="shared" si="150"/>
        <v>0</v>
      </c>
      <c r="EB93" s="68" t="str">
        <f t="shared" si="151"/>
        <v>N/A</v>
      </c>
      <c r="EC93" s="68">
        <f t="shared" si="152"/>
        <v>0</v>
      </c>
      <c r="ED93" s="68" t="str">
        <f t="shared" si="153"/>
        <v>N/A</v>
      </c>
      <c r="EF93" s="56">
        <v>79</v>
      </c>
      <c r="EG93" s="46">
        <f t="shared" si="154"/>
        <v>0</v>
      </c>
      <c r="EH93" s="68" t="e">
        <f t="shared" si="155"/>
        <v>#N/A</v>
      </c>
      <c r="EI93" s="68" t="e">
        <f t="shared" si="156"/>
        <v>#N/A</v>
      </c>
      <c r="EJ93" s="68" t="e">
        <f t="shared" si="157"/>
        <v>#N/A</v>
      </c>
      <c r="EK93" s="68" t="e">
        <f t="shared" si="158"/>
        <v>#N/A</v>
      </c>
      <c r="EL93" s="46">
        <f t="shared" si="159"/>
        <v>0</v>
      </c>
      <c r="EM93" s="46">
        <f t="shared" si="160"/>
        <v>0</v>
      </c>
    </row>
    <row r="94" spans="1:143">
      <c r="A94" s="89"/>
      <c r="B94" s="89"/>
      <c r="C94" s="89"/>
      <c r="D94" s="89"/>
      <c r="E94" s="89"/>
      <c r="F94" s="89"/>
      <c r="G94" s="34"/>
      <c r="H94" s="56">
        <f t="shared" si="161"/>
        <v>80</v>
      </c>
      <c r="I94" s="165"/>
      <c r="J94" s="163"/>
      <c r="K94" s="163"/>
      <c r="L94" s="164"/>
      <c r="M94" s="155"/>
      <c r="N94" s="155"/>
      <c r="O94" s="144"/>
      <c r="P94" s="159" t="str">
        <f>IFERROR(IF(O94&lt;&gt;"User Specified",IF(O94&lt;&gt;"", INDEX('Refrigerant GWPs'!$G$2:$G$154,MATCH(O94,'Refrigerant GWPs'!$A$2:$A$154,0)),""),U94),0)</f>
        <v/>
      </c>
      <c r="Q94" s="155"/>
      <c r="R94" s="155"/>
      <c r="S94" s="144"/>
      <c r="T94" s="159" t="str">
        <f>IF(S94&lt;&gt;"User Specified",IF(AND(S94&lt;&gt;"User Specified",S94&lt;&gt;""), INDEX('Refrigerant GWPs'!$G$2:$G$154,MATCH(S94,'Refrigerant GWPs'!$A$2:$A$154,0)),""),V94)</f>
        <v/>
      </c>
      <c r="U94" s="144"/>
      <c r="V94" s="144"/>
      <c r="W94" s="155"/>
      <c r="X94" s="155"/>
      <c r="Y94" s="144"/>
      <c r="Z94" s="159" t="str">
        <f>IF(AND(Y94&lt;&gt;"User Specified",Y94&lt;&gt;""), INDEX('Refrigerant GWPs'!$G$2:$G$154,MATCH(Y94,'Refrigerant GWPs'!$A$2:$A$154,0)),"")</f>
        <v/>
      </c>
      <c r="AA94" s="155"/>
      <c r="AB94" s="156"/>
      <c r="AC94" s="66"/>
      <c r="AD94" s="66"/>
      <c r="AE94" s="66"/>
      <c r="AF94" s="66"/>
      <c r="AG94" s="66"/>
      <c r="AH94" s="66"/>
      <c r="AI94" s="34"/>
      <c r="AJ94" s="88">
        <f t="shared" si="119"/>
        <v>0</v>
      </c>
      <c r="AK94" s="88">
        <f t="shared" si="120"/>
        <v>0</v>
      </c>
      <c r="AL94" s="88">
        <v>0</v>
      </c>
      <c r="AM94" s="88">
        <v>0</v>
      </c>
      <c r="AN94" s="81" t="str">
        <f t="shared" si="162"/>
        <v/>
      </c>
      <c r="AO94" s="88">
        <f t="shared" si="121"/>
        <v>0</v>
      </c>
      <c r="AP94" s="88">
        <f t="shared" si="122"/>
        <v>0</v>
      </c>
      <c r="AQ94" s="81" t="str">
        <f t="shared" si="123"/>
        <v/>
      </c>
      <c r="AS94" s="41" t="b">
        <f t="shared" si="124"/>
        <v>1</v>
      </c>
      <c r="AT94" s="38">
        <f t="shared" si="125"/>
        <v>0</v>
      </c>
      <c r="AU94" s="60">
        <f t="shared" si="126"/>
        <v>0</v>
      </c>
      <c r="AV94" s="41">
        <f t="shared" si="127"/>
        <v>0</v>
      </c>
      <c r="AW94" s="41" t="b">
        <f t="shared" si="128"/>
        <v>0</v>
      </c>
      <c r="AX94" t="str">
        <f t="shared" si="129"/>
        <v>+00</v>
      </c>
      <c r="AY94" t="str">
        <f t="shared" si="130"/>
        <v>+00</v>
      </c>
      <c r="BA94" s="47" t="b">
        <f t="shared" si="83"/>
        <v>1</v>
      </c>
      <c r="BB94" s="42" t="b">
        <f t="shared" si="84"/>
        <v>1</v>
      </c>
      <c r="BC94" s="42" t="b">
        <f t="shared" si="85"/>
        <v>0</v>
      </c>
      <c r="BD94" s="42" t="b">
        <f t="shared" si="86"/>
        <v>0</v>
      </c>
      <c r="BE94" s="70">
        <f t="shared" si="87"/>
        <v>0</v>
      </c>
      <c r="BF94" s="70">
        <f t="shared" si="88"/>
        <v>0</v>
      </c>
      <c r="BG94" s="34"/>
      <c r="BI94" s="47" t="b">
        <f t="shared" si="89"/>
        <v>1</v>
      </c>
      <c r="BJ94" s="47" t="b">
        <f t="shared" si="90"/>
        <v>1</v>
      </c>
      <c r="BK94" s="42" t="b">
        <f t="shared" si="91"/>
        <v>0</v>
      </c>
      <c r="BL94" s="42" t="b">
        <f t="shared" si="92"/>
        <v>0</v>
      </c>
      <c r="BM94" s="42">
        <f t="shared" si="93"/>
        <v>0</v>
      </c>
      <c r="BN94" s="42">
        <f t="shared" si="94"/>
        <v>0</v>
      </c>
      <c r="BP94" t="e">
        <f t="shared" si="95"/>
        <v>#N/A</v>
      </c>
      <c r="BQ94" t="e">
        <f t="shared" si="96"/>
        <v>#N/A</v>
      </c>
      <c r="BR94" t="e">
        <f t="shared" si="97"/>
        <v>#N/A</v>
      </c>
      <c r="BT94" s="60">
        <f t="shared" si="131"/>
        <v>0</v>
      </c>
      <c r="BU94" s="60">
        <f t="shared" si="132"/>
        <v>0</v>
      </c>
      <c r="BV94" s="60">
        <f t="shared" si="133"/>
        <v>0</v>
      </c>
      <c r="BW94" s="60">
        <f t="shared" si="134"/>
        <v>0</v>
      </c>
      <c r="BX94" s="60">
        <f t="shared" si="98"/>
        <v>0</v>
      </c>
      <c r="BY94" s="60">
        <f t="shared" si="99"/>
        <v>0</v>
      </c>
      <c r="BZ94" s="60">
        <f t="shared" si="100"/>
        <v>0</v>
      </c>
      <c r="CA94" s="60">
        <f t="shared" si="101"/>
        <v>0</v>
      </c>
      <c r="CB94" s="60" t="e">
        <f t="shared" si="135"/>
        <v>#N/A</v>
      </c>
      <c r="CC94" s="60">
        <f t="shared" si="136"/>
        <v>100000</v>
      </c>
      <c r="CD94" s="60" t="e">
        <f t="shared" si="137"/>
        <v>#N/A</v>
      </c>
      <c r="CE94" s="60">
        <f t="shared" si="138"/>
        <v>100000</v>
      </c>
      <c r="CF94" s="83" t="e">
        <f t="shared" si="102"/>
        <v>#N/A</v>
      </c>
      <c r="CG94" s="83">
        <f t="shared" si="103"/>
        <v>0</v>
      </c>
      <c r="CH94" s="83" t="e">
        <f t="shared" si="104"/>
        <v>#N/A</v>
      </c>
      <c r="CI94" s="83">
        <f t="shared" si="105"/>
        <v>0</v>
      </c>
      <c r="CJ94" s="86" t="e">
        <f t="shared" si="139"/>
        <v>#N/A</v>
      </c>
      <c r="CK94" s="82">
        <f t="shared" si="140"/>
        <v>5.3070370403969858E-3</v>
      </c>
      <c r="CL94" s="82" t="e">
        <f t="shared" si="141"/>
        <v>#N/A</v>
      </c>
      <c r="CM94" s="82">
        <f t="shared" si="142"/>
        <v>5.3070370403969858E-3</v>
      </c>
      <c r="CO94" s="149" t="str">
        <f>IF($I94&lt;&gt;"",IF(O94="User Specified",U94,INDEX('Refrigerant GWPs'!$G$2:$G$156,MATCH(O94,'Refrigerant GWPs'!$A$2:$A$156,0))),"")</f>
        <v/>
      </c>
      <c r="CP94" s="138" t="str">
        <f>IF($I94&lt;&gt;"",INDEX('Device Refrigerant Leakage'!$E$2:$E$42,MATCH($M94,'Device Refrigerant Leakage'!$B$2:$B$42,0)),"")</f>
        <v/>
      </c>
      <c r="CQ94" s="138" t="str">
        <f>IF($I94&lt;&gt;"",INDEX('Device Refrigerant Leakage'!$F$2:$F$42,MATCH($M94,'Device Refrigerant Leakage'!$B$2:$B$42,0)),"")</f>
        <v/>
      </c>
      <c r="CR94" s="145" t="str">
        <f>IF($I94&lt;&gt;"",INDEX('Device Refrigerant Leakage'!$G$2:$G$42,MATCH($M94,'Device Refrigerant Leakage'!$B$2:$B$42,0)),"")</f>
        <v/>
      </c>
      <c r="CS94" s="145" t="str">
        <f>IF($I94&lt;&gt;"",INDEX('Device Refrigerant Leakage'!$D$2:$D$42,MATCH($M94,'Device Refrigerant Leakage'!$B$2:$B$42,0))*CP94/2204.62*CO94,"")</f>
        <v/>
      </c>
      <c r="CT94" s="145" t="str">
        <f>IF($I94&lt;&gt;"",J94*(INDEX('Device Refrigerant Leakage'!$D$2:$D$42,MATCH($M94,'Device Refrigerant Leakage'!$B$2:$B$42,0))-(INDEX('Device Refrigerant Leakage'!$D$2:$D$42,MATCH($M94,'Device Refrigerant Leakage'!$B$2:$B$42,0)))*CR94*CP94)*CQ94/2204.62*CO94,"")</f>
        <v/>
      </c>
      <c r="CU94" s="135" t="str">
        <f>IF($I94&lt;&gt;"",J94*IF(W94&lt;&gt;"AR",(CS94*K94)+CT94,(CS94*AB94)+CT94*(AB94/INDEX('Device Refrigerant Leakage'!$C$2:$C$42,MATCH($M94,'Device Refrigerant Leakage'!$B$2:$B$42,0)))),"")</f>
        <v/>
      </c>
      <c r="CW94" s="135" t="str">
        <f>IF($I94&lt;&gt;"",IF(S94="User Specified",V94,INDEX('Refrigerant GWPs'!$G$2:$G$156,MATCH(S94,'Refrigerant GWPs'!$A$2:$A$157,0))),"")</f>
        <v/>
      </c>
      <c r="CX94" s="138" t="str">
        <f>IF($I94&lt;&gt;"",INDEX('Device Refrigerant Leakage'!$E$2:$E$42,MATCH($Q94,'Device Refrigerant Leakage'!$B$2:$B$42,0)),"")</f>
        <v/>
      </c>
      <c r="CY94" s="138" t="str">
        <f>IF($I94&lt;&gt;"",INDEX('Device Refrigerant Leakage'!$F$2:$F$42,MATCH($Q94,'Device Refrigerant Leakage'!$B$2:$B$42,0)),"")</f>
        <v/>
      </c>
      <c r="CZ94" s="145" t="str">
        <f>IF($I94&lt;&gt;"",INDEX('Device Refrigerant Leakage'!$G$2:$G$42,MATCH($Q94,'Device Refrigerant Leakage'!$B$2:$B$42,0)),"")</f>
        <v/>
      </c>
      <c r="DA94" s="145" t="str">
        <f>IF($I94&lt;&gt;"",J94*INDEX('Device Refrigerant Leakage'!$D$2:$D$42,MATCH($Q94,'Device Refrigerant Leakage'!$B$2:$B$42,0))*CX94/2204.62*CW94,"")</f>
        <v/>
      </c>
      <c r="DB94" s="145" t="str">
        <f>IF($I94&lt;&gt;"",J94*(INDEX('Device Refrigerant Leakage'!$D$2:$D$42,MATCH($Q94,'Device Refrigerant Leakage'!$B$2:$B$42,0))-(INDEX('Device Refrigerant Leakage'!$D$2:$D$42,MATCH($Q94,'Device Refrigerant Leakage'!$B$2:$B$42,0)))*CZ94*CX94)*CY94/2204.62*CW94,"")</f>
        <v/>
      </c>
      <c r="DC94" s="135" t="str">
        <f t="shared" si="163"/>
        <v/>
      </c>
      <c r="DE94" s="146" t="str">
        <f>IF(W94&lt;&gt;"AR","",IF(Y94="User Specified", AA94, INDEX('Refrigerant GWPs'!$G$2:$G$154,MATCH(Y94,'Refrigerant GWPs'!$A$2:$A$154,0))))</f>
        <v/>
      </c>
      <c r="DF94" s="146" t="str">
        <f>IF(W94&lt;&gt;"AR","",INDEX('Device Refrigerant Leakage'!$E$2:$E$42,MATCH(X94,'Device Refrigerant Leakage'!$B$2:$B$42,0)))</f>
        <v/>
      </c>
      <c r="DG94" s="146" t="str">
        <f>IF(W94&lt;&gt;"AR","",INDEX('Device Refrigerant Leakage'!$F$2:$F$42,MATCH(X94,'Device Refrigerant Leakage'!$B$2:$B$42,0)))</f>
        <v/>
      </c>
      <c r="DH94" s="146" t="str">
        <f>IF(W94&lt;&gt;"AR","",INDEX('Device Refrigerant Leakage'!$G$2:$G$42,MATCH(X94,'Device Refrigerant Leakage'!$B$2:$B$42,0)))</f>
        <v/>
      </c>
      <c r="DI94" s="146" t="str">
        <f>IF(W94&lt;&gt;"AR","",J94*INDEX('Device Refrigerant Leakage'!$D$2:$D$42,MATCH(X94,'Device Refrigerant Leakage'!$B$2:$B$42,0))*DF94/2204.62*DE94)</f>
        <v/>
      </c>
      <c r="DJ94" s="146" t="str">
        <f>IF(W94&lt;&gt;"AR","",J94*(INDEX('Device Refrigerant Leakage'!$D$2:$D$42,MATCH(X94,'Device Refrigerant Leakage'!$B$2:$B$42,0))-(INDEX('Device Refrigerant Leakage'!$D$2:$D$42,MATCH(X94,'Device Refrigerant Leakage'!$B$2:$B$42,0)))*DH94*DF94)*DG94/2204.62*DE94)</f>
        <v/>
      </c>
      <c r="DK94" s="146" t="str">
        <f>IF(W94&lt;&gt;"AR","",DI94*(K94-AB94)+'Fuel Sub Calcs-Deemed'!DJ94*((K94-AB94)/INDEX('Device Refrigerant Leakage'!$C$2:$C$42,MATCH('Fuel Sub Calcs-Deemed'!X94,'Device Refrigerant Leakage'!$B$2:$B$42,0))))</f>
        <v/>
      </c>
      <c r="DM94" s="56">
        <v>80</v>
      </c>
      <c r="DN94" s="67" t="e">
        <f t="shared" si="143"/>
        <v>#N/A</v>
      </c>
      <c r="DO94" s="45" t="e">
        <f t="shared" si="144"/>
        <v>#N/A</v>
      </c>
      <c r="DP94" s="67" t="e">
        <f t="shared" si="145"/>
        <v>#N/A</v>
      </c>
      <c r="DQ94" s="45" t="e">
        <f t="shared" si="146"/>
        <v>#N/A</v>
      </c>
      <c r="DR94" s="69" t="e">
        <f t="shared" si="147"/>
        <v>#N/A</v>
      </c>
      <c r="DS94" s="34"/>
      <c r="DT94" s="67" t="e">
        <f>((BX94*CJ94)+IF($W94=MAT_AR,(BZ94*CL94),0))*(1+Reference!$E$50+Reference!$E$51)</f>
        <v>#N/A</v>
      </c>
      <c r="DU94" s="67">
        <f>((BY94*CK94)+IF($W94=MAT_AR,(CA94*CM94),0))*(1+Reference!$G$50+Reference!$G$51)</f>
        <v>0</v>
      </c>
      <c r="DV94" s="67" t="e">
        <f t="shared" si="148"/>
        <v>#VALUE!</v>
      </c>
      <c r="DX94" s="56">
        <v>80</v>
      </c>
      <c r="DY94" s="67">
        <f t="shared" si="149"/>
        <v>0</v>
      </c>
      <c r="DZ94" s="45" t="e">
        <f>VLOOKUP($R94,Dropdown!$C$3:$D$4,2,FALSE)</f>
        <v>#N/A</v>
      </c>
      <c r="EA94" s="68">
        <f t="shared" si="150"/>
        <v>0</v>
      </c>
      <c r="EB94" s="68" t="str">
        <f t="shared" si="151"/>
        <v>N/A</v>
      </c>
      <c r="EC94" s="68">
        <f t="shared" si="152"/>
        <v>0</v>
      </c>
      <c r="ED94" s="68" t="str">
        <f t="shared" si="153"/>
        <v>N/A</v>
      </c>
      <c r="EF94" s="56">
        <v>80</v>
      </c>
      <c r="EG94" s="46">
        <f t="shared" si="154"/>
        <v>0</v>
      </c>
      <c r="EH94" s="68" t="e">
        <f t="shared" si="155"/>
        <v>#N/A</v>
      </c>
      <c r="EI94" s="68" t="e">
        <f t="shared" si="156"/>
        <v>#N/A</v>
      </c>
      <c r="EJ94" s="68" t="e">
        <f t="shared" si="157"/>
        <v>#N/A</v>
      </c>
      <c r="EK94" s="68" t="e">
        <f t="shared" si="158"/>
        <v>#N/A</v>
      </c>
      <c r="EL94" s="46">
        <f t="shared" si="159"/>
        <v>0</v>
      </c>
      <c r="EM94" s="46">
        <f t="shared" si="160"/>
        <v>0</v>
      </c>
    </row>
    <row r="95" spans="1:143">
      <c r="A95" s="89"/>
      <c r="B95" s="89"/>
      <c r="C95" s="89"/>
      <c r="D95" s="89"/>
      <c r="E95" s="89"/>
      <c r="F95" s="89"/>
      <c r="G95" s="34"/>
      <c r="H95" s="56">
        <f t="shared" si="161"/>
        <v>81</v>
      </c>
      <c r="I95" s="165"/>
      <c r="J95" s="163"/>
      <c r="K95" s="163"/>
      <c r="L95" s="164"/>
      <c r="M95" s="155"/>
      <c r="N95" s="155"/>
      <c r="O95" s="144"/>
      <c r="P95" s="159" t="str">
        <f>IFERROR(IF(O95&lt;&gt;"User Specified",IF(O95&lt;&gt;"", INDEX('Refrigerant GWPs'!$G$2:$G$154,MATCH(O95,'Refrigerant GWPs'!$A$2:$A$154,0)),""),U95),0)</f>
        <v/>
      </c>
      <c r="Q95" s="155"/>
      <c r="R95" s="155"/>
      <c r="S95" s="144"/>
      <c r="T95" s="159" t="str">
        <f>IF(S95&lt;&gt;"User Specified",IF(AND(S95&lt;&gt;"User Specified",S95&lt;&gt;""), INDEX('Refrigerant GWPs'!$G$2:$G$154,MATCH(S95,'Refrigerant GWPs'!$A$2:$A$154,0)),""),V95)</f>
        <v/>
      </c>
      <c r="U95" s="144"/>
      <c r="V95" s="144"/>
      <c r="W95" s="155"/>
      <c r="X95" s="155"/>
      <c r="Y95" s="144"/>
      <c r="Z95" s="159" t="str">
        <f>IF(AND(Y95&lt;&gt;"User Specified",Y95&lt;&gt;""), INDEX('Refrigerant GWPs'!$G$2:$G$154,MATCH(Y95,'Refrigerant GWPs'!$A$2:$A$154,0)),"")</f>
        <v/>
      </c>
      <c r="AA95" s="155"/>
      <c r="AB95" s="156"/>
      <c r="AC95" s="66"/>
      <c r="AD95" s="66"/>
      <c r="AE95" s="66"/>
      <c r="AF95" s="66"/>
      <c r="AG95" s="66"/>
      <c r="AH95" s="66"/>
      <c r="AI95" s="34"/>
      <c r="AJ95" s="88">
        <f t="shared" si="119"/>
        <v>0</v>
      </c>
      <c r="AK95" s="88">
        <f t="shared" si="120"/>
        <v>0</v>
      </c>
      <c r="AL95" s="88">
        <v>0</v>
      </c>
      <c r="AM95" s="88">
        <v>0</v>
      </c>
      <c r="AN95" s="81" t="str">
        <f t="shared" si="162"/>
        <v/>
      </c>
      <c r="AO95" s="88">
        <f t="shared" si="121"/>
        <v>0</v>
      </c>
      <c r="AP95" s="88">
        <f t="shared" si="122"/>
        <v>0</v>
      </c>
      <c r="AQ95" s="81" t="str">
        <f t="shared" si="123"/>
        <v/>
      </c>
      <c r="AS95" s="41" t="b">
        <f t="shared" si="124"/>
        <v>1</v>
      </c>
      <c r="AT95" s="38">
        <f t="shared" si="125"/>
        <v>0</v>
      </c>
      <c r="AU95" s="60">
        <f t="shared" si="126"/>
        <v>0</v>
      </c>
      <c r="AV95" s="41">
        <f t="shared" si="127"/>
        <v>0</v>
      </c>
      <c r="AW95" s="41" t="b">
        <f t="shared" si="128"/>
        <v>0</v>
      </c>
      <c r="AX95" t="str">
        <f t="shared" si="129"/>
        <v>+00</v>
      </c>
      <c r="AY95" t="str">
        <f t="shared" si="130"/>
        <v>+00</v>
      </c>
      <c r="BA95" s="47" t="b">
        <f t="shared" si="83"/>
        <v>1</v>
      </c>
      <c r="BB95" s="42" t="b">
        <f t="shared" si="84"/>
        <v>1</v>
      </c>
      <c r="BC95" s="42" t="b">
        <f t="shared" si="85"/>
        <v>0</v>
      </c>
      <c r="BD95" s="42" t="b">
        <f t="shared" si="86"/>
        <v>0</v>
      </c>
      <c r="BE95" s="70">
        <f t="shared" si="87"/>
        <v>0</v>
      </c>
      <c r="BF95" s="70">
        <f t="shared" si="88"/>
        <v>0</v>
      </c>
      <c r="BG95" s="34"/>
      <c r="BI95" s="47" t="b">
        <f t="shared" si="89"/>
        <v>1</v>
      </c>
      <c r="BJ95" s="47" t="b">
        <f t="shared" si="90"/>
        <v>1</v>
      </c>
      <c r="BK95" s="42" t="b">
        <f t="shared" si="91"/>
        <v>0</v>
      </c>
      <c r="BL95" s="42" t="b">
        <f t="shared" si="92"/>
        <v>0</v>
      </c>
      <c r="BM95" s="42">
        <f t="shared" si="93"/>
        <v>0</v>
      </c>
      <c r="BN95" s="42">
        <f t="shared" si="94"/>
        <v>0</v>
      </c>
      <c r="BP95" t="e">
        <f t="shared" si="95"/>
        <v>#N/A</v>
      </c>
      <c r="BQ95" t="e">
        <f t="shared" si="96"/>
        <v>#N/A</v>
      </c>
      <c r="BR95" t="e">
        <f t="shared" si="97"/>
        <v>#N/A</v>
      </c>
      <c r="BT95" s="60">
        <f t="shared" si="131"/>
        <v>0</v>
      </c>
      <c r="BU95" s="60">
        <f t="shared" si="132"/>
        <v>0</v>
      </c>
      <c r="BV95" s="60">
        <f t="shared" si="133"/>
        <v>0</v>
      </c>
      <c r="BW95" s="60">
        <f t="shared" si="134"/>
        <v>0</v>
      </c>
      <c r="BX95" s="60">
        <f t="shared" si="98"/>
        <v>0</v>
      </c>
      <c r="BY95" s="60">
        <f t="shared" si="99"/>
        <v>0</v>
      </c>
      <c r="BZ95" s="60">
        <f t="shared" si="100"/>
        <v>0</v>
      </c>
      <c r="CA95" s="60">
        <f t="shared" si="101"/>
        <v>0</v>
      </c>
      <c r="CB95" s="60" t="e">
        <f t="shared" si="135"/>
        <v>#N/A</v>
      </c>
      <c r="CC95" s="60">
        <f t="shared" si="136"/>
        <v>100000</v>
      </c>
      <c r="CD95" s="60" t="e">
        <f t="shared" si="137"/>
        <v>#N/A</v>
      </c>
      <c r="CE95" s="60">
        <f t="shared" si="138"/>
        <v>100000</v>
      </c>
      <c r="CF95" s="83" t="e">
        <f t="shared" si="102"/>
        <v>#N/A</v>
      </c>
      <c r="CG95" s="83">
        <f t="shared" si="103"/>
        <v>0</v>
      </c>
      <c r="CH95" s="83" t="e">
        <f t="shared" si="104"/>
        <v>#N/A</v>
      </c>
      <c r="CI95" s="83">
        <f t="shared" si="105"/>
        <v>0</v>
      </c>
      <c r="CJ95" s="86" t="e">
        <f t="shared" si="139"/>
        <v>#N/A</v>
      </c>
      <c r="CK95" s="82">
        <f t="shared" si="140"/>
        <v>5.3070370403969858E-3</v>
      </c>
      <c r="CL95" s="82" t="e">
        <f t="shared" si="141"/>
        <v>#N/A</v>
      </c>
      <c r="CM95" s="82">
        <f t="shared" si="142"/>
        <v>5.3070370403969858E-3</v>
      </c>
      <c r="CO95" s="149" t="str">
        <f>IF($I95&lt;&gt;"",IF(O95="User Specified",U95,INDEX('Refrigerant GWPs'!$G$2:$G$156,MATCH(O95,'Refrigerant GWPs'!$A$2:$A$156,0))),"")</f>
        <v/>
      </c>
      <c r="CP95" s="138" t="str">
        <f>IF($I95&lt;&gt;"",INDEX('Device Refrigerant Leakage'!$E$2:$E$42,MATCH($M95,'Device Refrigerant Leakage'!$B$2:$B$42,0)),"")</f>
        <v/>
      </c>
      <c r="CQ95" s="138" t="str">
        <f>IF($I95&lt;&gt;"",INDEX('Device Refrigerant Leakage'!$F$2:$F$42,MATCH($M95,'Device Refrigerant Leakage'!$B$2:$B$42,0)),"")</f>
        <v/>
      </c>
      <c r="CR95" s="145" t="str">
        <f>IF($I95&lt;&gt;"",INDEX('Device Refrigerant Leakage'!$G$2:$G$42,MATCH($M95,'Device Refrigerant Leakage'!$B$2:$B$42,0)),"")</f>
        <v/>
      </c>
      <c r="CS95" s="145" t="str">
        <f>IF($I95&lt;&gt;"",INDEX('Device Refrigerant Leakage'!$D$2:$D$42,MATCH($M95,'Device Refrigerant Leakage'!$B$2:$B$42,0))*CP95/2204.62*CO95,"")</f>
        <v/>
      </c>
      <c r="CT95" s="145" t="str">
        <f>IF($I95&lt;&gt;"",J95*(INDEX('Device Refrigerant Leakage'!$D$2:$D$42,MATCH($M95,'Device Refrigerant Leakage'!$B$2:$B$42,0))-(INDEX('Device Refrigerant Leakage'!$D$2:$D$42,MATCH($M95,'Device Refrigerant Leakage'!$B$2:$B$42,0)))*CR95*CP95)*CQ95/2204.62*CO95,"")</f>
        <v/>
      </c>
      <c r="CU95" s="135" t="str">
        <f>IF($I95&lt;&gt;"",J95*IF(W95&lt;&gt;"AR",(CS95*K95)+CT95,(CS95*AB95)+CT95*(AB95/INDEX('Device Refrigerant Leakage'!$C$2:$C$42,MATCH($M95,'Device Refrigerant Leakage'!$B$2:$B$42,0)))),"")</f>
        <v/>
      </c>
      <c r="CW95" s="135" t="str">
        <f>IF($I95&lt;&gt;"",IF(S95="User Specified",V95,INDEX('Refrigerant GWPs'!$G$2:$G$156,MATCH(S95,'Refrigerant GWPs'!$A$2:$A$157,0))),"")</f>
        <v/>
      </c>
      <c r="CX95" s="138" t="str">
        <f>IF($I95&lt;&gt;"",INDEX('Device Refrigerant Leakage'!$E$2:$E$42,MATCH($Q95,'Device Refrigerant Leakage'!$B$2:$B$42,0)),"")</f>
        <v/>
      </c>
      <c r="CY95" s="138" t="str">
        <f>IF($I95&lt;&gt;"",INDEX('Device Refrigerant Leakage'!$F$2:$F$42,MATCH($Q95,'Device Refrigerant Leakage'!$B$2:$B$42,0)),"")</f>
        <v/>
      </c>
      <c r="CZ95" s="145" t="str">
        <f>IF($I95&lt;&gt;"",INDEX('Device Refrigerant Leakage'!$G$2:$G$42,MATCH($Q95,'Device Refrigerant Leakage'!$B$2:$B$42,0)),"")</f>
        <v/>
      </c>
      <c r="DA95" s="145" t="str">
        <f>IF($I95&lt;&gt;"",J95*INDEX('Device Refrigerant Leakage'!$D$2:$D$42,MATCH($Q95,'Device Refrigerant Leakage'!$B$2:$B$42,0))*CX95/2204.62*CW95,"")</f>
        <v/>
      </c>
      <c r="DB95" s="145" t="str">
        <f>IF($I95&lt;&gt;"",J95*(INDEX('Device Refrigerant Leakage'!$D$2:$D$42,MATCH($Q95,'Device Refrigerant Leakage'!$B$2:$B$42,0))-(INDEX('Device Refrigerant Leakage'!$D$2:$D$42,MATCH($Q95,'Device Refrigerant Leakage'!$B$2:$B$42,0)))*CZ95*CX95)*CY95/2204.62*CW95,"")</f>
        <v/>
      </c>
      <c r="DC95" s="135" t="str">
        <f t="shared" si="163"/>
        <v/>
      </c>
      <c r="DE95" s="146" t="str">
        <f>IF(W95&lt;&gt;"AR","",IF(Y95="User Specified", AA95, INDEX('Refrigerant GWPs'!$G$2:$G$154,MATCH(Y95,'Refrigerant GWPs'!$A$2:$A$154,0))))</f>
        <v/>
      </c>
      <c r="DF95" s="146" t="str">
        <f>IF(W95&lt;&gt;"AR","",INDEX('Device Refrigerant Leakage'!$E$2:$E$42,MATCH(X95,'Device Refrigerant Leakage'!$B$2:$B$42,0)))</f>
        <v/>
      </c>
      <c r="DG95" s="146" t="str">
        <f>IF(W95&lt;&gt;"AR","",INDEX('Device Refrigerant Leakage'!$F$2:$F$42,MATCH(X95,'Device Refrigerant Leakage'!$B$2:$B$42,0)))</f>
        <v/>
      </c>
      <c r="DH95" s="146" t="str">
        <f>IF(W95&lt;&gt;"AR","",INDEX('Device Refrigerant Leakage'!$G$2:$G$42,MATCH(X95,'Device Refrigerant Leakage'!$B$2:$B$42,0)))</f>
        <v/>
      </c>
      <c r="DI95" s="146" t="str">
        <f>IF(W95&lt;&gt;"AR","",J95*INDEX('Device Refrigerant Leakage'!$D$2:$D$42,MATCH(X95,'Device Refrigerant Leakage'!$B$2:$B$42,0))*DF95/2204.62*DE95)</f>
        <v/>
      </c>
      <c r="DJ95" s="146" t="str">
        <f>IF(W95&lt;&gt;"AR","",J95*(INDEX('Device Refrigerant Leakage'!$D$2:$D$42,MATCH(X95,'Device Refrigerant Leakage'!$B$2:$B$42,0))-(INDEX('Device Refrigerant Leakage'!$D$2:$D$42,MATCH(X95,'Device Refrigerant Leakage'!$B$2:$B$42,0)))*DH95*DF95)*DG95/2204.62*DE95)</f>
        <v/>
      </c>
      <c r="DK95" s="146" t="str">
        <f>IF(W95&lt;&gt;"AR","",DI95*(K95-AB95)+'Fuel Sub Calcs-Deemed'!DJ95*((K95-AB95)/INDEX('Device Refrigerant Leakage'!$C$2:$C$42,MATCH('Fuel Sub Calcs-Deemed'!X95,'Device Refrigerant Leakage'!$B$2:$B$42,0))))</f>
        <v/>
      </c>
      <c r="DM95" s="56">
        <v>81</v>
      </c>
      <c r="DN95" s="67" t="e">
        <f t="shared" si="143"/>
        <v>#N/A</v>
      </c>
      <c r="DO95" s="45" t="e">
        <f t="shared" si="144"/>
        <v>#N/A</v>
      </c>
      <c r="DP95" s="67" t="e">
        <f t="shared" si="145"/>
        <v>#N/A</v>
      </c>
      <c r="DQ95" s="45" t="e">
        <f t="shared" si="146"/>
        <v>#N/A</v>
      </c>
      <c r="DR95" s="69" t="e">
        <f t="shared" si="147"/>
        <v>#N/A</v>
      </c>
      <c r="DS95" s="34"/>
      <c r="DT95" s="67" t="e">
        <f>((BX95*CJ95)+IF($W95=MAT_AR,(BZ95*CL95),0))*(1+Reference!$E$50+Reference!$E$51)</f>
        <v>#N/A</v>
      </c>
      <c r="DU95" s="67">
        <f>((BY95*CK95)+IF($W95=MAT_AR,(CA95*CM95),0))*(1+Reference!$G$50+Reference!$G$51)</f>
        <v>0</v>
      </c>
      <c r="DV95" s="67" t="e">
        <f t="shared" si="148"/>
        <v>#VALUE!</v>
      </c>
      <c r="DX95" s="56">
        <v>81</v>
      </c>
      <c r="DY95" s="67">
        <f t="shared" si="149"/>
        <v>0</v>
      </c>
      <c r="DZ95" s="45" t="e">
        <f>VLOOKUP($R95,Dropdown!$C$3:$D$4,2,FALSE)</f>
        <v>#N/A</v>
      </c>
      <c r="EA95" s="68">
        <f t="shared" si="150"/>
        <v>0</v>
      </c>
      <c r="EB95" s="68" t="str">
        <f t="shared" si="151"/>
        <v>N/A</v>
      </c>
      <c r="EC95" s="68">
        <f t="shared" si="152"/>
        <v>0</v>
      </c>
      <c r="ED95" s="68" t="str">
        <f t="shared" si="153"/>
        <v>N/A</v>
      </c>
      <c r="EF95" s="56">
        <v>81</v>
      </c>
      <c r="EG95" s="46">
        <f t="shared" si="154"/>
        <v>0</v>
      </c>
      <c r="EH95" s="68" t="e">
        <f t="shared" si="155"/>
        <v>#N/A</v>
      </c>
      <c r="EI95" s="68" t="e">
        <f t="shared" si="156"/>
        <v>#N/A</v>
      </c>
      <c r="EJ95" s="68" t="e">
        <f t="shared" si="157"/>
        <v>#N/A</v>
      </c>
      <c r="EK95" s="68" t="e">
        <f t="shared" si="158"/>
        <v>#N/A</v>
      </c>
      <c r="EL95" s="46">
        <f t="shared" si="159"/>
        <v>0</v>
      </c>
      <c r="EM95" s="46">
        <f t="shared" si="160"/>
        <v>0</v>
      </c>
    </row>
    <row r="96" spans="1:143">
      <c r="A96" s="89"/>
      <c r="B96" s="89"/>
      <c r="C96" s="89"/>
      <c r="D96" s="89"/>
      <c r="E96" s="89"/>
      <c r="F96" s="89"/>
      <c r="G96" s="34"/>
      <c r="H96" s="56">
        <f t="shared" si="161"/>
        <v>82</v>
      </c>
      <c r="I96" s="165"/>
      <c r="J96" s="163"/>
      <c r="K96" s="163"/>
      <c r="L96" s="164"/>
      <c r="M96" s="155"/>
      <c r="N96" s="155"/>
      <c r="O96" s="144"/>
      <c r="P96" s="159" t="str">
        <f>IFERROR(IF(O96&lt;&gt;"User Specified",IF(O96&lt;&gt;"", INDEX('Refrigerant GWPs'!$G$2:$G$154,MATCH(O96,'Refrigerant GWPs'!$A$2:$A$154,0)),""),U96),0)</f>
        <v/>
      </c>
      <c r="Q96" s="155"/>
      <c r="R96" s="155"/>
      <c r="S96" s="144"/>
      <c r="T96" s="159" t="str">
        <f>IF(S96&lt;&gt;"User Specified",IF(AND(S96&lt;&gt;"User Specified",S96&lt;&gt;""), INDEX('Refrigerant GWPs'!$G$2:$G$154,MATCH(S96,'Refrigerant GWPs'!$A$2:$A$154,0)),""),V96)</f>
        <v/>
      </c>
      <c r="U96" s="144"/>
      <c r="V96" s="144"/>
      <c r="W96" s="155"/>
      <c r="X96" s="155"/>
      <c r="Y96" s="144"/>
      <c r="Z96" s="159" t="str">
        <f>IF(AND(Y96&lt;&gt;"User Specified",Y96&lt;&gt;""), INDEX('Refrigerant GWPs'!$G$2:$G$154,MATCH(Y96,'Refrigerant GWPs'!$A$2:$A$154,0)),"")</f>
        <v/>
      </c>
      <c r="AA96" s="155"/>
      <c r="AB96" s="156"/>
      <c r="AC96" s="66"/>
      <c r="AD96" s="66"/>
      <c r="AE96" s="66"/>
      <c r="AF96" s="66"/>
      <c r="AG96" s="66"/>
      <c r="AH96" s="66"/>
      <c r="AI96" s="34"/>
      <c r="AJ96" s="88">
        <f t="shared" si="119"/>
        <v>0</v>
      </c>
      <c r="AK96" s="88">
        <f t="shared" si="120"/>
        <v>0</v>
      </c>
      <c r="AL96" s="88">
        <v>0</v>
      </c>
      <c r="AM96" s="88">
        <v>0</v>
      </c>
      <c r="AN96" s="81" t="str">
        <f t="shared" si="162"/>
        <v/>
      </c>
      <c r="AO96" s="88">
        <f t="shared" si="121"/>
        <v>0</v>
      </c>
      <c r="AP96" s="88">
        <f t="shared" si="122"/>
        <v>0</v>
      </c>
      <c r="AQ96" s="81" t="str">
        <f t="shared" si="123"/>
        <v/>
      </c>
      <c r="AS96" s="41" t="b">
        <f t="shared" si="124"/>
        <v>1</v>
      </c>
      <c r="AT96" s="38">
        <f t="shared" si="125"/>
        <v>0</v>
      </c>
      <c r="AU96" s="60">
        <f t="shared" si="126"/>
        <v>0</v>
      </c>
      <c r="AV96" s="41">
        <f t="shared" si="127"/>
        <v>0</v>
      </c>
      <c r="AW96" s="41" t="b">
        <f t="shared" si="128"/>
        <v>0</v>
      </c>
      <c r="AX96" t="str">
        <f t="shared" si="129"/>
        <v>+00</v>
      </c>
      <c r="AY96" t="str">
        <f t="shared" si="130"/>
        <v>+00</v>
      </c>
      <c r="BA96" s="47" t="b">
        <f t="shared" ref="BA96:BA159" si="164">NOT(OR(ISBLANK(AJ96),ISBLANK(AL96)))</f>
        <v>1</v>
      </c>
      <c r="BB96" s="42" t="b">
        <f t="shared" ref="BB96:BB159" si="165">NOT(OR(ISBLANK(AK96),ISBLANK(AM96)))</f>
        <v>1</v>
      </c>
      <c r="BC96" s="42" t="b">
        <f t="shared" ref="BC96:BC159" si="166">AND(NOT(BA96))</f>
        <v>0</v>
      </c>
      <c r="BD96" s="42" t="b">
        <f t="shared" ref="BD96:BD159" si="167">AND(NOT(BB96))</f>
        <v>0</v>
      </c>
      <c r="BE96" s="70">
        <f t="shared" ref="BE96:BE159" si="168">AJ96-AL96</f>
        <v>0</v>
      </c>
      <c r="BF96" s="70">
        <f t="shared" ref="BF96:BF159" si="169">AK96-AM96</f>
        <v>0</v>
      </c>
      <c r="BG96" s="34"/>
      <c r="BI96" s="47" t="b">
        <f t="shared" ref="BI96:BI159" si="170">NOT(OR(ISBLANK(AL96),ISBLANK(AO96)))</f>
        <v>1</v>
      </c>
      <c r="BJ96" s="47" t="b">
        <f t="shared" ref="BJ96:BJ159" si="171">NOT(OR(ISBLANK(AM96),ISBLANK(AP96)))</f>
        <v>1</v>
      </c>
      <c r="BK96" s="42" t="b">
        <f t="shared" ref="BK96:BK159" si="172">AND(NOT(BI96))</f>
        <v>0</v>
      </c>
      <c r="BL96" s="42" t="b">
        <f t="shared" ref="BL96:BL159" si="173">AND(NOT(BJ96))</f>
        <v>0</v>
      </c>
      <c r="BM96" s="42">
        <f t="shared" ref="BM96:BM159" si="174">IF(NOT(OR(ISBLANK(AO96),ISBLANK(AL96))),AO96-AL96,0)</f>
        <v>0</v>
      </c>
      <c r="BN96" s="42">
        <f t="shared" ref="BN96:BN159" si="175">IF(NOT(OR(ISBLANK(AP96),ISBLANK(AM96))),AP96-AM96,0)</f>
        <v>0</v>
      </c>
      <c r="BP96" t="e">
        <f t="shared" ref="BP96:BP159" si="176">(DN96&gt;=0)</f>
        <v>#N/A</v>
      </c>
      <c r="BQ96" t="e">
        <f t="shared" ref="BQ96:BQ159" si="177">(DP96&gt;=0)</f>
        <v>#N/A</v>
      </c>
      <c r="BR96" t="e">
        <f t="shared" ref="BR96:BR159" si="178">AND(BP96,BQ96)</f>
        <v>#N/A</v>
      </c>
      <c r="BT96" s="60">
        <f t="shared" si="131"/>
        <v>0</v>
      </c>
      <c r="BU96" s="60">
        <f t="shared" si="132"/>
        <v>0</v>
      </c>
      <c r="BV96" s="60">
        <f t="shared" si="133"/>
        <v>0</v>
      </c>
      <c r="BW96" s="60">
        <f t="shared" si="134"/>
        <v>0</v>
      </c>
      <c r="BX96" s="60">
        <f t="shared" ref="BX96:BX159" si="179">$AT96*BT96</f>
        <v>0</v>
      </c>
      <c r="BY96" s="60">
        <f t="shared" ref="BY96:BY159" si="180">$AT96*BU96</f>
        <v>0</v>
      </c>
      <c r="BZ96" s="60">
        <f t="shared" ref="BZ96:BZ159" si="181">$AU96*BV96</f>
        <v>0</v>
      </c>
      <c r="CA96" s="60">
        <f t="shared" ref="CA96:CA159" si="182">$AU96*BW96</f>
        <v>0</v>
      </c>
      <c r="CB96" s="60" t="e">
        <f t="shared" si="135"/>
        <v>#N/A</v>
      </c>
      <c r="CC96" s="60">
        <f t="shared" si="136"/>
        <v>100000</v>
      </c>
      <c r="CD96" s="60" t="e">
        <f t="shared" si="137"/>
        <v>#N/A</v>
      </c>
      <c r="CE96" s="60">
        <f t="shared" si="138"/>
        <v>100000</v>
      </c>
      <c r="CF96" s="83" t="e">
        <f t="shared" ref="CF96:CF159" si="183">$AT96*CB96/1000000</f>
        <v>#N/A</v>
      </c>
      <c r="CG96" s="83">
        <f t="shared" ref="CG96:CG159" si="184">$AT96*CC96/1000000</f>
        <v>0</v>
      </c>
      <c r="CH96" s="83" t="e">
        <f t="shared" ref="CH96:CH159" si="185">$AU96*CD96/1000000</f>
        <v>#N/A</v>
      </c>
      <c r="CI96" s="83">
        <f t="shared" ref="CI96:CI159" si="186">$AU96*CE96/1000000</f>
        <v>0</v>
      </c>
      <c r="CJ96" s="86" t="e">
        <f t="shared" si="139"/>
        <v>#N/A</v>
      </c>
      <c r="CK96" s="82">
        <f t="shared" si="140"/>
        <v>5.3070370403969858E-3</v>
      </c>
      <c r="CL96" s="82" t="e">
        <f t="shared" si="141"/>
        <v>#N/A</v>
      </c>
      <c r="CM96" s="82">
        <f t="shared" si="142"/>
        <v>5.3070370403969858E-3</v>
      </c>
      <c r="CO96" s="149" t="str">
        <f>IF($I96&lt;&gt;"",IF(O96="User Specified",U96,INDEX('Refrigerant GWPs'!$G$2:$G$156,MATCH(O96,'Refrigerant GWPs'!$A$2:$A$156,0))),"")</f>
        <v/>
      </c>
      <c r="CP96" s="138" t="str">
        <f>IF($I96&lt;&gt;"",INDEX('Device Refrigerant Leakage'!$E$2:$E$42,MATCH($M96,'Device Refrigerant Leakage'!$B$2:$B$42,0)),"")</f>
        <v/>
      </c>
      <c r="CQ96" s="138" t="str">
        <f>IF($I96&lt;&gt;"",INDEX('Device Refrigerant Leakage'!$F$2:$F$42,MATCH($M96,'Device Refrigerant Leakage'!$B$2:$B$42,0)),"")</f>
        <v/>
      </c>
      <c r="CR96" s="145" t="str">
        <f>IF($I96&lt;&gt;"",INDEX('Device Refrigerant Leakage'!$G$2:$G$42,MATCH($M96,'Device Refrigerant Leakage'!$B$2:$B$42,0)),"")</f>
        <v/>
      </c>
      <c r="CS96" s="145" t="str">
        <f>IF($I96&lt;&gt;"",INDEX('Device Refrigerant Leakage'!$D$2:$D$42,MATCH($M96,'Device Refrigerant Leakage'!$B$2:$B$42,0))*CP96/2204.62*CO96,"")</f>
        <v/>
      </c>
      <c r="CT96" s="145" t="str">
        <f>IF($I96&lt;&gt;"",J96*(INDEX('Device Refrigerant Leakage'!$D$2:$D$42,MATCH($M96,'Device Refrigerant Leakage'!$B$2:$B$42,0))-(INDEX('Device Refrigerant Leakage'!$D$2:$D$42,MATCH($M96,'Device Refrigerant Leakage'!$B$2:$B$42,0)))*CR96*CP96)*CQ96/2204.62*CO96,"")</f>
        <v/>
      </c>
      <c r="CU96" s="135" t="str">
        <f>IF($I96&lt;&gt;"",J96*IF(W96&lt;&gt;"AR",(CS96*K96)+CT96,(CS96*AB96)+CT96*(AB96/INDEX('Device Refrigerant Leakage'!$C$2:$C$42,MATCH($M96,'Device Refrigerant Leakage'!$B$2:$B$42,0)))),"")</f>
        <v/>
      </c>
      <c r="CW96" s="135" t="str">
        <f>IF($I96&lt;&gt;"",IF(S96="User Specified",V96,INDEX('Refrigerant GWPs'!$G$2:$G$156,MATCH(S96,'Refrigerant GWPs'!$A$2:$A$157,0))),"")</f>
        <v/>
      </c>
      <c r="CX96" s="138" t="str">
        <f>IF($I96&lt;&gt;"",INDEX('Device Refrigerant Leakage'!$E$2:$E$42,MATCH($Q96,'Device Refrigerant Leakage'!$B$2:$B$42,0)),"")</f>
        <v/>
      </c>
      <c r="CY96" s="138" t="str">
        <f>IF($I96&lt;&gt;"",INDEX('Device Refrigerant Leakage'!$F$2:$F$42,MATCH($Q96,'Device Refrigerant Leakage'!$B$2:$B$42,0)),"")</f>
        <v/>
      </c>
      <c r="CZ96" s="145" t="str">
        <f>IF($I96&lt;&gt;"",INDEX('Device Refrigerant Leakage'!$G$2:$G$42,MATCH($Q96,'Device Refrigerant Leakage'!$B$2:$B$42,0)),"")</f>
        <v/>
      </c>
      <c r="DA96" s="145" t="str">
        <f>IF($I96&lt;&gt;"",J96*INDEX('Device Refrigerant Leakage'!$D$2:$D$42,MATCH($Q96,'Device Refrigerant Leakage'!$B$2:$B$42,0))*CX96/2204.62*CW96,"")</f>
        <v/>
      </c>
      <c r="DB96" s="145" t="str">
        <f>IF($I96&lt;&gt;"",J96*(INDEX('Device Refrigerant Leakage'!$D$2:$D$42,MATCH($Q96,'Device Refrigerant Leakage'!$B$2:$B$42,0))-(INDEX('Device Refrigerant Leakage'!$D$2:$D$42,MATCH($Q96,'Device Refrigerant Leakage'!$B$2:$B$42,0)))*CZ96*CX96)*CY96/2204.62*CW96,"")</f>
        <v/>
      </c>
      <c r="DC96" s="135" t="str">
        <f t="shared" si="163"/>
        <v/>
      </c>
      <c r="DE96" s="146" t="str">
        <f>IF(W96&lt;&gt;"AR","",IF(Y96="User Specified", AA96, INDEX('Refrigerant GWPs'!$G$2:$G$154,MATCH(Y96,'Refrigerant GWPs'!$A$2:$A$154,0))))</f>
        <v/>
      </c>
      <c r="DF96" s="146" t="str">
        <f>IF(W96&lt;&gt;"AR","",INDEX('Device Refrigerant Leakage'!$E$2:$E$42,MATCH(X96,'Device Refrigerant Leakage'!$B$2:$B$42,0)))</f>
        <v/>
      </c>
      <c r="DG96" s="146" t="str">
        <f>IF(W96&lt;&gt;"AR","",INDEX('Device Refrigerant Leakage'!$F$2:$F$42,MATCH(X96,'Device Refrigerant Leakage'!$B$2:$B$42,0)))</f>
        <v/>
      </c>
      <c r="DH96" s="146" t="str">
        <f>IF(W96&lt;&gt;"AR","",INDEX('Device Refrigerant Leakage'!$G$2:$G$42,MATCH(X96,'Device Refrigerant Leakage'!$B$2:$B$42,0)))</f>
        <v/>
      </c>
      <c r="DI96" s="146" t="str">
        <f>IF(W96&lt;&gt;"AR","",J96*INDEX('Device Refrigerant Leakage'!$D$2:$D$42,MATCH(X96,'Device Refrigerant Leakage'!$B$2:$B$42,0))*DF96/2204.62*DE96)</f>
        <v/>
      </c>
      <c r="DJ96" s="146" t="str">
        <f>IF(W96&lt;&gt;"AR","",J96*(INDEX('Device Refrigerant Leakage'!$D$2:$D$42,MATCH(X96,'Device Refrigerant Leakage'!$B$2:$B$42,0))-(INDEX('Device Refrigerant Leakage'!$D$2:$D$42,MATCH(X96,'Device Refrigerant Leakage'!$B$2:$B$42,0)))*DH96*DF96)*DG96/2204.62*DE96)</f>
        <v/>
      </c>
      <c r="DK96" s="146" t="str">
        <f>IF(W96&lt;&gt;"AR","",DI96*(K96-AB96)+'Fuel Sub Calcs-Deemed'!DJ96*((K96-AB96)/INDEX('Device Refrigerant Leakage'!$C$2:$C$42,MATCH('Fuel Sub Calcs-Deemed'!X96,'Device Refrigerant Leakage'!$B$2:$B$42,0))))</f>
        <v/>
      </c>
      <c r="DM96" s="56">
        <v>82</v>
      </c>
      <c r="DN96" s="67" t="e">
        <f t="shared" si="143"/>
        <v>#N/A</v>
      </c>
      <c r="DO96" s="45" t="e">
        <f t="shared" si="144"/>
        <v>#N/A</v>
      </c>
      <c r="DP96" s="67" t="e">
        <f t="shared" si="145"/>
        <v>#N/A</v>
      </c>
      <c r="DQ96" s="45" t="e">
        <f t="shared" si="146"/>
        <v>#N/A</v>
      </c>
      <c r="DR96" s="69" t="e">
        <f t="shared" si="147"/>
        <v>#N/A</v>
      </c>
      <c r="DS96" s="34"/>
      <c r="DT96" s="67" t="e">
        <f>((BX96*CJ96)+IF($W96=MAT_AR,(BZ96*CL96),0))*(1+Reference!$E$50+Reference!$E$51)</f>
        <v>#N/A</v>
      </c>
      <c r="DU96" s="67">
        <f>((BY96*CK96)+IF($W96=MAT_AR,(CA96*CM96),0))*(1+Reference!$G$50+Reference!$G$51)</f>
        <v>0</v>
      </c>
      <c r="DV96" s="67" t="e">
        <f t="shared" si="148"/>
        <v>#VALUE!</v>
      </c>
      <c r="DX96" s="56">
        <v>82</v>
      </c>
      <c r="DY96" s="67">
        <f t="shared" si="149"/>
        <v>0</v>
      </c>
      <c r="DZ96" s="45" t="e">
        <f>VLOOKUP($R96,Dropdown!$C$3:$D$4,2,FALSE)</f>
        <v>#N/A</v>
      </c>
      <c r="EA96" s="68">
        <f t="shared" si="150"/>
        <v>0</v>
      </c>
      <c r="EB96" s="68" t="str">
        <f t="shared" si="151"/>
        <v>N/A</v>
      </c>
      <c r="EC96" s="68">
        <f t="shared" si="152"/>
        <v>0</v>
      </c>
      <c r="ED96" s="68" t="str">
        <f t="shared" si="153"/>
        <v>N/A</v>
      </c>
      <c r="EF96" s="56">
        <v>82</v>
      </c>
      <c r="EG96" s="46">
        <f t="shared" si="154"/>
        <v>0</v>
      </c>
      <c r="EH96" s="68" t="e">
        <f t="shared" si="155"/>
        <v>#N/A</v>
      </c>
      <c r="EI96" s="68" t="e">
        <f t="shared" si="156"/>
        <v>#N/A</v>
      </c>
      <c r="EJ96" s="68" t="e">
        <f t="shared" si="157"/>
        <v>#N/A</v>
      </c>
      <c r="EK96" s="68" t="e">
        <f t="shared" si="158"/>
        <v>#N/A</v>
      </c>
      <c r="EL96" s="46">
        <f t="shared" si="159"/>
        <v>0</v>
      </c>
      <c r="EM96" s="46">
        <f t="shared" si="160"/>
        <v>0</v>
      </c>
    </row>
    <row r="97" spans="1:143">
      <c r="A97" s="89"/>
      <c r="B97" s="89"/>
      <c r="C97" s="89"/>
      <c r="D97" s="89"/>
      <c r="E97" s="89"/>
      <c r="F97" s="89"/>
      <c r="G97" s="34"/>
      <c r="H97" s="56">
        <f t="shared" si="161"/>
        <v>83</v>
      </c>
      <c r="I97" s="165"/>
      <c r="J97" s="163"/>
      <c r="K97" s="163"/>
      <c r="L97" s="164"/>
      <c r="M97" s="155"/>
      <c r="N97" s="155"/>
      <c r="O97" s="144"/>
      <c r="P97" s="159" t="str">
        <f>IFERROR(IF(O97&lt;&gt;"User Specified",IF(O97&lt;&gt;"", INDEX('Refrigerant GWPs'!$G$2:$G$154,MATCH(O97,'Refrigerant GWPs'!$A$2:$A$154,0)),""),U97),0)</f>
        <v/>
      </c>
      <c r="Q97" s="155"/>
      <c r="R97" s="155"/>
      <c r="S97" s="144"/>
      <c r="T97" s="159" t="str">
        <f>IF(S97&lt;&gt;"User Specified",IF(AND(S97&lt;&gt;"User Specified",S97&lt;&gt;""), INDEX('Refrigerant GWPs'!$G$2:$G$154,MATCH(S97,'Refrigerant GWPs'!$A$2:$A$154,0)),""),V97)</f>
        <v/>
      </c>
      <c r="U97" s="144"/>
      <c r="V97" s="144"/>
      <c r="W97" s="155"/>
      <c r="X97" s="155"/>
      <c r="Y97" s="144"/>
      <c r="Z97" s="159" t="str">
        <f>IF(AND(Y97&lt;&gt;"User Specified",Y97&lt;&gt;""), INDEX('Refrigerant GWPs'!$G$2:$G$154,MATCH(Y97,'Refrigerant GWPs'!$A$2:$A$154,0)),"")</f>
        <v/>
      </c>
      <c r="AA97" s="155"/>
      <c r="AB97" s="156"/>
      <c r="AC97" s="66"/>
      <c r="AD97" s="66"/>
      <c r="AE97" s="66"/>
      <c r="AF97" s="66"/>
      <c r="AG97" s="66"/>
      <c r="AH97" s="66"/>
      <c r="AI97" s="34"/>
      <c r="AJ97" s="88">
        <f t="shared" si="119"/>
        <v>0</v>
      </c>
      <c r="AK97" s="88">
        <f t="shared" si="120"/>
        <v>0</v>
      </c>
      <c r="AL97" s="88">
        <v>0</v>
      </c>
      <c r="AM97" s="88">
        <v>0</v>
      </c>
      <c r="AN97" s="81" t="str">
        <f t="shared" si="162"/>
        <v/>
      </c>
      <c r="AO97" s="88">
        <f t="shared" si="121"/>
        <v>0</v>
      </c>
      <c r="AP97" s="88">
        <f t="shared" si="122"/>
        <v>0</v>
      </c>
      <c r="AQ97" s="81" t="str">
        <f t="shared" si="123"/>
        <v/>
      </c>
      <c r="AS97" s="41" t="b">
        <f t="shared" si="124"/>
        <v>1</v>
      </c>
      <c r="AT97" s="38">
        <f t="shared" si="125"/>
        <v>0</v>
      </c>
      <c r="AU97" s="60">
        <f t="shared" si="126"/>
        <v>0</v>
      </c>
      <c r="AV97" s="41">
        <f t="shared" si="127"/>
        <v>0</v>
      </c>
      <c r="AW97" s="41" t="b">
        <f t="shared" si="128"/>
        <v>0</v>
      </c>
      <c r="AX97" t="str">
        <f t="shared" si="129"/>
        <v>+00</v>
      </c>
      <c r="AY97" t="str">
        <f t="shared" si="130"/>
        <v>+00</v>
      </c>
      <c r="BA97" s="47" t="b">
        <f t="shared" si="164"/>
        <v>1</v>
      </c>
      <c r="BB97" s="42" t="b">
        <f t="shared" si="165"/>
        <v>1</v>
      </c>
      <c r="BC97" s="42" t="b">
        <f t="shared" si="166"/>
        <v>0</v>
      </c>
      <c r="BD97" s="42" t="b">
        <f t="shared" si="167"/>
        <v>0</v>
      </c>
      <c r="BE97" s="70">
        <f t="shared" si="168"/>
        <v>0</v>
      </c>
      <c r="BF97" s="70">
        <f t="shared" si="169"/>
        <v>0</v>
      </c>
      <c r="BG97" s="34"/>
      <c r="BI97" s="47" t="b">
        <f t="shared" si="170"/>
        <v>1</v>
      </c>
      <c r="BJ97" s="47" t="b">
        <f t="shared" si="171"/>
        <v>1</v>
      </c>
      <c r="BK97" s="42" t="b">
        <f t="shared" si="172"/>
        <v>0</v>
      </c>
      <c r="BL97" s="42" t="b">
        <f t="shared" si="173"/>
        <v>0</v>
      </c>
      <c r="BM97" s="42">
        <f t="shared" si="174"/>
        <v>0</v>
      </c>
      <c r="BN97" s="42">
        <f t="shared" si="175"/>
        <v>0</v>
      </c>
      <c r="BP97" t="e">
        <f t="shared" si="176"/>
        <v>#N/A</v>
      </c>
      <c r="BQ97" t="e">
        <f t="shared" si="177"/>
        <v>#N/A</v>
      </c>
      <c r="BR97" t="e">
        <f t="shared" si="178"/>
        <v>#N/A</v>
      </c>
      <c r="BT97" s="60">
        <f t="shared" si="131"/>
        <v>0</v>
      </c>
      <c r="BU97" s="60">
        <f t="shared" si="132"/>
        <v>0</v>
      </c>
      <c r="BV97" s="60">
        <f t="shared" si="133"/>
        <v>0</v>
      </c>
      <c r="BW97" s="60">
        <f t="shared" si="134"/>
        <v>0</v>
      </c>
      <c r="BX97" s="60">
        <f t="shared" si="179"/>
        <v>0</v>
      </c>
      <c r="BY97" s="60">
        <f t="shared" si="180"/>
        <v>0</v>
      </c>
      <c r="BZ97" s="60">
        <f t="shared" si="181"/>
        <v>0</v>
      </c>
      <c r="CA97" s="60">
        <f t="shared" si="182"/>
        <v>0</v>
      </c>
      <c r="CB97" s="60" t="e">
        <f t="shared" si="135"/>
        <v>#N/A</v>
      </c>
      <c r="CC97" s="60">
        <f t="shared" si="136"/>
        <v>100000</v>
      </c>
      <c r="CD97" s="60" t="e">
        <f t="shared" si="137"/>
        <v>#N/A</v>
      </c>
      <c r="CE97" s="60">
        <f t="shared" si="138"/>
        <v>100000</v>
      </c>
      <c r="CF97" s="83" t="e">
        <f t="shared" si="183"/>
        <v>#N/A</v>
      </c>
      <c r="CG97" s="83">
        <f t="shared" si="184"/>
        <v>0</v>
      </c>
      <c r="CH97" s="83" t="e">
        <f t="shared" si="185"/>
        <v>#N/A</v>
      </c>
      <c r="CI97" s="83">
        <f t="shared" si="186"/>
        <v>0</v>
      </c>
      <c r="CJ97" s="86" t="e">
        <f t="shared" si="139"/>
        <v>#N/A</v>
      </c>
      <c r="CK97" s="82">
        <f t="shared" si="140"/>
        <v>5.3070370403969858E-3</v>
      </c>
      <c r="CL97" s="82" t="e">
        <f t="shared" si="141"/>
        <v>#N/A</v>
      </c>
      <c r="CM97" s="82">
        <f t="shared" si="142"/>
        <v>5.3070370403969858E-3</v>
      </c>
      <c r="CO97" s="149" t="str">
        <f>IF($I97&lt;&gt;"",IF(O97="User Specified",U97,INDEX('Refrigerant GWPs'!$G$2:$G$156,MATCH(O97,'Refrigerant GWPs'!$A$2:$A$156,0))),"")</f>
        <v/>
      </c>
      <c r="CP97" s="138" t="str">
        <f>IF($I97&lt;&gt;"",INDEX('Device Refrigerant Leakage'!$E$2:$E$42,MATCH($M97,'Device Refrigerant Leakage'!$B$2:$B$42,0)),"")</f>
        <v/>
      </c>
      <c r="CQ97" s="138" t="str">
        <f>IF($I97&lt;&gt;"",INDEX('Device Refrigerant Leakage'!$F$2:$F$42,MATCH($M97,'Device Refrigerant Leakage'!$B$2:$B$42,0)),"")</f>
        <v/>
      </c>
      <c r="CR97" s="145" t="str">
        <f>IF($I97&lt;&gt;"",INDEX('Device Refrigerant Leakage'!$G$2:$G$42,MATCH($M97,'Device Refrigerant Leakage'!$B$2:$B$42,0)),"")</f>
        <v/>
      </c>
      <c r="CS97" s="145" t="str">
        <f>IF($I97&lt;&gt;"",INDEX('Device Refrigerant Leakage'!$D$2:$D$42,MATCH($M97,'Device Refrigerant Leakage'!$B$2:$B$42,0))*CP97/2204.62*CO97,"")</f>
        <v/>
      </c>
      <c r="CT97" s="145" t="str">
        <f>IF($I97&lt;&gt;"",J97*(INDEX('Device Refrigerant Leakage'!$D$2:$D$42,MATCH($M97,'Device Refrigerant Leakage'!$B$2:$B$42,0))-(INDEX('Device Refrigerant Leakage'!$D$2:$D$42,MATCH($M97,'Device Refrigerant Leakage'!$B$2:$B$42,0)))*CR97*CP97)*CQ97/2204.62*CO97,"")</f>
        <v/>
      </c>
      <c r="CU97" s="135" t="str">
        <f>IF($I97&lt;&gt;"",J97*IF(W97&lt;&gt;"AR",(CS97*K97)+CT97,(CS97*AB97)+CT97*(AB97/INDEX('Device Refrigerant Leakage'!$C$2:$C$42,MATCH($M97,'Device Refrigerant Leakage'!$B$2:$B$42,0)))),"")</f>
        <v/>
      </c>
      <c r="CW97" s="135" t="str">
        <f>IF($I97&lt;&gt;"",IF(S97="User Specified",V97,INDEX('Refrigerant GWPs'!$G$2:$G$156,MATCH(S97,'Refrigerant GWPs'!$A$2:$A$157,0))),"")</f>
        <v/>
      </c>
      <c r="CX97" s="138" t="str">
        <f>IF($I97&lt;&gt;"",INDEX('Device Refrigerant Leakage'!$E$2:$E$42,MATCH($Q97,'Device Refrigerant Leakage'!$B$2:$B$42,0)),"")</f>
        <v/>
      </c>
      <c r="CY97" s="138" t="str">
        <f>IF($I97&lt;&gt;"",INDEX('Device Refrigerant Leakage'!$F$2:$F$42,MATCH($Q97,'Device Refrigerant Leakage'!$B$2:$B$42,0)),"")</f>
        <v/>
      </c>
      <c r="CZ97" s="145" t="str">
        <f>IF($I97&lt;&gt;"",INDEX('Device Refrigerant Leakage'!$G$2:$G$42,MATCH($Q97,'Device Refrigerant Leakage'!$B$2:$B$42,0)),"")</f>
        <v/>
      </c>
      <c r="DA97" s="145" t="str">
        <f>IF($I97&lt;&gt;"",J97*INDEX('Device Refrigerant Leakage'!$D$2:$D$42,MATCH($Q97,'Device Refrigerant Leakage'!$B$2:$B$42,0))*CX97/2204.62*CW97,"")</f>
        <v/>
      </c>
      <c r="DB97" s="145" t="str">
        <f>IF($I97&lt;&gt;"",J97*(INDEX('Device Refrigerant Leakage'!$D$2:$D$42,MATCH($Q97,'Device Refrigerant Leakage'!$B$2:$B$42,0))-(INDEX('Device Refrigerant Leakage'!$D$2:$D$42,MATCH($Q97,'Device Refrigerant Leakage'!$B$2:$B$42,0)))*CZ97*CX97)*CY97/2204.62*CW97,"")</f>
        <v/>
      </c>
      <c r="DC97" s="135" t="str">
        <f t="shared" si="163"/>
        <v/>
      </c>
      <c r="DE97" s="146" t="str">
        <f>IF(W97&lt;&gt;"AR","",IF(Y97="User Specified", AA97, INDEX('Refrigerant GWPs'!$G$2:$G$154,MATCH(Y97,'Refrigerant GWPs'!$A$2:$A$154,0))))</f>
        <v/>
      </c>
      <c r="DF97" s="146" t="str">
        <f>IF(W97&lt;&gt;"AR","",INDEX('Device Refrigerant Leakage'!$E$2:$E$42,MATCH(X97,'Device Refrigerant Leakage'!$B$2:$B$42,0)))</f>
        <v/>
      </c>
      <c r="DG97" s="146" t="str">
        <f>IF(W97&lt;&gt;"AR","",INDEX('Device Refrigerant Leakage'!$F$2:$F$42,MATCH(X97,'Device Refrigerant Leakage'!$B$2:$B$42,0)))</f>
        <v/>
      </c>
      <c r="DH97" s="146" t="str">
        <f>IF(W97&lt;&gt;"AR","",INDEX('Device Refrigerant Leakage'!$G$2:$G$42,MATCH(X97,'Device Refrigerant Leakage'!$B$2:$B$42,0)))</f>
        <v/>
      </c>
      <c r="DI97" s="146" t="str">
        <f>IF(W97&lt;&gt;"AR","",J97*INDEX('Device Refrigerant Leakage'!$D$2:$D$42,MATCH(X97,'Device Refrigerant Leakage'!$B$2:$B$42,0))*DF97/2204.62*DE97)</f>
        <v/>
      </c>
      <c r="DJ97" s="146" t="str">
        <f>IF(W97&lt;&gt;"AR","",J97*(INDEX('Device Refrigerant Leakage'!$D$2:$D$42,MATCH(X97,'Device Refrigerant Leakage'!$B$2:$B$42,0))-(INDEX('Device Refrigerant Leakage'!$D$2:$D$42,MATCH(X97,'Device Refrigerant Leakage'!$B$2:$B$42,0)))*DH97*DF97)*DG97/2204.62*DE97)</f>
        <v/>
      </c>
      <c r="DK97" s="146" t="str">
        <f>IF(W97&lt;&gt;"AR","",DI97*(K97-AB97)+'Fuel Sub Calcs-Deemed'!DJ97*((K97-AB97)/INDEX('Device Refrigerant Leakage'!$C$2:$C$42,MATCH('Fuel Sub Calcs-Deemed'!X97,'Device Refrigerant Leakage'!$B$2:$B$42,0))))</f>
        <v/>
      </c>
      <c r="DM97" s="56">
        <v>83</v>
      </c>
      <c r="DN97" s="67" t="e">
        <f t="shared" si="143"/>
        <v>#N/A</v>
      </c>
      <c r="DO97" s="45" t="e">
        <f t="shared" si="144"/>
        <v>#N/A</v>
      </c>
      <c r="DP97" s="67" t="e">
        <f t="shared" si="145"/>
        <v>#N/A</v>
      </c>
      <c r="DQ97" s="45" t="e">
        <f t="shared" si="146"/>
        <v>#N/A</v>
      </c>
      <c r="DR97" s="69" t="e">
        <f t="shared" si="147"/>
        <v>#N/A</v>
      </c>
      <c r="DS97" s="34"/>
      <c r="DT97" s="67" t="e">
        <f>((BX97*CJ97)+IF($W97=MAT_AR,(BZ97*CL97),0))*(1+Reference!$E$50+Reference!$E$51)</f>
        <v>#N/A</v>
      </c>
      <c r="DU97" s="67">
        <f>((BY97*CK97)+IF($W97=MAT_AR,(CA97*CM97),0))*(1+Reference!$G$50+Reference!$G$51)</f>
        <v>0</v>
      </c>
      <c r="DV97" s="67" t="e">
        <f t="shared" si="148"/>
        <v>#VALUE!</v>
      </c>
      <c r="DX97" s="56">
        <v>83</v>
      </c>
      <c r="DY97" s="67">
        <f t="shared" si="149"/>
        <v>0</v>
      </c>
      <c r="DZ97" s="45" t="e">
        <f>VLOOKUP($R97,Dropdown!$C$3:$D$4,2,FALSE)</f>
        <v>#N/A</v>
      </c>
      <c r="EA97" s="68">
        <f t="shared" si="150"/>
        <v>0</v>
      </c>
      <c r="EB97" s="68" t="str">
        <f t="shared" si="151"/>
        <v>N/A</v>
      </c>
      <c r="EC97" s="68">
        <f t="shared" si="152"/>
        <v>0</v>
      </c>
      <c r="ED97" s="68" t="str">
        <f t="shared" si="153"/>
        <v>N/A</v>
      </c>
      <c r="EF97" s="56">
        <v>83</v>
      </c>
      <c r="EG97" s="46">
        <f t="shared" si="154"/>
        <v>0</v>
      </c>
      <c r="EH97" s="68" t="e">
        <f t="shared" si="155"/>
        <v>#N/A</v>
      </c>
      <c r="EI97" s="68" t="e">
        <f t="shared" si="156"/>
        <v>#N/A</v>
      </c>
      <c r="EJ97" s="68" t="e">
        <f t="shared" si="157"/>
        <v>#N/A</v>
      </c>
      <c r="EK97" s="68" t="e">
        <f t="shared" si="158"/>
        <v>#N/A</v>
      </c>
      <c r="EL97" s="46">
        <f t="shared" si="159"/>
        <v>0</v>
      </c>
      <c r="EM97" s="46">
        <f t="shared" si="160"/>
        <v>0</v>
      </c>
    </row>
    <row r="98" spans="1:143">
      <c r="A98" s="89"/>
      <c r="B98" s="89"/>
      <c r="C98" s="89"/>
      <c r="D98" s="89"/>
      <c r="E98" s="89"/>
      <c r="F98" s="89"/>
      <c r="G98" s="34"/>
      <c r="H98" s="56">
        <f t="shared" si="161"/>
        <v>84</v>
      </c>
      <c r="I98" s="165"/>
      <c r="J98" s="163"/>
      <c r="K98" s="163"/>
      <c r="L98" s="164"/>
      <c r="M98" s="155"/>
      <c r="N98" s="155"/>
      <c r="O98" s="144"/>
      <c r="P98" s="159" t="str">
        <f>IFERROR(IF(O98&lt;&gt;"User Specified",IF(O98&lt;&gt;"", INDEX('Refrigerant GWPs'!$G$2:$G$154,MATCH(O98,'Refrigerant GWPs'!$A$2:$A$154,0)),""),U98),0)</f>
        <v/>
      </c>
      <c r="Q98" s="155"/>
      <c r="R98" s="155"/>
      <c r="S98" s="144"/>
      <c r="T98" s="159" t="str">
        <f>IF(S98&lt;&gt;"User Specified",IF(AND(S98&lt;&gt;"User Specified",S98&lt;&gt;""), INDEX('Refrigerant GWPs'!$G$2:$G$154,MATCH(S98,'Refrigerant GWPs'!$A$2:$A$154,0)),""),V98)</f>
        <v/>
      </c>
      <c r="U98" s="144"/>
      <c r="V98" s="144"/>
      <c r="W98" s="155"/>
      <c r="X98" s="155"/>
      <c r="Y98" s="144"/>
      <c r="Z98" s="159" t="str">
        <f>IF(AND(Y98&lt;&gt;"User Specified",Y98&lt;&gt;""), INDEX('Refrigerant GWPs'!$G$2:$G$154,MATCH(Y98,'Refrigerant GWPs'!$A$2:$A$154,0)),"")</f>
        <v/>
      </c>
      <c r="AA98" s="155"/>
      <c r="AB98" s="156"/>
      <c r="AC98" s="66"/>
      <c r="AD98" s="66"/>
      <c r="AE98" s="66"/>
      <c r="AF98" s="66"/>
      <c r="AG98" s="66"/>
      <c r="AH98" s="66"/>
      <c r="AI98" s="34"/>
      <c r="AJ98" s="88">
        <f t="shared" si="119"/>
        <v>0</v>
      </c>
      <c r="AK98" s="88">
        <f t="shared" si="120"/>
        <v>0</v>
      </c>
      <c r="AL98" s="88">
        <v>0</v>
      </c>
      <c r="AM98" s="88">
        <v>0</v>
      </c>
      <c r="AN98" s="81" t="str">
        <f t="shared" si="162"/>
        <v/>
      </c>
      <c r="AO98" s="88">
        <f t="shared" si="121"/>
        <v>0</v>
      </c>
      <c r="AP98" s="88">
        <f t="shared" si="122"/>
        <v>0</v>
      </c>
      <c r="AQ98" s="81" t="str">
        <f t="shared" si="123"/>
        <v/>
      </c>
      <c r="AS98" s="41" t="b">
        <f t="shared" si="124"/>
        <v>1</v>
      </c>
      <c r="AT98" s="38">
        <f t="shared" si="125"/>
        <v>0</v>
      </c>
      <c r="AU98" s="60">
        <f t="shared" si="126"/>
        <v>0</v>
      </c>
      <c r="AV98" s="41">
        <f t="shared" si="127"/>
        <v>0</v>
      </c>
      <c r="AW98" s="41" t="b">
        <f t="shared" si="128"/>
        <v>0</v>
      </c>
      <c r="AX98" t="str">
        <f t="shared" si="129"/>
        <v>+00</v>
      </c>
      <c r="AY98" t="str">
        <f t="shared" si="130"/>
        <v>+00</v>
      </c>
      <c r="BA98" s="47" t="b">
        <f t="shared" si="164"/>
        <v>1</v>
      </c>
      <c r="BB98" s="42" t="b">
        <f t="shared" si="165"/>
        <v>1</v>
      </c>
      <c r="BC98" s="42" t="b">
        <f t="shared" si="166"/>
        <v>0</v>
      </c>
      <c r="BD98" s="42" t="b">
        <f t="shared" si="167"/>
        <v>0</v>
      </c>
      <c r="BE98" s="70">
        <f t="shared" si="168"/>
        <v>0</v>
      </c>
      <c r="BF98" s="70">
        <f t="shared" si="169"/>
        <v>0</v>
      </c>
      <c r="BG98" s="34"/>
      <c r="BI98" s="47" t="b">
        <f t="shared" si="170"/>
        <v>1</v>
      </c>
      <c r="BJ98" s="47" t="b">
        <f t="shared" si="171"/>
        <v>1</v>
      </c>
      <c r="BK98" s="42" t="b">
        <f t="shared" si="172"/>
        <v>0</v>
      </c>
      <c r="BL98" s="42" t="b">
        <f t="shared" si="173"/>
        <v>0</v>
      </c>
      <c r="BM98" s="42">
        <f t="shared" si="174"/>
        <v>0</v>
      </c>
      <c r="BN98" s="42">
        <f t="shared" si="175"/>
        <v>0</v>
      </c>
      <c r="BP98" t="e">
        <f t="shared" si="176"/>
        <v>#N/A</v>
      </c>
      <c r="BQ98" t="e">
        <f t="shared" si="177"/>
        <v>#N/A</v>
      </c>
      <c r="BR98" t="e">
        <f t="shared" si="178"/>
        <v>#N/A</v>
      </c>
      <c r="BT98" s="60">
        <f t="shared" si="131"/>
        <v>0</v>
      </c>
      <c r="BU98" s="60">
        <f t="shared" si="132"/>
        <v>0</v>
      </c>
      <c r="BV98" s="60">
        <f t="shared" si="133"/>
        <v>0</v>
      </c>
      <c r="BW98" s="60">
        <f t="shared" si="134"/>
        <v>0</v>
      </c>
      <c r="BX98" s="60">
        <f t="shared" si="179"/>
        <v>0</v>
      </c>
      <c r="BY98" s="60">
        <f t="shared" si="180"/>
        <v>0</v>
      </c>
      <c r="BZ98" s="60">
        <f t="shared" si="181"/>
        <v>0</v>
      </c>
      <c r="CA98" s="60">
        <f t="shared" si="182"/>
        <v>0</v>
      </c>
      <c r="CB98" s="60" t="e">
        <f t="shared" si="135"/>
        <v>#N/A</v>
      </c>
      <c r="CC98" s="60">
        <f t="shared" si="136"/>
        <v>100000</v>
      </c>
      <c r="CD98" s="60" t="e">
        <f t="shared" si="137"/>
        <v>#N/A</v>
      </c>
      <c r="CE98" s="60">
        <f t="shared" si="138"/>
        <v>100000</v>
      </c>
      <c r="CF98" s="83" t="e">
        <f t="shared" si="183"/>
        <v>#N/A</v>
      </c>
      <c r="CG98" s="83">
        <f t="shared" si="184"/>
        <v>0</v>
      </c>
      <c r="CH98" s="83" t="e">
        <f t="shared" si="185"/>
        <v>#N/A</v>
      </c>
      <c r="CI98" s="83">
        <f t="shared" si="186"/>
        <v>0</v>
      </c>
      <c r="CJ98" s="86" t="e">
        <f t="shared" si="139"/>
        <v>#N/A</v>
      </c>
      <c r="CK98" s="82">
        <f t="shared" si="140"/>
        <v>5.3070370403969858E-3</v>
      </c>
      <c r="CL98" s="82" t="e">
        <f t="shared" si="141"/>
        <v>#N/A</v>
      </c>
      <c r="CM98" s="82">
        <f t="shared" si="142"/>
        <v>5.3070370403969858E-3</v>
      </c>
      <c r="CO98" s="149" t="str">
        <f>IF($I98&lt;&gt;"",IF(O98="User Specified",U98,INDEX('Refrigerant GWPs'!$G$2:$G$156,MATCH(O98,'Refrigerant GWPs'!$A$2:$A$156,0))),"")</f>
        <v/>
      </c>
      <c r="CP98" s="138" t="str">
        <f>IF($I98&lt;&gt;"",INDEX('Device Refrigerant Leakage'!$E$2:$E$42,MATCH($M98,'Device Refrigerant Leakage'!$B$2:$B$42,0)),"")</f>
        <v/>
      </c>
      <c r="CQ98" s="138" t="str">
        <f>IF($I98&lt;&gt;"",INDEX('Device Refrigerant Leakage'!$F$2:$F$42,MATCH($M98,'Device Refrigerant Leakage'!$B$2:$B$42,0)),"")</f>
        <v/>
      </c>
      <c r="CR98" s="145" t="str">
        <f>IF($I98&lt;&gt;"",INDEX('Device Refrigerant Leakage'!$G$2:$G$42,MATCH($M98,'Device Refrigerant Leakage'!$B$2:$B$42,0)),"")</f>
        <v/>
      </c>
      <c r="CS98" s="145" t="str">
        <f>IF($I98&lt;&gt;"",INDEX('Device Refrigerant Leakage'!$D$2:$D$42,MATCH($M98,'Device Refrigerant Leakage'!$B$2:$B$42,0))*CP98/2204.62*CO98,"")</f>
        <v/>
      </c>
      <c r="CT98" s="145" t="str">
        <f>IF($I98&lt;&gt;"",J98*(INDEX('Device Refrigerant Leakage'!$D$2:$D$42,MATCH($M98,'Device Refrigerant Leakage'!$B$2:$B$42,0))-(INDEX('Device Refrigerant Leakage'!$D$2:$D$42,MATCH($M98,'Device Refrigerant Leakage'!$B$2:$B$42,0)))*CR98*CP98)*CQ98/2204.62*CO98,"")</f>
        <v/>
      </c>
      <c r="CU98" s="135" t="str">
        <f>IF($I98&lt;&gt;"",J98*IF(W98&lt;&gt;"AR",(CS98*K98)+CT98,(CS98*AB98)+CT98*(AB98/INDEX('Device Refrigerant Leakage'!$C$2:$C$42,MATCH($M98,'Device Refrigerant Leakage'!$B$2:$B$42,0)))),"")</f>
        <v/>
      </c>
      <c r="CW98" s="135" t="str">
        <f>IF($I98&lt;&gt;"",IF(S98="User Specified",V98,INDEX('Refrigerant GWPs'!$G$2:$G$156,MATCH(S98,'Refrigerant GWPs'!$A$2:$A$157,0))),"")</f>
        <v/>
      </c>
      <c r="CX98" s="138" t="str">
        <f>IF($I98&lt;&gt;"",INDEX('Device Refrigerant Leakage'!$E$2:$E$42,MATCH($Q98,'Device Refrigerant Leakage'!$B$2:$B$42,0)),"")</f>
        <v/>
      </c>
      <c r="CY98" s="138" t="str">
        <f>IF($I98&lt;&gt;"",INDEX('Device Refrigerant Leakage'!$F$2:$F$42,MATCH($Q98,'Device Refrigerant Leakage'!$B$2:$B$42,0)),"")</f>
        <v/>
      </c>
      <c r="CZ98" s="145" t="str">
        <f>IF($I98&lt;&gt;"",INDEX('Device Refrigerant Leakage'!$G$2:$G$42,MATCH($Q98,'Device Refrigerant Leakage'!$B$2:$B$42,0)),"")</f>
        <v/>
      </c>
      <c r="DA98" s="145" t="str">
        <f>IF($I98&lt;&gt;"",J98*INDEX('Device Refrigerant Leakage'!$D$2:$D$42,MATCH($Q98,'Device Refrigerant Leakage'!$B$2:$B$42,0))*CX98/2204.62*CW98,"")</f>
        <v/>
      </c>
      <c r="DB98" s="145" t="str">
        <f>IF($I98&lt;&gt;"",J98*(INDEX('Device Refrigerant Leakage'!$D$2:$D$42,MATCH($Q98,'Device Refrigerant Leakage'!$B$2:$B$42,0))-(INDEX('Device Refrigerant Leakage'!$D$2:$D$42,MATCH($Q98,'Device Refrigerant Leakage'!$B$2:$B$42,0)))*CZ98*CX98)*CY98/2204.62*CW98,"")</f>
        <v/>
      </c>
      <c r="DC98" s="135" t="str">
        <f t="shared" si="163"/>
        <v/>
      </c>
      <c r="DE98" s="146" t="str">
        <f>IF(W98&lt;&gt;"AR","",IF(Y98="User Specified", AA98, INDEX('Refrigerant GWPs'!$G$2:$G$154,MATCH(Y98,'Refrigerant GWPs'!$A$2:$A$154,0))))</f>
        <v/>
      </c>
      <c r="DF98" s="146" t="str">
        <f>IF(W98&lt;&gt;"AR","",INDEX('Device Refrigerant Leakage'!$E$2:$E$42,MATCH(X98,'Device Refrigerant Leakage'!$B$2:$B$42,0)))</f>
        <v/>
      </c>
      <c r="DG98" s="146" t="str">
        <f>IF(W98&lt;&gt;"AR","",INDEX('Device Refrigerant Leakage'!$F$2:$F$42,MATCH(X98,'Device Refrigerant Leakage'!$B$2:$B$42,0)))</f>
        <v/>
      </c>
      <c r="DH98" s="146" t="str">
        <f>IF(W98&lt;&gt;"AR","",INDEX('Device Refrigerant Leakage'!$G$2:$G$42,MATCH(X98,'Device Refrigerant Leakage'!$B$2:$B$42,0)))</f>
        <v/>
      </c>
      <c r="DI98" s="146" t="str">
        <f>IF(W98&lt;&gt;"AR","",J98*INDEX('Device Refrigerant Leakage'!$D$2:$D$42,MATCH(X98,'Device Refrigerant Leakage'!$B$2:$B$42,0))*DF98/2204.62*DE98)</f>
        <v/>
      </c>
      <c r="DJ98" s="146" t="str">
        <f>IF(W98&lt;&gt;"AR","",J98*(INDEX('Device Refrigerant Leakage'!$D$2:$D$42,MATCH(X98,'Device Refrigerant Leakage'!$B$2:$B$42,0))-(INDEX('Device Refrigerant Leakage'!$D$2:$D$42,MATCH(X98,'Device Refrigerant Leakage'!$B$2:$B$42,0)))*DH98*DF98)*DG98/2204.62*DE98)</f>
        <v/>
      </c>
      <c r="DK98" s="146" t="str">
        <f>IF(W98&lt;&gt;"AR","",DI98*(K98-AB98)+'Fuel Sub Calcs-Deemed'!DJ98*((K98-AB98)/INDEX('Device Refrigerant Leakage'!$C$2:$C$42,MATCH('Fuel Sub Calcs-Deemed'!X98,'Device Refrigerant Leakage'!$B$2:$B$42,0))))</f>
        <v/>
      </c>
      <c r="DM98" s="56">
        <v>84</v>
      </c>
      <c r="DN98" s="67" t="e">
        <f t="shared" si="143"/>
        <v>#N/A</v>
      </c>
      <c r="DO98" s="45" t="e">
        <f t="shared" si="144"/>
        <v>#N/A</v>
      </c>
      <c r="DP98" s="67" t="e">
        <f t="shared" si="145"/>
        <v>#N/A</v>
      </c>
      <c r="DQ98" s="45" t="e">
        <f t="shared" si="146"/>
        <v>#N/A</v>
      </c>
      <c r="DR98" s="69" t="e">
        <f t="shared" si="147"/>
        <v>#N/A</v>
      </c>
      <c r="DS98" s="34"/>
      <c r="DT98" s="67" t="e">
        <f>((BX98*CJ98)+IF($W98=MAT_AR,(BZ98*CL98),0))*(1+Reference!$E$50+Reference!$E$51)</f>
        <v>#N/A</v>
      </c>
      <c r="DU98" s="67">
        <f>((BY98*CK98)+IF($W98=MAT_AR,(CA98*CM98),0))*(1+Reference!$G$50+Reference!$G$51)</f>
        <v>0</v>
      </c>
      <c r="DV98" s="67" t="e">
        <f t="shared" si="148"/>
        <v>#VALUE!</v>
      </c>
      <c r="DX98" s="56">
        <v>84</v>
      </c>
      <c r="DY98" s="67">
        <f t="shared" si="149"/>
        <v>0</v>
      </c>
      <c r="DZ98" s="45" t="e">
        <f>VLOOKUP($R98,Dropdown!$C$3:$D$4,2,FALSE)</f>
        <v>#N/A</v>
      </c>
      <c r="EA98" s="68">
        <f t="shared" si="150"/>
        <v>0</v>
      </c>
      <c r="EB98" s="68" t="str">
        <f t="shared" si="151"/>
        <v>N/A</v>
      </c>
      <c r="EC98" s="68">
        <f t="shared" si="152"/>
        <v>0</v>
      </c>
      <c r="ED98" s="68" t="str">
        <f t="shared" si="153"/>
        <v>N/A</v>
      </c>
      <c r="EF98" s="56">
        <v>84</v>
      </c>
      <c r="EG98" s="46">
        <f t="shared" si="154"/>
        <v>0</v>
      </c>
      <c r="EH98" s="68" t="e">
        <f t="shared" si="155"/>
        <v>#N/A</v>
      </c>
      <c r="EI98" s="68" t="e">
        <f t="shared" si="156"/>
        <v>#N/A</v>
      </c>
      <c r="EJ98" s="68" t="e">
        <f t="shared" si="157"/>
        <v>#N/A</v>
      </c>
      <c r="EK98" s="68" t="e">
        <f t="shared" si="158"/>
        <v>#N/A</v>
      </c>
      <c r="EL98" s="46">
        <f t="shared" si="159"/>
        <v>0</v>
      </c>
      <c r="EM98" s="46">
        <f t="shared" si="160"/>
        <v>0</v>
      </c>
    </row>
    <row r="99" spans="1:143">
      <c r="A99" s="89"/>
      <c r="B99" s="89"/>
      <c r="C99" s="89"/>
      <c r="D99" s="89"/>
      <c r="E99" s="89"/>
      <c r="F99" s="89"/>
      <c r="G99" s="34"/>
      <c r="H99" s="56">
        <f t="shared" si="161"/>
        <v>85</v>
      </c>
      <c r="I99" s="165"/>
      <c r="J99" s="163"/>
      <c r="K99" s="163"/>
      <c r="L99" s="164"/>
      <c r="M99" s="155"/>
      <c r="N99" s="155"/>
      <c r="O99" s="144"/>
      <c r="P99" s="159" t="str">
        <f>IFERROR(IF(O99&lt;&gt;"User Specified",IF(O99&lt;&gt;"", INDEX('Refrigerant GWPs'!$G$2:$G$154,MATCH(O99,'Refrigerant GWPs'!$A$2:$A$154,0)),""),U99),0)</f>
        <v/>
      </c>
      <c r="Q99" s="155"/>
      <c r="R99" s="155"/>
      <c r="S99" s="144"/>
      <c r="T99" s="159" t="str">
        <f>IF(S99&lt;&gt;"User Specified",IF(AND(S99&lt;&gt;"User Specified",S99&lt;&gt;""), INDEX('Refrigerant GWPs'!$G$2:$G$154,MATCH(S99,'Refrigerant GWPs'!$A$2:$A$154,0)),""),V99)</f>
        <v/>
      </c>
      <c r="U99" s="144"/>
      <c r="V99" s="144"/>
      <c r="W99" s="155"/>
      <c r="X99" s="155"/>
      <c r="Y99" s="144"/>
      <c r="Z99" s="159" t="str">
        <f>IF(AND(Y99&lt;&gt;"User Specified",Y99&lt;&gt;""), INDEX('Refrigerant GWPs'!$G$2:$G$154,MATCH(Y99,'Refrigerant GWPs'!$A$2:$A$154,0)),"")</f>
        <v/>
      </c>
      <c r="AA99" s="155"/>
      <c r="AB99" s="156"/>
      <c r="AC99" s="66"/>
      <c r="AD99" s="66"/>
      <c r="AE99" s="66"/>
      <c r="AF99" s="66"/>
      <c r="AG99" s="66"/>
      <c r="AH99" s="66"/>
      <c r="AI99" s="34"/>
      <c r="AJ99" s="88">
        <f t="shared" si="119"/>
        <v>0</v>
      </c>
      <c r="AK99" s="88">
        <f t="shared" si="120"/>
        <v>0</v>
      </c>
      <c r="AL99" s="88">
        <v>0</v>
      </c>
      <c r="AM99" s="88">
        <v>0</v>
      </c>
      <c r="AN99" s="81" t="str">
        <f t="shared" si="162"/>
        <v/>
      </c>
      <c r="AO99" s="88">
        <f t="shared" si="121"/>
        <v>0</v>
      </c>
      <c r="AP99" s="88">
        <f t="shared" si="122"/>
        <v>0</v>
      </c>
      <c r="AQ99" s="81" t="str">
        <f t="shared" si="123"/>
        <v/>
      </c>
      <c r="AS99" s="41" t="b">
        <f t="shared" si="124"/>
        <v>1</v>
      </c>
      <c r="AT99" s="38">
        <f t="shared" si="125"/>
        <v>0</v>
      </c>
      <c r="AU99" s="60">
        <f t="shared" si="126"/>
        <v>0</v>
      </c>
      <c r="AV99" s="41">
        <f t="shared" si="127"/>
        <v>0</v>
      </c>
      <c r="AW99" s="41" t="b">
        <f t="shared" si="128"/>
        <v>0</v>
      </c>
      <c r="AX99" t="str">
        <f t="shared" si="129"/>
        <v>+00</v>
      </c>
      <c r="AY99" t="str">
        <f t="shared" si="130"/>
        <v>+00</v>
      </c>
      <c r="BA99" s="47" t="b">
        <f t="shared" si="164"/>
        <v>1</v>
      </c>
      <c r="BB99" s="42" t="b">
        <f t="shared" si="165"/>
        <v>1</v>
      </c>
      <c r="BC99" s="42" t="b">
        <f t="shared" si="166"/>
        <v>0</v>
      </c>
      <c r="BD99" s="42" t="b">
        <f t="shared" si="167"/>
        <v>0</v>
      </c>
      <c r="BE99" s="70">
        <f t="shared" si="168"/>
        <v>0</v>
      </c>
      <c r="BF99" s="70">
        <f t="shared" si="169"/>
        <v>0</v>
      </c>
      <c r="BG99" s="34"/>
      <c r="BI99" s="47" t="b">
        <f t="shared" si="170"/>
        <v>1</v>
      </c>
      <c r="BJ99" s="47" t="b">
        <f t="shared" si="171"/>
        <v>1</v>
      </c>
      <c r="BK99" s="42" t="b">
        <f t="shared" si="172"/>
        <v>0</v>
      </c>
      <c r="BL99" s="42" t="b">
        <f t="shared" si="173"/>
        <v>0</v>
      </c>
      <c r="BM99" s="42">
        <f t="shared" si="174"/>
        <v>0</v>
      </c>
      <c r="BN99" s="42">
        <f t="shared" si="175"/>
        <v>0</v>
      </c>
      <c r="BP99" t="e">
        <f t="shared" si="176"/>
        <v>#N/A</v>
      </c>
      <c r="BQ99" t="e">
        <f t="shared" si="177"/>
        <v>#N/A</v>
      </c>
      <c r="BR99" t="e">
        <f t="shared" si="178"/>
        <v>#N/A</v>
      </c>
      <c r="BT99" s="60">
        <f t="shared" si="131"/>
        <v>0</v>
      </c>
      <c r="BU99" s="60">
        <f t="shared" si="132"/>
        <v>0</v>
      </c>
      <c r="BV99" s="60">
        <f t="shared" si="133"/>
        <v>0</v>
      </c>
      <c r="BW99" s="60">
        <f t="shared" si="134"/>
        <v>0</v>
      </c>
      <c r="BX99" s="60">
        <f t="shared" si="179"/>
        <v>0</v>
      </c>
      <c r="BY99" s="60">
        <f t="shared" si="180"/>
        <v>0</v>
      </c>
      <c r="BZ99" s="60">
        <f t="shared" si="181"/>
        <v>0</v>
      </c>
      <c r="CA99" s="60">
        <f t="shared" si="182"/>
        <v>0</v>
      </c>
      <c r="CB99" s="60" t="e">
        <f t="shared" si="135"/>
        <v>#N/A</v>
      </c>
      <c r="CC99" s="60">
        <f t="shared" si="136"/>
        <v>100000</v>
      </c>
      <c r="CD99" s="60" t="e">
        <f t="shared" si="137"/>
        <v>#N/A</v>
      </c>
      <c r="CE99" s="60">
        <f t="shared" si="138"/>
        <v>100000</v>
      </c>
      <c r="CF99" s="83" t="e">
        <f t="shared" si="183"/>
        <v>#N/A</v>
      </c>
      <c r="CG99" s="83">
        <f t="shared" si="184"/>
        <v>0</v>
      </c>
      <c r="CH99" s="83" t="e">
        <f t="shared" si="185"/>
        <v>#N/A</v>
      </c>
      <c r="CI99" s="83">
        <f t="shared" si="186"/>
        <v>0</v>
      </c>
      <c r="CJ99" s="86" t="e">
        <f t="shared" si="139"/>
        <v>#N/A</v>
      </c>
      <c r="CK99" s="82">
        <f t="shared" si="140"/>
        <v>5.3070370403969858E-3</v>
      </c>
      <c r="CL99" s="82" t="e">
        <f t="shared" si="141"/>
        <v>#N/A</v>
      </c>
      <c r="CM99" s="82">
        <f t="shared" si="142"/>
        <v>5.3070370403969858E-3</v>
      </c>
      <c r="CO99" s="149" t="str">
        <f>IF($I99&lt;&gt;"",IF(O99="User Specified",U99,INDEX('Refrigerant GWPs'!$G$2:$G$156,MATCH(O99,'Refrigerant GWPs'!$A$2:$A$156,0))),"")</f>
        <v/>
      </c>
      <c r="CP99" s="138" t="str">
        <f>IF($I99&lt;&gt;"",INDEX('Device Refrigerant Leakage'!$E$2:$E$42,MATCH($M99,'Device Refrigerant Leakage'!$B$2:$B$42,0)),"")</f>
        <v/>
      </c>
      <c r="CQ99" s="138" t="str">
        <f>IF($I99&lt;&gt;"",INDEX('Device Refrigerant Leakage'!$F$2:$F$42,MATCH($M99,'Device Refrigerant Leakage'!$B$2:$B$42,0)),"")</f>
        <v/>
      </c>
      <c r="CR99" s="145" t="str">
        <f>IF($I99&lt;&gt;"",INDEX('Device Refrigerant Leakage'!$G$2:$G$42,MATCH($M99,'Device Refrigerant Leakage'!$B$2:$B$42,0)),"")</f>
        <v/>
      </c>
      <c r="CS99" s="145" t="str">
        <f>IF($I99&lt;&gt;"",INDEX('Device Refrigerant Leakage'!$D$2:$D$42,MATCH($M99,'Device Refrigerant Leakage'!$B$2:$B$42,0))*CP99/2204.62*CO99,"")</f>
        <v/>
      </c>
      <c r="CT99" s="145" t="str">
        <f>IF($I99&lt;&gt;"",J99*(INDEX('Device Refrigerant Leakage'!$D$2:$D$42,MATCH($M99,'Device Refrigerant Leakage'!$B$2:$B$42,0))-(INDEX('Device Refrigerant Leakage'!$D$2:$D$42,MATCH($M99,'Device Refrigerant Leakage'!$B$2:$B$42,0)))*CR99*CP99)*CQ99/2204.62*CO99,"")</f>
        <v/>
      </c>
      <c r="CU99" s="135" t="str">
        <f>IF($I99&lt;&gt;"",J99*IF(W99&lt;&gt;"AR",(CS99*K99)+CT99,(CS99*AB99)+CT99*(AB99/INDEX('Device Refrigerant Leakage'!$C$2:$C$42,MATCH($M99,'Device Refrigerant Leakage'!$B$2:$B$42,0)))),"")</f>
        <v/>
      </c>
      <c r="CW99" s="135" t="str">
        <f>IF($I99&lt;&gt;"",IF(S99="User Specified",V99,INDEX('Refrigerant GWPs'!$G$2:$G$156,MATCH(S99,'Refrigerant GWPs'!$A$2:$A$157,0))),"")</f>
        <v/>
      </c>
      <c r="CX99" s="138" t="str">
        <f>IF($I99&lt;&gt;"",INDEX('Device Refrigerant Leakage'!$E$2:$E$42,MATCH($Q99,'Device Refrigerant Leakage'!$B$2:$B$42,0)),"")</f>
        <v/>
      </c>
      <c r="CY99" s="138" t="str">
        <f>IF($I99&lt;&gt;"",INDEX('Device Refrigerant Leakage'!$F$2:$F$42,MATCH($Q99,'Device Refrigerant Leakage'!$B$2:$B$42,0)),"")</f>
        <v/>
      </c>
      <c r="CZ99" s="145" t="str">
        <f>IF($I99&lt;&gt;"",INDEX('Device Refrigerant Leakage'!$G$2:$G$42,MATCH($Q99,'Device Refrigerant Leakage'!$B$2:$B$42,0)),"")</f>
        <v/>
      </c>
      <c r="DA99" s="145" t="str">
        <f>IF($I99&lt;&gt;"",J99*INDEX('Device Refrigerant Leakage'!$D$2:$D$42,MATCH($Q99,'Device Refrigerant Leakage'!$B$2:$B$42,0))*CX99/2204.62*CW99,"")</f>
        <v/>
      </c>
      <c r="DB99" s="145" t="str">
        <f>IF($I99&lt;&gt;"",J99*(INDEX('Device Refrigerant Leakage'!$D$2:$D$42,MATCH($Q99,'Device Refrigerant Leakage'!$B$2:$B$42,0))-(INDEX('Device Refrigerant Leakage'!$D$2:$D$42,MATCH($Q99,'Device Refrigerant Leakage'!$B$2:$B$42,0)))*CZ99*CX99)*CY99/2204.62*CW99,"")</f>
        <v/>
      </c>
      <c r="DC99" s="135" t="str">
        <f t="shared" si="163"/>
        <v/>
      </c>
      <c r="DE99" s="146" t="str">
        <f>IF(W99&lt;&gt;"AR","",IF(Y99="User Specified", AA99, INDEX('Refrigerant GWPs'!$G$2:$G$154,MATCH(Y99,'Refrigerant GWPs'!$A$2:$A$154,0))))</f>
        <v/>
      </c>
      <c r="DF99" s="146" t="str">
        <f>IF(W99&lt;&gt;"AR","",INDEX('Device Refrigerant Leakage'!$E$2:$E$42,MATCH(X99,'Device Refrigerant Leakage'!$B$2:$B$42,0)))</f>
        <v/>
      </c>
      <c r="DG99" s="146" t="str">
        <f>IF(W99&lt;&gt;"AR","",INDEX('Device Refrigerant Leakage'!$F$2:$F$42,MATCH(X99,'Device Refrigerant Leakage'!$B$2:$B$42,0)))</f>
        <v/>
      </c>
      <c r="DH99" s="146" t="str">
        <f>IF(W99&lt;&gt;"AR","",INDEX('Device Refrigerant Leakage'!$G$2:$G$42,MATCH(X99,'Device Refrigerant Leakage'!$B$2:$B$42,0)))</f>
        <v/>
      </c>
      <c r="DI99" s="146" t="str">
        <f>IF(W99&lt;&gt;"AR","",J99*INDEX('Device Refrigerant Leakage'!$D$2:$D$42,MATCH(X99,'Device Refrigerant Leakage'!$B$2:$B$42,0))*DF99/2204.62*DE99)</f>
        <v/>
      </c>
      <c r="DJ99" s="146" t="str">
        <f>IF(W99&lt;&gt;"AR","",J99*(INDEX('Device Refrigerant Leakage'!$D$2:$D$42,MATCH(X99,'Device Refrigerant Leakage'!$B$2:$B$42,0))-(INDEX('Device Refrigerant Leakage'!$D$2:$D$42,MATCH(X99,'Device Refrigerant Leakage'!$B$2:$B$42,0)))*DH99*DF99)*DG99/2204.62*DE99)</f>
        <v/>
      </c>
      <c r="DK99" s="146" t="str">
        <f>IF(W99&lt;&gt;"AR","",DI99*(K99-AB99)+'Fuel Sub Calcs-Deemed'!DJ99*((K99-AB99)/INDEX('Device Refrigerant Leakage'!$C$2:$C$42,MATCH('Fuel Sub Calcs-Deemed'!X99,'Device Refrigerant Leakage'!$B$2:$B$42,0))))</f>
        <v/>
      </c>
      <c r="DM99" s="56">
        <v>85</v>
      </c>
      <c r="DN99" s="67" t="e">
        <f t="shared" si="143"/>
        <v>#N/A</v>
      </c>
      <c r="DO99" s="45" t="e">
        <f t="shared" si="144"/>
        <v>#N/A</v>
      </c>
      <c r="DP99" s="67" t="e">
        <f t="shared" si="145"/>
        <v>#N/A</v>
      </c>
      <c r="DQ99" s="45" t="e">
        <f t="shared" si="146"/>
        <v>#N/A</v>
      </c>
      <c r="DR99" s="69" t="e">
        <f t="shared" si="147"/>
        <v>#N/A</v>
      </c>
      <c r="DS99" s="34"/>
      <c r="DT99" s="67" t="e">
        <f>((BX99*CJ99)+IF($W99=MAT_AR,(BZ99*CL99),0))*(1+Reference!$E$50+Reference!$E$51)</f>
        <v>#N/A</v>
      </c>
      <c r="DU99" s="67">
        <f>((BY99*CK99)+IF($W99=MAT_AR,(CA99*CM99),0))*(1+Reference!$G$50+Reference!$G$51)</f>
        <v>0</v>
      </c>
      <c r="DV99" s="67" t="e">
        <f t="shared" si="148"/>
        <v>#VALUE!</v>
      </c>
      <c r="DX99" s="56">
        <v>85</v>
      </c>
      <c r="DY99" s="67">
        <f t="shared" si="149"/>
        <v>0</v>
      </c>
      <c r="DZ99" s="45" t="e">
        <f>VLOOKUP($R99,Dropdown!$C$3:$D$4,2,FALSE)</f>
        <v>#N/A</v>
      </c>
      <c r="EA99" s="68">
        <f t="shared" si="150"/>
        <v>0</v>
      </c>
      <c r="EB99" s="68" t="str">
        <f t="shared" si="151"/>
        <v>N/A</v>
      </c>
      <c r="EC99" s="68">
        <f t="shared" si="152"/>
        <v>0</v>
      </c>
      <c r="ED99" s="68" t="str">
        <f t="shared" si="153"/>
        <v>N/A</v>
      </c>
      <c r="EF99" s="56">
        <v>85</v>
      </c>
      <c r="EG99" s="46">
        <f t="shared" si="154"/>
        <v>0</v>
      </c>
      <c r="EH99" s="68" t="e">
        <f t="shared" si="155"/>
        <v>#N/A</v>
      </c>
      <c r="EI99" s="68" t="e">
        <f t="shared" si="156"/>
        <v>#N/A</v>
      </c>
      <c r="EJ99" s="68" t="e">
        <f t="shared" si="157"/>
        <v>#N/A</v>
      </c>
      <c r="EK99" s="68" t="e">
        <f t="shared" si="158"/>
        <v>#N/A</v>
      </c>
      <c r="EL99" s="46">
        <f t="shared" si="159"/>
        <v>0</v>
      </c>
      <c r="EM99" s="46">
        <f t="shared" si="160"/>
        <v>0</v>
      </c>
    </row>
    <row r="100" spans="1:143">
      <c r="A100" s="89"/>
      <c r="B100" s="89"/>
      <c r="C100" s="89"/>
      <c r="D100" s="89"/>
      <c r="E100" s="89"/>
      <c r="F100" s="89"/>
      <c r="G100" s="34"/>
      <c r="H100" s="56">
        <f t="shared" si="161"/>
        <v>86</v>
      </c>
      <c r="I100" s="165"/>
      <c r="J100" s="163"/>
      <c r="K100" s="163"/>
      <c r="L100" s="164"/>
      <c r="M100" s="155"/>
      <c r="N100" s="155"/>
      <c r="O100" s="144"/>
      <c r="P100" s="159" t="str">
        <f>IFERROR(IF(O100&lt;&gt;"User Specified",IF(O100&lt;&gt;"", INDEX('Refrigerant GWPs'!$G$2:$G$154,MATCH(O100,'Refrigerant GWPs'!$A$2:$A$154,0)),""),U100),0)</f>
        <v/>
      </c>
      <c r="Q100" s="155"/>
      <c r="R100" s="155"/>
      <c r="S100" s="144"/>
      <c r="T100" s="159" t="str">
        <f>IF(S100&lt;&gt;"User Specified",IF(AND(S100&lt;&gt;"User Specified",S100&lt;&gt;""), INDEX('Refrigerant GWPs'!$G$2:$G$154,MATCH(S100,'Refrigerant GWPs'!$A$2:$A$154,0)),""),V100)</f>
        <v/>
      </c>
      <c r="U100" s="144"/>
      <c r="V100" s="144"/>
      <c r="W100" s="155"/>
      <c r="X100" s="155"/>
      <c r="Y100" s="144"/>
      <c r="Z100" s="159" t="str">
        <f>IF(AND(Y100&lt;&gt;"User Specified",Y100&lt;&gt;""), INDEX('Refrigerant GWPs'!$G$2:$G$154,MATCH(Y100,'Refrigerant GWPs'!$A$2:$A$154,0)),"")</f>
        <v/>
      </c>
      <c r="AA100" s="155"/>
      <c r="AB100" s="156"/>
      <c r="AC100" s="66"/>
      <c r="AD100" s="66"/>
      <c r="AE100" s="66"/>
      <c r="AF100" s="66"/>
      <c r="AG100" s="66"/>
      <c r="AH100" s="66"/>
      <c r="AI100" s="34"/>
      <c r="AJ100" s="88">
        <f t="shared" si="119"/>
        <v>0</v>
      </c>
      <c r="AK100" s="88">
        <f t="shared" si="120"/>
        <v>0</v>
      </c>
      <c r="AL100" s="88">
        <v>0</v>
      </c>
      <c r="AM100" s="88">
        <v>0</v>
      </c>
      <c r="AN100" s="81" t="str">
        <f t="shared" si="162"/>
        <v/>
      </c>
      <c r="AO100" s="88">
        <f t="shared" si="121"/>
        <v>0</v>
      </c>
      <c r="AP100" s="88">
        <f t="shared" si="122"/>
        <v>0</v>
      </c>
      <c r="AQ100" s="81" t="str">
        <f t="shared" si="123"/>
        <v/>
      </c>
      <c r="AS100" s="41" t="b">
        <f t="shared" si="124"/>
        <v>1</v>
      </c>
      <c r="AT100" s="38">
        <f t="shared" si="125"/>
        <v>0</v>
      </c>
      <c r="AU100" s="60">
        <f t="shared" si="126"/>
        <v>0</v>
      </c>
      <c r="AV100" s="41">
        <f t="shared" si="127"/>
        <v>0</v>
      </c>
      <c r="AW100" s="41" t="b">
        <f t="shared" si="128"/>
        <v>0</v>
      </c>
      <c r="AX100" t="str">
        <f t="shared" si="129"/>
        <v>+00</v>
      </c>
      <c r="AY100" t="str">
        <f t="shared" si="130"/>
        <v>+00</v>
      </c>
      <c r="BA100" s="47" t="b">
        <f t="shared" si="164"/>
        <v>1</v>
      </c>
      <c r="BB100" s="42" t="b">
        <f t="shared" si="165"/>
        <v>1</v>
      </c>
      <c r="BC100" s="42" t="b">
        <f t="shared" si="166"/>
        <v>0</v>
      </c>
      <c r="BD100" s="42" t="b">
        <f t="shared" si="167"/>
        <v>0</v>
      </c>
      <c r="BE100" s="70">
        <f t="shared" si="168"/>
        <v>0</v>
      </c>
      <c r="BF100" s="70">
        <f t="shared" si="169"/>
        <v>0</v>
      </c>
      <c r="BG100" s="34"/>
      <c r="BI100" s="47" t="b">
        <f t="shared" si="170"/>
        <v>1</v>
      </c>
      <c r="BJ100" s="47" t="b">
        <f t="shared" si="171"/>
        <v>1</v>
      </c>
      <c r="BK100" s="42" t="b">
        <f t="shared" si="172"/>
        <v>0</v>
      </c>
      <c r="BL100" s="42" t="b">
        <f t="shared" si="173"/>
        <v>0</v>
      </c>
      <c r="BM100" s="42">
        <f t="shared" si="174"/>
        <v>0</v>
      </c>
      <c r="BN100" s="42">
        <f t="shared" si="175"/>
        <v>0</v>
      </c>
      <c r="BP100" t="e">
        <f t="shared" si="176"/>
        <v>#N/A</v>
      </c>
      <c r="BQ100" t="e">
        <f t="shared" si="177"/>
        <v>#N/A</v>
      </c>
      <c r="BR100" t="e">
        <f t="shared" si="178"/>
        <v>#N/A</v>
      </c>
      <c r="BT100" s="60">
        <f t="shared" si="131"/>
        <v>0</v>
      </c>
      <c r="BU100" s="60">
        <f t="shared" si="132"/>
        <v>0</v>
      </c>
      <c r="BV100" s="60">
        <f t="shared" si="133"/>
        <v>0</v>
      </c>
      <c r="BW100" s="60">
        <f t="shared" si="134"/>
        <v>0</v>
      </c>
      <c r="BX100" s="60">
        <f t="shared" si="179"/>
        <v>0</v>
      </c>
      <c r="BY100" s="60">
        <f t="shared" si="180"/>
        <v>0</v>
      </c>
      <c r="BZ100" s="60">
        <f t="shared" si="181"/>
        <v>0</v>
      </c>
      <c r="CA100" s="60">
        <f t="shared" si="182"/>
        <v>0</v>
      </c>
      <c r="CB100" s="60" t="e">
        <f t="shared" si="135"/>
        <v>#N/A</v>
      </c>
      <c r="CC100" s="60">
        <f t="shared" si="136"/>
        <v>100000</v>
      </c>
      <c r="CD100" s="60" t="e">
        <f t="shared" si="137"/>
        <v>#N/A</v>
      </c>
      <c r="CE100" s="60">
        <f t="shared" si="138"/>
        <v>100000</v>
      </c>
      <c r="CF100" s="83" t="e">
        <f t="shared" si="183"/>
        <v>#N/A</v>
      </c>
      <c r="CG100" s="83">
        <f t="shared" si="184"/>
        <v>0</v>
      </c>
      <c r="CH100" s="83" t="e">
        <f t="shared" si="185"/>
        <v>#N/A</v>
      </c>
      <c r="CI100" s="83">
        <f t="shared" si="186"/>
        <v>0</v>
      </c>
      <c r="CJ100" s="86" t="e">
        <f t="shared" si="139"/>
        <v>#N/A</v>
      </c>
      <c r="CK100" s="82">
        <f t="shared" si="140"/>
        <v>5.3070370403969858E-3</v>
      </c>
      <c r="CL100" s="82" t="e">
        <f t="shared" si="141"/>
        <v>#N/A</v>
      </c>
      <c r="CM100" s="82">
        <f t="shared" si="142"/>
        <v>5.3070370403969858E-3</v>
      </c>
      <c r="CO100" s="149" t="str">
        <f>IF($I100&lt;&gt;"",IF(O100="User Specified",U100,INDEX('Refrigerant GWPs'!$G$2:$G$156,MATCH(O100,'Refrigerant GWPs'!$A$2:$A$156,0))),"")</f>
        <v/>
      </c>
      <c r="CP100" s="138" t="str">
        <f>IF($I100&lt;&gt;"",INDEX('Device Refrigerant Leakage'!$E$2:$E$42,MATCH($M100,'Device Refrigerant Leakage'!$B$2:$B$42,0)),"")</f>
        <v/>
      </c>
      <c r="CQ100" s="138" t="str">
        <f>IF($I100&lt;&gt;"",INDEX('Device Refrigerant Leakage'!$F$2:$F$42,MATCH($M100,'Device Refrigerant Leakage'!$B$2:$B$42,0)),"")</f>
        <v/>
      </c>
      <c r="CR100" s="145" t="str">
        <f>IF($I100&lt;&gt;"",INDEX('Device Refrigerant Leakage'!$G$2:$G$42,MATCH($M100,'Device Refrigerant Leakage'!$B$2:$B$42,0)),"")</f>
        <v/>
      </c>
      <c r="CS100" s="145" t="str">
        <f>IF($I100&lt;&gt;"",INDEX('Device Refrigerant Leakage'!$D$2:$D$42,MATCH($M100,'Device Refrigerant Leakage'!$B$2:$B$42,0))*CP100/2204.62*CO100,"")</f>
        <v/>
      </c>
      <c r="CT100" s="145" t="str">
        <f>IF($I100&lt;&gt;"",J100*(INDEX('Device Refrigerant Leakage'!$D$2:$D$42,MATCH($M100,'Device Refrigerant Leakage'!$B$2:$B$42,0))-(INDEX('Device Refrigerant Leakage'!$D$2:$D$42,MATCH($M100,'Device Refrigerant Leakage'!$B$2:$B$42,0)))*CR100*CP100)*CQ100/2204.62*CO100,"")</f>
        <v/>
      </c>
      <c r="CU100" s="135" t="str">
        <f>IF($I100&lt;&gt;"",J100*IF(W100&lt;&gt;"AR",(CS100*K100)+CT100,(CS100*AB100)+CT100*(AB100/INDEX('Device Refrigerant Leakage'!$C$2:$C$42,MATCH($M100,'Device Refrigerant Leakage'!$B$2:$B$42,0)))),"")</f>
        <v/>
      </c>
      <c r="CW100" s="135" t="str">
        <f>IF($I100&lt;&gt;"",IF(S100="User Specified",V100,INDEX('Refrigerant GWPs'!$G$2:$G$156,MATCH(S100,'Refrigerant GWPs'!$A$2:$A$157,0))),"")</f>
        <v/>
      </c>
      <c r="CX100" s="138" t="str">
        <f>IF($I100&lt;&gt;"",INDEX('Device Refrigerant Leakage'!$E$2:$E$42,MATCH($Q100,'Device Refrigerant Leakage'!$B$2:$B$42,0)),"")</f>
        <v/>
      </c>
      <c r="CY100" s="138" t="str">
        <f>IF($I100&lt;&gt;"",INDEX('Device Refrigerant Leakage'!$F$2:$F$42,MATCH($Q100,'Device Refrigerant Leakage'!$B$2:$B$42,0)),"")</f>
        <v/>
      </c>
      <c r="CZ100" s="145" t="str">
        <f>IF($I100&lt;&gt;"",INDEX('Device Refrigerant Leakage'!$G$2:$G$42,MATCH($Q100,'Device Refrigerant Leakage'!$B$2:$B$42,0)),"")</f>
        <v/>
      </c>
      <c r="DA100" s="145" t="str">
        <f>IF($I100&lt;&gt;"",J100*INDEX('Device Refrigerant Leakage'!$D$2:$D$42,MATCH($Q100,'Device Refrigerant Leakage'!$B$2:$B$42,0))*CX100/2204.62*CW100,"")</f>
        <v/>
      </c>
      <c r="DB100" s="145" t="str">
        <f>IF($I100&lt;&gt;"",J100*(INDEX('Device Refrigerant Leakage'!$D$2:$D$42,MATCH($Q100,'Device Refrigerant Leakage'!$B$2:$B$42,0))-(INDEX('Device Refrigerant Leakage'!$D$2:$D$42,MATCH($Q100,'Device Refrigerant Leakage'!$B$2:$B$42,0)))*CZ100*CX100)*CY100/2204.62*CW100,"")</f>
        <v/>
      </c>
      <c r="DC100" s="135" t="str">
        <f t="shared" si="163"/>
        <v/>
      </c>
      <c r="DE100" s="146" t="str">
        <f>IF(W100&lt;&gt;"AR","",IF(Y100="User Specified", AA100, INDEX('Refrigerant GWPs'!$G$2:$G$154,MATCH(Y100,'Refrigerant GWPs'!$A$2:$A$154,0))))</f>
        <v/>
      </c>
      <c r="DF100" s="146" t="str">
        <f>IF(W100&lt;&gt;"AR","",INDEX('Device Refrigerant Leakage'!$E$2:$E$42,MATCH(X100,'Device Refrigerant Leakage'!$B$2:$B$42,0)))</f>
        <v/>
      </c>
      <c r="DG100" s="146" t="str">
        <f>IF(W100&lt;&gt;"AR","",INDEX('Device Refrigerant Leakage'!$F$2:$F$42,MATCH(X100,'Device Refrigerant Leakage'!$B$2:$B$42,0)))</f>
        <v/>
      </c>
      <c r="DH100" s="146" t="str">
        <f>IF(W100&lt;&gt;"AR","",INDEX('Device Refrigerant Leakage'!$G$2:$G$42,MATCH(X100,'Device Refrigerant Leakage'!$B$2:$B$42,0)))</f>
        <v/>
      </c>
      <c r="DI100" s="146" t="str">
        <f>IF(W100&lt;&gt;"AR","",J100*INDEX('Device Refrigerant Leakage'!$D$2:$D$42,MATCH(X100,'Device Refrigerant Leakage'!$B$2:$B$42,0))*DF100/2204.62*DE100)</f>
        <v/>
      </c>
      <c r="DJ100" s="146" t="str">
        <f>IF(W100&lt;&gt;"AR","",J100*(INDEX('Device Refrigerant Leakage'!$D$2:$D$42,MATCH(X100,'Device Refrigerant Leakage'!$B$2:$B$42,0))-(INDEX('Device Refrigerant Leakage'!$D$2:$D$42,MATCH(X100,'Device Refrigerant Leakage'!$B$2:$B$42,0)))*DH100*DF100)*DG100/2204.62*DE100)</f>
        <v/>
      </c>
      <c r="DK100" s="146" t="str">
        <f>IF(W100&lt;&gt;"AR","",DI100*(K100-AB100)+'Fuel Sub Calcs-Deemed'!DJ100*((K100-AB100)/INDEX('Device Refrigerant Leakage'!$C$2:$C$42,MATCH('Fuel Sub Calcs-Deemed'!X100,'Device Refrigerant Leakage'!$B$2:$B$42,0))))</f>
        <v/>
      </c>
      <c r="DM100" s="56">
        <v>86</v>
      </c>
      <c r="DN100" s="67" t="e">
        <f t="shared" si="143"/>
        <v>#N/A</v>
      </c>
      <c r="DO100" s="45" t="e">
        <f t="shared" si="144"/>
        <v>#N/A</v>
      </c>
      <c r="DP100" s="67" t="e">
        <f t="shared" si="145"/>
        <v>#N/A</v>
      </c>
      <c r="DQ100" s="45" t="e">
        <f t="shared" si="146"/>
        <v>#N/A</v>
      </c>
      <c r="DR100" s="69" t="e">
        <f t="shared" si="147"/>
        <v>#N/A</v>
      </c>
      <c r="DS100" s="34"/>
      <c r="DT100" s="67" t="e">
        <f>((BX100*CJ100)+IF($W100=MAT_AR,(BZ100*CL100),0))*(1+Reference!$E$50+Reference!$E$51)</f>
        <v>#N/A</v>
      </c>
      <c r="DU100" s="67">
        <f>((BY100*CK100)+IF($W100=MAT_AR,(CA100*CM100),0))*(1+Reference!$G$50+Reference!$G$51)</f>
        <v>0</v>
      </c>
      <c r="DV100" s="67" t="e">
        <f t="shared" si="148"/>
        <v>#VALUE!</v>
      </c>
      <c r="DX100" s="56">
        <v>86</v>
      </c>
      <c r="DY100" s="67">
        <f t="shared" si="149"/>
        <v>0</v>
      </c>
      <c r="DZ100" s="45" t="e">
        <f>VLOOKUP($R100,Dropdown!$C$3:$D$4,2,FALSE)</f>
        <v>#N/A</v>
      </c>
      <c r="EA100" s="68">
        <f t="shared" si="150"/>
        <v>0</v>
      </c>
      <c r="EB100" s="68" t="str">
        <f t="shared" si="151"/>
        <v>N/A</v>
      </c>
      <c r="EC100" s="68">
        <f t="shared" si="152"/>
        <v>0</v>
      </c>
      <c r="ED100" s="68" t="str">
        <f t="shared" si="153"/>
        <v>N/A</v>
      </c>
      <c r="EF100" s="56">
        <v>86</v>
      </c>
      <c r="EG100" s="46">
        <f t="shared" si="154"/>
        <v>0</v>
      </c>
      <c r="EH100" s="68" t="e">
        <f t="shared" si="155"/>
        <v>#N/A</v>
      </c>
      <c r="EI100" s="68" t="e">
        <f t="shared" si="156"/>
        <v>#N/A</v>
      </c>
      <c r="EJ100" s="68" t="e">
        <f t="shared" si="157"/>
        <v>#N/A</v>
      </c>
      <c r="EK100" s="68" t="e">
        <f t="shared" si="158"/>
        <v>#N/A</v>
      </c>
      <c r="EL100" s="46">
        <f t="shared" si="159"/>
        <v>0</v>
      </c>
      <c r="EM100" s="46">
        <f t="shared" si="160"/>
        <v>0</v>
      </c>
    </row>
    <row r="101" spans="1:143">
      <c r="A101" s="89"/>
      <c r="B101" s="89"/>
      <c r="C101" s="89"/>
      <c r="D101" s="89"/>
      <c r="E101" s="89"/>
      <c r="F101" s="89"/>
      <c r="G101" s="34"/>
      <c r="H101" s="56">
        <f t="shared" si="161"/>
        <v>87</v>
      </c>
      <c r="I101" s="165"/>
      <c r="J101" s="163"/>
      <c r="K101" s="163"/>
      <c r="L101" s="164"/>
      <c r="M101" s="155"/>
      <c r="N101" s="155"/>
      <c r="O101" s="144"/>
      <c r="P101" s="159" t="str">
        <f>IFERROR(IF(O101&lt;&gt;"User Specified",IF(O101&lt;&gt;"", INDEX('Refrigerant GWPs'!$G$2:$G$154,MATCH(O101,'Refrigerant GWPs'!$A$2:$A$154,0)),""),U101),0)</f>
        <v/>
      </c>
      <c r="Q101" s="155"/>
      <c r="R101" s="155"/>
      <c r="S101" s="144"/>
      <c r="T101" s="159" t="str">
        <f>IF(S101&lt;&gt;"User Specified",IF(AND(S101&lt;&gt;"User Specified",S101&lt;&gt;""), INDEX('Refrigerant GWPs'!$G$2:$G$154,MATCH(S101,'Refrigerant GWPs'!$A$2:$A$154,0)),""),V101)</f>
        <v/>
      </c>
      <c r="U101" s="144"/>
      <c r="V101" s="144"/>
      <c r="W101" s="155"/>
      <c r="X101" s="155"/>
      <c r="Y101" s="144"/>
      <c r="Z101" s="159" t="str">
        <f>IF(AND(Y101&lt;&gt;"User Specified",Y101&lt;&gt;""), INDEX('Refrigerant GWPs'!$G$2:$G$154,MATCH(Y101,'Refrigerant GWPs'!$A$2:$A$154,0)),"")</f>
        <v/>
      </c>
      <c r="AA101" s="155"/>
      <c r="AB101" s="156"/>
      <c r="AC101" s="66"/>
      <c r="AD101" s="66"/>
      <c r="AE101" s="66"/>
      <c r="AF101" s="66"/>
      <c r="AG101" s="66"/>
      <c r="AH101" s="66"/>
      <c r="AI101" s="34"/>
      <c r="AJ101" s="88">
        <f t="shared" si="119"/>
        <v>0</v>
      </c>
      <c r="AK101" s="88">
        <f t="shared" si="120"/>
        <v>0</v>
      </c>
      <c r="AL101" s="88">
        <v>0</v>
      </c>
      <c r="AM101" s="88">
        <v>0</v>
      </c>
      <c r="AN101" s="81" t="str">
        <f t="shared" si="162"/>
        <v/>
      </c>
      <c r="AO101" s="88">
        <f t="shared" si="121"/>
        <v>0</v>
      </c>
      <c r="AP101" s="88">
        <f t="shared" si="122"/>
        <v>0</v>
      </c>
      <c r="AQ101" s="81" t="str">
        <f t="shared" si="123"/>
        <v/>
      </c>
      <c r="AS101" s="41" t="b">
        <f t="shared" si="124"/>
        <v>1</v>
      </c>
      <c r="AT101" s="38">
        <f t="shared" si="125"/>
        <v>0</v>
      </c>
      <c r="AU101" s="60">
        <f t="shared" si="126"/>
        <v>0</v>
      </c>
      <c r="AV101" s="41">
        <f t="shared" si="127"/>
        <v>0</v>
      </c>
      <c r="AW101" s="41" t="b">
        <f t="shared" si="128"/>
        <v>0</v>
      </c>
      <c r="AX101" t="str">
        <f t="shared" si="129"/>
        <v>+00</v>
      </c>
      <c r="AY101" t="str">
        <f t="shared" si="130"/>
        <v>+00</v>
      </c>
      <c r="BA101" s="47" t="b">
        <f t="shared" si="164"/>
        <v>1</v>
      </c>
      <c r="BB101" s="42" t="b">
        <f t="shared" si="165"/>
        <v>1</v>
      </c>
      <c r="BC101" s="42" t="b">
        <f t="shared" si="166"/>
        <v>0</v>
      </c>
      <c r="BD101" s="42" t="b">
        <f t="shared" si="167"/>
        <v>0</v>
      </c>
      <c r="BE101" s="70">
        <f t="shared" si="168"/>
        <v>0</v>
      </c>
      <c r="BF101" s="70">
        <f t="shared" si="169"/>
        <v>0</v>
      </c>
      <c r="BG101" s="34"/>
      <c r="BI101" s="47" t="b">
        <f t="shared" si="170"/>
        <v>1</v>
      </c>
      <c r="BJ101" s="47" t="b">
        <f t="shared" si="171"/>
        <v>1</v>
      </c>
      <c r="BK101" s="42" t="b">
        <f t="shared" si="172"/>
        <v>0</v>
      </c>
      <c r="BL101" s="42" t="b">
        <f t="shared" si="173"/>
        <v>0</v>
      </c>
      <c r="BM101" s="42">
        <f t="shared" si="174"/>
        <v>0</v>
      </c>
      <c r="BN101" s="42">
        <f t="shared" si="175"/>
        <v>0</v>
      </c>
      <c r="BP101" t="e">
        <f t="shared" si="176"/>
        <v>#N/A</v>
      </c>
      <c r="BQ101" t="e">
        <f t="shared" si="177"/>
        <v>#N/A</v>
      </c>
      <c r="BR101" t="e">
        <f t="shared" si="178"/>
        <v>#N/A</v>
      </c>
      <c r="BT101" s="60">
        <f t="shared" si="131"/>
        <v>0</v>
      </c>
      <c r="BU101" s="60">
        <f t="shared" si="132"/>
        <v>0</v>
      </c>
      <c r="BV101" s="60">
        <f t="shared" si="133"/>
        <v>0</v>
      </c>
      <c r="BW101" s="60">
        <f t="shared" si="134"/>
        <v>0</v>
      </c>
      <c r="BX101" s="60">
        <f t="shared" si="179"/>
        <v>0</v>
      </c>
      <c r="BY101" s="60">
        <f t="shared" si="180"/>
        <v>0</v>
      </c>
      <c r="BZ101" s="60">
        <f t="shared" si="181"/>
        <v>0</v>
      </c>
      <c r="CA101" s="60">
        <f t="shared" si="182"/>
        <v>0</v>
      </c>
      <c r="CB101" s="60" t="e">
        <f t="shared" si="135"/>
        <v>#N/A</v>
      </c>
      <c r="CC101" s="60">
        <f t="shared" si="136"/>
        <v>100000</v>
      </c>
      <c r="CD101" s="60" t="e">
        <f t="shared" si="137"/>
        <v>#N/A</v>
      </c>
      <c r="CE101" s="60">
        <f t="shared" si="138"/>
        <v>100000</v>
      </c>
      <c r="CF101" s="83" t="e">
        <f t="shared" si="183"/>
        <v>#N/A</v>
      </c>
      <c r="CG101" s="83">
        <f t="shared" si="184"/>
        <v>0</v>
      </c>
      <c r="CH101" s="83" t="e">
        <f t="shared" si="185"/>
        <v>#N/A</v>
      </c>
      <c r="CI101" s="83">
        <f t="shared" si="186"/>
        <v>0</v>
      </c>
      <c r="CJ101" s="86" t="e">
        <f t="shared" si="139"/>
        <v>#N/A</v>
      </c>
      <c r="CK101" s="82">
        <f t="shared" si="140"/>
        <v>5.3070370403969858E-3</v>
      </c>
      <c r="CL101" s="82" t="e">
        <f t="shared" si="141"/>
        <v>#N/A</v>
      </c>
      <c r="CM101" s="82">
        <f t="shared" si="142"/>
        <v>5.3070370403969858E-3</v>
      </c>
      <c r="CO101" s="149" t="str">
        <f>IF($I101&lt;&gt;"",IF(O101="User Specified",U101,INDEX('Refrigerant GWPs'!$G$2:$G$156,MATCH(O101,'Refrigerant GWPs'!$A$2:$A$156,0))),"")</f>
        <v/>
      </c>
      <c r="CP101" s="138" t="str">
        <f>IF($I101&lt;&gt;"",INDEX('Device Refrigerant Leakage'!$E$2:$E$42,MATCH($M101,'Device Refrigerant Leakage'!$B$2:$B$42,0)),"")</f>
        <v/>
      </c>
      <c r="CQ101" s="138" t="str">
        <f>IF($I101&lt;&gt;"",INDEX('Device Refrigerant Leakage'!$F$2:$F$42,MATCH($M101,'Device Refrigerant Leakage'!$B$2:$B$42,0)),"")</f>
        <v/>
      </c>
      <c r="CR101" s="145" t="str">
        <f>IF($I101&lt;&gt;"",INDEX('Device Refrigerant Leakage'!$G$2:$G$42,MATCH($M101,'Device Refrigerant Leakage'!$B$2:$B$42,0)),"")</f>
        <v/>
      </c>
      <c r="CS101" s="145" t="str">
        <f>IF($I101&lt;&gt;"",INDEX('Device Refrigerant Leakage'!$D$2:$D$42,MATCH($M101,'Device Refrigerant Leakage'!$B$2:$B$42,0))*CP101/2204.62*CO101,"")</f>
        <v/>
      </c>
      <c r="CT101" s="145" t="str">
        <f>IF($I101&lt;&gt;"",J101*(INDEX('Device Refrigerant Leakage'!$D$2:$D$42,MATCH($M101,'Device Refrigerant Leakage'!$B$2:$B$42,0))-(INDEX('Device Refrigerant Leakage'!$D$2:$D$42,MATCH($M101,'Device Refrigerant Leakage'!$B$2:$B$42,0)))*CR101*CP101)*CQ101/2204.62*CO101,"")</f>
        <v/>
      </c>
      <c r="CU101" s="135" t="str">
        <f>IF($I101&lt;&gt;"",J101*IF(W101&lt;&gt;"AR",(CS101*K101)+CT101,(CS101*AB101)+CT101*(AB101/INDEX('Device Refrigerant Leakage'!$C$2:$C$42,MATCH($M101,'Device Refrigerant Leakage'!$B$2:$B$42,0)))),"")</f>
        <v/>
      </c>
      <c r="CW101" s="135" t="str">
        <f>IF($I101&lt;&gt;"",IF(S101="User Specified",V101,INDEX('Refrigerant GWPs'!$G$2:$G$156,MATCH(S101,'Refrigerant GWPs'!$A$2:$A$157,0))),"")</f>
        <v/>
      </c>
      <c r="CX101" s="138" t="str">
        <f>IF($I101&lt;&gt;"",INDEX('Device Refrigerant Leakage'!$E$2:$E$42,MATCH($Q101,'Device Refrigerant Leakage'!$B$2:$B$42,0)),"")</f>
        <v/>
      </c>
      <c r="CY101" s="138" t="str">
        <f>IF($I101&lt;&gt;"",INDEX('Device Refrigerant Leakage'!$F$2:$F$42,MATCH($Q101,'Device Refrigerant Leakage'!$B$2:$B$42,0)),"")</f>
        <v/>
      </c>
      <c r="CZ101" s="145" t="str">
        <f>IF($I101&lt;&gt;"",INDEX('Device Refrigerant Leakage'!$G$2:$G$42,MATCH($Q101,'Device Refrigerant Leakage'!$B$2:$B$42,0)),"")</f>
        <v/>
      </c>
      <c r="DA101" s="145" t="str">
        <f>IF($I101&lt;&gt;"",J101*INDEX('Device Refrigerant Leakage'!$D$2:$D$42,MATCH($Q101,'Device Refrigerant Leakage'!$B$2:$B$42,0))*CX101/2204.62*CW101,"")</f>
        <v/>
      </c>
      <c r="DB101" s="145" t="str">
        <f>IF($I101&lt;&gt;"",J101*(INDEX('Device Refrigerant Leakage'!$D$2:$D$42,MATCH($Q101,'Device Refrigerant Leakage'!$B$2:$B$42,0))-(INDEX('Device Refrigerant Leakage'!$D$2:$D$42,MATCH($Q101,'Device Refrigerant Leakage'!$B$2:$B$42,0)))*CZ101*CX101)*CY101/2204.62*CW101,"")</f>
        <v/>
      </c>
      <c r="DC101" s="135" t="str">
        <f t="shared" si="163"/>
        <v/>
      </c>
      <c r="DE101" s="146" t="str">
        <f>IF(W101&lt;&gt;"AR","",IF(Y101="User Specified", AA101, INDEX('Refrigerant GWPs'!$G$2:$G$154,MATCH(Y101,'Refrigerant GWPs'!$A$2:$A$154,0))))</f>
        <v/>
      </c>
      <c r="DF101" s="146" t="str">
        <f>IF(W101&lt;&gt;"AR","",INDEX('Device Refrigerant Leakage'!$E$2:$E$42,MATCH(X101,'Device Refrigerant Leakage'!$B$2:$B$42,0)))</f>
        <v/>
      </c>
      <c r="DG101" s="146" t="str">
        <f>IF(W101&lt;&gt;"AR","",INDEX('Device Refrigerant Leakage'!$F$2:$F$42,MATCH(X101,'Device Refrigerant Leakage'!$B$2:$B$42,0)))</f>
        <v/>
      </c>
      <c r="DH101" s="146" t="str">
        <f>IF(W101&lt;&gt;"AR","",INDEX('Device Refrigerant Leakage'!$G$2:$G$42,MATCH(X101,'Device Refrigerant Leakage'!$B$2:$B$42,0)))</f>
        <v/>
      </c>
      <c r="DI101" s="146" t="str">
        <f>IF(W101&lt;&gt;"AR","",J101*INDEX('Device Refrigerant Leakage'!$D$2:$D$42,MATCH(X101,'Device Refrigerant Leakage'!$B$2:$B$42,0))*DF101/2204.62*DE101)</f>
        <v/>
      </c>
      <c r="DJ101" s="146" t="str">
        <f>IF(W101&lt;&gt;"AR","",J101*(INDEX('Device Refrigerant Leakage'!$D$2:$D$42,MATCH(X101,'Device Refrigerant Leakage'!$B$2:$B$42,0))-(INDEX('Device Refrigerant Leakage'!$D$2:$D$42,MATCH(X101,'Device Refrigerant Leakage'!$B$2:$B$42,0)))*DH101*DF101)*DG101/2204.62*DE101)</f>
        <v/>
      </c>
      <c r="DK101" s="146" t="str">
        <f>IF(W101&lt;&gt;"AR","",DI101*(K101-AB101)+'Fuel Sub Calcs-Deemed'!DJ101*((K101-AB101)/INDEX('Device Refrigerant Leakage'!$C$2:$C$42,MATCH('Fuel Sub Calcs-Deemed'!X101,'Device Refrigerant Leakage'!$B$2:$B$42,0))))</f>
        <v/>
      </c>
      <c r="DM101" s="56">
        <v>87</v>
      </c>
      <c r="DN101" s="67" t="e">
        <f t="shared" si="143"/>
        <v>#N/A</v>
      </c>
      <c r="DO101" s="45" t="e">
        <f t="shared" si="144"/>
        <v>#N/A</v>
      </c>
      <c r="DP101" s="67" t="e">
        <f t="shared" si="145"/>
        <v>#N/A</v>
      </c>
      <c r="DQ101" s="45" t="e">
        <f t="shared" si="146"/>
        <v>#N/A</v>
      </c>
      <c r="DR101" s="69" t="e">
        <f t="shared" si="147"/>
        <v>#N/A</v>
      </c>
      <c r="DS101" s="34"/>
      <c r="DT101" s="67" t="e">
        <f>((BX101*CJ101)+IF($W101=MAT_AR,(BZ101*CL101),0))*(1+Reference!$E$50+Reference!$E$51)</f>
        <v>#N/A</v>
      </c>
      <c r="DU101" s="67">
        <f>((BY101*CK101)+IF($W101=MAT_AR,(CA101*CM101),0))*(1+Reference!$G$50+Reference!$G$51)</f>
        <v>0</v>
      </c>
      <c r="DV101" s="67" t="e">
        <f t="shared" si="148"/>
        <v>#VALUE!</v>
      </c>
      <c r="DX101" s="56">
        <v>87</v>
      </c>
      <c r="DY101" s="67">
        <f t="shared" si="149"/>
        <v>0</v>
      </c>
      <c r="DZ101" s="45" t="e">
        <f>VLOOKUP($R101,Dropdown!$C$3:$D$4,2,FALSE)</f>
        <v>#N/A</v>
      </c>
      <c r="EA101" s="68">
        <f t="shared" si="150"/>
        <v>0</v>
      </c>
      <c r="EB101" s="68" t="str">
        <f t="shared" si="151"/>
        <v>N/A</v>
      </c>
      <c r="EC101" s="68">
        <f t="shared" si="152"/>
        <v>0</v>
      </c>
      <c r="ED101" s="68" t="str">
        <f t="shared" si="153"/>
        <v>N/A</v>
      </c>
      <c r="EF101" s="56">
        <v>87</v>
      </c>
      <c r="EG101" s="46">
        <f t="shared" si="154"/>
        <v>0</v>
      </c>
      <c r="EH101" s="68" t="e">
        <f t="shared" si="155"/>
        <v>#N/A</v>
      </c>
      <c r="EI101" s="68" t="e">
        <f t="shared" si="156"/>
        <v>#N/A</v>
      </c>
      <c r="EJ101" s="68" t="e">
        <f t="shared" si="157"/>
        <v>#N/A</v>
      </c>
      <c r="EK101" s="68" t="e">
        <f t="shared" si="158"/>
        <v>#N/A</v>
      </c>
      <c r="EL101" s="46">
        <f t="shared" si="159"/>
        <v>0</v>
      </c>
      <c r="EM101" s="46">
        <f t="shared" si="160"/>
        <v>0</v>
      </c>
    </row>
    <row r="102" spans="1:143">
      <c r="A102" s="89"/>
      <c r="B102" s="89"/>
      <c r="C102" s="89"/>
      <c r="D102" s="89"/>
      <c r="E102" s="89"/>
      <c r="F102" s="89"/>
      <c r="G102" s="34"/>
      <c r="H102" s="56">
        <f t="shared" si="161"/>
        <v>88</v>
      </c>
      <c r="I102" s="165"/>
      <c r="J102" s="163"/>
      <c r="K102" s="163"/>
      <c r="L102" s="164"/>
      <c r="M102" s="155"/>
      <c r="N102" s="155"/>
      <c r="O102" s="144"/>
      <c r="P102" s="159" t="str">
        <f>IFERROR(IF(O102&lt;&gt;"User Specified",IF(O102&lt;&gt;"", INDEX('Refrigerant GWPs'!$G$2:$G$154,MATCH(O102,'Refrigerant GWPs'!$A$2:$A$154,0)),""),U102),0)</f>
        <v/>
      </c>
      <c r="Q102" s="155"/>
      <c r="R102" s="155"/>
      <c r="S102" s="144"/>
      <c r="T102" s="159" t="str">
        <f>IF(S102&lt;&gt;"User Specified",IF(AND(S102&lt;&gt;"User Specified",S102&lt;&gt;""), INDEX('Refrigerant GWPs'!$G$2:$G$154,MATCH(S102,'Refrigerant GWPs'!$A$2:$A$154,0)),""),V102)</f>
        <v/>
      </c>
      <c r="U102" s="144"/>
      <c r="V102" s="144"/>
      <c r="W102" s="155"/>
      <c r="X102" s="155"/>
      <c r="Y102" s="144"/>
      <c r="Z102" s="159" t="str">
        <f>IF(AND(Y102&lt;&gt;"User Specified",Y102&lt;&gt;""), INDEX('Refrigerant GWPs'!$G$2:$G$154,MATCH(Y102,'Refrigerant GWPs'!$A$2:$A$154,0)),"")</f>
        <v/>
      </c>
      <c r="AA102" s="155"/>
      <c r="AB102" s="156"/>
      <c r="AC102" s="66"/>
      <c r="AD102" s="66"/>
      <c r="AE102" s="66"/>
      <c r="AF102" s="66"/>
      <c r="AG102" s="66"/>
      <c r="AH102" s="66"/>
      <c r="AI102" s="34"/>
      <c r="AJ102" s="88">
        <f t="shared" si="119"/>
        <v>0</v>
      </c>
      <c r="AK102" s="88">
        <f t="shared" si="120"/>
        <v>0</v>
      </c>
      <c r="AL102" s="88">
        <v>0</v>
      </c>
      <c r="AM102" s="88">
        <v>0</v>
      </c>
      <c r="AN102" s="81" t="str">
        <f t="shared" si="162"/>
        <v/>
      </c>
      <c r="AO102" s="88">
        <f t="shared" si="121"/>
        <v>0</v>
      </c>
      <c r="AP102" s="88">
        <f t="shared" si="122"/>
        <v>0</v>
      </c>
      <c r="AQ102" s="81" t="str">
        <f t="shared" si="123"/>
        <v/>
      </c>
      <c r="AS102" s="41" t="b">
        <f t="shared" si="124"/>
        <v>1</v>
      </c>
      <c r="AT102" s="38">
        <f t="shared" si="125"/>
        <v>0</v>
      </c>
      <c r="AU102" s="60">
        <f t="shared" si="126"/>
        <v>0</v>
      </c>
      <c r="AV102" s="41">
        <f t="shared" si="127"/>
        <v>0</v>
      </c>
      <c r="AW102" s="41" t="b">
        <f t="shared" si="128"/>
        <v>0</v>
      </c>
      <c r="AX102" t="str">
        <f t="shared" si="129"/>
        <v>+00</v>
      </c>
      <c r="AY102" t="str">
        <f t="shared" si="130"/>
        <v>+00</v>
      </c>
      <c r="BA102" s="47" t="b">
        <f t="shared" si="164"/>
        <v>1</v>
      </c>
      <c r="BB102" s="42" t="b">
        <f t="shared" si="165"/>
        <v>1</v>
      </c>
      <c r="BC102" s="42" t="b">
        <f t="shared" si="166"/>
        <v>0</v>
      </c>
      <c r="BD102" s="42" t="b">
        <f t="shared" si="167"/>
        <v>0</v>
      </c>
      <c r="BE102" s="70">
        <f t="shared" si="168"/>
        <v>0</v>
      </c>
      <c r="BF102" s="70">
        <f t="shared" si="169"/>
        <v>0</v>
      </c>
      <c r="BG102" s="34"/>
      <c r="BI102" s="47" t="b">
        <f t="shared" si="170"/>
        <v>1</v>
      </c>
      <c r="BJ102" s="47" t="b">
        <f t="shared" si="171"/>
        <v>1</v>
      </c>
      <c r="BK102" s="42" t="b">
        <f t="shared" si="172"/>
        <v>0</v>
      </c>
      <c r="BL102" s="42" t="b">
        <f t="shared" si="173"/>
        <v>0</v>
      </c>
      <c r="BM102" s="42">
        <f t="shared" si="174"/>
        <v>0</v>
      </c>
      <c r="BN102" s="42">
        <f t="shared" si="175"/>
        <v>0</v>
      </c>
      <c r="BP102" t="e">
        <f t="shared" si="176"/>
        <v>#N/A</v>
      </c>
      <c r="BQ102" t="e">
        <f t="shared" si="177"/>
        <v>#N/A</v>
      </c>
      <c r="BR102" t="e">
        <f t="shared" si="178"/>
        <v>#N/A</v>
      </c>
      <c r="BT102" s="60">
        <f t="shared" si="131"/>
        <v>0</v>
      </c>
      <c r="BU102" s="60">
        <f t="shared" si="132"/>
        <v>0</v>
      </c>
      <c r="BV102" s="60">
        <f t="shared" si="133"/>
        <v>0</v>
      </c>
      <c r="BW102" s="60">
        <f t="shared" si="134"/>
        <v>0</v>
      </c>
      <c r="BX102" s="60">
        <f t="shared" si="179"/>
        <v>0</v>
      </c>
      <c r="BY102" s="60">
        <f t="shared" si="180"/>
        <v>0</v>
      </c>
      <c r="BZ102" s="60">
        <f t="shared" si="181"/>
        <v>0</v>
      </c>
      <c r="CA102" s="60">
        <f t="shared" si="182"/>
        <v>0</v>
      </c>
      <c r="CB102" s="60" t="e">
        <f t="shared" si="135"/>
        <v>#N/A</v>
      </c>
      <c r="CC102" s="60">
        <f t="shared" si="136"/>
        <v>100000</v>
      </c>
      <c r="CD102" s="60" t="e">
        <f t="shared" si="137"/>
        <v>#N/A</v>
      </c>
      <c r="CE102" s="60">
        <f t="shared" si="138"/>
        <v>100000</v>
      </c>
      <c r="CF102" s="83" t="e">
        <f t="shared" si="183"/>
        <v>#N/A</v>
      </c>
      <c r="CG102" s="83">
        <f t="shared" si="184"/>
        <v>0</v>
      </c>
      <c r="CH102" s="83" t="e">
        <f t="shared" si="185"/>
        <v>#N/A</v>
      </c>
      <c r="CI102" s="83">
        <f t="shared" si="186"/>
        <v>0</v>
      </c>
      <c r="CJ102" s="86" t="e">
        <f t="shared" si="139"/>
        <v>#N/A</v>
      </c>
      <c r="CK102" s="82">
        <f t="shared" si="140"/>
        <v>5.3070370403969858E-3</v>
      </c>
      <c r="CL102" s="82" t="e">
        <f t="shared" si="141"/>
        <v>#N/A</v>
      </c>
      <c r="CM102" s="82">
        <f t="shared" si="142"/>
        <v>5.3070370403969858E-3</v>
      </c>
      <c r="CO102" s="149" t="str">
        <f>IF($I102&lt;&gt;"",IF(O102="User Specified",U102,INDEX('Refrigerant GWPs'!$G$2:$G$156,MATCH(O102,'Refrigerant GWPs'!$A$2:$A$156,0))),"")</f>
        <v/>
      </c>
      <c r="CP102" s="138" t="str">
        <f>IF($I102&lt;&gt;"",INDEX('Device Refrigerant Leakage'!$E$2:$E$42,MATCH($M102,'Device Refrigerant Leakage'!$B$2:$B$42,0)),"")</f>
        <v/>
      </c>
      <c r="CQ102" s="138" t="str">
        <f>IF($I102&lt;&gt;"",INDEX('Device Refrigerant Leakage'!$F$2:$F$42,MATCH($M102,'Device Refrigerant Leakage'!$B$2:$B$42,0)),"")</f>
        <v/>
      </c>
      <c r="CR102" s="145" t="str">
        <f>IF($I102&lt;&gt;"",INDEX('Device Refrigerant Leakage'!$G$2:$G$42,MATCH($M102,'Device Refrigerant Leakage'!$B$2:$B$42,0)),"")</f>
        <v/>
      </c>
      <c r="CS102" s="145" t="str">
        <f>IF($I102&lt;&gt;"",INDEX('Device Refrigerant Leakage'!$D$2:$D$42,MATCH($M102,'Device Refrigerant Leakage'!$B$2:$B$42,0))*CP102/2204.62*CO102,"")</f>
        <v/>
      </c>
      <c r="CT102" s="145" t="str">
        <f>IF($I102&lt;&gt;"",J102*(INDEX('Device Refrigerant Leakage'!$D$2:$D$42,MATCH($M102,'Device Refrigerant Leakage'!$B$2:$B$42,0))-(INDEX('Device Refrigerant Leakage'!$D$2:$D$42,MATCH($M102,'Device Refrigerant Leakage'!$B$2:$B$42,0)))*CR102*CP102)*CQ102/2204.62*CO102,"")</f>
        <v/>
      </c>
      <c r="CU102" s="135" t="str">
        <f>IF($I102&lt;&gt;"",J102*IF(W102&lt;&gt;"AR",(CS102*K102)+CT102,(CS102*AB102)+CT102*(AB102/INDEX('Device Refrigerant Leakage'!$C$2:$C$42,MATCH($M102,'Device Refrigerant Leakage'!$B$2:$B$42,0)))),"")</f>
        <v/>
      </c>
      <c r="CW102" s="135" t="str">
        <f>IF($I102&lt;&gt;"",IF(S102="User Specified",V102,INDEX('Refrigerant GWPs'!$G$2:$G$156,MATCH(S102,'Refrigerant GWPs'!$A$2:$A$157,0))),"")</f>
        <v/>
      </c>
      <c r="CX102" s="138" t="str">
        <f>IF($I102&lt;&gt;"",INDEX('Device Refrigerant Leakage'!$E$2:$E$42,MATCH($Q102,'Device Refrigerant Leakage'!$B$2:$B$42,0)),"")</f>
        <v/>
      </c>
      <c r="CY102" s="138" t="str">
        <f>IF($I102&lt;&gt;"",INDEX('Device Refrigerant Leakage'!$F$2:$F$42,MATCH($Q102,'Device Refrigerant Leakage'!$B$2:$B$42,0)),"")</f>
        <v/>
      </c>
      <c r="CZ102" s="145" t="str">
        <f>IF($I102&lt;&gt;"",INDEX('Device Refrigerant Leakage'!$G$2:$G$42,MATCH($Q102,'Device Refrigerant Leakage'!$B$2:$B$42,0)),"")</f>
        <v/>
      </c>
      <c r="DA102" s="145" t="str">
        <f>IF($I102&lt;&gt;"",J102*INDEX('Device Refrigerant Leakage'!$D$2:$D$42,MATCH($Q102,'Device Refrigerant Leakage'!$B$2:$B$42,0))*CX102/2204.62*CW102,"")</f>
        <v/>
      </c>
      <c r="DB102" s="145" t="str">
        <f>IF($I102&lt;&gt;"",J102*(INDEX('Device Refrigerant Leakage'!$D$2:$D$42,MATCH($Q102,'Device Refrigerant Leakage'!$B$2:$B$42,0))-(INDEX('Device Refrigerant Leakage'!$D$2:$D$42,MATCH($Q102,'Device Refrigerant Leakage'!$B$2:$B$42,0)))*CZ102*CX102)*CY102/2204.62*CW102,"")</f>
        <v/>
      </c>
      <c r="DC102" s="135" t="str">
        <f t="shared" si="163"/>
        <v/>
      </c>
      <c r="DE102" s="146" t="str">
        <f>IF(W102&lt;&gt;"AR","",IF(Y102="User Specified", AA102, INDEX('Refrigerant GWPs'!$G$2:$G$154,MATCH(Y102,'Refrigerant GWPs'!$A$2:$A$154,0))))</f>
        <v/>
      </c>
      <c r="DF102" s="146" t="str">
        <f>IF(W102&lt;&gt;"AR","",INDEX('Device Refrigerant Leakage'!$E$2:$E$42,MATCH(X102,'Device Refrigerant Leakage'!$B$2:$B$42,0)))</f>
        <v/>
      </c>
      <c r="DG102" s="146" t="str">
        <f>IF(W102&lt;&gt;"AR","",INDEX('Device Refrigerant Leakage'!$F$2:$F$42,MATCH(X102,'Device Refrigerant Leakage'!$B$2:$B$42,0)))</f>
        <v/>
      </c>
      <c r="DH102" s="146" t="str">
        <f>IF(W102&lt;&gt;"AR","",INDEX('Device Refrigerant Leakage'!$G$2:$G$42,MATCH(X102,'Device Refrigerant Leakage'!$B$2:$B$42,0)))</f>
        <v/>
      </c>
      <c r="DI102" s="146" t="str">
        <f>IF(W102&lt;&gt;"AR","",J102*INDEX('Device Refrigerant Leakage'!$D$2:$D$42,MATCH(X102,'Device Refrigerant Leakage'!$B$2:$B$42,0))*DF102/2204.62*DE102)</f>
        <v/>
      </c>
      <c r="DJ102" s="146" t="str">
        <f>IF(W102&lt;&gt;"AR","",J102*(INDEX('Device Refrigerant Leakage'!$D$2:$D$42,MATCH(X102,'Device Refrigerant Leakage'!$B$2:$B$42,0))-(INDEX('Device Refrigerant Leakage'!$D$2:$D$42,MATCH(X102,'Device Refrigerant Leakage'!$B$2:$B$42,0)))*DH102*DF102)*DG102/2204.62*DE102)</f>
        <v/>
      </c>
      <c r="DK102" s="146" t="str">
        <f>IF(W102&lt;&gt;"AR","",DI102*(K102-AB102)+'Fuel Sub Calcs-Deemed'!DJ102*((K102-AB102)/INDEX('Device Refrigerant Leakage'!$C$2:$C$42,MATCH('Fuel Sub Calcs-Deemed'!X102,'Device Refrigerant Leakage'!$B$2:$B$42,0))))</f>
        <v/>
      </c>
      <c r="DM102" s="56">
        <v>88</v>
      </c>
      <c r="DN102" s="67" t="e">
        <f t="shared" si="143"/>
        <v>#N/A</v>
      </c>
      <c r="DO102" s="45" t="e">
        <f t="shared" si="144"/>
        <v>#N/A</v>
      </c>
      <c r="DP102" s="67" t="e">
        <f t="shared" si="145"/>
        <v>#N/A</v>
      </c>
      <c r="DQ102" s="45" t="e">
        <f t="shared" si="146"/>
        <v>#N/A</v>
      </c>
      <c r="DR102" s="69" t="e">
        <f t="shared" si="147"/>
        <v>#N/A</v>
      </c>
      <c r="DS102" s="34"/>
      <c r="DT102" s="67" t="e">
        <f>((BX102*CJ102)+IF($W102=MAT_AR,(BZ102*CL102),0))*(1+Reference!$E$50+Reference!$E$51)</f>
        <v>#N/A</v>
      </c>
      <c r="DU102" s="67">
        <f>((BY102*CK102)+IF($W102=MAT_AR,(CA102*CM102),0))*(1+Reference!$G$50+Reference!$G$51)</f>
        <v>0</v>
      </c>
      <c r="DV102" s="67" t="e">
        <f t="shared" si="148"/>
        <v>#VALUE!</v>
      </c>
      <c r="DX102" s="56">
        <v>88</v>
      </c>
      <c r="DY102" s="67">
        <f t="shared" si="149"/>
        <v>0</v>
      </c>
      <c r="DZ102" s="45" t="e">
        <f>VLOOKUP($R102,Dropdown!$C$3:$D$4,2,FALSE)</f>
        <v>#N/A</v>
      </c>
      <c r="EA102" s="68">
        <f t="shared" si="150"/>
        <v>0</v>
      </c>
      <c r="EB102" s="68" t="str">
        <f t="shared" si="151"/>
        <v>N/A</v>
      </c>
      <c r="EC102" s="68">
        <f t="shared" si="152"/>
        <v>0</v>
      </c>
      <c r="ED102" s="68" t="str">
        <f t="shared" si="153"/>
        <v>N/A</v>
      </c>
      <c r="EF102" s="56">
        <v>88</v>
      </c>
      <c r="EG102" s="46">
        <f t="shared" si="154"/>
        <v>0</v>
      </c>
      <c r="EH102" s="68" t="e">
        <f t="shared" si="155"/>
        <v>#N/A</v>
      </c>
      <c r="EI102" s="68" t="e">
        <f t="shared" si="156"/>
        <v>#N/A</v>
      </c>
      <c r="EJ102" s="68" t="e">
        <f t="shared" si="157"/>
        <v>#N/A</v>
      </c>
      <c r="EK102" s="68" t="e">
        <f t="shared" si="158"/>
        <v>#N/A</v>
      </c>
      <c r="EL102" s="46">
        <f t="shared" si="159"/>
        <v>0</v>
      </c>
      <c r="EM102" s="46">
        <f t="shared" si="160"/>
        <v>0</v>
      </c>
    </row>
    <row r="103" spans="1:143">
      <c r="A103" s="89"/>
      <c r="B103" s="89"/>
      <c r="C103" s="89"/>
      <c r="D103" s="89"/>
      <c r="E103" s="89"/>
      <c r="F103" s="89"/>
      <c r="G103" s="34"/>
      <c r="H103" s="56">
        <f t="shared" si="161"/>
        <v>89</v>
      </c>
      <c r="I103" s="165"/>
      <c r="J103" s="163"/>
      <c r="K103" s="163"/>
      <c r="L103" s="164"/>
      <c r="M103" s="155"/>
      <c r="N103" s="155"/>
      <c r="O103" s="144"/>
      <c r="P103" s="159" t="str">
        <f>IFERROR(IF(O103&lt;&gt;"User Specified",IF(O103&lt;&gt;"", INDEX('Refrigerant GWPs'!$G$2:$G$154,MATCH(O103,'Refrigerant GWPs'!$A$2:$A$154,0)),""),U103),0)</f>
        <v/>
      </c>
      <c r="Q103" s="155"/>
      <c r="R103" s="155"/>
      <c r="S103" s="144"/>
      <c r="T103" s="159" t="str">
        <f>IF(S103&lt;&gt;"User Specified",IF(AND(S103&lt;&gt;"User Specified",S103&lt;&gt;""), INDEX('Refrigerant GWPs'!$G$2:$G$154,MATCH(S103,'Refrigerant GWPs'!$A$2:$A$154,0)),""),V103)</f>
        <v/>
      </c>
      <c r="U103" s="144"/>
      <c r="V103" s="144"/>
      <c r="W103" s="155"/>
      <c r="X103" s="155"/>
      <c r="Y103" s="144"/>
      <c r="Z103" s="159" t="str">
        <f>IF(AND(Y103&lt;&gt;"User Specified",Y103&lt;&gt;""), INDEX('Refrigerant GWPs'!$G$2:$G$154,MATCH(Y103,'Refrigerant GWPs'!$A$2:$A$154,0)),"")</f>
        <v/>
      </c>
      <c r="AA103" s="155"/>
      <c r="AB103" s="156"/>
      <c r="AC103" s="66"/>
      <c r="AD103" s="66"/>
      <c r="AE103" s="66"/>
      <c r="AF103" s="66"/>
      <c r="AG103" s="66"/>
      <c r="AH103" s="66"/>
      <c r="AI103" s="34"/>
      <c r="AJ103" s="88">
        <f t="shared" si="119"/>
        <v>0</v>
      </c>
      <c r="AK103" s="88">
        <f t="shared" si="120"/>
        <v>0</v>
      </c>
      <c r="AL103" s="88">
        <v>0</v>
      </c>
      <c r="AM103" s="88">
        <v>0</v>
      </c>
      <c r="AN103" s="81" t="str">
        <f t="shared" si="162"/>
        <v/>
      </c>
      <c r="AO103" s="88">
        <f t="shared" si="121"/>
        <v>0</v>
      </c>
      <c r="AP103" s="88">
        <f t="shared" si="122"/>
        <v>0</v>
      </c>
      <c r="AQ103" s="81" t="str">
        <f t="shared" si="123"/>
        <v/>
      </c>
      <c r="AS103" s="41" t="b">
        <f t="shared" si="124"/>
        <v>1</v>
      </c>
      <c r="AT103" s="38">
        <f t="shared" si="125"/>
        <v>0</v>
      </c>
      <c r="AU103" s="60">
        <f t="shared" si="126"/>
        <v>0</v>
      </c>
      <c r="AV103" s="41">
        <f t="shared" si="127"/>
        <v>0</v>
      </c>
      <c r="AW103" s="41" t="b">
        <f t="shared" si="128"/>
        <v>0</v>
      </c>
      <c r="AX103" t="str">
        <f t="shared" si="129"/>
        <v>+00</v>
      </c>
      <c r="AY103" t="str">
        <f t="shared" si="130"/>
        <v>+00</v>
      </c>
      <c r="BA103" s="47" t="b">
        <f t="shared" si="164"/>
        <v>1</v>
      </c>
      <c r="BB103" s="42" t="b">
        <f t="shared" si="165"/>
        <v>1</v>
      </c>
      <c r="BC103" s="42" t="b">
        <f t="shared" si="166"/>
        <v>0</v>
      </c>
      <c r="BD103" s="42" t="b">
        <f t="shared" si="167"/>
        <v>0</v>
      </c>
      <c r="BE103" s="70">
        <f t="shared" si="168"/>
        <v>0</v>
      </c>
      <c r="BF103" s="70">
        <f t="shared" si="169"/>
        <v>0</v>
      </c>
      <c r="BG103" s="34"/>
      <c r="BI103" s="47" t="b">
        <f t="shared" si="170"/>
        <v>1</v>
      </c>
      <c r="BJ103" s="47" t="b">
        <f t="shared" si="171"/>
        <v>1</v>
      </c>
      <c r="BK103" s="42" t="b">
        <f t="shared" si="172"/>
        <v>0</v>
      </c>
      <c r="BL103" s="42" t="b">
        <f t="shared" si="173"/>
        <v>0</v>
      </c>
      <c r="BM103" s="42">
        <f t="shared" si="174"/>
        <v>0</v>
      </c>
      <c r="BN103" s="42">
        <f t="shared" si="175"/>
        <v>0</v>
      </c>
      <c r="BP103" t="e">
        <f t="shared" si="176"/>
        <v>#N/A</v>
      </c>
      <c r="BQ103" t="e">
        <f t="shared" si="177"/>
        <v>#N/A</v>
      </c>
      <c r="BR103" t="e">
        <f t="shared" si="178"/>
        <v>#N/A</v>
      </c>
      <c r="BT103" s="60">
        <f t="shared" si="131"/>
        <v>0</v>
      </c>
      <c r="BU103" s="60">
        <f t="shared" si="132"/>
        <v>0</v>
      </c>
      <c r="BV103" s="60">
        <f t="shared" si="133"/>
        <v>0</v>
      </c>
      <c r="BW103" s="60">
        <f t="shared" si="134"/>
        <v>0</v>
      </c>
      <c r="BX103" s="60">
        <f t="shared" si="179"/>
        <v>0</v>
      </c>
      <c r="BY103" s="60">
        <f t="shared" si="180"/>
        <v>0</v>
      </c>
      <c r="BZ103" s="60">
        <f t="shared" si="181"/>
        <v>0</v>
      </c>
      <c r="CA103" s="60">
        <f t="shared" si="182"/>
        <v>0</v>
      </c>
      <c r="CB103" s="60" t="e">
        <f t="shared" si="135"/>
        <v>#N/A</v>
      </c>
      <c r="CC103" s="60">
        <f t="shared" si="136"/>
        <v>100000</v>
      </c>
      <c r="CD103" s="60" t="e">
        <f t="shared" si="137"/>
        <v>#N/A</v>
      </c>
      <c r="CE103" s="60">
        <f t="shared" si="138"/>
        <v>100000</v>
      </c>
      <c r="CF103" s="83" t="e">
        <f t="shared" si="183"/>
        <v>#N/A</v>
      </c>
      <c r="CG103" s="83">
        <f t="shared" si="184"/>
        <v>0</v>
      </c>
      <c r="CH103" s="83" t="e">
        <f t="shared" si="185"/>
        <v>#N/A</v>
      </c>
      <c r="CI103" s="83">
        <f t="shared" si="186"/>
        <v>0</v>
      </c>
      <c r="CJ103" s="86" t="e">
        <f t="shared" si="139"/>
        <v>#N/A</v>
      </c>
      <c r="CK103" s="82">
        <f t="shared" si="140"/>
        <v>5.3070370403969858E-3</v>
      </c>
      <c r="CL103" s="82" t="e">
        <f t="shared" si="141"/>
        <v>#N/A</v>
      </c>
      <c r="CM103" s="82">
        <f t="shared" si="142"/>
        <v>5.3070370403969858E-3</v>
      </c>
      <c r="CO103" s="149" t="str">
        <f>IF($I103&lt;&gt;"",IF(O103="User Specified",U103,INDEX('Refrigerant GWPs'!$G$2:$G$156,MATCH(O103,'Refrigerant GWPs'!$A$2:$A$156,0))),"")</f>
        <v/>
      </c>
      <c r="CP103" s="138" t="str">
        <f>IF($I103&lt;&gt;"",INDEX('Device Refrigerant Leakage'!$E$2:$E$42,MATCH($M103,'Device Refrigerant Leakage'!$B$2:$B$42,0)),"")</f>
        <v/>
      </c>
      <c r="CQ103" s="138" t="str">
        <f>IF($I103&lt;&gt;"",INDEX('Device Refrigerant Leakage'!$F$2:$F$42,MATCH($M103,'Device Refrigerant Leakage'!$B$2:$B$42,0)),"")</f>
        <v/>
      </c>
      <c r="CR103" s="145" t="str">
        <f>IF($I103&lt;&gt;"",INDEX('Device Refrigerant Leakage'!$G$2:$G$42,MATCH($M103,'Device Refrigerant Leakage'!$B$2:$B$42,0)),"")</f>
        <v/>
      </c>
      <c r="CS103" s="145" t="str">
        <f>IF($I103&lt;&gt;"",INDEX('Device Refrigerant Leakage'!$D$2:$D$42,MATCH($M103,'Device Refrigerant Leakage'!$B$2:$B$42,0))*CP103/2204.62*CO103,"")</f>
        <v/>
      </c>
      <c r="CT103" s="145" t="str">
        <f>IF($I103&lt;&gt;"",J103*(INDEX('Device Refrigerant Leakage'!$D$2:$D$42,MATCH($M103,'Device Refrigerant Leakage'!$B$2:$B$42,0))-(INDEX('Device Refrigerant Leakage'!$D$2:$D$42,MATCH($M103,'Device Refrigerant Leakage'!$B$2:$B$42,0)))*CR103*CP103)*CQ103/2204.62*CO103,"")</f>
        <v/>
      </c>
      <c r="CU103" s="135" t="str">
        <f>IF($I103&lt;&gt;"",J103*IF(W103&lt;&gt;"AR",(CS103*K103)+CT103,(CS103*AB103)+CT103*(AB103/INDEX('Device Refrigerant Leakage'!$C$2:$C$42,MATCH($M103,'Device Refrigerant Leakage'!$B$2:$B$42,0)))),"")</f>
        <v/>
      </c>
      <c r="CW103" s="135" t="str">
        <f>IF($I103&lt;&gt;"",IF(S103="User Specified",V103,INDEX('Refrigerant GWPs'!$G$2:$G$156,MATCH(S103,'Refrigerant GWPs'!$A$2:$A$157,0))),"")</f>
        <v/>
      </c>
      <c r="CX103" s="138" t="str">
        <f>IF($I103&lt;&gt;"",INDEX('Device Refrigerant Leakage'!$E$2:$E$42,MATCH($Q103,'Device Refrigerant Leakage'!$B$2:$B$42,0)),"")</f>
        <v/>
      </c>
      <c r="CY103" s="138" t="str">
        <f>IF($I103&lt;&gt;"",INDEX('Device Refrigerant Leakage'!$F$2:$F$42,MATCH($Q103,'Device Refrigerant Leakage'!$B$2:$B$42,0)),"")</f>
        <v/>
      </c>
      <c r="CZ103" s="145" t="str">
        <f>IF($I103&lt;&gt;"",INDEX('Device Refrigerant Leakage'!$G$2:$G$42,MATCH($Q103,'Device Refrigerant Leakage'!$B$2:$B$42,0)),"")</f>
        <v/>
      </c>
      <c r="DA103" s="145" t="str">
        <f>IF($I103&lt;&gt;"",J103*INDEX('Device Refrigerant Leakage'!$D$2:$D$42,MATCH($Q103,'Device Refrigerant Leakage'!$B$2:$B$42,0))*CX103/2204.62*CW103,"")</f>
        <v/>
      </c>
      <c r="DB103" s="145" t="str">
        <f>IF($I103&lt;&gt;"",J103*(INDEX('Device Refrigerant Leakage'!$D$2:$D$42,MATCH($Q103,'Device Refrigerant Leakage'!$B$2:$B$42,0))-(INDEX('Device Refrigerant Leakage'!$D$2:$D$42,MATCH($Q103,'Device Refrigerant Leakage'!$B$2:$B$42,0)))*CZ103*CX103)*CY103/2204.62*CW103,"")</f>
        <v/>
      </c>
      <c r="DC103" s="135" t="str">
        <f t="shared" si="163"/>
        <v/>
      </c>
      <c r="DE103" s="146" t="str">
        <f>IF(W103&lt;&gt;"AR","",IF(Y103="User Specified", AA103, INDEX('Refrigerant GWPs'!$G$2:$G$154,MATCH(Y103,'Refrigerant GWPs'!$A$2:$A$154,0))))</f>
        <v/>
      </c>
      <c r="DF103" s="146" t="str">
        <f>IF(W103&lt;&gt;"AR","",INDEX('Device Refrigerant Leakage'!$E$2:$E$42,MATCH(X103,'Device Refrigerant Leakage'!$B$2:$B$42,0)))</f>
        <v/>
      </c>
      <c r="DG103" s="146" t="str">
        <f>IF(W103&lt;&gt;"AR","",INDEX('Device Refrigerant Leakage'!$F$2:$F$42,MATCH(X103,'Device Refrigerant Leakage'!$B$2:$B$42,0)))</f>
        <v/>
      </c>
      <c r="DH103" s="146" t="str">
        <f>IF(W103&lt;&gt;"AR","",INDEX('Device Refrigerant Leakage'!$G$2:$G$42,MATCH(X103,'Device Refrigerant Leakage'!$B$2:$B$42,0)))</f>
        <v/>
      </c>
      <c r="DI103" s="146" t="str">
        <f>IF(W103&lt;&gt;"AR","",J103*INDEX('Device Refrigerant Leakage'!$D$2:$D$42,MATCH(X103,'Device Refrigerant Leakage'!$B$2:$B$42,0))*DF103/2204.62*DE103)</f>
        <v/>
      </c>
      <c r="DJ103" s="146" t="str">
        <f>IF(W103&lt;&gt;"AR","",J103*(INDEX('Device Refrigerant Leakage'!$D$2:$D$42,MATCH(X103,'Device Refrigerant Leakage'!$B$2:$B$42,0))-(INDEX('Device Refrigerant Leakage'!$D$2:$D$42,MATCH(X103,'Device Refrigerant Leakage'!$B$2:$B$42,0)))*DH103*DF103)*DG103/2204.62*DE103)</f>
        <v/>
      </c>
      <c r="DK103" s="146" t="str">
        <f>IF(W103&lt;&gt;"AR","",DI103*(K103-AB103)+'Fuel Sub Calcs-Deemed'!DJ103*((K103-AB103)/INDEX('Device Refrigerant Leakage'!$C$2:$C$42,MATCH('Fuel Sub Calcs-Deemed'!X103,'Device Refrigerant Leakage'!$B$2:$B$42,0))))</f>
        <v/>
      </c>
      <c r="DM103" s="56">
        <v>89</v>
      </c>
      <c r="DN103" s="67" t="e">
        <f t="shared" si="143"/>
        <v>#N/A</v>
      </c>
      <c r="DO103" s="45" t="e">
        <f t="shared" si="144"/>
        <v>#N/A</v>
      </c>
      <c r="DP103" s="67" t="e">
        <f t="shared" si="145"/>
        <v>#N/A</v>
      </c>
      <c r="DQ103" s="45" t="e">
        <f t="shared" si="146"/>
        <v>#N/A</v>
      </c>
      <c r="DR103" s="69" t="e">
        <f t="shared" si="147"/>
        <v>#N/A</v>
      </c>
      <c r="DS103" s="34"/>
      <c r="DT103" s="67" t="e">
        <f>((BX103*CJ103)+IF($W103=MAT_AR,(BZ103*CL103),0))*(1+Reference!$E$50+Reference!$E$51)</f>
        <v>#N/A</v>
      </c>
      <c r="DU103" s="67">
        <f>((BY103*CK103)+IF($W103=MAT_AR,(CA103*CM103),0))*(1+Reference!$G$50+Reference!$G$51)</f>
        <v>0</v>
      </c>
      <c r="DV103" s="67" t="e">
        <f t="shared" si="148"/>
        <v>#VALUE!</v>
      </c>
      <c r="DX103" s="56">
        <v>89</v>
      </c>
      <c r="DY103" s="67">
        <f t="shared" si="149"/>
        <v>0</v>
      </c>
      <c r="DZ103" s="45" t="e">
        <f>VLOOKUP($R103,Dropdown!$C$3:$D$4,2,FALSE)</f>
        <v>#N/A</v>
      </c>
      <c r="EA103" s="68">
        <f t="shared" si="150"/>
        <v>0</v>
      </c>
      <c r="EB103" s="68" t="str">
        <f t="shared" si="151"/>
        <v>N/A</v>
      </c>
      <c r="EC103" s="68">
        <f t="shared" si="152"/>
        <v>0</v>
      </c>
      <c r="ED103" s="68" t="str">
        <f t="shared" si="153"/>
        <v>N/A</v>
      </c>
      <c r="EF103" s="56">
        <v>89</v>
      </c>
      <c r="EG103" s="46">
        <f t="shared" si="154"/>
        <v>0</v>
      </c>
      <c r="EH103" s="68" t="e">
        <f t="shared" si="155"/>
        <v>#N/A</v>
      </c>
      <c r="EI103" s="68" t="e">
        <f t="shared" si="156"/>
        <v>#N/A</v>
      </c>
      <c r="EJ103" s="68" t="e">
        <f t="shared" si="157"/>
        <v>#N/A</v>
      </c>
      <c r="EK103" s="68" t="e">
        <f t="shared" si="158"/>
        <v>#N/A</v>
      </c>
      <c r="EL103" s="46">
        <f t="shared" si="159"/>
        <v>0</v>
      </c>
      <c r="EM103" s="46">
        <f t="shared" si="160"/>
        <v>0</v>
      </c>
    </row>
    <row r="104" spans="1:143">
      <c r="A104" s="89"/>
      <c r="B104" s="89"/>
      <c r="C104" s="89"/>
      <c r="D104" s="89"/>
      <c r="E104" s="89"/>
      <c r="F104" s="89"/>
      <c r="G104" s="34"/>
      <c r="H104" s="56">
        <f t="shared" si="161"/>
        <v>90</v>
      </c>
      <c r="I104" s="165"/>
      <c r="J104" s="163"/>
      <c r="K104" s="163"/>
      <c r="L104" s="164"/>
      <c r="M104" s="155"/>
      <c r="N104" s="155"/>
      <c r="O104" s="144"/>
      <c r="P104" s="159" t="str">
        <f>IFERROR(IF(O104&lt;&gt;"User Specified",IF(O104&lt;&gt;"", INDEX('Refrigerant GWPs'!$G$2:$G$154,MATCH(O104,'Refrigerant GWPs'!$A$2:$A$154,0)),""),U104),0)</f>
        <v/>
      </c>
      <c r="Q104" s="155"/>
      <c r="R104" s="155"/>
      <c r="S104" s="144"/>
      <c r="T104" s="159" t="str">
        <f>IF(S104&lt;&gt;"User Specified",IF(AND(S104&lt;&gt;"User Specified",S104&lt;&gt;""), INDEX('Refrigerant GWPs'!$G$2:$G$154,MATCH(S104,'Refrigerant GWPs'!$A$2:$A$154,0)),""),V104)</f>
        <v/>
      </c>
      <c r="U104" s="144"/>
      <c r="V104" s="144"/>
      <c r="W104" s="155"/>
      <c r="X104" s="155"/>
      <c r="Y104" s="144"/>
      <c r="Z104" s="159" t="str">
        <f>IF(AND(Y104&lt;&gt;"User Specified",Y104&lt;&gt;""), INDEX('Refrigerant GWPs'!$G$2:$G$154,MATCH(Y104,'Refrigerant GWPs'!$A$2:$A$154,0)),"")</f>
        <v/>
      </c>
      <c r="AA104" s="155"/>
      <c r="AB104" s="156"/>
      <c r="AC104" s="66"/>
      <c r="AD104" s="66"/>
      <c r="AE104" s="66"/>
      <c r="AF104" s="66"/>
      <c r="AG104" s="66"/>
      <c r="AH104" s="66"/>
      <c r="AI104" s="34"/>
      <c r="AJ104" s="88">
        <f t="shared" si="119"/>
        <v>0</v>
      </c>
      <c r="AK104" s="88">
        <f t="shared" si="120"/>
        <v>0</v>
      </c>
      <c r="AL104" s="88">
        <v>0</v>
      </c>
      <c r="AM104" s="88">
        <v>0</v>
      </c>
      <c r="AN104" s="81" t="str">
        <f t="shared" si="162"/>
        <v/>
      </c>
      <c r="AO104" s="88">
        <f t="shared" si="121"/>
        <v>0</v>
      </c>
      <c r="AP104" s="88">
        <f t="shared" si="122"/>
        <v>0</v>
      </c>
      <c r="AQ104" s="81" t="str">
        <f t="shared" si="123"/>
        <v/>
      </c>
      <c r="AS104" s="41" t="b">
        <f t="shared" si="124"/>
        <v>1</v>
      </c>
      <c r="AT104" s="38">
        <f t="shared" si="125"/>
        <v>0</v>
      </c>
      <c r="AU104" s="60">
        <f t="shared" si="126"/>
        <v>0</v>
      </c>
      <c r="AV104" s="41">
        <f t="shared" si="127"/>
        <v>0</v>
      </c>
      <c r="AW104" s="41" t="b">
        <f t="shared" si="128"/>
        <v>0</v>
      </c>
      <c r="AX104" t="str">
        <f t="shared" si="129"/>
        <v>+00</v>
      </c>
      <c r="AY104" t="str">
        <f t="shared" si="130"/>
        <v>+00</v>
      </c>
      <c r="BA104" s="47" t="b">
        <f t="shared" si="164"/>
        <v>1</v>
      </c>
      <c r="BB104" s="42" t="b">
        <f t="shared" si="165"/>
        <v>1</v>
      </c>
      <c r="BC104" s="42" t="b">
        <f t="shared" si="166"/>
        <v>0</v>
      </c>
      <c r="BD104" s="42" t="b">
        <f t="shared" si="167"/>
        <v>0</v>
      </c>
      <c r="BE104" s="70">
        <f t="shared" si="168"/>
        <v>0</v>
      </c>
      <c r="BF104" s="70">
        <f t="shared" si="169"/>
        <v>0</v>
      </c>
      <c r="BG104" s="34"/>
      <c r="BI104" s="47" t="b">
        <f t="shared" si="170"/>
        <v>1</v>
      </c>
      <c r="BJ104" s="47" t="b">
        <f t="shared" si="171"/>
        <v>1</v>
      </c>
      <c r="BK104" s="42" t="b">
        <f t="shared" si="172"/>
        <v>0</v>
      </c>
      <c r="BL104" s="42" t="b">
        <f t="shared" si="173"/>
        <v>0</v>
      </c>
      <c r="BM104" s="42">
        <f t="shared" si="174"/>
        <v>0</v>
      </c>
      <c r="BN104" s="42">
        <f t="shared" si="175"/>
        <v>0</v>
      </c>
      <c r="BP104" t="e">
        <f t="shared" si="176"/>
        <v>#N/A</v>
      </c>
      <c r="BQ104" t="e">
        <f t="shared" si="177"/>
        <v>#N/A</v>
      </c>
      <c r="BR104" t="e">
        <f t="shared" si="178"/>
        <v>#N/A</v>
      </c>
      <c r="BT104" s="60">
        <f t="shared" si="131"/>
        <v>0</v>
      </c>
      <c r="BU104" s="60">
        <f t="shared" si="132"/>
        <v>0</v>
      </c>
      <c r="BV104" s="60">
        <f t="shared" si="133"/>
        <v>0</v>
      </c>
      <c r="BW104" s="60">
        <f t="shared" si="134"/>
        <v>0</v>
      </c>
      <c r="BX104" s="60">
        <f t="shared" si="179"/>
        <v>0</v>
      </c>
      <c r="BY104" s="60">
        <f t="shared" si="180"/>
        <v>0</v>
      </c>
      <c r="BZ104" s="60">
        <f t="shared" si="181"/>
        <v>0</v>
      </c>
      <c r="CA104" s="60">
        <f t="shared" si="182"/>
        <v>0</v>
      </c>
      <c r="CB104" s="60" t="e">
        <f t="shared" si="135"/>
        <v>#N/A</v>
      </c>
      <c r="CC104" s="60">
        <f t="shared" si="136"/>
        <v>100000</v>
      </c>
      <c r="CD104" s="60" t="e">
        <f t="shared" si="137"/>
        <v>#N/A</v>
      </c>
      <c r="CE104" s="60">
        <f t="shared" si="138"/>
        <v>100000</v>
      </c>
      <c r="CF104" s="83" t="e">
        <f t="shared" si="183"/>
        <v>#N/A</v>
      </c>
      <c r="CG104" s="83">
        <f t="shared" si="184"/>
        <v>0</v>
      </c>
      <c r="CH104" s="83" t="e">
        <f t="shared" si="185"/>
        <v>#N/A</v>
      </c>
      <c r="CI104" s="83">
        <f t="shared" si="186"/>
        <v>0</v>
      </c>
      <c r="CJ104" s="86" t="e">
        <f t="shared" si="139"/>
        <v>#N/A</v>
      </c>
      <c r="CK104" s="82">
        <f t="shared" si="140"/>
        <v>5.3070370403969858E-3</v>
      </c>
      <c r="CL104" s="82" t="e">
        <f t="shared" si="141"/>
        <v>#N/A</v>
      </c>
      <c r="CM104" s="82">
        <f t="shared" si="142"/>
        <v>5.3070370403969858E-3</v>
      </c>
      <c r="CO104" s="149" t="str">
        <f>IF($I104&lt;&gt;"",IF(O104="User Specified",U104,INDEX('Refrigerant GWPs'!$G$2:$G$156,MATCH(O104,'Refrigerant GWPs'!$A$2:$A$156,0))),"")</f>
        <v/>
      </c>
      <c r="CP104" s="138" t="str">
        <f>IF($I104&lt;&gt;"",INDEX('Device Refrigerant Leakage'!$E$2:$E$42,MATCH($M104,'Device Refrigerant Leakage'!$B$2:$B$42,0)),"")</f>
        <v/>
      </c>
      <c r="CQ104" s="138" t="str">
        <f>IF($I104&lt;&gt;"",INDEX('Device Refrigerant Leakage'!$F$2:$F$42,MATCH($M104,'Device Refrigerant Leakage'!$B$2:$B$42,0)),"")</f>
        <v/>
      </c>
      <c r="CR104" s="145" t="str">
        <f>IF($I104&lt;&gt;"",INDEX('Device Refrigerant Leakage'!$G$2:$G$42,MATCH($M104,'Device Refrigerant Leakage'!$B$2:$B$42,0)),"")</f>
        <v/>
      </c>
      <c r="CS104" s="145" t="str">
        <f>IF($I104&lt;&gt;"",INDEX('Device Refrigerant Leakage'!$D$2:$D$42,MATCH($M104,'Device Refrigerant Leakage'!$B$2:$B$42,0))*CP104/2204.62*CO104,"")</f>
        <v/>
      </c>
      <c r="CT104" s="145" t="str">
        <f>IF($I104&lt;&gt;"",J104*(INDEX('Device Refrigerant Leakage'!$D$2:$D$42,MATCH($M104,'Device Refrigerant Leakage'!$B$2:$B$42,0))-(INDEX('Device Refrigerant Leakage'!$D$2:$D$42,MATCH($M104,'Device Refrigerant Leakage'!$B$2:$B$42,0)))*CR104*CP104)*CQ104/2204.62*CO104,"")</f>
        <v/>
      </c>
      <c r="CU104" s="135" t="str">
        <f>IF($I104&lt;&gt;"",J104*IF(W104&lt;&gt;"AR",(CS104*K104)+CT104,(CS104*AB104)+CT104*(AB104/INDEX('Device Refrigerant Leakage'!$C$2:$C$42,MATCH($M104,'Device Refrigerant Leakage'!$B$2:$B$42,0)))),"")</f>
        <v/>
      </c>
      <c r="CW104" s="135" t="str">
        <f>IF($I104&lt;&gt;"",IF(S104="User Specified",V104,INDEX('Refrigerant GWPs'!$G$2:$G$156,MATCH(S104,'Refrigerant GWPs'!$A$2:$A$157,0))),"")</f>
        <v/>
      </c>
      <c r="CX104" s="138" t="str">
        <f>IF($I104&lt;&gt;"",INDEX('Device Refrigerant Leakage'!$E$2:$E$42,MATCH($Q104,'Device Refrigerant Leakage'!$B$2:$B$42,0)),"")</f>
        <v/>
      </c>
      <c r="CY104" s="138" t="str">
        <f>IF($I104&lt;&gt;"",INDEX('Device Refrigerant Leakage'!$F$2:$F$42,MATCH($Q104,'Device Refrigerant Leakage'!$B$2:$B$42,0)),"")</f>
        <v/>
      </c>
      <c r="CZ104" s="145" t="str">
        <f>IF($I104&lt;&gt;"",INDEX('Device Refrigerant Leakage'!$G$2:$G$42,MATCH($Q104,'Device Refrigerant Leakage'!$B$2:$B$42,0)),"")</f>
        <v/>
      </c>
      <c r="DA104" s="145" t="str">
        <f>IF($I104&lt;&gt;"",J104*INDEX('Device Refrigerant Leakage'!$D$2:$D$42,MATCH($Q104,'Device Refrigerant Leakage'!$B$2:$B$42,0))*CX104/2204.62*CW104,"")</f>
        <v/>
      </c>
      <c r="DB104" s="145" t="str">
        <f>IF($I104&lt;&gt;"",J104*(INDEX('Device Refrigerant Leakage'!$D$2:$D$42,MATCH($Q104,'Device Refrigerant Leakage'!$B$2:$B$42,0))-(INDEX('Device Refrigerant Leakage'!$D$2:$D$42,MATCH($Q104,'Device Refrigerant Leakage'!$B$2:$B$42,0)))*CZ104*CX104)*CY104/2204.62*CW104,"")</f>
        <v/>
      </c>
      <c r="DC104" s="135" t="str">
        <f t="shared" si="163"/>
        <v/>
      </c>
      <c r="DE104" s="146" t="str">
        <f>IF(W104&lt;&gt;"AR","",IF(Y104="User Specified", AA104, INDEX('Refrigerant GWPs'!$G$2:$G$154,MATCH(Y104,'Refrigerant GWPs'!$A$2:$A$154,0))))</f>
        <v/>
      </c>
      <c r="DF104" s="146" t="str">
        <f>IF(W104&lt;&gt;"AR","",INDEX('Device Refrigerant Leakage'!$E$2:$E$42,MATCH(X104,'Device Refrigerant Leakage'!$B$2:$B$42,0)))</f>
        <v/>
      </c>
      <c r="DG104" s="146" t="str">
        <f>IF(W104&lt;&gt;"AR","",INDEX('Device Refrigerant Leakage'!$F$2:$F$42,MATCH(X104,'Device Refrigerant Leakage'!$B$2:$B$42,0)))</f>
        <v/>
      </c>
      <c r="DH104" s="146" t="str">
        <f>IF(W104&lt;&gt;"AR","",INDEX('Device Refrigerant Leakage'!$G$2:$G$42,MATCH(X104,'Device Refrigerant Leakage'!$B$2:$B$42,0)))</f>
        <v/>
      </c>
      <c r="DI104" s="146" t="str">
        <f>IF(W104&lt;&gt;"AR","",J104*INDEX('Device Refrigerant Leakage'!$D$2:$D$42,MATCH(X104,'Device Refrigerant Leakage'!$B$2:$B$42,0))*DF104/2204.62*DE104)</f>
        <v/>
      </c>
      <c r="DJ104" s="146" t="str">
        <f>IF(W104&lt;&gt;"AR","",J104*(INDEX('Device Refrigerant Leakage'!$D$2:$D$42,MATCH(X104,'Device Refrigerant Leakage'!$B$2:$B$42,0))-(INDEX('Device Refrigerant Leakage'!$D$2:$D$42,MATCH(X104,'Device Refrigerant Leakage'!$B$2:$B$42,0)))*DH104*DF104)*DG104/2204.62*DE104)</f>
        <v/>
      </c>
      <c r="DK104" s="146" t="str">
        <f>IF(W104&lt;&gt;"AR","",DI104*(K104-AB104)+'Fuel Sub Calcs-Deemed'!DJ104*((K104-AB104)/INDEX('Device Refrigerant Leakage'!$C$2:$C$42,MATCH('Fuel Sub Calcs-Deemed'!X104,'Device Refrigerant Leakage'!$B$2:$B$42,0))))</f>
        <v/>
      </c>
      <c r="DM104" s="56">
        <v>90</v>
      </c>
      <c r="DN104" s="67" t="e">
        <f t="shared" si="143"/>
        <v>#N/A</v>
      </c>
      <c r="DO104" s="45" t="e">
        <f t="shared" si="144"/>
        <v>#N/A</v>
      </c>
      <c r="DP104" s="67" t="e">
        <f t="shared" si="145"/>
        <v>#N/A</v>
      </c>
      <c r="DQ104" s="45" t="e">
        <f t="shared" si="146"/>
        <v>#N/A</v>
      </c>
      <c r="DR104" s="69" t="e">
        <f t="shared" si="147"/>
        <v>#N/A</v>
      </c>
      <c r="DS104" s="34"/>
      <c r="DT104" s="67" t="e">
        <f>((BX104*CJ104)+IF($W104=MAT_AR,(BZ104*CL104),0))*(1+Reference!$E$50+Reference!$E$51)</f>
        <v>#N/A</v>
      </c>
      <c r="DU104" s="67">
        <f>((BY104*CK104)+IF($W104=MAT_AR,(CA104*CM104),0))*(1+Reference!$G$50+Reference!$G$51)</f>
        <v>0</v>
      </c>
      <c r="DV104" s="67" t="e">
        <f t="shared" si="148"/>
        <v>#VALUE!</v>
      </c>
      <c r="DX104" s="56">
        <v>90</v>
      </c>
      <c r="DY104" s="67">
        <f t="shared" si="149"/>
        <v>0</v>
      </c>
      <c r="DZ104" s="45" t="e">
        <f>VLOOKUP($R104,Dropdown!$C$3:$D$4,2,FALSE)</f>
        <v>#N/A</v>
      </c>
      <c r="EA104" s="68">
        <f t="shared" si="150"/>
        <v>0</v>
      </c>
      <c r="EB104" s="68" t="str">
        <f t="shared" si="151"/>
        <v>N/A</v>
      </c>
      <c r="EC104" s="68">
        <f t="shared" si="152"/>
        <v>0</v>
      </c>
      <c r="ED104" s="68" t="str">
        <f t="shared" si="153"/>
        <v>N/A</v>
      </c>
      <c r="EF104" s="56">
        <v>90</v>
      </c>
      <c r="EG104" s="46">
        <f t="shared" si="154"/>
        <v>0</v>
      </c>
      <c r="EH104" s="68" t="e">
        <f t="shared" si="155"/>
        <v>#N/A</v>
      </c>
      <c r="EI104" s="68" t="e">
        <f t="shared" si="156"/>
        <v>#N/A</v>
      </c>
      <c r="EJ104" s="68" t="e">
        <f t="shared" si="157"/>
        <v>#N/A</v>
      </c>
      <c r="EK104" s="68" t="e">
        <f t="shared" si="158"/>
        <v>#N/A</v>
      </c>
      <c r="EL104" s="46">
        <f t="shared" si="159"/>
        <v>0</v>
      </c>
      <c r="EM104" s="46">
        <f t="shared" si="160"/>
        <v>0</v>
      </c>
    </row>
    <row r="105" spans="1:143">
      <c r="A105" s="89"/>
      <c r="B105" s="89"/>
      <c r="C105" s="89"/>
      <c r="D105" s="89"/>
      <c r="E105" s="89"/>
      <c r="F105" s="89"/>
      <c r="G105" s="34"/>
      <c r="H105" s="56">
        <f t="shared" si="161"/>
        <v>91</v>
      </c>
      <c r="I105" s="165"/>
      <c r="J105" s="163"/>
      <c r="K105" s="163"/>
      <c r="L105" s="164"/>
      <c r="M105" s="155"/>
      <c r="N105" s="155"/>
      <c r="O105" s="144"/>
      <c r="P105" s="159" t="str">
        <f>IFERROR(IF(O105&lt;&gt;"User Specified",IF(O105&lt;&gt;"", INDEX('Refrigerant GWPs'!$G$2:$G$154,MATCH(O105,'Refrigerant GWPs'!$A$2:$A$154,0)),""),U105),0)</f>
        <v/>
      </c>
      <c r="Q105" s="155"/>
      <c r="R105" s="155"/>
      <c r="S105" s="144"/>
      <c r="T105" s="159" t="str">
        <f>IF(S105&lt;&gt;"User Specified",IF(AND(S105&lt;&gt;"User Specified",S105&lt;&gt;""), INDEX('Refrigerant GWPs'!$G$2:$G$154,MATCH(S105,'Refrigerant GWPs'!$A$2:$A$154,0)),""),V105)</f>
        <v/>
      </c>
      <c r="U105" s="144"/>
      <c r="V105" s="144"/>
      <c r="W105" s="155"/>
      <c r="X105" s="155"/>
      <c r="Y105" s="144"/>
      <c r="Z105" s="159" t="str">
        <f>IF(AND(Y105&lt;&gt;"User Specified",Y105&lt;&gt;""), INDEX('Refrigerant GWPs'!$G$2:$G$154,MATCH(Y105,'Refrigerant GWPs'!$A$2:$A$154,0)),"")</f>
        <v/>
      </c>
      <c r="AA105" s="155"/>
      <c r="AB105" s="156"/>
      <c r="AC105" s="66"/>
      <c r="AD105" s="66"/>
      <c r="AE105" s="66"/>
      <c r="AF105" s="66"/>
      <c r="AG105" s="66"/>
      <c r="AH105" s="66"/>
      <c r="AI105" s="34"/>
      <c r="AJ105" s="88">
        <f t="shared" si="119"/>
        <v>0</v>
      </c>
      <c r="AK105" s="88">
        <f t="shared" si="120"/>
        <v>0</v>
      </c>
      <c r="AL105" s="88">
        <v>0</v>
      </c>
      <c r="AM105" s="88">
        <v>0</v>
      </c>
      <c r="AN105" s="81" t="str">
        <f t="shared" si="162"/>
        <v/>
      </c>
      <c r="AO105" s="88">
        <f t="shared" si="121"/>
        <v>0</v>
      </c>
      <c r="AP105" s="88">
        <f t="shared" si="122"/>
        <v>0</v>
      </c>
      <c r="AQ105" s="81" t="str">
        <f t="shared" si="123"/>
        <v/>
      </c>
      <c r="AS105" s="41" t="b">
        <f t="shared" si="124"/>
        <v>1</v>
      </c>
      <c r="AT105" s="38">
        <f t="shared" si="125"/>
        <v>0</v>
      </c>
      <c r="AU105" s="60">
        <f t="shared" si="126"/>
        <v>0</v>
      </c>
      <c r="AV105" s="41">
        <f t="shared" si="127"/>
        <v>0</v>
      </c>
      <c r="AW105" s="41" t="b">
        <f t="shared" si="128"/>
        <v>0</v>
      </c>
      <c r="AX105" t="str">
        <f t="shared" si="129"/>
        <v>+00</v>
      </c>
      <c r="AY105" t="str">
        <f t="shared" si="130"/>
        <v>+00</v>
      </c>
      <c r="BA105" s="47" t="b">
        <f t="shared" si="164"/>
        <v>1</v>
      </c>
      <c r="BB105" s="42" t="b">
        <f t="shared" si="165"/>
        <v>1</v>
      </c>
      <c r="BC105" s="42" t="b">
        <f t="shared" si="166"/>
        <v>0</v>
      </c>
      <c r="BD105" s="42" t="b">
        <f t="shared" si="167"/>
        <v>0</v>
      </c>
      <c r="BE105" s="70">
        <f t="shared" si="168"/>
        <v>0</v>
      </c>
      <c r="BF105" s="70">
        <f t="shared" si="169"/>
        <v>0</v>
      </c>
      <c r="BG105" s="34"/>
      <c r="BI105" s="47" t="b">
        <f t="shared" si="170"/>
        <v>1</v>
      </c>
      <c r="BJ105" s="47" t="b">
        <f t="shared" si="171"/>
        <v>1</v>
      </c>
      <c r="BK105" s="42" t="b">
        <f t="shared" si="172"/>
        <v>0</v>
      </c>
      <c r="BL105" s="42" t="b">
        <f t="shared" si="173"/>
        <v>0</v>
      </c>
      <c r="BM105" s="42">
        <f t="shared" si="174"/>
        <v>0</v>
      </c>
      <c r="BN105" s="42">
        <f t="shared" si="175"/>
        <v>0</v>
      </c>
      <c r="BP105" t="e">
        <f t="shared" si="176"/>
        <v>#N/A</v>
      </c>
      <c r="BQ105" t="e">
        <f t="shared" si="177"/>
        <v>#N/A</v>
      </c>
      <c r="BR105" t="e">
        <f t="shared" si="178"/>
        <v>#N/A</v>
      </c>
      <c r="BT105" s="60">
        <f t="shared" si="131"/>
        <v>0</v>
      </c>
      <c r="BU105" s="60">
        <f t="shared" si="132"/>
        <v>0</v>
      </c>
      <c r="BV105" s="60">
        <f t="shared" si="133"/>
        <v>0</v>
      </c>
      <c r="BW105" s="60">
        <f t="shared" si="134"/>
        <v>0</v>
      </c>
      <c r="BX105" s="60">
        <f t="shared" si="179"/>
        <v>0</v>
      </c>
      <c r="BY105" s="60">
        <f t="shared" si="180"/>
        <v>0</v>
      </c>
      <c r="BZ105" s="60">
        <f t="shared" si="181"/>
        <v>0</v>
      </c>
      <c r="CA105" s="60">
        <f t="shared" si="182"/>
        <v>0</v>
      </c>
      <c r="CB105" s="60" t="e">
        <f t="shared" si="135"/>
        <v>#N/A</v>
      </c>
      <c r="CC105" s="60">
        <f t="shared" si="136"/>
        <v>100000</v>
      </c>
      <c r="CD105" s="60" t="e">
        <f t="shared" si="137"/>
        <v>#N/A</v>
      </c>
      <c r="CE105" s="60">
        <f t="shared" si="138"/>
        <v>100000</v>
      </c>
      <c r="CF105" s="83" t="e">
        <f t="shared" si="183"/>
        <v>#N/A</v>
      </c>
      <c r="CG105" s="83">
        <f t="shared" si="184"/>
        <v>0</v>
      </c>
      <c r="CH105" s="83" t="e">
        <f t="shared" si="185"/>
        <v>#N/A</v>
      </c>
      <c r="CI105" s="83">
        <f t="shared" si="186"/>
        <v>0</v>
      </c>
      <c r="CJ105" s="86" t="e">
        <f t="shared" si="139"/>
        <v>#N/A</v>
      </c>
      <c r="CK105" s="82">
        <f t="shared" si="140"/>
        <v>5.3070370403969858E-3</v>
      </c>
      <c r="CL105" s="82" t="e">
        <f t="shared" si="141"/>
        <v>#N/A</v>
      </c>
      <c r="CM105" s="82">
        <f t="shared" si="142"/>
        <v>5.3070370403969858E-3</v>
      </c>
      <c r="CO105" s="149" t="str">
        <f>IF($I105&lt;&gt;"",IF(O105="User Specified",U105,INDEX('Refrigerant GWPs'!$G$2:$G$156,MATCH(O105,'Refrigerant GWPs'!$A$2:$A$156,0))),"")</f>
        <v/>
      </c>
      <c r="CP105" s="138" t="str">
        <f>IF($I105&lt;&gt;"",INDEX('Device Refrigerant Leakage'!$E$2:$E$42,MATCH($M105,'Device Refrigerant Leakage'!$B$2:$B$42,0)),"")</f>
        <v/>
      </c>
      <c r="CQ105" s="138" t="str">
        <f>IF($I105&lt;&gt;"",INDEX('Device Refrigerant Leakage'!$F$2:$F$42,MATCH($M105,'Device Refrigerant Leakage'!$B$2:$B$42,0)),"")</f>
        <v/>
      </c>
      <c r="CR105" s="145" t="str">
        <f>IF($I105&lt;&gt;"",INDEX('Device Refrigerant Leakage'!$G$2:$G$42,MATCH($M105,'Device Refrigerant Leakage'!$B$2:$B$42,0)),"")</f>
        <v/>
      </c>
      <c r="CS105" s="145" t="str">
        <f>IF($I105&lt;&gt;"",INDEX('Device Refrigerant Leakage'!$D$2:$D$42,MATCH($M105,'Device Refrigerant Leakage'!$B$2:$B$42,0))*CP105/2204.62*CO105,"")</f>
        <v/>
      </c>
      <c r="CT105" s="145" t="str">
        <f>IF($I105&lt;&gt;"",J105*(INDEX('Device Refrigerant Leakage'!$D$2:$D$42,MATCH($M105,'Device Refrigerant Leakage'!$B$2:$B$42,0))-(INDEX('Device Refrigerant Leakage'!$D$2:$D$42,MATCH($M105,'Device Refrigerant Leakage'!$B$2:$B$42,0)))*CR105*CP105)*CQ105/2204.62*CO105,"")</f>
        <v/>
      </c>
      <c r="CU105" s="135" t="str">
        <f>IF($I105&lt;&gt;"",J105*IF(W105&lt;&gt;"AR",(CS105*K105)+CT105,(CS105*AB105)+CT105*(AB105/INDEX('Device Refrigerant Leakage'!$C$2:$C$42,MATCH($M105,'Device Refrigerant Leakage'!$B$2:$B$42,0)))),"")</f>
        <v/>
      </c>
      <c r="CW105" s="135" t="str">
        <f>IF($I105&lt;&gt;"",IF(S105="User Specified",V105,INDEX('Refrigerant GWPs'!$G$2:$G$156,MATCH(S105,'Refrigerant GWPs'!$A$2:$A$157,0))),"")</f>
        <v/>
      </c>
      <c r="CX105" s="138" t="str">
        <f>IF($I105&lt;&gt;"",INDEX('Device Refrigerant Leakage'!$E$2:$E$42,MATCH($Q105,'Device Refrigerant Leakage'!$B$2:$B$42,0)),"")</f>
        <v/>
      </c>
      <c r="CY105" s="138" t="str">
        <f>IF($I105&lt;&gt;"",INDEX('Device Refrigerant Leakage'!$F$2:$F$42,MATCH($Q105,'Device Refrigerant Leakage'!$B$2:$B$42,0)),"")</f>
        <v/>
      </c>
      <c r="CZ105" s="145" t="str">
        <f>IF($I105&lt;&gt;"",INDEX('Device Refrigerant Leakage'!$G$2:$G$42,MATCH($Q105,'Device Refrigerant Leakage'!$B$2:$B$42,0)),"")</f>
        <v/>
      </c>
      <c r="DA105" s="145" t="str">
        <f>IF($I105&lt;&gt;"",J105*INDEX('Device Refrigerant Leakage'!$D$2:$D$42,MATCH($Q105,'Device Refrigerant Leakage'!$B$2:$B$42,0))*CX105/2204.62*CW105,"")</f>
        <v/>
      </c>
      <c r="DB105" s="145" t="str">
        <f>IF($I105&lt;&gt;"",J105*(INDEX('Device Refrigerant Leakage'!$D$2:$D$42,MATCH($Q105,'Device Refrigerant Leakage'!$B$2:$B$42,0))-(INDEX('Device Refrigerant Leakage'!$D$2:$D$42,MATCH($Q105,'Device Refrigerant Leakage'!$B$2:$B$42,0)))*CZ105*CX105)*CY105/2204.62*CW105,"")</f>
        <v/>
      </c>
      <c r="DC105" s="135" t="str">
        <f t="shared" si="163"/>
        <v/>
      </c>
      <c r="DE105" s="146" t="str">
        <f>IF(W105&lt;&gt;"AR","",IF(Y105="User Specified", AA105, INDEX('Refrigerant GWPs'!$G$2:$G$154,MATCH(Y105,'Refrigerant GWPs'!$A$2:$A$154,0))))</f>
        <v/>
      </c>
      <c r="DF105" s="146" t="str">
        <f>IF(W105&lt;&gt;"AR","",INDEX('Device Refrigerant Leakage'!$E$2:$E$42,MATCH(X105,'Device Refrigerant Leakage'!$B$2:$B$42,0)))</f>
        <v/>
      </c>
      <c r="DG105" s="146" t="str">
        <f>IF(W105&lt;&gt;"AR","",INDEX('Device Refrigerant Leakage'!$F$2:$F$42,MATCH(X105,'Device Refrigerant Leakage'!$B$2:$B$42,0)))</f>
        <v/>
      </c>
      <c r="DH105" s="146" t="str">
        <f>IF(W105&lt;&gt;"AR","",INDEX('Device Refrigerant Leakage'!$G$2:$G$42,MATCH(X105,'Device Refrigerant Leakage'!$B$2:$B$42,0)))</f>
        <v/>
      </c>
      <c r="DI105" s="146" t="str">
        <f>IF(W105&lt;&gt;"AR","",J105*INDEX('Device Refrigerant Leakage'!$D$2:$D$42,MATCH(X105,'Device Refrigerant Leakage'!$B$2:$B$42,0))*DF105/2204.62*DE105)</f>
        <v/>
      </c>
      <c r="DJ105" s="146" t="str">
        <f>IF(W105&lt;&gt;"AR","",J105*(INDEX('Device Refrigerant Leakage'!$D$2:$D$42,MATCH(X105,'Device Refrigerant Leakage'!$B$2:$B$42,0))-(INDEX('Device Refrigerant Leakage'!$D$2:$D$42,MATCH(X105,'Device Refrigerant Leakage'!$B$2:$B$42,0)))*DH105*DF105)*DG105/2204.62*DE105)</f>
        <v/>
      </c>
      <c r="DK105" s="146" t="str">
        <f>IF(W105&lt;&gt;"AR","",DI105*(K105-AB105)+'Fuel Sub Calcs-Deemed'!DJ105*((K105-AB105)/INDEX('Device Refrigerant Leakage'!$C$2:$C$42,MATCH('Fuel Sub Calcs-Deemed'!X105,'Device Refrigerant Leakage'!$B$2:$B$42,0))))</f>
        <v/>
      </c>
      <c r="DM105" s="56">
        <v>91</v>
      </c>
      <c r="DN105" s="67" t="e">
        <f t="shared" si="143"/>
        <v>#N/A</v>
      </c>
      <c r="DO105" s="45" t="e">
        <f t="shared" si="144"/>
        <v>#N/A</v>
      </c>
      <c r="DP105" s="67" t="e">
        <f t="shared" si="145"/>
        <v>#N/A</v>
      </c>
      <c r="DQ105" s="45" t="e">
        <f t="shared" si="146"/>
        <v>#N/A</v>
      </c>
      <c r="DR105" s="69" t="e">
        <f t="shared" si="147"/>
        <v>#N/A</v>
      </c>
      <c r="DS105" s="34"/>
      <c r="DT105" s="67" t="e">
        <f>((BX105*CJ105)+IF($W105=MAT_AR,(BZ105*CL105),0))*(1+Reference!$E$50+Reference!$E$51)</f>
        <v>#N/A</v>
      </c>
      <c r="DU105" s="67">
        <f>((BY105*CK105)+IF($W105=MAT_AR,(CA105*CM105),0))*(1+Reference!$G$50+Reference!$G$51)</f>
        <v>0</v>
      </c>
      <c r="DV105" s="67" t="e">
        <f t="shared" si="148"/>
        <v>#VALUE!</v>
      </c>
      <c r="DX105" s="56">
        <v>91</v>
      </c>
      <c r="DY105" s="67">
        <f t="shared" si="149"/>
        <v>0</v>
      </c>
      <c r="DZ105" s="45" t="e">
        <f>VLOOKUP($R105,Dropdown!$C$3:$D$4,2,FALSE)</f>
        <v>#N/A</v>
      </c>
      <c r="EA105" s="68">
        <f t="shared" si="150"/>
        <v>0</v>
      </c>
      <c r="EB105" s="68" t="str">
        <f t="shared" si="151"/>
        <v>N/A</v>
      </c>
      <c r="EC105" s="68">
        <f t="shared" si="152"/>
        <v>0</v>
      </c>
      <c r="ED105" s="68" t="str">
        <f t="shared" si="153"/>
        <v>N/A</v>
      </c>
      <c r="EF105" s="56">
        <v>91</v>
      </c>
      <c r="EG105" s="46">
        <f t="shared" si="154"/>
        <v>0</v>
      </c>
      <c r="EH105" s="68" t="e">
        <f t="shared" si="155"/>
        <v>#N/A</v>
      </c>
      <c r="EI105" s="68" t="e">
        <f t="shared" si="156"/>
        <v>#N/A</v>
      </c>
      <c r="EJ105" s="68" t="e">
        <f t="shared" si="157"/>
        <v>#N/A</v>
      </c>
      <c r="EK105" s="68" t="e">
        <f t="shared" si="158"/>
        <v>#N/A</v>
      </c>
      <c r="EL105" s="46">
        <f t="shared" si="159"/>
        <v>0</v>
      </c>
      <c r="EM105" s="46">
        <f t="shared" si="160"/>
        <v>0</v>
      </c>
    </row>
    <row r="106" spans="1:143">
      <c r="A106" s="89"/>
      <c r="B106" s="89"/>
      <c r="C106" s="89"/>
      <c r="D106" s="89"/>
      <c r="E106" s="89"/>
      <c r="F106" s="89"/>
      <c r="G106" s="34"/>
      <c r="H106" s="56">
        <f t="shared" si="161"/>
        <v>92</v>
      </c>
      <c r="I106" s="165"/>
      <c r="J106" s="163"/>
      <c r="K106" s="163"/>
      <c r="L106" s="164"/>
      <c r="M106" s="155"/>
      <c r="N106" s="155"/>
      <c r="O106" s="144"/>
      <c r="P106" s="159" t="str">
        <f>IFERROR(IF(O106&lt;&gt;"User Specified",IF(O106&lt;&gt;"", INDEX('Refrigerant GWPs'!$G$2:$G$154,MATCH(O106,'Refrigerant GWPs'!$A$2:$A$154,0)),""),U106),0)</f>
        <v/>
      </c>
      <c r="Q106" s="155"/>
      <c r="R106" s="155"/>
      <c r="S106" s="144"/>
      <c r="T106" s="159" t="str">
        <f>IF(S106&lt;&gt;"User Specified",IF(AND(S106&lt;&gt;"User Specified",S106&lt;&gt;""), INDEX('Refrigerant GWPs'!$G$2:$G$154,MATCH(S106,'Refrigerant GWPs'!$A$2:$A$154,0)),""),V106)</f>
        <v/>
      </c>
      <c r="U106" s="144"/>
      <c r="V106" s="144"/>
      <c r="W106" s="155"/>
      <c r="X106" s="155"/>
      <c r="Y106" s="144"/>
      <c r="Z106" s="159" t="str">
        <f>IF(AND(Y106&lt;&gt;"User Specified",Y106&lt;&gt;""), INDEX('Refrigerant GWPs'!$G$2:$G$154,MATCH(Y106,'Refrigerant GWPs'!$A$2:$A$154,0)),"")</f>
        <v/>
      </c>
      <c r="AA106" s="155"/>
      <c r="AB106" s="156"/>
      <c r="AC106" s="66"/>
      <c r="AD106" s="66"/>
      <c r="AE106" s="66"/>
      <c r="AF106" s="66"/>
      <c r="AG106" s="66"/>
      <c r="AH106" s="66"/>
      <c r="AI106" s="34"/>
      <c r="AJ106" s="88">
        <f t="shared" si="119"/>
        <v>0</v>
      </c>
      <c r="AK106" s="88">
        <f t="shared" si="120"/>
        <v>0</v>
      </c>
      <c r="AL106" s="88">
        <v>0</v>
      </c>
      <c r="AM106" s="88">
        <v>0</v>
      </c>
      <c r="AN106" s="81" t="str">
        <f t="shared" si="162"/>
        <v/>
      </c>
      <c r="AO106" s="88">
        <f t="shared" si="121"/>
        <v>0</v>
      </c>
      <c r="AP106" s="88">
        <f t="shared" si="122"/>
        <v>0</v>
      </c>
      <c r="AQ106" s="81" t="str">
        <f t="shared" si="123"/>
        <v/>
      </c>
      <c r="AS106" s="41" t="b">
        <f t="shared" si="124"/>
        <v>1</v>
      </c>
      <c r="AT106" s="38">
        <f t="shared" si="125"/>
        <v>0</v>
      </c>
      <c r="AU106" s="60">
        <f t="shared" si="126"/>
        <v>0</v>
      </c>
      <c r="AV106" s="41">
        <f t="shared" si="127"/>
        <v>0</v>
      </c>
      <c r="AW106" s="41" t="b">
        <f t="shared" si="128"/>
        <v>0</v>
      </c>
      <c r="AX106" t="str">
        <f t="shared" si="129"/>
        <v>+00</v>
      </c>
      <c r="AY106" t="str">
        <f t="shared" si="130"/>
        <v>+00</v>
      </c>
      <c r="BA106" s="47" t="b">
        <f t="shared" si="164"/>
        <v>1</v>
      </c>
      <c r="BB106" s="42" t="b">
        <f t="shared" si="165"/>
        <v>1</v>
      </c>
      <c r="BC106" s="42" t="b">
        <f t="shared" si="166"/>
        <v>0</v>
      </c>
      <c r="BD106" s="42" t="b">
        <f t="shared" si="167"/>
        <v>0</v>
      </c>
      <c r="BE106" s="70">
        <f t="shared" si="168"/>
        <v>0</v>
      </c>
      <c r="BF106" s="70">
        <f t="shared" si="169"/>
        <v>0</v>
      </c>
      <c r="BG106" s="34"/>
      <c r="BI106" s="47" t="b">
        <f t="shared" si="170"/>
        <v>1</v>
      </c>
      <c r="BJ106" s="47" t="b">
        <f t="shared" si="171"/>
        <v>1</v>
      </c>
      <c r="BK106" s="42" t="b">
        <f t="shared" si="172"/>
        <v>0</v>
      </c>
      <c r="BL106" s="42" t="b">
        <f t="shared" si="173"/>
        <v>0</v>
      </c>
      <c r="BM106" s="42">
        <f t="shared" si="174"/>
        <v>0</v>
      </c>
      <c r="BN106" s="42">
        <f t="shared" si="175"/>
        <v>0</v>
      </c>
      <c r="BP106" t="e">
        <f t="shared" si="176"/>
        <v>#N/A</v>
      </c>
      <c r="BQ106" t="e">
        <f t="shared" si="177"/>
        <v>#N/A</v>
      </c>
      <c r="BR106" t="e">
        <f t="shared" si="178"/>
        <v>#N/A</v>
      </c>
      <c r="BT106" s="60">
        <f t="shared" si="131"/>
        <v>0</v>
      </c>
      <c r="BU106" s="60">
        <f t="shared" si="132"/>
        <v>0</v>
      </c>
      <c r="BV106" s="60">
        <f t="shared" si="133"/>
        <v>0</v>
      </c>
      <c r="BW106" s="60">
        <f t="shared" si="134"/>
        <v>0</v>
      </c>
      <c r="BX106" s="60">
        <f t="shared" si="179"/>
        <v>0</v>
      </c>
      <c r="BY106" s="60">
        <f t="shared" si="180"/>
        <v>0</v>
      </c>
      <c r="BZ106" s="60">
        <f t="shared" si="181"/>
        <v>0</v>
      </c>
      <c r="CA106" s="60">
        <f t="shared" si="182"/>
        <v>0</v>
      </c>
      <c r="CB106" s="60" t="e">
        <f t="shared" si="135"/>
        <v>#N/A</v>
      </c>
      <c r="CC106" s="60">
        <f t="shared" si="136"/>
        <v>100000</v>
      </c>
      <c r="CD106" s="60" t="e">
        <f t="shared" si="137"/>
        <v>#N/A</v>
      </c>
      <c r="CE106" s="60">
        <f t="shared" si="138"/>
        <v>100000</v>
      </c>
      <c r="CF106" s="83" t="e">
        <f t="shared" si="183"/>
        <v>#N/A</v>
      </c>
      <c r="CG106" s="83">
        <f t="shared" si="184"/>
        <v>0</v>
      </c>
      <c r="CH106" s="83" t="e">
        <f t="shared" si="185"/>
        <v>#N/A</v>
      </c>
      <c r="CI106" s="83">
        <f t="shared" si="186"/>
        <v>0</v>
      </c>
      <c r="CJ106" s="86" t="e">
        <f t="shared" si="139"/>
        <v>#N/A</v>
      </c>
      <c r="CK106" s="82">
        <f t="shared" si="140"/>
        <v>5.3070370403969858E-3</v>
      </c>
      <c r="CL106" s="82" t="e">
        <f t="shared" si="141"/>
        <v>#N/A</v>
      </c>
      <c r="CM106" s="82">
        <f t="shared" si="142"/>
        <v>5.3070370403969858E-3</v>
      </c>
      <c r="CO106" s="149" t="str">
        <f>IF($I106&lt;&gt;"",IF(O106="User Specified",U106,INDEX('Refrigerant GWPs'!$G$2:$G$156,MATCH(O106,'Refrigerant GWPs'!$A$2:$A$156,0))),"")</f>
        <v/>
      </c>
      <c r="CP106" s="138" t="str">
        <f>IF($I106&lt;&gt;"",INDEX('Device Refrigerant Leakage'!$E$2:$E$42,MATCH($M106,'Device Refrigerant Leakage'!$B$2:$B$42,0)),"")</f>
        <v/>
      </c>
      <c r="CQ106" s="138" t="str">
        <f>IF($I106&lt;&gt;"",INDEX('Device Refrigerant Leakage'!$F$2:$F$42,MATCH($M106,'Device Refrigerant Leakage'!$B$2:$B$42,0)),"")</f>
        <v/>
      </c>
      <c r="CR106" s="145" t="str">
        <f>IF($I106&lt;&gt;"",INDEX('Device Refrigerant Leakage'!$G$2:$G$42,MATCH($M106,'Device Refrigerant Leakage'!$B$2:$B$42,0)),"")</f>
        <v/>
      </c>
      <c r="CS106" s="145" t="str">
        <f>IF($I106&lt;&gt;"",INDEX('Device Refrigerant Leakage'!$D$2:$D$42,MATCH($M106,'Device Refrigerant Leakage'!$B$2:$B$42,0))*CP106/2204.62*CO106,"")</f>
        <v/>
      </c>
      <c r="CT106" s="145" t="str">
        <f>IF($I106&lt;&gt;"",J106*(INDEX('Device Refrigerant Leakage'!$D$2:$D$42,MATCH($M106,'Device Refrigerant Leakage'!$B$2:$B$42,0))-(INDEX('Device Refrigerant Leakage'!$D$2:$D$42,MATCH($M106,'Device Refrigerant Leakage'!$B$2:$B$42,0)))*CR106*CP106)*CQ106/2204.62*CO106,"")</f>
        <v/>
      </c>
      <c r="CU106" s="135" t="str">
        <f>IF($I106&lt;&gt;"",J106*IF(W106&lt;&gt;"AR",(CS106*K106)+CT106,(CS106*AB106)+CT106*(AB106/INDEX('Device Refrigerant Leakage'!$C$2:$C$42,MATCH($M106,'Device Refrigerant Leakage'!$B$2:$B$42,0)))),"")</f>
        <v/>
      </c>
      <c r="CW106" s="135" t="str">
        <f>IF($I106&lt;&gt;"",IF(S106="User Specified",V106,INDEX('Refrigerant GWPs'!$G$2:$G$156,MATCH(S106,'Refrigerant GWPs'!$A$2:$A$157,0))),"")</f>
        <v/>
      </c>
      <c r="CX106" s="138" t="str">
        <f>IF($I106&lt;&gt;"",INDEX('Device Refrigerant Leakage'!$E$2:$E$42,MATCH($Q106,'Device Refrigerant Leakage'!$B$2:$B$42,0)),"")</f>
        <v/>
      </c>
      <c r="CY106" s="138" t="str">
        <f>IF($I106&lt;&gt;"",INDEX('Device Refrigerant Leakage'!$F$2:$F$42,MATCH($Q106,'Device Refrigerant Leakage'!$B$2:$B$42,0)),"")</f>
        <v/>
      </c>
      <c r="CZ106" s="145" t="str">
        <f>IF($I106&lt;&gt;"",INDEX('Device Refrigerant Leakage'!$G$2:$G$42,MATCH($Q106,'Device Refrigerant Leakage'!$B$2:$B$42,0)),"")</f>
        <v/>
      </c>
      <c r="DA106" s="145" t="str">
        <f>IF($I106&lt;&gt;"",J106*INDEX('Device Refrigerant Leakage'!$D$2:$D$42,MATCH($Q106,'Device Refrigerant Leakage'!$B$2:$B$42,0))*CX106/2204.62*CW106,"")</f>
        <v/>
      </c>
      <c r="DB106" s="145" t="str">
        <f>IF($I106&lt;&gt;"",J106*(INDEX('Device Refrigerant Leakage'!$D$2:$D$42,MATCH($Q106,'Device Refrigerant Leakage'!$B$2:$B$42,0))-(INDEX('Device Refrigerant Leakage'!$D$2:$D$42,MATCH($Q106,'Device Refrigerant Leakage'!$B$2:$B$42,0)))*CZ106*CX106)*CY106/2204.62*CW106,"")</f>
        <v/>
      </c>
      <c r="DC106" s="135" t="str">
        <f t="shared" si="163"/>
        <v/>
      </c>
      <c r="DE106" s="146" t="str">
        <f>IF(W106&lt;&gt;"AR","",IF(Y106="User Specified", AA106, INDEX('Refrigerant GWPs'!$G$2:$G$154,MATCH(Y106,'Refrigerant GWPs'!$A$2:$A$154,0))))</f>
        <v/>
      </c>
      <c r="DF106" s="146" t="str">
        <f>IF(W106&lt;&gt;"AR","",INDEX('Device Refrigerant Leakage'!$E$2:$E$42,MATCH(X106,'Device Refrigerant Leakage'!$B$2:$B$42,0)))</f>
        <v/>
      </c>
      <c r="DG106" s="146" t="str">
        <f>IF(W106&lt;&gt;"AR","",INDEX('Device Refrigerant Leakage'!$F$2:$F$42,MATCH(X106,'Device Refrigerant Leakage'!$B$2:$B$42,0)))</f>
        <v/>
      </c>
      <c r="DH106" s="146" t="str">
        <f>IF(W106&lt;&gt;"AR","",INDEX('Device Refrigerant Leakage'!$G$2:$G$42,MATCH(X106,'Device Refrigerant Leakage'!$B$2:$B$42,0)))</f>
        <v/>
      </c>
      <c r="DI106" s="146" t="str">
        <f>IF(W106&lt;&gt;"AR","",J106*INDEX('Device Refrigerant Leakage'!$D$2:$D$42,MATCH(X106,'Device Refrigerant Leakage'!$B$2:$B$42,0))*DF106/2204.62*DE106)</f>
        <v/>
      </c>
      <c r="DJ106" s="146" t="str">
        <f>IF(W106&lt;&gt;"AR","",J106*(INDEX('Device Refrigerant Leakage'!$D$2:$D$42,MATCH(X106,'Device Refrigerant Leakage'!$B$2:$B$42,0))-(INDEX('Device Refrigerant Leakage'!$D$2:$D$42,MATCH(X106,'Device Refrigerant Leakage'!$B$2:$B$42,0)))*DH106*DF106)*DG106/2204.62*DE106)</f>
        <v/>
      </c>
      <c r="DK106" s="146" t="str">
        <f>IF(W106&lt;&gt;"AR","",DI106*(K106-AB106)+'Fuel Sub Calcs-Deemed'!DJ106*((K106-AB106)/INDEX('Device Refrigerant Leakage'!$C$2:$C$42,MATCH('Fuel Sub Calcs-Deemed'!X106,'Device Refrigerant Leakage'!$B$2:$B$42,0))))</f>
        <v/>
      </c>
      <c r="DM106" s="56">
        <v>92</v>
      </c>
      <c r="DN106" s="67" t="e">
        <f t="shared" si="143"/>
        <v>#N/A</v>
      </c>
      <c r="DO106" s="45" t="e">
        <f t="shared" si="144"/>
        <v>#N/A</v>
      </c>
      <c r="DP106" s="67" t="e">
        <f t="shared" si="145"/>
        <v>#N/A</v>
      </c>
      <c r="DQ106" s="45" t="e">
        <f t="shared" si="146"/>
        <v>#N/A</v>
      </c>
      <c r="DR106" s="69" t="e">
        <f t="shared" si="147"/>
        <v>#N/A</v>
      </c>
      <c r="DS106" s="34"/>
      <c r="DT106" s="67" t="e">
        <f>((BX106*CJ106)+IF($W106=MAT_AR,(BZ106*CL106),0))*(1+Reference!$E$50+Reference!$E$51)</f>
        <v>#N/A</v>
      </c>
      <c r="DU106" s="67">
        <f>((BY106*CK106)+IF($W106=MAT_AR,(CA106*CM106),0))*(1+Reference!$G$50+Reference!$G$51)</f>
        <v>0</v>
      </c>
      <c r="DV106" s="67" t="e">
        <f t="shared" si="148"/>
        <v>#VALUE!</v>
      </c>
      <c r="DX106" s="56">
        <v>92</v>
      </c>
      <c r="DY106" s="67">
        <f t="shared" si="149"/>
        <v>0</v>
      </c>
      <c r="DZ106" s="45" t="e">
        <f>VLOOKUP($R106,Dropdown!$C$3:$D$4,2,FALSE)</f>
        <v>#N/A</v>
      </c>
      <c r="EA106" s="68">
        <f t="shared" si="150"/>
        <v>0</v>
      </c>
      <c r="EB106" s="68" t="str">
        <f t="shared" si="151"/>
        <v>N/A</v>
      </c>
      <c r="EC106" s="68">
        <f t="shared" si="152"/>
        <v>0</v>
      </c>
      <c r="ED106" s="68" t="str">
        <f t="shared" si="153"/>
        <v>N/A</v>
      </c>
      <c r="EF106" s="56">
        <v>92</v>
      </c>
      <c r="EG106" s="46">
        <f t="shared" si="154"/>
        <v>0</v>
      </c>
      <c r="EH106" s="68" t="e">
        <f t="shared" si="155"/>
        <v>#N/A</v>
      </c>
      <c r="EI106" s="68" t="e">
        <f t="shared" si="156"/>
        <v>#N/A</v>
      </c>
      <c r="EJ106" s="68" t="e">
        <f t="shared" si="157"/>
        <v>#N/A</v>
      </c>
      <c r="EK106" s="68" t="e">
        <f t="shared" si="158"/>
        <v>#N/A</v>
      </c>
      <c r="EL106" s="46">
        <f t="shared" si="159"/>
        <v>0</v>
      </c>
      <c r="EM106" s="46">
        <f t="shared" si="160"/>
        <v>0</v>
      </c>
    </row>
    <row r="107" spans="1:143">
      <c r="A107" s="89"/>
      <c r="B107" s="89"/>
      <c r="C107" s="89"/>
      <c r="D107" s="89"/>
      <c r="E107" s="89"/>
      <c r="F107" s="89"/>
      <c r="G107" s="34"/>
      <c r="H107" s="56">
        <f t="shared" si="161"/>
        <v>93</v>
      </c>
      <c r="I107" s="165"/>
      <c r="J107" s="163"/>
      <c r="K107" s="163"/>
      <c r="L107" s="164"/>
      <c r="M107" s="155"/>
      <c r="N107" s="155"/>
      <c r="O107" s="144"/>
      <c r="P107" s="159" t="str">
        <f>IFERROR(IF(O107&lt;&gt;"User Specified",IF(O107&lt;&gt;"", INDEX('Refrigerant GWPs'!$G$2:$G$154,MATCH(O107,'Refrigerant GWPs'!$A$2:$A$154,0)),""),U107),0)</f>
        <v/>
      </c>
      <c r="Q107" s="155"/>
      <c r="R107" s="155"/>
      <c r="S107" s="144"/>
      <c r="T107" s="159" t="str">
        <f>IF(S107&lt;&gt;"User Specified",IF(AND(S107&lt;&gt;"User Specified",S107&lt;&gt;""), INDEX('Refrigerant GWPs'!$G$2:$G$154,MATCH(S107,'Refrigerant GWPs'!$A$2:$A$154,0)),""),V107)</f>
        <v/>
      </c>
      <c r="U107" s="144"/>
      <c r="V107" s="144"/>
      <c r="W107" s="155"/>
      <c r="X107" s="155"/>
      <c r="Y107" s="144"/>
      <c r="Z107" s="159" t="str">
        <f>IF(AND(Y107&lt;&gt;"User Specified",Y107&lt;&gt;""), INDEX('Refrigerant GWPs'!$G$2:$G$154,MATCH(Y107,'Refrigerant GWPs'!$A$2:$A$154,0)),"")</f>
        <v/>
      </c>
      <c r="AA107" s="155"/>
      <c r="AB107" s="156"/>
      <c r="AC107" s="66"/>
      <c r="AD107" s="66"/>
      <c r="AE107" s="66"/>
      <c r="AF107" s="66"/>
      <c r="AG107" s="66"/>
      <c r="AH107" s="66"/>
      <c r="AI107" s="34"/>
      <c r="AJ107" s="88">
        <f t="shared" si="119"/>
        <v>0</v>
      </c>
      <c r="AK107" s="88">
        <f t="shared" si="120"/>
        <v>0</v>
      </c>
      <c r="AL107" s="88">
        <v>0</v>
      </c>
      <c r="AM107" s="88">
        <v>0</v>
      </c>
      <c r="AN107" s="81" t="str">
        <f t="shared" si="162"/>
        <v/>
      </c>
      <c r="AO107" s="88">
        <f t="shared" si="121"/>
        <v>0</v>
      </c>
      <c r="AP107" s="88">
        <f t="shared" si="122"/>
        <v>0</v>
      </c>
      <c r="AQ107" s="81" t="str">
        <f t="shared" si="123"/>
        <v/>
      </c>
      <c r="AS107" s="41" t="b">
        <f t="shared" si="124"/>
        <v>1</v>
      </c>
      <c r="AT107" s="38">
        <f t="shared" si="125"/>
        <v>0</v>
      </c>
      <c r="AU107" s="60">
        <f t="shared" si="126"/>
        <v>0</v>
      </c>
      <c r="AV107" s="41">
        <f t="shared" si="127"/>
        <v>0</v>
      </c>
      <c r="AW107" s="41" t="b">
        <f t="shared" si="128"/>
        <v>0</v>
      </c>
      <c r="AX107" t="str">
        <f t="shared" si="129"/>
        <v>+00</v>
      </c>
      <c r="AY107" t="str">
        <f t="shared" si="130"/>
        <v>+00</v>
      </c>
      <c r="BA107" s="47" t="b">
        <f t="shared" si="164"/>
        <v>1</v>
      </c>
      <c r="BB107" s="42" t="b">
        <f t="shared" si="165"/>
        <v>1</v>
      </c>
      <c r="BC107" s="42" t="b">
        <f t="shared" si="166"/>
        <v>0</v>
      </c>
      <c r="BD107" s="42" t="b">
        <f t="shared" si="167"/>
        <v>0</v>
      </c>
      <c r="BE107" s="70">
        <f t="shared" si="168"/>
        <v>0</v>
      </c>
      <c r="BF107" s="70">
        <f t="shared" si="169"/>
        <v>0</v>
      </c>
      <c r="BG107" s="34"/>
      <c r="BI107" s="47" t="b">
        <f t="shared" si="170"/>
        <v>1</v>
      </c>
      <c r="BJ107" s="47" t="b">
        <f t="shared" si="171"/>
        <v>1</v>
      </c>
      <c r="BK107" s="42" t="b">
        <f t="shared" si="172"/>
        <v>0</v>
      </c>
      <c r="BL107" s="42" t="b">
        <f t="shared" si="173"/>
        <v>0</v>
      </c>
      <c r="BM107" s="42">
        <f t="shared" si="174"/>
        <v>0</v>
      </c>
      <c r="BN107" s="42">
        <f t="shared" si="175"/>
        <v>0</v>
      </c>
      <c r="BP107" t="e">
        <f t="shared" si="176"/>
        <v>#N/A</v>
      </c>
      <c r="BQ107" t="e">
        <f t="shared" si="177"/>
        <v>#N/A</v>
      </c>
      <c r="BR107" t="e">
        <f t="shared" si="178"/>
        <v>#N/A</v>
      </c>
      <c r="BT107" s="60">
        <f t="shared" si="131"/>
        <v>0</v>
      </c>
      <c r="BU107" s="60">
        <f t="shared" si="132"/>
        <v>0</v>
      </c>
      <c r="BV107" s="60">
        <f t="shared" si="133"/>
        <v>0</v>
      </c>
      <c r="BW107" s="60">
        <f t="shared" si="134"/>
        <v>0</v>
      </c>
      <c r="BX107" s="60">
        <f t="shared" si="179"/>
        <v>0</v>
      </c>
      <c r="BY107" s="60">
        <f t="shared" si="180"/>
        <v>0</v>
      </c>
      <c r="BZ107" s="60">
        <f t="shared" si="181"/>
        <v>0</v>
      </c>
      <c r="CA107" s="60">
        <f t="shared" si="182"/>
        <v>0</v>
      </c>
      <c r="CB107" s="60" t="e">
        <f t="shared" si="135"/>
        <v>#N/A</v>
      </c>
      <c r="CC107" s="60">
        <f t="shared" si="136"/>
        <v>100000</v>
      </c>
      <c r="CD107" s="60" t="e">
        <f t="shared" si="137"/>
        <v>#N/A</v>
      </c>
      <c r="CE107" s="60">
        <f t="shared" si="138"/>
        <v>100000</v>
      </c>
      <c r="CF107" s="83" t="e">
        <f t="shared" si="183"/>
        <v>#N/A</v>
      </c>
      <c r="CG107" s="83">
        <f t="shared" si="184"/>
        <v>0</v>
      </c>
      <c r="CH107" s="83" t="e">
        <f t="shared" si="185"/>
        <v>#N/A</v>
      </c>
      <c r="CI107" s="83">
        <f t="shared" si="186"/>
        <v>0</v>
      </c>
      <c r="CJ107" s="86" t="e">
        <f t="shared" si="139"/>
        <v>#N/A</v>
      </c>
      <c r="CK107" s="82">
        <f t="shared" si="140"/>
        <v>5.3070370403969858E-3</v>
      </c>
      <c r="CL107" s="82" t="e">
        <f t="shared" si="141"/>
        <v>#N/A</v>
      </c>
      <c r="CM107" s="82">
        <f t="shared" si="142"/>
        <v>5.3070370403969858E-3</v>
      </c>
      <c r="CO107" s="149" t="str">
        <f>IF($I107&lt;&gt;"",IF(O107="User Specified",U107,INDEX('Refrigerant GWPs'!$G$2:$G$156,MATCH(O107,'Refrigerant GWPs'!$A$2:$A$156,0))),"")</f>
        <v/>
      </c>
      <c r="CP107" s="138" t="str">
        <f>IF($I107&lt;&gt;"",INDEX('Device Refrigerant Leakage'!$E$2:$E$42,MATCH($M107,'Device Refrigerant Leakage'!$B$2:$B$42,0)),"")</f>
        <v/>
      </c>
      <c r="CQ107" s="138" t="str">
        <f>IF($I107&lt;&gt;"",INDEX('Device Refrigerant Leakage'!$F$2:$F$42,MATCH($M107,'Device Refrigerant Leakage'!$B$2:$B$42,0)),"")</f>
        <v/>
      </c>
      <c r="CR107" s="145" t="str">
        <f>IF($I107&lt;&gt;"",INDEX('Device Refrigerant Leakage'!$G$2:$G$42,MATCH($M107,'Device Refrigerant Leakage'!$B$2:$B$42,0)),"")</f>
        <v/>
      </c>
      <c r="CS107" s="145" t="str">
        <f>IF($I107&lt;&gt;"",INDEX('Device Refrigerant Leakage'!$D$2:$D$42,MATCH($M107,'Device Refrigerant Leakage'!$B$2:$B$42,0))*CP107/2204.62*CO107,"")</f>
        <v/>
      </c>
      <c r="CT107" s="145" t="str">
        <f>IF($I107&lt;&gt;"",J107*(INDEX('Device Refrigerant Leakage'!$D$2:$D$42,MATCH($M107,'Device Refrigerant Leakage'!$B$2:$B$42,0))-(INDEX('Device Refrigerant Leakage'!$D$2:$D$42,MATCH($M107,'Device Refrigerant Leakage'!$B$2:$B$42,0)))*CR107*CP107)*CQ107/2204.62*CO107,"")</f>
        <v/>
      </c>
      <c r="CU107" s="135" t="str">
        <f>IF($I107&lt;&gt;"",J107*IF(W107&lt;&gt;"AR",(CS107*K107)+CT107,(CS107*AB107)+CT107*(AB107/INDEX('Device Refrigerant Leakage'!$C$2:$C$42,MATCH($M107,'Device Refrigerant Leakage'!$B$2:$B$42,0)))),"")</f>
        <v/>
      </c>
      <c r="CW107" s="135" t="str">
        <f>IF($I107&lt;&gt;"",IF(S107="User Specified",V107,INDEX('Refrigerant GWPs'!$G$2:$G$156,MATCH(S107,'Refrigerant GWPs'!$A$2:$A$157,0))),"")</f>
        <v/>
      </c>
      <c r="CX107" s="138" t="str">
        <f>IF($I107&lt;&gt;"",INDEX('Device Refrigerant Leakage'!$E$2:$E$42,MATCH($Q107,'Device Refrigerant Leakage'!$B$2:$B$42,0)),"")</f>
        <v/>
      </c>
      <c r="CY107" s="138" t="str">
        <f>IF($I107&lt;&gt;"",INDEX('Device Refrigerant Leakage'!$F$2:$F$42,MATCH($Q107,'Device Refrigerant Leakage'!$B$2:$B$42,0)),"")</f>
        <v/>
      </c>
      <c r="CZ107" s="145" t="str">
        <f>IF($I107&lt;&gt;"",INDEX('Device Refrigerant Leakage'!$G$2:$G$42,MATCH($Q107,'Device Refrigerant Leakage'!$B$2:$B$42,0)),"")</f>
        <v/>
      </c>
      <c r="DA107" s="145" t="str">
        <f>IF($I107&lt;&gt;"",J107*INDEX('Device Refrigerant Leakage'!$D$2:$D$42,MATCH($Q107,'Device Refrigerant Leakage'!$B$2:$B$42,0))*CX107/2204.62*CW107,"")</f>
        <v/>
      </c>
      <c r="DB107" s="145" t="str">
        <f>IF($I107&lt;&gt;"",J107*(INDEX('Device Refrigerant Leakage'!$D$2:$D$42,MATCH($Q107,'Device Refrigerant Leakage'!$B$2:$B$42,0))-(INDEX('Device Refrigerant Leakage'!$D$2:$D$42,MATCH($Q107,'Device Refrigerant Leakage'!$B$2:$B$42,0)))*CZ107*CX107)*CY107/2204.62*CW107,"")</f>
        <v/>
      </c>
      <c r="DC107" s="135" t="str">
        <f t="shared" si="163"/>
        <v/>
      </c>
      <c r="DE107" s="146" t="str">
        <f>IF(W107&lt;&gt;"AR","",IF(Y107="User Specified", AA107, INDEX('Refrigerant GWPs'!$G$2:$G$154,MATCH(Y107,'Refrigerant GWPs'!$A$2:$A$154,0))))</f>
        <v/>
      </c>
      <c r="DF107" s="146" t="str">
        <f>IF(W107&lt;&gt;"AR","",INDEX('Device Refrigerant Leakage'!$E$2:$E$42,MATCH(X107,'Device Refrigerant Leakage'!$B$2:$B$42,0)))</f>
        <v/>
      </c>
      <c r="DG107" s="146" t="str">
        <f>IF(W107&lt;&gt;"AR","",INDEX('Device Refrigerant Leakage'!$F$2:$F$42,MATCH(X107,'Device Refrigerant Leakage'!$B$2:$B$42,0)))</f>
        <v/>
      </c>
      <c r="DH107" s="146" t="str">
        <f>IF(W107&lt;&gt;"AR","",INDEX('Device Refrigerant Leakage'!$G$2:$G$42,MATCH(X107,'Device Refrigerant Leakage'!$B$2:$B$42,0)))</f>
        <v/>
      </c>
      <c r="DI107" s="146" t="str">
        <f>IF(W107&lt;&gt;"AR","",J107*INDEX('Device Refrigerant Leakage'!$D$2:$D$42,MATCH(X107,'Device Refrigerant Leakage'!$B$2:$B$42,0))*DF107/2204.62*DE107)</f>
        <v/>
      </c>
      <c r="DJ107" s="146" t="str">
        <f>IF(W107&lt;&gt;"AR","",J107*(INDEX('Device Refrigerant Leakage'!$D$2:$D$42,MATCH(X107,'Device Refrigerant Leakage'!$B$2:$B$42,0))-(INDEX('Device Refrigerant Leakage'!$D$2:$D$42,MATCH(X107,'Device Refrigerant Leakage'!$B$2:$B$42,0)))*DH107*DF107)*DG107/2204.62*DE107)</f>
        <v/>
      </c>
      <c r="DK107" s="146" t="str">
        <f>IF(W107&lt;&gt;"AR","",DI107*(K107-AB107)+'Fuel Sub Calcs-Deemed'!DJ107*((K107-AB107)/INDEX('Device Refrigerant Leakage'!$C$2:$C$42,MATCH('Fuel Sub Calcs-Deemed'!X107,'Device Refrigerant Leakage'!$B$2:$B$42,0))))</f>
        <v/>
      </c>
      <c r="DM107" s="56">
        <v>93</v>
      </c>
      <c r="DN107" s="67" t="e">
        <f t="shared" si="143"/>
        <v>#N/A</v>
      </c>
      <c r="DO107" s="45" t="e">
        <f t="shared" si="144"/>
        <v>#N/A</v>
      </c>
      <c r="DP107" s="67" t="e">
        <f t="shared" si="145"/>
        <v>#N/A</v>
      </c>
      <c r="DQ107" s="45" t="e">
        <f t="shared" si="146"/>
        <v>#N/A</v>
      </c>
      <c r="DR107" s="69" t="e">
        <f t="shared" si="147"/>
        <v>#N/A</v>
      </c>
      <c r="DS107" s="34"/>
      <c r="DT107" s="67" t="e">
        <f>((BX107*CJ107)+IF($W107=MAT_AR,(BZ107*CL107),0))*(1+Reference!$E$50+Reference!$E$51)</f>
        <v>#N/A</v>
      </c>
      <c r="DU107" s="67">
        <f>((BY107*CK107)+IF($W107=MAT_AR,(CA107*CM107),0))*(1+Reference!$G$50+Reference!$G$51)</f>
        <v>0</v>
      </c>
      <c r="DV107" s="67" t="e">
        <f t="shared" si="148"/>
        <v>#VALUE!</v>
      </c>
      <c r="DX107" s="56">
        <v>93</v>
      </c>
      <c r="DY107" s="67">
        <f t="shared" si="149"/>
        <v>0</v>
      </c>
      <c r="DZ107" s="45" t="e">
        <f>VLOOKUP($R107,Dropdown!$C$3:$D$4,2,FALSE)</f>
        <v>#N/A</v>
      </c>
      <c r="EA107" s="68">
        <f t="shared" si="150"/>
        <v>0</v>
      </c>
      <c r="EB107" s="68" t="str">
        <f t="shared" si="151"/>
        <v>N/A</v>
      </c>
      <c r="EC107" s="68">
        <f t="shared" si="152"/>
        <v>0</v>
      </c>
      <c r="ED107" s="68" t="str">
        <f t="shared" si="153"/>
        <v>N/A</v>
      </c>
      <c r="EF107" s="56">
        <v>93</v>
      </c>
      <c r="EG107" s="46">
        <f t="shared" si="154"/>
        <v>0</v>
      </c>
      <c r="EH107" s="68" t="e">
        <f t="shared" si="155"/>
        <v>#N/A</v>
      </c>
      <c r="EI107" s="68" t="e">
        <f t="shared" si="156"/>
        <v>#N/A</v>
      </c>
      <c r="EJ107" s="68" t="e">
        <f t="shared" si="157"/>
        <v>#N/A</v>
      </c>
      <c r="EK107" s="68" t="e">
        <f t="shared" si="158"/>
        <v>#N/A</v>
      </c>
      <c r="EL107" s="46">
        <f t="shared" si="159"/>
        <v>0</v>
      </c>
      <c r="EM107" s="46">
        <f t="shared" si="160"/>
        <v>0</v>
      </c>
    </row>
    <row r="108" spans="1:143">
      <c r="A108" s="89"/>
      <c r="B108" s="89"/>
      <c r="C108" s="89"/>
      <c r="D108" s="89"/>
      <c r="E108" s="89"/>
      <c r="F108" s="89"/>
      <c r="G108" s="34"/>
      <c r="H108" s="56">
        <f t="shared" si="161"/>
        <v>94</v>
      </c>
      <c r="I108" s="165"/>
      <c r="J108" s="163"/>
      <c r="K108" s="163"/>
      <c r="L108" s="164"/>
      <c r="M108" s="155"/>
      <c r="N108" s="155"/>
      <c r="O108" s="144"/>
      <c r="P108" s="159" t="str">
        <f>IFERROR(IF(O108&lt;&gt;"User Specified",IF(O108&lt;&gt;"", INDEX('Refrigerant GWPs'!$G$2:$G$154,MATCH(O108,'Refrigerant GWPs'!$A$2:$A$154,0)),""),U108),0)</f>
        <v/>
      </c>
      <c r="Q108" s="155"/>
      <c r="R108" s="155"/>
      <c r="S108" s="144"/>
      <c r="T108" s="159" t="str">
        <f>IF(S108&lt;&gt;"User Specified",IF(AND(S108&lt;&gt;"User Specified",S108&lt;&gt;""), INDEX('Refrigerant GWPs'!$G$2:$G$154,MATCH(S108,'Refrigerant GWPs'!$A$2:$A$154,0)),""),V108)</f>
        <v/>
      </c>
      <c r="U108" s="144"/>
      <c r="V108" s="144"/>
      <c r="W108" s="155"/>
      <c r="X108" s="155"/>
      <c r="Y108" s="144"/>
      <c r="Z108" s="159" t="str">
        <f>IF(AND(Y108&lt;&gt;"User Specified",Y108&lt;&gt;""), INDEX('Refrigerant GWPs'!$G$2:$G$154,MATCH(Y108,'Refrigerant GWPs'!$A$2:$A$154,0)),"")</f>
        <v/>
      </c>
      <c r="AA108" s="155"/>
      <c r="AB108" s="156"/>
      <c r="AC108" s="66"/>
      <c r="AD108" s="66"/>
      <c r="AE108" s="66"/>
      <c r="AF108" s="66"/>
      <c r="AG108" s="66"/>
      <c r="AH108" s="66"/>
      <c r="AI108" s="34"/>
      <c r="AJ108" s="88">
        <f t="shared" si="119"/>
        <v>0</v>
      </c>
      <c r="AK108" s="88">
        <f t="shared" si="120"/>
        <v>0</v>
      </c>
      <c r="AL108" s="88">
        <v>0</v>
      </c>
      <c r="AM108" s="88">
        <v>0</v>
      </c>
      <c r="AN108" s="81" t="str">
        <f t="shared" si="162"/>
        <v/>
      </c>
      <c r="AO108" s="88">
        <f t="shared" si="121"/>
        <v>0</v>
      </c>
      <c r="AP108" s="88">
        <f t="shared" si="122"/>
        <v>0</v>
      </c>
      <c r="AQ108" s="81" t="str">
        <f t="shared" si="123"/>
        <v/>
      </c>
      <c r="AS108" s="41" t="b">
        <f t="shared" si="124"/>
        <v>1</v>
      </c>
      <c r="AT108" s="38">
        <f t="shared" si="125"/>
        <v>0</v>
      </c>
      <c r="AU108" s="60">
        <f t="shared" si="126"/>
        <v>0</v>
      </c>
      <c r="AV108" s="41">
        <f t="shared" si="127"/>
        <v>0</v>
      </c>
      <c r="AW108" s="41" t="b">
        <f t="shared" si="128"/>
        <v>0</v>
      </c>
      <c r="AX108" t="str">
        <f t="shared" si="129"/>
        <v>+00</v>
      </c>
      <c r="AY108" t="str">
        <f t="shared" si="130"/>
        <v>+00</v>
      </c>
      <c r="BA108" s="47" t="b">
        <f t="shared" si="164"/>
        <v>1</v>
      </c>
      <c r="BB108" s="42" t="b">
        <f t="shared" si="165"/>
        <v>1</v>
      </c>
      <c r="BC108" s="42" t="b">
        <f t="shared" si="166"/>
        <v>0</v>
      </c>
      <c r="BD108" s="42" t="b">
        <f t="shared" si="167"/>
        <v>0</v>
      </c>
      <c r="BE108" s="70">
        <f t="shared" si="168"/>
        <v>0</v>
      </c>
      <c r="BF108" s="70">
        <f t="shared" si="169"/>
        <v>0</v>
      </c>
      <c r="BG108" s="34"/>
      <c r="BI108" s="47" t="b">
        <f t="shared" si="170"/>
        <v>1</v>
      </c>
      <c r="BJ108" s="47" t="b">
        <f t="shared" si="171"/>
        <v>1</v>
      </c>
      <c r="BK108" s="42" t="b">
        <f t="shared" si="172"/>
        <v>0</v>
      </c>
      <c r="BL108" s="42" t="b">
        <f t="shared" si="173"/>
        <v>0</v>
      </c>
      <c r="BM108" s="42">
        <f t="shared" si="174"/>
        <v>0</v>
      </c>
      <c r="BN108" s="42">
        <f t="shared" si="175"/>
        <v>0</v>
      </c>
      <c r="BP108" t="e">
        <f t="shared" si="176"/>
        <v>#N/A</v>
      </c>
      <c r="BQ108" t="e">
        <f t="shared" si="177"/>
        <v>#N/A</v>
      </c>
      <c r="BR108" t="e">
        <f t="shared" si="178"/>
        <v>#N/A</v>
      </c>
      <c r="BT108" s="60">
        <f t="shared" si="131"/>
        <v>0</v>
      </c>
      <c r="BU108" s="60">
        <f t="shared" si="132"/>
        <v>0</v>
      </c>
      <c r="BV108" s="60">
        <f t="shared" si="133"/>
        <v>0</v>
      </c>
      <c r="BW108" s="60">
        <f t="shared" si="134"/>
        <v>0</v>
      </c>
      <c r="BX108" s="60">
        <f t="shared" si="179"/>
        <v>0</v>
      </c>
      <c r="BY108" s="60">
        <f t="shared" si="180"/>
        <v>0</v>
      </c>
      <c r="BZ108" s="60">
        <f t="shared" si="181"/>
        <v>0</v>
      </c>
      <c r="CA108" s="60">
        <f t="shared" si="182"/>
        <v>0</v>
      </c>
      <c r="CB108" s="60" t="e">
        <f t="shared" si="135"/>
        <v>#N/A</v>
      </c>
      <c r="CC108" s="60">
        <f t="shared" si="136"/>
        <v>100000</v>
      </c>
      <c r="CD108" s="60" t="e">
        <f t="shared" si="137"/>
        <v>#N/A</v>
      </c>
      <c r="CE108" s="60">
        <f t="shared" si="138"/>
        <v>100000</v>
      </c>
      <c r="CF108" s="83" t="e">
        <f t="shared" si="183"/>
        <v>#N/A</v>
      </c>
      <c r="CG108" s="83">
        <f t="shared" si="184"/>
        <v>0</v>
      </c>
      <c r="CH108" s="83" t="e">
        <f t="shared" si="185"/>
        <v>#N/A</v>
      </c>
      <c r="CI108" s="83">
        <f t="shared" si="186"/>
        <v>0</v>
      </c>
      <c r="CJ108" s="86" t="e">
        <f t="shared" si="139"/>
        <v>#N/A</v>
      </c>
      <c r="CK108" s="82">
        <f t="shared" si="140"/>
        <v>5.3070370403969858E-3</v>
      </c>
      <c r="CL108" s="82" t="e">
        <f t="shared" si="141"/>
        <v>#N/A</v>
      </c>
      <c r="CM108" s="82">
        <f t="shared" si="142"/>
        <v>5.3070370403969858E-3</v>
      </c>
      <c r="CO108" s="149" t="str">
        <f>IF($I108&lt;&gt;"",IF(O108="User Specified",U108,INDEX('Refrigerant GWPs'!$G$2:$G$156,MATCH(O108,'Refrigerant GWPs'!$A$2:$A$156,0))),"")</f>
        <v/>
      </c>
      <c r="CP108" s="138" t="str">
        <f>IF($I108&lt;&gt;"",INDEX('Device Refrigerant Leakage'!$E$2:$E$42,MATCH($M108,'Device Refrigerant Leakage'!$B$2:$B$42,0)),"")</f>
        <v/>
      </c>
      <c r="CQ108" s="138" t="str">
        <f>IF($I108&lt;&gt;"",INDEX('Device Refrigerant Leakage'!$F$2:$F$42,MATCH($M108,'Device Refrigerant Leakage'!$B$2:$B$42,0)),"")</f>
        <v/>
      </c>
      <c r="CR108" s="145" t="str">
        <f>IF($I108&lt;&gt;"",INDEX('Device Refrigerant Leakage'!$G$2:$G$42,MATCH($M108,'Device Refrigerant Leakage'!$B$2:$B$42,0)),"")</f>
        <v/>
      </c>
      <c r="CS108" s="145" t="str">
        <f>IF($I108&lt;&gt;"",INDEX('Device Refrigerant Leakage'!$D$2:$D$42,MATCH($M108,'Device Refrigerant Leakage'!$B$2:$B$42,0))*CP108/2204.62*CO108,"")</f>
        <v/>
      </c>
      <c r="CT108" s="145" t="str">
        <f>IF($I108&lt;&gt;"",J108*(INDEX('Device Refrigerant Leakage'!$D$2:$D$42,MATCH($M108,'Device Refrigerant Leakage'!$B$2:$B$42,0))-(INDEX('Device Refrigerant Leakage'!$D$2:$D$42,MATCH($M108,'Device Refrigerant Leakage'!$B$2:$B$42,0)))*CR108*CP108)*CQ108/2204.62*CO108,"")</f>
        <v/>
      </c>
      <c r="CU108" s="135" t="str">
        <f>IF($I108&lt;&gt;"",J108*IF(W108&lt;&gt;"AR",(CS108*K108)+CT108,(CS108*AB108)+CT108*(AB108/INDEX('Device Refrigerant Leakage'!$C$2:$C$42,MATCH($M108,'Device Refrigerant Leakage'!$B$2:$B$42,0)))),"")</f>
        <v/>
      </c>
      <c r="CW108" s="135" t="str">
        <f>IF($I108&lt;&gt;"",IF(S108="User Specified",V108,INDEX('Refrigerant GWPs'!$G$2:$G$156,MATCH(S108,'Refrigerant GWPs'!$A$2:$A$157,0))),"")</f>
        <v/>
      </c>
      <c r="CX108" s="138" t="str">
        <f>IF($I108&lt;&gt;"",INDEX('Device Refrigerant Leakage'!$E$2:$E$42,MATCH($Q108,'Device Refrigerant Leakage'!$B$2:$B$42,0)),"")</f>
        <v/>
      </c>
      <c r="CY108" s="138" t="str">
        <f>IF($I108&lt;&gt;"",INDEX('Device Refrigerant Leakage'!$F$2:$F$42,MATCH($Q108,'Device Refrigerant Leakage'!$B$2:$B$42,0)),"")</f>
        <v/>
      </c>
      <c r="CZ108" s="145" t="str">
        <f>IF($I108&lt;&gt;"",INDEX('Device Refrigerant Leakage'!$G$2:$G$42,MATCH($Q108,'Device Refrigerant Leakage'!$B$2:$B$42,0)),"")</f>
        <v/>
      </c>
      <c r="DA108" s="145" t="str">
        <f>IF($I108&lt;&gt;"",J108*INDEX('Device Refrigerant Leakage'!$D$2:$D$42,MATCH($Q108,'Device Refrigerant Leakage'!$B$2:$B$42,0))*CX108/2204.62*CW108,"")</f>
        <v/>
      </c>
      <c r="DB108" s="145" t="str">
        <f>IF($I108&lt;&gt;"",J108*(INDEX('Device Refrigerant Leakage'!$D$2:$D$42,MATCH($Q108,'Device Refrigerant Leakage'!$B$2:$B$42,0))-(INDEX('Device Refrigerant Leakage'!$D$2:$D$42,MATCH($Q108,'Device Refrigerant Leakage'!$B$2:$B$42,0)))*CZ108*CX108)*CY108/2204.62*CW108,"")</f>
        <v/>
      </c>
      <c r="DC108" s="135" t="str">
        <f t="shared" si="163"/>
        <v/>
      </c>
      <c r="DE108" s="146" t="str">
        <f>IF(W108&lt;&gt;"AR","",IF(Y108="User Specified", AA108, INDEX('Refrigerant GWPs'!$G$2:$G$154,MATCH(Y108,'Refrigerant GWPs'!$A$2:$A$154,0))))</f>
        <v/>
      </c>
      <c r="DF108" s="146" t="str">
        <f>IF(W108&lt;&gt;"AR","",INDEX('Device Refrigerant Leakage'!$E$2:$E$42,MATCH(X108,'Device Refrigerant Leakage'!$B$2:$B$42,0)))</f>
        <v/>
      </c>
      <c r="DG108" s="146" t="str">
        <f>IF(W108&lt;&gt;"AR","",INDEX('Device Refrigerant Leakage'!$F$2:$F$42,MATCH(X108,'Device Refrigerant Leakage'!$B$2:$B$42,0)))</f>
        <v/>
      </c>
      <c r="DH108" s="146" t="str">
        <f>IF(W108&lt;&gt;"AR","",INDEX('Device Refrigerant Leakage'!$G$2:$G$42,MATCH(X108,'Device Refrigerant Leakage'!$B$2:$B$42,0)))</f>
        <v/>
      </c>
      <c r="DI108" s="146" t="str">
        <f>IF(W108&lt;&gt;"AR","",J108*INDEX('Device Refrigerant Leakage'!$D$2:$D$42,MATCH(X108,'Device Refrigerant Leakage'!$B$2:$B$42,0))*DF108/2204.62*DE108)</f>
        <v/>
      </c>
      <c r="DJ108" s="146" t="str">
        <f>IF(W108&lt;&gt;"AR","",J108*(INDEX('Device Refrigerant Leakage'!$D$2:$D$42,MATCH(X108,'Device Refrigerant Leakage'!$B$2:$B$42,0))-(INDEX('Device Refrigerant Leakage'!$D$2:$D$42,MATCH(X108,'Device Refrigerant Leakage'!$B$2:$B$42,0)))*DH108*DF108)*DG108/2204.62*DE108)</f>
        <v/>
      </c>
      <c r="DK108" s="146" t="str">
        <f>IF(W108&lt;&gt;"AR","",DI108*(K108-AB108)+'Fuel Sub Calcs-Deemed'!DJ108*((K108-AB108)/INDEX('Device Refrigerant Leakage'!$C$2:$C$42,MATCH('Fuel Sub Calcs-Deemed'!X108,'Device Refrigerant Leakage'!$B$2:$B$42,0))))</f>
        <v/>
      </c>
      <c r="DM108" s="56">
        <v>94</v>
      </c>
      <c r="DN108" s="67" t="e">
        <f t="shared" si="143"/>
        <v>#N/A</v>
      </c>
      <c r="DO108" s="45" t="e">
        <f t="shared" si="144"/>
        <v>#N/A</v>
      </c>
      <c r="DP108" s="67" t="e">
        <f t="shared" si="145"/>
        <v>#N/A</v>
      </c>
      <c r="DQ108" s="45" t="e">
        <f t="shared" si="146"/>
        <v>#N/A</v>
      </c>
      <c r="DR108" s="69" t="e">
        <f t="shared" si="147"/>
        <v>#N/A</v>
      </c>
      <c r="DS108" s="34"/>
      <c r="DT108" s="67" t="e">
        <f>((BX108*CJ108)+IF($W108=MAT_AR,(BZ108*CL108),0))*(1+Reference!$E$50+Reference!$E$51)</f>
        <v>#N/A</v>
      </c>
      <c r="DU108" s="67">
        <f>((BY108*CK108)+IF($W108=MAT_AR,(CA108*CM108),0))*(1+Reference!$G$50+Reference!$G$51)</f>
        <v>0</v>
      </c>
      <c r="DV108" s="67" t="e">
        <f t="shared" si="148"/>
        <v>#VALUE!</v>
      </c>
      <c r="DX108" s="56">
        <v>94</v>
      </c>
      <c r="DY108" s="67">
        <f t="shared" si="149"/>
        <v>0</v>
      </c>
      <c r="DZ108" s="45" t="e">
        <f>VLOOKUP($R108,Dropdown!$C$3:$D$4,2,FALSE)</f>
        <v>#N/A</v>
      </c>
      <c r="EA108" s="68">
        <f t="shared" si="150"/>
        <v>0</v>
      </c>
      <c r="EB108" s="68" t="str">
        <f t="shared" si="151"/>
        <v>N/A</v>
      </c>
      <c r="EC108" s="68">
        <f t="shared" si="152"/>
        <v>0</v>
      </c>
      <c r="ED108" s="68" t="str">
        <f t="shared" si="153"/>
        <v>N/A</v>
      </c>
      <c r="EF108" s="56">
        <v>94</v>
      </c>
      <c r="EG108" s="46">
        <f t="shared" si="154"/>
        <v>0</v>
      </c>
      <c r="EH108" s="68" t="e">
        <f t="shared" si="155"/>
        <v>#N/A</v>
      </c>
      <c r="EI108" s="68" t="e">
        <f t="shared" si="156"/>
        <v>#N/A</v>
      </c>
      <c r="EJ108" s="68" t="e">
        <f t="shared" si="157"/>
        <v>#N/A</v>
      </c>
      <c r="EK108" s="68" t="e">
        <f t="shared" si="158"/>
        <v>#N/A</v>
      </c>
      <c r="EL108" s="46">
        <f t="shared" si="159"/>
        <v>0</v>
      </c>
      <c r="EM108" s="46">
        <f t="shared" si="160"/>
        <v>0</v>
      </c>
    </row>
    <row r="109" spans="1:143">
      <c r="A109" s="89"/>
      <c r="B109" s="89"/>
      <c r="C109" s="89"/>
      <c r="D109" s="89"/>
      <c r="E109" s="89"/>
      <c r="F109" s="89"/>
      <c r="G109" s="34"/>
      <c r="H109" s="56">
        <f t="shared" si="161"/>
        <v>95</v>
      </c>
      <c r="I109" s="165"/>
      <c r="J109" s="163"/>
      <c r="K109" s="163"/>
      <c r="L109" s="164"/>
      <c r="M109" s="155"/>
      <c r="N109" s="155"/>
      <c r="O109" s="144"/>
      <c r="P109" s="159" t="str">
        <f>IFERROR(IF(O109&lt;&gt;"User Specified",IF(O109&lt;&gt;"", INDEX('Refrigerant GWPs'!$G$2:$G$154,MATCH(O109,'Refrigerant GWPs'!$A$2:$A$154,0)),""),U109),0)</f>
        <v/>
      </c>
      <c r="Q109" s="155"/>
      <c r="R109" s="155"/>
      <c r="S109" s="144"/>
      <c r="T109" s="159" t="str">
        <f>IF(S109&lt;&gt;"User Specified",IF(AND(S109&lt;&gt;"User Specified",S109&lt;&gt;""), INDEX('Refrigerant GWPs'!$G$2:$G$154,MATCH(S109,'Refrigerant GWPs'!$A$2:$A$154,0)),""),V109)</f>
        <v/>
      </c>
      <c r="U109" s="144"/>
      <c r="V109" s="144"/>
      <c r="W109" s="155"/>
      <c r="X109" s="155"/>
      <c r="Y109" s="144"/>
      <c r="Z109" s="159" t="str">
        <f>IF(AND(Y109&lt;&gt;"User Specified",Y109&lt;&gt;""), INDEX('Refrigerant GWPs'!$G$2:$G$154,MATCH(Y109,'Refrigerant GWPs'!$A$2:$A$154,0)),"")</f>
        <v/>
      </c>
      <c r="AA109" s="155"/>
      <c r="AB109" s="156"/>
      <c r="AC109" s="66"/>
      <c r="AD109" s="66"/>
      <c r="AE109" s="66"/>
      <c r="AF109" s="66"/>
      <c r="AG109" s="66"/>
      <c r="AH109" s="66"/>
      <c r="AI109" s="34"/>
      <c r="AJ109" s="88">
        <f t="shared" si="119"/>
        <v>0</v>
      </c>
      <c r="AK109" s="88">
        <f t="shared" si="120"/>
        <v>0</v>
      </c>
      <c r="AL109" s="88">
        <v>0</v>
      </c>
      <c r="AM109" s="88">
        <v>0</v>
      </c>
      <c r="AN109" s="81" t="str">
        <f t="shared" si="162"/>
        <v/>
      </c>
      <c r="AO109" s="88">
        <f t="shared" si="121"/>
        <v>0</v>
      </c>
      <c r="AP109" s="88">
        <f t="shared" si="122"/>
        <v>0</v>
      </c>
      <c r="AQ109" s="81" t="str">
        <f t="shared" si="123"/>
        <v/>
      </c>
      <c r="AS109" s="41" t="b">
        <f t="shared" si="124"/>
        <v>1</v>
      </c>
      <c r="AT109" s="38">
        <f t="shared" si="125"/>
        <v>0</v>
      </c>
      <c r="AU109" s="60">
        <f t="shared" si="126"/>
        <v>0</v>
      </c>
      <c r="AV109" s="41">
        <f t="shared" si="127"/>
        <v>0</v>
      </c>
      <c r="AW109" s="41" t="b">
        <f t="shared" si="128"/>
        <v>0</v>
      </c>
      <c r="AX109" t="str">
        <f t="shared" si="129"/>
        <v>+00</v>
      </c>
      <c r="AY109" t="str">
        <f t="shared" si="130"/>
        <v>+00</v>
      </c>
      <c r="BA109" s="47" t="b">
        <f t="shared" si="164"/>
        <v>1</v>
      </c>
      <c r="BB109" s="42" t="b">
        <f t="shared" si="165"/>
        <v>1</v>
      </c>
      <c r="BC109" s="42" t="b">
        <f t="shared" si="166"/>
        <v>0</v>
      </c>
      <c r="BD109" s="42" t="b">
        <f t="shared" si="167"/>
        <v>0</v>
      </c>
      <c r="BE109" s="70">
        <f t="shared" si="168"/>
        <v>0</v>
      </c>
      <c r="BF109" s="70">
        <f t="shared" si="169"/>
        <v>0</v>
      </c>
      <c r="BG109" s="34"/>
      <c r="BI109" s="47" t="b">
        <f t="shared" si="170"/>
        <v>1</v>
      </c>
      <c r="BJ109" s="47" t="b">
        <f t="shared" si="171"/>
        <v>1</v>
      </c>
      <c r="BK109" s="42" t="b">
        <f t="shared" si="172"/>
        <v>0</v>
      </c>
      <c r="BL109" s="42" t="b">
        <f t="shared" si="173"/>
        <v>0</v>
      </c>
      <c r="BM109" s="42">
        <f t="shared" si="174"/>
        <v>0</v>
      </c>
      <c r="BN109" s="42">
        <f t="shared" si="175"/>
        <v>0</v>
      </c>
      <c r="BP109" t="e">
        <f t="shared" si="176"/>
        <v>#N/A</v>
      </c>
      <c r="BQ109" t="e">
        <f t="shared" si="177"/>
        <v>#N/A</v>
      </c>
      <c r="BR109" t="e">
        <f t="shared" si="178"/>
        <v>#N/A</v>
      </c>
      <c r="BT109" s="60">
        <f t="shared" si="131"/>
        <v>0</v>
      </c>
      <c r="BU109" s="60">
        <f t="shared" si="132"/>
        <v>0</v>
      </c>
      <c r="BV109" s="60">
        <f t="shared" si="133"/>
        <v>0</v>
      </c>
      <c r="BW109" s="60">
        <f t="shared" si="134"/>
        <v>0</v>
      </c>
      <c r="BX109" s="60">
        <f t="shared" si="179"/>
        <v>0</v>
      </c>
      <c r="BY109" s="60">
        <f t="shared" si="180"/>
        <v>0</v>
      </c>
      <c r="BZ109" s="60">
        <f t="shared" si="181"/>
        <v>0</v>
      </c>
      <c r="CA109" s="60">
        <f t="shared" si="182"/>
        <v>0</v>
      </c>
      <c r="CB109" s="60" t="e">
        <f t="shared" si="135"/>
        <v>#N/A</v>
      </c>
      <c r="CC109" s="60">
        <f t="shared" si="136"/>
        <v>100000</v>
      </c>
      <c r="CD109" s="60" t="e">
        <f t="shared" si="137"/>
        <v>#N/A</v>
      </c>
      <c r="CE109" s="60">
        <f t="shared" si="138"/>
        <v>100000</v>
      </c>
      <c r="CF109" s="83" t="e">
        <f t="shared" si="183"/>
        <v>#N/A</v>
      </c>
      <c r="CG109" s="83">
        <f t="shared" si="184"/>
        <v>0</v>
      </c>
      <c r="CH109" s="83" t="e">
        <f t="shared" si="185"/>
        <v>#N/A</v>
      </c>
      <c r="CI109" s="83">
        <f t="shared" si="186"/>
        <v>0</v>
      </c>
      <c r="CJ109" s="86" t="e">
        <f t="shared" si="139"/>
        <v>#N/A</v>
      </c>
      <c r="CK109" s="82">
        <f t="shared" si="140"/>
        <v>5.3070370403969858E-3</v>
      </c>
      <c r="CL109" s="82" t="e">
        <f t="shared" si="141"/>
        <v>#N/A</v>
      </c>
      <c r="CM109" s="82">
        <f t="shared" si="142"/>
        <v>5.3070370403969858E-3</v>
      </c>
      <c r="CO109" s="149" t="str">
        <f>IF($I109&lt;&gt;"",IF(O109="User Specified",U109,INDEX('Refrigerant GWPs'!$G$2:$G$156,MATCH(O109,'Refrigerant GWPs'!$A$2:$A$156,0))),"")</f>
        <v/>
      </c>
      <c r="CP109" s="138" t="str">
        <f>IF($I109&lt;&gt;"",INDEX('Device Refrigerant Leakage'!$E$2:$E$42,MATCH($M109,'Device Refrigerant Leakage'!$B$2:$B$42,0)),"")</f>
        <v/>
      </c>
      <c r="CQ109" s="138" t="str">
        <f>IF($I109&lt;&gt;"",INDEX('Device Refrigerant Leakage'!$F$2:$F$42,MATCH($M109,'Device Refrigerant Leakage'!$B$2:$B$42,0)),"")</f>
        <v/>
      </c>
      <c r="CR109" s="145" t="str">
        <f>IF($I109&lt;&gt;"",INDEX('Device Refrigerant Leakage'!$G$2:$G$42,MATCH($M109,'Device Refrigerant Leakage'!$B$2:$B$42,0)),"")</f>
        <v/>
      </c>
      <c r="CS109" s="145" t="str">
        <f>IF($I109&lt;&gt;"",INDEX('Device Refrigerant Leakage'!$D$2:$D$42,MATCH($M109,'Device Refrigerant Leakage'!$B$2:$B$42,0))*CP109/2204.62*CO109,"")</f>
        <v/>
      </c>
      <c r="CT109" s="145" t="str">
        <f>IF($I109&lt;&gt;"",J109*(INDEX('Device Refrigerant Leakage'!$D$2:$D$42,MATCH($M109,'Device Refrigerant Leakage'!$B$2:$B$42,0))-(INDEX('Device Refrigerant Leakage'!$D$2:$D$42,MATCH($M109,'Device Refrigerant Leakage'!$B$2:$B$42,0)))*CR109*CP109)*CQ109/2204.62*CO109,"")</f>
        <v/>
      </c>
      <c r="CU109" s="135" t="str">
        <f>IF($I109&lt;&gt;"",J109*IF(W109&lt;&gt;"AR",(CS109*K109)+CT109,(CS109*AB109)+CT109*(AB109/INDEX('Device Refrigerant Leakage'!$C$2:$C$42,MATCH($M109,'Device Refrigerant Leakage'!$B$2:$B$42,0)))),"")</f>
        <v/>
      </c>
      <c r="CW109" s="135" t="str">
        <f>IF($I109&lt;&gt;"",IF(S109="User Specified",V109,INDEX('Refrigerant GWPs'!$G$2:$G$156,MATCH(S109,'Refrigerant GWPs'!$A$2:$A$157,0))),"")</f>
        <v/>
      </c>
      <c r="CX109" s="138" t="str">
        <f>IF($I109&lt;&gt;"",INDEX('Device Refrigerant Leakage'!$E$2:$E$42,MATCH($Q109,'Device Refrigerant Leakage'!$B$2:$B$42,0)),"")</f>
        <v/>
      </c>
      <c r="CY109" s="138" t="str">
        <f>IF($I109&lt;&gt;"",INDEX('Device Refrigerant Leakage'!$F$2:$F$42,MATCH($Q109,'Device Refrigerant Leakage'!$B$2:$B$42,0)),"")</f>
        <v/>
      </c>
      <c r="CZ109" s="145" t="str">
        <f>IF($I109&lt;&gt;"",INDEX('Device Refrigerant Leakage'!$G$2:$G$42,MATCH($Q109,'Device Refrigerant Leakage'!$B$2:$B$42,0)),"")</f>
        <v/>
      </c>
      <c r="DA109" s="145" t="str">
        <f>IF($I109&lt;&gt;"",J109*INDEX('Device Refrigerant Leakage'!$D$2:$D$42,MATCH($Q109,'Device Refrigerant Leakage'!$B$2:$B$42,0))*CX109/2204.62*CW109,"")</f>
        <v/>
      </c>
      <c r="DB109" s="145" t="str">
        <f>IF($I109&lt;&gt;"",J109*(INDEX('Device Refrigerant Leakage'!$D$2:$D$42,MATCH($Q109,'Device Refrigerant Leakage'!$B$2:$B$42,0))-(INDEX('Device Refrigerant Leakage'!$D$2:$D$42,MATCH($Q109,'Device Refrigerant Leakage'!$B$2:$B$42,0)))*CZ109*CX109)*CY109/2204.62*CW109,"")</f>
        <v/>
      </c>
      <c r="DC109" s="135" t="str">
        <f t="shared" si="163"/>
        <v/>
      </c>
      <c r="DE109" s="146" t="str">
        <f>IF(W109&lt;&gt;"AR","",IF(Y109="User Specified", AA109, INDEX('Refrigerant GWPs'!$G$2:$G$154,MATCH(Y109,'Refrigerant GWPs'!$A$2:$A$154,0))))</f>
        <v/>
      </c>
      <c r="DF109" s="146" t="str">
        <f>IF(W109&lt;&gt;"AR","",INDEX('Device Refrigerant Leakage'!$E$2:$E$42,MATCH(X109,'Device Refrigerant Leakage'!$B$2:$B$42,0)))</f>
        <v/>
      </c>
      <c r="DG109" s="146" t="str">
        <f>IF(W109&lt;&gt;"AR","",INDEX('Device Refrigerant Leakage'!$F$2:$F$42,MATCH(X109,'Device Refrigerant Leakage'!$B$2:$B$42,0)))</f>
        <v/>
      </c>
      <c r="DH109" s="146" t="str">
        <f>IF(W109&lt;&gt;"AR","",INDEX('Device Refrigerant Leakage'!$G$2:$G$42,MATCH(X109,'Device Refrigerant Leakage'!$B$2:$B$42,0)))</f>
        <v/>
      </c>
      <c r="DI109" s="146" t="str">
        <f>IF(W109&lt;&gt;"AR","",J109*INDEX('Device Refrigerant Leakage'!$D$2:$D$42,MATCH(X109,'Device Refrigerant Leakage'!$B$2:$B$42,0))*DF109/2204.62*DE109)</f>
        <v/>
      </c>
      <c r="DJ109" s="146" t="str">
        <f>IF(W109&lt;&gt;"AR","",J109*(INDEX('Device Refrigerant Leakage'!$D$2:$D$42,MATCH(X109,'Device Refrigerant Leakage'!$B$2:$B$42,0))-(INDEX('Device Refrigerant Leakage'!$D$2:$D$42,MATCH(X109,'Device Refrigerant Leakage'!$B$2:$B$42,0)))*DH109*DF109)*DG109/2204.62*DE109)</f>
        <v/>
      </c>
      <c r="DK109" s="146" t="str">
        <f>IF(W109&lt;&gt;"AR","",DI109*(K109-AB109)+'Fuel Sub Calcs-Deemed'!DJ109*((K109-AB109)/INDEX('Device Refrigerant Leakage'!$C$2:$C$42,MATCH('Fuel Sub Calcs-Deemed'!X109,'Device Refrigerant Leakage'!$B$2:$B$42,0))))</f>
        <v/>
      </c>
      <c r="DM109" s="56">
        <v>95</v>
      </c>
      <c r="DN109" s="67" t="e">
        <f t="shared" si="143"/>
        <v>#N/A</v>
      </c>
      <c r="DO109" s="45" t="e">
        <f t="shared" si="144"/>
        <v>#N/A</v>
      </c>
      <c r="DP109" s="67" t="e">
        <f t="shared" si="145"/>
        <v>#N/A</v>
      </c>
      <c r="DQ109" s="45" t="e">
        <f t="shared" si="146"/>
        <v>#N/A</v>
      </c>
      <c r="DR109" s="69" t="e">
        <f t="shared" si="147"/>
        <v>#N/A</v>
      </c>
      <c r="DS109" s="34"/>
      <c r="DT109" s="67" t="e">
        <f>((BX109*CJ109)+IF($W109=MAT_AR,(BZ109*CL109),0))*(1+Reference!$E$50+Reference!$E$51)</f>
        <v>#N/A</v>
      </c>
      <c r="DU109" s="67">
        <f>((BY109*CK109)+IF($W109=MAT_AR,(CA109*CM109),0))*(1+Reference!$G$50+Reference!$G$51)</f>
        <v>0</v>
      </c>
      <c r="DV109" s="67" t="e">
        <f t="shared" si="148"/>
        <v>#VALUE!</v>
      </c>
      <c r="DX109" s="56">
        <v>95</v>
      </c>
      <c r="DY109" s="67">
        <f t="shared" si="149"/>
        <v>0</v>
      </c>
      <c r="DZ109" s="45" t="e">
        <f>VLOOKUP($R109,Dropdown!$C$3:$D$4,2,FALSE)</f>
        <v>#N/A</v>
      </c>
      <c r="EA109" s="68">
        <f t="shared" si="150"/>
        <v>0</v>
      </c>
      <c r="EB109" s="68" t="str">
        <f t="shared" si="151"/>
        <v>N/A</v>
      </c>
      <c r="EC109" s="68">
        <f t="shared" si="152"/>
        <v>0</v>
      </c>
      <c r="ED109" s="68" t="str">
        <f t="shared" si="153"/>
        <v>N/A</v>
      </c>
      <c r="EF109" s="56">
        <v>95</v>
      </c>
      <c r="EG109" s="46">
        <f t="shared" si="154"/>
        <v>0</v>
      </c>
      <c r="EH109" s="68" t="e">
        <f t="shared" si="155"/>
        <v>#N/A</v>
      </c>
      <c r="EI109" s="68" t="e">
        <f t="shared" si="156"/>
        <v>#N/A</v>
      </c>
      <c r="EJ109" s="68" t="e">
        <f t="shared" si="157"/>
        <v>#N/A</v>
      </c>
      <c r="EK109" s="68" t="e">
        <f t="shared" si="158"/>
        <v>#N/A</v>
      </c>
      <c r="EL109" s="46">
        <f t="shared" si="159"/>
        <v>0</v>
      </c>
      <c r="EM109" s="46">
        <f t="shared" si="160"/>
        <v>0</v>
      </c>
    </row>
    <row r="110" spans="1:143">
      <c r="A110" s="89"/>
      <c r="B110" s="89"/>
      <c r="C110" s="89"/>
      <c r="D110" s="89"/>
      <c r="E110" s="89"/>
      <c r="F110" s="89"/>
      <c r="G110" s="34"/>
      <c r="H110" s="56">
        <f t="shared" si="161"/>
        <v>96</v>
      </c>
      <c r="I110" s="165"/>
      <c r="J110" s="163"/>
      <c r="K110" s="163"/>
      <c r="L110" s="164"/>
      <c r="M110" s="155"/>
      <c r="N110" s="155"/>
      <c r="O110" s="144"/>
      <c r="P110" s="159" t="str">
        <f>IFERROR(IF(O110&lt;&gt;"User Specified",IF(O110&lt;&gt;"", INDEX('Refrigerant GWPs'!$G$2:$G$154,MATCH(O110,'Refrigerant GWPs'!$A$2:$A$154,0)),""),U110),0)</f>
        <v/>
      </c>
      <c r="Q110" s="155"/>
      <c r="R110" s="155"/>
      <c r="S110" s="144"/>
      <c r="T110" s="159" t="str">
        <f>IF(S110&lt;&gt;"User Specified",IF(AND(S110&lt;&gt;"User Specified",S110&lt;&gt;""), INDEX('Refrigerant GWPs'!$G$2:$G$154,MATCH(S110,'Refrigerant GWPs'!$A$2:$A$154,0)),""),V110)</f>
        <v/>
      </c>
      <c r="U110" s="144"/>
      <c r="V110" s="144"/>
      <c r="W110" s="155"/>
      <c r="X110" s="155"/>
      <c r="Y110" s="144"/>
      <c r="Z110" s="159" t="str">
        <f>IF(AND(Y110&lt;&gt;"User Specified",Y110&lt;&gt;""), INDEX('Refrigerant GWPs'!$G$2:$G$154,MATCH(Y110,'Refrigerant GWPs'!$A$2:$A$154,0)),"")</f>
        <v/>
      </c>
      <c r="AA110" s="155"/>
      <c r="AB110" s="156"/>
      <c r="AC110" s="66"/>
      <c r="AD110" s="66"/>
      <c r="AE110" s="66"/>
      <c r="AF110" s="66"/>
      <c r="AG110" s="66"/>
      <c r="AH110" s="66"/>
      <c r="AI110" s="34"/>
      <c r="AJ110" s="88">
        <f t="shared" si="119"/>
        <v>0</v>
      </c>
      <c r="AK110" s="88">
        <f t="shared" si="120"/>
        <v>0</v>
      </c>
      <c r="AL110" s="88">
        <v>0</v>
      </c>
      <c r="AM110" s="88">
        <v>0</v>
      </c>
      <c r="AN110" s="81" t="str">
        <f t="shared" si="162"/>
        <v/>
      </c>
      <c r="AO110" s="88">
        <f t="shared" si="121"/>
        <v>0</v>
      </c>
      <c r="AP110" s="88">
        <f t="shared" si="122"/>
        <v>0</v>
      </c>
      <c r="AQ110" s="81" t="str">
        <f t="shared" si="123"/>
        <v/>
      </c>
      <c r="AS110" s="41" t="b">
        <f t="shared" si="124"/>
        <v>1</v>
      </c>
      <c r="AT110" s="38">
        <f t="shared" si="125"/>
        <v>0</v>
      </c>
      <c r="AU110" s="60">
        <f t="shared" si="126"/>
        <v>0</v>
      </c>
      <c r="AV110" s="41">
        <f t="shared" si="127"/>
        <v>0</v>
      </c>
      <c r="AW110" s="41" t="b">
        <f t="shared" si="128"/>
        <v>0</v>
      </c>
      <c r="AX110" t="str">
        <f t="shared" si="129"/>
        <v>+00</v>
      </c>
      <c r="AY110" t="str">
        <f t="shared" si="130"/>
        <v>+00</v>
      </c>
      <c r="BA110" s="47" t="b">
        <f t="shared" si="164"/>
        <v>1</v>
      </c>
      <c r="BB110" s="42" t="b">
        <f t="shared" si="165"/>
        <v>1</v>
      </c>
      <c r="BC110" s="42" t="b">
        <f t="shared" si="166"/>
        <v>0</v>
      </c>
      <c r="BD110" s="42" t="b">
        <f t="shared" si="167"/>
        <v>0</v>
      </c>
      <c r="BE110" s="70">
        <f t="shared" si="168"/>
        <v>0</v>
      </c>
      <c r="BF110" s="70">
        <f t="shared" si="169"/>
        <v>0</v>
      </c>
      <c r="BG110" s="34"/>
      <c r="BI110" s="47" t="b">
        <f t="shared" si="170"/>
        <v>1</v>
      </c>
      <c r="BJ110" s="47" t="b">
        <f t="shared" si="171"/>
        <v>1</v>
      </c>
      <c r="BK110" s="42" t="b">
        <f t="shared" si="172"/>
        <v>0</v>
      </c>
      <c r="BL110" s="42" t="b">
        <f t="shared" si="173"/>
        <v>0</v>
      </c>
      <c r="BM110" s="42">
        <f t="shared" si="174"/>
        <v>0</v>
      </c>
      <c r="BN110" s="42">
        <f t="shared" si="175"/>
        <v>0</v>
      </c>
      <c r="BP110" t="e">
        <f t="shared" si="176"/>
        <v>#N/A</v>
      </c>
      <c r="BQ110" t="e">
        <f t="shared" si="177"/>
        <v>#N/A</v>
      </c>
      <c r="BR110" t="e">
        <f t="shared" si="178"/>
        <v>#N/A</v>
      </c>
      <c r="BT110" s="60">
        <f t="shared" si="131"/>
        <v>0</v>
      </c>
      <c r="BU110" s="60">
        <f t="shared" si="132"/>
        <v>0</v>
      </c>
      <c r="BV110" s="60">
        <f t="shared" si="133"/>
        <v>0</v>
      </c>
      <c r="BW110" s="60">
        <f t="shared" si="134"/>
        <v>0</v>
      </c>
      <c r="BX110" s="60">
        <f t="shared" si="179"/>
        <v>0</v>
      </c>
      <c r="BY110" s="60">
        <f t="shared" si="180"/>
        <v>0</v>
      </c>
      <c r="BZ110" s="60">
        <f t="shared" si="181"/>
        <v>0</v>
      </c>
      <c r="CA110" s="60">
        <f t="shared" si="182"/>
        <v>0</v>
      </c>
      <c r="CB110" s="60" t="e">
        <f t="shared" si="135"/>
        <v>#N/A</v>
      </c>
      <c r="CC110" s="60">
        <f t="shared" si="136"/>
        <v>100000</v>
      </c>
      <c r="CD110" s="60" t="e">
        <f t="shared" si="137"/>
        <v>#N/A</v>
      </c>
      <c r="CE110" s="60">
        <f t="shared" si="138"/>
        <v>100000</v>
      </c>
      <c r="CF110" s="83" t="e">
        <f t="shared" si="183"/>
        <v>#N/A</v>
      </c>
      <c r="CG110" s="83">
        <f t="shared" si="184"/>
        <v>0</v>
      </c>
      <c r="CH110" s="83" t="e">
        <f t="shared" si="185"/>
        <v>#N/A</v>
      </c>
      <c r="CI110" s="83">
        <f t="shared" si="186"/>
        <v>0</v>
      </c>
      <c r="CJ110" s="86" t="e">
        <f t="shared" si="139"/>
        <v>#N/A</v>
      </c>
      <c r="CK110" s="82">
        <f t="shared" si="140"/>
        <v>5.3070370403969858E-3</v>
      </c>
      <c r="CL110" s="82" t="e">
        <f t="shared" si="141"/>
        <v>#N/A</v>
      </c>
      <c r="CM110" s="82">
        <f t="shared" si="142"/>
        <v>5.3070370403969858E-3</v>
      </c>
      <c r="CO110" s="149" t="str">
        <f>IF($I110&lt;&gt;"",IF(O110="User Specified",U110,INDEX('Refrigerant GWPs'!$G$2:$G$156,MATCH(O110,'Refrigerant GWPs'!$A$2:$A$156,0))),"")</f>
        <v/>
      </c>
      <c r="CP110" s="138" t="str">
        <f>IF($I110&lt;&gt;"",INDEX('Device Refrigerant Leakage'!$E$2:$E$42,MATCH($M110,'Device Refrigerant Leakage'!$B$2:$B$42,0)),"")</f>
        <v/>
      </c>
      <c r="CQ110" s="138" t="str">
        <f>IF($I110&lt;&gt;"",INDEX('Device Refrigerant Leakage'!$F$2:$F$42,MATCH($M110,'Device Refrigerant Leakage'!$B$2:$B$42,0)),"")</f>
        <v/>
      </c>
      <c r="CR110" s="145" t="str">
        <f>IF($I110&lt;&gt;"",INDEX('Device Refrigerant Leakage'!$G$2:$G$42,MATCH($M110,'Device Refrigerant Leakage'!$B$2:$B$42,0)),"")</f>
        <v/>
      </c>
      <c r="CS110" s="145" t="str">
        <f>IF($I110&lt;&gt;"",INDEX('Device Refrigerant Leakage'!$D$2:$D$42,MATCH($M110,'Device Refrigerant Leakage'!$B$2:$B$42,0))*CP110/2204.62*CO110,"")</f>
        <v/>
      </c>
      <c r="CT110" s="145" t="str">
        <f>IF($I110&lt;&gt;"",J110*(INDEX('Device Refrigerant Leakage'!$D$2:$D$42,MATCH($M110,'Device Refrigerant Leakage'!$B$2:$B$42,0))-(INDEX('Device Refrigerant Leakage'!$D$2:$D$42,MATCH($M110,'Device Refrigerant Leakage'!$B$2:$B$42,0)))*CR110*CP110)*CQ110/2204.62*CO110,"")</f>
        <v/>
      </c>
      <c r="CU110" s="135" t="str">
        <f>IF($I110&lt;&gt;"",J110*IF(W110&lt;&gt;"AR",(CS110*K110)+CT110,(CS110*AB110)+CT110*(AB110/INDEX('Device Refrigerant Leakage'!$C$2:$C$42,MATCH($M110,'Device Refrigerant Leakage'!$B$2:$B$42,0)))),"")</f>
        <v/>
      </c>
      <c r="CW110" s="135" t="str">
        <f>IF($I110&lt;&gt;"",IF(S110="User Specified",V110,INDEX('Refrigerant GWPs'!$G$2:$G$156,MATCH(S110,'Refrigerant GWPs'!$A$2:$A$157,0))),"")</f>
        <v/>
      </c>
      <c r="CX110" s="138" t="str">
        <f>IF($I110&lt;&gt;"",INDEX('Device Refrigerant Leakage'!$E$2:$E$42,MATCH($Q110,'Device Refrigerant Leakage'!$B$2:$B$42,0)),"")</f>
        <v/>
      </c>
      <c r="CY110" s="138" t="str">
        <f>IF($I110&lt;&gt;"",INDEX('Device Refrigerant Leakage'!$F$2:$F$42,MATCH($Q110,'Device Refrigerant Leakage'!$B$2:$B$42,0)),"")</f>
        <v/>
      </c>
      <c r="CZ110" s="145" t="str">
        <f>IF($I110&lt;&gt;"",INDEX('Device Refrigerant Leakage'!$G$2:$G$42,MATCH($Q110,'Device Refrigerant Leakage'!$B$2:$B$42,0)),"")</f>
        <v/>
      </c>
      <c r="DA110" s="145" t="str">
        <f>IF($I110&lt;&gt;"",J110*INDEX('Device Refrigerant Leakage'!$D$2:$D$42,MATCH($Q110,'Device Refrigerant Leakage'!$B$2:$B$42,0))*CX110/2204.62*CW110,"")</f>
        <v/>
      </c>
      <c r="DB110" s="145" t="str">
        <f>IF($I110&lt;&gt;"",J110*(INDEX('Device Refrigerant Leakage'!$D$2:$D$42,MATCH($Q110,'Device Refrigerant Leakage'!$B$2:$B$42,0))-(INDEX('Device Refrigerant Leakage'!$D$2:$D$42,MATCH($Q110,'Device Refrigerant Leakage'!$B$2:$B$42,0)))*CZ110*CX110)*CY110/2204.62*CW110,"")</f>
        <v/>
      </c>
      <c r="DC110" s="135" t="str">
        <f t="shared" si="163"/>
        <v/>
      </c>
      <c r="DE110" s="146" t="str">
        <f>IF(W110&lt;&gt;"AR","",IF(Y110="User Specified", AA110, INDEX('Refrigerant GWPs'!$G$2:$G$154,MATCH(Y110,'Refrigerant GWPs'!$A$2:$A$154,0))))</f>
        <v/>
      </c>
      <c r="DF110" s="146" t="str">
        <f>IF(W110&lt;&gt;"AR","",INDEX('Device Refrigerant Leakage'!$E$2:$E$42,MATCH(X110,'Device Refrigerant Leakage'!$B$2:$B$42,0)))</f>
        <v/>
      </c>
      <c r="DG110" s="146" t="str">
        <f>IF(W110&lt;&gt;"AR","",INDEX('Device Refrigerant Leakage'!$F$2:$F$42,MATCH(X110,'Device Refrigerant Leakage'!$B$2:$B$42,0)))</f>
        <v/>
      </c>
      <c r="DH110" s="146" t="str">
        <f>IF(W110&lt;&gt;"AR","",INDEX('Device Refrigerant Leakage'!$G$2:$G$42,MATCH(X110,'Device Refrigerant Leakage'!$B$2:$B$42,0)))</f>
        <v/>
      </c>
      <c r="DI110" s="146" t="str">
        <f>IF(W110&lt;&gt;"AR","",J110*INDEX('Device Refrigerant Leakage'!$D$2:$D$42,MATCH(X110,'Device Refrigerant Leakage'!$B$2:$B$42,0))*DF110/2204.62*DE110)</f>
        <v/>
      </c>
      <c r="DJ110" s="146" t="str">
        <f>IF(W110&lt;&gt;"AR","",J110*(INDEX('Device Refrigerant Leakage'!$D$2:$D$42,MATCH(X110,'Device Refrigerant Leakage'!$B$2:$B$42,0))-(INDEX('Device Refrigerant Leakage'!$D$2:$D$42,MATCH(X110,'Device Refrigerant Leakage'!$B$2:$B$42,0)))*DH110*DF110)*DG110/2204.62*DE110)</f>
        <v/>
      </c>
      <c r="DK110" s="146" t="str">
        <f>IF(W110&lt;&gt;"AR","",DI110*(K110-AB110)+'Fuel Sub Calcs-Deemed'!DJ110*((K110-AB110)/INDEX('Device Refrigerant Leakage'!$C$2:$C$42,MATCH('Fuel Sub Calcs-Deemed'!X110,'Device Refrigerant Leakage'!$B$2:$B$42,0))))</f>
        <v/>
      </c>
      <c r="DM110" s="56">
        <v>96</v>
      </c>
      <c r="DN110" s="67" t="e">
        <f t="shared" si="143"/>
        <v>#N/A</v>
      </c>
      <c r="DO110" s="45" t="e">
        <f t="shared" si="144"/>
        <v>#N/A</v>
      </c>
      <c r="DP110" s="67" t="e">
        <f t="shared" si="145"/>
        <v>#N/A</v>
      </c>
      <c r="DQ110" s="45" t="e">
        <f t="shared" si="146"/>
        <v>#N/A</v>
      </c>
      <c r="DR110" s="69" t="e">
        <f t="shared" si="147"/>
        <v>#N/A</v>
      </c>
      <c r="DS110" s="34"/>
      <c r="DT110" s="67" t="e">
        <f>((BX110*CJ110)+IF($W110=MAT_AR,(BZ110*CL110),0))*(1+Reference!$E$50+Reference!$E$51)</f>
        <v>#N/A</v>
      </c>
      <c r="DU110" s="67">
        <f>((BY110*CK110)+IF($W110=MAT_AR,(CA110*CM110),0))*(1+Reference!$G$50+Reference!$G$51)</f>
        <v>0</v>
      </c>
      <c r="DV110" s="67" t="e">
        <f t="shared" si="148"/>
        <v>#VALUE!</v>
      </c>
      <c r="DX110" s="56">
        <v>96</v>
      </c>
      <c r="DY110" s="67">
        <f t="shared" si="149"/>
        <v>0</v>
      </c>
      <c r="DZ110" s="45" t="e">
        <f>VLOOKUP($R110,Dropdown!$C$3:$D$4,2,FALSE)</f>
        <v>#N/A</v>
      </c>
      <c r="EA110" s="68">
        <f t="shared" si="150"/>
        <v>0</v>
      </c>
      <c r="EB110" s="68" t="str">
        <f t="shared" si="151"/>
        <v>N/A</v>
      </c>
      <c r="EC110" s="68">
        <f t="shared" si="152"/>
        <v>0</v>
      </c>
      <c r="ED110" s="68" t="str">
        <f t="shared" si="153"/>
        <v>N/A</v>
      </c>
      <c r="EF110" s="56">
        <v>96</v>
      </c>
      <c r="EG110" s="46">
        <f t="shared" si="154"/>
        <v>0</v>
      </c>
      <c r="EH110" s="68" t="e">
        <f t="shared" si="155"/>
        <v>#N/A</v>
      </c>
      <c r="EI110" s="68" t="e">
        <f t="shared" si="156"/>
        <v>#N/A</v>
      </c>
      <c r="EJ110" s="68" t="e">
        <f t="shared" si="157"/>
        <v>#N/A</v>
      </c>
      <c r="EK110" s="68" t="e">
        <f t="shared" si="158"/>
        <v>#N/A</v>
      </c>
      <c r="EL110" s="46">
        <f t="shared" si="159"/>
        <v>0</v>
      </c>
      <c r="EM110" s="46">
        <f t="shared" si="160"/>
        <v>0</v>
      </c>
    </row>
    <row r="111" spans="1:143">
      <c r="A111" s="89"/>
      <c r="B111" s="89"/>
      <c r="C111" s="89"/>
      <c r="D111" s="89"/>
      <c r="E111" s="89"/>
      <c r="F111" s="89"/>
      <c r="G111" s="34"/>
      <c r="H111" s="56">
        <f t="shared" si="161"/>
        <v>97</v>
      </c>
      <c r="I111" s="165"/>
      <c r="J111" s="163"/>
      <c r="K111" s="163"/>
      <c r="L111" s="164"/>
      <c r="M111" s="155"/>
      <c r="N111" s="155"/>
      <c r="O111" s="144"/>
      <c r="P111" s="159" t="str">
        <f>IFERROR(IF(O111&lt;&gt;"User Specified",IF(O111&lt;&gt;"", INDEX('Refrigerant GWPs'!$G$2:$G$154,MATCH(O111,'Refrigerant GWPs'!$A$2:$A$154,0)),""),U111),0)</f>
        <v/>
      </c>
      <c r="Q111" s="155"/>
      <c r="R111" s="155"/>
      <c r="S111" s="144"/>
      <c r="T111" s="159" t="str">
        <f>IF(S111&lt;&gt;"User Specified",IF(AND(S111&lt;&gt;"User Specified",S111&lt;&gt;""), INDEX('Refrigerant GWPs'!$G$2:$G$154,MATCH(S111,'Refrigerant GWPs'!$A$2:$A$154,0)),""),V111)</f>
        <v/>
      </c>
      <c r="U111" s="144"/>
      <c r="V111" s="144"/>
      <c r="W111" s="155"/>
      <c r="X111" s="155"/>
      <c r="Y111" s="144"/>
      <c r="Z111" s="159" t="str">
        <f>IF(AND(Y111&lt;&gt;"User Specified",Y111&lt;&gt;""), INDEX('Refrigerant GWPs'!$G$2:$G$154,MATCH(Y111,'Refrigerant GWPs'!$A$2:$A$154,0)),"")</f>
        <v/>
      </c>
      <c r="AA111" s="155"/>
      <c r="AB111" s="156"/>
      <c r="AC111" s="66"/>
      <c r="AD111" s="66"/>
      <c r="AE111" s="66"/>
      <c r="AF111" s="66"/>
      <c r="AG111" s="66"/>
      <c r="AH111" s="66"/>
      <c r="AI111" s="34"/>
      <c r="AJ111" s="88">
        <f t="shared" si="119"/>
        <v>0</v>
      </c>
      <c r="AK111" s="88">
        <f t="shared" si="120"/>
        <v>0</v>
      </c>
      <c r="AL111" s="88">
        <v>0</v>
      </c>
      <c r="AM111" s="88">
        <v>0</v>
      </c>
      <c r="AN111" s="81" t="str">
        <f t="shared" si="162"/>
        <v/>
      </c>
      <c r="AO111" s="88">
        <f t="shared" si="121"/>
        <v>0</v>
      </c>
      <c r="AP111" s="88">
        <f t="shared" si="122"/>
        <v>0</v>
      </c>
      <c r="AQ111" s="81" t="str">
        <f t="shared" si="123"/>
        <v/>
      </c>
      <c r="AS111" s="41" t="b">
        <f t="shared" si="124"/>
        <v>1</v>
      </c>
      <c r="AT111" s="38">
        <f t="shared" si="125"/>
        <v>0</v>
      </c>
      <c r="AU111" s="60">
        <f t="shared" si="126"/>
        <v>0</v>
      </c>
      <c r="AV111" s="41">
        <f t="shared" si="127"/>
        <v>0</v>
      </c>
      <c r="AW111" s="41" t="b">
        <f t="shared" si="128"/>
        <v>0</v>
      </c>
      <c r="AX111" t="str">
        <f t="shared" si="129"/>
        <v>+00</v>
      </c>
      <c r="AY111" t="str">
        <f t="shared" si="130"/>
        <v>+00</v>
      </c>
      <c r="BA111" s="47" t="b">
        <f t="shared" si="164"/>
        <v>1</v>
      </c>
      <c r="BB111" s="42" t="b">
        <f t="shared" si="165"/>
        <v>1</v>
      </c>
      <c r="BC111" s="42" t="b">
        <f t="shared" si="166"/>
        <v>0</v>
      </c>
      <c r="BD111" s="42" t="b">
        <f t="shared" si="167"/>
        <v>0</v>
      </c>
      <c r="BE111" s="70">
        <f t="shared" si="168"/>
        <v>0</v>
      </c>
      <c r="BF111" s="70">
        <f t="shared" si="169"/>
        <v>0</v>
      </c>
      <c r="BG111" s="34"/>
      <c r="BI111" s="47" t="b">
        <f t="shared" si="170"/>
        <v>1</v>
      </c>
      <c r="BJ111" s="47" t="b">
        <f t="shared" si="171"/>
        <v>1</v>
      </c>
      <c r="BK111" s="42" t="b">
        <f t="shared" si="172"/>
        <v>0</v>
      </c>
      <c r="BL111" s="42" t="b">
        <f t="shared" si="173"/>
        <v>0</v>
      </c>
      <c r="BM111" s="42">
        <f t="shared" si="174"/>
        <v>0</v>
      </c>
      <c r="BN111" s="42">
        <f t="shared" si="175"/>
        <v>0</v>
      </c>
      <c r="BP111" t="e">
        <f t="shared" si="176"/>
        <v>#N/A</v>
      </c>
      <c r="BQ111" t="e">
        <f t="shared" si="177"/>
        <v>#N/A</v>
      </c>
      <c r="BR111" t="e">
        <f t="shared" si="178"/>
        <v>#N/A</v>
      </c>
      <c r="BT111" s="60">
        <f t="shared" ref="BT111:BT142" si="187">$J111*BE111</f>
        <v>0</v>
      </c>
      <c r="BU111" s="60">
        <f t="shared" ref="BU111:BU142" si="188">$J111*BF111</f>
        <v>0</v>
      </c>
      <c r="BV111" s="60">
        <f t="shared" ref="BV111:BV142" si="189">$J111*BM111</f>
        <v>0</v>
      </c>
      <c r="BW111" s="60">
        <f t="shared" ref="BW111:BW142" si="190">$J111*BN111</f>
        <v>0</v>
      </c>
      <c r="BX111" s="60">
        <f t="shared" si="179"/>
        <v>0</v>
      </c>
      <c r="BY111" s="60">
        <f t="shared" si="180"/>
        <v>0</v>
      </c>
      <c r="BZ111" s="60">
        <f t="shared" si="181"/>
        <v>0</v>
      </c>
      <c r="CA111" s="60">
        <f t="shared" si="182"/>
        <v>0</v>
      </c>
      <c r="CB111" s="60" t="e">
        <f t="shared" ref="CB111:CB142" si="191">INDEX(AFL_Source_Energy_Btu_per_kWh,MATCH($AX111,AFL_IndexB,0))</f>
        <v>#N/A</v>
      </c>
      <c r="CC111" s="60">
        <f t="shared" ref="CC111:CC142" si="192">Btu_therm</f>
        <v>100000</v>
      </c>
      <c r="CD111" s="60" t="e">
        <f t="shared" ref="CD111:CD142" si="193">INDEX(AFL_Source_Energy_Btu_per_kWh,MATCH($AY111,AFL_IndexB,0))</f>
        <v>#N/A</v>
      </c>
      <c r="CE111" s="60">
        <f t="shared" ref="CE111:CE142" si="194">Btu_therm</f>
        <v>100000</v>
      </c>
      <c r="CF111" s="83" t="e">
        <f t="shared" si="183"/>
        <v>#N/A</v>
      </c>
      <c r="CG111" s="83">
        <f t="shared" si="184"/>
        <v>0</v>
      </c>
      <c r="CH111" s="83" t="e">
        <f t="shared" si="185"/>
        <v>#N/A</v>
      </c>
      <c r="CI111" s="83">
        <f t="shared" si="186"/>
        <v>0</v>
      </c>
      <c r="CJ111" s="86" t="e">
        <f t="shared" ref="CJ111:CJ142" si="195">INDEX(AFL_Emissions_Intensity_metric_tonnes_per_MWh,MATCH($AX111,AFL_IndexB,0))/1000</f>
        <v>#N/A</v>
      </c>
      <c r="CK111" s="82">
        <f t="shared" ref="CK111:CK142" si="196">NG_metric_tonne_CO2_therm</f>
        <v>5.3070370403969858E-3</v>
      </c>
      <c r="CL111" s="82" t="e">
        <f t="shared" ref="CL111:CL142" si="197">INDEX(AFL_Emissions_Intensity_metric_tonnes_per_MWh,MATCH($AY111,AFL_IndexB,0))/1000</f>
        <v>#N/A</v>
      </c>
      <c r="CM111" s="82">
        <f t="shared" ref="CM111:CM142" si="198">NG_metric_tonne_CO2_therm</f>
        <v>5.3070370403969858E-3</v>
      </c>
      <c r="CO111" s="149" t="str">
        <f>IF($I111&lt;&gt;"",IF(O111="User Specified",U111,INDEX('Refrigerant GWPs'!$G$2:$G$156,MATCH(O111,'Refrigerant GWPs'!$A$2:$A$156,0))),"")</f>
        <v/>
      </c>
      <c r="CP111" s="138" t="str">
        <f>IF($I111&lt;&gt;"",INDEX('Device Refrigerant Leakage'!$E$2:$E$42,MATCH($M111,'Device Refrigerant Leakage'!$B$2:$B$42,0)),"")</f>
        <v/>
      </c>
      <c r="CQ111" s="138" t="str">
        <f>IF($I111&lt;&gt;"",INDEX('Device Refrigerant Leakage'!$F$2:$F$42,MATCH($M111,'Device Refrigerant Leakage'!$B$2:$B$42,0)),"")</f>
        <v/>
      </c>
      <c r="CR111" s="145" t="str">
        <f>IF($I111&lt;&gt;"",INDEX('Device Refrigerant Leakage'!$G$2:$G$42,MATCH($M111,'Device Refrigerant Leakage'!$B$2:$B$42,0)),"")</f>
        <v/>
      </c>
      <c r="CS111" s="145" t="str">
        <f>IF($I111&lt;&gt;"",INDEX('Device Refrigerant Leakage'!$D$2:$D$42,MATCH($M111,'Device Refrigerant Leakage'!$B$2:$B$42,0))*CP111/2204.62*CO111,"")</f>
        <v/>
      </c>
      <c r="CT111" s="145" t="str">
        <f>IF($I111&lt;&gt;"",J111*(INDEX('Device Refrigerant Leakage'!$D$2:$D$42,MATCH($M111,'Device Refrigerant Leakage'!$B$2:$B$42,0))-(INDEX('Device Refrigerant Leakage'!$D$2:$D$42,MATCH($M111,'Device Refrigerant Leakage'!$B$2:$B$42,0)))*CR111*CP111)*CQ111/2204.62*CO111,"")</f>
        <v/>
      </c>
      <c r="CU111" s="135" t="str">
        <f>IF($I111&lt;&gt;"",J111*IF(W111&lt;&gt;"AR",(CS111*K111)+CT111,(CS111*AB111)+CT111*(AB111/INDEX('Device Refrigerant Leakage'!$C$2:$C$42,MATCH($M111,'Device Refrigerant Leakage'!$B$2:$B$42,0)))),"")</f>
        <v/>
      </c>
      <c r="CW111" s="135" t="str">
        <f>IF($I111&lt;&gt;"",IF(S111="User Specified",V111,INDEX('Refrigerant GWPs'!$G$2:$G$156,MATCH(S111,'Refrigerant GWPs'!$A$2:$A$157,0))),"")</f>
        <v/>
      </c>
      <c r="CX111" s="138" t="str">
        <f>IF($I111&lt;&gt;"",INDEX('Device Refrigerant Leakage'!$E$2:$E$42,MATCH($Q111,'Device Refrigerant Leakage'!$B$2:$B$42,0)),"")</f>
        <v/>
      </c>
      <c r="CY111" s="138" t="str">
        <f>IF($I111&lt;&gt;"",INDEX('Device Refrigerant Leakage'!$F$2:$F$42,MATCH($Q111,'Device Refrigerant Leakage'!$B$2:$B$42,0)),"")</f>
        <v/>
      </c>
      <c r="CZ111" s="145" t="str">
        <f>IF($I111&lt;&gt;"",INDEX('Device Refrigerant Leakage'!$G$2:$G$42,MATCH($Q111,'Device Refrigerant Leakage'!$B$2:$B$42,0)),"")</f>
        <v/>
      </c>
      <c r="DA111" s="145" t="str">
        <f>IF($I111&lt;&gt;"",J111*INDEX('Device Refrigerant Leakage'!$D$2:$D$42,MATCH($Q111,'Device Refrigerant Leakage'!$B$2:$B$42,0))*CX111/2204.62*CW111,"")</f>
        <v/>
      </c>
      <c r="DB111" s="145" t="str">
        <f>IF($I111&lt;&gt;"",J111*(INDEX('Device Refrigerant Leakage'!$D$2:$D$42,MATCH($Q111,'Device Refrigerant Leakage'!$B$2:$B$42,0))-(INDEX('Device Refrigerant Leakage'!$D$2:$D$42,MATCH($Q111,'Device Refrigerant Leakage'!$B$2:$B$42,0)))*CZ111*CX111)*CY111/2204.62*CW111,"")</f>
        <v/>
      </c>
      <c r="DC111" s="135" t="str">
        <f t="shared" si="163"/>
        <v/>
      </c>
      <c r="DE111" s="146" t="str">
        <f>IF(W111&lt;&gt;"AR","",IF(Y111="User Specified", AA111, INDEX('Refrigerant GWPs'!$G$2:$G$154,MATCH(Y111,'Refrigerant GWPs'!$A$2:$A$154,0))))</f>
        <v/>
      </c>
      <c r="DF111" s="146" t="str">
        <f>IF(W111&lt;&gt;"AR","",INDEX('Device Refrigerant Leakage'!$E$2:$E$42,MATCH(X111,'Device Refrigerant Leakage'!$B$2:$B$42,0)))</f>
        <v/>
      </c>
      <c r="DG111" s="146" t="str">
        <f>IF(W111&lt;&gt;"AR","",INDEX('Device Refrigerant Leakage'!$F$2:$F$42,MATCH(X111,'Device Refrigerant Leakage'!$B$2:$B$42,0)))</f>
        <v/>
      </c>
      <c r="DH111" s="146" t="str">
        <f>IF(W111&lt;&gt;"AR","",INDEX('Device Refrigerant Leakage'!$G$2:$G$42,MATCH(X111,'Device Refrigerant Leakage'!$B$2:$B$42,0)))</f>
        <v/>
      </c>
      <c r="DI111" s="146" t="str">
        <f>IF(W111&lt;&gt;"AR","",J111*INDEX('Device Refrigerant Leakage'!$D$2:$D$42,MATCH(X111,'Device Refrigerant Leakage'!$B$2:$B$42,0))*DF111/2204.62*DE111)</f>
        <v/>
      </c>
      <c r="DJ111" s="146" t="str">
        <f>IF(W111&lt;&gt;"AR","",J111*(INDEX('Device Refrigerant Leakage'!$D$2:$D$42,MATCH(X111,'Device Refrigerant Leakage'!$B$2:$B$42,0))-(INDEX('Device Refrigerant Leakage'!$D$2:$D$42,MATCH(X111,'Device Refrigerant Leakage'!$B$2:$B$42,0)))*DH111*DF111)*DG111/2204.62*DE111)</f>
        <v/>
      </c>
      <c r="DK111" s="146" t="str">
        <f>IF(W111&lt;&gt;"AR","",DI111*(K111-AB111)+'Fuel Sub Calcs-Deemed'!DJ111*((K111-AB111)/INDEX('Device Refrigerant Leakage'!$C$2:$C$42,MATCH('Fuel Sub Calcs-Deemed'!X111,'Device Refrigerant Leakage'!$B$2:$B$42,0))))</f>
        <v/>
      </c>
      <c r="DM111" s="56">
        <v>97</v>
      </c>
      <c r="DN111" s="67" t="e">
        <f t="shared" si="143"/>
        <v>#N/A</v>
      </c>
      <c r="DO111" s="45" t="e">
        <f t="shared" si="144"/>
        <v>#N/A</v>
      </c>
      <c r="DP111" s="67" t="e">
        <f t="shared" si="145"/>
        <v>#N/A</v>
      </c>
      <c r="DQ111" s="45" t="e">
        <f t="shared" si="146"/>
        <v>#N/A</v>
      </c>
      <c r="DR111" s="69" t="e">
        <f t="shared" si="147"/>
        <v>#N/A</v>
      </c>
      <c r="DS111" s="34"/>
      <c r="DT111" s="67" t="e">
        <f>((BX111*CJ111)+IF($W111=MAT_AR,(BZ111*CL111),0))*(1+Reference!$E$50+Reference!$E$51)</f>
        <v>#N/A</v>
      </c>
      <c r="DU111" s="67">
        <f>((BY111*CK111)+IF($W111=MAT_AR,(CA111*CM111),0))*(1+Reference!$G$50+Reference!$G$51)</f>
        <v>0</v>
      </c>
      <c r="DV111" s="67" t="e">
        <f t="shared" si="148"/>
        <v>#VALUE!</v>
      </c>
      <c r="DX111" s="56">
        <v>97</v>
      </c>
      <c r="DY111" s="67">
        <f t="shared" si="149"/>
        <v>0</v>
      </c>
      <c r="DZ111" s="45" t="e">
        <f>VLOOKUP($R111,Dropdown!$C$3:$D$4,2,FALSE)</f>
        <v>#N/A</v>
      </c>
      <c r="EA111" s="68">
        <f t="shared" si="150"/>
        <v>0</v>
      </c>
      <c r="EB111" s="68" t="str">
        <f t="shared" si="151"/>
        <v>N/A</v>
      </c>
      <c r="EC111" s="68">
        <f t="shared" si="152"/>
        <v>0</v>
      </c>
      <c r="ED111" s="68" t="str">
        <f t="shared" ref="ED111:ED142" si="199">IF($R111=fuel_electricity,DY111*10^6/Btu_therm,"N/A")</f>
        <v>N/A</v>
      </c>
      <c r="EF111" s="56">
        <v>97</v>
      </c>
      <c r="EG111" s="46">
        <f t="shared" si="154"/>
        <v>0</v>
      </c>
      <c r="EH111" s="68" t="e">
        <f t="shared" si="155"/>
        <v>#N/A</v>
      </c>
      <c r="EI111" s="68" t="e">
        <f t="shared" si="156"/>
        <v>#N/A</v>
      </c>
      <c r="EJ111" s="68" t="e">
        <f t="shared" si="157"/>
        <v>#N/A</v>
      </c>
      <c r="EK111" s="68" t="e">
        <f t="shared" si="158"/>
        <v>#N/A</v>
      </c>
      <c r="EL111" s="46">
        <f t="shared" si="159"/>
        <v>0</v>
      </c>
      <c r="EM111" s="46">
        <f t="shared" si="160"/>
        <v>0</v>
      </c>
    </row>
    <row r="112" spans="1:143">
      <c r="A112" s="89"/>
      <c r="B112" s="89"/>
      <c r="C112" s="89"/>
      <c r="D112" s="89"/>
      <c r="E112" s="89"/>
      <c r="F112" s="89"/>
      <c r="G112" s="34"/>
      <c r="H112" s="56">
        <f t="shared" si="161"/>
        <v>98</v>
      </c>
      <c r="I112" s="165"/>
      <c r="J112" s="163"/>
      <c r="K112" s="163"/>
      <c r="L112" s="164"/>
      <c r="M112" s="155"/>
      <c r="N112" s="155"/>
      <c r="O112" s="144"/>
      <c r="P112" s="159" t="str">
        <f>IFERROR(IF(O112&lt;&gt;"User Specified",IF(O112&lt;&gt;"", INDEX('Refrigerant GWPs'!$G$2:$G$154,MATCH(O112,'Refrigerant GWPs'!$A$2:$A$154,0)),""),U112),0)</f>
        <v/>
      </c>
      <c r="Q112" s="155"/>
      <c r="R112" s="155"/>
      <c r="S112" s="144"/>
      <c r="T112" s="159" t="str">
        <f>IF(S112&lt;&gt;"User Specified",IF(AND(S112&lt;&gt;"User Specified",S112&lt;&gt;""), INDEX('Refrigerant GWPs'!$G$2:$G$154,MATCH(S112,'Refrigerant GWPs'!$A$2:$A$154,0)),""),V112)</f>
        <v/>
      </c>
      <c r="U112" s="144"/>
      <c r="V112" s="144"/>
      <c r="W112" s="155"/>
      <c r="X112" s="155"/>
      <c r="Y112" s="144"/>
      <c r="Z112" s="159" t="str">
        <f>IF(AND(Y112&lt;&gt;"User Specified",Y112&lt;&gt;""), INDEX('Refrigerant GWPs'!$G$2:$G$154,MATCH(Y112,'Refrigerant GWPs'!$A$2:$A$154,0)),"")</f>
        <v/>
      </c>
      <c r="AA112" s="155"/>
      <c r="AB112" s="156"/>
      <c r="AC112" s="66"/>
      <c r="AD112" s="66"/>
      <c r="AE112" s="66"/>
      <c r="AF112" s="66"/>
      <c r="AG112" s="66"/>
      <c r="AH112" s="66"/>
      <c r="AI112" s="34"/>
      <c r="AJ112" s="88">
        <f t="shared" si="119"/>
        <v>0</v>
      </c>
      <c r="AK112" s="88">
        <f t="shared" si="120"/>
        <v>0</v>
      </c>
      <c r="AL112" s="88">
        <v>0</v>
      </c>
      <c r="AM112" s="88">
        <v>0</v>
      </c>
      <c r="AN112" s="81" t="str">
        <f t="shared" si="162"/>
        <v/>
      </c>
      <c r="AO112" s="88">
        <f t="shared" si="121"/>
        <v>0</v>
      </c>
      <c r="AP112" s="88">
        <f t="shared" si="122"/>
        <v>0</v>
      </c>
      <c r="AQ112" s="81" t="str">
        <f t="shared" si="123"/>
        <v/>
      </c>
      <c r="AS112" s="41" t="b">
        <f t="shared" si="124"/>
        <v>1</v>
      </c>
      <c r="AT112" s="38">
        <f t="shared" si="125"/>
        <v>0</v>
      </c>
      <c r="AU112" s="60">
        <f t="shared" si="126"/>
        <v>0</v>
      </c>
      <c r="AV112" s="41">
        <f t="shared" si="127"/>
        <v>0</v>
      </c>
      <c r="AW112" s="41" t="b">
        <f t="shared" si="128"/>
        <v>0</v>
      </c>
      <c r="AX112" t="str">
        <f t="shared" si="129"/>
        <v>+00</v>
      </c>
      <c r="AY112" t="str">
        <f t="shared" si="130"/>
        <v>+00</v>
      </c>
      <c r="BA112" s="47" t="b">
        <f t="shared" si="164"/>
        <v>1</v>
      </c>
      <c r="BB112" s="42" t="b">
        <f t="shared" si="165"/>
        <v>1</v>
      </c>
      <c r="BC112" s="42" t="b">
        <f t="shared" si="166"/>
        <v>0</v>
      </c>
      <c r="BD112" s="42" t="b">
        <f t="shared" si="167"/>
        <v>0</v>
      </c>
      <c r="BE112" s="70">
        <f t="shared" si="168"/>
        <v>0</v>
      </c>
      <c r="BF112" s="70">
        <f t="shared" si="169"/>
        <v>0</v>
      </c>
      <c r="BG112" s="34"/>
      <c r="BI112" s="47" t="b">
        <f t="shared" si="170"/>
        <v>1</v>
      </c>
      <c r="BJ112" s="47" t="b">
        <f t="shared" si="171"/>
        <v>1</v>
      </c>
      <c r="BK112" s="42" t="b">
        <f t="shared" si="172"/>
        <v>0</v>
      </c>
      <c r="BL112" s="42" t="b">
        <f t="shared" si="173"/>
        <v>0</v>
      </c>
      <c r="BM112" s="42">
        <f t="shared" si="174"/>
        <v>0</v>
      </c>
      <c r="BN112" s="42">
        <f t="shared" si="175"/>
        <v>0</v>
      </c>
      <c r="BP112" t="e">
        <f t="shared" si="176"/>
        <v>#N/A</v>
      </c>
      <c r="BQ112" t="e">
        <f t="shared" si="177"/>
        <v>#N/A</v>
      </c>
      <c r="BR112" t="e">
        <f t="shared" si="178"/>
        <v>#N/A</v>
      </c>
      <c r="BT112" s="60">
        <f t="shared" si="187"/>
        <v>0</v>
      </c>
      <c r="BU112" s="60">
        <f t="shared" si="188"/>
        <v>0</v>
      </c>
      <c r="BV112" s="60">
        <f t="shared" si="189"/>
        <v>0</v>
      </c>
      <c r="BW112" s="60">
        <f t="shared" si="190"/>
        <v>0</v>
      </c>
      <c r="BX112" s="60">
        <f t="shared" si="179"/>
        <v>0</v>
      </c>
      <c r="BY112" s="60">
        <f t="shared" si="180"/>
        <v>0</v>
      </c>
      <c r="BZ112" s="60">
        <f t="shared" si="181"/>
        <v>0</v>
      </c>
      <c r="CA112" s="60">
        <f t="shared" si="182"/>
        <v>0</v>
      </c>
      <c r="CB112" s="60" t="e">
        <f t="shared" si="191"/>
        <v>#N/A</v>
      </c>
      <c r="CC112" s="60">
        <f t="shared" si="192"/>
        <v>100000</v>
      </c>
      <c r="CD112" s="60" t="e">
        <f t="shared" si="193"/>
        <v>#N/A</v>
      </c>
      <c r="CE112" s="60">
        <f t="shared" si="194"/>
        <v>100000</v>
      </c>
      <c r="CF112" s="83" t="e">
        <f t="shared" si="183"/>
        <v>#N/A</v>
      </c>
      <c r="CG112" s="83">
        <f t="shared" si="184"/>
        <v>0</v>
      </c>
      <c r="CH112" s="83" t="e">
        <f t="shared" si="185"/>
        <v>#N/A</v>
      </c>
      <c r="CI112" s="83">
        <f t="shared" si="186"/>
        <v>0</v>
      </c>
      <c r="CJ112" s="86" t="e">
        <f t="shared" si="195"/>
        <v>#N/A</v>
      </c>
      <c r="CK112" s="82">
        <f t="shared" si="196"/>
        <v>5.3070370403969858E-3</v>
      </c>
      <c r="CL112" s="82" t="e">
        <f t="shared" si="197"/>
        <v>#N/A</v>
      </c>
      <c r="CM112" s="82">
        <f t="shared" si="198"/>
        <v>5.3070370403969858E-3</v>
      </c>
      <c r="CO112" s="149" t="str">
        <f>IF($I112&lt;&gt;"",IF(O112="User Specified",U112,INDEX('Refrigerant GWPs'!$G$2:$G$156,MATCH(O112,'Refrigerant GWPs'!$A$2:$A$156,0))),"")</f>
        <v/>
      </c>
      <c r="CP112" s="138" t="str">
        <f>IF($I112&lt;&gt;"",INDEX('Device Refrigerant Leakage'!$E$2:$E$42,MATCH($M112,'Device Refrigerant Leakage'!$B$2:$B$42,0)),"")</f>
        <v/>
      </c>
      <c r="CQ112" s="138" t="str">
        <f>IF($I112&lt;&gt;"",INDEX('Device Refrigerant Leakage'!$F$2:$F$42,MATCH($M112,'Device Refrigerant Leakage'!$B$2:$B$42,0)),"")</f>
        <v/>
      </c>
      <c r="CR112" s="145" t="str">
        <f>IF($I112&lt;&gt;"",INDEX('Device Refrigerant Leakage'!$G$2:$G$42,MATCH($M112,'Device Refrigerant Leakage'!$B$2:$B$42,0)),"")</f>
        <v/>
      </c>
      <c r="CS112" s="145" t="str">
        <f>IF($I112&lt;&gt;"",INDEX('Device Refrigerant Leakage'!$D$2:$D$42,MATCH($M112,'Device Refrigerant Leakage'!$B$2:$B$42,0))*CP112/2204.62*CO112,"")</f>
        <v/>
      </c>
      <c r="CT112" s="145" t="str">
        <f>IF($I112&lt;&gt;"",J112*(INDEX('Device Refrigerant Leakage'!$D$2:$D$42,MATCH($M112,'Device Refrigerant Leakage'!$B$2:$B$42,0))-(INDEX('Device Refrigerant Leakage'!$D$2:$D$42,MATCH($M112,'Device Refrigerant Leakage'!$B$2:$B$42,0)))*CR112*CP112)*CQ112/2204.62*CO112,"")</f>
        <v/>
      </c>
      <c r="CU112" s="135" t="str">
        <f>IF($I112&lt;&gt;"",J112*IF(W112&lt;&gt;"AR",(CS112*K112)+CT112,(CS112*AB112)+CT112*(AB112/INDEX('Device Refrigerant Leakage'!$C$2:$C$42,MATCH($M112,'Device Refrigerant Leakage'!$B$2:$B$42,0)))),"")</f>
        <v/>
      </c>
      <c r="CW112" s="135" t="str">
        <f>IF($I112&lt;&gt;"",IF(S112="User Specified",V112,INDEX('Refrigerant GWPs'!$G$2:$G$156,MATCH(S112,'Refrigerant GWPs'!$A$2:$A$157,0))),"")</f>
        <v/>
      </c>
      <c r="CX112" s="138" t="str">
        <f>IF($I112&lt;&gt;"",INDEX('Device Refrigerant Leakage'!$E$2:$E$42,MATCH($Q112,'Device Refrigerant Leakage'!$B$2:$B$42,0)),"")</f>
        <v/>
      </c>
      <c r="CY112" s="138" t="str">
        <f>IF($I112&lt;&gt;"",INDEX('Device Refrigerant Leakage'!$F$2:$F$42,MATCH($Q112,'Device Refrigerant Leakage'!$B$2:$B$42,0)),"")</f>
        <v/>
      </c>
      <c r="CZ112" s="145" t="str">
        <f>IF($I112&lt;&gt;"",INDEX('Device Refrigerant Leakage'!$G$2:$G$42,MATCH($Q112,'Device Refrigerant Leakage'!$B$2:$B$42,0)),"")</f>
        <v/>
      </c>
      <c r="DA112" s="145" t="str">
        <f>IF($I112&lt;&gt;"",J112*INDEX('Device Refrigerant Leakage'!$D$2:$D$42,MATCH($Q112,'Device Refrigerant Leakage'!$B$2:$B$42,0))*CX112/2204.62*CW112,"")</f>
        <v/>
      </c>
      <c r="DB112" s="145" t="str">
        <f>IF($I112&lt;&gt;"",J112*(INDEX('Device Refrigerant Leakage'!$D$2:$D$42,MATCH($Q112,'Device Refrigerant Leakage'!$B$2:$B$42,0))-(INDEX('Device Refrigerant Leakage'!$D$2:$D$42,MATCH($Q112,'Device Refrigerant Leakage'!$B$2:$B$42,0)))*CZ112*CX112)*CY112/2204.62*CW112,"")</f>
        <v/>
      </c>
      <c r="DC112" s="135" t="str">
        <f t="shared" si="163"/>
        <v/>
      </c>
      <c r="DE112" s="146" t="str">
        <f>IF(W112&lt;&gt;"AR","",IF(Y112="User Specified", AA112, INDEX('Refrigerant GWPs'!$G$2:$G$154,MATCH(Y112,'Refrigerant GWPs'!$A$2:$A$154,0))))</f>
        <v/>
      </c>
      <c r="DF112" s="146" t="str">
        <f>IF(W112&lt;&gt;"AR","",INDEX('Device Refrigerant Leakage'!$E$2:$E$42,MATCH(X112,'Device Refrigerant Leakage'!$B$2:$B$42,0)))</f>
        <v/>
      </c>
      <c r="DG112" s="146" t="str">
        <f>IF(W112&lt;&gt;"AR","",INDEX('Device Refrigerant Leakage'!$F$2:$F$42,MATCH(X112,'Device Refrigerant Leakage'!$B$2:$B$42,0)))</f>
        <v/>
      </c>
      <c r="DH112" s="146" t="str">
        <f>IF(W112&lt;&gt;"AR","",INDEX('Device Refrigerant Leakage'!$G$2:$G$42,MATCH(X112,'Device Refrigerant Leakage'!$B$2:$B$42,0)))</f>
        <v/>
      </c>
      <c r="DI112" s="146" t="str">
        <f>IF(W112&lt;&gt;"AR","",J112*INDEX('Device Refrigerant Leakage'!$D$2:$D$42,MATCH(X112,'Device Refrigerant Leakage'!$B$2:$B$42,0))*DF112/2204.62*DE112)</f>
        <v/>
      </c>
      <c r="DJ112" s="146" t="str">
        <f>IF(W112&lt;&gt;"AR","",J112*(INDEX('Device Refrigerant Leakage'!$D$2:$D$42,MATCH(X112,'Device Refrigerant Leakage'!$B$2:$B$42,0))-(INDEX('Device Refrigerant Leakage'!$D$2:$D$42,MATCH(X112,'Device Refrigerant Leakage'!$B$2:$B$42,0)))*DH112*DF112)*DG112/2204.62*DE112)</f>
        <v/>
      </c>
      <c r="DK112" s="146" t="str">
        <f>IF(W112&lt;&gt;"AR","",DI112*(K112-AB112)+'Fuel Sub Calcs-Deemed'!DJ112*((K112-AB112)/INDEX('Device Refrigerant Leakage'!$C$2:$C$42,MATCH('Fuel Sub Calcs-Deemed'!X112,'Device Refrigerant Leakage'!$B$2:$B$42,0))))</f>
        <v/>
      </c>
      <c r="DM112" s="56">
        <v>98</v>
      </c>
      <c r="DN112" s="67" t="e">
        <f t="shared" si="143"/>
        <v>#N/A</v>
      </c>
      <c r="DO112" s="45" t="e">
        <f t="shared" si="144"/>
        <v>#N/A</v>
      </c>
      <c r="DP112" s="67" t="e">
        <f t="shared" si="145"/>
        <v>#N/A</v>
      </c>
      <c r="DQ112" s="45" t="e">
        <f t="shared" si="146"/>
        <v>#N/A</v>
      </c>
      <c r="DR112" s="69" t="e">
        <f t="shared" si="147"/>
        <v>#N/A</v>
      </c>
      <c r="DS112" s="34"/>
      <c r="DT112" s="67" t="e">
        <f>((BX112*CJ112)+IF($W112=MAT_AR,(BZ112*CL112),0))*(1+Reference!$E$50+Reference!$E$51)</f>
        <v>#N/A</v>
      </c>
      <c r="DU112" s="67">
        <f>((BY112*CK112)+IF($W112=MAT_AR,(CA112*CM112),0))*(1+Reference!$G$50+Reference!$G$51)</f>
        <v>0</v>
      </c>
      <c r="DV112" s="67" t="e">
        <f t="shared" si="148"/>
        <v>#VALUE!</v>
      </c>
      <c r="DX112" s="56">
        <v>98</v>
      </c>
      <c r="DY112" s="67">
        <f t="shared" si="149"/>
        <v>0</v>
      </c>
      <c r="DZ112" s="45" t="e">
        <f>VLOOKUP($R112,Dropdown!$C$3:$D$4,2,FALSE)</f>
        <v>#N/A</v>
      </c>
      <c r="EA112" s="68">
        <f t="shared" si="150"/>
        <v>0</v>
      </c>
      <c r="EB112" s="68" t="str">
        <f t="shared" si="151"/>
        <v>N/A</v>
      </c>
      <c r="EC112" s="68">
        <f t="shared" si="152"/>
        <v>0</v>
      </c>
      <c r="ED112" s="68" t="str">
        <f t="shared" si="199"/>
        <v>N/A</v>
      </c>
      <c r="EF112" s="56">
        <v>98</v>
      </c>
      <c r="EG112" s="46">
        <f t="shared" si="154"/>
        <v>0</v>
      </c>
      <c r="EH112" s="68" t="e">
        <f t="shared" si="155"/>
        <v>#N/A</v>
      </c>
      <c r="EI112" s="68" t="e">
        <f t="shared" si="156"/>
        <v>#N/A</v>
      </c>
      <c r="EJ112" s="68" t="e">
        <f t="shared" si="157"/>
        <v>#N/A</v>
      </c>
      <c r="EK112" s="68" t="e">
        <f t="shared" si="158"/>
        <v>#N/A</v>
      </c>
      <c r="EL112" s="46">
        <f t="shared" si="159"/>
        <v>0</v>
      </c>
      <c r="EM112" s="46">
        <f t="shared" si="160"/>
        <v>0</v>
      </c>
    </row>
    <row r="113" spans="1:143">
      <c r="A113" s="89"/>
      <c r="B113" s="89"/>
      <c r="C113" s="89"/>
      <c r="D113" s="89"/>
      <c r="E113" s="89"/>
      <c r="F113" s="89"/>
      <c r="G113" s="34"/>
      <c r="H113" s="56">
        <f t="shared" si="161"/>
        <v>99</v>
      </c>
      <c r="I113" s="165"/>
      <c r="J113" s="163"/>
      <c r="K113" s="163"/>
      <c r="L113" s="164"/>
      <c r="M113" s="155"/>
      <c r="N113" s="155"/>
      <c r="O113" s="144"/>
      <c r="P113" s="159" t="str">
        <f>IFERROR(IF(O113&lt;&gt;"User Specified",IF(O113&lt;&gt;"", INDEX('Refrigerant GWPs'!$G$2:$G$154,MATCH(O113,'Refrigerant GWPs'!$A$2:$A$154,0)),""),U113),0)</f>
        <v/>
      </c>
      <c r="Q113" s="155"/>
      <c r="R113" s="155"/>
      <c r="S113" s="144"/>
      <c r="T113" s="159" t="str">
        <f>IF(S113&lt;&gt;"User Specified",IF(AND(S113&lt;&gt;"User Specified",S113&lt;&gt;""), INDEX('Refrigerant GWPs'!$G$2:$G$154,MATCH(S113,'Refrigerant GWPs'!$A$2:$A$154,0)),""),V113)</f>
        <v/>
      </c>
      <c r="U113" s="144"/>
      <c r="V113" s="144"/>
      <c r="W113" s="155"/>
      <c r="X113" s="155"/>
      <c r="Y113" s="144"/>
      <c r="Z113" s="159" t="str">
        <f>IF(AND(Y113&lt;&gt;"User Specified",Y113&lt;&gt;""), INDEX('Refrigerant GWPs'!$G$2:$G$154,MATCH(Y113,'Refrigerant GWPs'!$A$2:$A$154,0)),"")</f>
        <v/>
      </c>
      <c r="AA113" s="155"/>
      <c r="AB113" s="156"/>
      <c r="AC113" s="66"/>
      <c r="AD113" s="66"/>
      <c r="AE113" s="66"/>
      <c r="AF113" s="66"/>
      <c r="AG113" s="66"/>
      <c r="AH113" s="66"/>
      <c r="AI113" s="34"/>
      <c r="AJ113" s="88">
        <f t="shared" si="119"/>
        <v>0</v>
      </c>
      <c r="AK113" s="88">
        <f t="shared" si="120"/>
        <v>0</v>
      </c>
      <c r="AL113" s="88">
        <v>0</v>
      </c>
      <c r="AM113" s="88">
        <v>0</v>
      </c>
      <c r="AN113" s="81" t="str">
        <f t="shared" si="162"/>
        <v/>
      </c>
      <c r="AO113" s="88">
        <f t="shared" si="121"/>
        <v>0</v>
      </c>
      <c r="AP113" s="88">
        <f t="shared" si="122"/>
        <v>0</v>
      </c>
      <c r="AQ113" s="81" t="str">
        <f t="shared" si="123"/>
        <v/>
      </c>
      <c r="AS113" s="41" t="b">
        <f t="shared" si="124"/>
        <v>1</v>
      </c>
      <c r="AT113" s="38">
        <f t="shared" si="125"/>
        <v>0</v>
      </c>
      <c r="AU113" s="60">
        <f t="shared" si="126"/>
        <v>0</v>
      </c>
      <c r="AV113" s="41">
        <f t="shared" si="127"/>
        <v>0</v>
      </c>
      <c r="AW113" s="41" t="b">
        <f t="shared" si="128"/>
        <v>0</v>
      </c>
      <c r="AX113" t="str">
        <f t="shared" si="129"/>
        <v>+00</v>
      </c>
      <c r="AY113" t="str">
        <f t="shared" si="130"/>
        <v>+00</v>
      </c>
      <c r="BA113" s="47" t="b">
        <f t="shared" si="164"/>
        <v>1</v>
      </c>
      <c r="BB113" s="42" t="b">
        <f t="shared" si="165"/>
        <v>1</v>
      </c>
      <c r="BC113" s="42" t="b">
        <f t="shared" si="166"/>
        <v>0</v>
      </c>
      <c r="BD113" s="42" t="b">
        <f t="shared" si="167"/>
        <v>0</v>
      </c>
      <c r="BE113" s="70">
        <f t="shared" si="168"/>
        <v>0</v>
      </c>
      <c r="BF113" s="70">
        <f t="shared" si="169"/>
        <v>0</v>
      </c>
      <c r="BG113" s="34"/>
      <c r="BI113" s="47" t="b">
        <f t="shared" si="170"/>
        <v>1</v>
      </c>
      <c r="BJ113" s="47" t="b">
        <f t="shared" si="171"/>
        <v>1</v>
      </c>
      <c r="BK113" s="42" t="b">
        <f t="shared" si="172"/>
        <v>0</v>
      </c>
      <c r="BL113" s="42" t="b">
        <f t="shared" si="173"/>
        <v>0</v>
      </c>
      <c r="BM113" s="42">
        <f t="shared" si="174"/>
        <v>0</v>
      </c>
      <c r="BN113" s="42">
        <f t="shared" si="175"/>
        <v>0</v>
      </c>
      <c r="BP113" t="e">
        <f t="shared" si="176"/>
        <v>#N/A</v>
      </c>
      <c r="BQ113" t="e">
        <f t="shared" si="177"/>
        <v>#N/A</v>
      </c>
      <c r="BR113" t="e">
        <f t="shared" si="178"/>
        <v>#N/A</v>
      </c>
      <c r="BT113" s="60">
        <f t="shared" si="187"/>
        <v>0</v>
      </c>
      <c r="BU113" s="60">
        <f t="shared" si="188"/>
        <v>0</v>
      </c>
      <c r="BV113" s="60">
        <f t="shared" si="189"/>
        <v>0</v>
      </c>
      <c r="BW113" s="60">
        <f t="shared" si="190"/>
        <v>0</v>
      </c>
      <c r="BX113" s="60">
        <f t="shared" si="179"/>
        <v>0</v>
      </c>
      <c r="BY113" s="60">
        <f t="shared" si="180"/>
        <v>0</v>
      </c>
      <c r="BZ113" s="60">
        <f t="shared" si="181"/>
        <v>0</v>
      </c>
      <c r="CA113" s="60">
        <f t="shared" si="182"/>
        <v>0</v>
      </c>
      <c r="CB113" s="60" t="e">
        <f t="shared" si="191"/>
        <v>#N/A</v>
      </c>
      <c r="CC113" s="60">
        <f t="shared" si="192"/>
        <v>100000</v>
      </c>
      <c r="CD113" s="60" t="e">
        <f t="shared" si="193"/>
        <v>#N/A</v>
      </c>
      <c r="CE113" s="60">
        <f t="shared" si="194"/>
        <v>100000</v>
      </c>
      <c r="CF113" s="83" t="e">
        <f t="shared" si="183"/>
        <v>#N/A</v>
      </c>
      <c r="CG113" s="83">
        <f t="shared" si="184"/>
        <v>0</v>
      </c>
      <c r="CH113" s="83" t="e">
        <f t="shared" si="185"/>
        <v>#N/A</v>
      </c>
      <c r="CI113" s="83">
        <f t="shared" si="186"/>
        <v>0</v>
      </c>
      <c r="CJ113" s="86" t="e">
        <f t="shared" si="195"/>
        <v>#N/A</v>
      </c>
      <c r="CK113" s="82">
        <f t="shared" si="196"/>
        <v>5.3070370403969858E-3</v>
      </c>
      <c r="CL113" s="82" t="e">
        <f t="shared" si="197"/>
        <v>#N/A</v>
      </c>
      <c r="CM113" s="82">
        <f t="shared" si="198"/>
        <v>5.3070370403969858E-3</v>
      </c>
      <c r="CO113" s="149" t="str">
        <f>IF($I113&lt;&gt;"",IF(O113="User Specified",U113,INDEX('Refrigerant GWPs'!$G$2:$G$156,MATCH(O113,'Refrigerant GWPs'!$A$2:$A$156,0))),"")</f>
        <v/>
      </c>
      <c r="CP113" s="138" t="str">
        <f>IF($I113&lt;&gt;"",INDEX('Device Refrigerant Leakage'!$E$2:$E$42,MATCH($M113,'Device Refrigerant Leakage'!$B$2:$B$42,0)),"")</f>
        <v/>
      </c>
      <c r="CQ113" s="138" t="str">
        <f>IF($I113&lt;&gt;"",INDEX('Device Refrigerant Leakage'!$F$2:$F$42,MATCH($M113,'Device Refrigerant Leakage'!$B$2:$B$42,0)),"")</f>
        <v/>
      </c>
      <c r="CR113" s="145" t="str">
        <f>IF($I113&lt;&gt;"",INDEX('Device Refrigerant Leakage'!$G$2:$G$42,MATCH($M113,'Device Refrigerant Leakage'!$B$2:$B$42,0)),"")</f>
        <v/>
      </c>
      <c r="CS113" s="145" t="str">
        <f>IF($I113&lt;&gt;"",INDEX('Device Refrigerant Leakage'!$D$2:$D$42,MATCH($M113,'Device Refrigerant Leakage'!$B$2:$B$42,0))*CP113/2204.62*CO113,"")</f>
        <v/>
      </c>
      <c r="CT113" s="145" t="str">
        <f>IF($I113&lt;&gt;"",J113*(INDEX('Device Refrigerant Leakage'!$D$2:$D$42,MATCH($M113,'Device Refrigerant Leakage'!$B$2:$B$42,0))-(INDEX('Device Refrigerant Leakage'!$D$2:$D$42,MATCH($M113,'Device Refrigerant Leakage'!$B$2:$B$42,0)))*CR113*CP113)*CQ113/2204.62*CO113,"")</f>
        <v/>
      </c>
      <c r="CU113" s="135" t="str">
        <f>IF($I113&lt;&gt;"",J113*IF(W113&lt;&gt;"AR",(CS113*K113)+CT113,(CS113*AB113)+CT113*(AB113/INDEX('Device Refrigerant Leakage'!$C$2:$C$42,MATCH($M113,'Device Refrigerant Leakage'!$B$2:$B$42,0)))),"")</f>
        <v/>
      </c>
      <c r="CW113" s="135" t="str">
        <f>IF($I113&lt;&gt;"",IF(S113="User Specified",V113,INDEX('Refrigerant GWPs'!$G$2:$G$156,MATCH(S113,'Refrigerant GWPs'!$A$2:$A$157,0))),"")</f>
        <v/>
      </c>
      <c r="CX113" s="138" t="str">
        <f>IF($I113&lt;&gt;"",INDEX('Device Refrigerant Leakage'!$E$2:$E$42,MATCH($Q113,'Device Refrigerant Leakage'!$B$2:$B$42,0)),"")</f>
        <v/>
      </c>
      <c r="CY113" s="138" t="str">
        <f>IF($I113&lt;&gt;"",INDEX('Device Refrigerant Leakage'!$F$2:$F$42,MATCH($Q113,'Device Refrigerant Leakage'!$B$2:$B$42,0)),"")</f>
        <v/>
      </c>
      <c r="CZ113" s="145" t="str">
        <f>IF($I113&lt;&gt;"",INDEX('Device Refrigerant Leakage'!$G$2:$G$42,MATCH($Q113,'Device Refrigerant Leakage'!$B$2:$B$42,0)),"")</f>
        <v/>
      </c>
      <c r="DA113" s="145" t="str">
        <f>IF($I113&lt;&gt;"",J113*INDEX('Device Refrigerant Leakage'!$D$2:$D$42,MATCH($Q113,'Device Refrigerant Leakage'!$B$2:$B$42,0))*CX113/2204.62*CW113,"")</f>
        <v/>
      </c>
      <c r="DB113" s="145" t="str">
        <f>IF($I113&lt;&gt;"",J113*(INDEX('Device Refrigerant Leakage'!$D$2:$D$42,MATCH($Q113,'Device Refrigerant Leakage'!$B$2:$B$42,0))-(INDEX('Device Refrigerant Leakage'!$D$2:$D$42,MATCH($Q113,'Device Refrigerant Leakage'!$B$2:$B$42,0)))*CZ113*CX113)*CY113/2204.62*CW113,"")</f>
        <v/>
      </c>
      <c r="DC113" s="135" t="str">
        <f t="shared" si="163"/>
        <v/>
      </c>
      <c r="DE113" s="146" t="str">
        <f>IF(W113&lt;&gt;"AR","",IF(Y113="User Specified", AA113, INDEX('Refrigerant GWPs'!$G$2:$G$154,MATCH(Y113,'Refrigerant GWPs'!$A$2:$A$154,0))))</f>
        <v/>
      </c>
      <c r="DF113" s="146" t="str">
        <f>IF(W113&lt;&gt;"AR","",INDEX('Device Refrigerant Leakage'!$E$2:$E$42,MATCH(X113,'Device Refrigerant Leakage'!$B$2:$B$42,0)))</f>
        <v/>
      </c>
      <c r="DG113" s="146" t="str">
        <f>IF(W113&lt;&gt;"AR","",INDEX('Device Refrigerant Leakage'!$F$2:$F$42,MATCH(X113,'Device Refrigerant Leakage'!$B$2:$B$42,0)))</f>
        <v/>
      </c>
      <c r="DH113" s="146" t="str">
        <f>IF(W113&lt;&gt;"AR","",INDEX('Device Refrigerant Leakage'!$G$2:$G$42,MATCH(X113,'Device Refrigerant Leakage'!$B$2:$B$42,0)))</f>
        <v/>
      </c>
      <c r="DI113" s="146" t="str">
        <f>IF(W113&lt;&gt;"AR","",J113*INDEX('Device Refrigerant Leakage'!$D$2:$D$42,MATCH(X113,'Device Refrigerant Leakage'!$B$2:$B$42,0))*DF113/2204.62*DE113)</f>
        <v/>
      </c>
      <c r="DJ113" s="146" t="str">
        <f>IF(W113&lt;&gt;"AR","",J113*(INDEX('Device Refrigerant Leakage'!$D$2:$D$42,MATCH(X113,'Device Refrigerant Leakage'!$B$2:$B$42,0))-(INDEX('Device Refrigerant Leakage'!$D$2:$D$42,MATCH(X113,'Device Refrigerant Leakage'!$B$2:$B$42,0)))*DH113*DF113)*DG113/2204.62*DE113)</f>
        <v/>
      </c>
      <c r="DK113" s="146" t="str">
        <f>IF(W113&lt;&gt;"AR","",DI113*(K113-AB113)+'Fuel Sub Calcs-Deemed'!DJ113*((K113-AB113)/INDEX('Device Refrigerant Leakage'!$C$2:$C$42,MATCH('Fuel Sub Calcs-Deemed'!X113,'Device Refrigerant Leakage'!$B$2:$B$42,0))))</f>
        <v/>
      </c>
      <c r="DM113" s="56">
        <v>99</v>
      </c>
      <c r="DN113" s="67" t="e">
        <f t="shared" si="143"/>
        <v>#N/A</v>
      </c>
      <c r="DO113" s="45" t="e">
        <f t="shared" si="144"/>
        <v>#N/A</v>
      </c>
      <c r="DP113" s="67" t="e">
        <f t="shared" si="145"/>
        <v>#N/A</v>
      </c>
      <c r="DQ113" s="45" t="e">
        <f t="shared" si="146"/>
        <v>#N/A</v>
      </c>
      <c r="DR113" s="69" t="e">
        <f t="shared" si="147"/>
        <v>#N/A</v>
      </c>
      <c r="DS113" s="34"/>
      <c r="DT113" s="67" t="e">
        <f>((BX113*CJ113)+IF($W113=MAT_AR,(BZ113*CL113),0))*(1+Reference!$E$50+Reference!$E$51)</f>
        <v>#N/A</v>
      </c>
      <c r="DU113" s="67">
        <f>((BY113*CK113)+IF($W113=MAT_AR,(CA113*CM113),0))*(1+Reference!$G$50+Reference!$G$51)</f>
        <v>0</v>
      </c>
      <c r="DV113" s="67" t="e">
        <f t="shared" si="148"/>
        <v>#VALUE!</v>
      </c>
      <c r="DX113" s="56">
        <v>99</v>
      </c>
      <c r="DY113" s="67">
        <f t="shared" si="149"/>
        <v>0</v>
      </c>
      <c r="DZ113" s="45" t="e">
        <f>VLOOKUP($R113,Dropdown!$C$3:$D$4,2,FALSE)</f>
        <v>#N/A</v>
      </c>
      <c r="EA113" s="68">
        <f t="shared" si="150"/>
        <v>0</v>
      </c>
      <c r="EB113" s="68" t="str">
        <f t="shared" si="151"/>
        <v>N/A</v>
      </c>
      <c r="EC113" s="68">
        <f t="shared" si="152"/>
        <v>0</v>
      </c>
      <c r="ED113" s="68" t="str">
        <f t="shared" si="199"/>
        <v>N/A</v>
      </c>
      <c r="EF113" s="56">
        <v>99</v>
      </c>
      <c r="EG113" s="46">
        <f t="shared" si="154"/>
        <v>0</v>
      </c>
      <c r="EH113" s="68" t="e">
        <f t="shared" si="155"/>
        <v>#N/A</v>
      </c>
      <c r="EI113" s="68" t="e">
        <f t="shared" si="156"/>
        <v>#N/A</v>
      </c>
      <c r="EJ113" s="68" t="e">
        <f t="shared" si="157"/>
        <v>#N/A</v>
      </c>
      <c r="EK113" s="68" t="e">
        <f t="shared" si="158"/>
        <v>#N/A</v>
      </c>
      <c r="EL113" s="46">
        <f t="shared" si="159"/>
        <v>0</v>
      </c>
      <c r="EM113" s="46">
        <f t="shared" si="160"/>
        <v>0</v>
      </c>
    </row>
    <row r="114" spans="1:143">
      <c r="A114" s="89"/>
      <c r="B114" s="89"/>
      <c r="C114" s="89"/>
      <c r="D114" s="89"/>
      <c r="E114" s="89"/>
      <c r="F114" s="89"/>
      <c r="G114" s="34"/>
      <c r="H114" s="56">
        <f t="shared" si="161"/>
        <v>100</v>
      </c>
      <c r="I114" s="165"/>
      <c r="J114" s="163"/>
      <c r="K114" s="163"/>
      <c r="L114" s="164"/>
      <c r="M114" s="155"/>
      <c r="N114" s="155"/>
      <c r="O114" s="144"/>
      <c r="P114" s="159" t="str">
        <f>IFERROR(IF(O114&lt;&gt;"User Specified",IF(O114&lt;&gt;"", INDEX('Refrigerant GWPs'!$G$2:$G$154,MATCH(O114,'Refrigerant GWPs'!$A$2:$A$154,0)),""),U114),0)</f>
        <v/>
      </c>
      <c r="Q114" s="155"/>
      <c r="R114" s="155"/>
      <c r="S114" s="144"/>
      <c r="T114" s="159" t="str">
        <f>IF(S114&lt;&gt;"User Specified",IF(AND(S114&lt;&gt;"User Specified",S114&lt;&gt;""), INDEX('Refrigerant GWPs'!$G$2:$G$154,MATCH(S114,'Refrigerant GWPs'!$A$2:$A$154,0)),""),V114)</f>
        <v/>
      </c>
      <c r="U114" s="144"/>
      <c r="V114" s="144"/>
      <c r="W114" s="155"/>
      <c r="X114" s="155"/>
      <c r="Y114" s="144"/>
      <c r="Z114" s="159" t="str">
        <f>IF(AND(Y114&lt;&gt;"User Specified",Y114&lt;&gt;""), INDEX('Refrigerant GWPs'!$G$2:$G$154,MATCH(Y114,'Refrigerant GWPs'!$A$2:$A$154,0)),"")</f>
        <v/>
      </c>
      <c r="AA114" s="155"/>
      <c r="AB114" s="156"/>
      <c r="AC114" s="66"/>
      <c r="AD114" s="66"/>
      <c r="AE114" s="66"/>
      <c r="AF114" s="66"/>
      <c r="AG114" s="66"/>
      <c r="AH114" s="66"/>
      <c r="AI114" s="34"/>
      <c r="AJ114" s="88">
        <f t="shared" si="119"/>
        <v>0</v>
      </c>
      <c r="AK114" s="88">
        <f t="shared" si="120"/>
        <v>0</v>
      </c>
      <c r="AL114" s="88">
        <v>0</v>
      </c>
      <c r="AM114" s="88">
        <v>0</v>
      </c>
      <c r="AN114" s="81" t="str">
        <f t="shared" si="162"/>
        <v/>
      </c>
      <c r="AO114" s="88">
        <f t="shared" si="121"/>
        <v>0</v>
      </c>
      <c r="AP114" s="88">
        <f t="shared" si="122"/>
        <v>0</v>
      </c>
      <c r="AQ114" s="81" t="str">
        <f t="shared" si="123"/>
        <v/>
      </c>
      <c r="AS114" s="41" t="b">
        <f t="shared" si="124"/>
        <v>1</v>
      </c>
      <c r="AT114" s="38">
        <f t="shared" si="125"/>
        <v>0</v>
      </c>
      <c r="AU114" s="60">
        <f t="shared" si="126"/>
        <v>0</v>
      </c>
      <c r="AV114" s="41">
        <f t="shared" si="127"/>
        <v>0</v>
      </c>
      <c r="AW114" s="41" t="b">
        <f t="shared" si="128"/>
        <v>0</v>
      </c>
      <c r="AX114" t="str">
        <f t="shared" si="129"/>
        <v>+00</v>
      </c>
      <c r="AY114" t="str">
        <f t="shared" si="130"/>
        <v>+00</v>
      </c>
      <c r="BA114" s="47" t="b">
        <f t="shared" si="164"/>
        <v>1</v>
      </c>
      <c r="BB114" s="42" t="b">
        <f t="shared" si="165"/>
        <v>1</v>
      </c>
      <c r="BC114" s="42" t="b">
        <f t="shared" si="166"/>
        <v>0</v>
      </c>
      <c r="BD114" s="42" t="b">
        <f t="shared" si="167"/>
        <v>0</v>
      </c>
      <c r="BE114" s="70">
        <f t="shared" si="168"/>
        <v>0</v>
      </c>
      <c r="BF114" s="70">
        <f t="shared" si="169"/>
        <v>0</v>
      </c>
      <c r="BG114" s="34"/>
      <c r="BI114" s="47" t="b">
        <f t="shared" si="170"/>
        <v>1</v>
      </c>
      <c r="BJ114" s="47" t="b">
        <f t="shared" si="171"/>
        <v>1</v>
      </c>
      <c r="BK114" s="42" t="b">
        <f t="shared" si="172"/>
        <v>0</v>
      </c>
      <c r="BL114" s="42" t="b">
        <f t="shared" si="173"/>
        <v>0</v>
      </c>
      <c r="BM114" s="42">
        <f t="shared" si="174"/>
        <v>0</v>
      </c>
      <c r="BN114" s="42">
        <f t="shared" si="175"/>
        <v>0</v>
      </c>
      <c r="BP114" t="e">
        <f t="shared" si="176"/>
        <v>#N/A</v>
      </c>
      <c r="BQ114" t="e">
        <f t="shared" si="177"/>
        <v>#N/A</v>
      </c>
      <c r="BR114" t="e">
        <f t="shared" si="178"/>
        <v>#N/A</v>
      </c>
      <c r="BT114" s="60">
        <f t="shared" si="187"/>
        <v>0</v>
      </c>
      <c r="BU114" s="60">
        <f t="shared" si="188"/>
        <v>0</v>
      </c>
      <c r="BV114" s="60">
        <f t="shared" si="189"/>
        <v>0</v>
      </c>
      <c r="BW114" s="60">
        <f t="shared" si="190"/>
        <v>0</v>
      </c>
      <c r="BX114" s="60">
        <f t="shared" si="179"/>
        <v>0</v>
      </c>
      <c r="BY114" s="60">
        <f t="shared" si="180"/>
        <v>0</v>
      </c>
      <c r="BZ114" s="60">
        <f t="shared" si="181"/>
        <v>0</v>
      </c>
      <c r="CA114" s="60">
        <f t="shared" si="182"/>
        <v>0</v>
      </c>
      <c r="CB114" s="60" t="e">
        <f t="shared" si="191"/>
        <v>#N/A</v>
      </c>
      <c r="CC114" s="60">
        <f t="shared" si="192"/>
        <v>100000</v>
      </c>
      <c r="CD114" s="60" t="e">
        <f t="shared" si="193"/>
        <v>#N/A</v>
      </c>
      <c r="CE114" s="60">
        <f t="shared" si="194"/>
        <v>100000</v>
      </c>
      <c r="CF114" s="83" t="e">
        <f t="shared" si="183"/>
        <v>#N/A</v>
      </c>
      <c r="CG114" s="83">
        <f t="shared" si="184"/>
        <v>0</v>
      </c>
      <c r="CH114" s="83" t="e">
        <f t="shared" si="185"/>
        <v>#N/A</v>
      </c>
      <c r="CI114" s="83">
        <f t="shared" si="186"/>
        <v>0</v>
      </c>
      <c r="CJ114" s="86" t="e">
        <f t="shared" si="195"/>
        <v>#N/A</v>
      </c>
      <c r="CK114" s="82">
        <f t="shared" si="196"/>
        <v>5.3070370403969858E-3</v>
      </c>
      <c r="CL114" s="82" t="e">
        <f t="shared" si="197"/>
        <v>#N/A</v>
      </c>
      <c r="CM114" s="82">
        <f t="shared" si="198"/>
        <v>5.3070370403969858E-3</v>
      </c>
      <c r="CO114" s="149" t="str">
        <f>IF($I114&lt;&gt;"",IF(O114="User Specified",U114,INDEX('Refrigerant GWPs'!$G$2:$G$156,MATCH(O114,'Refrigerant GWPs'!$A$2:$A$156,0))),"")</f>
        <v/>
      </c>
      <c r="CP114" s="138" t="str">
        <f>IF($I114&lt;&gt;"",INDEX('Device Refrigerant Leakage'!$E$2:$E$42,MATCH($M114,'Device Refrigerant Leakage'!$B$2:$B$42,0)),"")</f>
        <v/>
      </c>
      <c r="CQ114" s="138" t="str">
        <f>IF($I114&lt;&gt;"",INDEX('Device Refrigerant Leakage'!$F$2:$F$42,MATCH($M114,'Device Refrigerant Leakage'!$B$2:$B$42,0)),"")</f>
        <v/>
      </c>
      <c r="CR114" s="145" t="str">
        <f>IF($I114&lt;&gt;"",INDEX('Device Refrigerant Leakage'!$G$2:$G$42,MATCH($M114,'Device Refrigerant Leakage'!$B$2:$B$42,0)),"")</f>
        <v/>
      </c>
      <c r="CS114" s="145" t="str">
        <f>IF($I114&lt;&gt;"",INDEX('Device Refrigerant Leakage'!$D$2:$D$42,MATCH($M114,'Device Refrigerant Leakage'!$B$2:$B$42,0))*CP114/2204.62*CO114,"")</f>
        <v/>
      </c>
      <c r="CT114" s="145" t="str">
        <f>IF($I114&lt;&gt;"",J114*(INDEX('Device Refrigerant Leakage'!$D$2:$D$42,MATCH($M114,'Device Refrigerant Leakage'!$B$2:$B$42,0))-(INDEX('Device Refrigerant Leakage'!$D$2:$D$42,MATCH($M114,'Device Refrigerant Leakage'!$B$2:$B$42,0)))*CR114*CP114)*CQ114/2204.62*CO114,"")</f>
        <v/>
      </c>
      <c r="CU114" s="135" t="str">
        <f>IF($I114&lt;&gt;"",J114*IF(W114&lt;&gt;"AR",(CS114*K114)+CT114,(CS114*AB114)+CT114*(AB114/INDEX('Device Refrigerant Leakage'!$C$2:$C$42,MATCH($M114,'Device Refrigerant Leakage'!$B$2:$B$42,0)))),"")</f>
        <v/>
      </c>
      <c r="CW114" s="135" t="str">
        <f>IF($I114&lt;&gt;"",IF(S114="User Specified",V114,INDEX('Refrigerant GWPs'!$G$2:$G$156,MATCH(S114,'Refrigerant GWPs'!$A$2:$A$157,0))),"")</f>
        <v/>
      </c>
      <c r="CX114" s="138" t="str">
        <f>IF($I114&lt;&gt;"",INDEX('Device Refrigerant Leakage'!$E$2:$E$42,MATCH($Q114,'Device Refrigerant Leakage'!$B$2:$B$42,0)),"")</f>
        <v/>
      </c>
      <c r="CY114" s="138" t="str">
        <f>IF($I114&lt;&gt;"",INDEX('Device Refrigerant Leakage'!$F$2:$F$42,MATCH($Q114,'Device Refrigerant Leakage'!$B$2:$B$42,0)),"")</f>
        <v/>
      </c>
      <c r="CZ114" s="145" t="str">
        <f>IF($I114&lt;&gt;"",INDEX('Device Refrigerant Leakage'!$G$2:$G$42,MATCH($Q114,'Device Refrigerant Leakage'!$B$2:$B$42,0)),"")</f>
        <v/>
      </c>
      <c r="DA114" s="145" t="str">
        <f>IF($I114&lt;&gt;"",J114*INDEX('Device Refrigerant Leakage'!$D$2:$D$42,MATCH($Q114,'Device Refrigerant Leakage'!$B$2:$B$42,0))*CX114/2204.62*CW114,"")</f>
        <v/>
      </c>
      <c r="DB114" s="145" t="str">
        <f>IF($I114&lt;&gt;"",J114*(INDEX('Device Refrigerant Leakage'!$D$2:$D$42,MATCH($Q114,'Device Refrigerant Leakage'!$B$2:$B$42,0))-(INDEX('Device Refrigerant Leakage'!$D$2:$D$42,MATCH($Q114,'Device Refrigerant Leakage'!$B$2:$B$42,0)))*CZ114*CX114)*CY114/2204.62*CW114,"")</f>
        <v/>
      </c>
      <c r="DC114" s="135" t="str">
        <f t="shared" si="163"/>
        <v/>
      </c>
      <c r="DE114" s="146" t="str">
        <f>IF(W114&lt;&gt;"AR","",IF(Y114="User Specified", AA114, INDEX('Refrigerant GWPs'!$G$2:$G$154,MATCH(Y114,'Refrigerant GWPs'!$A$2:$A$154,0))))</f>
        <v/>
      </c>
      <c r="DF114" s="146" t="str">
        <f>IF(W114&lt;&gt;"AR","",INDEX('Device Refrigerant Leakage'!$E$2:$E$42,MATCH(X114,'Device Refrigerant Leakage'!$B$2:$B$42,0)))</f>
        <v/>
      </c>
      <c r="DG114" s="146" t="str">
        <f>IF(W114&lt;&gt;"AR","",INDEX('Device Refrigerant Leakage'!$F$2:$F$42,MATCH(X114,'Device Refrigerant Leakage'!$B$2:$B$42,0)))</f>
        <v/>
      </c>
      <c r="DH114" s="146" t="str">
        <f>IF(W114&lt;&gt;"AR","",INDEX('Device Refrigerant Leakage'!$G$2:$G$42,MATCH(X114,'Device Refrigerant Leakage'!$B$2:$B$42,0)))</f>
        <v/>
      </c>
      <c r="DI114" s="146" t="str">
        <f>IF(W114&lt;&gt;"AR","",J114*INDEX('Device Refrigerant Leakage'!$D$2:$D$42,MATCH(X114,'Device Refrigerant Leakage'!$B$2:$B$42,0))*DF114/2204.62*DE114)</f>
        <v/>
      </c>
      <c r="DJ114" s="146" t="str">
        <f>IF(W114&lt;&gt;"AR","",J114*(INDEX('Device Refrigerant Leakage'!$D$2:$D$42,MATCH(X114,'Device Refrigerant Leakage'!$B$2:$B$42,0))-(INDEX('Device Refrigerant Leakage'!$D$2:$D$42,MATCH(X114,'Device Refrigerant Leakage'!$B$2:$B$42,0)))*DH114*DF114)*DG114/2204.62*DE114)</f>
        <v/>
      </c>
      <c r="DK114" s="146" t="str">
        <f>IF(W114&lt;&gt;"AR","",DI114*(K114-AB114)+'Fuel Sub Calcs-Deemed'!DJ114*((K114-AB114)/INDEX('Device Refrigerant Leakage'!$C$2:$C$42,MATCH('Fuel Sub Calcs-Deemed'!X114,'Device Refrigerant Leakage'!$B$2:$B$42,0))))</f>
        <v/>
      </c>
      <c r="DM114" s="56">
        <v>100</v>
      </c>
      <c r="DN114" s="67" t="e">
        <f t="shared" si="143"/>
        <v>#N/A</v>
      </c>
      <c r="DO114" s="45" t="e">
        <f t="shared" si="144"/>
        <v>#N/A</v>
      </c>
      <c r="DP114" s="67" t="e">
        <f t="shared" si="145"/>
        <v>#N/A</v>
      </c>
      <c r="DQ114" s="45" t="e">
        <f t="shared" si="146"/>
        <v>#N/A</v>
      </c>
      <c r="DR114" s="69" t="e">
        <f t="shared" si="147"/>
        <v>#N/A</v>
      </c>
      <c r="DS114" s="34"/>
      <c r="DT114" s="67" t="e">
        <f>((BX114*CJ114)+IF($W114=MAT_AR,(BZ114*CL114),0))*(1+Reference!$E$50+Reference!$E$51)</f>
        <v>#N/A</v>
      </c>
      <c r="DU114" s="67">
        <f>((BY114*CK114)+IF($W114=MAT_AR,(CA114*CM114),0))*(1+Reference!$G$50+Reference!$G$51)</f>
        <v>0</v>
      </c>
      <c r="DV114" s="67" t="e">
        <f t="shared" si="148"/>
        <v>#VALUE!</v>
      </c>
      <c r="DX114" s="56">
        <v>100</v>
      </c>
      <c r="DY114" s="67">
        <f t="shared" si="149"/>
        <v>0</v>
      </c>
      <c r="DZ114" s="45" t="e">
        <f>VLOOKUP($R114,Dropdown!$C$3:$D$4,2,FALSE)</f>
        <v>#N/A</v>
      </c>
      <c r="EA114" s="68">
        <f t="shared" si="150"/>
        <v>0</v>
      </c>
      <c r="EB114" s="68" t="str">
        <f t="shared" si="151"/>
        <v>N/A</v>
      </c>
      <c r="EC114" s="68">
        <f t="shared" si="152"/>
        <v>0</v>
      </c>
      <c r="ED114" s="68" t="str">
        <f t="shared" si="199"/>
        <v>N/A</v>
      </c>
      <c r="EF114" s="56">
        <v>100</v>
      </c>
      <c r="EG114" s="46">
        <f t="shared" si="154"/>
        <v>0</v>
      </c>
      <c r="EH114" s="68" t="e">
        <f t="shared" si="155"/>
        <v>#N/A</v>
      </c>
      <c r="EI114" s="68" t="e">
        <f t="shared" si="156"/>
        <v>#N/A</v>
      </c>
      <c r="EJ114" s="68" t="e">
        <f t="shared" si="157"/>
        <v>#N/A</v>
      </c>
      <c r="EK114" s="68" t="e">
        <f t="shared" si="158"/>
        <v>#N/A</v>
      </c>
      <c r="EL114" s="46">
        <f t="shared" si="159"/>
        <v>0</v>
      </c>
      <c r="EM114" s="46">
        <f t="shared" si="160"/>
        <v>0</v>
      </c>
    </row>
    <row r="115" spans="1:143">
      <c r="A115" s="89"/>
      <c r="B115" s="89"/>
      <c r="C115" s="89"/>
      <c r="D115" s="89"/>
      <c r="E115" s="89"/>
      <c r="F115" s="89"/>
      <c r="G115" s="34"/>
      <c r="H115" s="56">
        <f t="shared" si="161"/>
        <v>101</v>
      </c>
      <c r="I115" s="165"/>
      <c r="J115" s="163"/>
      <c r="K115" s="163"/>
      <c r="L115" s="164"/>
      <c r="M115" s="155"/>
      <c r="N115" s="155"/>
      <c r="O115" s="144"/>
      <c r="P115" s="159" t="str">
        <f>IFERROR(IF(O115&lt;&gt;"User Specified",IF(O115&lt;&gt;"", INDEX('Refrigerant GWPs'!$G$2:$G$154,MATCH(O115,'Refrigerant GWPs'!$A$2:$A$154,0)),""),U115),0)</f>
        <v/>
      </c>
      <c r="Q115" s="155"/>
      <c r="R115" s="155"/>
      <c r="S115" s="144"/>
      <c r="T115" s="159" t="str">
        <f>IF(S115&lt;&gt;"User Specified",IF(AND(S115&lt;&gt;"User Specified",S115&lt;&gt;""), INDEX('Refrigerant GWPs'!$G$2:$G$154,MATCH(S115,'Refrigerant GWPs'!$A$2:$A$154,0)),""),V115)</f>
        <v/>
      </c>
      <c r="U115" s="144"/>
      <c r="V115" s="144"/>
      <c r="W115" s="155"/>
      <c r="X115" s="155"/>
      <c r="Y115" s="144"/>
      <c r="Z115" s="159" t="str">
        <f>IF(AND(Y115&lt;&gt;"User Specified",Y115&lt;&gt;""), INDEX('Refrigerant GWPs'!$G$2:$G$154,MATCH(Y115,'Refrigerant GWPs'!$A$2:$A$154,0)),"")</f>
        <v/>
      </c>
      <c r="AA115" s="155"/>
      <c r="AB115" s="156"/>
      <c r="AC115" s="66"/>
      <c r="AD115" s="66"/>
      <c r="AE115" s="66"/>
      <c r="AF115" s="66"/>
      <c r="AG115" s="66"/>
      <c r="AH115" s="66"/>
      <c r="AI115" s="34"/>
      <c r="AJ115" s="88">
        <f t="shared" si="119"/>
        <v>0</v>
      </c>
      <c r="AK115" s="88">
        <f t="shared" si="120"/>
        <v>0</v>
      </c>
      <c r="AL115" s="88">
        <v>0</v>
      </c>
      <c r="AM115" s="88">
        <v>0</v>
      </c>
      <c r="AN115" s="81" t="str">
        <f t="shared" si="162"/>
        <v/>
      </c>
      <c r="AO115" s="88">
        <f t="shared" si="121"/>
        <v>0</v>
      </c>
      <c r="AP115" s="88">
        <f t="shared" si="122"/>
        <v>0</v>
      </c>
      <c r="AQ115" s="81" t="str">
        <f t="shared" si="123"/>
        <v/>
      </c>
      <c r="AS115" s="41" t="b">
        <f t="shared" si="124"/>
        <v>1</v>
      </c>
      <c r="AT115" s="38">
        <f t="shared" si="125"/>
        <v>0</v>
      </c>
      <c r="AU115" s="60">
        <f t="shared" si="126"/>
        <v>0</v>
      </c>
      <c r="AV115" s="41">
        <f t="shared" si="127"/>
        <v>0</v>
      </c>
      <c r="AW115" s="41" t="b">
        <f t="shared" si="128"/>
        <v>0</v>
      </c>
      <c r="AX115" t="str">
        <f t="shared" si="129"/>
        <v>+00</v>
      </c>
      <c r="AY115" t="str">
        <f t="shared" si="130"/>
        <v>+00</v>
      </c>
      <c r="BA115" s="47" t="b">
        <f t="shared" si="164"/>
        <v>1</v>
      </c>
      <c r="BB115" s="42" t="b">
        <f t="shared" si="165"/>
        <v>1</v>
      </c>
      <c r="BC115" s="42" t="b">
        <f t="shared" si="166"/>
        <v>0</v>
      </c>
      <c r="BD115" s="42" t="b">
        <f t="shared" si="167"/>
        <v>0</v>
      </c>
      <c r="BE115" s="70">
        <f t="shared" si="168"/>
        <v>0</v>
      </c>
      <c r="BF115" s="70">
        <f t="shared" si="169"/>
        <v>0</v>
      </c>
      <c r="BG115" s="34"/>
      <c r="BI115" s="47" t="b">
        <f t="shared" si="170"/>
        <v>1</v>
      </c>
      <c r="BJ115" s="47" t="b">
        <f t="shared" si="171"/>
        <v>1</v>
      </c>
      <c r="BK115" s="42" t="b">
        <f t="shared" si="172"/>
        <v>0</v>
      </c>
      <c r="BL115" s="42" t="b">
        <f t="shared" si="173"/>
        <v>0</v>
      </c>
      <c r="BM115" s="42">
        <f t="shared" si="174"/>
        <v>0</v>
      </c>
      <c r="BN115" s="42">
        <f t="shared" si="175"/>
        <v>0</v>
      </c>
      <c r="BP115" t="e">
        <f t="shared" si="176"/>
        <v>#N/A</v>
      </c>
      <c r="BQ115" t="e">
        <f t="shared" si="177"/>
        <v>#N/A</v>
      </c>
      <c r="BR115" t="e">
        <f t="shared" si="178"/>
        <v>#N/A</v>
      </c>
      <c r="BT115" s="60">
        <f t="shared" si="187"/>
        <v>0</v>
      </c>
      <c r="BU115" s="60">
        <f t="shared" si="188"/>
        <v>0</v>
      </c>
      <c r="BV115" s="60">
        <f t="shared" si="189"/>
        <v>0</v>
      </c>
      <c r="BW115" s="60">
        <f t="shared" si="190"/>
        <v>0</v>
      </c>
      <c r="BX115" s="60">
        <f t="shared" si="179"/>
        <v>0</v>
      </c>
      <c r="BY115" s="60">
        <f t="shared" si="180"/>
        <v>0</v>
      </c>
      <c r="BZ115" s="60">
        <f t="shared" si="181"/>
        <v>0</v>
      </c>
      <c r="CA115" s="60">
        <f t="shared" si="182"/>
        <v>0</v>
      </c>
      <c r="CB115" s="60" t="e">
        <f t="shared" si="191"/>
        <v>#N/A</v>
      </c>
      <c r="CC115" s="60">
        <f t="shared" si="192"/>
        <v>100000</v>
      </c>
      <c r="CD115" s="60" t="e">
        <f t="shared" si="193"/>
        <v>#N/A</v>
      </c>
      <c r="CE115" s="60">
        <f t="shared" si="194"/>
        <v>100000</v>
      </c>
      <c r="CF115" s="83" t="e">
        <f t="shared" si="183"/>
        <v>#N/A</v>
      </c>
      <c r="CG115" s="83">
        <f t="shared" si="184"/>
        <v>0</v>
      </c>
      <c r="CH115" s="83" t="e">
        <f t="shared" si="185"/>
        <v>#N/A</v>
      </c>
      <c r="CI115" s="83">
        <f t="shared" si="186"/>
        <v>0</v>
      </c>
      <c r="CJ115" s="86" t="e">
        <f t="shared" si="195"/>
        <v>#N/A</v>
      </c>
      <c r="CK115" s="82">
        <f t="shared" si="196"/>
        <v>5.3070370403969858E-3</v>
      </c>
      <c r="CL115" s="82" t="e">
        <f t="shared" si="197"/>
        <v>#N/A</v>
      </c>
      <c r="CM115" s="82">
        <f t="shared" si="198"/>
        <v>5.3070370403969858E-3</v>
      </c>
      <c r="CO115" s="149" t="str">
        <f>IF($I115&lt;&gt;"",IF(O115="User Specified",U115,INDEX('Refrigerant GWPs'!$G$2:$G$156,MATCH(O115,'Refrigerant GWPs'!$A$2:$A$156,0))),"")</f>
        <v/>
      </c>
      <c r="CP115" s="138" t="str">
        <f>IF($I115&lt;&gt;"",INDEX('Device Refrigerant Leakage'!$E$2:$E$42,MATCH($M115,'Device Refrigerant Leakage'!$B$2:$B$42,0)),"")</f>
        <v/>
      </c>
      <c r="CQ115" s="138" t="str">
        <f>IF($I115&lt;&gt;"",INDEX('Device Refrigerant Leakage'!$F$2:$F$42,MATCH($M115,'Device Refrigerant Leakage'!$B$2:$B$42,0)),"")</f>
        <v/>
      </c>
      <c r="CR115" s="145" t="str">
        <f>IF($I115&lt;&gt;"",INDEX('Device Refrigerant Leakage'!$G$2:$G$42,MATCH($M115,'Device Refrigerant Leakage'!$B$2:$B$42,0)),"")</f>
        <v/>
      </c>
      <c r="CS115" s="145" t="str">
        <f>IF($I115&lt;&gt;"",INDEX('Device Refrigerant Leakage'!$D$2:$D$42,MATCH($M115,'Device Refrigerant Leakage'!$B$2:$B$42,0))*CP115/2204.62*CO115,"")</f>
        <v/>
      </c>
      <c r="CT115" s="145" t="str">
        <f>IF($I115&lt;&gt;"",J115*(INDEX('Device Refrigerant Leakage'!$D$2:$D$42,MATCH($M115,'Device Refrigerant Leakage'!$B$2:$B$42,0))-(INDEX('Device Refrigerant Leakage'!$D$2:$D$42,MATCH($M115,'Device Refrigerant Leakage'!$B$2:$B$42,0)))*CR115*CP115)*CQ115/2204.62*CO115,"")</f>
        <v/>
      </c>
      <c r="CU115" s="135" t="str">
        <f>IF($I115&lt;&gt;"",J115*IF(W115&lt;&gt;"AR",(CS115*K115)+CT115,(CS115*AB115)+CT115*(AB115/INDEX('Device Refrigerant Leakage'!$C$2:$C$42,MATCH($M115,'Device Refrigerant Leakage'!$B$2:$B$42,0)))),"")</f>
        <v/>
      </c>
      <c r="CW115" s="135" t="str">
        <f>IF($I115&lt;&gt;"",IF(S115="User Specified",V115,INDEX('Refrigerant GWPs'!$G$2:$G$156,MATCH(S115,'Refrigerant GWPs'!$A$2:$A$157,0))),"")</f>
        <v/>
      </c>
      <c r="CX115" s="138" t="str">
        <f>IF($I115&lt;&gt;"",INDEX('Device Refrigerant Leakage'!$E$2:$E$42,MATCH($Q115,'Device Refrigerant Leakage'!$B$2:$B$42,0)),"")</f>
        <v/>
      </c>
      <c r="CY115" s="138" t="str">
        <f>IF($I115&lt;&gt;"",INDEX('Device Refrigerant Leakage'!$F$2:$F$42,MATCH($Q115,'Device Refrigerant Leakage'!$B$2:$B$42,0)),"")</f>
        <v/>
      </c>
      <c r="CZ115" s="145" t="str">
        <f>IF($I115&lt;&gt;"",INDEX('Device Refrigerant Leakage'!$G$2:$G$42,MATCH($Q115,'Device Refrigerant Leakage'!$B$2:$B$42,0)),"")</f>
        <v/>
      </c>
      <c r="DA115" s="145" t="str">
        <f>IF($I115&lt;&gt;"",J115*INDEX('Device Refrigerant Leakage'!$D$2:$D$42,MATCH($Q115,'Device Refrigerant Leakage'!$B$2:$B$42,0))*CX115/2204.62*CW115,"")</f>
        <v/>
      </c>
      <c r="DB115" s="145" t="str">
        <f>IF($I115&lt;&gt;"",J115*(INDEX('Device Refrigerant Leakage'!$D$2:$D$42,MATCH($Q115,'Device Refrigerant Leakage'!$B$2:$B$42,0))-(INDEX('Device Refrigerant Leakage'!$D$2:$D$42,MATCH($Q115,'Device Refrigerant Leakage'!$B$2:$B$42,0)))*CZ115*CX115)*CY115/2204.62*CW115,"")</f>
        <v/>
      </c>
      <c r="DC115" s="135" t="str">
        <f t="shared" si="163"/>
        <v/>
      </c>
      <c r="DE115" s="146" t="str">
        <f>IF(W115&lt;&gt;"AR","",IF(Y115="User Specified", AA115, INDEX('Refrigerant GWPs'!$G$2:$G$154,MATCH(Y115,'Refrigerant GWPs'!$A$2:$A$154,0))))</f>
        <v/>
      </c>
      <c r="DF115" s="146" t="str">
        <f>IF(W115&lt;&gt;"AR","",INDEX('Device Refrigerant Leakage'!$E$2:$E$42,MATCH(X115,'Device Refrigerant Leakage'!$B$2:$B$42,0)))</f>
        <v/>
      </c>
      <c r="DG115" s="146" t="str">
        <f>IF(W115&lt;&gt;"AR","",INDEX('Device Refrigerant Leakage'!$F$2:$F$42,MATCH(X115,'Device Refrigerant Leakage'!$B$2:$B$42,0)))</f>
        <v/>
      </c>
      <c r="DH115" s="146" t="str">
        <f>IF(W115&lt;&gt;"AR","",INDEX('Device Refrigerant Leakage'!$G$2:$G$42,MATCH(X115,'Device Refrigerant Leakage'!$B$2:$B$42,0)))</f>
        <v/>
      </c>
      <c r="DI115" s="146" t="str">
        <f>IF(W115&lt;&gt;"AR","",J115*INDEX('Device Refrigerant Leakage'!$D$2:$D$42,MATCH(X115,'Device Refrigerant Leakage'!$B$2:$B$42,0))*DF115/2204.62*DE115)</f>
        <v/>
      </c>
      <c r="DJ115" s="146" t="str">
        <f>IF(W115&lt;&gt;"AR","",J115*(INDEX('Device Refrigerant Leakage'!$D$2:$D$42,MATCH(X115,'Device Refrigerant Leakage'!$B$2:$B$42,0))-(INDEX('Device Refrigerant Leakage'!$D$2:$D$42,MATCH(X115,'Device Refrigerant Leakage'!$B$2:$B$42,0)))*DH115*DF115)*DG115/2204.62*DE115)</f>
        <v/>
      </c>
      <c r="DK115" s="146" t="str">
        <f>IF(W115&lt;&gt;"AR","",DI115*(K115-AB115)+'Fuel Sub Calcs-Deemed'!DJ115*((K115-AB115)/INDEX('Device Refrigerant Leakage'!$C$2:$C$42,MATCH('Fuel Sub Calcs-Deemed'!X115,'Device Refrigerant Leakage'!$B$2:$B$42,0))))</f>
        <v/>
      </c>
      <c r="DM115" s="56">
        <v>101</v>
      </c>
      <c r="DN115" s="67" t="e">
        <f t="shared" si="143"/>
        <v>#N/A</v>
      </c>
      <c r="DO115" s="45" t="e">
        <f t="shared" si="144"/>
        <v>#N/A</v>
      </c>
      <c r="DP115" s="67" t="e">
        <f t="shared" si="145"/>
        <v>#N/A</v>
      </c>
      <c r="DQ115" s="45" t="e">
        <f t="shared" si="146"/>
        <v>#N/A</v>
      </c>
      <c r="DR115" s="69" t="e">
        <f t="shared" si="147"/>
        <v>#N/A</v>
      </c>
      <c r="DS115" s="34"/>
      <c r="DT115" s="67" t="e">
        <f>((BX115*CJ115)+IF($W115=MAT_AR,(BZ115*CL115),0))*(1+Reference!$E$50+Reference!$E$51)</f>
        <v>#N/A</v>
      </c>
      <c r="DU115" s="67">
        <f>((BY115*CK115)+IF($W115=MAT_AR,(CA115*CM115),0))*(1+Reference!$G$50+Reference!$G$51)</f>
        <v>0</v>
      </c>
      <c r="DV115" s="67" t="e">
        <f t="shared" si="148"/>
        <v>#VALUE!</v>
      </c>
      <c r="DX115" s="56">
        <v>101</v>
      </c>
      <c r="DY115" s="67">
        <f t="shared" si="149"/>
        <v>0</v>
      </c>
      <c r="DZ115" s="45" t="e">
        <f>VLOOKUP($R115,Dropdown!$C$3:$D$4,2,FALSE)</f>
        <v>#N/A</v>
      </c>
      <c r="EA115" s="68">
        <f t="shared" si="150"/>
        <v>0</v>
      </c>
      <c r="EB115" s="68" t="str">
        <f t="shared" si="151"/>
        <v>N/A</v>
      </c>
      <c r="EC115" s="68">
        <f t="shared" si="152"/>
        <v>0</v>
      </c>
      <c r="ED115" s="68" t="str">
        <f t="shared" si="199"/>
        <v>N/A</v>
      </c>
      <c r="EF115" s="56">
        <v>101</v>
      </c>
      <c r="EG115" s="46">
        <f t="shared" si="154"/>
        <v>0</v>
      </c>
      <c r="EH115" s="68" t="e">
        <f t="shared" si="155"/>
        <v>#N/A</v>
      </c>
      <c r="EI115" s="68" t="e">
        <f t="shared" si="156"/>
        <v>#N/A</v>
      </c>
      <c r="EJ115" s="68" t="e">
        <f t="shared" si="157"/>
        <v>#N/A</v>
      </c>
      <c r="EK115" s="68" t="e">
        <f t="shared" si="158"/>
        <v>#N/A</v>
      </c>
      <c r="EL115" s="46">
        <f t="shared" si="159"/>
        <v>0</v>
      </c>
      <c r="EM115" s="46">
        <f t="shared" si="160"/>
        <v>0</v>
      </c>
    </row>
    <row r="116" spans="1:143">
      <c r="A116" s="89"/>
      <c r="B116" s="89"/>
      <c r="C116" s="89"/>
      <c r="D116" s="89"/>
      <c r="E116" s="89"/>
      <c r="F116" s="89"/>
      <c r="G116" s="34"/>
      <c r="H116" s="56">
        <f t="shared" si="161"/>
        <v>102</v>
      </c>
      <c r="I116" s="165"/>
      <c r="J116" s="163"/>
      <c r="K116" s="163"/>
      <c r="L116" s="164"/>
      <c r="M116" s="155"/>
      <c r="N116" s="155"/>
      <c r="O116" s="144"/>
      <c r="P116" s="159" t="str">
        <f>IFERROR(IF(O116&lt;&gt;"User Specified",IF(O116&lt;&gt;"", INDEX('Refrigerant GWPs'!$G$2:$G$154,MATCH(O116,'Refrigerant GWPs'!$A$2:$A$154,0)),""),U116),0)</f>
        <v/>
      </c>
      <c r="Q116" s="155"/>
      <c r="R116" s="155"/>
      <c r="S116" s="144"/>
      <c r="T116" s="159" t="str">
        <f>IF(S116&lt;&gt;"User Specified",IF(AND(S116&lt;&gt;"User Specified",S116&lt;&gt;""), INDEX('Refrigerant GWPs'!$G$2:$G$154,MATCH(S116,'Refrigerant GWPs'!$A$2:$A$154,0)),""),V116)</f>
        <v/>
      </c>
      <c r="U116" s="144"/>
      <c r="V116" s="144"/>
      <c r="W116" s="155"/>
      <c r="X116" s="155"/>
      <c r="Y116" s="144"/>
      <c r="Z116" s="159" t="str">
        <f>IF(AND(Y116&lt;&gt;"User Specified",Y116&lt;&gt;""), INDEX('Refrigerant GWPs'!$G$2:$G$154,MATCH(Y116,'Refrigerant GWPs'!$A$2:$A$154,0)),"")</f>
        <v/>
      </c>
      <c r="AA116" s="155"/>
      <c r="AB116" s="156"/>
      <c r="AC116" s="66"/>
      <c r="AD116" s="66"/>
      <c r="AE116" s="66"/>
      <c r="AF116" s="66"/>
      <c r="AG116" s="66"/>
      <c r="AH116" s="66"/>
      <c r="AI116" s="34"/>
      <c r="AJ116" s="88">
        <f t="shared" si="119"/>
        <v>0</v>
      </c>
      <c r="AK116" s="88">
        <f t="shared" si="120"/>
        <v>0</v>
      </c>
      <c r="AL116" s="88">
        <v>0</v>
      </c>
      <c r="AM116" s="88">
        <v>0</v>
      </c>
      <c r="AN116" s="81" t="str">
        <f t="shared" si="162"/>
        <v/>
      </c>
      <c r="AO116" s="88">
        <f t="shared" si="121"/>
        <v>0</v>
      </c>
      <c r="AP116" s="88">
        <f t="shared" si="122"/>
        <v>0</v>
      </c>
      <c r="AQ116" s="81" t="str">
        <f t="shared" si="123"/>
        <v/>
      </c>
      <c r="AS116" s="41" t="b">
        <f t="shared" si="124"/>
        <v>1</v>
      </c>
      <c r="AT116" s="38">
        <f t="shared" si="125"/>
        <v>0</v>
      </c>
      <c r="AU116" s="60">
        <f t="shared" si="126"/>
        <v>0</v>
      </c>
      <c r="AV116" s="41">
        <f t="shared" si="127"/>
        <v>0</v>
      </c>
      <c r="AW116" s="41" t="b">
        <f t="shared" si="128"/>
        <v>0</v>
      </c>
      <c r="AX116" t="str">
        <f t="shared" si="129"/>
        <v>+00</v>
      </c>
      <c r="AY116" t="str">
        <f t="shared" si="130"/>
        <v>+00</v>
      </c>
      <c r="BA116" s="47" t="b">
        <f t="shared" si="164"/>
        <v>1</v>
      </c>
      <c r="BB116" s="42" t="b">
        <f t="shared" si="165"/>
        <v>1</v>
      </c>
      <c r="BC116" s="42" t="b">
        <f t="shared" si="166"/>
        <v>0</v>
      </c>
      <c r="BD116" s="42" t="b">
        <f t="shared" si="167"/>
        <v>0</v>
      </c>
      <c r="BE116" s="70">
        <f t="shared" si="168"/>
        <v>0</v>
      </c>
      <c r="BF116" s="70">
        <f t="shared" si="169"/>
        <v>0</v>
      </c>
      <c r="BG116" s="34"/>
      <c r="BI116" s="47" t="b">
        <f t="shared" si="170"/>
        <v>1</v>
      </c>
      <c r="BJ116" s="47" t="b">
        <f t="shared" si="171"/>
        <v>1</v>
      </c>
      <c r="BK116" s="42" t="b">
        <f t="shared" si="172"/>
        <v>0</v>
      </c>
      <c r="BL116" s="42" t="b">
        <f t="shared" si="173"/>
        <v>0</v>
      </c>
      <c r="BM116" s="42">
        <f t="shared" si="174"/>
        <v>0</v>
      </c>
      <c r="BN116" s="42">
        <f t="shared" si="175"/>
        <v>0</v>
      </c>
      <c r="BP116" t="e">
        <f t="shared" si="176"/>
        <v>#N/A</v>
      </c>
      <c r="BQ116" t="e">
        <f t="shared" si="177"/>
        <v>#N/A</v>
      </c>
      <c r="BR116" t="e">
        <f t="shared" si="178"/>
        <v>#N/A</v>
      </c>
      <c r="BT116" s="60">
        <f t="shared" si="187"/>
        <v>0</v>
      </c>
      <c r="BU116" s="60">
        <f t="shared" si="188"/>
        <v>0</v>
      </c>
      <c r="BV116" s="60">
        <f t="shared" si="189"/>
        <v>0</v>
      </c>
      <c r="BW116" s="60">
        <f t="shared" si="190"/>
        <v>0</v>
      </c>
      <c r="BX116" s="60">
        <f t="shared" si="179"/>
        <v>0</v>
      </c>
      <c r="BY116" s="60">
        <f t="shared" si="180"/>
        <v>0</v>
      </c>
      <c r="BZ116" s="60">
        <f t="shared" si="181"/>
        <v>0</v>
      </c>
      <c r="CA116" s="60">
        <f t="shared" si="182"/>
        <v>0</v>
      </c>
      <c r="CB116" s="60" t="e">
        <f t="shared" si="191"/>
        <v>#N/A</v>
      </c>
      <c r="CC116" s="60">
        <f t="shared" si="192"/>
        <v>100000</v>
      </c>
      <c r="CD116" s="60" t="e">
        <f t="shared" si="193"/>
        <v>#N/A</v>
      </c>
      <c r="CE116" s="60">
        <f t="shared" si="194"/>
        <v>100000</v>
      </c>
      <c r="CF116" s="83" t="e">
        <f t="shared" si="183"/>
        <v>#N/A</v>
      </c>
      <c r="CG116" s="83">
        <f t="shared" si="184"/>
        <v>0</v>
      </c>
      <c r="CH116" s="83" t="e">
        <f t="shared" si="185"/>
        <v>#N/A</v>
      </c>
      <c r="CI116" s="83">
        <f t="shared" si="186"/>
        <v>0</v>
      </c>
      <c r="CJ116" s="86" t="e">
        <f t="shared" si="195"/>
        <v>#N/A</v>
      </c>
      <c r="CK116" s="82">
        <f t="shared" si="196"/>
        <v>5.3070370403969858E-3</v>
      </c>
      <c r="CL116" s="82" t="e">
        <f t="shared" si="197"/>
        <v>#N/A</v>
      </c>
      <c r="CM116" s="82">
        <f t="shared" si="198"/>
        <v>5.3070370403969858E-3</v>
      </c>
      <c r="CO116" s="149" t="str">
        <f>IF($I116&lt;&gt;"",IF(O116="User Specified",U116,INDEX('Refrigerant GWPs'!$G$2:$G$156,MATCH(O116,'Refrigerant GWPs'!$A$2:$A$156,0))),"")</f>
        <v/>
      </c>
      <c r="CP116" s="138" t="str">
        <f>IF($I116&lt;&gt;"",INDEX('Device Refrigerant Leakage'!$E$2:$E$42,MATCH($M116,'Device Refrigerant Leakage'!$B$2:$B$42,0)),"")</f>
        <v/>
      </c>
      <c r="CQ116" s="138" t="str">
        <f>IF($I116&lt;&gt;"",INDEX('Device Refrigerant Leakage'!$F$2:$F$42,MATCH($M116,'Device Refrigerant Leakage'!$B$2:$B$42,0)),"")</f>
        <v/>
      </c>
      <c r="CR116" s="145" t="str">
        <f>IF($I116&lt;&gt;"",INDEX('Device Refrigerant Leakage'!$G$2:$G$42,MATCH($M116,'Device Refrigerant Leakage'!$B$2:$B$42,0)),"")</f>
        <v/>
      </c>
      <c r="CS116" s="145" t="str">
        <f>IF($I116&lt;&gt;"",INDEX('Device Refrigerant Leakage'!$D$2:$D$42,MATCH($M116,'Device Refrigerant Leakage'!$B$2:$B$42,0))*CP116/2204.62*CO116,"")</f>
        <v/>
      </c>
      <c r="CT116" s="145" t="str">
        <f>IF($I116&lt;&gt;"",J116*(INDEX('Device Refrigerant Leakage'!$D$2:$D$42,MATCH($M116,'Device Refrigerant Leakage'!$B$2:$B$42,0))-(INDEX('Device Refrigerant Leakage'!$D$2:$D$42,MATCH($M116,'Device Refrigerant Leakage'!$B$2:$B$42,0)))*CR116*CP116)*CQ116/2204.62*CO116,"")</f>
        <v/>
      </c>
      <c r="CU116" s="135" t="str">
        <f>IF($I116&lt;&gt;"",J116*IF(W116&lt;&gt;"AR",(CS116*K116)+CT116,(CS116*AB116)+CT116*(AB116/INDEX('Device Refrigerant Leakage'!$C$2:$C$42,MATCH($M116,'Device Refrigerant Leakage'!$B$2:$B$42,0)))),"")</f>
        <v/>
      </c>
      <c r="CW116" s="135" t="str">
        <f>IF($I116&lt;&gt;"",IF(S116="User Specified",V116,INDEX('Refrigerant GWPs'!$G$2:$G$156,MATCH(S116,'Refrigerant GWPs'!$A$2:$A$157,0))),"")</f>
        <v/>
      </c>
      <c r="CX116" s="138" t="str">
        <f>IF($I116&lt;&gt;"",INDEX('Device Refrigerant Leakage'!$E$2:$E$42,MATCH($Q116,'Device Refrigerant Leakage'!$B$2:$B$42,0)),"")</f>
        <v/>
      </c>
      <c r="CY116" s="138" t="str">
        <f>IF($I116&lt;&gt;"",INDEX('Device Refrigerant Leakage'!$F$2:$F$42,MATCH($Q116,'Device Refrigerant Leakage'!$B$2:$B$42,0)),"")</f>
        <v/>
      </c>
      <c r="CZ116" s="145" t="str">
        <f>IF($I116&lt;&gt;"",INDEX('Device Refrigerant Leakage'!$G$2:$G$42,MATCH($Q116,'Device Refrigerant Leakage'!$B$2:$B$42,0)),"")</f>
        <v/>
      </c>
      <c r="DA116" s="145" t="str">
        <f>IF($I116&lt;&gt;"",J116*INDEX('Device Refrigerant Leakage'!$D$2:$D$42,MATCH($Q116,'Device Refrigerant Leakage'!$B$2:$B$42,0))*CX116/2204.62*CW116,"")</f>
        <v/>
      </c>
      <c r="DB116" s="145" t="str">
        <f>IF($I116&lt;&gt;"",J116*(INDEX('Device Refrigerant Leakage'!$D$2:$D$42,MATCH($Q116,'Device Refrigerant Leakage'!$B$2:$B$42,0))-(INDEX('Device Refrigerant Leakage'!$D$2:$D$42,MATCH($Q116,'Device Refrigerant Leakage'!$B$2:$B$42,0)))*CZ116*CX116)*CY116/2204.62*CW116,"")</f>
        <v/>
      </c>
      <c r="DC116" s="135" t="str">
        <f t="shared" si="163"/>
        <v/>
      </c>
      <c r="DE116" s="146" t="str">
        <f>IF(W116&lt;&gt;"AR","",IF(Y116="User Specified", AA116, INDEX('Refrigerant GWPs'!$G$2:$G$154,MATCH(Y116,'Refrigerant GWPs'!$A$2:$A$154,0))))</f>
        <v/>
      </c>
      <c r="DF116" s="146" t="str">
        <f>IF(W116&lt;&gt;"AR","",INDEX('Device Refrigerant Leakage'!$E$2:$E$42,MATCH(X116,'Device Refrigerant Leakage'!$B$2:$B$42,0)))</f>
        <v/>
      </c>
      <c r="DG116" s="146" t="str">
        <f>IF(W116&lt;&gt;"AR","",INDEX('Device Refrigerant Leakage'!$F$2:$F$42,MATCH(X116,'Device Refrigerant Leakage'!$B$2:$B$42,0)))</f>
        <v/>
      </c>
      <c r="DH116" s="146" t="str">
        <f>IF(W116&lt;&gt;"AR","",INDEX('Device Refrigerant Leakage'!$G$2:$G$42,MATCH(X116,'Device Refrigerant Leakage'!$B$2:$B$42,0)))</f>
        <v/>
      </c>
      <c r="DI116" s="146" t="str">
        <f>IF(W116&lt;&gt;"AR","",J116*INDEX('Device Refrigerant Leakage'!$D$2:$D$42,MATCH(X116,'Device Refrigerant Leakage'!$B$2:$B$42,0))*DF116/2204.62*DE116)</f>
        <v/>
      </c>
      <c r="DJ116" s="146" t="str">
        <f>IF(W116&lt;&gt;"AR","",J116*(INDEX('Device Refrigerant Leakage'!$D$2:$D$42,MATCH(X116,'Device Refrigerant Leakage'!$B$2:$B$42,0))-(INDEX('Device Refrigerant Leakage'!$D$2:$D$42,MATCH(X116,'Device Refrigerant Leakage'!$B$2:$B$42,0)))*DH116*DF116)*DG116/2204.62*DE116)</f>
        <v/>
      </c>
      <c r="DK116" s="146" t="str">
        <f>IF(W116&lt;&gt;"AR","",DI116*(K116-AB116)+'Fuel Sub Calcs-Deemed'!DJ116*((K116-AB116)/INDEX('Device Refrigerant Leakage'!$C$2:$C$42,MATCH('Fuel Sub Calcs-Deemed'!X116,'Device Refrigerant Leakage'!$B$2:$B$42,0))))</f>
        <v/>
      </c>
      <c r="DM116" s="56">
        <v>102</v>
      </c>
      <c r="DN116" s="67" t="e">
        <f t="shared" si="143"/>
        <v>#N/A</v>
      </c>
      <c r="DO116" s="45" t="e">
        <f t="shared" si="144"/>
        <v>#N/A</v>
      </c>
      <c r="DP116" s="67" t="e">
        <f t="shared" si="145"/>
        <v>#N/A</v>
      </c>
      <c r="DQ116" s="45" t="e">
        <f t="shared" si="146"/>
        <v>#N/A</v>
      </c>
      <c r="DR116" s="69" t="e">
        <f t="shared" si="147"/>
        <v>#N/A</v>
      </c>
      <c r="DS116" s="34"/>
      <c r="DT116" s="67" t="e">
        <f>((BX116*CJ116)+IF($W116=MAT_AR,(BZ116*CL116),0))*(1+Reference!$E$50+Reference!$E$51)</f>
        <v>#N/A</v>
      </c>
      <c r="DU116" s="67">
        <f>((BY116*CK116)+IF($W116=MAT_AR,(CA116*CM116),0))*(1+Reference!$G$50+Reference!$G$51)</f>
        <v>0</v>
      </c>
      <c r="DV116" s="67" t="e">
        <f t="shared" si="148"/>
        <v>#VALUE!</v>
      </c>
      <c r="DX116" s="56">
        <v>102</v>
      </c>
      <c r="DY116" s="67">
        <f t="shared" si="149"/>
        <v>0</v>
      </c>
      <c r="DZ116" s="45" t="e">
        <f>VLOOKUP($R116,Dropdown!$C$3:$D$4,2,FALSE)</f>
        <v>#N/A</v>
      </c>
      <c r="EA116" s="68">
        <f t="shared" si="150"/>
        <v>0</v>
      </c>
      <c r="EB116" s="68" t="str">
        <f t="shared" si="151"/>
        <v>N/A</v>
      </c>
      <c r="EC116" s="68">
        <f t="shared" si="152"/>
        <v>0</v>
      </c>
      <c r="ED116" s="68" t="str">
        <f t="shared" si="199"/>
        <v>N/A</v>
      </c>
      <c r="EF116" s="56">
        <v>102</v>
      </c>
      <c r="EG116" s="46">
        <f t="shared" si="154"/>
        <v>0</v>
      </c>
      <c r="EH116" s="68" t="e">
        <f t="shared" si="155"/>
        <v>#N/A</v>
      </c>
      <c r="EI116" s="68" t="e">
        <f t="shared" si="156"/>
        <v>#N/A</v>
      </c>
      <c r="EJ116" s="68" t="e">
        <f t="shared" si="157"/>
        <v>#N/A</v>
      </c>
      <c r="EK116" s="68" t="e">
        <f t="shared" si="158"/>
        <v>#N/A</v>
      </c>
      <c r="EL116" s="46">
        <f t="shared" si="159"/>
        <v>0</v>
      </c>
      <c r="EM116" s="46">
        <f t="shared" si="160"/>
        <v>0</v>
      </c>
    </row>
    <row r="117" spans="1:143">
      <c r="A117" s="89"/>
      <c r="B117" s="89"/>
      <c r="C117" s="89"/>
      <c r="D117" s="89"/>
      <c r="E117" s="89"/>
      <c r="F117" s="89"/>
      <c r="G117" s="34"/>
      <c r="H117" s="56">
        <f t="shared" si="161"/>
        <v>103</v>
      </c>
      <c r="I117" s="165"/>
      <c r="J117" s="163"/>
      <c r="K117" s="163"/>
      <c r="L117" s="164"/>
      <c r="M117" s="155"/>
      <c r="N117" s="155"/>
      <c r="O117" s="144"/>
      <c r="P117" s="159" t="str">
        <f>IFERROR(IF(O117&lt;&gt;"User Specified",IF(O117&lt;&gt;"", INDEX('Refrigerant GWPs'!$G$2:$G$154,MATCH(O117,'Refrigerant GWPs'!$A$2:$A$154,0)),""),U117),0)</f>
        <v/>
      </c>
      <c r="Q117" s="155"/>
      <c r="R117" s="155"/>
      <c r="S117" s="144"/>
      <c r="T117" s="159" t="str">
        <f>IF(S117&lt;&gt;"User Specified",IF(AND(S117&lt;&gt;"User Specified",S117&lt;&gt;""), INDEX('Refrigerant GWPs'!$G$2:$G$154,MATCH(S117,'Refrigerant GWPs'!$A$2:$A$154,0)),""),V117)</f>
        <v/>
      </c>
      <c r="U117" s="144"/>
      <c r="V117" s="144"/>
      <c r="W117" s="155"/>
      <c r="X117" s="155"/>
      <c r="Y117" s="144"/>
      <c r="Z117" s="159" t="str">
        <f>IF(AND(Y117&lt;&gt;"User Specified",Y117&lt;&gt;""), INDEX('Refrigerant GWPs'!$G$2:$G$154,MATCH(Y117,'Refrigerant GWPs'!$A$2:$A$154,0)),"")</f>
        <v/>
      </c>
      <c r="AA117" s="155"/>
      <c r="AB117" s="156"/>
      <c r="AC117" s="66"/>
      <c r="AD117" s="66"/>
      <c r="AE117" s="66"/>
      <c r="AF117" s="66"/>
      <c r="AG117" s="66"/>
      <c r="AH117" s="66"/>
      <c r="AI117" s="34"/>
      <c r="AJ117" s="88">
        <f t="shared" si="119"/>
        <v>0</v>
      </c>
      <c r="AK117" s="88">
        <f t="shared" si="120"/>
        <v>0</v>
      </c>
      <c r="AL117" s="88">
        <v>0</v>
      </c>
      <c r="AM117" s="88">
        <v>0</v>
      </c>
      <c r="AN117" s="81" t="str">
        <f t="shared" si="162"/>
        <v/>
      </c>
      <c r="AO117" s="88">
        <f t="shared" si="121"/>
        <v>0</v>
      </c>
      <c r="AP117" s="88">
        <f t="shared" si="122"/>
        <v>0</v>
      </c>
      <c r="AQ117" s="81" t="str">
        <f t="shared" si="123"/>
        <v/>
      </c>
      <c r="AS117" s="41" t="b">
        <f t="shared" si="124"/>
        <v>1</v>
      </c>
      <c r="AT117" s="38">
        <f t="shared" si="125"/>
        <v>0</v>
      </c>
      <c r="AU117" s="60">
        <f t="shared" si="126"/>
        <v>0</v>
      </c>
      <c r="AV117" s="41">
        <f t="shared" si="127"/>
        <v>0</v>
      </c>
      <c r="AW117" s="41" t="b">
        <f t="shared" si="128"/>
        <v>0</v>
      </c>
      <c r="AX117" t="str">
        <f t="shared" si="129"/>
        <v>+00</v>
      </c>
      <c r="AY117" t="str">
        <f t="shared" si="130"/>
        <v>+00</v>
      </c>
      <c r="BA117" s="47" t="b">
        <f t="shared" si="164"/>
        <v>1</v>
      </c>
      <c r="BB117" s="42" t="b">
        <f t="shared" si="165"/>
        <v>1</v>
      </c>
      <c r="BC117" s="42" t="b">
        <f t="shared" si="166"/>
        <v>0</v>
      </c>
      <c r="BD117" s="42" t="b">
        <f t="shared" si="167"/>
        <v>0</v>
      </c>
      <c r="BE117" s="70">
        <f t="shared" si="168"/>
        <v>0</v>
      </c>
      <c r="BF117" s="70">
        <f t="shared" si="169"/>
        <v>0</v>
      </c>
      <c r="BG117" s="34"/>
      <c r="BI117" s="47" t="b">
        <f t="shared" si="170"/>
        <v>1</v>
      </c>
      <c r="BJ117" s="47" t="b">
        <f t="shared" si="171"/>
        <v>1</v>
      </c>
      <c r="BK117" s="42" t="b">
        <f t="shared" si="172"/>
        <v>0</v>
      </c>
      <c r="BL117" s="42" t="b">
        <f t="shared" si="173"/>
        <v>0</v>
      </c>
      <c r="BM117" s="42">
        <f t="shared" si="174"/>
        <v>0</v>
      </c>
      <c r="BN117" s="42">
        <f t="shared" si="175"/>
        <v>0</v>
      </c>
      <c r="BP117" t="e">
        <f t="shared" si="176"/>
        <v>#N/A</v>
      </c>
      <c r="BQ117" t="e">
        <f t="shared" si="177"/>
        <v>#N/A</v>
      </c>
      <c r="BR117" t="e">
        <f t="shared" si="178"/>
        <v>#N/A</v>
      </c>
      <c r="BT117" s="60">
        <f t="shared" si="187"/>
        <v>0</v>
      </c>
      <c r="BU117" s="60">
        <f t="shared" si="188"/>
        <v>0</v>
      </c>
      <c r="BV117" s="60">
        <f t="shared" si="189"/>
        <v>0</v>
      </c>
      <c r="BW117" s="60">
        <f t="shared" si="190"/>
        <v>0</v>
      </c>
      <c r="BX117" s="60">
        <f t="shared" si="179"/>
        <v>0</v>
      </c>
      <c r="BY117" s="60">
        <f t="shared" si="180"/>
        <v>0</v>
      </c>
      <c r="BZ117" s="60">
        <f t="shared" si="181"/>
        <v>0</v>
      </c>
      <c r="CA117" s="60">
        <f t="shared" si="182"/>
        <v>0</v>
      </c>
      <c r="CB117" s="60" t="e">
        <f t="shared" si="191"/>
        <v>#N/A</v>
      </c>
      <c r="CC117" s="60">
        <f t="shared" si="192"/>
        <v>100000</v>
      </c>
      <c r="CD117" s="60" t="e">
        <f t="shared" si="193"/>
        <v>#N/A</v>
      </c>
      <c r="CE117" s="60">
        <f t="shared" si="194"/>
        <v>100000</v>
      </c>
      <c r="CF117" s="83" t="e">
        <f t="shared" si="183"/>
        <v>#N/A</v>
      </c>
      <c r="CG117" s="83">
        <f t="shared" si="184"/>
        <v>0</v>
      </c>
      <c r="CH117" s="83" t="e">
        <f t="shared" si="185"/>
        <v>#N/A</v>
      </c>
      <c r="CI117" s="83">
        <f t="shared" si="186"/>
        <v>0</v>
      </c>
      <c r="CJ117" s="86" t="e">
        <f t="shared" si="195"/>
        <v>#N/A</v>
      </c>
      <c r="CK117" s="82">
        <f t="shared" si="196"/>
        <v>5.3070370403969858E-3</v>
      </c>
      <c r="CL117" s="82" t="e">
        <f t="shared" si="197"/>
        <v>#N/A</v>
      </c>
      <c r="CM117" s="82">
        <f t="shared" si="198"/>
        <v>5.3070370403969858E-3</v>
      </c>
      <c r="CO117" s="149" t="str">
        <f>IF($I117&lt;&gt;"",IF(O117="User Specified",U117,INDEX('Refrigerant GWPs'!$G$2:$G$156,MATCH(O117,'Refrigerant GWPs'!$A$2:$A$156,0))),"")</f>
        <v/>
      </c>
      <c r="CP117" s="138" t="str">
        <f>IF($I117&lt;&gt;"",INDEX('Device Refrigerant Leakage'!$E$2:$E$42,MATCH($M117,'Device Refrigerant Leakage'!$B$2:$B$42,0)),"")</f>
        <v/>
      </c>
      <c r="CQ117" s="138" t="str">
        <f>IF($I117&lt;&gt;"",INDEX('Device Refrigerant Leakage'!$F$2:$F$42,MATCH($M117,'Device Refrigerant Leakage'!$B$2:$B$42,0)),"")</f>
        <v/>
      </c>
      <c r="CR117" s="145" t="str">
        <f>IF($I117&lt;&gt;"",INDEX('Device Refrigerant Leakage'!$G$2:$G$42,MATCH($M117,'Device Refrigerant Leakage'!$B$2:$B$42,0)),"")</f>
        <v/>
      </c>
      <c r="CS117" s="145" t="str">
        <f>IF($I117&lt;&gt;"",INDEX('Device Refrigerant Leakage'!$D$2:$D$42,MATCH($M117,'Device Refrigerant Leakage'!$B$2:$B$42,0))*CP117/2204.62*CO117,"")</f>
        <v/>
      </c>
      <c r="CT117" s="145" t="str">
        <f>IF($I117&lt;&gt;"",J117*(INDEX('Device Refrigerant Leakage'!$D$2:$D$42,MATCH($M117,'Device Refrigerant Leakage'!$B$2:$B$42,0))-(INDEX('Device Refrigerant Leakage'!$D$2:$D$42,MATCH($M117,'Device Refrigerant Leakage'!$B$2:$B$42,0)))*CR117*CP117)*CQ117/2204.62*CO117,"")</f>
        <v/>
      </c>
      <c r="CU117" s="135" t="str">
        <f>IF($I117&lt;&gt;"",J117*IF(W117&lt;&gt;"AR",(CS117*K117)+CT117,(CS117*AB117)+CT117*(AB117/INDEX('Device Refrigerant Leakage'!$C$2:$C$42,MATCH($M117,'Device Refrigerant Leakage'!$B$2:$B$42,0)))),"")</f>
        <v/>
      </c>
      <c r="CW117" s="135" t="str">
        <f>IF($I117&lt;&gt;"",IF(S117="User Specified",V117,INDEX('Refrigerant GWPs'!$G$2:$G$156,MATCH(S117,'Refrigerant GWPs'!$A$2:$A$157,0))),"")</f>
        <v/>
      </c>
      <c r="CX117" s="138" t="str">
        <f>IF($I117&lt;&gt;"",INDEX('Device Refrigerant Leakage'!$E$2:$E$42,MATCH($Q117,'Device Refrigerant Leakage'!$B$2:$B$42,0)),"")</f>
        <v/>
      </c>
      <c r="CY117" s="138" t="str">
        <f>IF($I117&lt;&gt;"",INDEX('Device Refrigerant Leakage'!$F$2:$F$42,MATCH($Q117,'Device Refrigerant Leakage'!$B$2:$B$42,0)),"")</f>
        <v/>
      </c>
      <c r="CZ117" s="145" t="str">
        <f>IF($I117&lt;&gt;"",INDEX('Device Refrigerant Leakage'!$G$2:$G$42,MATCH($Q117,'Device Refrigerant Leakage'!$B$2:$B$42,0)),"")</f>
        <v/>
      </c>
      <c r="DA117" s="145" t="str">
        <f>IF($I117&lt;&gt;"",J117*INDEX('Device Refrigerant Leakage'!$D$2:$D$42,MATCH($Q117,'Device Refrigerant Leakage'!$B$2:$B$42,0))*CX117/2204.62*CW117,"")</f>
        <v/>
      </c>
      <c r="DB117" s="145" t="str">
        <f>IF($I117&lt;&gt;"",J117*(INDEX('Device Refrigerant Leakage'!$D$2:$D$42,MATCH($Q117,'Device Refrigerant Leakage'!$B$2:$B$42,0))-(INDEX('Device Refrigerant Leakage'!$D$2:$D$42,MATCH($Q117,'Device Refrigerant Leakage'!$B$2:$B$42,0)))*CZ117*CX117)*CY117/2204.62*CW117,"")</f>
        <v/>
      </c>
      <c r="DC117" s="135" t="str">
        <f t="shared" si="163"/>
        <v/>
      </c>
      <c r="DE117" s="146" t="str">
        <f>IF(W117&lt;&gt;"AR","",IF(Y117="User Specified", AA117, INDEX('Refrigerant GWPs'!$G$2:$G$154,MATCH(Y117,'Refrigerant GWPs'!$A$2:$A$154,0))))</f>
        <v/>
      </c>
      <c r="DF117" s="146" t="str">
        <f>IF(W117&lt;&gt;"AR","",INDEX('Device Refrigerant Leakage'!$E$2:$E$42,MATCH(X117,'Device Refrigerant Leakage'!$B$2:$B$42,0)))</f>
        <v/>
      </c>
      <c r="DG117" s="146" t="str">
        <f>IF(W117&lt;&gt;"AR","",INDEX('Device Refrigerant Leakage'!$F$2:$F$42,MATCH(X117,'Device Refrigerant Leakage'!$B$2:$B$42,0)))</f>
        <v/>
      </c>
      <c r="DH117" s="146" t="str">
        <f>IF(W117&lt;&gt;"AR","",INDEX('Device Refrigerant Leakage'!$G$2:$G$42,MATCH(X117,'Device Refrigerant Leakage'!$B$2:$B$42,0)))</f>
        <v/>
      </c>
      <c r="DI117" s="146" t="str">
        <f>IF(W117&lt;&gt;"AR","",J117*INDEX('Device Refrigerant Leakage'!$D$2:$D$42,MATCH(X117,'Device Refrigerant Leakage'!$B$2:$B$42,0))*DF117/2204.62*DE117)</f>
        <v/>
      </c>
      <c r="DJ117" s="146" t="str">
        <f>IF(W117&lt;&gt;"AR","",J117*(INDEX('Device Refrigerant Leakage'!$D$2:$D$42,MATCH(X117,'Device Refrigerant Leakage'!$B$2:$B$42,0))-(INDEX('Device Refrigerant Leakage'!$D$2:$D$42,MATCH(X117,'Device Refrigerant Leakage'!$B$2:$B$42,0)))*DH117*DF117)*DG117/2204.62*DE117)</f>
        <v/>
      </c>
      <c r="DK117" s="146" t="str">
        <f>IF(W117&lt;&gt;"AR","",DI117*(K117-AB117)+'Fuel Sub Calcs-Deemed'!DJ117*((K117-AB117)/INDEX('Device Refrigerant Leakage'!$C$2:$C$42,MATCH('Fuel Sub Calcs-Deemed'!X117,'Device Refrigerant Leakage'!$B$2:$B$42,0))))</f>
        <v/>
      </c>
      <c r="DM117" s="56">
        <v>103</v>
      </c>
      <c r="DN117" s="67" t="e">
        <f t="shared" si="143"/>
        <v>#N/A</v>
      </c>
      <c r="DO117" s="45" t="e">
        <f t="shared" si="144"/>
        <v>#N/A</v>
      </c>
      <c r="DP117" s="67" t="e">
        <f t="shared" si="145"/>
        <v>#N/A</v>
      </c>
      <c r="DQ117" s="45" t="e">
        <f t="shared" si="146"/>
        <v>#N/A</v>
      </c>
      <c r="DR117" s="69" t="e">
        <f t="shared" si="147"/>
        <v>#N/A</v>
      </c>
      <c r="DS117" s="34"/>
      <c r="DT117" s="67" t="e">
        <f>((BX117*CJ117)+IF($W117=MAT_AR,(BZ117*CL117),0))*(1+Reference!$E$50+Reference!$E$51)</f>
        <v>#N/A</v>
      </c>
      <c r="DU117" s="67">
        <f>((BY117*CK117)+IF($W117=MAT_AR,(CA117*CM117),0))*(1+Reference!$G$50+Reference!$G$51)</f>
        <v>0</v>
      </c>
      <c r="DV117" s="67" t="e">
        <f t="shared" si="148"/>
        <v>#VALUE!</v>
      </c>
      <c r="DX117" s="56">
        <v>103</v>
      </c>
      <c r="DY117" s="67">
        <f t="shared" si="149"/>
        <v>0</v>
      </c>
      <c r="DZ117" s="45" t="e">
        <f>VLOOKUP($R117,Dropdown!$C$3:$D$4,2,FALSE)</f>
        <v>#N/A</v>
      </c>
      <c r="EA117" s="68">
        <f t="shared" si="150"/>
        <v>0</v>
      </c>
      <c r="EB117" s="68" t="str">
        <f t="shared" si="151"/>
        <v>N/A</v>
      </c>
      <c r="EC117" s="68">
        <f t="shared" si="152"/>
        <v>0</v>
      </c>
      <c r="ED117" s="68" t="str">
        <f t="shared" si="199"/>
        <v>N/A</v>
      </c>
      <c r="EF117" s="56">
        <v>103</v>
      </c>
      <c r="EG117" s="46">
        <f t="shared" si="154"/>
        <v>0</v>
      </c>
      <c r="EH117" s="68" t="e">
        <f t="shared" si="155"/>
        <v>#N/A</v>
      </c>
      <c r="EI117" s="68" t="e">
        <f t="shared" si="156"/>
        <v>#N/A</v>
      </c>
      <c r="EJ117" s="68" t="e">
        <f t="shared" si="157"/>
        <v>#N/A</v>
      </c>
      <c r="EK117" s="68" t="e">
        <f t="shared" si="158"/>
        <v>#N/A</v>
      </c>
      <c r="EL117" s="46">
        <f t="shared" si="159"/>
        <v>0</v>
      </c>
      <c r="EM117" s="46">
        <f t="shared" si="160"/>
        <v>0</v>
      </c>
    </row>
    <row r="118" spans="1:143">
      <c r="A118" s="89"/>
      <c r="B118" s="89"/>
      <c r="C118" s="89"/>
      <c r="D118" s="89"/>
      <c r="E118" s="89"/>
      <c r="F118" s="89"/>
      <c r="G118" s="34"/>
      <c r="H118" s="56">
        <f t="shared" si="161"/>
        <v>104</v>
      </c>
      <c r="I118" s="165"/>
      <c r="J118" s="163"/>
      <c r="K118" s="163"/>
      <c r="L118" s="164"/>
      <c r="M118" s="155"/>
      <c r="N118" s="155"/>
      <c r="O118" s="144"/>
      <c r="P118" s="159" t="str">
        <f>IFERROR(IF(O118&lt;&gt;"User Specified",IF(O118&lt;&gt;"", INDEX('Refrigerant GWPs'!$G$2:$G$154,MATCH(O118,'Refrigerant GWPs'!$A$2:$A$154,0)),""),U118),0)</f>
        <v/>
      </c>
      <c r="Q118" s="155"/>
      <c r="R118" s="155"/>
      <c r="S118" s="144"/>
      <c r="T118" s="159" t="str">
        <f>IF(S118&lt;&gt;"User Specified",IF(AND(S118&lt;&gt;"User Specified",S118&lt;&gt;""), INDEX('Refrigerant GWPs'!$G$2:$G$154,MATCH(S118,'Refrigerant GWPs'!$A$2:$A$154,0)),""),V118)</f>
        <v/>
      </c>
      <c r="U118" s="144"/>
      <c r="V118" s="144"/>
      <c r="W118" s="155"/>
      <c r="X118" s="155"/>
      <c r="Y118" s="144"/>
      <c r="Z118" s="159" t="str">
        <f>IF(AND(Y118&lt;&gt;"User Specified",Y118&lt;&gt;""), INDEX('Refrigerant GWPs'!$G$2:$G$154,MATCH(Y118,'Refrigerant GWPs'!$A$2:$A$154,0)),"")</f>
        <v/>
      </c>
      <c r="AA118" s="155"/>
      <c r="AB118" s="156"/>
      <c r="AC118" s="66"/>
      <c r="AD118" s="66"/>
      <c r="AE118" s="66"/>
      <c r="AF118" s="66"/>
      <c r="AG118" s="66"/>
      <c r="AH118" s="66"/>
      <c r="AI118" s="34"/>
      <c r="AJ118" s="88">
        <f t="shared" si="119"/>
        <v>0</v>
      </c>
      <c r="AK118" s="88">
        <f t="shared" si="120"/>
        <v>0</v>
      </c>
      <c r="AL118" s="88">
        <v>0</v>
      </c>
      <c r="AM118" s="88">
        <v>0</v>
      </c>
      <c r="AN118" s="81" t="str">
        <f t="shared" si="162"/>
        <v/>
      </c>
      <c r="AO118" s="88">
        <f t="shared" si="121"/>
        <v>0</v>
      </c>
      <c r="AP118" s="88">
        <f t="shared" si="122"/>
        <v>0</v>
      </c>
      <c r="AQ118" s="81" t="str">
        <f t="shared" si="123"/>
        <v/>
      </c>
      <c r="AS118" s="41" t="b">
        <f t="shared" si="124"/>
        <v>1</v>
      </c>
      <c r="AT118" s="38">
        <f t="shared" si="125"/>
        <v>0</v>
      </c>
      <c r="AU118" s="60">
        <f t="shared" si="126"/>
        <v>0</v>
      </c>
      <c r="AV118" s="41">
        <f t="shared" si="127"/>
        <v>0</v>
      </c>
      <c r="AW118" s="41" t="b">
        <f t="shared" si="128"/>
        <v>0</v>
      </c>
      <c r="AX118" t="str">
        <f t="shared" si="129"/>
        <v>+00</v>
      </c>
      <c r="AY118" t="str">
        <f t="shared" si="130"/>
        <v>+00</v>
      </c>
      <c r="BA118" s="47" t="b">
        <f t="shared" si="164"/>
        <v>1</v>
      </c>
      <c r="BB118" s="42" t="b">
        <f t="shared" si="165"/>
        <v>1</v>
      </c>
      <c r="BC118" s="42" t="b">
        <f t="shared" si="166"/>
        <v>0</v>
      </c>
      <c r="BD118" s="42" t="b">
        <f t="shared" si="167"/>
        <v>0</v>
      </c>
      <c r="BE118" s="70">
        <f t="shared" si="168"/>
        <v>0</v>
      </c>
      <c r="BF118" s="70">
        <f t="shared" si="169"/>
        <v>0</v>
      </c>
      <c r="BG118" s="34"/>
      <c r="BI118" s="47" t="b">
        <f t="shared" si="170"/>
        <v>1</v>
      </c>
      <c r="BJ118" s="47" t="b">
        <f t="shared" si="171"/>
        <v>1</v>
      </c>
      <c r="BK118" s="42" t="b">
        <f t="shared" si="172"/>
        <v>0</v>
      </c>
      <c r="BL118" s="42" t="b">
        <f t="shared" si="173"/>
        <v>0</v>
      </c>
      <c r="BM118" s="42">
        <f t="shared" si="174"/>
        <v>0</v>
      </c>
      <c r="BN118" s="42">
        <f t="shared" si="175"/>
        <v>0</v>
      </c>
      <c r="BP118" t="e">
        <f t="shared" si="176"/>
        <v>#N/A</v>
      </c>
      <c r="BQ118" t="e">
        <f t="shared" si="177"/>
        <v>#N/A</v>
      </c>
      <c r="BR118" t="e">
        <f t="shared" si="178"/>
        <v>#N/A</v>
      </c>
      <c r="BT118" s="60">
        <f t="shared" si="187"/>
        <v>0</v>
      </c>
      <c r="BU118" s="60">
        <f t="shared" si="188"/>
        <v>0</v>
      </c>
      <c r="BV118" s="60">
        <f t="shared" si="189"/>
        <v>0</v>
      </c>
      <c r="BW118" s="60">
        <f t="shared" si="190"/>
        <v>0</v>
      </c>
      <c r="BX118" s="60">
        <f t="shared" si="179"/>
        <v>0</v>
      </c>
      <c r="BY118" s="60">
        <f t="shared" si="180"/>
        <v>0</v>
      </c>
      <c r="BZ118" s="60">
        <f t="shared" si="181"/>
        <v>0</v>
      </c>
      <c r="CA118" s="60">
        <f t="shared" si="182"/>
        <v>0</v>
      </c>
      <c r="CB118" s="60" t="e">
        <f t="shared" si="191"/>
        <v>#N/A</v>
      </c>
      <c r="CC118" s="60">
        <f t="shared" si="192"/>
        <v>100000</v>
      </c>
      <c r="CD118" s="60" t="e">
        <f t="shared" si="193"/>
        <v>#N/A</v>
      </c>
      <c r="CE118" s="60">
        <f t="shared" si="194"/>
        <v>100000</v>
      </c>
      <c r="CF118" s="83" t="e">
        <f t="shared" si="183"/>
        <v>#N/A</v>
      </c>
      <c r="CG118" s="83">
        <f t="shared" si="184"/>
        <v>0</v>
      </c>
      <c r="CH118" s="83" t="e">
        <f t="shared" si="185"/>
        <v>#N/A</v>
      </c>
      <c r="CI118" s="83">
        <f t="shared" si="186"/>
        <v>0</v>
      </c>
      <c r="CJ118" s="86" t="e">
        <f t="shared" si="195"/>
        <v>#N/A</v>
      </c>
      <c r="CK118" s="82">
        <f t="shared" si="196"/>
        <v>5.3070370403969858E-3</v>
      </c>
      <c r="CL118" s="82" t="e">
        <f t="shared" si="197"/>
        <v>#N/A</v>
      </c>
      <c r="CM118" s="82">
        <f t="shared" si="198"/>
        <v>5.3070370403969858E-3</v>
      </c>
      <c r="CO118" s="149" t="str">
        <f>IF($I118&lt;&gt;"",IF(O118="User Specified",U118,INDEX('Refrigerant GWPs'!$G$2:$G$156,MATCH(O118,'Refrigerant GWPs'!$A$2:$A$156,0))),"")</f>
        <v/>
      </c>
      <c r="CP118" s="138" t="str">
        <f>IF($I118&lt;&gt;"",INDEX('Device Refrigerant Leakage'!$E$2:$E$42,MATCH($M118,'Device Refrigerant Leakage'!$B$2:$B$42,0)),"")</f>
        <v/>
      </c>
      <c r="CQ118" s="138" t="str">
        <f>IF($I118&lt;&gt;"",INDEX('Device Refrigerant Leakage'!$F$2:$F$42,MATCH($M118,'Device Refrigerant Leakage'!$B$2:$B$42,0)),"")</f>
        <v/>
      </c>
      <c r="CR118" s="145" t="str">
        <f>IF($I118&lt;&gt;"",INDEX('Device Refrigerant Leakage'!$G$2:$G$42,MATCH($M118,'Device Refrigerant Leakage'!$B$2:$B$42,0)),"")</f>
        <v/>
      </c>
      <c r="CS118" s="145" t="str">
        <f>IF($I118&lt;&gt;"",INDEX('Device Refrigerant Leakage'!$D$2:$D$42,MATCH($M118,'Device Refrigerant Leakage'!$B$2:$B$42,0))*CP118/2204.62*CO118,"")</f>
        <v/>
      </c>
      <c r="CT118" s="145" t="str">
        <f>IF($I118&lt;&gt;"",J118*(INDEX('Device Refrigerant Leakage'!$D$2:$D$42,MATCH($M118,'Device Refrigerant Leakage'!$B$2:$B$42,0))-(INDEX('Device Refrigerant Leakage'!$D$2:$D$42,MATCH($M118,'Device Refrigerant Leakage'!$B$2:$B$42,0)))*CR118*CP118)*CQ118/2204.62*CO118,"")</f>
        <v/>
      </c>
      <c r="CU118" s="135" t="str">
        <f>IF($I118&lt;&gt;"",J118*IF(W118&lt;&gt;"AR",(CS118*K118)+CT118,(CS118*AB118)+CT118*(AB118/INDEX('Device Refrigerant Leakage'!$C$2:$C$42,MATCH($M118,'Device Refrigerant Leakage'!$B$2:$B$42,0)))),"")</f>
        <v/>
      </c>
      <c r="CW118" s="135" t="str">
        <f>IF($I118&lt;&gt;"",IF(S118="User Specified",V118,INDEX('Refrigerant GWPs'!$G$2:$G$156,MATCH(S118,'Refrigerant GWPs'!$A$2:$A$157,0))),"")</f>
        <v/>
      </c>
      <c r="CX118" s="138" t="str">
        <f>IF($I118&lt;&gt;"",INDEX('Device Refrigerant Leakage'!$E$2:$E$42,MATCH($Q118,'Device Refrigerant Leakage'!$B$2:$B$42,0)),"")</f>
        <v/>
      </c>
      <c r="CY118" s="138" t="str">
        <f>IF($I118&lt;&gt;"",INDEX('Device Refrigerant Leakage'!$F$2:$F$42,MATCH($Q118,'Device Refrigerant Leakage'!$B$2:$B$42,0)),"")</f>
        <v/>
      </c>
      <c r="CZ118" s="145" t="str">
        <f>IF($I118&lt;&gt;"",INDEX('Device Refrigerant Leakage'!$G$2:$G$42,MATCH($Q118,'Device Refrigerant Leakage'!$B$2:$B$42,0)),"")</f>
        <v/>
      </c>
      <c r="DA118" s="145" t="str">
        <f>IF($I118&lt;&gt;"",J118*INDEX('Device Refrigerant Leakage'!$D$2:$D$42,MATCH($Q118,'Device Refrigerant Leakage'!$B$2:$B$42,0))*CX118/2204.62*CW118,"")</f>
        <v/>
      </c>
      <c r="DB118" s="145" t="str">
        <f>IF($I118&lt;&gt;"",J118*(INDEX('Device Refrigerant Leakage'!$D$2:$D$42,MATCH($Q118,'Device Refrigerant Leakage'!$B$2:$B$42,0))-(INDEX('Device Refrigerant Leakage'!$D$2:$D$42,MATCH($Q118,'Device Refrigerant Leakage'!$B$2:$B$42,0)))*CZ118*CX118)*CY118/2204.62*CW118,"")</f>
        <v/>
      </c>
      <c r="DC118" s="135" t="str">
        <f t="shared" si="163"/>
        <v/>
      </c>
      <c r="DE118" s="146" t="str">
        <f>IF(W118&lt;&gt;"AR","",IF(Y118="User Specified", AA118, INDEX('Refrigerant GWPs'!$G$2:$G$154,MATCH(Y118,'Refrigerant GWPs'!$A$2:$A$154,0))))</f>
        <v/>
      </c>
      <c r="DF118" s="146" t="str">
        <f>IF(W118&lt;&gt;"AR","",INDEX('Device Refrigerant Leakage'!$E$2:$E$42,MATCH(X118,'Device Refrigerant Leakage'!$B$2:$B$42,0)))</f>
        <v/>
      </c>
      <c r="DG118" s="146" t="str">
        <f>IF(W118&lt;&gt;"AR","",INDEX('Device Refrigerant Leakage'!$F$2:$F$42,MATCH(X118,'Device Refrigerant Leakage'!$B$2:$B$42,0)))</f>
        <v/>
      </c>
      <c r="DH118" s="146" t="str">
        <f>IF(W118&lt;&gt;"AR","",INDEX('Device Refrigerant Leakage'!$G$2:$G$42,MATCH(X118,'Device Refrigerant Leakage'!$B$2:$B$42,0)))</f>
        <v/>
      </c>
      <c r="DI118" s="146" t="str">
        <f>IF(W118&lt;&gt;"AR","",J118*INDEX('Device Refrigerant Leakage'!$D$2:$D$42,MATCH(X118,'Device Refrigerant Leakage'!$B$2:$B$42,0))*DF118/2204.62*DE118)</f>
        <v/>
      </c>
      <c r="DJ118" s="146" t="str">
        <f>IF(W118&lt;&gt;"AR","",J118*(INDEX('Device Refrigerant Leakage'!$D$2:$D$42,MATCH(X118,'Device Refrigerant Leakage'!$B$2:$B$42,0))-(INDEX('Device Refrigerant Leakage'!$D$2:$D$42,MATCH(X118,'Device Refrigerant Leakage'!$B$2:$B$42,0)))*DH118*DF118)*DG118/2204.62*DE118)</f>
        <v/>
      </c>
      <c r="DK118" s="146" t="str">
        <f>IF(W118&lt;&gt;"AR","",DI118*(K118-AB118)+'Fuel Sub Calcs-Deemed'!DJ118*((K118-AB118)/INDEX('Device Refrigerant Leakage'!$C$2:$C$42,MATCH('Fuel Sub Calcs-Deemed'!X118,'Device Refrigerant Leakage'!$B$2:$B$42,0))))</f>
        <v/>
      </c>
      <c r="DM118" s="56">
        <v>104</v>
      </c>
      <c r="DN118" s="67" t="e">
        <f t="shared" si="143"/>
        <v>#N/A</v>
      </c>
      <c r="DO118" s="45" t="e">
        <f t="shared" si="144"/>
        <v>#N/A</v>
      </c>
      <c r="DP118" s="67" t="e">
        <f t="shared" si="145"/>
        <v>#N/A</v>
      </c>
      <c r="DQ118" s="45" t="e">
        <f t="shared" si="146"/>
        <v>#N/A</v>
      </c>
      <c r="DR118" s="69" t="e">
        <f t="shared" si="147"/>
        <v>#N/A</v>
      </c>
      <c r="DS118" s="34"/>
      <c r="DT118" s="67" t="e">
        <f>((BX118*CJ118)+IF($W118=MAT_AR,(BZ118*CL118),0))*(1+Reference!$E$50+Reference!$E$51)</f>
        <v>#N/A</v>
      </c>
      <c r="DU118" s="67">
        <f>((BY118*CK118)+IF($W118=MAT_AR,(CA118*CM118),0))*(1+Reference!$G$50+Reference!$G$51)</f>
        <v>0</v>
      </c>
      <c r="DV118" s="67" t="e">
        <f t="shared" si="148"/>
        <v>#VALUE!</v>
      </c>
      <c r="DX118" s="56">
        <v>104</v>
      </c>
      <c r="DY118" s="67">
        <f t="shared" si="149"/>
        <v>0</v>
      </c>
      <c r="DZ118" s="45" t="e">
        <f>VLOOKUP($R118,Dropdown!$C$3:$D$4,2,FALSE)</f>
        <v>#N/A</v>
      </c>
      <c r="EA118" s="68">
        <f t="shared" si="150"/>
        <v>0</v>
      </c>
      <c r="EB118" s="68" t="str">
        <f t="shared" si="151"/>
        <v>N/A</v>
      </c>
      <c r="EC118" s="68">
        <f t="shared" si="152"/>
        <v>0</v>
      </c>
      <c r="ED118" s="68" t="str">
        <f t="shared" si="199"/>
        <v>N/A</v>
      </c>
      <c r="EF118" s="56">
        <v>104</v>
      </c>
      <c r="EG118" s="46">
        <f t="shared" si="154"/>
        <v>0</v>
      </c>
      <c r="EH118" s="68" t="e">
        <f t="shared" si="155"/>
        <v>#N/A</v>
      </c>
      <c r="EI118" s="68" t="e">
        <f t="shared" si="156"/>
        <v>#N/A</v>
      </c>
      <c r="EJ118" s="68" t="e">
        <f t="shared" si="157"/>
        <v>#N/A</v>
      </c>
      <c r="EK118" s="68" t="e">
        <f t="shared" si="158"/>
        <v>#N/A</v>
      </c>
      <c r="EL118" s="46">
        <f t="shared" si="159"/>
        <v>0</v>
      </c>
      <c r="EM118" s="46">
        <f t="shared" si="160"/>
        <v>0</v>
      </c>
    </row>
    <row r="119" spans="1:143">
      <c r="A119" s="89"/>
      <c r="B119" s="89"/>
      <c r="C119" s="89"/>
      <c r="D119" s="89"/>
      <c r="E119" s="89"/>
      <c r="F119" s="89"/>
      <c r="G119" s="34"/>
      <c r="H119" s="56">
        <f t="shared" si="161"/>
        <v>105</v>
      </c>
      <c r="I119" s="165"/>
      <c r="J119" s="163"/>
      <c r="K119" s="163"/>
      <c r="L119" s="164"/>
      <c r="M119" s="155"/>
      <c r="N119" s="155"/>
      <c r="O119" s="144"/>
      <c r="P119" s="159" t="str">
        <f>IFERROR(IF(O119&lt;&gt;"User Specified",IF(O119&lt;&gt;"", INDEX('Refrigerant GWPs'!$G$2:$G$154,MATCH(O119,'Refrigerant GWPs'!$A$2:$A$154,0)),""),U119),0)</f>
        <v/>
      </c>
      <c r="Q119" s="155"/>
      <c r="R119" s="155"/>
      <c r="S119" s="144"/>
      <c r="T119" s="159" t="str">
        <f>IF(S119&lt;&gt;"User Specified",IF(AND(S119&lt;&gt;"User Specified",S119&lt;&gt;""), INDEX('Refrigerant GWPs'!$G$2:$G$154,MATCH(S119,'Refrigerant GWPs'!$A$2:$A$154,0)),""),V119)</f>
        <v/>
      </c>
      <c r="U119" s="144"/>
      <c r="V119" s="144"/>
      <c r="W119" s="155"/>
      <c r="X119" s="155"/>
      <c r="Y119" s="144"/>
      <c r="Z119" s="159" t="str">
        <f>IF(AND(Y119&lt;&gt;"User Specified",Y119&lt;&gt;""), INDEX('Refrigerant GWPs'!$G$2:$G$154,MATCH(Y119,'Refrigerant GWPs'!$A$2:$A$154,0)),"")</f>
        <v/>
      </c>
      <c r="AA119" s="155"/>
      <c r="AB119" s="156"/>
      <c r="AC119" s="66"/>
      <c r="AD119" s="66"/>
      <c r="AE119" s="66"/>
      <c r="AF119" s="66"/>
      <c r="AG119" s="66"/>
      <c r="AH119" s="66"/>
      <c r="AI119" s="34"/>
      <c r="AJ119" s="88">
        <f t="shared" si="119"/>
        <v>0</v>
      </c>
      <c r="AK119" s="88">
        <f t="shared" si="120"/>
        <v>0</v>
      </c>
      <c r="AL119" s="88">
        <v>0</v>
      </c>
      <c r="AM119" s="88">
        <v>0</v>
      </c>
      <c r="AN119" s="81" t="str">
        <f t="shared" si="162"/>
        <v/>
      </c>
      <c r="AO119" s="88">
        <f t="shared" si="121"/>
        <v>0</v>
      </c>
      <c r="AP119" s="88">
        <f t="shared" si="122"/>
        <v>0</v>
      </c>
      <c r="AQ119" s="81" t="str">
        <f t="shared" si="123"/>
        <v/>
      </c>
      <c r="AS119" s="41" t="b">
        <f t="shared" si="124"/>
        <v>1</v>
      </c>
      <c r="AT119" s="38">
        <f t="shared" si="125"/>
        <v>0</v>
      </c>
      <c r="AU119" s="60">
        <f t="shared" si="126"/>
        <v>0</v>
      </c>
      <c r="AV119" s="41">
        <f t="shared" si="127"/>
        <v>0</v>
      </c>
      <c r="AW119" s="41" t="b">
        <f t="shared" si="128"/>
        <v>0</v>
      </c>
      <c r="AX119" t="str">
        <f t="shared" si="129"/>
        <v>+00</v>
      </c>
      <c r="AY119" t="str">
        <f t="shared" si="130"/>
        <v>+00</v>
      </c>
      <c r="BA119" s="47" t="b">
        <f t="shared" si="164"/>
        <v>1</v>
      </c>
      <c r="BB119" s="42" t="b">
        <f t="shared" si="165"/>
        <v>1</v>
      </c>
      <c r="BC119" s="42" t="b">
        <f t="shared" si="166"/>
        <v>0</v>
      </c>
      <c r="BD119" s="42" t="b">
        <f t="shared" si="167"/>
        <v>0</v>
      </c>
      <c r="BE119" s="70">
        <f t="shared" si="168"/>
        <v>0</v>
      </c>
      <c r="BF119" s="70">
        <f t="shared" si="169"/>
        <v>0</v>
      </c>
      <c r="BG119" s="34"/>
      <c r="BI119" s="47" t="b">
        <f t="shared" si="170"/>
        <v>1</v>
      </c>
      <c r="BJ119" s="47" t="b">
        <f t="shared" si="171"/>
        <v>1</v>
      </c>
      <c r="BK119" s="42" t="b">
        <f t="shared" si="172"/>
        <v>0</v>
      </c>
      <c r="BL119" s="42" t="b">
        <f t="shared" si="173"/>
        <v>0</v>
      </c>
      <c r="BM119" s="42">
        <f t="shared" si="174"/>
        <v>0</v>
      </c>
      <c r="BN119" s="42">
        <f t="shared" si="175"/>
        <v>0</v>
      </c>
      <c r="BP119" t="e">
        <f t="shared" si="176"/>
        <v>#N/A</v>
      </c>
      <c r="BQ119" t="e">
        <f t="shared" si="177"/>
        <v>#N/A</v>
      </c>
      <c r="BR119" t="e">
        <f t="shared" si="178"/>
        <v>#N/A</v>
      </c>
      <c r="BT119" s="60">
        <f t="shared" si="187"/>
        <v>0</v>
      </c>
      <c r="BU119" s="60">
        <f t="shared" si="188"/>
        <v>0</v>
      </c>
      <c r="BV119" s="60">
        <f t="shared" si="189"/>
        <v>0</v>
      </c>
      <c r="BW119" s="60">
        <f t="shared" si="190"/>
        <v>0</v>
      </c>
      <c r="BX119" s="60">
        <f t="shared" si="179"/>
        <v>0</v>
      </c>
      <c r="BY119" s="60">
        <f t="shared" si="180"/>
        <v>0</v>
      </c>
      <c r="BZ119" s="60">
        <f t="shared" si="181"/>
        <v>0</v>
      </c>
      <c r="CA119" s="60">
        <f t="shared" si="182"/>
        <v>0</v>
      </c>
      <c r="CB119" s="60" t="e">
        <f t="shared" si="191"/>
        <v>#N/A</v>
      </c>
      <c r="CC119" s="60">
        <f t="shared" si="192"/>
        <v>100000</v>
      </c>
      <c r="CD119" s="60" t="e">
        <f t="shared" si="193"/>
        <v>#N/A</v>
      </c>
      <c r="CE119" s="60">
        <f t="shared" si="194"/>
        <v>100000</v>
      </c>
      <c r="CF119" s="83" t="e">
        <f t="shared" si="183"/>
        <v>#N/A</v>
      </c>
      <c r="CG119" s="83">
        <f t="shared" si="184"/>
        <v>0</v>
      </c>
      <c r="CH119" s="83" t="e">
        <f t="shared" si="185"/>
        <v>#N/A</v>
      </c>
      <c r="CI119" s="83">
        <f t="shared" si="186"/>
        <v>0</v>
      </c>
      <c r="CJ119" s="86" t="e">
        <f t="shared" si="195"/>
        <v>#N/A</v>
      </c>
      <c r="CK119" s="82">
        <f t="shared" si="196"/>
        <v>5.3070370403969858E-3</v>
      </c>
      <c r="CL119" s="82" t="e">
        <f t="shared" si="197"/>
        <v>#N/A</v>
      </c>
      <c r="CM119" s="82">
        <f t="shared" si="198"/>
        <v>5.3070370403969858E-3</v>
      </c>
      <c r="CO119" s="149" t="str">
        <f>IF($I119&lt;&gt;"",IF(O119="User Specified",U119,INDEX('Refrigerant GWPs'!$G$2:$G$156,MATCH(O119,'Refrigerant GWPs'!$A$2:$A$156,0))),"")</f>
        <v/>
      </c>
      <c r="CP119" s="138" t="str">
        <f>IF($I119&lt;&gt;"",INDEX('Device Refrigerant Leakage'!$E$2:$E$42,MATCH($M119,'Device Refrigerant Leakage'!$B$2:$B$42,0)),"")</f>
        <v/>
      </c>
      <c r="CQ119" s="138" t="str">
        <f>IF($I119&lt;&gt;"",INDEX('Device Refrigerant Leakage'!$F$2:$F$42,MATCH($M119,'Device Refrigerant Leakage'!$B$2:$B$42,0)),"")</f>
        <v/>
      </c>
      <c r="CR119" s="145" t="str">
        <f>IF($I119&lt;&gt;"",INDEX('Device Refrigerant Leakage'!$G$2:$G$42,MATCH($M119,'Device Refrigerant Leakage'!$B$2:$B$42,0)),"")</f>
        <v/>
      </c>
      <c r="CS119" s="145" t="str">
        <f>IF($I119&lt;&gt;"",INDEX('Device Refrigerant Leakage'!$D$2:$D$42,MATCH($M119,'Device Refrigerant Leakage'!$B$2:$B$42,0))*CP119/2204.62*CO119,"")</f>
        <v/>
      </c>
      <c r="CT119" s="145" t="str">
        <f>IF($I119&lt;&gt;"",J119*(INDEX('Device Refrigerant Leakage'!$D$2:$D$42,MATCH($M119,'Device Refrigerant Leakage'!$B$2:$B$42,0))-(INDEX('Device Refrigerant Leakage'!$D$2:$D$42,MATCH($M119,'Device Refrigerant Leakage'!$B$2:$B$42,0)))*CR119*CP119)*CQ119/2204.62*CO119,"")</f>
        <v/>
      </c>
      <c r="CU119" s="135" t="str">
        <f>IF($I119&lt;&gt;"",J119*IF(W119&lt;&gt;"AR",(CS119*K119)+CT119,(CS119*AB119)+CT119*(AB119/INDEX('Device Refrigerant Leakage'!$C$2:$C$42,MATCH($M119,'Device Refrigerant Leakage'!$B$2:$B$42,0)))),"")</f>
        <v/>
      </c>
      <c r="CW119" s="135" t="str">
        <f>IF($I119&lt;&gt;"",IF(S119="User Specified",V119,INDEX('Refrigerant GWPs'!$G$2:$G$156,MATCH(S119,'Refrigerant GWPs'!$A$2:$A$157,0))),"")</f>
        <v/>
      </c>
      <c r="CX119" s="138" t="str">
        <f>IF($I119&lt;&gt;"",INDEX('Device Refrigerant Leakage'!$E$2:$E$42,MATCH($Q119,'Device Refrigerant Leakage'!$B$2:$B$42,0)),"")</f>
        <v/>
      </c>
      <c r="CY119" s="138" t="str">
        <f>IF($I119&lt;&gt;"",INDEX('Device Refrigerant Leakage'!$F$2:$F$42,MATCH($Q119,'Device Refrigerant Leakage'!$B$2:$B$42,0)),"")</f>
        <v/>
      </c>
      <c r="CZ119" s="145" t="str">
        <f>IF($I119&lt;&gt;"",INDEX('Device Refrigerant Leakage'!$G$2:$G$42,MATCH($Q119,'Device Refrigerant Leakage'!$B$2:$B$42,0)),"")</f>
        <v/>
      </c>
      <c r="DA119" s="145" t="str">
        <f>IF($I119&lt;&gt;"",J119*INDEX('Device Refrigerant Leakage'!$D$2:$D$42,MATCH($Q119,'Device Refrigerant Leakage'!$B$2:$B$42,0))*CX119/2204.62*CW119,"")</f>
        <v/>
      </c>
      <c r="DB119" s="145" t="str">
        <f>IF($I119&lt;&gt;"",J119*(INDEX('Device Refrigerant Leakage'!$D$2:$D$42,MATCH($Q119,'Device Refrigerant Leakage'!$B$2:$B$42,0))-(INDEX('Device Refrigerant Leakage'!$D$2:$D$42,MATCH($Q119,'Device Refrigerant Leakage'!$B$2:$B$42,0)))*CZ119*CX119)*CY119/2204.62*CW119,"")</f>
        <v/>
      </c>
      <c r="DC119" s="135" t="str">
        <f t="shared" si="163"/>
        <v/>
      </c>
      <c r="DE119" s="146" t="str">
        <f>IF(W119&lt;&gt;"AR","",IF(Y119="User Specified", AA119, INDEX('Refrigerant GWPs'!$G$2:$G$154,MATCH(Y119,'Refrigerant GWPs'!$A$2:$A$154,0))))</f>
        <v/>
      </c>
      <c r="DF119" s="146" t="str">
        <f>IF(W119&lt;&gt;"AR","",INDEX('Device Refrigerant Leakage'!$E$2:$E$42,MATCH(X119,'Device Refrigerant Leakage'!$B$2:$B$42,0)))</f>
        <v/>
      </c>
      <c r="DG119" s="146" t="str">
        <f>IF(W119&lt;&gt;"AR","",INDEX('Device Refrigerant Leakage'!$F$2:$F$42,MATCH(X119,'Device Refrigerant Leakage'!$B$2:$B$42,0)))</f>
        <v/>
      </c>
      <c r="DH119" s="146" t="str">
        <f>IF(W119&lt;&gt;"AR","",INDEX('Device Refrigerant Leakage'!$G$2:$G$42,MATCH(X119,'Device Refrigerant Leakage'!$B$2:$B$42,0)))</f>
        <v/>
      </c>
      <c r="DI119" s="146" t="str">
        <f>IF(W119&lt;&gt;"AR","",J119*INDEX('Device Refrigerant Leakage'!$D$2:$D$42,MATCH(X119,'Device Refrigerant Leakage'!$B$2:$B$42,0))*DF119/2204.62*DE119)</f>
        <v/>
      </c>
      <c r="DJ119" s="146" t="str">
        <f>IF(W119&lt;&gt;"AR","",J119*(INDEX('Device Refrigerant Leakage'!$D$2:$D$42,MATCH(X119,'Device Refrigerant Leakage'!$B$2:$B$42,0))-(INDEX('Device Refrigerant Leakage'!$D$2:$D$42,MATCH(X119,'Device Refrigerant Leakage'!$B$2:$B$42,0)))*DH119*DF119)*DG119/2204.62*DE119)</f>
        <v/>
      </c>
      <c r="DK119" s="146" t="str">
        <f>IF(W119&lt;&gt;"AR","",DI119*(K119-AB119)+'Fuel Sub Calcs-Deemed'!DJ119*((K119-AB119)/INDEX('Device Refrigerant Leakage'!$C$2:$C$42,MATCH('Fuel Sub Calcs-Deemed'!X119,'Device Refrigerant Leakage'!$B$2:$B$42,0))))</f>
        <v/>
      </c>
      <c r="DM119" s="56">
        <v>105</v>
      </c>
      <c r="DN119" s="67" t="e">
        <f t="shared" si="143"/>
        <v>#N/A</v>
      </c>
      <c r="DO119" s="45" t="e">
        <f t="shared" si="144"/>
        <v>#N/A</v>
      </c>
      <c r="DP119" s="67" t="e">
        <f t="shared" si="145"/>
        <v>#N/A</v>
      </c>
      <c r="DQ119" s="45" t="e">
        <f t="shared" si="146"/>
        <v>#N/A</v>
      </c>
      <c r="DR119" s="69" t="e">
        <f t="shared" si="147"/>
        <v>#N/A</v>
      </c>
      <c r="DS119" s="34"/>
      <c r="DT119" s="67" t="e">
        <f>((BX119*CJ119)+IF($W119=MAT_AR,(BZ119*CL119),0))*(1+Reference!$E$50+Reference!$E$51)</f>
        <v>#N/A</v>
      </c>
      <c r="DU119" s="67">
        <f>((BY119*CK119)+IF($W119=MAT_AR,(CA119*CM119),0))*(1+Reference!$G$50+Reference!$G$51)</f>
        <v>0</v>
      </c>
      <c r="DV119" s="67" t="e">
        <f t="shared" si="148"/>
        <v>#VALUE!</v>
      </c>
      <c r="DX119" s="56">
        <v>105</v>
      </c>
      <c r="DY119" s="67">
        <f t="shared" si="149"/>
        <v>0</v>
      </c>
      <c r="DZ119" s="45" t="e">
        <f>VLOOKUP($R119,Dropdown!$C$3:$D$4,2,FALSE)</f>
        <v>#N/A</v>
      </c>
      <c r="EA119" s="68">
        <f t="shared" si="150"/>
        <v>0</v>
      </c>
      <c r="EB119" s="68" t="str">
        <f t="shared" si="151"/>
        <v>N/A</v>
      </c>
      <c r="EC119" s="68">
        <f t="shared" si="152"/>
        <v>0</v>
      </c>
      <c r="ED119" s="68" t="str">
        <f t="shared" si="199"/>
        <v>N/A</v>
      </c>
      <c r="EF119" s="56">
        <v>105</v>
      </c>
      <c r="EG119" s="46">
        <f t="shared" si="154"/>
        <v>0</v>
      </c>
      <c r="EH119" s="68" t="e">
        <f t="shared" si="155"/>
        <v>#N/A</v>
      </c>
      <c r="EI119" s="68" t="e">
        <f t="shared" si="156"/>
        <v>#N/A</v>
      </c>
      <c r="EJ119" s="68" t="e">
        <f t="shared" si="157"/>
        <v>#N/A</v>
      </c>
      <c r="EK119" s="68" t="e">
        <f t="shared" si="158"/>
        <v>#N/A</v>
      </c>
      <c r="EL119" s="46">
        <f t="shared" si="159"/>
        <v>0</v>
      </c>
      <c r="EM119" s="46">
        <f t="shared" si="160"/>
        <v>0</v>
      </c>
    </row>
    <row r="120" spans="1:143">
      <c r="A120" s="89"/>
      <c r="B120" s="89"/>
      <c r="C120" s="89"/>
      <c r="D120" s="89"/>
      <c r="E120" s="89"/>
      <c r="F120" s="89"/>
      <c r="G120" s="34"/>
      <c r="H120" s="56">
        <f t="shared" si="161"/>
        <v>106</v>
      </c>
      <c r="I120" s="165"/>
      <c r="J120" s="163"/>
      <c r="K120" s="163"/>
      <c r="L120" s="164"/>
      <c r="M120" s="155"/>
      <c r="N120" s="155"/>
      <c r="O120" s="144"/>
      <c r="P120" s="159" t="str">
        <f>IFERROR(IF(O120&lt;&gt;"User Specified",IF(O120&lt;&gt;"", INDEX('Refrigerant GWPs'!$G$2:$G$154,MATCH(O120,'Refrigerant GWPs'!$A$2:$A$154,0)),""),U120),0)</f>
        <v/>
      </c>
      <c r="Q120" s="155"/>
      <c r="R120" s="155"/>
      <c r="S120" s="144"/>
      <c r="T120" s="159" t="str">
        <f>IF(S120&lt;&gt;"User Specified",IF(AND(S120&lt;&gt;"User Specified",S120&lt;&gt;""), INDEX('Refrigerant GWPs'!$G$2:$G$154,MATCH(S120,'Refrigerant GWPs'!$A$2:$A$154,0)),""),V120)</f>
        <v/>
      </c>
      <c r="U120" s="144"/>
      <c r="V120" s="144"/>
      <c r="W120" s="155"/>
      <c r="X120" s="155"/>
      <c r="Y120" s="144"/>
      <c r="Z120" s="159" t="str">
        <f>IF(AND(Y120&lt;&gt;"User Specified",Y120&lt;&gt;""), INDEX('Refrigerant GWPs'!$G$2:$G$154,MATCH(Y120,'Refrigerant GWPs'!$A$2:$A$154,0)),"")</f>
        <v/>
      </c>
      <c r="AA120" s="155"/>
      <c r="AB120" s="156"/>
      <c r="AC120" s="66"/>
      <c r="AD120" s="66"/>
      <c r="AE120" s="66"/>
      <c r="AF120" s="66"/>
      <c r="AG120" s="66"/>
      <c r="AH120" s="66"/>
      <c r="AI120" s="34"/>
      <c r="AJ120" s="88">
        <f t="shared" si="119"/>
        <v>0</v>
      </c>
      <c r="AK120" s="88">
        <f t="shared" si="120"/>
        <v>0</v>
      </c>
      <c r="AL120" s="88">
        <v>0</v>
      </c>
      <c r="AM120" s="88">
        <v>0</v>
      </c>
      <c r="AN120" s="81" t="str">
        <f t="shared" si="162"/>
        <v/>
      </c>
      <c r="AO120" s="88">
        <f t="shared" si="121"/>
        <v>0</v>
      </c>
      <c r="AP120" s="88">
        <f t="shared" si="122"/>
        <v>0</v>
      </c>
      <c r="AQ120" s="81" t="str">
        <f t="shared" si="123"/>
        <v/>
      </c>
      <c r="AS120" s="41" t="b">
        <f t="shared" si="124"/>
        <v>1</v>
      </c>
      <c r="AT120" s="38">
        <f t="shared" si="125"/>
        <v>0</v>
      </c>
      <c r="AU120" s="60">
        <f t="shared" si="126"/>
        <v>0</v>
      </c>
      <c r="AV120" s="41">
        <f t="shared" si="127"/>
        <v>0</v>
      </c>
      <c r="AW120" s="41" t="b">
        <f t="shared" si="128"/>
        <v>0</v>
      </c>
      <c r="AX120" t="str">
        <f t="shared" si="129"/>
        <v>+00</v>
      </c>
      <c r="AY120" t="str">
        <f t="shared" si="130"/>
        <v>+00</v>
      </c>
      <c r="BA120" s="47" t="b">
        <f t="shared" si="164"/>
        <v>1</v>
      </c>
      <c r="BB120" s="42" t="b">
        <f t="shared" si="165"/>
        <v>1</v>
      </c>
      <c r="BC120" s="42" t="b">
        <f t="shared" si="166"/>
        <v>0</v>
      </c>
      <c r="BD120" s="42" t="b">
        <f t="shared" si="167"/>
        <v>0</v>
      </c>
      <c r="BE120" s="70">
        <f t="shared" si="168"/>
        <v>0</v>
      </c>
      <c r="BF120" s="70">
        <f t="shared" si="169"/>
        <v>0</v>
      </c>
      <c r="BG120" s="34"/>
      <c r="BI120" s="47" t="b">
        <f t="shared" si="170"/>
        <v>1</v>
      </c>
      <c r="BJ120" s="47" t="b">
        <f t="shared" si="171"/>
        <v>1</v>
      </c>
      <c r="BK120" s="42" t="b">
        <f t="shared" si="172"/>
        <v>0</v>
      </c>
      <c r="BL120" s="42" t="b">
        <f t="shared" si="173"/>
        <v>0</v>
      </c>
      <c r="BM120" s="42">
        <f t="shared" si="174"/>
        <v>0</v>
      </c>
      <c r="BN120" s="42">
        <f t="shared" si="175"/>
        <v>0</v>
      </c>
      <c r="BP120" t="e">
        <f t="shared" si="176"/>
        <v>#N/A</v>
      </c>
      <c r="BQ120" t="e">
        <f t="shared" si="177"/>
        <v>#N/A</v>
      </c>
      <c r="BR120" t="e">
        <f t="shared" si="178"/>
        <v>#N/A</v>
      </c>
      <c r="BT120" s="60">
        <f t="shared" si="187"/>
        <v>0</v>
      </c>
      <c r="BU120" s="60">
        <f t="shared" si="188"/>
        <v>0</v>
      </c>
      <c r="BV120" s="60">
        <f t="shared" si="189"/>
        <v>0</v>
      </c>
      <c r="BW120" s="60">
        <f t="shared" si="190"/>
        <v>0</v>
      </c>
      <c r="BX120" s="60">
        <f t="shared" si="179"/>
        <v>0</v>
      </c>
      <c r="BY120" s="60">
        <f t="shared" si="180"/>
        <v>0</v>
      </c>
      <c r="BZ120" s="60">
        <f t="shared" si="181"/>
        <v>0</v>
      </c>
      <c r="CA120" s="60">
        <f t="shared" si="182"/>
        <v>0</v>
      </c>
      <c r="CB120" s="60" t="e">
        <f t="shared" si="191"/>
        <v>#N/A</v>
      </c>
      <c r="CC120" s="60">
        <f t="shared" si="192"/>
        <v>100000</v>
      </c>
      <c r="CD120" s="60" t="e">
        <f t="shared" si="193"/>
        <v>#N/A</v>
      </c>
      <c r="CE120" s="60">
        <f t="shared" si="194"/>
        <v>100000</v>
      </c>
      <c r="CF120" s="83" t="e">
        <f t="shared" si="183"/>
        <v>#N/A</v>
      </c>
      <c r="CG120" s="83">
        <f t="shared" si="184"/>
        <v>0</v>
      </c>
      <c r="CH120" s="83" t="e">
        <f t="shared" si="185"/>
        <v>#N/A</v>
      </c>
      <c r="CI120" s="83">
        <f t="shared" si="186"/>
        <v>0</v>
      </c>
      <c r="CJ120" s="86" t="e">
        <f t="shared" si="195"/>
        <v>#N/A</v>
      </c>
      <c r="CK120" s="82">
        <f t="shared" si="196"/>
        <v>5.3070370403969858E-3</v>
      </c>
      <c r="CL120" s="82" t="e">
        <f t="shared" si="197"/>
        <v>#N/A</v>
      </c>
      <c r="CM120" s="82">
        <f t="shared" si="198"/>
        <v>5.3070370403969858E-3</v>
      </c>
      <c r="CO120" s="149" t="str">
        <f>IF($I120&lt;&gt;"",IF(O120="User Specified",U120,INDEX('Refrigerant GWPs'!$G$2:$G$156,MATCH(O120,'Refrigerant GWPs'!$A$2:$A$156,0))),"")</f>
        <v/>
      </c>
      <c r="CP120" s="138" t="str">
        <f>IF($I120&lt;&gt;"",INDEX('Device Refrigerant Leakage'!$E$2:$E$42,MATCH($M120,'Device Refrigerant Leakage'!$B$2:$B$42,0)),"")</f>
        <v/>
      </c>
      <c r="CQ120" s="138" t="str">
        <f>IF($I120&lt;&gt;"",INDEX('Device Refrigerant Leakage'!$F$2:$F$42,MATCH($M120,'Device Refrigerant Leakage'!$B$2:$B$42,0)),"")</f>
        <v/>
      </c>
      <c r="CR120" s="145" t="str">
        <f>IF($I120&lt;&gt;"",INDEX('Device Refrigerant Leakage'!$G$2:$G$42,MATCH($M120,'Device Refrigerant Leakage'!$B$2:$B$42,0)),"")</f>
        <v/>
      </c>
      <c r="CS120" s="145" t="str">
        <f>IF($I120&lt;&gt;"",INDEX('Device Refrigerant Leakage'!$D$2:$D$42,MATCH($M120,'Device Refrigerant Leakage'!$B$2:$B$42,0))*CP120/2204.62*CO120,"")</f>
        <v/>
      </c>
      <c r="CT120" s="145" t="str">
        <f>IF($I120&lt;&gt;"",J120*(INDEX('Device Refrigerant Leakage'!$D$2:$D$42,MATCH($M120,'Device Refrigerant Leakage'!$B$2:$B$42,0))-(INDEX('Device Refrigerant Leakage'!$D$2:$D$42,MATCH($M120,'Device Refrigerant Leakage'!$B$2:$B$42,0)))*CR120*CP120)*CQ120/2204.62*CO120,"")</f>
        <v/>
      </c>
      <c r="CU120" s="135" t="str">
        <f>IF($I120&lt;&gt;"",J120*IF(W120&lt;&gt;"AR",(CS120*K120)+CT120,(CS120*AB120)+CT120*(AB120/INDEX('Device Refrigerant Leakage'!$C$2:$C$42,MATCH($M120,'Device Refrigerant Leakage'!$B$2:$B$42,0)))),"")</f>
        <v/>
      </c>
      <c r="CW120" s="135" t="str">
        <f>IF($I120&lt;&gt;"",IF(S120="User Specified",V120,INDEX('Refrigerant GWPs'!$G$2:$G$156,MATCH(S120,'Refrigerant GWPs'!$A$2:$A$157,0))),"")</f>
        <v/>
      </c>
      <c r="CX120" s="138" t="str">
        <f>IF($I120&lt;&gt;"",INDEX('Device Refrigerant Leakage'!$E$2:$E$42,MATCH($Q120,'Device Refrigerant Leakage'!$B$2:$B$42,0)),"")</f>
        <v/>
      </c>
      <c r="CY120" s="138" t="str">
        <f>IF($I120&lt;&gt;"",INDEX('Device Refrigerant Leakage'!$F$2:$F$42,MATCH($Q120,'Device Refrigerant Leakage'!$B$2:$B$42,0)),"")</f>
        <v/>
      </c>
      <c r="CZ120" s="145" t="str">
        <f>IF($I120&lt;&gt;"",INDEX('Device Refrigerant Leakage'!$G$2:$G$42,MATCH($Q120,'Device Refrigerant Leakage'!$B$2:$B$42,0)),"")</f>
        <v/>
      </c>
      <c r="DA120" s="145" t="str">
        <f>IF($I120&lt;&gt;"",J120*INDEX('Device Refrigerant Leakage'!$D$2:$D$42,MATCH($Q120,'Device Refrigerant Leakage'!$B$2:$B$42,0))*CX120/2204.62*CW120,"")</f>
        <v/>
      </c>
      <c r="DB120" s="145" t="str">
        <f>IF($I120&lt;&gt;"",J120*(INDEX('Device Refrigerant Leakage'!$D$2:$D$42,MATCH($Q120,'Device Refrigerant Leakage'!$B$2:$B$42,0))-(INDEX('Device Refrigerant Leakage'!$D$2:$D$42,MATCH($Q120,'Device Refrigerant Leakage'!$B$2:$B$42,0)))*CZ120*CX120)*CY120/2204.62*CW120,"")</f>
        <v/>
      </c>
      <c r="DC120" s="135" t="str">
        <f t="shared" si="163"/>
        <v/>
      </c>
      <c r="DE120" s="146" t="str">
        <f>IF(W120&lt;&gt;"AR","",IF(Y120="User Specified", AA120, INDEX('Refrigerant GWPs'!$G$2:$G$154,MATCH(Y120,'Refrigerant GWPs'!$A$2:$A$154,0))))</f>
        <v/>
      </c>
      <c r="DF120" s="146" t="str">
        <f>IF(W120&lt;&gt;"AR","",INDEX('Device Refrigerant Leakage'!$E$2:$E$42,MATCH(X120,'Device Refrigerant Leakage'!$B$2:$B$42,0)))</f>
        <v/>
      </c>
      <c r="DG120" s="146" t="str">
        <f>IF(W120&lt;&gt;"AR","",INDEX('Device Refrigerant Leakage'!$F$2:$F$42,MATCH(X120,'Device Refrigerant Leakage'!$B$2:$B$42,0)))</f>
        <v/>
      </c>
      <c r="DH120" s="146" t="str">
        <f>IF(W120&lt;&gt;"AR","",INDEX('Device Refrigerant Leakage'!$G$2:$G$42,MATCH(X120,'Device Refrigerant Leakage'!$B$2:$B$42,0)))</f>
        <v/>
      </c>
      <c r="DI120" s="146" t="str">
        <f>IF(W120&lt;&gt;"AR","",J120*INDEX('Device Refrigerant Leakage'!$D$2:$D$42,MATCH(X120,'Device Refrigerant Leakage'!$B$2:$B$42,0))*DF120/2204.62*DE120)</f>
        <v/>
      </c>
      <c r="DJ120" s="146" t="str">
        <f>IF(W120&lt;&gt;"AR","",J120*(INDEX('Device Refrigerant Leakage'!$D$2:$D$42,MATCH(X120,'Device Refrigerant Leakage'!$B$2:$B$42,0))-(INDEX('Device Refrigerant Leakage'!$D$2:$D$42,MATCH(X120,'Device Refrigerant Leakage'!$B$2:$B$42,0)))*DH120*DF120)*DG120/2204.62*DE120)</f>
        <v/>
      </c>
      <c r="DK120" s="146" t="str">
        <f>IF(W120&lt;&gt;"AR","",DI120*(K120-AB120)+'Fuel Sub Calcs-Deemed'!DJ120*((K120-AB120)/INDEX('Device Refrigerant Leakage'!$C$2:$C$42,MATCH('Fuel Sub Calcs-Deemed'!X120,'Device Refrigerant Leakage'!$B$2:$B$42,0))))</f>
        <v/>
      </c>
      <c r="DM120" s="56">
        <v>106</v>
      </c>
      <c r="DN120" s="67" t="e">
        <f t="shared" si="143"/>
        <v>#N/A</v>
      </c>
      <c r="DO120" s="45" t="e">
        <f t="shared" si="144"/>
        <v>#N/A</v>
      </c>
      <c r="DP120" s="67" t="e">
        <f t="shared" si="145"/>
        <v>#N/A</v>
      </c>
      <c r="DQ120" s="45" t="e">
        <f t="shared" si="146"/>
        <v>#N/A</v>
      </c>
      <c r="DR120" s="69" t="e">
        <f t="shared" si="147"/>
        <v>#N/A</v>
      </c>
      <c r="DS120" s="34"/>
      <c r="DT120" s="67" t="e">
        <f>((BX120*CJ120)+IF($W120=MAT_AR,(BZ120*CL120),0))*(1+Reference!$E$50+Reference!$E$51)</f>
        <v>#N/A</v>
      </c>
      <c r="DU120" s="67">
        <f>((BY120*CK120)+IF($W120=MAT_AR,(CA120*CM120),0))*(1+Reference!$G$50+Reference!$G$51)</f>
        <v>0</v>
      </c>
      <c r="DV120" s="67" t="e">
        <f t="shared" si="148"/>
        <v>#VALUE!</v>
      </c>
      <c r="DX120" s="56">
        <v>106</v>
      </c>
      <c r="DY120" s="67">
        <f t="shared" si="149"/>
        <v>0</v>
      </c>
      <c r="DZ120" s="45" t="e">
        <f>VLOOKUP($R120,Dropdown!$C$3:$D$4,2,FALSE)</f>
        <v>#N/A</v>
      </c>
      <c r="EA120" s="68">
        <f t="shared" si="150"/>
        <v>0</v>
      </c>
      <c r="EB120" s="68" t="str">
        <f t="shared" si="151"/>
        <v>N/A</v>
      </c>
      <c r="EC120" s="68">
        <f t="shared" si="152"/>
        <v>0</v>
      </c>
      <c r="ED120" s="68" t="str">
        <f t="shared" si="199"/>
        <v>N/A</v>
      </c>
      <c r="EF120" s="56">
        <v>106</v>
      </c>
      <c r="EG120" s="46">
        <f t="shared" si="154"/>
        <v>0</v>
      </c>
      <c r="EH120" s="68" t="e">
        <f t="shared" si="155"/>
        <v>#N/A</v>
      </c>
      <c r="EI120" s="68" t="e">
        <f t="shared" si="156"/>
        <v>#N/A</v>
      </c>
      <c r="EJ120" s="68" t="e">
        <f t="shared" si="157"/>
        <v>#N/A</v>
      </c>
      <c r="EK120" s="68" t="e">
        <f t="shared" si="158"/>
        <v>#N/A</v>
      </c>
      <c r="EL120" s="46">
        <f t="shared" si="159"/>
        <v>0</v>
      </c>
      <c r="EM120" s="46">
        <f t="shared" si="160"/>
        <v>0</v>
      </c>
    </row>
    <row r="121" spans="1:143">
      <c r="A121" s="89"/>
      <c r="B121" s="89"/>
      <c r="C121" s="89"/>
      <c r="D121" s="89"/>
      <c r="E121" s="89"/>
      <c r="F121" s="89"/>
      <c r="G121" s="34"/>
      <c r="H121" s="56">
        <f t="shared" si="161"/>
        <v>107</v>
      </c>
      <c r="I121" s="165"/>
      <c r="J121" s="163"/>
      <c r="K121" s="163"/>
      <c r="L121" s="164"/>
      <c r="M121" s="155"/>
      <c r="N121" s="155"/>
      <c r="O121" s="144"/>
      <c r="P121" s="159" t="str">
        <f>IFERROR(IF(O121&lt;&gt;"User Specified",IF(O121&lt;&gt;"", INDEX('Refrigerant GWPs'!$G$2:$G$154,MATCH(O121,'Refrigerant GWPs'!$A$2:$A$154,0)),""),U121),0)</f>
        <v/>
      </c>
      <c r="Q121" s="155"/>
      <c r="R121" s="155"/>
      <c r="S121" s="144"/>
      <c r="T121" s="159" t="str">
        <f>IF(S121&lt;&gt;"User Specified",IF(AND(S121&lt;&gt;"User Specified",S121&lt;&gt;""), INDEX('Refrigerant GWPs'!$G$2:$G$154,MATCH(S121,'Refrigerant GWPs'!$A$2:$A$154,0)),""),V121)</f>
        <v/>
      </c>
      <c r="U121" s="144"/>
      <c r="V121" s="144"/>
      <c r="W121" s="155"/>
      <c r="X121" s="155"/>
      <c r="Y121" s="144"/>
      <c r="Z121" s="159" t="str">
        <f>IF(AND(Y121&lt;&gt;"User Specified",Y121&lt;&gt;""), INDEX('Refrigerant GWPs'!$G$2:$G$154,MATCH(Y121,'Refrigerant GWPs'!$A$2:$A$154,0)),"")</f>
        <v/>
      </c>
      <c r="AA121" s="155"/>
      <c r="AB121" s="156"/>
      <c r="AC121" s="66"/>
      <c r="AD121" s="66"/>
      <c r="AE121" s="66"/>
      <c r="AF121" s="66"/>
      <c r="AG121" s="66"/>
      <c r="AH121" s="66"/>
      <c r="AI121" s="34"/>
      <c r="AJ121" s="88">
        <f t="shared" si="119"/>
        <v>0</v>
      </c>
      <c r="AK121" s="88">
        <f t="shared" si="120"/>
        <v>0</v>
      </c>
      <c r="AL121" s="88">
        <v>0</v>
      </c>
      <c r="AM121" s="88">
        <v>0</v>
      </c>
      <c r="AN121" s="81" t="str">
        <f t="shared" si="162"/>
        <v/>
      </c>
      <c r="AO121" s="88">
        <f t="shared" si="121"/>
        <v>0</v>
      </c>
      <c r="AP121" s="88">
        <f t="shared" si="122"/>
        <v>0</v>
      </c>
      <c r="AQ121" s="81" t="str">
        <f t="shared" si="123"/>
        <v/>
      </c>
      <c r="AS121" s="41" t="b">
        <f t="shared" si="124"/>
        <v>1</v>
      </c>
      <c r="AT121" s="38">
        <f t="shared" si="125"/>
        <v>0</v>
      </c>
      <c r="AU121" s="60">
        <f t="shared" si="126"/>
        <v>0</v>
      </c>
      <c r="AV121" s="41">
        <f t="shared" si="127"/>
        <v>0</v>
      </c>
      <c r="AW121" s="41" t="b">
        <f t="shared" si="128"/>
        <v>0</v>
      </c>
      <c r="AX121" t="str">
        <f t="shared" si="129"/>
        <v>+00</v>
      </c>
      <c r="AY121" t="str">
        <f t="shared" si="130"/>
        <v>+00</v>
      </c>
      <c r="BA121" s="47" t="b">
        <f t="shared" si="164"/>
        <v>1</v>
      </c>
      <c r="BB121" s="42" t="b">
        <f t="shared" si="165"/>
        <v>1</v>
      </c>
      <c r="BC121" s="42" t="b">
        <f t="shared" si="166"/>
        <v>0</v>
      </c>
      <c r="BD121" s="42" t="b">
        <f t="shared" si="167"/>
        <v>0</v>
      </c>
      <c r="BE121" s="70">
        <f t="shared" si="168"/>
        <v>0</v>
      </c>
      <c r="BF121" s="70">
        <f t="shared" si="169"/>
        <v>0</v>
      </c>
      <c r="BG121" s="34"/>
      <c r="BI121" s="47" t="b">
        <f t="shared" si="170"/>
        <v>1</v>
      </c>
      <c r="BJ121" s="47" t="b">
        <f t="shared" si="171"/>
        <v>1</v>
      </c>
      <c r="BK121" s="42" t="b">
        <f t="shared" si="172"/>
        <v>0</v>
      </c>
      <c r="BL121" s="42" t="b">
        <f t="shared" si="173"/>
        <v>0</v>
      </c>
      <c r="BM121" s="42">
        <f t="shared" si="174"/>
        <v>0</v>
      </c>
      <c r="BN121" s="42">
        <f t="shared" si="175"/>
        <v>0</v>
      </c>
      <c r="BP121" t="e">
        <f t="shared" si="176"/>
        <v>#N/A</v>
      </c>
      <c r="BQ121" t="e">
        <f t="shared" si="177"/>
        <v>#N/A</v>
      </c>
      <c r="BR121" t="e">
        <f t="shared" si="178"/>
        <v>#N/A</v>
      </c>
      <c r="BT121" s="60">
        <f t="shared" si="187"/>
        <v>0</v>
      </c>
      <c r="BU121" s="60">
        <f t="shared" si="188"/>
        <v>0</v>
      </c>
      <c r="BV121" s="60">
        <f t="shared" si="189"/>
        <v>0</v>
      </c>
      <c r="BW121" s="60">
        <f t="shared" si="190"/>
        <v>0</v>
      </c>
      <c r="BX121" s="60">
        <f t="shared" si="179"/>
        <v>0</v>
      </c>
      <c r="BY121" s="60">
        <f t="shared" si="180"/>
        <v>0</v>
      </c>
      <c r="BZ121" s="60">
        <f t="shared" si="181"/>
        <v>0</v>
      </c>
      <c r="CA121" s="60">
        <f t="shared" si="182"/>
        <v>0</v>
      </c>
      <c r="CB121" s="60" t="e">
        <f t="shared" si="191"/>
        <v>#N/A</v>
      </c>
      <c r="CC121" s="60">
        <f t="shared" si="192"/>
        <v>100000</v>
      </c>
      <c r="CD121" s="60" t="e">
        <f t="shared" si="193"/>
        <v>#N/A</v>
      </c>
      <c r="CE121" s="60">
        <f t="shared" si="194"/>
        <v>100000</v>
      </c>
      <c r="CF121" s="83" t="e">
        <f t="shared" si="183"/>
        <v>#N/A</v>
      </c>
      <c r="CG121" s="83">
        <f t="shared" si="184"/>
        <v>0</v>
      </c>
      <c r="CH121" s="83" t="e">
        <f t="shared" si="185"/>
        <v>#N/A</v>
      </c>
      <c r="CI121" s="83">
        <f t="shared" si="186"/>
        <v>0</v>
      </c>
      <c r="CJ121" s="86" t="e">
        <f t="shared" si="195"/>
        <v>#N/A</v>
      </c>
      <c r="CK121" s="82">
        <f t="shared" si="196"/>
        <v>5.3070370403969858E-3</v>
      </c>
      <c r="CL121" s="82" t="e">
        <f t="shared" si="197"/>
        <v>#N/A</v>
      </c>
      <c r="CM121" s="82">
        <f t="shared" si="198"/>
        <v>5.3070370403969858E-3</v>
      </c>
      <c r="CO121" s="149" t="str">
        <f>IF($I121&lt;&gt;"",IF(O121="User Specified",U121,INDEX('Refrigerant GWPs'!$G$2:$G$156,MATCH(O121,'Refrigerant GWPs'!$A$2:$A$156,0))),"")</f>
        <v/>
      </c>
      <c r="CP121" s="138" t="str">
        <f>IF($I121&lt;&gt;"",INDEX('Device Refrigerant Leakage'!$E$2:$E$42,MATCH($M121,'Device Refrigerant Leakage'!$B$2:$B$42,0)),"")</f>
        <v/>
      </c>
      <c r="CQ121" s="138" t="str">
        <f>IF($I121&lt;&gt;"",INDEX('Device Refrigerant Leakage'!$F$2:$F$42,MATCH($M121,'Device Refrigerant Leakage'!$B$2:$B$42,0)),"")</f>
        <v/>
      </c>
      <c r="CR121" s="145" t="str">
        <f>IF($I121&lt;&gt;"",INDEX('Device Refrigerant Leakage'!$G$2:$G$42,MATCH($M121,'Device Refrigerant Leakage'!$B$2:$B$42,0)),"")</f>
        <v/>
      </c>
      <c r="CS121" s="145" t="str">
        <f>IF($I121&lt;&gt;"",INDEX('Device Refrigerant Leakage'!$D$2:$D$42,MATCH($M121,'Device Refrigerant Leakage'!$B$2:$B$42,0))*CP121/2204.62*CO121,"")</f>
        <v/>
      </c>
      <c r="CT121" s="145" t="str">
        <f>IF($I121&lt;&gt;"",J121*(INDEX('Device Refrigerant Leakage'!$D$2:$D$42,MATCH($M121,'Device Refrigerant Leakage'!$B$2:$B$42,0))-(INDEX('Device Refrigerant Leakage'!$D$2:$D$42,MATCH($M121,'Device Refrigerant Leakage'!$B$2:$B$42,0)))*CR121*CP121)*CQ121/2204.62*CO121,"")</f>
        <v/>
      </c>
      <c r="CU121" s="135" t="str">
        <f>IF($I121&lt;&gt;"",J121*IF(W121&lt;&gt;"AR",(CS121*K121)+CT121,(CS121*AB121)+CT121*(AB121/INDEX('Device Refrigerant Leakage'!$C$2:$C$42,MATCH($M121,'Device Refrigerant Leakage'!$B$2:$B$42,0)))),"")</f>
        <v/>
      </c>
      <c r="CW121" s="135" t="str">
        <f>IF($I121&lt;&gt;"",IF(S121="User Specified",V121,INDEX('Refrigerant GWPs'!$G$2:$G$156,MATCH(S121,'Refrigerant GWPs'!$A$2:$A$157,0))),"")</f>
        <v/>
      </c>
      <c r="CX121" s="138" t="str">
        <f>IF($I121&lt;&gt;"",INDEX('Device Refrigerant Leakage'!$E$2:$E$42,MATCH($Q121,'Device Refrigerant Leakage'!$B$2:$B$42,0)),"")</f>
        <v/>
      </c>
      <c r="CY121" s="138" t="str">
        <f>IF($I121&lt;&gt;"",INDEX('Device Refrigerant Leakage'!$F$2:$F$42,MATCH($Q121,'Device Refrigerant Leakage'!$B$2:$B$42,0)),"")</f>
        <v/>
      </c>
      <c r="CZ121" s="145" t="str">
        <f>IF($I121&lt;&gt;"",INDEX('Device Refrigerant Leakage'!$G$2:$G$42,MATCH($Q121,'Device Refrigerant Leakage'!$B$2:$B$42,0)),"")</f>
        <v/>
      </c>
      <c r="DA121" s="145" t="str">
        <f>IF($I121&lt;&gt;"",J121*INDEX('Device Refrigerant Leakage'!$D$2:$D$42,MATCH($Q121,'Device Refrigerant Leakage'!$B$2:$B$42,0))*CX121/2204.62*CW121,"")</f>
        <v/>
      </c>
      <c r="DB121" s="145" t="str">
        <f>IF($I121&lt;&gt;"",J121*(INDEX('Device Refrigerant Leakage'!$D$2:$D$42,MATCH($Q121,'Device Refrigerant Leakage'!$B$2:$B$42,0))-(INDEX('Device Refrigerant Leakage'!$D$2:$D$42,MATCH($Q121,'Device Refrigerant Leakage'!$B$2:$B$42,0)))*CZ121*CX121)*CY121/2204.62*CW121,"")</f>
        <v/>
      </c>
      <c r="DC121" s="135" t="str">
        <f t="shared" si="163"/>
        <v/>
      </c>
      <c r="DE121" s="146" t="str">
        <f>IF(W121&lt;&gt;"AR","",IF(Y121="User Specified", AA121, INDEX('Refrigerant GWPs'!$G$2:$G$154,MATCH(Y121,'Refrigerant GWPs'!$A$2:$A$154,0))))</f>
        <v/>
      </c>
      <c r="DF121" s="146" t="str">
        <f>IF(W121&lt;&gt;"AR","",INDEX('Device Refrigerant Leakage'!$E$2:$E$42,MATCH(X121,'Device Refrigerant Leakage'!$B$2:$B$42,0)))</f>
        <v/>
      </c>
      <c r="DG121" s="146" t="str">
        <f>IF(W121&lt;&gt;"AR","",INDEX('Device Refrigerant Leakage'!$F$2:$F$42,MATCH(X121,'Device Refrigerant Leakage'!$B$2:$B$42,0)))</f>
        <v/>
      </c>
      <c r="DH121" s="146" t="str">
        <f>IF(W121&lt;&gt;"AR","",INDEX('Device Refrigerant Leakage'!$G$2:$G$42,MATCH(X121,'Device Refrigerant Leakage'!$B$2:$B$42,0)))</f>
        <v/>
      </c>
      <c r="DI121" s="146" t="str">
        <f>IF(W121&lt;&gt;"AR","",J121*INDEX('Device Refrigerant Leakage'!$D$2:$D$42,MATCH(X121,'Device Refrigerant Leakage'!$B$2:$B$42,0))*DF121/2204.62*DE121)</f>
        <v/>
      </c>
      <c r="DJ121" s="146" t="str">
        <f>IF(W121&lt;&gt;"AR","",J121*(INDEX('Device Refrigerant Leakage'!$D$2:$D$42,MATCH(X121,'Device Refrigerant Leakage'!$B$2:$B$42,0))-(INDEX('Device Refrigerant Leakage'!$D$2:$D$42,MATCH(X121,'Device Refrigerant Leakage'!$B$2:$B$42,0)))*DH121*DF121)*DG121/2204.62*DE121)</f>
        <v/>
      </c>
      <c r="DK121" s="146" t="str">
        <f>IF(W121&lt;&gt;"AR","",DI121*(K121-AB121)+'Fuel Sub Calcs-Deemed'!DJ121*((K121-AB121)/INDEX('Device Refrigerant Leakage'!$C$2:$C$42,MATCH('Fuel Sub Calcs-Deemed'!X121,'Device Refrigerant Leakage'!$B$2:$B$42,0))))</f>
        <v/>
      </c>
      <c r="DM121" s="56">
        <v>107</v>
      </c>
      <c r="DN121" s="67" t="e">
        <f t="shared" si="143"/>
        <v>#N/A</v>
      </c>
      <c r="DO121" s="45" t="e">
        <f t="shared" si="144"/>
        <v>#N/A</v>
      </c>
      <c r="DP121" s="67" t="e">
        <f t="shared" si="145"/>
        <v>#N/A</v>
      </c>
      <c r="DQ121" s="45" t="e">
        <f t="shared" si="146"/>
        <v>#N/A</v>
      </c>
      <c r="DR121" s="69" t="e">
        <f t="shared" si="147"/>
        <v>#N/A</v>
      </c>
      <c r="DS121" s="34"/>
      <c r="DT121" s="67" t="e">
        <f>((BX121*CJ121)+IF($W121=MAT_AR,(BZ121*CL121),0))*(1+Reference!$E$50+Reference!$E$51)</f>
        <v>#N/A</v>
      </c>
      <c r="DU121" s="67">
        <f>((BY121*CK121)+IF($W121=MAT_AR,(CA121*CM121),0))*(1+Reference!$G$50+Reference!$G$51)</f>
        <v>0</v>
      </c>
      <c r="DV121" s="67" t="e">
        <f t="shared" si="148"/>
        <v>#VALUE!</v>
      </c>
      <c r="DX121" s="56">
        <v>107</v>
      </c>
      <c r="DY121" s="67">
        <f t="shared" si="149"/>
        <v>0</v>
      </c>
      <c r="DZ121" s="45" t="e">
        <f>VLOOKUP($R121,Dropdown!$C$3:$D$4,2,FALSE)</f>
        <v>#N/A</v>
      </c>
      <c r="EA121" s="68">
        <f t="shared" si="150"/>
        <v>0</v>
      </c>
      <c r="EB121" s="68" t="str">
        <f t="shared" si="151"/>
        <v>N/A</v>
      </c>
      <c r="EC121" s="68">
        <f t="shared" si="152"/>
        <v>0</v>
      </c>
      <c r="ED121" s="68" t="str">
        <f t="shared" si="199"/>
        <v>N/A</v>
      </c>
      <c r="EF121" s="56">
        <v>107</v>
      </c>
      <c r="EG121" s="46">
        <f t="shared" si="154"/>
        <v>0</v>
      </c>
      <c r="EH121" s="68" t="e">
        <f t="shared" si="155"/>
        <v>#N/A</v>
      </c>
      <c r="EI121" s="68" t="e">
        <f t="shared" si="156"/>
        <v>#N/A</v>
      </c>
      <c r="EJ121" s="68" t="e">
        <f t="shared" si="157"/>
        <v>#N/A</v>
      </c>
      <c r="EK121" s="68" t="e">
        <f t="shared" si="158"/>
        <v>#N/A</v>
      </c>
      <c r="EL121" s="46">
        <f t="shared" si="159"/>
        <v>0</v>
      </c>
      <c r="EM121" s="46">
        <f t="shared" si="160"/>
        <v>0</v>
      </c>
    </row>
    <row r="122" spans="1:143">
      <c r="A122" s="89"/>
      <c r="B122" s="89"/>
      <c r="C122" s="89"/>
      <c r="D122" s="89"/>
      <c r="E122" s="89"/>
      <c r="F122" s="89"/>
      <c r="G122" s="34"/>
      <c r="H122" s="56">
        <f t="shared" si="161"/>
        <v>108</v>
      </c>
      <c r="I122" s="165"/>
      <c r="J122" s="163"/>
      <c r="K122" s="163"/>
      <c r="L122" s="164"/>
      <c r="M122" s="155"/>
      <c r="N122" s="155"/>
      <c r="O122" s="144"/>
      <c r="P122" s="159" t="str">
        <f>IFERROR(IF(O122&lt;&gt;"User Specified",IF(O122&lt;&gt;"", INDEX('Refrigerant GWPs'!$G$2:$G$154,MATCH(O122,'Refrigerant GWPs'!$A$2:$A$154,0)),""),U122),0)</f>
        <v/>
      </c>
      <c r="Q122" s="155"/>
      <c r="R122" s="155"/>
      <c r="S122" s="144"/>
      <c r="T122" s="159" t="str">
        <f>IF(S122&lt;&gt;"User Specified",IF(AND(S122&lt;&gt;"User Specified",S122&lt;&gt;""), INDEX('Refrigerant GWPs'!$G$2:$G$154,MATCH(S122,'Refrigerant GWPs'!$A$2:$A$154,0)),""),V122)</f>
        <v/>
      </c>
      <c r="U122" s="144"/>
      <c r="V122" s="144"/>
      <c r="W122" s="155"/>
      <c r="X122" s="155"/>
      <c r="Y122" s="144"/>
      <c r="Z122" s="159" t="str">
        <f>IF(AND(Y122&lt;&gt;"User Specified",Y122&lt;&gt;""), INDEX('Refrigerant GWPs'!$G$2:$G$154,MATCH(Y122,'Refrigerant GWPs'!$A$2:$A$154,0)),"")</f>
        <v/>
      </c>
      <c r="AA122" s="155"/>
      <c r="AB122" s="156"/>
      <c r="AC122" s="66"/>
      <c r="AD122" s="66"/>
      <c r="AE122" s="66"/>
      <c r="AF122" s="66"/>
      <c r="AG122" s="66"/>
      <c r="AH122" s="66"/>
      <c r="AI122" s="34"/>
      <c r="AJ122" s="88">
        <f t="shared" si="119"/>
        <v>0</v>
      </c>
      <c r="AK122" s="88">
        <f t="shared" si="120"/>
        <v>0</v>
      </c>
      <c r="AL122" s="88">
        <v>0</v>
      </c>
      <c r="AM122" s="88">
        <v>0</v>
      </c>
      <c r="AN122" s="81" t="str">
        <f t="shared" si="162"/>
        <v/>
      </c>
      <c r="AO122" s="88">
        <f t="shared" si="121"/>
        <v>0</v>
      </c>
      <c r="AP122" s="88">
        <f t="shared" si="122"/>
        <v>0</v>
      </c>
      <c r="AQ122" s="81" t="str">
        <f t="shared" si="123"/>
        <v/>
      </c>
      <c r="AS122" s="41" t="b">
        <f t="shared" si="124"/>
        <v>1</v>
      </c>
      <c r="AT122" s="38">
        <f t="shared" si="125"/>
        <v>0</v>
      </c>
      <c r="AU122" s="60">
        <f t="shared" si="126"/>
        <v>0</v>
      </c>
      <c r="AV122" s="41">
        <f t="shared" si="127"/>
        <v>0</v>
      </c>
      <c r="AW122" s="41" t="b">
        <f t="shared" si="128"/>
        <v>0</v>
      </c>
      <c r="AX122" t="str">
        <f t="shared" si="129"/>
        <v>+00</v>
      </c>
      <c r="AY122" t="str">
        <f t="shared" si="130"/>
        <v>+00</v>
      </c>
      <c r="BA122" s="47" t="b">
        <f t="shared" si="164"/>
        <v>1</v>
      </c>
      <c r="BB122" s="42" t="b">
        <f t="shared" si="165"/>
        <v>1</v>
      </c>
      <c r="BC122" s="42" t="b">
        <f t="shared" si="166"/>
        <v>0</v>
      </c>
      <c r="BD122" s="42" t="b">
        <f t="shared" si="167"/>
        <v>0</v>
      </c>
      <c r="BE122" s="70">
        <f t="shared" si="168"/>
        <v>0</v>
      </c>
      <c r="BF122" s="70">
        <f t="shared" si="169"/>
        <v>0</v>
      </c>
      <c r="BG122" s="34"/>
      <c r="BI122" s="47" t="b">
        <f t="shared" si="170"/>
        <v>1</v>
      </c>
      <c r="BJ122" s="47" t="b">
        <f t="shared" si="171"/>
        <v>1</v>
      </c>
      <c r="BK122" s="42" t="b">
        <f t="shared" si="172"/>
        <v>0</v>
      </c>
      <c r="BL122" s="42" t="b">
        <f t="shared" si="173"/>
        <v>0</v>
      </c>
      <c r="BM122" s="42">
        <f t="shared" si="174"/>
        <v>0</v>
      </c>
      <c r="BN122" s="42">
        <f t="shared" si="175"/>
        <v>0</v>
      </c>
      <c r="BP122" t="e">
        <f t="shared" si="176"/>
        <v>#N/A</v>
      </c>
      <c r="BQ122" t="e">
        <f t="shared" si="177"/>
        <v>#N/A</v>
      </c>
      <c r="BR122" t="e">
        <f t="shared" si="178"/>
        <v>#N/A</v>
      </c>
      <c r="BT122" s="60">
        <f t="shared" si="187"/>
        <v>0</v>
      </c>
      <c r="BU122" s="60">
        <f t="shared" si="188"/>
        <v>0</v>
      </c>
      <c r="BV122" s="60">
        <f t="shared" si="189"/>
        <v>0</v>
      </c>
      <c r="BW122" s="60">
        <f t="shared" si="190"/>
        <v>0</v>
      </c>
      <c r="BX122" s="60">
        <f t="shared" si="179"/>
        <v>0</v>
      </c>
      <c r="BY122" s="60">
        <f t="shared" si="180"/>
        <v>0</v>
      </c>
      <c r="BZ122" s="60">
        <f t="shared" si="181"/>
        <v>0</v>
      </c>
      <c r="CA122" s="60">
        <f t="shared" si="182"/>
        <v>0</v>
      </c>
      <c r="CB122" s="60" t="e">
        <f t="shared" si="191"/>
        <v>#N/A</v>
      </c>
      <c r="CC122" s="60">
        <f t="shared" si="192"/>
        <v>100000</v>
      </c>
      <c r="CD122" s="60" t="e">
        <f t="shared" si="193"/>
        <v>#N/A</v>
      </c>
      <c r="CE122" s="60">
        <f t="shared" si="194"/>
        <v>100000</v>
      </c>
      <c r="CF122" s="83" t="e">
        <f t="shared" si="183"/>
        <v>#N/A</v>
      </c>
      <c r="CG122" s="83">
        <f t="shared" si="184"/>
        <v>0</v>
      </c>
      <c r="CH122" s="83" t="e">
        <f t="shared" si="185"/>
        <v>#N/A</v>
      </c>
      <c r="CI122" s="83">
        <f t="shared" si="186"/>
        <v>0</v>
      </c>
      <c r="CJ122" s="86" t="e">
        <f t="shared" si="195"/>
        <v>#N/A</v>
      </c>
      <c r="CK122" s="82">
        <f t="shared" si="196"/>
        <v>5.3070370403969858E-3</v>
      </c>
      <c r="CL122" s="82" t="e">
        <f t="shared" si="197"/>
        <v>#N/A</v>
      </c>
      <c r="CM122" s="82">
        <f t="shared" si="198"/>
        <v>5.3070370403969858E-3</v>
      </c>
      <c r="CO122" s="149" t="str">
        <f>IF($I122&lt;&gt;"",IF(O122="User Specified",U122,INDEX('Refrigerant GWPs'!$G$2:$G$156,MATCH(O122,'Refrigerant GWPs'!$A$2:$A$156,0))),"")</f>
        <v/>
      </c>
      <c r="CP122" s="138" t="str">
        <f>IF($I122&lt;&gt;"",INDEX('Device Refrigerant Leakage'!$E$2:$E$42,MATCH($M122,'Device Refrigerant Leakage'!$B$2:$B$42,0)),"")</f>
        <v/>
      </c>
      <c r="CQ122" s="138" t="str">
        <f>IF($I122&lt;&gt;"",INDEX('Device Refrigerant Leakage'!$F$2:$F$42,MATCH($M122,'Device Refrigerant Leakage'!$B$2:$B$42,0)),"")</f>
        <v/>
      </c>
      <c r="CR122" s="145" t="str">
        <f>IF($I122&lt;&gt;"",INDEX('Device Refrigerant Leakage'!$G$2:$G$42,MATCH($M122,'Device Refrigerant Leakage'!$B$2:$B$42,0)),"")</f>
        <v/>
      </c>
      <c r="CS122" s="145" t="str">
        <f>IF($I122&lt;&gt;"",INDEX('Device Refrigerant Leakage'!$D$2:$D$42,MATCH($M122,'Device Refrigerant Leakage'!$B$2:$B$42,0))*CP122/2204.62*CO122,"")</f>
        <v/>
      </c>
      <c r="CT122" s="145" t="str">
        <f>IF($I122&lt;&gt;"",J122*(INDEX('Device Refrigerant Leakage'!$D$2:$D$42,MATCH($M122,'Device Refrigerant Leakage'!$B$2:$B$42,0))-(INDEX('Device Refrigerant Leakage'!$D$2:$D$42,MATCH($M122,'Device Refrigerant Leakage'!$B$2:$B$42,0)))*CR122*CP122)*CQ122/2204.62*CO122,"")</f>
        <v/>
      </c>
      <c r="CU122" s="135" t="str">
        <f>IF($I122&lt;&gt;"",J122*IF(W122&lt;&gt;"AR",(CS122*K122)+CT122,(CS122*AB122)+CT122*(AB122/INDEX('Device Refrigerant Leakage'!$C$2:$C$42,MATCH($M122,'Device Refrigerant Leakage'!$B$2:$B$42,0)))),"")</f>
        <v/>
      </c>
      <c r="CW122" s="135" t="str">
        <f>IF($I122&lt;&gt;"",IF(S122="User Specified",V122,INDEX('Refrigerant GWPs'!$G$2:$G$156,MATCH(S122,'Refrigerant GWPs'!$A$2:$A$157,0))),"")</f>
        <v/>
      </c>
      <c r="CX122" s="138" t="str">
        <f>IF($I122&lt;&gt;"",INDEX('Device Refrigerant Leakage'!$E$2:$E$42,MATCH($Q122,'Device Refrigerant Leakage'!$B$2:$B$42,0)),"")</f>
        <v/>
      </c>
      <c r="CY122" s="138" t="str">
        <f>IF($I122&lt;&gt;"",INDEX('Device Refrigerant Leakage'!$F$2:$F$42,MATCH($Q122,'Device Refrigerant Leakage'!$B$2:$B$42,0)),"")</f>
        <v/>
      </c>
      <c r="CZ122" s="145" t="str">
        <f>IF($I122&lt;&gt;"",INDEX('Device Refrigerant Leakage'!$G$2:$G$42,MATCH($Q122,'Device Refrigerant Leakage'!$B$2:$B$42,0)),"")</f>
        <v/>
      </c>
      <c r="DA122" s="145" t="str">
        <f>IF($I122&lt;&gt;"",J122*INDEX('Device Refrigerant Leakage'!$D$2:$D$42,MATCH($Q122,'Device Refrigerant Leakage'!$B$2:$B$42,0))*CX122/2204.62*CW122,"")</f>
        <v/>
      </c>
      <c r="DB122" s="145" t="str">
        <f>IF($I122&lt;&gt;"",J122*(INDEX('Device Refrigerant Leakage'!$D$2:$D$42,MATCH($Q122,'Device Refrigerant Leakage'!$B$2:$B$42,0))-(INDEX('Device Refrigerant Leakage'!$D$2:$D$42,MATCH($Q122,'Device Refrigerant Leakage'!$B$2:$B$42,0)))*CZ122*CX122)*CY122/2204.62*CW122,"")</f>
        <v/>
      </c>
      <c r="DC122" s="135" t="str">
        <f t="shared" si="163"/>
        <v/>
      </c>
      <c r="DE122" s="146" t="str">
        <f>IF(W122&lt;&gt;"AR","",IF(Y122="User Specified", AA122, INDEX('Refrigerant GWPs'!$G$2:$G$154,MATCH(Y122,'Refrigerant GWPs'!$A$2:$A$154,0))))</f>
        <v/>
      </c>
      <c r="DF122" s="146" t="str">
        <f>IF(W122&lt;&gt;"AR","",INDEX('Device Refrigerant Leakage'!$E$2:$E$42,MATCH(X122,'Device Refrigerant Leakage'!$B$2:$B$42,0)))</f>
        <v/>
      </c>
      <c r="DG122" s="146" t="str">
        <f>IF(W122&lt;&gt;"AR","",INDEX('Device Refrigerant Leakage'!$F$2:$F$42,MATCH(X122,'Device Refrigerant Leakage'!$B$2:$B$42,0)))</f>
        <v/>
      </c>
      <c r="DH122" s="146" t="str">
        <f>IF(W122&lt;&gt;"AR","",INDEX('Device Refrigerant Leakage'!$G$2:$G$42,MATCH(X122,'Device Refrigerant Leakage'!$B$2:$B$42,0)))</f>
        <v/>
      </c>
      <c r="DI122" s="146" t="str">
        <f>IF(W122&lt;&gt;"AR","",J122*INDEX('Device Refrigerant Leakage'!$D$2:$D$42,MATCH(X122,'Device Refrigerant Leakage'!$B$2:$B$42,0))*DF122/2204.62*DE122)</f>
        <v/>
      </c>
      <c r="DJ122" s="146" t="str">
        <f>IF(W122&lt;&gt;"AR","",J122*(INDEX('Device Refrigerant Leakage'!$D$2:$D$42,MATCH(X122,'Device Refrigerant Leakage'!$B$2:$B$42,0))-(INDEX('Device Refrigerant Leakage'!$D$2:$D$42,MATCH(X122,'Device Refrigerant Leakage'!$B$2:$B$42,0)))*DH122*DF122)*DG122/2204.62*DE122)</f>
        <v/>
      </c>
      <c r="DK122" s="146" t="str">
        <f>IF(W122&lt;&gt;"AR","",DI122*(K122-AB122)+'Fuel Sub Calcs-Deemed'!DJ122*((K122-AB122)/INDEX('Device Refrigerant Leakage'!$C$2:$C$42,MATCH('Fuel Sub Calcs-Deemed'!X122,'Device Refrigerant Leakage'!$B$2:$B$42,0))))</f>
        <v/>
      </c>
      <c r="DM122" s="56">
        <v>108</v>
      </c>
      <c r="DN122" s="67" t="e">
        <f t="shared" si="143"/>
        <v>#N/A</v>
      </c>
      <c r="DO122" s="45" t="e">
        <f t="shared" si="144"/>
        <v>#N/A</v>
      </c>
      <c r="DP122" s="67" t="e">
        <f t="shared" si="145"/>
        <v>#N/A</v>
      </c>
      <c r="DQ122" s="45" t="e">
        <f t="shared" si="146"/>
        <v>#N/A</v>
      </c>
      <c r="DR122" s="69" t="e">
        <f t="shared" si="147"/>
        <v>#N/A</v>
      </c>
      <c r="DS122" s="34"/>
      <c r="DT122" s="67" t="e">
        <f>((BX122*CJ122)+IF($W122=MAT_AR,(BZ122*CL122),0))*(1+Reference!$E$50+Reference!$E$51)</f>
        <v>#N/A</v>
      </c>
      <c r="DU122" s="67">
        <f>((BY122*CK122)+IF($W122=MAT_AR,(CA122*CM122),0))*(1+Reference!$G$50+Reference!$G$51)</f>
        <v>0</v>
      </c>
      <c r="DV122" s="67" t="e">
        <f t="shared" si="148"/>
        <v>#VALUE!</v>
      </c>
      <c r="DX122" s="56">
        <v>108</v>
      </c>
      <c r="DY122" s="67">
        <f t="shared" si="149"/>
        <v>0</v>
      </c>
      <c r="DZ122" s="45" t="e">
        <f>VLOOKUP($R122,Dropdown!$C$3:$D$4,2,FALSE)</f>
        <v>#N/A</v>
      </c>
      <c r="EA122" s="68">
        <f t="shared" si="150"/>
        <v>0</v>
      </c>
      <c r="EB122" s="68" t="str">
        <f t="shared" si="151"/>
        <v>N/A</v>
      </c>
      <c r="EC122" s="68">
        <f t="shared" si="152"/>
        <v>0</v>
      </c>
      <c r="ED122" s="68" t="str">
        <f t="shared" si="199"/>
        <v>N/A</v>
      </c>
      <c r="EF122" s="56">
        <v>108</v>
      </c>
      <c r="EG122" s="46">
        <f t="shared" si="154"/>
        <v>0</v>
      </c>
      <c r="EH122" s="68" t="e">
        <f t="shared" si="155"/>
        <v>#N/A</v>
      </c>
      <c r="EI122" s="68" t="e">
        <f t="shared" si="156"/>
        <v>#N/A</v>
      </c>
      <c r="EJ122" s="68" t="e">
        <f t="shared" si="157"/>
        <v>#N/A</v>
      </c>
      <c r="EK122" s="68" t="e">
        <f t="shared" si="158"/>
        <v>#N/A</v>
      </c>
      <c r="EL122" s="46">
        <f t="shared" si="159"/>
        <v>0</v>
      </c>
      <c r="EM122" s="46">
        <f t="shared" si="160"/>
        <v>0</v>
      </c>
    </row>
    <row r="123" spans="1:143">
      <c r="A123" s="89"/>
      <c r="B123" s="89"/>
      <c r="C123" s="89"/>
      <c r="D123" s="89"/>
      <c r="E123" s="89"/>
      <c r="F123" s="89"/>
      <c r="G123" s="34"/>
      <c r="H123" s="56">
        <f t="shared" si="161"/>
        <v>109</v>
      </c>
      <c r="I123" s="165"/>
      <c r="J123" s="163"/>
      <c r="K123" s="163"/>
      <c r="L123" s="164"/>
      <c r="M123" s="155"/>
      <c r="N123" s="155"/>
      <c r="O123" s="144"/>
      <c r="P123" s="159" t="str">
        <f>IFERROR(IF(O123&lt;&gt;"User Specified",IF(O123&lt;&gt;"", INDEX('Refrigerant GWPs'!$G$2:$G$154,MATCH(O123,'Refrigerant GWPs'!$A$2:$A$154,0)),""),U123),0)</f>
        <v/>
      </c>
      <c r="Q123" s="155"/>
      <c r="R123" s="155"/>
      <c r="S123" s="144"/>
      <c r="T123" s="159" t="str">
        <f>IF(S123&lt;&gt;"User Specified",IF(AND(S123&lt;&gt;"User Specified",S123&lt;&gt;""), INDEX('Refrigerant GWPs'!$G$2:$G$154,MATCH(S123,'Refrigerant GWPs'!$A$2:$A$154,0)),""),V123)</f>
        <v/>
      </c>
      <c r="U123" s="144"/>
      <c r="V123" s="144"/>
      <c r="W123" s="155"/>
      <c r="X123" s="155"/>
      <c r="Y123" s="144"/>
      <c r="Z123" s="159" t="str">
        <f>IF(AND(Y123&lt;&gt;"User Specified",Y123&lt;&gt;""), INDEX('Refrigerant GWPs'!$G$2:$G$154,MATCH(Y123,'Refrigerant GWPs'!$A$2:$A$154,0)),"")</f>
        <v/>
      </c>
      <c r="AA123" s="155"/>
      <c r="AB123" s="156"/>
      <c r="AC123" s="66"/>
      <c r="AD123" s="66"/>
      <c r="AE123" s="66"/>
      <c r="AF123" s="66"/>
      <c r="AG123" s="66"/>
      <c r="AH123" s="66"/>
      <c r="AI123" s="34"/>
      <c r="AJ123" s="88">
        <f t="shared" si="119"/>
        <v>0</v>
      </c>
      <c r="AK123" s="88">
        <f t="shared" si="120"/>
        <v>0</v>
      </c>
      <c r="AL123" s="88">
        <v>0</v>
      </c>
      <c r="AM123" s="88">
        <v>0</v>
      </c>
      <c r="AN123" s="81" t="str">
        <f t="shared" si="162"/>
        <v/>
      </c>
      <c r="AO123" s="88">
        <f t="shared" si="121"/>
        <v>0</v>
      </c>
      <c r="AP123" s="88">
        <f t="shared" si="122"/>
        <v>0</v>
      </c>
      <c r="AQ123" s="81" t="str">
        <f t="shared" si="123"/>
        <v/>
      </c>
      <c r="AS123" s="41" t="b">
        <f t="shared" si="124"/>
        <v>1</v>
      </c>
      <c r="AT123" s="38">
        <f t="shared" si="125"/>
        <v>0</v>
      </c>
      <c r="AU123" s="60">
        <f t="shared" si="126"/>
        <v>0</v>
      </c>
      <c r="AV123" s="41">
        <f t="shared" si="127"/>
        <v>0</v>
      </c>
      <c r="AW123" s="41" t="b">
        <f t="shared" si="128"/>
        <v>0</v>
      </c>
      <c r="AX123" t="str">
        <f t="shared" si="129"/>
        <v>+00</v>
      </c>
      <c r="AY123" t="str">
        <f t="shared" si="130"/>
        <v>+00</v>
      </c>
      <c r="BA123" s="47" t="b">
        <f t="shared" si="164"/>
        <v>1</v>
      </c>
      <c r="BB123" s="42" t="b">
        <f t="shared" si="165"/>
        <v>1</v>
      </c>
      <c r="BC123" s="42" t="b">
        <f t="shared" si="166"/>
        <v>0</v>
      </c>
      <c r="BD123" s="42" t="b">
        <f t="shared" si="167"/>
        <v>0</v>
      </c>
      <c r="BE123" s="70">
        <f t="shared" si="168"/>
        <v>0</v>
      </c>
      <c r="BF123" s="70">
        <f t="shared" si="169"/>
        <v>0</v>
      </c>
      <c r="BG123" s="34"/>
      <c r="BI123" s="47" t="b">
        <f t="shared" si="170"/>
        <v>1</v>
      </c>
      <c r="BJ123" s="47" t="b">
        <f t="shared" si="171"/>
        <v>1</v>
      </c>
      <c r="BK123" s="42" t="b">
        <f t="shared" si="172"/>
        <v>0</v>
      </c>
      <c r="BL123" s="42" t="b">
        <f t="shared" si="173"/>
        <v>0</v>
      </c>
      <c r="BM123" s="42">
        <f t="shared" si="174"/>
        <v>0</v>
      </c>
      <c r="BN123" s="42">
        <f t="shared" si="175"/>
        <v>0</v>
      </c>
      <c r="BP123" t="e">
        <f t="shared" si="176"/>
        <v>#N/A</v>
      </c>
      <c r="BQ123" t="e">
        <f t="shared" si="177"/>
        <v>#N/A</v>
      </c>
      <c r="BR123" t="e">
        <f t="shared" si="178"/>
        <v>#N/A</v>
      </c>
      <c r="BT123" s="60">
        <f t="shared" si="187"/>
        <v>0</v>
      </c>
      <c r="BU123" s="60">
        <f t="shared" si="188"/>
        <v>0</v>
      </c>
      <c r="BV123" s="60">
        <f t="shared" si="189"/>
        <v>0</v>
      </c>
      <c r="BW123" s="60">
        <f t="shared" si="190"/>
        <v>0</v>
      </c>
      <c r="BX123" s="60">
        <f t="shared" si="179"/>
        <v>0</v>
      </c>
      <c r="BY123" s="60">
        <f t="shared" si="180"/>
        <v>0</v>
      </c>
      <c r="BZ123" s="60">
        <f t="shared" si="181"/>
        <v>0</v>
      </c>
      <c r="CA123" s="60">
        <f t="shared" si="182"/>
        <v>0</v>
      </c>
      <c r="CB123" s="60" t="e">
        <f t="shared" si="191"/>
        <v>#N/A</v>
      </c>
      <c r="CC123" s="60">
        <f t="shared" si="192"/>
        <v>100000</v>
      </c>
      <c r="CD123" s="60" t="e">
        <f t="shared" si="193"/>
        <v>#N/A</v>
      </c>
      <c r="CE123" s="60">
        <f t="shared" si="194"/>
        <v>100000</v>
      </c>
      <c r="CF123" s="83" t="e">
        <f t="shared" si="183"/>
        <v>#N/A</v>
      </c>
      <c r="CG123" s="83">
        <f t="shared" si="184"/>
        <v>0</v>
      </c>
      <c r="CH123" s="83" t="e">
        <f t="shared" si="185"/>
        <v>#N/A</v>
      </c>
      <c r="CI123" s="83">
        <f t="shared" si="186"/>
        <v>0</v>
      </c>
      <c r="CJ123" s="86" t="e">
        <f t="shared" si="195"/>
        <v>#N/A</v>
      </c>
      <c r="CK123" s="82">
        <f t="shared" si="196"/>
        <v>5.3070370403969858E-3</v>
      </c>
      <c r="CL123" s="82" t="e">
        <f t="shared" si="197"/>
        <v>#N/A</v>
      </c>
      <c r="CM123" s="82">
        <f t="shared" si="198"/>
        <v>5.3070370403969858E-3</v>
      </c>
      <c r="CO123" s="149" t="str">
        <f>IF($I123&lt;&gt;"",IF(O123="User Specified",U123,INDEX('Refrigerant GWPs'!$G$2:$G$156,MATCH(O123,'Refrigerant GWPs'!$A$2:$A$156,0))),"")</f>
        <v/>
      </c>
      <c r="CP123" s="138" t="str">
        <f>IF($I123&lt;&gt;"",INDEX('Device Refrigerant Leakage'!$E$2:$E$42,MATCH($M123,'Device Refrigerant Leakage'!$B$2:$B$42,0)),"")</f>
        <v/>
      </c>
      <c r="CQ123" s="138" t="str">
        <f>IF($I123&lt;&gt;"",INDEX('Device Refrigerant Leakage'!$F$2:$F$42,MATCH($M123,'Device Refrigerant Leakage'!$B$2:$B$42,0)),"")</f>
        <v/>
      </c>
      <c r="CR123" s="145" t="str">
        <f>IF($I123&lt;&gt;"",INDEX('Device Refrigerant Leakage'!$G$2:$G$42,MATCH($M123,'Device Refrigerant Leakage'!$B$2:$B$42,0)),"")</f>
        <v/>
      </c>
      <c r="CS123" s="145" t="str">
        <f>IF($I123&lt;&gt;"",INDEX('Device Refrigerant Leakage'!$D$2:$D$42,MATCH($M123,'Device Refrigerant Leakage'!$B$2:$B$42,0))*CP123/2204.62*CO123,"")</f>
        <v/>
      </c>
      <c r="CT123" s="145" t="str">
        <f>IF($I123&lt;&gt;"",J123*(INDEX('Device Refrigerant Leakage'!$D$2:$D$42,MATCH($M123,'Device Refrigerant Leakage'!$B$2:$B$42,0))-(INDEX('Device Refrigerant Leakage'!$D$2:$D$42,MATCH($M123,'Device Refrigerant Leakage'!$B$2:$B$42,0)))*CR123*CP123)*CQ123/2204.62*CO123,"")</f>
        <v/>
      </c>
      <c r="CU123" s="135" t="str">
        <f>IF($I123&lt;&gt;"",J123*IF(W123&lt;&gt;"AR",(CS123*K123)+CT123,(CS123*AB123)+CT123*(AB123/INDEX('Device Refrigerant Leakage'!$C$2:$C$42,MATCH($M123,'Device Refrigerant Leakage'!$B$2:$B$42,0)))),"")</f>
        <v/>
      </c>
      <c r="CW123" s="135" t="str">
        <f>IF($I123&lt;&gt;"",IF(S123="User Specified",V123,INDEX('Refrigerant GWPs'!$G$2:$G$156,MATCH(S123,'Refrigerant GWPs'!$A$2:$A$157,0))),"")</f>
        <v/>
      </c>
      <c r="CX123" s="138" t="str">
        <f>IF($I123&lt;&gt;"",INDEX('Device Refrigerant Leakage'!$E$2:$E$42,MATCH($Q123,'Device Refrigerant Leakage'!$B$2:$B$42,0)),"")</f>
        <v/>
      </c>
      <c r="CY123" s="138" t="str">
        <f>IF($I123&lt;&gt;"",INDEX('Device Refrigerant Leakage'!$F$2:$F$42,MATCH($Q123,'Device Refrigerant Leakage'!$B$2:$B$42,0)),"")</f>
        <v/>
      </c>
      <c r="CZ123" s="145" t="str">
        <f>IF($I123&lt;&gt;"",INDEX('Device Refrigerant Leakage'!$G$2:$G$42,MATCH($Q123,'Device Refrigerant Leakage'!$B$2:$B$42,0)),"")</f>
        <v/>
      </c>
      <c r="DA123" s="145" t="str">
        <f>IF($I123&lt;&gt;"",J123*INDEX('Device Refrigerant Leakage'!$D$2:$D$42,MATCH($Q123,'Device Refrigerant Leakage'!$B$2:$B$42,0))*CX123/2204.62*CW123,"")</f>
        <v/>
      </c>
      <c r="DB123" s="145" t="str">
        <f>IF($I123&lt;&gt;"",J123*(INDEX('Device Refrigerant Leakage'!$D$2:$D$42,MATCH($Q123,'Device Refrigerant Leakage'!$B$2:$B$42,0))-(INDEX('Device Refrigerant Leakage'!$D$2:$D$42,MATCH($Q123,'Device Refrigerant Leakage'!$B$2:$B$42,0)))*CZ123*CX123)*CY123/2204.62*CW123,"")</f>
        <v/>
      </c>
      <c r="DC123" s="135" t="str">
        <f t="shared" si="163"/>
        <v/>
      </c>
      <c r="DE123" s="146" t="str">
        <f>IF(W123&lt;&gt;"AR","",IF(Y123="User Specified", AA123, INDEX('Refrigerant GWPs'!$G$2:$G$154,MATCH(Y123,'Refrigerant GWPs'!$A$2:$A$154,0))))</f>
        <v/>
      </c>
      <c r="DF123" s="146" t="str">
        <f>IF(W123&lt;&gt;"AR","",INDEX('Device Refrigerant Leakage'!$E$2:$E$42,MATCH(X123,'Device Refrigerant Leakage'!$B$2:$B$42,0)))</f>
        <v/>
      </c>
      <c r="DG123" s="146" t="str">
        <f>IF(W123&lt;&gt;"AR","",INDEX('Device Refrigerant Leakage'!$F$2:$F$42,MATCH(X123,'Device Refrigerant Leakage'!$B$2:$B$42,0)))</f>
        <v/>
      </c>
      <c r="DH123" s="146" t="str">
        <f>IF(W123&lt;&gt;"AR","",INDEX('Device Refrigerant Leakage'!$G$2:$G$42,MATCH(X123,'Device Refrigerant Leakage'!$B$2:$B$42,0)))</f>
        <v/>
      </c>
      <c r="DI123" s="146" t="str">
        <f>IF(W123&lt;&gt;"AR","",J123*INDEX('Device Refrigerant Leakage'!$D$2:$D$42,MATCH(X123,'Device Refrigerant Leakage'!$B$2:$B$42,0))*DF123/2204.62*DE123)</f>
        <v/>
      </c>
      <c r="DJ123" s="146" t="str">
        <f>IF(W123&lt;&gt;"AR","",J123*(INDEX('Device Refrigerant Leakage'!$D$2:$D$42,MATCH(X123,'Device Refrigerant Leakage'!$B$2:$B$42,0))-(INDEX('Device Refrigerant Leakage'!$D$2:$D$42,MATCH(X123,'Device Refrigerant Leakage'!$B$2:$B$42,0)))*DH123*DF123)*DG123/2204.62*DE123)</f>
        <v/>
      </c>
      <c r="DK123" s="146" t="str">
        <f>IF(W123&lt;&gt;"AR","",DI123*(K123-AB123)+'Fuel Sub Calcs-Deemed'!DJ123*((K123-AB123)/INDEX('Device Refrigerant Leakage'!$C$2:$C$42,MATCH('Fuel Sub Calcs-Deemed'!X123,'Device Refrigerant Leakage'!$B$2:$B$42,0))))</f>
        <v/>
      </c>
      <c r="DM123" s="56">
        <v>109</v>
      </c>
      <c r="DN123" s="67" t="e">
        <f t="shared" si="143"/>
        <v>#N/A</v>
      </c>
      <c r="DO123" s="45" t="e">
        <f t="shared" si="144"/>
        <v>#N/A</v>
      </c>
      <c r="DP123" s="67" t="e">
        <f t="shared" si="145"/>
        <v>#N/A</v>
      </c>
      <c r="DQ123" s="45" t="e">
        <f t="shared" si="146"/>
        <v>#N/A</v>
      </c>
      <c r="DR123" s="69" t="e">
        <f t="shared" si="147"/>
        <v>#N/A</v>
      </c>
      <c r="DS123" s="34"/>
      <c r="DT123" s="67" t="e">
        <f>((BX123*CJ123)+IF($W123=MAT_AR,(BZ123*CL123),0))*(1+Reference!$E$50+Reference!$E$51)</f>
        <v>#N/A</v>
      </c>
      <c r="DU123" s="67">
        <f>((BY123*CK123)+IF($W123=MAT_AR,(CA123*CM123),0))*(1+Reference!$G$50+Reference!$G$51)</f>
        <v>0</v>
      </c>
      <c r="DV123" s="67" t="e">
        <f t="shared" si="148"/>
        <v>#VALUE!</v>
      </c>
      <c r="DX123" s="56">
        <v>109</v>
      </c>
      <c r="DY123" s="67">
        <f t="shared" si="149"/>
        <v>0</v>
      </c>
      <c r="DZ123" s="45" t="e">
        <f>VLOOKUP($R123,Dropdown!$C$3:$D$4,2,FALSE)</f>
        <v>#N/A</v>
      </c>
      <c r="EA123" s="68">
        <f t="shared" si="150"/>
        <v>0</v>
      </c>
      <c r="EB123" s="68" t="str">
        <f t="shared" si="151"/>
        <v>N/A</v>
      </c>
      <c r="EC123" s="68">
        <f t="shared" si="152"/>
        <v>0</v>
      </c>
      <c r="ED123" s="68" t="str">
        <f t="shared" si="199"/>
        <v>N/A</v>
      </c>
      <c r="EF123" s="56">
        <v>109</v>
      </c>
      <c r="EG123" s="46">
        <f t="shared" si="154"/>
        <v>0</v>
      </c>
      <c r="EH123" s="68" t="e">
        <f t="shared" si="155"/>
        <v>#N/A</v>
      </c>
      <c r="EI123" s="68" t="e">
        <f t="shared" si="156"/>
        <v>#N/A</v>
      </c>
      <c r="EJ123" s="68" t="e">
        <f t="shared" si="157"/>
        <v>#N/A</v>
      </c>
      <c r="EK123" s="68" t="e">
        <f t="shared" si="158"/>
        <v>#N/A</v>
      </c>
      <c r="EL123" s="46">
        <f t="shared" si="159"/>
        <v>0</v>
      </c>
      <c r="EM123" s="46">
        <f t="shared" si="160"/>
        <v>0</v>
      </c>
    </row>
    <row r="124" spans="1:143">
      <c r="A124" s="89"/>
      <c r="B124" s="89"/>
      <c r="C124" s="89"/>
      <c r="D124" s="89"/>
      <c r="E124" s="89"/>
      <c r="F124" s="89"/>
      <c r="G124" s="34"/>
      <c r="H124" s="56">
        <f t="shared" si="161"/>
        <v>110</v>
      </c>
      <c r="I124" s="165"/>
      <c r="J124" s="163"/>
      <c r="K124" s="163"/>
      <c r="L124" s="164"/>
      <c r="M124" s="155"/>
      <c r="N124" s="155"/>
      <c r="O124" s="144"/>
      <c r="P124" s="159" t="str">
        <f>IFERROR(IF(O124&lt;&gt;"User Specified",IF(O124&lt;&gt;"", INDEX('Refrigerant GWPs'!$G$2:$G$154,MATCH(O124,'Refrigerant GWPs'!$A$2:$A$154,0)),""),U124),0)</f>
        <v/>
      </c>
      <c r="Q124" s="155"/>
      <c r="R124" s="155"/>
      <c r="S124" s="144"/>
      <c r="T124" s="159" t="str">
        <f>IF(S124&lt;&gt;"User Specified",IF(AND(S124&lt;&gt;"User Specified",S124&lt;&gt;""), INDEX('Refrigerant GWPs'!$G$2:$G$154,MATCH(S124,'Refrigerant GWPs'!$A$2:$A$154,0)),""),V124)</f>
        <v/>
      </c>
      <c r="U124" s="144"/>
      <c r="V124" s="144"/>
      <c r="W124" s="155"/>
      <c r="X124" s="155"/>
      <c r="Y124" s="144"/>
      <c r="Z124" s="159" t="str">
        <f>IF(AND(Y124&lt;&gt;"User Specified",Y124&lt;&gt;""), INDEX('Refrigerant GWPs'!$G$2:$G$154,MATCH(Y124,'Refrigerant GWPs'!$A$2:$A$154,0)),"")</f>
        <v/>
      </c>
      <c r="AA124" s="155"/>
      <c r="AB124" s="156"/>
      <c r="AC124" s="66"/>
      <c r="AD124" s="66"/>
      <c r="AE124" s="66"/>
      <c r="AF124" s="66"/>
      <c r="AG124" s="66"/>
      <c r="AH124" s="66"/>
      <c r="AI124" s="34"/>
      <c r="AJ124" s="88">
        <f t="shared" si="119"/>
        <v>0</v>
      </c>
      <c r="AK124" s="88">
        <f t="shared" si="120"/>
        <v>0</v>
      </c>
      <c r="AL124" s="88">
        <v>0</v>
      </c>
      <c r="AM124" s="88">
        <v>0</v>
      </c>
      <c r="AN124" s="81" t="str">
        <f t="shared" si="162"/>
        <v/>
      </c>
      <c r="AO124" s="88">
        <f t="shared" si="121"/>
        <v>0</v>
      </c>
      <c r="AP124" s="88">
        <f t="shared" si="122"/>
        <v>0</v>
      </c>
      <c r="AQ124" s="81" t="str">
        <f t="shared" si="123"/>
        <v/>
      </c>
      <c r="AS124" s="41" t="b">
        <f t="shared" si="124"/>
        <v>1</v>
      </c>
      <c r="AT124" s="38">
        <f t="shared" si="125"/>
        <v>0</v>
      </c>
      <c r="AU124" s="60">
        <f t="shared" si="126"/>
        <v>0</v>
      </c>
      <c r="AV124" s="41">
        <f t="shared" si="127"/>
        <v>0</v>
      </c>
      <c r="AW124" s="41" t="b">
        <f t="shared" si="128"/>
        <v>0</v>
      </c>
      <c r="AX124" t="str">
        <f t="shared" si="129"/>
        <v>+00</v>
      </c>
      <c r="AY124" t="str">
        <f t="shared" si="130"/>
        <v>+00</v>
      </c>
      <c r="BA124" s="47" t="b">
        <f t="shared" si="164"/>
        <v>1</v>
      </c>
      <c r="BB124" s="42" t="b">
        <f t="shared" si="165"/>
        <v>1</v>
      </c>
      <c r="BC124" s="42" t="b">
        <f t="shared" si="166"/>
        <v>0</v>
      </c>
      <c r="BD124" s="42" t="b">
        <f t="shared" si="167"/>
        <v>0</v>
      </c>
      <c r="BE124" s="70">
        <f t="shared" si="168"/>
        <v>0</v>
      </c>
      <c r="BF124" s="70">
        <f t="shared" si="169"/>
        <v>0</v>
      </c>
      <c r="BG124" s="34"/>
      <c r="BI124" s="47" t="b">
        <f t="shared" si="170"/>
        <v>1</v>
      </c>
      <c r="BJ124" s="47" t="b">
        <f t="shared" si="171"/>
        <v>1</v>
      </c>
      <c r="BK124" s="42" t="b">
        <f t="shared" si="172"/>
        <v>0</v>
      </c>
      <c r="BL124" s="42" t="b">
        <f t="shared" si="173"/>
        <v>0</v>
      </c>
      <c r="BM124" s="42">
        <f t="shared" si="174"/>
        <v>0</v>
      </c>
      <c r="BN124" s="42">
        <f t="shared" si="175"/>
        <v>0</v>
      </c>
      <c r="BP124" t="e">
        <f t="shared" si="176"/>
        <v>#N/A</v>
      </c>
      <c r="BQ124" t="e">
        <f t="shared" si="177"/>
        <v>#N/A</v>
      </c>
      <c r="BR124" t="e">
        <f t="shared" si="178"/>
        <v>#N/A</v>
      </c>
      <c r="BT124" s="60">
        <f t="shared" si="187"/>
        <v>0</v>
      </c>
      <c r="BU124" s="60">
        <f t="shared" si="188"/>
        <v>0</v>
      </c>
      <c r="BV124" s="60">
        <f t="shared" si="189"/>
        <v>0</v>
      </c>
      <c r="BW124" s="60">
        <f t="shared" si="190"/>
        <v>0</v>
      </c>
      <c r="BX124" s="60">
        <f t="shared" si="179"/>
        <v>0</v>
      </c>
      <c r="BY124" s="60">
        <f t="shared" si="180"/>
        <v>0</v>
      </c>
      <c r="BZ124" s="60">
        <f t="shared" si="181"/>
        <v>0</v>
      </c>
      <c r="CA124" s="60">
        <f t="shared" si="182"/>
        <v>0</v>
      </c>
      <c r="CB124" s="60" t="e">
        <f t="shared" si="191"/>
        <v>#N/A</v>
      </c>
      <c r="CC124" s="60">
        <f t="shared" si="192"/>
        <v>100000</v>
      </c>
      <c r="CD124" s="60" t="e">
        <f t="shared" si="193"/>
        <v>#N/A</v>
      </c>
      <c r="CE124" s="60">
        <f t="shared" si="194"/>
        <v>100000</v>
      </c>
      <c r="CF124" s="83" t="e">
        <f t="shared" si="183"/>
        <v>#N/A</v>
      </c>
      <c r="CG124" s="83">
        <f t="shared" si="184"/>
        <v>0</v>
      </c>
      <c r="CH124" s="83" t="e">
        <f t="shared" si="185"/>
        <v>#N/A</v>
      </c>
      <c r="CI124" s="83">
        <f t="shared" si="186"/>
        <v>0</v>
      </c>
      <c r="CJ124" s="86" t="e">
        <f t="shared" si="195"/>
        <v>#N/A</v>
      </c>
      <c r="CK124" s="82">
        <f t="shared" si="196"/>
        <v>5.3070370403969858E-3</v>
      </c>
      <c r="CL124" s="82" t="e">
        <f t="shared" si="197"/>
        <v>#N/A</v>
      </c>
      <c r="CM124" s="82">
        <f t="shared" si="198"/>
        <v>5.3070370403969858E-3</v>
      </c>
      <c r="CO124" s="149" t="str">
        <f>IF($I124&lt;&gt;"",IF(O124="User Specified",U124,INDEX('Refrigerant GWPs'!$G$2:$G$156,MATCH(O124,'Refrigerant GWPs'!$A$2:$A$156,0))),"")</f>
        <v/>
      </c>
      <c r="CP124" s="138" t="str">
        <f>IF($I124&lt;&gt;"",INDEX('Device Refrigerant Leakage'!$E$2:$E$42,MATCH($M124,'Device Refrigerant Leakage'!$B$2:$B$42,0)),"")</f>
        <v/>
      </c>
      <c r="CQ124" s="138" t="str">
        <f>IF($I124&lt;&gt;"",INDEX('Device Refrigerant Leakage'!$F$2:$F$42,MATCH($M124,'Device Refrigerant Leakage'!$B$2:$B$42,0)),"")</f>
        <v/>
      </c>
      <c r="CR124" s="145" t="str">
        <f>IF($I124&lt;&gt;"",INDEX('Device Refrigerant Leakage'!$G$2:$G$42,MATCH($M124,'Device Refrigerant Leakage'!$B$2:$B$42,0)),"")</f>
        <v/>
      </c>
      <c r="CS124" s="145" t="str">
        <f>IF($I124&lt;&gt;"",INDEX('Device Refrigerant Leakage'!$D$2:$D$42,MATCH($M124,'Device Refrigerant Leakage'!$B$2:$B$42,0))*CP124/2204.62*CO124,"")</f>
        <v/>
      </c>
      <c r="CT124" s="145" t="str">
        <f>IF($I124&lt;&gt;"",J124*(INDEX('Device Refrigerant Leakage'!$D$2:$D$42,MATCH($M124,'Device Refrigerant Leakage'!$B$2:$B$42,0))-(INDEX('Device Refrigerant Leakage'!$D$2:$D$42,MATCH($M124,'Device Refrigerant Leakage'!$B$2:$B$42,0)))*CR124*CP124)*CQ124/2204.62*CO124,"")</f>
        <v/>
      </c>
      <c r="CU124" s="135" t="str">
        <f>IF($I124&lt;&gt;"",J124*IF(W124&lt;&gt;"AR",(CS124*K124)+CT124,(CS124*AB124)+CT124*(AB124/INDEX('Device Refrigerant Leakage'!$C$2:$C$42,MATCH($M124,'Device Refrigerant Leakage'!$B$2:$B$42,0)))),"")</f>
        <v/>
      </c>
      <c r="CW124" s="135" t="str">
        <f>IF($I124&lt;&gt;"",IF(S124="User Specified",V124,INDEX('Refrigerant GWPs'!$G$2:$G$156,MATCH(S124,'Refrigerant GWPs'!$A$2:$A$157,0))),"")</f>
        <v/>
      </c>
      <c r="CX124" s="138" t="str">
        <f>IF($I124&lt;&gt;"",INDEX('Device Refrigerant Leakage'!$E$2:$E$42,MATCH($Q124,'Device Refrigerant Leakage'!$B$2:$B$42,0)),"")</f>
        <v/>
      </c>
      <c r="CY124" s="138" t="str">
        <f>IF($I124&lt;&gt;"",INDEX('Device Refrigerant Leakage'!$F$2:$F$42,MATCH($Q124,'Device Refrigerant Leakage'!$B$2:$B$42,0)),"")</f>
        <v/>
      </c>
      <c r="CZ124" s="145" t="str">
        <f>IF($I124&lt;&gt;"",INDEX('Device Refrigerant Leakage'!$G$2:$G$42,MATCH($Q124,'Device Refrigerant Leakage'!$B$2:$B$42,0)),"")</f>
        <v/>
      </c>
      <c r="DA124" s="145" t="str">
        <f>IF($I124&lt;&gt;"",J124*INDEX('Device Refrigerant Leakage'!$D$2:$D$42,MATCH($Q124,'Device Refrigerant Leakage'!$B$2:$B$42,0))*CX124/2204.62*CW124,"")</f>
        <v/>
      </c>
      <c r="DB124" s="145" t="str">
        <f>IF($I124&lt;&gt;"",J124*(INDEX('Device Refrigerant Leakage'!$D$2:$D$42,MATCH($Q124,'Device Refrigerant Leakage'!$B$2:$B$42,0))-(INDEX('Device Refrigerant Leakage'!$D$2:$D$42,MATCH($Q124,'Device Refrigerant Leakage'!$B$2:$B$42,0)))*CZ124*CX124)*CY124/2204.62*CW124,"")</f>
        <v/>
      </c>
      <c r="DC124" s="135" t="str">
        <f t="shared" si="163"/>
        <v/>
      </c>
      <c r="DE124" s="146" t="str">
        <f>IF(W124&lt;&gt;"AR","",IF(Y124="User Specified", AA124, INDEX('Refrigerant GWPs'!$G$2:$G$154,MATCH(Y124,'Refrigerant GWPs'!$A$2:$A$154,0))))</f>
        <v/>
      </c>
      <c r="DF124" s="146" t="str">
        <f>IF(W124&lt;&gt;"AR","",INDEX('Device Refrigerant Leakage'!$E$2:$E$42,MATCH(X124,'Device Refrigerant Leakage'!$B$2:$B$42,0)))</f>
        <v/>
      </c>
      <c r="DG124" s="146" t="str">
        <f>IF(W124&lt;&gt;"AR","",INDEX('Device Refrigerant Leakage'!$F$2:$F$42,MATCH(X124,'Device Refrigerant Leakage'!$B$2:$B$42,0)))</f>
        <v/>
      </c>
      <c r="DH124" s="146" t="str">
        <f>IF(W124&lt;&gt;"AR","",INDEX('Device Refrigerant Leakage'!$G$2:$G$42,MATCH(X124,'Device Refrigerant Leakage'!$B$2:$B$42,0)))</f>
        <v/>
      </c>
      <c r="DI124" s="146" t="str">
        <f>IF(W124&lt;&gt;"AR","",J124*INDEX('Device Refrigerant Leakage'!$D$2:$D$42,MATCH(X124,'Device Refrigerant Leakage'!$B$2:$B$42,0))*DF124/2204.62*DE124)</f>
        <v/>
      </c>
      <c r="DJ124" s="146" t="str">
        <f>IF(W124&lt;&gt;"AR","",J124*(INDEX('Device Refrigerant Leakage'!$D$2:$D$42,MATCH(X124,'Device Refrigerant Leakage'!$B$2:$B$42,0))-(INDEX('Device Refrigerant Leakage'!$D$2:$D$42,MATCH(X124,'Device Refrigerant Leakage'!$B$2:$B$42,0)))*DH124*DF124)*DG124/2204.62*DE124)</f>
        <v/>
      </c>
      <c r="DK124" s="146" t="str">
        <f>IF(W124&lt;&gt;"AR","",DI124*(K124-AB124)+'Fuel Sub Calcs-Deemed'!DJ124*((K124-AB124)/INDEX('Device Refrigerant Leakage'!$C$2:$C$42,MATCH('Fuel Sub Calcs-Deemed'!X124,'Device Refrigerant Leakage'!$B$2:$B$42,0))))</f>
        <v/>
      </c>
      <c r="DM124" s="56">
        <v>110</v>
      </c>
      <c r="DN124" s="67" t="e">
        <f t="shared" si="143"/>
        <v>#N/A</v>
      </c>
      <c r="DO124" s="45" t="e">
        <f t="shared" si="144"/>
        <v>#N/A</v>
      </c>
      <c r="DP124" s="67" t="e">
        <f t="shared" si="145"/>
        <v>#N/A</v>
      </c>
      <c r="DQ124" s="45" t="e">
        <f t="shared" si="146"/>
        <v>#N/A</v>
      </c>
      <c r="DR124" s="69" t="e">
        <f t="shared" si="147"/>
        <v>#N/A</v>
      </c>
      <c r="DS124" s="34"/>
      <c r="DT124" s="67" t="e">
        <f>((BX124*CJ124)+IF($W124=MAT_AR,(BZ124*CL124),0))*(1+Reference!$E$50+Reference!$E$51)</f>
        <v>#N/A</v>
      </c>
      <c r="DU124" s="67">
        <f>((BY124*CK124)+IF($W124=MAT_AR,(CA124*CM124),0))*(1+Reference!$G$50+Reference!$G$51)</f>
        <v>0</v>
      </c>
      <c r="DV124" s="67" t="e">
        <f t="shared" si="148"/>
        <v>#VALUE!</v>
      </c>
      <c r="DX124" s="56">
        <v>110</v>
      </c>
      <c r="DY124" s="67">
        <f t="shared" si="149"/>
        <v>0</v>
      </c>
      <c r="DZ124" s="45" t="e">
        <f>VLOOKUP($R124,Dropdown!$C$3:$D$4,2,FALSE)</f>
        <v>#N/A</v>
      </c>
      <c r="EA124" s="68">
        <f t="shared" si="150"/>
        <v>0</v>
      </c>
      <c r="EB124" s="68" t="str">
        <f t="shared" si="151"/>
        <v>N/A</v>
      </c>
      <c r="EC124" s="68">
        <f t="shared" si="152"/>
        <v>0</v>
      </c>
      <c r="ED124" s="68" t="str">
        <f t="shared" si="199"/>
        <v>N/A</v>
      </c>
      <c r="EF124" s="56">
        <v>110</v>
      </c>
      <c r="EG124" s="46">
        <f t="shared" si="154"/>
        <v>0</v>
      </c>
      <c r="EH124" s="68" t="e">
        <f t="shared" si="155"/>
        <v>#N/A</v>
      </c>
      <c r="EI124" s="68" t="e">
        <f t="shared" si="156"/>
        <v>#N/A</v>
      </c>
      <c r="EJ124" s="68" t="e">
        <f t="shared" si="157"/>
        <v>#N/A</v>
      </c>
      <c r="EK124" s="68" t="e">
        <f t="shared" si="158"/>
        <v>#N/A</v>
      </c>
      <c r="EL124" s="46">
        <f t="shared" si="159"/>
        <v>0</v>
      </c>
      <c r="EM124" s="46">
        <f t="shared" si="160"/>
        <v>0</v>
      </c>
    </row>
    <row r="125" spans="1:143">
      <c r="A125" s="89"/>
      <c r="B125" s="89"/>
      <c r="C125" s="89"/>
      <c r="D125" s="89"/>
      <c r="E125" s="89"/>
      <c r="F125" s="89"/>
      <c r="G125" s="34"/>
      <c r="H125" s="56">
        <f t="shared" si="161"/>
        <v>111</v>
      </c>
      <c r="I125" s="165"/>
      <c r="J125" s="163"/>
      <c r="K125" s="163"/>
      <c r="L125" s="164"/>
      <c r="M125" s="155"/>
      <c r="N125" s="155"/>
      <c r="O125" s="144"/>
      <c r="P125" s="159" t="str">
        <f>IFERROR(IF(O125&lt;&gt;"User Specified",IF(O125&lt;&gt;"", INDEX('Refrigerant GWPs'!$G$2:$G$154,MATCH(O125,'Refrigerant GWPs'!$A$2:$A$154,0)),""),U125),0)</f>
        <v/>
      </c>
      <c r="Q125" s="155"/>
      <c r="R125" s="155"/>
      <c r="S125" s="144"/>
      <c r="T125" s="159" t="str">
        <f>IF(S125&lt;&gt;"User Specified",IF(AND(S125&lt;&gt;"User Specified",S125&lt;&gt;""), INDEX('Refrigerant GWPs'!$G$2:$G$154,MATCH(S125,'Refrigerant GWPs'!$A$2:$A$154,0)),""),V125)</f>
        <v/>
      </c>
      <c r="U125" s="144"/>
      <c r="V125" s="144"/>
      <c r="W125" s="155"/>
      <c r="X125" s="155"/>
      <c r="Y125" s="144"/>
      <c r="Z125" s="159" t="str">
        <f>IF(AND(Y125&lt;&gt;"User Specified",Y125&lt;&gt;""), INDEX('Refrigerant GWPs'!$G$2:$G$154,MATCH(Y125,'Refrigerant GWPs'!$A$2:$A$154,0)),"")</f>
        <v/>
      </c>
      <c r="AA125" s="155"/>
      <c r="AB125" s="156"/>
      <c r="AC125" s="66"/>
      <c r="AD125" s="66"/>
      <c r="AE125" s="66"/>
      <c r="AF125" s="66"/>
      <c r="AG125" s="66"/>
      <c r="AH125" s="66"/>
      <c r="AI125" s="34"/>
      <c r="AJ125" s="88">
        <f t="shared" si="119"/>
        <v>0</v>
      </c>
      <c r="AK125" s="88">
        <f t="shared" si="120"/>
        <v>0</v>
      </c>
      <c r="AL125" s="88">
        <v>0</v>
      </c>
      <c r="AM125" s="88">
        <v>0</v>
      </c>
      <c r="AN125" s="81" t="str">
        <f t="shared" si="162"/>
        <v/>
      </c>
      <c r="AO125" s="88">
        <f t="shared" si="121"/>
        <v>0</v>
      </c>
      <c r="AP125" s="88">
        <f t="shared" si="122"/>
        <v>0</v>
      </c>
      <c r="AQ125" s="81" t="str">
        <f t="shared" si="123"/>
        <v/>
      </c>
      <c r="AS125" s="41" t="b">
        <f t="shared" si="124"/>
        <v>1</v>
      </c>
      <c r="AT125" s="38">
        <f t="shared" si="125"/>
        <v>0</v>
      </c>
      <c r="AU125" s="60">
        <f t="shared" si="126"/>
        <v>0</v>
      </c>
      <c r="AV125" s="41">
        <f t="shared" si="127"/>
        <v>0</v>
      </c>
      <c r="AW125" s="41" t="b">
        <f t="shared" si="128"/>
        <v>0</v>
      </c>
      <c r="AX125" t="str">
        <f t="shared" si="129"/>
        <v>+00</v>
      </c>
      <c r="AY125" t="str">
        <f t="shared" si="130"/>
        <v>+00</v>
      </c>
      <c r="BA125" s="47" t="b">
        <f t="shared" si="164"/>
        <v>1</v>
      </c>
      <c r="BB125" s="42" t="b">
        <f t="shared" si="165"/>
        <v>1</v>
      </c>
      <c r="BC125" s="42" t="b">
        <f t="shared" si="166"/>
        <v>0</v>
      </c>
      <c r="BD125" s="42" t="b">
        <f t="shared" si="167"/>
        <v>0</v>
      </c>
      <c r="BE125" s="70">
        <f t="shared" si="168"/>
        <v>0</v>
      </c>
      <c r="BF125" s="70">
        <f t="shared" si="169"/>
        <v>0</v>
      </c>
      <c r="BG125" s="34"/>
      <c r="BI125" s="47" t="b">
        <f t="shared" si="170"/>
        <v>1</v>
      </c>
      <c r="BJ125" s="47" t="b">
        <f t="shared" si="171"/>
        <v>1</v>
      </c>
      <c r="BK125" s="42" t="b">
        <f t="shared" si="172"/>
        <v>0</v>
      </c>
      <c r="BL125" s="42" t="b">
        <f t="shared" si="173"/>
        <v>0</v>
      </c>
      <c r="BM125" s="42">
        <f t="shared" si="174"/>
        <v>0</v>
      </c>
      <c r="BN125" s="42">
        <f t="shared" si="175"/>
        <v>0</v>
      </c>
      <c r="BP125" t="e">
        <f t="shared" si="176"/>
        <v>#N/A</v>
      </c>
      <c r="BQ125" t="e">
        <f t="shared" si="177"/>
        <v>#N/A</v>
      </c>
      <c r="BR125" t="e">
        <f t="shared" si="178"/>
        <v>#N/A</v>
      </c>
      <c r="BT125" s="60">
        <f t="shared" si="187"/>
        <v>0</v>
      </c>
      <c r="BU125" s="60">
        <f t="shared" si="188"/>
        <v>0</v>
      </c>
      <c r="BV125" s="60">
        <f t="shared" si="189"/>
        <v>0</v>
      </c>
      <c r="BW125" s="60">
        <f t="shared" si="190"/>
        <v>0</v>
      </c>
      <c r="BX125" s="60">
        <f t="shared" si="179"/>
        <v>0</v>
      </c>
      <c r="BY125" s="60">
        <f t="shared" si="180"/>
        <v>0</v>
      </c>
      <c r="BZ125" s="60">
        <f t="shared" si="181"/>
        <v>0</v>
      </c>
      <c r="CA125" s="60">
        <f t="shared" si="182"/>
        <v>0</v>
      </c>
      <c r="CB125" s="60" t="e">
        <f t="shared" si="191"/>
        <v>#N/A</v>
      </c>
      <c r="CC125" s="60">
        <f t="shared" si="192"/>
        <v>100000</v>
      </c>
      <c r="CD125" s="60" t="e">
        <f t="shared" si="193"/>
        <v>#N/A</v>
      </c>
      <c r="CE125" s="60">
        <f t="shared" si="194"/>
        <v>100000</v>
      </c>
      <c r="CF125" s="83" t="e">
        <f t="shared" si="183"/>
        <v>#N/A</v>
      </c>
      <c r="CG125" s="83">
        <f t="shared" si="184"/>
        <v>0</v>
      </c>
      <c r="CH125" s="83" t="e">
        <f t="shared" si="185"/>
        <v>#N/A</v>
      </c>
      <c r="CI125" s="83">
        <f t="shared" si="186"/>
        <v>0</v>
      </c>
      <c r="CJ125" s="86" t="e">
        <f t="shared" si="195"/>
        <v>#N/A</v>
      </c>
      <c r="CK125" s="82">
        <f t="shared" si="196"/>
        <v>5.3070370403969858E-3</v>
      </c>
      <c r="CL125" s="82" t="e">
        <f t="shared" si="197"/>
        <v>#N/A</v>
      </c>
      <c r="CM125" s="82">
        <f t="shared" si="198"/>
        <v>5.3070370403969858E-3</v>
      </c>
      <c r="CO125" s="149" t="str">
        <f>IF($I125&lt;&gt;"",IF(O125="User Specified",U125,INDEX('Refrigerant GWPs'!$G$2:$G$156,MATCH(O125,'Refrigerant GWPs'!$A$2:$A$156,0))),"")</f>
        <v/>
      </c>
      <c r="CP125" s="138" t="str">
        <f>IF($I125&lt;&gt;"",INDEX('Device Refrigerant Leakage'!$E$2:$E$42,MATCH($M125,'Device Refrigerant Leakage'!$B$2:$B$42,0)),"")</f>
        <v/>
      </c>
      <c r="CQ125" s="138" t="str">
        <f>IF($I125&lt;&gt;"",INDEX('Device Refrigerant Leakage'!$F$2:$F$42,MATCH($M125,'Device Refrigerant Leakage'!$B$2:$B$42,0)),"")</f>
        <v/>
      </c>
      <c r="CR125" s="145" t="str">
        <f>IF($I125&lt;&gt;"",INDEX('Device Refrigerant Leakage'!$G$2:$G$42,MATCH($M125,'Device Refrigerant Leakage'!$B$2:$B$42,0)),"")</f>
        <v/>
      </c>
      <c r="CS125" s="145" t="str">
        <f>IF($I125&lt;&gt;"",INDEX('Device Refrigerant Leakage'!$D$2:$D$42,MATCH($M125,'Device Refrigerant Leakage'!$B$2:$B$42,0))*CP125/2204.62*CO125,"")</f>
        <v/>
      </c>
      <c r="CT125" s="145" t="str">
        <f>IF($I125&lt;&gt;"",J125*(INDEX('Device Refrigerant Leakage'!$D$2:$D$42,MATCH($M125,'Device Refrigerant Leakage'!$B$2:$B$42,0))-(INDEX('Device Refrigerant Leakage'!$D$2:$D$42,MATCH($M125,'Device Refrigerant Leakage'!$B$2:$B$42,0)))*CR125*CP125)*CQ125/2204.62*CO125,"")</f>
        <v/>
      </c>
      <c r="CU125" s="135" t="str">
        <f>IF($I125&lt;&gt;"",J125*IF(W125&lt;&gt;"AR",(CS125*K125)+CT125,(CS125*AB125)+CT125*(AB125/INDEX('Device Refrigerant Leakage'!$C$2:$C$42,MATCH($M125,'Device Refrigerant Leakage'!$B$2:$B$42,0)))),"")</f>
        <v/>
      </c>
      <c r="CW125" s="135" t="str">
        <f>IF($I125&lt;&gt;"",IF(S125="User Specified",V125,INDEX('Refrigerant GWPs'!$G$2:$G$156,MATCH(S125,'Refrigerant GWPs'!$A$2:$A$157,0))),"")</f>
        <v/>
      </c>
      <c r="CX125" s="138" t="str">
        <f>IF($I125&lt;&gt;"",INDEX('Device Refrigerant Leakage'!$E$2:$E$42,MATCH($Q125,'Device Refrigerant Leakage'!$B$2:$B$42,0)),"")</f>
        <v/>
      </c>
      <c r="CY125" s="138" t="str">
        <f>IF($I125&lt;&gt;"",INDEX('Device Refrigerant Leakage'!$F$2:$F$42,MATCH($Q125,'Device Refrigerant Leakage'!$B$2:$B$42,0)),"")</f>
        <v/>
      </c>
      <c r="CZ125" s="145" t="str">
        <f>IF($I125&lt;&gt;"",INDEX('Device Refrigerant Leakage'!$G$2:$G$42,MATCH($Q125,'Device Refrigerant Leakage'!$B$2:$B$42,0)),"")</f>
        <v/>
      </c>
      <c r="DA125" s="145" t="str">
        <f>IF($I125&lt;&gt;"",J125*INDEX('Device Refrigerant Leakage'!$D$2:$D$42,MATCH($Q125,'Device Refrigerant Leakage'!$B$2:$B$42,0))*CX125/2204.62*CW125,"")</f>
        <v/>
      </c>
      <c r="DB125" s="145" t="str">
        <f>IF($I125&lt;&gt;"",J125*(INDEX('Device Refrigerant Leakage'!$D$2:$D$42,MATCH($Q125,'Device Refrigerant Leakage'!$B$2:$B$42,0))-(INDEX('Device Refrigerant Leakage'!$D$2:$D$42,MATCH($Q125,'Device Refrigerant Leakage'!$B$2:$B$42,0)))*CZ125*CX125)*CY125/2204.62*CW125,"")</f>
        <v/>
      </c>
      <c r="DC125" s="135" t="str">
        <f t="shared" si="163"/>
        <v/>
      </c>
      <c r="DE125" s="146" t="str">
        <f>IF(W125&lt;&gt;"AR","",IF(Y125="User Specified", AA125, INDEX('Refrigerant GWPs'!$G$2:$G$154,MATCH(Y125,'Refrigerant GWPs'!$A$2:$A$154,0))))</f>
        <v/>
      </c>
      <c r="DF125" s="146" t="str">
        <f>IF(W125&lt;&gt;"AR","",INDEX('Device Refrigerant Leakage'!$E$2:$E$42,MATCH(X125,'Device Refrigerant Leakage'!$B$2:$B$42,0)))</f>
        <v/>
      </c>
      <c r="DG125" s="146" t="str">
        <f>IF(W125&lt;&gt;"AR","",INDEX('Device Refrigerant Leakage'!$F$2:$F$42,MATCH(X125,'Device Refrigerant Leakage'!$B$2:$B$42,0)))</f>
        <v/>
      </c>
      <c r="DH125" s="146" t="str">
        <f>IF(W125&lt;&gt;"AR","",INDEX('Device Refrigerant Leakage'!$G$2:$G$42,MATCH(X125,'Device Refrigerant Leakage'!$B$2:$B$42,0)))</f>
        <v/>
      </c>
      <c r="DI125" s="146" t="str">
        <f>IF(W125&lt;&gt;"AR","",J125*INDEX('Device Refrigerant Leakage'!$D$2:$D$42,MATCH(X125,'Device Refrigerant Leakage'!$B$2:$B$42,0))*DF125/2204.62*DE125)</f>
        <v/>
      </c>
      <c r="DJ125" s="146" t="str">
        <f>IF(W125&lt;&gt;"AR","",J125*(INDEX('Device Refrigerant Leakage'!$D$2:$D$42,MATCH(X125,'Device Refrigerant Leakage'!$B$2:$B$42,0))-(INDEX('Device Refrigerant Leakage'!$D$2:$D$42,MATCH(X125,'Device Refrigerant Leakage'!$B$2:$B$42,0)))*DH125*DF125)*DG125/2204.62*DE125)</f>
        <v/>
      </c>
      <c r="DK125" s="146" t="str">
        <f>IF(W125&lt;&gt;"AR","",DI125*(K125-AB125)+'Fuel Sub Calcs-Deemed'!DJ125*((K125-AB125)/INDEX('Device Refrigerant Leakage'!$C$2:$C$42,MATCH('Fuel Sub Calcs-Deemed'!X125,'Device Refrigerant Leakage'!$B$2:$B$42,0))))</f>
        <v/>
      </c>
      <c r="DM125" s="56">
        <v>111</v>
      </c>
      <c r="DN125" s="67" t="e">
        <f t="shared" si="143"/>
        <v>#N/A</v>
      </c>
      <c r="DO125" s="45" t="e">
        <f t="shared" si="144"/>
        <v>#N/A</v>
      </c>
      <c r="DP125" s="67" t="e">
        <f t="shared" si="145"/>
        <v>#N/A</v>
      </c>
      <c r="DQ125" s="45" t="e">
        <f t="shared" si="146"/>
        <v>#N/A</v>
      </c>
      <c r="DR125" s="69" t="e">
        <f t="shared" si="147"/>
        <v>#N/A</v>
      </c>
      <c r="DS125" s="34"/>
      <c r="DT125" s="67" t="e">
        <f>((BX125*CJ125)+IF($W125=MAT_AR,(BZ125*CL125),0))*(1+Reference!$E$50+Reference!$E$51)</f>
        <v>#N/A</v>
      </c>
      <c r="DU125" s="67">
        <f>((BY125*CK125)+IF($W125=MAT_AR,(CA125*CM125),0))*(1+Reference!$G$50+Reference!$G$51)</f>
        <v>0</v>
      </c>
      <c r="DV125" s="67" t="e">
        <f t="shared" si="148"/>
        <v>#VALUE!</v>
      </c>
      <c r="DX125" s="56">
        <v>111</v>
      </c>
      <c r="DY125" s="67">
        <f t="shared" si="149"/>
        <v>0</v>
      </c>
      <c r="DZ125" s="45" t="e">
        <f>VLOOKUP($R125,Dropdown!$C$3:$D$4,2,FALSE)</f>
        <v>#N/A</v>
      </c>
      <c r="EA125" s="68">
        <f t="shared" si="150"/>
        <v>0</v>
      </c>
      <c r="EB125" s="68" t="str">
        <f t="shared" si="151"/>
        <v>N/A</v>
      </c>
      <c r="EC125" s="68">
        <f t="shared" si="152"/>
        <v>0</v>
      </c>
      <c r="ED125" s="68" t="str">
        <f t="shared" si="199"/>
        <v>N/A</v>
      </c>
      <c r="EF125" s="56">
        <v>111</v>
      </c>
      <c r="EG125" s="46">
        <f t="shared" si="154"/>
        <v>0</v>
      </c>
      <c r="EH125" s="68" t="e">
        <f t="shared" si="155"/>
        <v>#N/A</v>
      </c>
      <c r="EI125" s="68" t="e">
        <f t="shared" si="156"/>
        <v>#N/A</v>
      </c>
      <c r="EJ125" s="68" t="e">
        <f t="shared" si="157"/>
        <v>#N/A</v>
      </c>
      <c r="EK125" s="68" t="e">
        <f t="shared" si="158"/>
        <v>#N/A</v>
      </c>
      <c r="EL125" s="46">
        <f t="shared" si="159"/>
        <v>0</v>
      </c>
      <c r="EM125" s="46">
        <f t="shared" si="160"/>
        <v>0</v>
      </c>
    </row>
    <row r="126" spans="1:143">
      <c r="A126" s="89"/>
      <c r="B126" s="89"/>
      <c r="C126" s="89"/>
      <c r="D126" s="89"/>
      <c r="E126" s="89"/>
      <c r="F126" s="89"/>
      <c r="G126" s="34"/>
      <c r="H126" s="56">
        <f t="shared" si="161"/>
        <v>112</v>
      </c>
      <c r="I126" s="165"/>
      <c r="J126" s="163"/>
      <c r="K126" s="163"/>
      <c r="L126" s="164"/>
      <c r="M126" s="155"/>
      <c r="N126" s="155"/>
      <c r="O126" s="144"/>
      <c r="P126" s="159" t="str">
        <f>IFERROR(IF(O126&lt;&gt;"User Specified",IF(O126&lt;&gt;"", INDEX('Refrigerant GWPs'!$G$2:$G$154,MATCH(O126,'Refrigerant GWPs'!$A$2:$A$154,0)),""),U126),0)</f>
        <v/>
      </c>
      <c r="Q126" s="155"/>
      <c r="R126" s="155"/>
      <c r="S126" s="144"/>
      <c r="T126" s="159" t="str">
        <f>IF(S126&lt;&gt;"User Specified",IF(AND(S126&lt;&gt;"User Specified",S126&lt;&gt;""), INDEX('Refrigerant GWPs'!$G$2:$G$154,MATCH(S126,'Refrigerant GWPs'!$A$2:$A$154,0)),""),V126)</f>
        <v/>
      </c>
      <c r="U126" s="144"/>
      <c r="V126" s="144"/>
      <c r="W126" s="155"/>
      <c r="X126" s="155"/>
      <c r="Y126" s="144"/>
      <c r="Z126" s="159" t="str">
        <f>IF(AND(Y126&lt;&gt;"User Specified",Y126&lt;&gt;""), INDEX('Refrigerant GWPs'!$G$2:$G$154,MATCH(Y126,'Refrigerant GWPs'!$A$2:$A$154,0)),"")</f>
        <v/>
      </c>
      <c r="AA126" s="155"/>
      <c r="AB126" s="156"/>
      <c r="AC126" s="66"/>
      <c r="AD126" s="66"/>
      <c r="AE126" s="66"/>
      <c r="AF126" s="66"/>
      <c r="AG126" s="66"/>
      <c r="AH126" s="66"/>
      <c r="AI126" s="34"/>
      <c r="AJ126" s="88">
        <f t="shared" si="119"/>
        <v>0</v>
      </c>
      <c r="AK126" s="88">
        <f t="shared" si="120"/>
        <v>0</v>
      </c>
      <c r="AL126" s="88">
        <v>0</v>
      </c>
      <c r="AM126" s="88">
        <v>0</v>
      </c>
      <c r="AN126" s="81" t="str">
        <f t="shared" si="162"/>
        <v/>
      </c>
      <c r="AO126" s="88">
        <f t="shared" si="121"/>
        <v>0</v>
      </c>
      <c r="AP126" s="88">
        <f t="shared" si="122"/>
        <v>0</v>
      </c>
      <c r="AQ126" s="81" t="str">
        <f t="shared" si="123"/>
        <v/>
      </c>
      <c r="AS126" s="41" t="b">
        <f t="shared" si="124"/>
        <v>1</v>
      </c>
      <c r="AT126" s="38">
        <f t="shared" si="125"/>
        <v>0</v>
      </c>
      <c r="AU126" s="60">
        <f t="shared" si="126"/>
        <v>0</v>
      </c>
      <c r="AV126" s="41">
        <f t="shared" si="127"/>
        <v>0</v>
      </c>
      <c r="AW126" s="41" t="b">
        <f t="shared" si="128"/>
        <v>0</v>
      </c>
      <c r="AX126" t="str">
        <f t="shared" si="129"/>
        <v>+00</v>
      </c>
      <c r="AY126" t="str">
        <f t="shared" si="130"/>
        <v>+00</v>
      </c>
      <c r="BA126" s="47" t="b">
        <f t="shared" si="164"/>
        <v>1</v>
      </c>
      <c r="BB126" s="42" t="b">
        <f t="shared" si="165"/>
        <v>1</v>
      </c>
      <c r="BC126" s="42" t="b">
        <f t="shared" si="166"/>
        <v>0</v>
      </c>
      <c r="BD126" s="42" t="b">
        <f t="shared" si="167"/>
        <v>0</v>
      </c>
      <c r="BE126" s="70">
        <f t="shared" si="168"/>
        <v>0</v>
      </c>
      <c r="BF126" s="70">
        <f t="shared" si="169"/>
        <v>0</v>
      </c>
      <c r="BG126" s="34"/>
      <c r="BI126" s="47" t="b">
        <f t="shared" si="170"/>
        <v>1</v>
      </c>
      <c r="BJ126" s="47" t="b">
        <f t="shared" si="171"/>
        <v>1</v>
      </c>
      <c r="BK126" s="42" t="b">
        <f t="shared" si="172"/>
        <v>0</v>
      </c>
      <c r="BL126" s="42" t="b">
        <f t="shared" si="173"/>
        <v>0</v>
      </c>
      <c r="BM126" s="42">
        <f t="shared" si="174"/>
        <v>0</v>
      </c>
      <c r="BN126" s="42">
        <f t="shared" si="175"/>
        <v>0</v>
      </c>
      <c r="BP126" t="e">
        <f t="shared" si="176"/>
        <v>#N/A</v>
      </c>
      <c r="BQ126" t="e">
        <f t="shared" si="177"/>
        <v>#N/A</v>
      </c>
      <c r="BR126" t="e">
        <f t="shared" si="178"/>
        <v>#N/A</v>
      </c>
      <c r="BT126" s="60">
        <f t="shared" si="187"/>
        <v>0</v>
      </c>
      <c r="BU126" s="60">
        <f t="shared" si="188"/>
        <v>0</v>
      </c>
      <c r="BV126" s="60">
        <f t="shared" si="189"/>
        <v>0</v>
      </c>
      <c r="BW126" s="60">
        <f t="shared" si="190"/>
        <v>0</v>
      </c>
      <c r="BX126" s="60">
        <f t="shared" si="179"/>
        <v>0</v>
      </c>
      <c r="BY126" s="60">
        <f t="shared" si="180"/>
        <v>0</v>
      </c>
      <c r="BZ126" s="60">
        <f t="shared" si="181"/>
        <v>0</v>
      </c>
      <c r="CA126" s="60">
        <f t="shared" si="182"/>
        <v>0</v>
      </c>
      <c r="CB126" s="60" t="e">
        <f t="shared" si="191"/>
        <v>#N/A</v>
      </c>
      <c r="CC126" s="60">
        <f t="shared" si="192"/>
        <v>100000</v>
      </c>
      <c r="CD126" s="60" t="e">
        <f t="shared" si="193"/>
        <v>#N/A</v>
      </c>
      <c r="CE126" s="60">
        <f t="shared" si="194"/>
        <v>100000</v>
      </c>
      <c r="CF126" s="83" t="e">
        <f t="shared" si="183"/>
        <v>#N/A</v>
      </c>
      <c r="CG126" s="83">
        <f t="shared" si="184"/>
        <v>0</v>
      </c>
      <c r="CH126" s="83" t="e">
        <f t="shared" si="185"/>
        <v>#N/A</v>
      </c>
      <c r="CI126" s="83">
        <f t="shared" si="186"/>
        <v>0</v>
      </c>
      <c r="CJ126" s="86" t="e">
        <f t="shared" si="195"/>
        <v>#N/A</v>
      </c>
      <c r="CK126" s="82">
        <f t="shared" si="196"/>
        <v>5.3070370403969858E-3</v>
      </c>
      <c r="CL126" s="82" t="e">
        <f t="shared" si="197"/>
        <v>#N/A</v>
      </c>
      <c r="CM126" s="82">
        <f t="shared" si="198"/>
        <v>5.3070370403969858E-3</v>
      </c>
      <c r="CO126" s="149" t="str">
        <f>IF($I126&lt;&gt;"",IF(O126="User Specified",U126,INDEX('Refrigerant GWPs'!$G$2:$G$156,MATCH(O126,'Refrigerant GWPs'!$A$2:$A$156,0))),"")</f>
        <v/>
      </c>
      <c r="CP126" s="138" t="str">
        <f>IF($I126&lt;&gt;"",INDEX('Device Refrigerant Leakage'!$E$2:$E$42,MATCH($M126,'Device Refrigerant Leakage'!$B$2:$B$42,0)),"")</f>
        <v/>
      </c>
      <c r="CQ126" s="138" t="str">
        <f>IF($I126&lt;&gt;"",INDEX('Device Refrigerant Leakage'!$F$2:$F$42,MATCH($M126,'Device Refrigerant Leakage'!$B$2:$B$42,0)),"")</f>
        <v/>
      </c>
      <c r="CR126" s="145" t="str">
        <f>IF($I126&lt;&gt;"",INDEX('Device Refrigerant Leakage'!$G$2:$G$42,MATCH($M126,'Device Refrigerant Leakage'!$B$2:$B$42,0)),"")</f>
        <v/>
      </c>
      <c r="CS126" s="145" t="str">
        <f>IF($I126&lt;&gt;"",INDEX('Device Refrigerant Leakage'!$D$2:$D$42,MATCH($M126,'Device Refrigerant Leakage'!$B$2:$B$42,0))*CP126/2204.62*CO126,"")</f>
        <v/>
      </c>
      <c r="CT126" s="145" t="str">
        <f>IF($I126&lt;&gt;"",J126*(INDEX('Device Refrigerant Leakage'!$D$2:$D$42,MATCH($M126,'Device Refrigerant Leakage'!$B$2:$B$42,0))-(INDEX('Device Refrigerant Leakage'!$D$2:$D$42,MATCH($M126,'Device Refrigerant Leakage'!$B$2:$B$42,0)))*CR126*CP126)*CQ126/2204.62*CO126,"")</f>
        <v/>
      </c>
      <c r="CU126" s="135" t="str">
        <f>IF($I126&lt;&gt;"",J126*IF(W126&lt;&gt;"AR",(CS126*K126)+CT126,(CS126*AB126)+CT126*(AB126/INDEX('Device Refrigerant Leakage'!$C$2:$C$42,MATCH($M126,'Device Refrigerant Leakage'!$B$2:$B$42,0)))),"")</f>
        <v/>
      </c>
      <c r="CW126" s="135" t="str">
        <f>IF($I126&lt;&gt;"",IF(S126="User Specified",V126,INDEX('Refrigerant GWPs'!$G$2:$G$156,MATCH(S126,'Refrigerant GWPs'!$A$2:$A$157,0))),"")</f>
        <v/>
      </c>
      <c r="CX126" s="138" t="str">
        <f>IF($I126&lt;&gt;"",INDEX('Device Refrigerant Leakage'!$E$2:$E$42,MATCH($Q126,'Device Refrigerant Leakage'!$B$2:$B$42,0)),"")</f>
        <v/>
      </c>
      <c r="CY126" s="138" t="str">
        <f>IF($I126&lt;&gt;"",INDEX('Device Refrigerant Leakage'!$F$2:$F$42,MATCH($Q126,'Device Refrigerant Leakage'!$B$2:$B$42,0)),"")</f>
        <v/>
      </c>
      <c r="CZ126" s="145" t="str">
        <f>IF($I126&lt;&gt;"",INDEX('Device Refrigerant Leakage'!$G$2:$G$42,MATCH($Q126,'Device Refrigerant Leakage'!$B$2:$B$42,0)),"")</f>
        <v/>
      </c>
      <c r="DA126" s="145" t="str">
        <f>IF($I126&lt;&gt;"",J126*INDEX('Device Refrigerant Leakage'!$D$2:$D$42,MATCH($Q126,'Device Refrigerant Leakage'!$B$2:$B$42,0))*CX126/2204.62*CW126,"")</f>
        <v/>
      </c>
      <c r="DB126" s="145" t="str">
        <f>IF($I126&lt;&gt;"",J126*(INDEX('Device Refrigerant Leakage'!$D$2:$D$42,MATCH($Q126,'Device Refrigerant Leakage'!$B$2:$B$42,0))-(INDEX('Device Refrigerant Leakage'!$D$2:$D$42,MATCH($Q126,'Device Refrigerant Leakage'!$B$2:$B$42,0)))*CZ126*CX126)*CY126/2204.62*CW126,"")</f>
        <v/>
      </c>
      <c r="DC126" s="135" t="str">
        <f t="shared" si="163"/>
        <v/>
      </c>
      <c r="DE126" s="146" t="str">
        <f>IF(W126&lt;&gt;"AR","",IF(Y126="User Specified", AA126, INDEX('Refrigerant GWPs'!$G$2:$G$154,MATCH(Y126,'Refrigerant GWPs'!$A$2:$A$154,0))))</f>
        <v/>
      </c>
      <c r="DF126" s="146" t="str">
        <f>IF(W126&lt;&gt;"AR","",INDEX('Device Refrigerant Leakage'!$E$2:$E$42,MATCH(X126,'Device Refrigerant Leakage'!$B$2:$B$42,0)))</f>
        <v/>
      </c>
      <c r="DG126" s="146" t="str">
        <f>IF(W126&lt;&gt;"AR","",INDEX('Device Refrigerant Leakage'!$F$2:$F$42,MATCH(X126,'Device Refrigerant Leakage'!$B$2:$B$42,0)))</f>
        <v/>
      </c>
      <c r="DH126" s="146" t="str">
        <f>IF(W126&lt;&gt;"AR","",INDEX('Device Refrigerant Leakage'!$G$2:$G$42,MATCH(X126,'Device Refrigerant Leakage'!$B$2:$B$42,0)))</f>
        <v/>
      </c>
      <c r="DI126" s="146" t="str">
        <f>IF(W126&lt;&gt;"AR","",J126*INDEX('Device Refrigerant Leakage'!$D$2:$D$42,MATCH(X126,'Device Refrigerant Leakage'!$B$2:$B$42,0))*DF126/2204.62*DE126)</f>
        <v/>
      </c>
      <c r="DJ126" s="146" t="str">
        <f>IF(W126&lt;&gt;"AR","",J126*(INDEX('Device Refrigerant Leakage'!$D$2:$D$42,MATCH(X126,'Device Refrigerant Leakage'!$B$2:$B$42,0))-(INDEX('Device Refrigerant Leakage'!$D$2:$D$42,MATCH(X126,'Device Refrigerant Leakage'!$B$2:$B$42,0)))*DH126*DF126)*DG126/2204.62*DE126)</f>
        <v/>
      </c>
      <c r="DK126" s="146" t="str">
        <f>IF(W126&lt;&gt;"AR","",DI126*(K126-AB126)+'Fuel Sub Calcs-Deemed'!DJ126*((K126-AB126)/INDEX('Device Refrigerant Leakage'!$C$2:$C$42,MATCH('Fuel Sub Calcs-Deemed'!X126,'Device Refrigerant Leakage'!$B$2:$B$42,0))))</f>
        <v/>
      </c>
      <c r="DM126" s="56">
        <v>112</v>
      </c>
      <c r="DN126" s="67" t="e">
        <f t="shared" si="143"/>
        <v>#N/A</v>
      </c>
      <c r="DO126" s="45" t="e">
        <f t="shared" si="144"/>
        <v>#N/A</v>
      </c>
      <c r="DP126" s="67" t="e">
        <f t="shared" si="145"/>
        <v>#N/A</v>
      </c>
      <c r="DQ126" s="45" t="e">
        <f t="shared" si="146"/>
        <v>#N/A</v>
      </c>
      <c r="DR126" s="69" t="e">
        <f t="shared" si="147"/>
        <v>#N/A</v>
      </c>
      <c r="DS126" s="34"/>
      <c r="DT126" s="67" t="e">
        <f>((BX126*CJ126)+IF($W126=MAT_AR,(BZ126*CL126),0))*(1+Reference!$E$50+Reference!$E$51)</f>
        <v>#N/A</v>
      </c>
      <c r="DU126" s="67">
        <f>((BY126*CK126)+IF($W126=MAT_AR,(CA126*CM126),0))*(1+Reference!$G$50+Reference!$G$51)</f>
        <v>0</v>
      </c>
      <c r="DV126" s="67" t="e">
        <f t="shared" si="148"/>
        <v>#VALUE!</v>
      </c>
      <c r="DX126" s="56">
        <v>112</v>
      </c>
      <c r="DY126" s="67">
        <f t="shared" si="149"/>
        <v>0</v>
      </c>
      <c r="DZ126" s="45" t="e">
        <f>VLOOKUP($R126,Dropdown!$C$3:$D$4,2,FALSE)</f>
        <v>#N/A</v>
      </c>
      <c r="EA126" s="68">
        <f t="shared" si="150"/>
        <v>0</v>
      </c>
      <c r="EB126" s="68" t="str">
        <f t="shared" si="151"/>
        <v>N/A</v>
      </c>
      <c r="EC126" s="68">
        <f t="shared" si="152"/>
        <v>0</v>
      </c>
      <c r="ED126" s="68" t="str">
        <f t="shared" si="199"/>
        <v>N/A</v>
      </c>
      <c r="EF126" s="56">
        <v>112</v>
      </c>
      <c r="EG126" s="46">
        <f t="shared" si="154"/>
        <v>0</v>
      </c>
      <c r="EH126" s="68" t="e">
        <f t="shared" si="155"/>
        <v>#N/A</v>
      </c>
      <c r="EI126" s="68" t="e">
        <f t="shared" si="156"/>
        <v>#N/A</v>
      </c>
      <c r="EJ126" s="68" t="e">
        <f t="shared" si="157"/>
        <v>#N/A</v>
      </c>
      <c r="EK126" s="68" t="e">
        <f t="shared" si="158"/>
        <v>#N/A</v>
      </c>
      <c r="EL126" s="46">
        <f t="shared" si="159"/>
        <v>0</v>
      </c>
      <c r="EM126" s="46">
        <f t="shared" si="160"/>
        <v>0</v>
      </c>
    </row>
    <row r="127" spans="1:143">
      <c r="A127" s="89"/>
      <c r="B127" s="89"/>
      <c r="C127" s="89"/>
      <c r="D127" s="89"/>
      <c r="E127" s="89"/>
      <c r="F127" s="89"/>
      <c r="G127" s="34"/>
      <c r="H127" s="56">
        <f t="shared" si="161"/>
        <v>113</v>
      </c>
      <c r="I127" s="165"/>
      <c r="J127" s="163"/>
      <c r="K127" s="163"/>
      <c r="L127" s="164"/>
      <c r="M127" s="155"/>
      <c r="N127" s="155"/>
      <c r="O127" s="144"/>
      <c r="P127" s="159" t="str">
        <f>IFERROR(IF(O127&lt;&gt;"User Specified",IF(O127&lt;&gt;"", INDEX('Refrigerant GWPs'!$G$2:$G$154,MATCH(O127,'Refrigerant GWPs'!$A$2:$A$154,0)),""),U127),0)</f>
        <v/>
      </c>
      <c r="Q127" s="155"/>
      <c r="R127" s="155"/>
      <c r="S127" s="144"/>
      <c r="T127" s="159" t="str">
        <f>IF(S127&lt;&gt;"User Specified",IF(AND(S127&lt;&gt;"User Specified",S127&lt;&gt;""), INDEX('Refrigerant GWPs'!$G$2:$G$154,MATCH(S127,'Refrigerant GWPs'!$A$2:$A$154,0)),""),V127)</f>
        <v/>
      </c>
      <c r="U127" s="144"/>
      <c r="V127" s="144"/>
      <c r="W127" s="155"/>
      <c r="X127" s="155"/>
      <c r="Y127" s="144"/>
      <c r="Z127" s="159" t="str">
        <f>IF(AND(Y127&lt;&gt;"User Specified",Y127&lt;&gt;""), INDEX('Refrigerant GWPs'!$G$2:$G$154,MATCH(Y127,'Refrigerant GWPs'!$A$2:$A$154,0)),"")</f>
        <v/>
      </c>
      <c r="AA127" s="155"/>
      <c r="AB127" s="156"/>
      <c r="AC127" s="66"/>
      <c r="AD127" s="66"/>
      <c r="AE127" s="66"/>
      <c r="AF127" s="66"/>
      <c r="AG127" s="66"/>
      <c r="AH127" s="66"/>
      <c r="AI127" s="34"/>
      <c r="AJ127" s="88">
        <f t="shared" si="119"/>
        <v>0</v>
      </c>
      <c r="AK127" s="88">
        <f t="shared" si="120"/>
        <v>0</v>
      </c>
      <c r="AL127" s="88">
        <v>0</v>
      </c>
      <c r="AM127" s="88">
        <v>0</v>
      </c>
      <c r="AN127" s="81" t="str">
        <f t="shared" si="162"/>
        <v/>
      </c>
      <c r="AO127" s="88">
        <f t="shared" si="121"/>
        <v>0</v>
      </c>
      <c r="AP127" s="88">
        <f t="shared" si="122"/>
        <v>0</v>
      </c>
      <c r="AQ127" s="81" t="str">
        <f t="shared" si="123"/>
        <v/>
      </c>
      <c r="AS127" s="41" t="b">
        <f t="shared" si="124"/>
        <v>1</v>
      </c>
      <c r="AT127" s="38">
        <f t="shared" si="125"/>
        <v>0</v>
      </c>
      <c r="AU127" s="60">
        <f t="shared" si="126"/>
        <v>0</v>
      </c>
      <c r="AV127" s="41">
        <f t="shared" si="127"/>
        <v>0</v>
      </c>
      <c r="AW127" s="41" t="b">
        <f t="shared" si="128"/>
        <v>0</v>
      </c>
      <c r="AX127" t="str">
        <f t="shared" si="129"/>
        <v>+00</v>
      </c>
      <c r="AY127" t="str">
        <f t="shared" si="130"/>
        <v>+00</v>
      </c>
      <c r="BA127" s="47" t="b">
        <f t="shared" si="164"/>
        <v>1</v>
      </c>
      <c r="BB127" s="42" t="b">
        <f t="shared" si="165"/>
        <v>1</v>
      </c>
      <c r="BC127" s="42" t="b">
        <f t="shared" si="166"/>
        <v>0</v>
      </c>
      <c r="BD127" s="42" t="b">
        <f t="shared" si="167"/>
        <v>0</v>
      </c>
      <c r="BE127" s="70">
        <f t="shared" si="168"/>
        <v>0</v>
      </c>
      <c r="BF127" s="70">
        <f t="shared" si="169"/>
        <v>0</v>
      </c>
      <c r="BG127" s="34"/>
      <c r="BI127" s="47" t="b">
        <f t="shared" si="170"/>
        <v>1</v>
      </c>
      <c r="BJ127" s="47" t="b">
        <f t="shared" si="171"/>
        <v>1</v>
      </c>
      <c r="BK127" s="42" t="b">
        <f t="shared" si="172"/>
        <v>0</v>
      </c>
      <c r="BL127" s="42" t="b">
        <f t="shared" si="173"/>
        <v>0</v>
      </c>
      <c r="BM127" s="42">
        <f t="shared" si="174"/>
        <v>0</v>
      </c>
      <c r="BN127" s="42">
        <f t="shared" si="175"/>
        <v>0</v>
      </c>
      <c r="BP127" t="e">
        <f t="shared" si="176"/>
        <v>#N/A</v>
      </c>
      <c r="BQ127" t="e">
        <f t="shared" si="177"/>
        <v>#N/A</v>
      </c>
      <c r="BR127" t="e">
        <f t="shared" si="178"/>
        <v>#N/A</v>
      </c>
      <c r="BT127" s="60">
        <f t="shared" si="187"/>
        <v>0</v>
      </c>
      <c r="BU127" s="60">
        <f t="shared" si="188"/>
        <v>0</v>
      </c>
      <c r="BV127" s="60">
        <f t="shared" si="189"/>
        <v>0</v>
      </c>
      <c r="BW127" s="60">
        <f t="shared" si="190"/>
        <v>0</v>
      </c>
      <c r="BX127" s="60">
        <f t="shared" si="179"/>
        <v>0</v>
      </c>
      <c r="BY127" s="60">
        <f t="shared" si="180"/>
        <v>0</v>
      </c>
      <c r="BZ127" s="60">
        <f t="shared" si="181"/>
        <v>0</v>
      </c>
      <c r="CA127" s="60">
        <f t="shared" si="182"/>
        <v>0</v>
      </c>
      <c r="CB127" s="60" t="e">
        <f t="shared" si="191"/>
        <v>#N/A</v>
      </c>
      <c r="CC127" s="60">
        <f t="shared" si="192"/>
        <v>100000</v>
      </c>
      <c r="CD127" s="60" t="e">
        <f t="shared" si="193"/>
        <v>#N/A</v>
      </c>
      <c r="CE127" s="60">
        <f t="shared" si="194"/>
        <v>100000</v>
      </c>
      <c r="CF127" s="83" t="e">
        <f t="shared" si="183"/>
        <v>#N/A</v>
      </c>
      <c r="CG127" s="83">
        <f t="shared" si="184"/>
        <v>0</v>
      </c>
      <c r="CH127" s="83" t="e">
        <f t="shared" si="185"/>
        <v>#N/A</v>
      </c>
      <c r="CI127" s="83">
        <f t="shared" si="186"/>
        <v>0</v>
      </c>
      <c r="CJ127" s="86" t="e">
        <f t="shared" si="195"/>
        <v>#N/A</v>
      </c>
      <c r="CK127" s="82">
        <f t="shared" si="196"/>
        <v>5.3070370403969858E-3</v>
      </c>
      <c r="CL127" s="82" t="e">
        <f t="shared" si="197"/>
        <v>#N/A</v>
      </c>
      <c r="CM127" s="82">
        <f t="shared" si="198"/>
        <v>5.3070370403969858E-3</v>
      </c>
      <c r="CO127" s="149" t="str">
        <f>IF($I127&lt;&gt;"",IF(O127="User Specified",U127,INDEX('Refrigerant GWPs'!$G$2:$G$156,MATCH(O127,'Refrigerant GWPs'!$A$2:$A$156,0))),"")</f>
        <v/>
      </c>
      <c r="CP127" s="138" t="str">
        <f>IF($I127&lt;&gt;"",INDEX('Device Refrigerant Leakage'!$E$2:$E$42,MATCH($M127,'Device Refrigerant Leakage'!$B$2:$B$42,0)),"")</f>
        <v/>
      </c>
      <c r="CQ127" s="138" t="str">
        <f>IF($I127&lt;&gt;"",INDEX('Device Refrigerant Leakage'!$F$2:$F$42,MATCH($M127,'Device Refrigerant Leakage'!$B$2:$B$42,0)),"")</f>
        <v/>
      </c>
      <c r="CR127" s="145" t="str">
        <f>IF($I127&lt;&gt;"",INDEX('Device Refrigerant Leakage'!$G$2:$G$42,MATCH($M127,'Device Refrigerant Leakage'!$B$2:$B$42,0)),"")</f>
        <v/>
      </c>
      <c r="CS127" s="145" t="str">
        <f>IF($I127&lt;&gt;"",INDEX('Device Refrigerant Leakage'!$D$2:$D$42,MATCH($M127,'Device Refrigerant Leakage'!$B$2:$B$42,0))*CP127/2204.62*CO127,"")</f>
        <v/>
      </c>
      <c r="CT127" s="145" t="str">
        <f>IF($I127&lt;&gt;"",J127*(INDEX('Device Refrigerant Leakage'!$D$2:$D$42,MATCH($M127,'Device Refrigerant Leakage'!$B$2:$B$42,0))-(INDEX('Device Refrigerant Leakage'!$D$2:$D$42,MATCH($M127,'Device Refrigerant Leakage'!$B$2:$B$42,0)))*CR127*CP127)*CQ127/2204.62*CO127,"")</f>
        <v/>
      </c>
      <c r="CU127" s="135" t="str">
        <f>IF($I127&lt;&gt;"",J127*IF(W127&lt;&gt;"AR",(CS127*K127)+CT127,(CS127*AB127)+CT127*(AB127/INDEX('Device Refrigerant Leakage'!$C$2:$C$42,MATCH($M127,'Device Refrigerant Leakage'!$B$2:$B$42,0)))),"")</f>
        <v/>
      </c>
      <c r="CW127" s="135" t="str">
        <f>IF($I127&lt;&gt;"",IF(S127="User Specified",V127,INDEX('Refrigerant GWPs'!$G$2:$G$156,MATCH(S127,'Refrigerant GWPs'!$A$2:$A$157,0))),"")</f>
        <v/>
      </c>
      <c r="CX127" s="138" t="str">
        <f>IF($I127&lt;&gt;"",INDEX('Device Refrigerant Leakage'!$E$2:$E$42,MATCH($Q127,'Device Refrigerant Leakage'!$B$2:$B$42,0)),"")</f>
        <v/>
      </c>
      <c r="CY127" s="138" t="str">
        <f>IF($I127&lt;&gt;"",INDEX('Device Refrigerant Leakage'!$F$2:$F$42,MATCH($Q127,'Device Refrigerant Leakage'!$B$2:$B$42,0)),"")</f>
        <v/>
      </c>
      <c r="CZ127" s="145" t="str">
        <f>IF($I127&lt;&gt;"",INDEX('Device Refrigerant Leakage'!$G$2:$G$42,MATCH($Q127,'Device Refrigerant Leakage'!$B$2:$B$42,0)),"")</f>
        <v/>
      </c>
      <c r="DA127" s="145" t="str">
        <f>IF($I127&lt;&gt;"",J127*INDEX('Device Refrigerant Leakage'!$D$2:$D$42,MATCH($Q127,'Device Refrigerant Leakage'!$B$2:$B$42,0))*CX127/2204.62*CW127,"")</f>
        <v/>
      </c>
      <c r="DB127" s="145" t="str">
        <f>IF($I127&lt;&gt;"",J127*(INDEX('Device Refrigerant Leakage'!$D$2:$D$42,MATCH($Q127,'Device Refrigerant Leakage'!$B$2:$B$42,0))-(INDEX('Device Refrigerant Leakage'!$D$2:$D$42,MATCH($Q127,'Device Refrigerant Leakage'!$B$2:$B$42,0)))*CZ127*CX127)*CY127/2204.62*CW127,"")</f>
        <v/>
      </c>
      <c r="DC127" s="135" t="str">
        <f t="shared" si="163"/>
        <v/>
      </c>
      <c r="DE127" s="146" t="str">
        <f>IF(W127&lt;&gt;"AR","",IF(Y127="User Specified", AA127, INDEX('Refrigerant GWPs'!$G$2:$G$154,MATCH(Y127,'Refrigerant GWPs'!$A$2:$A$154,0))))</f>
        <v/>
      </c>
      <c r="DF127" s="146" t="str">
        <f>IF(W127&lt;&gt;"AR","",INDEX('Device Refrigerant Leakage'!$E$2:$E$42,MATCH(X127,'Device Refrigerant Leakage'!$B$2:$B$42,0)))</f>
        <v/>
      </c>
      <c r="DG127" s="146" t="str">
        <f>IF(W127&lt;&gt;"AR","",INDEX('Device Refrigerant Leakage'!$F$2:$F$42,MATCH(X127,'Device Refrigerant Leakage'!$B$2:$B$42,0)))</f>
        <v/>
      </c>
      <c r="DH127" s="146" t="str">
        <f>IF(W127&lt;&gt;"AR","",INDEX('Device Refrigerant Leakage'!$G$2:$G$42,MATCH(X127,'Device Refrigerant Leakage'!$B$2:$B$42,0)))</f>
        <v/>
      </c>
      <c r="DI127" s="146" t="str">
        <f>IF(W127&lt;&gt;"AR","",J127*INDEX('Device Refrigerant Leakage'!$D$2:$D$42,MATCH(X127,'Device Refrigerant Leakage'!$B$2:$B$42,0))*DF127/2204.62*DE127)</f>
        <v/>
      </c>
      <c r="DJ127" s="146" t="str">
        <f>IF(W127&lt;&gt;"AR","",J127*(INDEX('Device Refrigerant Leakage'!$D$2:$D$42,MATCH(X127,'Device Refrigerant Leakage'!$B$2:$B$42,0))-(INDEX('Device Refrigerant Leakage'!$D$2:$D$42,MATCH(X127,'Device Refrigerant Leakage'!$B$2:$B$42,0)))*DH127*DF127)*DG127/2204.62*DE127)</f>
        <v/>
      </c>
      <c r="DK127" s="146" t="str">
        <f>IF(W127&lt;&gt;"AR","",DI127*(K127-AB127)+'Fuel Sub Calcs-Deemed'!DJ127*((K127-AB127)/INDEX('Device Refrigerant Leakage'!$C$2:$C$42,MATCH('Fuel Sub Calcs-Deemed'!X127,'Device Refrigerant Leakage'!$B$2:$B$42,0))))</f>
        <v/>
      </c>
      <c r="DM127" s="56">
        <v>113</v>
      </c>
      <c r="DN127" s="67" t="e">
        <f t="shared" si="143"/>
        <v>#N/A</v>
      </c>
      <c r="DO127" s="45" t="e">
        <f t="shared" si="144"/>
        <v>#N/A</v>
      </c>
      <c r="DP127" s="67" t="e">
        <f t="shared" si="145"/>
        <v>#N/A</v>
      </c>
      <c r="DQ127" s="45" t="e">
        <f t="shared" si="146"/>
        <v>#N/A</v>
      </c>
      <c r="DR127" s="69" t="e">
        <f t="shared" si="147"/>
        <v>#N/A</v>
      </c>
      <c r="DS127" s="34"/>
      <c r="DT127" s="67" t="e">
        <f>((BX127*CJ127)+IF($W127=MAT_AR,(BZ127*CL127),0))*(1+Reference!$E$50+Reference!$E$51)</f>
        <v>#N/A</v>
      </c>
      <c r="DU127" s="67">
        <f>((BY127*CK127)+IF($W127=MAT_AR,(CA127*CM127),0))*(1+Reference!$G$50+Reference!$G$51)</f>
        <v>0</v>
      </c>
      <c r="DV127" s="67" t="e">
        <f t="shared" si="148"/>
        <v>#VALUE!</v>
      </c>
      <c r="DX127" s="56">
        <v>113</v>
      </c>
      <c r="DY127" s="67">
        <f t="shared" si="149"/>
        <v>0</v>
      </c>
      <c r="DZ127" s="45" t="e">
        <f>VLOOKUP($R127,Dropdown!$C$3:$D$4,2,FALSE)</f>
        <v>#N/A</v>
      </c>
      <c r="EA127" s="68">
        <f t="shared" si="150"/>
        <v>0</v>
      </c>
      <c r="EB127" s="68" t="str">
        <f t="shared" si="151"/>
        <v>N/A</v>
      </c>
      <c r="EC127" s="68">
        <f t="shared" si="152"/>
        <v>0</v>
      </c>
      <c r="ED127" s="68" t="str">
        <f t="shared" si="199"/>
        <v>N/A</v>
      </c>
      <c r="EF127" s="56">
        <v>113</v>
      </c>
      <c r="EG127" s="46">
        <f t="shared" si="154"/>
        <v>0</v>
      </c>
      <c r="EH127" s="68" t="e">
        <f t="shared" si="155"/>
        <v>#N/A</v>
      </c>
      <c r="EI127" s="68" t="e">
        <f t="shared" si="156"/>
        <v>#N/A</v>
      </c>
      <c r="EJ127" s="68" t="e">
        <f t="shared" si="157"/>
        <v>#N/A</v>
      </c>
      <c r="EK127" s="68" t="e">
        <f t="shared" si="158"/>
        <v>#N/A</v>
      </c>
      <c r="EL127" s="46">
        <f t="shared" si="159"/>
        <v>0</v>
      </c>
      <c r="EM127" s="46">
        <f t="shared" si="160"/>
        <v>0</v>
      </c>
    </row>
    <row r="128" spans="1:143">
      <c r="A128" s="89"/>
      <c r="B128" s="89"/>
      <c r="C128" s="89"/>
      <c r="D128" s="89"/>
      <c r="E128" s="89"/>
      <c r="F128" s="89"/>
      <c r="G128" s="34"/>
      <c r="H128" s="56">
        <f t="shared" si="161"/>
        <v>114</v>
      </c>
      <c r="I128" s="165"/>
      <c r="J128" s="163"/>
      <c r="K128" s="163"/>
      <c r="L128" s="164"/>
      <c r="M128" s="155"/>
      <c r="N128" s="155"/>
      <c r="O128" s="144"/>
      <c r="P128" s="159" t="str">
        <f>IFERROR(IF(O128&lt;&gt;"User Specified",IF(O128&lt;&gt;"", INDEX('Refrigerant GWPs'!$G$2:$G$154,MATCH(O128,'Refrigerant GWPs'!$A$2:$A$154,0)),""),U128),0)</f>
        <v/>
      </c>
      <c r="Q128" s="155"/>
      <c r="R128" s="155"/>
      <c r="S128" s="144"/>
      <c r="T128" s="159" t="str">
        <f>IF(S128&lt;&gt;"User Specified",IF(AND(S128&lt;&gt;"User Specified",S128&lt;&gt;""), INDEX('Refrigerant GWPs'!$G$2:$G$154,MATCH(S128,'Refrigerant GWPs'!$A$2:$A$154,0)),""),V128)</f>
        <v/>
      </c>
      <c r="U128" s="144"/>
      <c r="V128" s="144"/>
      <c r="W128" s="155"/>
      <c r="X128" s="155"/>
      <c r="Y128" s="144"/>
      <c r="Z128" s="159" t="str">
        <f>IF(AND(Y128&lt;&gt;"User Specified",Y128&lt;&gt;""), INDEX('Refrigerant GWPs'!$G$2:$G$154,MATCH(Y128,'Refrigerant GWPs'!$A$2:$A$154,0)),"")</f>
        <v/>
      </c>
      <c r="AA128" s="155"/>
      <c r="AB128" s="156"/>
      <c r="AC128" s="66"/>
      <c r="AD128" s="66"/>
      <c r="AE128" s="66"/>
      <c r="AF128" s="66"/>
      <c r="AG128" s="66"/>
      <c r="AH128" s="66"/>
      <c r="AI128" s="34"/>
      <c r="AJ128" s="88">
        <f t="shared" si="119"/>
        <v>0</v>
      </c>
      <c r="AK128" s="88">
        <f t="shared" si="120"/>
        <v>0</v>
      </c>
      <c r="AL128" s="88">
        <v>0</v>
      </c>
      <c r="AM128" s="88">
        <v>0</v>
      </c>
      <c r="AN128" s="81" t="str">
        <f t="shared" si="162"/>
        <v/>
      </c>
      <c r="AO128" s="88">
        <f t="shared" si="121"/>
        <v>0</v>
      </c>
      <c r="AP128" s="88">
        <f t="shared" si="122"/>
        <v>0</v>
      </c>
      <c r="AQ128" s="81" t="str">
        <f t="shared" si="123"/>
        <v/>
      </c>
      <c r="AS128" s="41" t="b">
        <f t="shared" si="124"/>
        <v>1</v>
      </c>
      <c r="AT128" s="38">
        <f t="shared" si="125"/>
        <v>0</v>
      </c>
      <c r="AU128" s="60">
        <f t="shared" si="126"/>
        <v>0</v>
      </c>
      <c r="AV128" s="41">
        <f t="shared" si="127"/>
        <v>0</v>
      </c>
      <c r="AW128" s="41" t="b">
        <f t="shared" si="128"/>
        <v>0</v>
      </c>
      <c r="AX128" t="str">
        <f t="shared" si="129"/>
        <v>+00</v>
      </c>
      <c r="AY128" t="str">
        <f t="shared" si="130"/>
        <v>+00</v>
      </c>
      <c r="BA128" s="47" t="b">
        <f t="shared" si="164"/>
        <v>1</v>
      </c>
      <c r="BB128" s="42" t="b">
        <f t="shared" si="165"/>
        <v>1</v>
      </c>
      <c r="BC128" s="42" t="b">
        <f t="shared" si="166"/>
        <v>0</v>
      </c>
      <c r="BD128" s="42" t="b">
        <f t="shared" si="167"/>
        <v>0</v>
      </c>
      <c r="BE128" s="70">
        <f t="shared" si="168"/>
        <v>0</v>
      </c>
      <c r="BF128" s="70">
        <f t="shared" si="169"/>
        <v>0</v>
      </c>
      <c r="BG128" s="34"/>
      <c r="BI128" s="47" t="b">
        <f t="shared" si="170"/>
        <v>1</v>
      </c>
      <c r="BJ128" s="47" t="b">
        <f t="shared" si="171"/>
        <v>1</v>
      </c>
      <c r="BK128" s="42" t="b">
        <f t="shared" si="172"/>
        <v>0</v>
      </c>
      <c r="BL128" s="42" t="b">
        <f t="shared" si="173"/>
        <v>0</v>
      </c>
      <c r="BM128" s="42">
        <f t="shared" si="174"/>
        <v>0</v>
      </c>
      <c r="BN128" s="42">
        <f t="shared" si="175"/>
        <v>0</v>
      </c>
      <c r="BP128" t="e">
        <f t="shared" si="176"/>
        <v>#N/A</v>
      </c>
      <c r="BQ128" t="e">
        <f t="shared" si="177"/>
        <v>#N/A</v>
      </c>
      <c r="BR128" t="e">
        <f t="shared" si="178"/>
        <v>#N/A</v>
      </c>
      <c r="BT128" s="60">
        <f t="shared" si="187"/>
        <v>0</v>
      </c>
      <c r="BU128" s="60">
        <f t="shared" si="188"/>
        <v>0</v>
      </c>
      <c r="BV128" s="60">
        <f t="shared" si="189"/>
        <v>0</v>
      </c>
      <c r="BW128" s="60">
        <f t="shared" si="190"/>
        <v>0</v>
      </c>
      <c r="BX128" s="60">
        <f t="shared" si="179"/>
        <v>0</v>
      </c>
      <c r="BY128" s="60">
        <f t="shared" si="180"/>
        <v>0</v>
      </c>
      <c r="BZ128" s="60">
        <f t="shared" si="181"/>
        <v>0</v>
      </c>
      <c r="CA128" s="60">
        <f t="shared" si="182"/>
        <v>0</v>
      </c>
      <c r="CB128" s="60" t="e">
        <f t="shared" si="191"/>
        <v>#N/A</v>
      </c>
      <c r="CC128" s="60">
        <f t="shared" si="192"/>
        <v>100000</v>
      </c>
      <c r="CD128" s="60" t="e">
        <f t="shared" si="193"/>
        <v>#N/A</v>
      </c>
      <c r="CE128" s="60">
        <f t="shared" si="194"/>
        <v>100000</v>
      </c>
      <c r="CF128" s="83" t="e">
        <f t="shared" si="183"/>
        <v>#N/A</v>
      </c>
      <c r="CG128" s="83">
        <f t="shared" si="184"/>
        <v>0</v>
      </c>
      <c r="CH128" s="83" t="e">
        <f t="shared" si="185"/>
        <v>#N/A</v>
      </c>
      <c r="CI128" s="83">
        <f t="shared" si="186"/>
        <v>0</v>
      </c>
      <c r="CJ128" s="86" t="e">
        <f t="shared" si="195"/>
        <v>#N/A</v>
      </c>
      <c r="CK128" s="82">
        <f t="shared" si="196"/>
        <v>5.3070370403969858E-3</v>
      </c>
      <c r="CL128" s="82" t="e">
        <f t="shared" si="197"/>
        <v>#N/A</v>
      </c>
      <c r="CM128" s="82">
        <f t="shared" si="198"/>
        <v>5.3070370403969858E-3</v>
      </c>
      <c r="CO128" s="149" t="str">
        <f>IF($I128&lt;&gt;"",IF(O128="User Specified",U128,INDEX('Refrigerant GWPs'!$G$2:$G$156,MATCH(O128,'Refrigerant GWPs'!$A$2:$A$156,0))),"")</f>
        <v/>
      </c>
      <c r="CP128" s="138" t="str">
        <f>IF($I128&lt;&gt;"",INDEX('Device Refrigerant Leakage'!$E$2:$E$42,MATCH($M128,'Device Refrigerant Leakage'!$B$2:$B$42,0)),"")</f>
        <v/>
      </c>
      <c r="CQ128" s="138" t="str">
        <f>IF($I128&lt;&gt;"",INDEX('Device Refrigerant Leakage'!$F$2:$F$42,MATCH($M128,'Device Refrigerant Leakage'!$B$2:$B$42,0)),"")</f>
        <v/>
      </c>
      <c r="CR128" s="145" t="str">
        <f>IF($I128&lt;&gt;"",INDEX('Device Refrigerant Leakage'!$G$2:$G$42,MATCH($M128,'Device Refrigerant Leakage'!$B$2:$B$42,0)),"")</f>
        <v/>
      </c>
      <c r="CS128" s="145" t="str">
        <f>IF($I128&lt;&gt;"",INDEX('Device Refrigerant Leakage'!$D$2:$D$42,MATCH($M128,'Device Refrigerant Leakage'!$B$2:$B$42,0))*CP128/2204.62*CO128,"")</f>
        <v/>
      </c>
      <c r="CT128" s="145" t="str">
        <f>IF($I128&lt;&gt;"",J128*(INDEX('Device Refrigerant Leakage'!$D$2:$D$42,MATCH($M128,'Device Refrigerant Leakage'!$B$2:$B$42,0))-(INDEX('Device Refrigerant Leakage'!$D$2:$D$42,MATCH($M128,'Device Refrigerant Leakage'!$B$2:$B$42,0)))*CR128*CP128)*CQ128/2204.62*CO128,"")</f>
        <v/>
      </c>
      <c r="CU128" s="135" t="str">
        <f>IF($I128&lt;&gt;"",J128*IF(W128&lt;&gt;"AR",(CS128*K128)+CT128,(CS128*AB128)+CT128*(AB128/INDEX('Device Refrigerant Leakage'!$C$2:$C$42,MATCH($M128,'Device Refrigerant Leakage'!$B$2:$B$42,0)))),"")</f>
        <v/>
      </c>
      <c r="CW128" s="135" t="str">
        <f>IF($I128&lt;&gt;"",IF(S128="User Specified",V128,INDEX('Refrigerant GWPs'!$G$2:$G$156,MATCH(S128,'Refrigerant GWPs'!$A$2:$A$157,0))),"")</f>
        <v/>
      </c>
      <c r="CX128" s="138" t="str">
        <f>IF($I128&lt;&gt;"",INDEX('Device Refrigerant Leakage'!$E$2:$E$42,MATCH($Q128,'Device Refrigerant Leakage'!$B$2:$B$42,0)),"")</f>
        <v/>
      </c>
      <c r="CY128" s="138" t="str">
        <f>IF($I128&lt;&gt;"",INDEX('Device Refrigerant Leakage'!$F$2:$F$42,MATCH($Q128,'Device Refrigerant Leakage'!$B$2:$B$42,0)),"")</f>
        <v/>
      </c>
      <c r="CZ128" s="145" t="str">
        <f>IF($I128&lt;&gt;"",INDEX('Device Refrigerant Leakage'!$G$2:$G$42,MATCH($Q128,'Device Refrigerant Leakage'!$B$2:$B$42,0)),"")</f>
        <v/>
      </c>
      <c r="DA128" s="145" t="str">
        <f>IF($I128&lt;&gt;"",J128*INDEX('Device Refrigerant Leakage'!$D$2:$D$42,MATCH($Q128,'Device Refrigerant Leakage'!$B$2:$B$42,0))*CX128/2204.62*CW128,"")</f>
        <v/>
      </c>
      <c r="DB128" s="145" t="str">
        <f>IF($I128&lt;&gt;"",J128*(INDEX('Device Refrigerant Leakage'!$D$2:$D$42,MATCH($Q128,'Device Refrigerant Leakage'!$B$2:$B$42,0))-(INDEX('Device Refrigerant Leakage'!$D$2:$D$42,MATCH($Q128,'Device Refrigerant Leakage'!$B$2:$B$42,0)))*CZ128*CX128)*CY128/2204.62*CW128,"")</f>
        <v/>
      </c>
      <c r="DC128" s="135" t="str">
        <f t="shared" si="163"/>
        <v/>
      </c>
      <c r="DE128" s="146" t="str">
        <f>IF(W128&lt;&gt;"AR","",IF(Y128="User Specified", AA128, INDEX('Refrigerant GWPs'!$G$2:$G$154,MATCH(Y128,'Refrigerant GWPs'!$A$2:$A$154,0))))</f>
        <v/>
      </c>
      <c r="DF128" s="146" t="str">
        <f>IF(W128&lt;&gt;"AR","",INDEX('Device Refrigerant Leakage'!$E$2:$E$42,MATCH(X128,'Device Refrigerant Leakage'!$B$2:$B$42,0)))</f>
        <v/>
      </c>
      <c r="DG128" s="146" t="str">
        <f>IF(W128&lt;&gt;"AR","",INDEX('Device Refrigerant Leakage'!$F$2:$F$42,MATCH(X128,'Device Refrigerant Leakage'!$B$2:$B$42,0)))</f>
        <v/>
      </c>
      <c r="DH128" s="146" t="str">
        <f>IF(W128&lt;&gt;"AR","",INDEX('Device Refrigerant Leakage'!$G$2:$G$42,MATCH(X128,'Device Refrigerant Leakage'!$B$2:$B$42,0)))</f>
        <v/>
      </c>
      <c r="DI128" s="146" t="str">
        <f>IF(W128&lt;&gt;"AR","",J128*INDEX('Device Refrigerant Leakage'!$D$2:$D$42,MATCH(X128,'Device Refrigerant Leakage'!$B$2:$B$42,0))*DF128/2204.62*DE128)</f>
        <v/>
      </c>
      <c r="DJ128" s="146" t="str">
        <f>IF(W128&lt;&gt;"AR","",J128*(INDEX('Device Refrigerant Leakage'!$D$2:$D$42,MATCH(X128,'Device Refrigerant Leakage'!$B$2:$B$42,0))-(INDEX('Device Refrigerant Leakage'!$D$2:$D$42,MATCH(X128,'Device Refrigerant Leakage'!$B$2:$B$42,0)))*DH128*DF128)*DG128/2204.62*DE128)</f>
        <v/>
      </c>
      <c r="DK128" s="146" t="str">
        <f>IF(W128&lt;&gt;"AR","",DI128*(K128-AB128)+'Fuel Sub Calcs-Deemed'!DJ128*((K128-AB128)/INDEX('Device Refrigerant Leakage'!$C$2:$C$42,MATCH('Fuel Sub Calcs-Deemed'!X128,'Device Refrigerant Leakage'!$B$2:$B$42,0))))</f>
        <v/>
      </c>
      <c r="DM128" s="56">
        <v>114</v>
      </c>
      <c r="DN128" s="67" t="e">
        <f t="shared" si="143"/>
        <v>#N/A</v>
      </c>
      <c r="DO128" s="45" t="e">
        <f t="shared" si="144"/>
        <v>#N/A</v>
      </c>
      <c r="DP128" s="67" t="e">
        <f t="shared" si="145"/>
        <v>#N/A</v>
      </c>
      <c r="DQ128" s="45" t="e">
        <f t="shared" si="146"/>
        <v>#N/A</v>
      </c>
      <c r="DR128" s="69" t="e">
        <f t="shared" si="147"/>
        <v>#N/A</v>
      </c>
      <c r="DS128" s="34"/>
      <c r="DT128" s="67" t="e">
        <f>((BX128*CJ128)+IF($W128=MAT_AR,(BZ128*CL128),0))*(1+Reference!$E$50+Reference!$E$51)</f>
        <v>#N/A</v>
      </c>
      <c r="DU128" s="67">
        <f>((BY128*CK128)+IF($W128=MAT_AR,(CA128*CM128),0))*(1+Reference!$G$50+Reference!$G$51)</f>
        <v>0</v>
      </c>
      <c r="DV128" s="67" t="e">
        <f t="shared" si="148"/>
        <v>#VALUE!</v>
      </c>
      <c r="DX128" s="56">
        <v>114</v>
      </c>
      <c r="DY128" s="67">
        <f t="shared" si="149"/>
        <v>0</v>
      </c>
      <c r="DZ128" s="45" t="e">
        <f>VLOOKUP($R128,Dropdown!$C$3:$D$4,2,FALSE)</f>
        <v>#N/A</v>
      </c>
      <c r="EA128" s="68">
        <f t="shared" si="150"/>
        <v>0</v>
      </c>
      <c r="EB128" s="68" t="str">
        <f t="shared" si="151"/>
        <v>N/A</v>
      </c>
      <c r="EC128" s="68">
        <f t="shared" si="152"/>
        <v>0</v>
      </c>
      <c r="ED128" s="68" t="str">
        <f t="shared" si="199"/>
        <v>N/A</v>
      </c>
      <c r="EF128" s="56">
        <v>114</v>
      </c>
      <c r="EG128" s="46">
        <f t="shared" si="154"/>
        <v>0</v>
      </c>
      <c r="EH128" s="68" t="e">
        <f t="shared" si="155"/>
        <v>#N/A</v>
      </c>
      <c r="EI128" s="68" t="e">
        <f t="shared" si="156"/>
        <v>#N/A</v>
      </c>
      <c r="EJ128" s="68" t="e">
        <f t="shared" si="157"/>
        <v>#N/A</v>
      </c>
      <c r="EK128" s="68" t="e">
        <f t="shared" si="158"/>
        <v>#N/A</v>
      </c>
      <c r="EL128" s="46">
        <f t="shared" si="159"/>
        <v>0</v>
      </c>
      <c r="EM128" s="46">
        <f t="shared" si="160"/>
        <v>0</v>
      </c>
    </row>
    <row r="129" spans="1:143">
      <c r="A129" s="89"/>
      <c r="B129" s="89"/>
      <c r="C129" s="89"/>
      <c r="D129" s="89"/>
      <c r="E129" s="89"/>
      <c r="F129" s="89"/>
      <c r="G129" s="34"/>
      <c r="H129" s="56">
        <f t="shared" si="161"/>
        <v>115</v>
      </c>
      <c r="I129" s="165"/>
      <c r="J129" s="163"/>
      <c r="K129" s="163"/>
      <c r="L129" s="164"/>
      <c r="M129" s="155"/>
      <c r="N129" s="155"/>
      <c r="O129" s="144"/>
      <c r="P129" s="159" t="str">
        <f>IFERROR(IF(O129&lt;&gt;"User Specified",IF(O129&lt;&gt;"", INDEX('Refrigerant GWPs'!$G$2:$G$154,MATCH(O129,'Refrigerant GWPs'!$A$2:$A$154,0)),""),U129),0)</f>
        <v/>
      </c>
      <c r="Q129" s="155"/>
      <c r="R129" s="155"/>
      <c r="S129" s="144"/>
      <c r="T129" s="159" t="str">
        <f>IF(S129&lt;&gt;"User Specified",IF(AND(S129&lt;&gt;"User Specified",S129&lt;&gt;""), INDEX('Refrigerant GWPs'!$G$2:$G$154,MATCH(S129,'Refrigerant GWPs'!$A$2:$A$154,0)),""),V129)</f>
        <v/>
      </c>
      <c r="U129" s="144"/>
      <c r="V129" s="144"/>
      <c r="W129" s="155"/>
      <c r="X129" s="155"/>
      <c r="Y129" s="144"/>
      <c r="Z129" s="159" t="str">
        <f>IF(AND(Y129&lt;&gt;"User Specified",Y129&lt;&gt;""), INDEX('Refrigerant GWPs'!$G$2:$G$154,MATCH(Y129,'Refrigerant GWPs'!$A$2:$A$154,0)),"")</f>
        <v/>
      </c>
      <c r="AA129" s="155"/>
      <c r="AB129" s="156"/>
      <c r="AC129" s="66"/>
      <c r="AD129" s="66"/>
      <c r="AE129" s="66"/>
      <c r="AF129" s="66"/>
      <c r="AG129" s="66"/>
      <c r="AH129" s="66"/>
      <c r="AI129" s="34"/>
      <c r="AJ129" s="88">
        <f t="shared" si="119"/>
        <v>0</v>
      </c>
      <c r="AK129" s="88">
        <f t="shared" si="120"/>
        <v>0</v>
      </c>
      <c r="AL129" s="88">
        <v>0</v>
      </c>
      <c r="AM129" s="88">
        <v>0</v>
      </c>
      <c r="AN129" s="81" t="str">
        <f t="shared" si="162"/>
        <v/>
      </c>
      <c r="AO129" s="88">
        <f t="shared" si="121"/>
        <v>0</v>
      </c>
      <c r="AP129" s="88">
        <f t="shared" si="122"/>
        <v>0</v>
      </c>
      <c r="AQ129" s="81" t="str">
        <f t="shared" si="123"/>
        <v/>
      </c>
      <c r="AS129" s="41" t="b">
        <f t="shared" si="124"/>
        <v>1</v>
      </c>
      <c r="AT129" s="38">
        <f t="shared" si="125"/>
        <v>0</v>
      </c>
      <c r="AU129" s="60">
        <f t="shared" si="126"/>
        <v>0</v>
      </c>
      <c r="AV129" s="41">
        <f t="shared" si="127"/>
        <v>0</v>
      </c>
      <c r="AW129" s="41" t="b">
        <f t="shared" si="128"/>
        <v>0</v>
      </c>
      <c r="AX129" t="str">
        <f t="shared" si="129"/>
        <v>+00</v>
      </c>
      <c r="AY129" t="str">
        <f t="shared" si="130"/>
        <v>+00</v>
      </c>
      <c r="BA129" s="47" t="b">
        <f t="shared" si="164"/>
        <v>1</v>
      </c>
      <c r="BB129" s="42" t="b">
        <f t="shared" si="165"/>
        <v>1</v>
      </c>
      <c r="BC129" s="42" t="b">
        <f t="shared" si="166"/>
        <v>0</v>
      </c>
      <c r="BD129" s="42" t="b">
        <f t="shared" si="167"/>
        <v>0</v>
      </c>
      <c r="BE129" s="70">
        <f t="shared" si="168"/>
        <v>0</v>
      </c>
      <c r="BF129" s="70">
        <f t="shared" si="169"/>
        <v>0</v>
      </c>
      <c r="BG129" s="34"/>
      <c r="BI129" s="47" t="b">
        <f t="shared" si="170"/>
        <v>1</v>
      </c>
      <c r="BJ129" s="47" t="b">
        <f t="shared" si="171"/>
        <v>1</v>
      </c>
      <c r="BK129" s="42" t="b">
        <f t="shared" si="172"/>
        <v>0</v>
      </c>
      <c r="BL129" s="42" t="b">
        <f t="shared" si="173"/>
        <v>0</v>
      </c>
      <c r="BM129" s="42">
        <f t="shared" si="174"/>
        <v>0</v>
      </c>
      <c r="BN129" s="42">
        <f t="shared" si="175"/>
        <v>0</v>
      </c>
      <c r="BP129" t="e">
        <f t="shared" si="176"/>
        <v>#N/A</v>
      </c>
      <c r="BQ129" t="e">
        <f t="shared" si="177"/>
        <v>#N/A</v>
      </c>
      <c r="BR129" t="e">
        <f t="shared" si="178"/>
        <v>#N/A</v>
      </c>
      <c r="BT129" s="60">
        <f t="shared" si="187"/>
        <v>0</v>
      </c>
      <c r="BU129" s="60">
        <f t="shared" si="188"/>
        <v>0</v>
      </c>
      <c r="BV129" s="60">
        <f t="shared" si="189"/>
        <v>0</v>
      </c>
      <c r="BW129" s="60">
        <f t="shared" si="190"/>
        <v>0</v>
      </c>
      <c r="BX129" s="60">
        <f t="shared" si="179"/>
        <v>0</v>
      </c>
      <c r="BY129" s="60">
        <f t="shared" si="180"/>
        <v>0</v>
      </c>
      <c r="BZ129" s="60">
        <f t="shared" si="181"/>
        <v>0</v>
      </c>
      <c r="CA129" s="60">
        <f t="shared" si="182"/>
        <v>0</v>
      </c>
      <c r="CB129" s="60" t="e">
        <f t="shared" si="191"/>
        <v>#N/A</v>
      </c>
      <c r="CC129" s="60">
        <f t="shared" si="192"/>
        <v>100000</v>
      </c>
      <c r="CD129" s="60" t="e">
        <f t="shared" si="193"/>
        <v>#N/A</v>
      </c>
      <c r="CE129" s="60">
        <f t="shared" si="194"/>
        <v>100000</v>
      </c>
      <c r="CF129" s="83" t="e">
        <f t="shared" si="183"/>
        <v>#N/A</v>
      </c>
      <c r="CG129" s="83">
        <f t="shared" si="184"/>
        <v>0</v>
      </c>
      <c r="CH129" s="83" t="e">
        <f t="shared" si="185"/>
        <v>#N/A</v>
      </c>
      <c r="CI129" s="83">
        <f t="shared" si="186"/>
        <v>0</v>
      </c>
      <c r="CJ129" s="86" t="e">
        <f t="shared" si="195"/>
        <v>#N/A</v>
      </c>
      <c r="CK129" s="82">
        <f t="shared" si="196"/>
        <v>5.3070370403969858E-3</v>
      </c>
      <c r="CL129" s="82" t="e">
        <f t="shared" si="197"/>
        <v>#N/A</v>
      </c>
      <c r="CM129" s="82">
        <f t="shared" si="198"/>
        <v>5.3070370403969858E-3</v>
      </c>
      <c r="CO129" s="149" t="str">
        <f>IF($I129&lt;&gt;"",IF(O129="User Specified",U129,INDEX('Refrigerant GWPs'!$G$2:$G$156,MATCH(O129,'Refrigerant GWPs'!$A$2:$A$156,0))),"")</f>
        <v/>
      </c>
      <c r="CP129" s="138" t="str">
        <f>IF($I129&lt;&gt;"",INDEX('Device Refrigerant Leakage'!$E$2:$E$42,MATCH($M129,'Device Refrigerant Leakage'!$B$2:$B$42,0)),"")</f>
        <v/>
      </c>
      <c r="CQ129" s="138" t="str">
        <f>IF($I129&lt;&gt;"",INDEX('Device Refrigerant Leakage'!$F$2:$F$42,MATCH($M129,'Device Refrigerant Leakage'!$B$2:$B$42,0)),"")</f>
        <v/>
      </c>
      <c r="CR129" s="145" t="str">
        <f>IF($I129&lt;&gt;"",INDEX('Device Refrigerant Leakage'!$G$2:$G$42,MATCH($M129,'Device Refrigerant Leakage'!$B$2:$B$42,0)),"")</f>
        <v/>
      </c>
      <c r="CS129" s="145" t="str">
        <f>IF($I129&lt;&gt;"",INDEX('Device Refrigerant Leakage'!$D$2:$D$42,MATCH($M129,'Device Refrigerant Leakage'!$B$2:$B$42,0))*CP129/2204.62*CO129,"")</f>
        <v/>
      </c>
      <c r="CT129" s="145" t="str">
        <f>IF($I129&lt;&gt;"",J129*(INDEX('Device Refrigerant Leakage'!$D$2:$D$42,MATCH($M129,'Device Refrigerant Leakage'!$B$2:$B$42,0))-(INDEX('Device Refrigerant Leakage'!$D$2:$D$42,MATCH($M129,'Device Refrigerant Leakage'!$B$2:$B$42,0)))*CR129*CP129)*CQ129/2204.62*CO129,"")</f>
        <v/>
      </c>
      <c r="CU129" s="135" t="str">
        <f>IF($I129&lt;&gt;"",J129*IF(W129&lt;&gt;"AR",(CS129*K129)+CT129,(CS129*AB129)+CT129*(AB129/INDEX('Device Refrigerant Leakage'!$C$2:$C$42,MATCH($M129,'Device Refrigerant Leakage'!$B$2:$B$42,0)))),"")</f>
        <v/>
      </c>
      <c r="CW129" s="135" t="str">
        <f>IF($I129&lt;&gt;"",IF(S129="User Specified",V129,INDEX('Refrigerant GWPs'!$G$2:$G$156,MATCH(S129,'Refrigerant GWPs'!$A$2:$A$157,0))),"")</f>
        <v/>
      </c>
      <c r="CX129" s="138" t="str">
        <f>IF($I129&lt;&gt;"",INDEX('Device Refrigerant Leakage'!$E$2:$E$42,MATCH($Q129,'Device Refrigerant Leakage'!$B$2:$B$42,0)),"")</f>
        <v/>
      </c>
      <c r="CY129" s="138" t="str">
        <f>IF($I129&lt;&gt;"",INDEX('Device Refrigerant Leakage'!$F$2:$F$42,MATCH($Q129,'Device Refrigerant Leakage'!$B$2:$B$42,0)),"")</f>
        <v/>
      </c>
      <c r="CZ129" s="145" t="str">
        <f>IF($I129&lt;&gt;"",INDEX('Device Refrigerant Leakage'!$G$2:$G$42,MATCH($Q129,'Device Refrigerant Leakage'!$B$2:$B$42,0)),"")</f>
        <v/>
      </c>
      <c r="DA129" s="145" t="str">
        <f>IF($I129&lt;&gt;"",J129*INDEX('Device Refrigerant Leakage'!$D$2:$D$42,MATCH($Q129,'Device Refrigerant Leakage'!$B$2:$B$42,0))*CX129/2204.62*CW129,"")</f>
        <v/>
      </c>
      <c r="DB129" s="145" t="str">
        <f>IF($I129&lt;&gt;"",J129*(INDEX('Device Refrigerant Leakage'!$D$2:$D$42,MATCH($Q129,'Device Refrigerant Leakage'!$B$2:$B$42,0))-(INDEX('Device Refrigerant Leakage'!$D$2:$D$42,MATCH($Q129,'Device Refrigerant Leakage'!$B$2:$B$42,0)))*CZ129*CX129)*CY129/2204.62*CW129,"")</f>
        <v/>
      </c>
      <c r="DC129" s="135" t="str">
        <f t="shared" si="163"/>
        <v/>
      </c>
      <c r="DE129" s="146" t="str">
        <f>IF(W129&lt;&gt;"AR","",IF(Y129="User Specified", AA129, INDEX('Refrigerant GWPs'!$G$2:$G$154,MATCH(Y129,'Refrigerant GWPs'!$A$2:$A$154,0))))</f>
        <v/>
      </c>
      <c r="DF129" s="146" t="str">
        <f>IF(W129&lt;&gt;"AR","",INDEX('Device Refrigerant Leakage'!$E$2:$E$42,MATCH(X129,'Device Refrigerant Leakage'!$B$2:$B$42,0)))</f>
        <v/>
      </c>
      <c r="DG129" s="146" t="str">
        <f>IF(W129&lt;&gt;"AR","",INDEX('Device Refrigerant Leakage'!$F$2:$F$42,MATCH(X129,'Device Refrigerant Leakage'!$B$2:$B$42,0)))</f>
        <v/>
      </c>
      <c r="DH129" s="146" t="str">
        <f>IF(W129&lt;&gt;"AR","",INDEX('Device Refrigerant Leakage'!$G$2:$G$42,MATCH(X129,'Device Refrigerant Leakage'!$B$2:$B$42,0)))</f>
        <v/>
      </c>
      <c r="DI129" s="146" t="str">
        <f>IF(W129&lt;&gt;"AR","",J129*INDEX('Device Refrigerant Leakage'!$D$2:$D$42,MATCH(X129,'Device Refrigerant Leakage'!$B$2:$B$42,0))*DF129/2204.62*DE129)</f>
        <v/>
      </c>
      <c r="DJ129" s="146" t="str">
        <f>IF(W129&lt;&gt;"AR","",J129*(INDEX('Device Refrigerant Leakage'!$D$2:$D$42,MATCH(X129,'Device Refrigerant Leakage'!$B$2:$B$42,0))-(INDEX('Device Refrigerant Leakage'!$D$2:$D$42,MATCH(X129,'Device Refrigerant Leakage'!$B$2:$B$42,0)))*DH129*DF129)*DG129/2204.62*DE129)</f>
        <v/>
      </c>
      <c r="DK129" s="146" t="str">
        <f>IF(W129&lt;&gt;"AR","",DI129*(K129-AB129)+'Fuel Sub Calcs-Deemed'!DJ129*((K129-AB129)/INDEX('Device Refrigerant Leakage'!$C$2:$C$42,MATCH('Fuel Sub Calcs-Deemed'!X129,'Device Refrigerant Leakage'!$B$2:$B$42,0))))</f>
        <v/>
      </c>
      <c r="DM129" s="56">
        <v>115</v>
      </c>
      <c r="DN129" s="67" t="e">
        <f t="shared" si="143"/>
        <v>#N/A</v>
      </c>
      <c r="DO129" s="45" t="e">
        <f t="shared" si="144"/>
        <v>#N/A</v>
      </c>
      <c r="DP129" s="67" t="e">
        <f t="shared" si="145"/>
        <v>#N/A</v>
      </c>
      <c r="DQ129" s="45" t="e">
        <f t="shared" si="146"/>
        <v>#N/A</v>
      </c>
      <c r="DR129" s="69" t="e">
        <f t="shared" si="147"/>
        <v>#N/A</v>
      </c>
      <c r="DS129" s="34"/>
      <c r="DT129" s="67" t="e">
        <f>((BX129*CJ129)+IF($W129=MAT_AR,(BZ129*CL129),0))*(1+Reference!$E$50+Reference!$E$51)</f>
        <v>#N/A</v>
      </c>
      <c r="DU129" s="67">
        <f>((BY129*CK129)+IF($W129=MAT_AR,(CA129*CM129),0))*(1+Reference!$G$50+Reference!$G$51)</f>
        <v>0</v>
      </c>
      <c r="DV129" s="67" t="e">
        <f t="shared" si="148"/>
        <v>#VALUE!</v>
      </c>
      <c r="DX129" s="56">
        <v>115</v>
      </c>
      <c r="DY129" s="67">
        <f t="shared" si="149"/>
        <v>0</v>
      </c>
      <c r="DZ129" s="45" t="e">
        <f>VLOOKUP($R129,Dropdown!$C$3:$D$4,2,FALSE)</f>
        <v>#N/A</v>
      </c>
      <c r="EA129" s="68">
        <f t="shared" si="150"/>
        <v>0</v>
      </c>
      <c r="EB129" s="68" t="str">
        <f t="shared" si="151"/>
        <v>N/A</v>
      </c>
      <c r="EC129" s="68">
        <f t="shared" si="152"/>
        <v>0</v>
      </c>
      <c r="ED129" s="68" t="str">
        <f t="shared" si="199"/>
        <v>N/A</v>
      </c>
      <c r="EF129" s="56">
        <v>115</v>
      </c>
      <c r="EG129" s="46">
        <f t="shared" si="154"/>
        <v>0</v>
      </c>
      <c r="EH129" s="68" t="e">
        <f t="shared" si="155"/>
        <v>#N/A</v>
      </c>
      <c r="EI129" s="68" t="e">
        <f t="shared" si="156"/>
        <v>#N/A</v>
      </c>
      <c r="EJ129" s="68" t="e">
        <f t="shared" si="157"/>
        <v>#N/A</v>
      </c>
      <c r="EK129" s="68" t="e">
        <f t="shared" si="158"/>
        <v>#N/A</v>
      </c>
      <c r="EL129" s="46">
        <f t="shared" si="159"/>
        <v>0</v>
      </c>
      <c r="EM129" s="46">
        <f t="shared" si="160"/>
        <v>0</v>
      </c>
    </row>
    <row r="130" spans="1:143">
      <c r="A130" s="89"/>
      <c r="B130" s="89"/>
      <c r="C130" s="89"/>
      <c r="D130" s="89"/>
      <c r="E130" s="89"/>
      <c r="F130" s="89"/>
      <c r="G130" s="34"/>
      <c r="H130" s="56">
        <f t="shared" si="161"/>
        <v>116</v>
      </c>
      <c r="I130" s="165"/>
      <c r="J130" s="163"/>
      <c r="K130" s="163"/>
      <c r="L130" s="164"/>
      <c r="M130" s="155"/>
      <c r="N130" s="155"/>
      <c r="O130" s="144"/>
      <c r="P130" s="159" t="str">
        <f>IFERROR(IF(O130&lt;&gt;"User Specified",IF(O130&lt;&gt;"", INDEX('Refrigerant GWPs'!$G$2:$G$154,MATCH(O130,'Refrigerant GWPs'!$A$2:$A$154,0)),""),U130),0)</f>
        <v/>
      </c>
      <c r="Q130" s="155"/>
      <c r="R130" s="155"/>
      <c r="S130" s="144"/>
      <c r="T130" s="159" t="str">
        <f>IF(S130&lt;&gt;"User Specified",IF(AND(S130&lt;&gt;"User Specified",S130&lt;&gt;""), INDEX('Refrigerant GWPs'!$G$2:$G$154,MATCH(S130,'Refrigerant GWPs'!$A$2:$A$154,0)),""),V130)</f>
        <v/>
      </c>
      <c r="U130" s="144"/>
      <c r="V130" s="144"/>
      <c r="W130" s="155"/>
      <c r="X130" s="155"/>
      <c r="Y130" s="144"/>
      <c r="Z130" s="159" t="str">
        <f>IF(AND(Y130&lt;&gt;"User Specified",Y130&lt;&gt;""), INDEX('Refrigerant GWPs'!$G$2:$G$154,MATCH(Y130,'Refrigerant GWPs'!$A$2:$A$154,0)),"")</f>
        <v/>
      </c>
      <c r="AA130" s="155"/>
      <c r="AB130" s="156"/>
      <c r="AC130" s="66"/>
      <c r="AD130" s="66"/>
      <c r="AE130" s="66"/>
      <c r="AF130" s="66"/>
      <c r="AG130" s="66"/>
      <c r="AH130" s="66"/>
      <c r="AI130" s="34"/>
      <c r="AJ130" s="88">
        <f t="shared" si="119"/>
        <v>0</v>
      </c>
      <c r="AK130" s="88">
        <f t="shared" si="120"/>
        <v>0</v>
      </c>
      <c r="AL130" s="88">
        <v>0</v>
      </c>
      <c r="AM130" s="88">
        <v>0</v>
      </c>
      <c r="AN130" s="81" t="str">
        <f t="shared" si="162"/>
        <v/>
      </c>
      <c r="AO130" s="88">
        <f t="shared" si="121"/>
        <v>0</v>
      </c>
      <c r="AP130" s="88">
        <f t="shared" si="122"/>
        <v>0</v>
      </c>
      <c r="AQ130" s="81" t="str">
        <f t="shared" si="123"/>
        <v/>
      </c>
      <c r="AS130" s="41" t="b">
        <f t="shared" si="124"/>
        <v>1</v>
      </c>
      <c r="AT130" s="38">
        <f t="shared" si="125"/>
        <v>0</v>
      </c>
      <c r="AU130" s="60">
        <f t="shared" si="126"/>
        <v>0</v>
      </c>
      <c r="AV130" s="41">
        <f t="shared" si="127"/>
        <v>0</v>
      </c>
      <c r="AW130" s="41" t="b">
        <f t="shared" si="128"/>
        <v>0</v>
      </c>
      <c r="AX130" t="str">
        <f t="shared" si="129"/>
        <v>+00</v>
      </c>
      <c r="AY130" t="str">
        <f t="shared" si="130"/>
        <v>+00</v>
      </c>
      <c r="BA130" s="47" t="b">
        <f t="shared" si="164"/>
        <v>1</v>
      </c>
      <c r="BB130" s="42" t="b">
        <f t="shared" si="165"/>
        <v>1</v>
      </c>
      <c r="BC130" s="42" t="b">
        <f t="shared" si="166"/>
        <v>0</v>
      </c>
      <c r="BD130" s="42" t="b">
        <f t="shared" si="167"/>
        <v>0</v>
      </c>
      <c r="BE130" s="70">
        <f t="shared" si="168"/>
        <v>0</v>
      </c>
      <c r="BF130" s="70">
        <f t="shared" si="169"/>
        <v>0</v>
      </c>
      <c r="BG130" s="34"/>
      <c r="BI130" s="47" t="b">
        <f t="shared" si="170"/>
        <v>1</v>
      </c>
      <c r="BJ130" s="47" t="b">
        <f t="shared" si="171"/>
        <v>1</v>
      </c>
      <c r="BK130" s="42" t="b">
        <f t="shared" si="172"/>
        <v>0</v>
      </c>
      <c r="BL130" s="42" t="b">
        <f t="shared" si="173"/>
        <v>0</v>
      </c>
      <c r="BM130" s="42">
        <f t="shared" si="174"/>
        <v>0</v>
      </c>
      <c r="BN130" s="42">
        <f t="shared" si="175"/>
        <v>0</v>
      </c>
      <c r="BP130" t="e">
        <f t="shared" si="176"/>
        <v>#N/A</v>
      </c>
      <c r="BQ130" t="e">
        <f t="shared" si="177"/>
        <v>#N/A</v>
      </c>
      <c r="BR130" t="e">
        <f t="shared" si="178"/>
        <v>#N/A</v>
      </c>
      <c r="BT130" s="60">
        <f t="shared" si="187"/>
        <v>0</v>
      </c>
      <c r="BU130" s="60">
        <f t="shared" si="188"/>
        <v>0</v>
      </c>
      <c r="BV130" s="60">
        <f t="shared" si="189"/>
        <v>0</v>
      </c>
      <c r="BW130" s="60">
        <f t="shared" si="190"/>
        <v>0</v>
      </c>
      <c r="BX130" s="60">
        <f t="shared" si="179"/>
        <v>0</v>
      </c>
      <c r="BY130" s="60">
        <f t="shared" si="180"/>
        <v>0</v>
      </c>
      <c r="BZ130" s="60">
        <f t="shared" si="181"/>
        <v>0</v>
      </c>
      <c r="CA130" s="60">
        <f t="shared" si="182"/>
        <v>0</v>
      </c>
      <c r="CB130" s="60" t="e">
        <f t="shared" si="191"/>
        <v>#N/A</v>
      </c>
      <c r="CC130" s="60">
        <f t="shared" si="192"/>
        <v>100000</v>
      </c>
      <c r="CD130" s="60" t="e">
        <f t="shared" si="193"/>
        <v>#N/A</v>
      </c>
      <c r="CE130" s="60">
        <f t="shared" si="194"/>
        <v>100000</v>
      </c>
      <c r="CF130" s="83" t="e">
        <f t="shared" si="183"/>
        <v>#N/A</v>
      </c>
      <c r="CG130" s="83">
        <f t="shared" si="184"/>
        <v>0</v>
      </c>
      <c r="CH130" s="83" t="e">
        <f t="shared" si="185"/>
        <v>#N/A</v>
      </c>
      <c r="CI130" s="83">
        <f t="shared" si="186"/>
        <v>0</v>
      </c>
      <c r="CJ130" s="86" t="e">
        <f t="shared" si="195"/>
        <v>#N/A</v>
      </c>
      <c r="CK130" s="82">
        <f t="shared" si="196"/>
        <v>5.3070370403969858E-3</v>
      </c>
      <c r="CL130" s="82" t="e">
        <f t="shared" si="197"/>
        <v>#N/A</v>
      </c>
      <c r="CM130" s="82">
        <f t="shared" si="198"/>
        <v>5.3070370403969858E-3</v>
      </c>
      <c r="CO130" s="149" t="str">
        <f>IF($I130&lt;&gt;"",IF(O130="User Specified",U130,INDEX('Refrigerant GWPs'!$G$2:$G$156,MATCH(O130,'Refrigerant GWPs'!$A$2:$A$156,0))),"")</f>
        <v/>
      </c>
      <c r="CP130" s="138" t="str">
        <f>IF($I130&lt;&gt;"",INDEX('Device Refrigerant Leakage'!$E$2:$E$42,MATCH($M130,'Device Refrigerant Leakage'!$B$2:$B$42,0)),"")</f>
        <v/>
      </c>
      <c r="CQ130" s="138" t="str">
        <f>IF($I130&lt;&gt;"",INDEX('Device Refrigerant Leakage'!$F$2:$F$42,MATCH($M130,'Device Refrigerant Leakage'!$B$2:$B$42,0)),"")</f>
        <v/>
      </c>
      <c r="CR130" s="145" t="str">
        <f>IF($I130&lt;&gt;"",INDEX('Device Refrigerant Leakage'!$G$2:$G$42,MATCH($M130,'Device Refrigerant Leakage'!$B$2:$B$42,0)),"")</f>
        <v/>
      </c>
      <c r="CS130" s="145" t="str">
        <f>IF($I130&lt;&gt;"",INDEX('Device Refrigerant Leakage'!$D$2:$D$42,MATCH($M130,'Device Refrigerant Leakage'!$B$2:$B$42,0))*CP130/2204.62*CO130,"")</f>
        <v/>
      </c>
      <c r="CT130" s="145" t="str">
        <f>IF($I130&lt;&gt;"",J130*(INDEX('Device Refrigerant Leakage'!$D$2:$D$42,MATCH($M130,'Device Refrigerant Leakage'!$B$2:$B$42,0))-(INDEX('Device Refrigerant Leakage'!$D$2:$D$42,MATCH($M130,'Device Refrigerant Leakage'!$B$2:$B$42,0)))*CR130*CP130)*CQ130/2204.62*CO130,"")</f>
        <v/>
      </c>
      <c r="CU130" s="135" t="str">
        <f>IF($I130&lt;&gt;"",J130*IF(W130&lt;&gt;"AR",(CS130*K130)+CT130,(CS130*AB130)+CT130*(AB130/INDEX('Device Refrigerant Leakage'!$C$2:$C$42,MATCH($M130,'Device Refrigerant Leakage'!$B$2:$B$42,0)))),"")</f>
        <v/>
      </c>
      <c r="CW130" s="135" t="str">
        <f>IF($I130&lt;&gt;"",IF(S130="User Specified",V130,INDEX('Refrigerant GWPs'!$G$2:$G$156,MATCH(S130,'Refrigerant GWPs'!$A$2:$A$157,0))),"")</f>
        <v/>
      </c>
      <c r="CX130" s="138" t="str">
        <f>IF($I130&lt;&gt;"",INDEX('Device Refrigerant Leakage'!$E$2:$E$42,MATCH($Q130,'Device Refrigerant Leakage'!$B$2:$B$42,0)),"")</f>
        <v/>
      </c>
      <c r="CY130" s="138" t="str">
        <f>IF($I130&lt;&gt;"",INDEX('Device Refrigerant Leakage'!$F$2:$F$42,MATCH($Q130,'Device Refrigerant Leakage'!$B$2:$B$42,0)),"")</f>
        <v/>
      </c>
      <c r="CZ130" s="145" t="str">
        <f>IF($I130&lt;&gt;"",INDEX('Device Refrigerant Leakage'!$G$2:$G$42,MATCH($Q130,'Device Refrigerant Leakage'!$B$2:$B$42,0)),"")</f>
        <v/>
      </c>
      <c r="DA130" s="145" t="str">
        <f>IF($I130&lt;&gt;"",J130*INDEX('Device Refrigerant Leakage'!$D$2:$D$42,MATCH($Q130,'Device Refrigerant Leakage'!$B$2:$B$42,0))*CX130/2204.62*CW130,"")</f>
        <v/>
      </c>
      <c r="DB130" s="145" t="str">
        <f>IF($I130&lt;&gt;"",J130*(INDEX('Device Refrigerant Leakage'!$D$2:$D$42,MATCH($Q130,'Device Refrigerant Leakage'!$B$2:$B$42,0))-(INDEX('Device Refrigerant Leakage'!$D$2:$D$42,MATCH($Q130,'Device Refrigerant Leakage'!$B$2:$B$42,0)))*CZ130*CX130)*CY130/2204.62*CW130,"")</f>
        <v/>
      </c>
      <c r="DC130" s="135" t="str">
        <f t="shared" si="163"/>
        <v/>
      </c>
      <c r="DE130" s="146" t="str">
        <f>IF(W130&lt;&gt;"AR","",IF(Y130="User Specified", AA130, INDEX('Refrigerant GWPs'!$G$2:$G$154,MATCH(Y130,'Refrigerant GWPs'!$A$2:$A$154,0))))</f>
        <v/>
      </c>
      <c r="DF130" s="146" t="str">
        <f>IF(W130&lt;&gt;"AR","",INDEX('Device Refrigerant Leakage'!$E$2:$E$42,MATCH(X130,'Device Refrigerant Leakage'!$B$2:$B$42,0)))</f>
        <v/>
      </c>
      <c r="DG130" s="146" t="str">
        <f>IF(W130&lt;&gt;"AR","",INDEX('Device Refrigerant Leakage'!$F$2:$F$42,MATCH(X130,'Device Refrigerant Leakage'!$B$2:$B$42,0)))</f>
        <v/>
      </c>
      <c r="DH130" s="146" t="str">
        <f>IF(W130&lt;&gt;"AR","",INDEX('Device Refrigerant Leakage'!$G$2:$G$42,MATCH(X130,'Device Refrigerant Leakage'!$B$2:$B$42,0)))</f>
        <v/>
      </c>
      <c r="DI130" s="146" t="str">
        <f>IF(W130&lt;&gt;"AR","",J130*INDEX('Device Refrigerant Leakage'!$D$2:$D$42,MATCH(X130,'Device Refrigerant Leakage'!$B$2:$B$42,0))*DF130/2204.62*DE130)</f>
        <v/>
      </c>
      <c r="DJ130" s="146" t="str">
        <f>IF(W130&lt;&gt;"AR","",J130*(INDEX('Device Refrigerant Leakage'!$D$2:$D$42,MATCH(X130,'Device Refrigerant Leakage'!$B$2:$B$42,0))-(INDEX('Device Refrigerant Leakage'!$D$2:$D$42,MATCH(X130,'Device Refrigerant Leakage'!$B$2:$B$42,0)))*DH130*DF130)*DG130/2204.62*DE130)</f>
        <v/>
      </c>
      <c r="DK130" s="146" t="str">
        <f>IF(W130&lt;&gt;"AR","",DI130*(K130-AB130)+'Fuel Sub Calcs-Deemed'!DJ130*((K130-AB130)/INDEX('Device Refrigerant Leakage'!$C$2:$C$42,MATCH('Fuel Sub Calcs-Deemed'!X130,'Device Refrigerant Leakage'!$B$2:$B$42,0))))</f>
        <v/>
      </c>
      <c r="DM130" s="56">
        <v>116</v>
      </c>
      <c r="DN130" s="67" t="e">
        <f t="shared" si="143"/>
        <v>#N/A</v>
      </c>
      <c r="DO130" s="45" t="e">
        <f t="shared" si="144"/>
        <v>#N/A</v>
      </c>
      <c r="DP130" s="67" t="e">
        <f t="shared" si="145"/>
        <v>#N/A</v>
      </c>
      <c r="DQ130" s="45" t="e">
        <f t="shared" si="146"/>
        <v>#N/A</v>
      </c>
      <c r="DR130" s="69" t="e">
        <f t="shared" si="147"/>
        <v>#N/A</v>
      </c>
      <c r="DS130" s="34"/>
      <c r="DT130" s="67" t="e">
        <f>((BX130*CJ130)+IF($W130=MAT_AR,(BZ130*CL130),0))*(1+Reference!$E$50+Reference!$E$51)</f>
        <v>#N/A</v>
      </c>
      <c r="DU130" s="67">
        <f>((BY130*CK130)+IF($W130=MAT_AR,(CA130*CM130),0))*(1+Reference!$G$50+Reference!$G$51)</f>
        <v>0</v>
      </c>
      <c r="DV130" s="67" t="e">
        <f t="shared" si="148"/>
        <v>#VALUE!</v>
      </c>
      <c r="DX130" s="56">
        <v>116</v>
      </c>
      <c r="DY130" s="67">
        <f t="shared" si="149"/>
        <v>0</v>
      </c>
      <c r="DZ130" s="45" t="e">
        <f>VLOOKUP($R130,Dropdown!$C$3:$D$4,2,FALSE)</f>
        <v>#N/A</v>
      </c>
      <c r="EA130" s="68">
        <f t="shared" si="150"/>
        <v>0</v>
      </c>
      <c r="EB130" s="68" t="str">
        <f t="shared" si="151"/>
        <v>N/A</v>
      </c>
      <c r="EC130" s="68">
        <f t="shared" si="152"/>
        <v>0</v>
      </c>
      <c r="ED130" s="68" t="str">
        <f t="shared" si="199"/>
        <v>N/A</v>
      </c>
      <c r="EF130" s="56">
        <v>116</v>
      </c>
      <c r="EG130" s="46">
        <f t="shared" si="154"/>
        <v>0</v>
      </c>
      <c r="EH130" s="68" t="e">
        <f t="shared" si="155"/>
        <v>#N/A</v>
      </c>
      <c r="EI130" s="68" t="e">
        <f t="shared" si="156"/>
        <v>#N/A</v>
      </c>
      <c r="EJ130" s="68" t="e">
        <f t="shared" si="157"/>
        <v>#N/A</v>
      </c>
      <c r="EK130" s="68" t="e">
        <f t="shared" si="158"/>
        <v>#N/A</v>
      </c>
      <c r="EL130" s="46">
        <f t="shared" si="159"/>
        <v>0</v>
      </c>
      <c r="EM130" s="46">
        <f t="shared" si="160"/>
        <v>0</v>
      </c>
    </row>
    <row r="131" spans="1:143">
      <c r="A131" s="89"/>
      <c r="B131" s="89"/>
      <c r="C131" s="89"/>
      <c r="D131" s="89"/>
      <c r="E131" s="89"/>
      <c r="F131" s="89"/>
      <c r="G131" s="34"/>
      <c r="H131" s="56">
        <f t="shared" si="161"/>
        <v>117</v>
      </c>
      <c r="I131" s="165"/>
      <c r="J131" s="163"/>
      <c r="K131" s="163"/>
      <c r="L131" s="164"/>
      <c r="M131" s="155"/>
      <c r="N131" s="155"/>
      <c r="O131" s="144"/>
      <c r="P131" s="159" t="str">
        <f>IFERROR(IF(O131&lt;&gt;"User Specified",IF(O131&lt;&gt;"", INDEX('Refrigerant GWPs'!$G$2:$G$154,MATCH(O131,'Refrigerant GWPs'!$A$2:$A$154,0)),""),U131),0)</f>
        <v/>
      </c>
      <c r="Q131" s="155"/>
      <c r="R131" s="155"/>
      <c r="S131" s="144"/>
      <c r="T131" s="159" t="str">
        <f>IF(S131&lt;&gt;"User Specified",IF(AND(S131&lt;&gt;"User Specified",S131&lt;&gt;""), INDEX('Refrigerant GWPs'!$G$2:$G$154,MATCH(S131,'Refrigerant GWPs'!$A$2:$A$154,0)),""),V131)</f>
        <v/>
      </c>
      <c r="U131" s="144"/>
      <c r="V131" s="144"/>
      <c r="W131" s="155"/>
      <c r="X131" s="155"/>
      <c r="Y131" s="144"/>
      <c r="Z131" s="159" t="str">
        <f>IF(AND(Y131&lt;&gt;"User Specified",Y131&lt;&gt;""), INDEX('Refrigerant GWPs'!$G$2:$G$154,MATCH(Y131,'Refrigerant GWPs'!$A$2:$A$154,0)),"")</f>
        <v/>
      </c>
      <c r="AA131" s="155"/>
      <c r="AB131" s="156"/>
      <c r="AC131" s="66"/>
      <c r="AD131" s="66"/>
      <c r="AE131" s="66"/>
      <c r="AF131" s="66"/>
      <c r="AG131" s="66"/>
      <c r="AH131" s="66"/>
      <c r="AI131" s="34"/>
      <c r="AJ131" s="88">
        <f t="shared" si="119"/>
        <v>0</v>
      </c>
      <c r="AK131" s="88">
        <f t="shared" si="120"/>
        <v>0</v>
      </c>
      <c r="AL131" s="88">
        <v>0</v>
      </c>
      <c r="AM131" s="88">
        <v>0</v>
      </c>
      <c r="AN131" s="81" t="str">
        <f t="shared" si="162"/>
        <v/>
      </c>
      <c r="AO131" s="88">
        <f t="shared" si="121"/>
        <v>0</v>
      </c>
      <c r="AP131" s="88">
        <f t="shared" si="122"/>
        <v>0</v>
      </c>
      <c r="AQ131" s="81" t="str">
        <f t="shared" si="123"/>
        <v/>
      </c>
      <c r="AS131" s="41" t="b">
        <f t="shared" si="124"/>
        <v>1</v>
      </c>
      <c r="AT131" s="38">
        <f t="shared" si="125"/>
        <v>0</v>
      </c>
      <c r="AU131" s="60">
        <f t="shared" si="126"/>
        <v>0</v>
      </c>
      <c r="AV131" s="41">
        <f t="shared" si="127"/>
        <v>0</v>
      </c>
      <c r="AW131" s="41" t="b">
        <f t="shared" si="128"/>
        <v>0</v>
      </c>
      <c r="AX131" t="str">
        <f t="shared" si="129"/>
        <v>+00</v>
      </c>
      <c r="AY131" t="str">
        <f t="shared" si="130"/>
        <v>+00</v>
      </c>
      <c r="BA131" s="47" t="b">
        <f t="shared" si="164"/>
        <v>1</v>
      </c>
      <c r="BB131" s="42" t="b">
        <f t="shared" si="165"/>
        <v>1</v>
      </c>
      <c r="BC131" s="42" t="b">
        <f t="shared" si="166"/>
        <v>0</v>
      </c>
      <c r="BD131" s="42" t="b">
        <f t="shared" si="167"/>
        <v>0</v>
      </c>
      <c r="BE131" s="70">
        <f t="shared" si="168"/>
        <v>0</v>
      </c>
      <c r="BF131" s="70">
        <f t="shared" si="169"/>
        <v>0</v>
      </c>
      <c r="BG131" s="34"/>
      <c r="BI131" s="47" t="b">
        <f t="shared" si="170"/>
        <v>1</v>
      </c>
      <c r="BJ131" s="47" t="b">
        <f t="shared" si="171"/>
        <v>1</v>
      </c>
      <c r="BK131" s="42" t="b">
        <f t="shared" si="172"/>
        <v>0</v>
      </c>
      <c r="BL131" s="42" t="b">
        <f t="shared" si="173"/>
        <v>0</v>
      </c>
      <c r="BM131" s="42">
        <f t="shared" si="174"/>
        <v>0</v>
      </c>
      <c r="BN131" s="42">
        <f t="shared" si="175"/>
        <v>0</v>
      </c>
      <c r="BP131" t="e">
        <f t="shared" si="176"/>
        <v>#N/A</v>
      </c>
      <c r="BQ131" t="e">
        <f t="shared" si="177"/>
        <v>#N/A</v>
      </c>
      <c r="BR131" t="e">
        <f t="shared" si="178"/>
        <v>#N/A</v>
      </c>
      <c r="BT131" s="60">
        <f t="shared" si="187"/>
        <v>0</v>
      </c>
      <c r="BU131" s="60">
        <f t="shared" si="188"/>
        <v>0</v>
      </c>
      <c r="BV131" s="60">
        <f t="shared" si="189"/>
        <v>0</v>
      </c>
      <c r="BW131" s="60">
        <f t="shared" si="190"/>
        <v>0</v>
      </c>
      <c r="BX131" s="60">
        <f t="shared" si="179"/>
        <v>0</v>
      </c>
      <c r="BY131" s="60">
        <f t="shared" si="180"/>
        <v>0</v>
      </c>
      <c r="BZ131" s="60">
        <f t="shared" si="181"/>
        <v>0</v>
      </c>
      <c r="CA131" s="60">
        <f t="shared" si="182"/>
        <v>0</v>
      </c>
      <c r="CB131" s="60" t="e">
        <f t="shared" si="191"/>
        <v>#N/A</v>
      </c>
      <c r="CC131" s="60">
        <f t="shared" si="192"/>
        <v>100000</v>
      </c>
      <c r="CD131" s="60" t="e">
        <f t="shared" si="193"/>
        <v>#N/A</v>
      </c>
      <c r="CE131" s="60">
        <f t="shared" si="194"/>
        <v>100000</v>
      </c>
      <c r="CF131" s="83" t="e">
        <f t="shared" si="183"/>
        <v>#N/A</v>
      </c>
      <c r="CG131" s="83">
        <f t="shared" si="184"/>
        <v>0</v>
      </c>
      <c r="CH131" s="83" t="e">
        <f t="shared" si="185"/>
        <v>#N/A</v>
      </c>
      <c r="CI131" s="83">
        <f t="shared" si="186"/>
        <v>0</v>
      </c>
      <c r="CJ131" s="86" t="e">
        <f t="shared" si="195"/>
        <v>#N/A</v>
      </c>
      <c r="CK131" s="82">
        <f t="shared" si="196"/>
        <v>5.3070370403969858E-3</v>
      </c>
      <c r="CL131" s="82" t="e">
        <f t="shared" si="197"/>
        <v>#N/A</v>
      </c>
      <c r="CM131" s="82">
        <f t="shared" si="198"/>
        <v>5.3070370403969858E-3</v>
      </c>
      <c r="CO131" s="149" t="str">
        <f>IF($I131&lt;&gt;"",IF(O131="User Specified",U131,INDEX('Refrigerant GWPs'!$G$2:$G$156,MATCH(O131,'Refrigerant GWPs'!$A$2:$A$156,0))),"")</f>
        <v/>
      </c>
      <c r="CP131" s="138" t="str">
        <f>IF($I131&lt;&gt;"",INDEX('Device Refrigerant Leakage'!$E$2:$E$42,MATCH($M131,'Device Refrigerant Leakage'!$B$2:$B$42,0)),"")</f>
        <v/>
      </c>
      <c r="CQ131" s="138" t="str">
        <f>IF($I131&lt;&gt;"",INDEX('Device Refrigerant Leakage'!$F$2:$F$42,MATCH($M131,'Device Refrigerant Leakage'!$B$2:$B$42,0)),"")</f>
        <v/>
      </c>
      <c r="CR131" s="145" t="str">
        <f>IF($I131&lt;&gt;"",INDEX('Device Refrigerant Leakage'!$G$2:$G$42,MATCH($M131,'Device Refrigerant Leakage'!$B$2:$B$42,0)),"")</f>
        <v/>
      </c>
      <c r="CS131" s="145" t="str">
        <f>IF($I131&lt;&gt;"",INDEX('Device Refrigerant Leakage'!$D$2:$D$42,MATCH($M131,'Device Refrigerant Leakage'!$B$2:$B$42,0))*CP131/2204.62*CO131,"")</f>
        <v/>
      </c>
      <c r="CT131" s="145" t="str">
        <f>IF($I131&lt;&gt;"",J131*(INDEX('Device Refrigerant Leakage'!$D$2:$D$42,MATCH($M131,'Device Refrigerant Leakage'!$B$2:$B$42,0))-(INDEX('Device Refrigerant Leakage'!$D$2:$D$42,MATCH($M131,'Device Refrigerant Leakage'!$B$2:$B$42,0)))*CR131*CP131)*CQ131/2204.62*CO131,"")</f>
        <v/>
      </c>
      <c r="CU131" s="135" t="str">
        <f>IF($I131&lt;&gt;"",J131*IF(W131&lt;&gt;"AR",(CS131*K131)+CT131,(CS131*AB131)+CT131*(AB131/INDEX('Device Refrigerant Leakage'!$C$2:$C$42,MATCH($M131,'Device Refrigerant Leakage'!$B$2:$B$42,0)))),"")</f>
        <v/>
      </c>
      <c r="CW131" s="135" t="str">
        <f>IF($I131&lt;&gt;"",IF(S131="User Specified",V131,INDEX('Refrigerant GWPs'!$G$2:$G$156,MATCH(S131,'Refrigerant GWPs'!$A$2:$A$157,0))),"")</f>
        <v/>
      </c>
      <c r="CX131" s="138" t="str">
        <f>IF($I131&lt;&gt;"",INDEX('Device Refrigerant Leakage'!$E$2:$E$42,MATCH($Q131,'Device Refrigerant Leakage'!$B$2:$B$42,0)),"")</f>
        <v/>
      </c>
      <c r="CY131" s="138" t="str">
        <f>IF($I131&lt;&gt;"",INDEX('Device Refrigerant Leakage'!$F$2:$F$42,MATCH($Q131,'Device Refrigerant Leakage'!$B$2:$B$42,0)),"")</f>
        <v/>
      </c>
      <c r="CZ131" s="145" t="str">
        <f>IF($I131&lt;&gt;"",INDEX('Device Refrigerant Leakage'!$G$2:$G$42,MATCH($Q131,'Device Refrigerant Leakage'!$B$2:$B$42,0)),"")</f>
        <v/>
      </c>
      <c r="DA131" s="145" t="str">
        <f>IF($I131&lt;&gt;"",J131*INDEX('Device Refrigerant Leakage'!$D$2:$D$42,MATCH($Q131,'Device Refrigerant Leakage'!$B$2:$B$42,0))*CX131/2204.62*CW131,"")</f>
        <v/>
      </c>
      <c r="DB131" s="145" t="str">
        <f>IF($I131&lt;&gt;"",J131*(INDEX('Device Refrigerant Leakage'!$D$2:$D$42,MATCH($Q131,'Device Refrigerant Leakage'!$B$2:$B$42,0))-(INDEX('Device Refrigerant Leakage'!$D$2:$D$42,MATCH($Q131,'Device Refrigerant Leakage'!$B$2:$B$42,0)))*CZ131*CX131)*CY131/2204.62*CW131,"")</f>
        <v/>
      </c>
      <c r="DC131" s="135" t="str">
        <f t="shared" si="163"/>
        <v/>
      </c>
      <c r="DE131" s="146" t="str">
        <f>IF(W131&lt;&gt;"AR","",IF(Y131="User Specified", AA131, INDEX('Refrigerant GWPs'!$G$2:$G$154,MATCH(Y131,'Refrigerant GWPs'!$A$2:$A$154,0))))</f>
        <v/>
      </c>
      <c r="DF131" s="146" t="str">
        <f>IF(W131&lt;&gt;"AR","",INDEX('Device Refrigerant Leakage'!$E$2:$E$42,MATCH(X131,'Device Refrigerant Leakage'!$B$2:$B$42,0)))</f>
        <v/>
      </c>
      <c r="DG131" s="146" t="str">
        <f>IF(W131&lt;&gt;"AR","",INDEX('Device Refrigerant Leakage'!$F$2:$F$42,MATCH(X131,'Device Refrigerant Leakage'!$B$2:$B$42,0)))</f>
        <v/>
      </c>
      <c r="DH131" s="146" t="str">
        <f>IF(W131&lt;&gt;"AR","",INDEX('Device Refrigerant Leakage'!$G$2:$G$42,MATCH(X131,'Device Refrigerant Leakage'!$B$2:$B$42,0)))</f>
        <v/>
      </c>
      <c r="DI131" s="146" t="str">
        <f>IF(W131&lt;&gt;"AR","",J131*INDEX('Device Refrigerant Leakage'!$D$2:$D$42,MATCH(X131,'Device Refrigerant Leakage'!$B$2:$B$42,0))*DF131/2204.62*DE131)</f>
        <v/>
      </c>
      <c r="DJ131" s="146" t="str">
        <f>IF(W131&lt;&gt;"AR","",J131*(INDEX('Device Refrigerant Leakage'!$D$2:$D$42,MATCH(X131,'Device Refrigerant Leakage'!$B$2:$B$42,0))-(INDEX('Device Refrigerant Leakage'!$D$2:$D$42,MATCH(X131,'Device Refrigerant Leakage'!$B$2:$B$42,0)))*DH131*DF131)*DG131/2204.62*DE131)</f>
        <v/>
      </c>
      <c r="DK131" s="146" t="str">
        <f>IF(W131&lt;&gt;"AR","",DI131*(K131-AB131)+'Fuel Sub Calcs-Deemed'!DJ131*((K131-AB131)/INDEX('Device Refrigerant Leakage'!$C$2:$C$42,MATCH('Fuel Sub Calcs-Deemed'!X131,'Device Refrigerant Leakage'!$B$2:$B$42,0))))</f>
        <v/>
      </c>
      <c r="DM131" s="56">
        <v>117</v>
      </c>
      <c r="DN131" s="67" t="e">
        <f t="shared" si="143"/>
        <v>#N/A</v>
      </c>
      <c r="DO131" s="45" t="e">
        <f t="shared" si="144"/>
        <v>#N/A</v>
      </c>
      <c r="DP131" s="67" t="e">
        <f t="shared" si="145"/>
        <v>#N/A</v>
      </c>
      <c r="DQ131" s="45" t="e">
        <f t="shared" si="146"/>
        <v>#N/A</v>
      </c>
      <c r="DR131" s="69" t="e">
        <f t="shared" si="147"/>
        <v>#N/A</v>
      </c>
      <c r="DS131" s="34"/>
      <c r="DT131" s="67" t="e">
        <f>((BX131*CJ131)+IF($W131=MAT_AR,(BZ131*CL131),0))*(1+Reference!$E$50+Reference!$E$51)</f>
        <v>#N/A</v>
      </c>
      <c r="DU131" s="67">
        <f>((BY131*CK131)+IF($W131=MAT_AR,(CA131*CM131),0))*(1+Reference!$G$50+Reference!$G$51)</f>
        <v>0</v>
      </c>
      <c r="DV131" s="67" t="e">
        <f t="shared" si="148"/>
        <v>#VALUE!</v>
      </c>
      <c r="DX131" s="56">
        <v>117</v>
      </c>
      <c r="DY131" s="67">
        <f t="shared" si="149"/>
        <v>0</v>
      </c>
      <c r="DZ131" s="45" t="e">
        <f>VLOOKUP($R131,Dropdown!$C$3:$D$4,2,FALSE)</f>
        <v>#N/A</v>
      </c>
      <c r="EA131" s="68">
        <f t="shared" si="150"/>
        <v>0</v>
      </c>
      <c r="EB131" s="68" t="str">
        <f t="shared" si="151"/>
        <v>N/A</v>
      </c>
      <c r="EC131" s="68">
        <f t="shared" si="152"/>
        <v>0</v>
      </c>
      <c r="ED131" s="68" t="str">
        <f t="shared" si="199"/>
        <v>N/A</v>
      </c>
      <c r="EF131" s="56">
        <v>117</v>
      </c>
      <c r="EG131" s="46">
        <f t="shared" si="154"/>
        <v>0</v>
      </c>
      <c r="EH131" s="68" t="e">
        <f t="shared" si="155"/>
        <v>#N/A</v>
      </c>
      <c r="EI131" s="68" t="e">
        <f t="shared" si="156"/>
        <v>#N/A</v>
      </c>
      <c r="EJ131" s="68" t="e">
        <f t="shared" si="157"/>
        <v>#N/A</v>
      </c>
      <c r="EK131" s="68" t="e">
        <f t="shared" si="158"/>
        <v>#N/A</v>
      </c>
      <c r="EL131" s="46">
        <f t="shared" si="159"/>
        <v>0</v>
      </c>
      <c r="EM131" s="46">
        <f t="shared" si="160"/>
        <v>0</v>
      </c>
    </row>
    <row r="132" spans="1:143">
      <c r="A132" s="89"/>
      <c r="B132" s="89"/>
      <c r="C132" s="89"/>
      <c r="D132" s="89"/>
      <c r="E132" s="89"/>
      <c r="F132" s="89"/>
      <c r="G132" s="34"/>
      <c r="H132" s="56">
        <f t="shared" si="161"/>
        <v>118</v>
      </c>
      <c r="I132" s="165"/>
      <c r="J132" s="163"/>
      <c r="K132" s="163"/>
      <c r="L132" s="164"/>
      <c r="M132" s="155"/>
      <c r="N132" s="155"/>
      <c r="O132" s="144"/>
      <c r="P132" s="159" t="str">
        <f>IFERROR(IF(O132&lt;&gt;"User Specified",IF(O132&lt;&gt;"", INDEX('Refrigerant GWPs'!$G$2:$G$154,MATCH(O132,'Refrigerant GWPs'!$A$2:$A$154,0)),""),U132),0)</f>
        <v/>
      </c>
      <c r="Q132" s="155"/>
      <c r="R132" s="155"/>
      <c r="S132" s="144"/>
      <c r="T132" s="159" t="str">
        <f>IF(S132&lt;&gt;"User Specified",IF(AND(S132&lt;&gt;"User Specified",S132&lt;&gt;""), INDEX('Refrigerant GWPs'!$G$2:$G$154,MATCH(S132,'Refrigerant GWPs'!$A$2:$A$154,0)),""),V132)</f>
        <v/>
      </c>
      <c r="U132" s="144"/>
      <c r="V132" s="144"/>
      <c r="W132" s="155"/>
      <c r="X132" s="155"/>
      <c r="Y132" s="144"/>
      <c r="Z132" s="159" t="str">
        <f>IF(AND(Y132&lt;&gt;"User Specified",Y132&lt;&gt;""), INDEX('Refrigerant GWPs'!$G$2:$G$154,MATCH(Y132,'Refrigerant GWPs'!$A$2:$A$154,0)),"")</f>
        <v/>
      </c>
      <c r="AA132" s="155"/>
      <c r="AB132" s="156"/>
      <c r="AC132" s="66"/>
      <c r="AD132" s="66"/>
      <c r="AE132" s="66"/>
      <c r="AF132" s="66"/>
      <c r="AG132" s="66"/>
      <c r="AH132" s="66"/>
      <c r="AI132" s="34"/>
      <c r="AJ132" s="88">
        <f t="shared" si="119"/>
        <v>0</v>
      </c>
      <c r="AK132" s="88">
        <f t="shared" si="120"/>
        <v>0</v>
      </c>
      <c r="AL132" s="88">
        <v>0</v>
      </c>
      <c r="AM132" s="88">
        <v>0</v>
      </c>
      <c r="AN132" s="81" t="str">
        <f t="shared" si="162"/>
        <v/>
      </c>
      <c r="AO132" s="88">
        <f t="shared" si="121"/>
        <v>0</v>
      </c>
      <c r="AP132" s="88">
        <f t="shared" si="122"/>
        <v>0</v>
      </c>
      <c r="AQ132" s="81" t="str">
        <f t="shared" si="123"/>
        <v/>
      </c>
      <c r="AS132" s="41" t="b">
        <f t="shared" si="124"/>
        <v>1</v>
      </c>
      <c r="AT132" s="38">
        <f t="shared" si="125"/>
        <v>0</v>
      </c>
      <c r="AU132" s="60">
        <f t="shared" si="126"/>
        <v>0</v>
      </c>
      <c r="AV132" s="41">
        <f t="shared" si="127"/>
        <v>0</v>
      </c>
      <c r="AW132" s="41" t="b">
        <f t="shared" si="128"/>
        <v>0</v>
      </c>
      <c r="AX132" t="str">
        <f t="shared" si="129"/>
        <v>+00</v>
      </c>
      <c r="AY132" t="str">
        <f t="shared" si="130"/>
        <v>+00</v>
      </c>
      <c r="BA132" s="47" t="b">
        <f t="shared" si="164"/>
        <v>1</v>
      </c>
      <c r="BB132" s="42" t="b">
        <f t="shared" si="165"/>
        <v>1</v>
      </c>
      <c r="BC132" s="42" t="b">
        <f t="shared" si="166"/>
        <v>0</v>
      </c>
      <c r="BD132" s="42" t="b">
        <f t="shared" si="167"/>
        <v>0</v>
      </c>
      <c r="BE132" s="70">
        <f t="shared" si="168"/>
        <v>0</v>
      </c>
      <c r="BF132" s="70">
        <f t="shared" si="169"/>
        <v>0</v>
      </c>
      <c r="BG132" s="34"/>
      <c r="BI132" s="47" t="b">
        <f t="shared" si="170"/>
        <v>1</v>
      </c>
      <c r="BJ132" s="47" t="b">
        <f t="shared" si="171"/>
        <v>1</v>
      </c>
      <c r="BK132" s="42" t="b">
        <f t="shared" si="172"/>
        <v>0</v>
      </c>
      <c r="BL132" s="42" t="b">
        <f t="shared" si="173"/>
        <v>0</v>
      </c>
      <c r="BM132" s="42">
        <f t="shared" si="174"/>
        <v>0</v>
      </c>
      <c r="BN132" s="42">
        <f t="shared" si="175"/>
        <v>0</v>
      </c>
      <c r="BP132" t="e">
        <f t="shared" si="176"/>
        <v>#N/A</v>
      </c>
      <c r="BQ132" t="e">
        <f t="shared" si="177"/>
        <v>#N/A</v>
      </c>
      <c r="BR132" t="e">
        <f t="shared" si="178"/>
        <v>#N/A</v>
      </c>
      <c r="BT132" s="60">
        <f t="shared" si="187"/>
        <v>0</v>
      </c>
      <c r="BU132" s="60">
        <f t="shared" si="188"/>
        <v>0</v>
      </c>
      <c r="BV132" s="60">
        <f t="shared" si="189"/>
        <v>0</v>
      </c>
      <c r="BW132" s="60">
        <f t="shared" si="190"/>
        <v>0</v>
      </c>
      <c r="BX132" s="60">
        <f t="shared" si="179"/>
        <v>0</v>
      </c>
      <c r="BY132" s="60">
        <f t="shared" si="180"/>
        <v>0</v>
      </c>
      <c r="BZ132" s="60">
        <f t="shared" si="181"/>
        <v>0</v>
      </c>
      <c r="CA132" s="60">
        <f t="shared" si="182"/>
        <v>0</v>
      </c>
      <c r="CB132" s="60" t="e">
        <f t="shared" si="191"/>
        <v>#N/A</v>
      </c>
      <c r="CC132" s="60">
        <f t="shared" si="192"/>
        <v>100000</v>
      </c>
      <c r="CD132" s="60" t="e">
        <f t="shared" si="193"/>
        <v>#N/A</v>
      </c>
      <c r="CE132" s="60">
        <f t="shared" si="194"/>
        <v>100000</v>
      </c>
      <c r="CF132" s="83" t="e">
        <f t="shared" si="183"/>
        <v>#N/A</v>
      </c>
      <c r="CG132" s="83">
        <f t="shared" si="184"/>
        <v>0</v>
      </c>
      <c r="CH132" s="83" t="e">
        <f t="shared" si="185"/>
        <v>#N/A</v>
      </c>
      <c r="CI132" s="83">
        <f t="shared" si="186"/>
        <v>0</v>
      </c>
      <c r="CJ132" s="86" t="e">
        <f t="shared" si="195"/>
        <v>#N/A</v>
      </c>
      <c r="CK132" s="82">
        <f t="shared" si="196"/>
        <v>5.3070370403969858E-3</v>
      </c>
      <c r="CL132" s="82" t="e">
        <f t="shared" si="197"/>
        <v>#N/A</v>
      </c>
      <c r="CM132" s="82">
        <f t="shared" si="198"/>
        <v>5.3070370403969858E-3</v>
      </c>
      <c r="CO132" s="149" t="str">
        <f>IF($I132&lt;&gt;"",IF(O132="User Specified",U132,INDEX('Refrigerant GWPs'!$G$2:$G$156,MATCH(O132,'Refrigerant GWPs'!$A$2:$A$156,0))),"")</f>
        <v/>
      </c>
      <c r="CP132" s="138" t="str">
        <f>IF($I132&lt;&gt;"",INDEX('Device Refrigerant Leakage'!$E$2:$E$42,MATCH($M132,'Device Refrigerant Leakage'!$B$2:$B$42,0)),"")</f>
        <v/>
      </c>
      <c r="CQ132" s="138" t="str">
        <f>IF($I132&lt;&gt;"",INDEX('Device Refrigerant Leakage'!$F$2:$F$42,MATCH($M132,'Device Refrigerant Leakage'!$B$2:$B$42,0)),"")</f>
        <v/>
      </c>
      <c r="CR132" s="145" t="str">
        <f>IF($I132&lt;&gt;"",INDEX('Device Refrigerant Leakage'!$G$2:$G$42,MATCH($M132,'Device Refrigerant Leakage'!$B$2:$B$42,0)),"")</f>
        <v/>
      </c>
      <c r="CS132" s="145" t="str">
        <f>IF($I132&lt;&gt;"",INDEX('Device Refrigerant Leakage'!$D$2:$D$42,MATCH($M132,'Device Refrigerant Leakage'!$B$2:$B$42,0))*CP132/2204.62*CO132,"")</f>
        <v/>
      </c>
      <c r="CT132" s="145" t="str">
        <f>IF($I132&lt;&gt;"",J132*(INDEX('Device Refrigerant Leakage'!$D$2:$D$42,MATCH($M132,'Device Refrigerant Leakage'!$B$2:$B$42,0))-(INDEX('Device Refrigerant Leakage'!$D$2:$D$42,MATCH($M132,'Device Refrigerant Leakage'!$B$2:$B$42,0)))*CR132*CP132)*CQ132/2204.62*CO132,"")</f>
        <v/>
      </c>
      <c r="CU132" s="135" t="str">
        <f>IF($I132&lt;&gt;"",J132*IF(W132&lt;&gt;"AR",(CS132*K132)+CT132,(CS132*AB132)+CT132*(AB132/INDEX('Device Refrigerant Leakage'!$C$2:$C$42,MATCH($M132,'Device Refrigerant Leakage'!$B$2:$B$42,0)))),"")</f>
        <v/>
      </c>
      <c r="CW132" s="135" t="str">
        <f>IF($I132&lt;&gt;"",IF(S132="User Specified",V132,INDEX('Refrigerant GWPs'!$G$2:$G$156,MATCH(S132,'Refrigerant GWPs'!$A$2:$A$157,0))),"")</f>
        <v/>
      </c>
      <c r="CX132" s="138" t="str">
        <f>IF($I132&lt;&gt;"",INDEX('Device Refrigerant Leakage'!$E$2:$E$42,MATCH($Q132,'Device Refrigerant Leakage'!$B$2:$B$42,0)),"")</f>
        <v/>
      </c>
      <c r="CY132" s="138" t="str">
        <f>IF($I132&lt;&gt;"",INDEX('Device Refrigerant Leakage'!$F$2:$F$42,MATCH($Q132,'Device Refrigerant Leakage'!$B$2:$B$42,0)),"")</f>
        <v/>
      </c>
      <c r="CZ132" s="145" t="str">
        <f>IF($I132&lt;&gt;"",INDEX('Device Refrigerant Leakage'!$G$2:$G$42,MATCH($Q132,'Device Refrigerant Leakage'!$B$2:$B$42,0)),"")</f>
        <v/>
      </c>
      <c r="DA132" s="145" t="str">
        <f>IF($I132&lt;&gt;"",J132*INDEX('Device Refrigerant Leakage'!$D$2:$D$42,MATCH($Q132,'Device Refrigerant Leakage'!$B$2:$B$42,0))*CX132/2204.62*CW132,"")</f>
        <v/>
      </c>
      <c r="DB132" s="145" t="str">
        <f>IF($I132&lt;&gt;"",J132*(INDEX('Device Refrigerant Leakage'!$D$2:$D$42,MATCH($Q132,'Device Refrigerant Leakage'!$B$2:$B$42,0))-(INDEX('Device Refrigerant Leakage'!$D$2:$D$42,MATCH($Q132,'Device Refrigerant Leakage'!$B$2:$B$42,0)))*CZ132*CX132)*CY132/2204.62*CW132,"")</f>
        <v/>
      </c>
      <c r="DC132" s="135" t="str">
        <f t="shared" si="163"/>
        <v/>
      </c>
      <c r="DE132" s="146" t="str">
        <f>IF(W132&lt;&gt;"AR","",IF(Y132="User Specified", AA132, INDEX('Refrigerant GWPs'!$G$2:$G$154,MATCH(Y132,'Refrigerant GWPs'!$A$2:$A$154,0))))</f>
        <v/>
      </c>
      <c r="DF132" s="146" t="str">
        <f>IF(W132&lt;&gt;"AR","",INDEX('Device Refrigerant Leakage'!$E$2:$E$42,MATCH(X132,'Device Refrigerant Leakage'!$B$2:$B$42,0)))</f>
        <v/>
      </c>
      <c r="DG132" s="146" t="str">
        <f>IF(W132&lt;&gt;"AR","",INDEX('Device Refrigerant Leakage'!$F$2:$F$42,MATCH(X132,'Device Refrigerant Leakage'!$B$2:$B$42,0)))</f>
        <v/>
      </c>
      <c r="DH132" s="146" t="str">
        <f>IF(W132&lt;&gt;"AR","",INDEX('Device Refrigerant Leakage'!$G$2:$G$42,MATCH(X132,'Device Refrigerant Leakage'!$B$2:$B$42,0)))</f>
        <v/>
      </c>
      <c r="DI132" s="146" t="str">
        <f>IF(W132&lt;&gt;"AR","",J132*INDEX('Device Refrigerant Leakage'!$D$2:$D$42,MATCH(X132,'Device Refrigerant Leakage'!$B$2:$B$42,0))*DF132/2204.62*DE132)</f>
        <v/>
      </c>
      <c r="DJ132" s="146" t="str">
        <f>IF(W132&lt;&gt;"AR","",J132*(INDEX('Device Refrigerant Leakage'!$D$2:$D$42,MATCH(X132,'Device Refrigerant Leakage'!$B$2:$B$42,0))-(INDEX('Device Refrigerant Leakage'!$D$2:$D$42,MATCH(X132,'Device Refrigerant Leakage'!$B$2:$B$42,0)))*DH132*DF132)*DG132/2204.62*DE132)</f>
        <v/>
      </c>
      <c r="DK132" s="146" t="str">
        <f>IF(W132&lt;&gt;"AR","",DI132*(K132-AB132)+'Fuel Sub Calcs-Deemed'!DJ132*((K132-AB132)/INDEX('Device Refrigerant Leakage'!$C$2:$C$42,MATCH('Fuel Sub Calcs-Deemed'!X132,'Device Refrigerant Leakage'!$B$2:$B$42,0))))</f>
        <v/>
      </c>
      <c r="DM132" s="56">
        <v>118</v>
      </c>
      <c r="DN132" s="67" t="e">
        <f t="shared" si="143"/>
        <v>#N/A</v>
      </c>
      <c r="DO132" s="45" t="e">
        <f t="shared" si="144"/>
        <v>#N/A</v>
      </c>
      <c r="DP132" s="67" t="e">
        <f t="shared" si="145"/>
        <v>#N/A</v>
      </c>
      <c r="DQ132" s="45" t="e">
        <f t="shared" si="146"/>
        <v>#N/A</v>
      </c>
      <c r="DR132" s="69" t="e">
        <f t="shared" si="147"/>
        <v>#N/A</v>
      </c>
      <c r="DS132" s="34"/>
      <c r="DT132" s="67" t="e">
        <f>((BX132*CJ132)+IF($W132=MAT_AR,(BZ132*CL132),0))*(1+Reference!$E$50+Reference!$E$51)</f>
        <v>#N/A</v>
      </c>
      <c r="DU132" s="67">
        <f>((BY132*CK132)+IF($W132=MAT_AR,(CA132*CM132),0))*(1+Reference!$G$50+Reference!$G$51)</f>
        <v>0</v>
      </c>
      <c r="DV132" s="67" t="e">
        <f t="shared" si="148"/>
        <v>#VALUE!</v>
      </c>
      <c r="DX132" s="56">
        <v>118</v>
      </c>
      <c r="DY132" s="67">
        <f t="shared" si="149"/>
        <v>0</v>
      </c>
      <c r="DZ132" s="45" t="e">
        <f>VLOOKUP($R132,Dropdown!$C$3:$D$4,2,FALSE)</f>
        <v>#N/A</v>
      </c>
      <c r="EA132" s="68">
        <f t="shared" si="150"/>
        <v>0</v>
      </c>
      <c r="EB132" s="68" t="str">
        <f t="shared" si="151"/>
        <v>N/A</v>
      </c>
      <c r="EC132" s="68">
        <f t="shared" si="152"/>
        <v>0</v>
      </c>
      <c r="ED132" s="68" t="str">
        <f t="shared" si="199"/>
        <v>N/A</v>
      </c>
      <c r="EF132" s="56">
        <v>118</v>
      </c>
      <c r="EG132" s="46">
        <f t="shared" si="154"/>
        <v>0</v>
      </c>
      <c r="EH132" s="68" t="e">
        <f t="shared" si="155"/>
        <v>#N/A</v>
      </c>
      <c r="EI132" s="68" t="e">
        <f t="shared" si="156"/>
        <v>#N/A</v>
      </c>
      <c r="EJ132" s="68" t="e">
        <f t="shared" si="157"/>
        <v>#N/A</v>
      </c>
      <c r="EK132" s="68" t="e">
        <f t="shared" si="158"/>
        <v>#N/A</v>
      </c>
      <c r="EL132" s="46">
        <f t="shared" si="159"/>
        <v>0</v>
      </c>
      <c r="EM132" s="46">
        <f t="shared" si="160"/>
        <v>0</v>
      </c>
    </row>
    <row r="133" spans="1:143">
      <c r="A133" s="89"/>
      <c r="B133" s="89"/>
      <c r="C133" s="89"/>
      <c r="D133" s="89"/>
      <c r="E133" s="89"/>
      <c r="F133" s="89"/>
      <c r="G133" s="34"/>
      <c r="H133" s="56">
        <f t="shared" si="161"/>
        <v>119</v>
      </c>
      <c r="I133" s="165"/>
      <c r="J133" s="163"/>
      <c r="K133" s="163"/>
      <c r="L133" s="164"/>
      <c r="M133" s="155"/>
      <c r="N133" s="155"/>
      <c r="O133" s="144"/>
      <c r="P133" s="159" t="str">
        <f>IFERROR(IF(O133&lt;&gt;"User Specified",IF(O133&lt;&gt;"", INDEX('Refrigerant GWPs'!$G$2:$G$154,MATCH(O133,'Refrigerant GWPs'!$A$2:$A$154,0)),""),U133),0)</f>
        <v/>
      </c>
      <c r="Q133" s="155"/>
      <c r="R133" s="155"/>
      <c r="S133" s="144"/>
      <c r="T133" s="159" t="str">
        <f>IF(S133&lt;&gt;"User Specified",IF(AND(S133&lt;&gt;"User Specified",S133&lt;&gt;""), INDEX('Refrigerant GWPs'!$G$2:$G$154,MATCH(S133,'Refrigerant GWPs'!$A$2:$A$154,0)),""),V133)</f>
        <v/>
      </c>
      <c r="U133" s="144"/>
      <c r="V133" s="144"/>
      <c r="W133" s="155"/>
      <c r="X133" s="155"/>
      <c r="Y133" s="144"/>
      <c r="Z133" s="159" t="str">
        <f>IF(AND(Y133&lt;&gt;"User Specified",Y133&lt;&gt;""), INDEX('Refrigerant GWPs'!$G$2:$G$154,MATCH(Y133,'Refrigerant GWPs'!$A$2:$A$154,0)),"")</f>
        <v/>
      </c>
      <c r="AA133" s="155"/>
      <c r="AB133" s="156"/>
      <c r="AC133" s="66"/>
      <c r="AD133" s="66"/>
      <c r="AE133" s="66"/>
      <c r="AF133" s="66"/>
      <c r="AG133" s="66"/>
      <c r="AH133" s="66"/>
      <c r="AI133" s="34"/>
      <c r="AJ133" s="88">
        <f t="shared" si="119"/>
        <v>0</v>
      </c>
      <c r="AK133" s="88">
        <f t="shared" si="120"/>
        <v>0</v>
      </c>
      <c r="AL133" s="88">
        <v>0</v>
      </c>
      <c r="AM133" s="88">
        <v>0</v>
      </c>
      <c r="AN133" s="81" t="str">
        <f t="shared" si="162"/>
        <v/>
      </c>
      <c r="AO133" s="88">
        <f t="shared" si="121"/>
        <v>0</v>
      </c>
      <c r="AP133" s="88">
        <f t="shared" si="122"/>
        <v>0</v>
      </c>
      <c r="AQ133" s="81" t="str">
        <f t="shared" si="123"/>
        <v/>
      </c>
      <c r="AS133" s="41" t="b">
        <f t="shared" si="124"/>
        <v>1</v>
      </c>
      <c r="AT133" s="38">
        <f t="shared" si="125"/>
        <v>0</v>
      </c>
      <c r="AU133" s="60">
        <f t="shared" si="126"/>
        <v>0</v>
      </c>
      <c r="AV133" s="41">
        <f t="shared" si="127"/>
        <v>0</v>
      </c>
      <c r="AW133" s="41" t="b">
        <f t="shared" si="128"/>
        <v>0</v>
      </c>
      <c r="AX133" t="str">
        <f t="shared" si="129"/>
        <v>+00</v>
      </c>
      <c r="AY133" t="str">
        <f t="shared" si="130"/>
        <v>+00</v>
      </c>
      <c r="BA133" s="47" t="b">
        <f t="shared" si="164"/>
        <v>1</v>
      </c>
      <c r="BB133" s="42" t="b">
        <f t="shared" si="165"/>
        <v>1</v>
      </c>
      <c r="BC133" s="42" t="b">
        <f t="shared" si="166"/>
        <v>0</v>
      </c>
      <c r="BD133" s="42" t="b">
        <f t="shared" si="167"/>
        <v>0</v>
      </c>
      <c r="BE133" s="70">
        <f t="shared" si="168"/>
        <v>0</v>
      </c>
      <c r="BF133" s="70">
        <f t="shared" si="169"/>
        <v>0</v>
      </c>
      <c r="BG133" s="34"/>
      <c r="BI133" s="47" t="b">
        <f t="shared" si="170"/>
        <v>1</v>
      </c>
      <c r="BJ133" s="47" t="b">
        <f t="shared" si="171"/>
        <v>1</v>
      </c>
      <c r="BK133" s="42" t="b">
        <f t="shared" si="172"/>
        <v>0</v>
      </c>
      <c r="BL133" s="42" t="b">
        <f t="shared" si="173"/>
        <v>0</v>
      </c>
      <c r="BM133" s="42">
        <f t="shared" si="174"/>
        <v>0</v>
      </c>
      <c r="BN133" s="42">
        <f t="shared" si="175"/>
        <v>0</v>
      </c>
      <c r="BP133" t="e">
        <f t="shared" si="176"/>
        <v>#N/A</v>
      </c>
      <c r="BQ133" t="e">
        <f t="shared" si="177"/>
        <v>#N/A</v>
      </c>
      <c r="BR133" t="e">
        <f t="shared" si="178"/>
        <v>#N/A</v>
      </c>
      <c r="BT133" s="60">
        <f t="shared" si="187"/>
        <v>0</v>
      </c>
      <c r="BU133" s="60">
        <f t="shared" si="188"/>
        <v>0</v>
      </c>
      <c r="BV133" s="60">
        <f t="shared" si="189"/>
        <v>0</v>
      </c>
      <c r="BW133" s="60">
        <f t="shared" si="190"/>
        <v>0</v>
      </c>
      <c r="BX133" s="60">
        <f t="shared" si="179"/>
        <v>0</v>
      </c>
      <c r="BY133" s="60">
        <f t="shared" si="180"/>
        <v>0</v>
      </c>
      <c r="BZ133" s="60">
        <f t="shared" si="181"/>
        <v>0</v>
      </c>
      <c r="CA133" s="60">
        <f t="shared" si="182"/>
        <v>0</v>
      </c>
      <c r="CB133" s="60" t="e">
        <f t="shared" si="191"/>
        <v>#N/A</v>
      </c>
      <c r="CC133" s="60">
        <f t="shared" si="192"/>
        <v>100000</v>
      </c>
      <c r="CD133" s="60" t="e">
        <f t="shared" si="193"/>
        <v>#N/A</v>
      </c>
      <c r="CE133" s="60">
        <f t="shared" si="194"/>
        <v>100000</v>
      </c>
      <c r="CF133" s="83" t="e">
        <f t="shared" si="183"/>
        <v>#N/A</v>
      </c>
      <c r="CG133" s="83">
        <f t="shared" si="184"/>
        <v>0</v>
      </c>
      <c r="CH133" s="83" t="e">
        <f t="shared" si="185"/>
        <v>#N/A</v>
      </c>
      <c r="CI133" s="83">
        <f t="shared" si="186"/>
        <v>0</v>
      </c>
      <c r="CJ133" s="86" t="e">
        <f t="shared" si="195"/>
        <v>#N/A</v>
      </c>
      <c r="CK133" s="82">
        <f t="shared" si="196"/>
        <v>5.3070370403969858E-3</v>
      </c>
      <c r="CL133" s="82" t="e">
        <f t="shared" si="197"/>
        <v>#N/A</v>
      </c>
      <c r="CM133" s="82">
        <f t="shared" si="198"/>
        <v>5.3070370403969858E-3</v>
      </c>
      <c r="CO133" s="149" t="str">
        <f>IF($I133&lt;&gt;"",IF(O133="User Specified",U133,INDEX('Refrigerant GWPs'!$G$2:$G$156,MATCH(O133,'Refrigerant GWPs'!$A$2:$A$156,0))),"")</f>
        <v/>
      </c>
      <c r="CP133" s="138" t="str">
        <f>IF($I133&lt;&gt;"",INDEX('Device Refrigerant Leakage'!$E$2:$E$42,MATCH($M133,'Device Refrigerant Leakage'!$B$2:$B$42,0)),"")</f>
        <v/>
      </c>
      <c r="CQ133" s="138" t="str">
        <f>IF($I133&lt;&gt;"",INDEX('Device Refrigerant Leakage'!$F$2:$F$42,MATCH($M133,'Device Refrigerant Leakage'!$B$2:$B$42,0)),"")</f>
        <v/>
      </c>
      <c r="CR133" s="145" t="str">
        <f>IF($I133&lt;&gt;"",INDEX('Device Refrigerant Leakage'!$G$2:$G$42,MATCH($M133,'Device Refrigerant Leakage'!$B$2:$B$42,0)),"")</f>
        <v/>
      </c>
      <c r="CS133" s="145" t="str">
        <f>IF($I133&lt;&gt;"",INDEX('Device Refrigerant Leakage'!$D$2:$D$42,MATCH($M133,'Device Refrigerant Leakage'!$B$2:$B$42,0))*CP133/2204.62*CO133,"")</f>
        <v/>
      </c>
      <c r="CT133" s="145" t="str">
        <f>IF($I133&lt;&gt;"",J133*(INDEX('Device Refrigerant Leakage'!$D$2:$D$42,MATCH($M133,'Device Refrigerant Leakage'!$B$2:$B$42,0))-(INDEX('Device Refrigerant Leakage'!$D$2:$D$42,MATCH($M133,'Device Refrigerant Leakage'!$B$2:$B$42,0)))*CR133*CP133)*CQ133/2204.62*CO133,"")</f>
        <v/>
      </c>
      <c r="CU133" s="135" t="str">
        <f>IF($I133&lt;&gt;"",J133*IF(W133&lt;&gt;"AR",(CS133*K133)+CT133,(CS133*AB133)+CT133*(AB133/INDEX('Device Refrigerant Leakage'!$C$2:$C$42,MATCH($M133,'Device Refrigerant Leakage'!$B$2:$B$42,0)))),"")</f>
        <v/>
      </c>
      <c r="CW133" s="135" t="str">
        <f>IF($I133&lt;&gt;"",IF(S133="User Specified",V133,INDEX('Refrigerant GWPs'!$G$2:$G$156,MATCH(S133,'Refrigerant GWPs'!$A$2:$A$157,0))),"")</f>
        <v/>
      </c>
      <c r="CX133" s="138" t="str">
        <f>IF($I133&lt;&gt;"",INDEX('Device Refrigerant Leakage'!$E$2:$E$42,MATCH($Q133,'Device Refrigerant Leakage'!$B$2:$B$42,0)),"")</f>
        <v/>
      </c>
      <c r="CY133" s="138" t="str">
        <f>IF($I133&lt;&gt;"",INDEX('Device Refrigerant Leakage'!$F$2:$F$42,MATCH($Q133,'Device Refrigerant Leakage'!$B$2:$B$42,0)),"")</f>
        <v/>
      </c>
      <c r="CZ133" s="145" t="str">
        <f>IF($I133&lt;&gt;"",INDEX('Device Refrigerant Leakage'!$G$2:$G$42,MATCH($Q133,'Device Refrigerant Leakage'!$B$2:$B$42,0)),"")</f>
        <v/>
      </c>
      <c r="DA133" s="145" t="str">
        <f>IF($I133&lt;&gt;"",J133*INDEX('Device Refrigerant Leakage'!$D$2:$D$42,MATCH($Q133,'Device Refrigerant Leakage'!$B$2:$B$42,0))*CX133/2204.62*CW133,"")</f>
        <v/>
      </c>
      <c r="DB133" s="145" t="str">
        <f>IF($I133&lt;&gt;"",J133*(INDEX('Device Refrigerant Leakage'!$D$2:$D$42,MATCH($Q133,'Device Refrigerant Leakage'!$B$2:$B$42,0))-(INDEX('Device Refrigerant Leakage'!$D$2:$D$42,MATCH($Q133,'Device Refrigerant Leakage'!$B$2:$B$42,0)))*CZ133*CX133)*CY133/2204.62*CW133,"")</f>
        <v/>
      </c>
      <c r="DC133" s="135" t="str">
        <f t="shared" si="163"/>
        <v/>
      </c>
      <c r="DE133" s="146" t="str">
        <f>IF(W133&lt;&gt;"AR","",IF(Y133="User Specified", AA133, INDEX('Refrigerant GWPs'!$G$2:$G$154,MATCH(Y133,'Refrigerant GWPs'!$A$2:$A$154,0))))</f>
        <v/>
      </c>
      <c r="DF133" s="146" t="str">
        <f>IF(W133&lt;&gt;"AR","",INDEX('Device Refrigerant Leakage'!$E$2:$E$42,MATCH(X133,'Device Refrigerant Leakage'!$B$2:$B$42,0)))</f>
        <v/>
      </c>
      <c r="DG133" s="146" t="str">
        <f>IF(W133&lt;&gt;"AR","",INDEX('Device Refrigerant Leakage'!$F$2:$F$42,MATCH(X133,'Device Refrigerant Leakage'!$B$2:$B$42,0)))</f>
        <v/>
      </c>
      <c r="DH133" s="146" t="str">
        <f>IF(W133&lt;&gt;"AR","",INDEX('Device Refrigerant Leakage'!$G$2:$G$42,MATCH(X133,'Device Refrigerant Leakage'!$B$2:$B$42,0)))</f>
        <v/>
      </c>
      <c r="DI133" s="146" t="str">
        <f>IF(W133&lt;&gt;"AR","",J133*INDEX('Device Refrigerant Leakage'!$D$2:$D$42,MATCH(X133,'Device Refrigerant Leakage'!$B$2:$B$42,0))*DF133/2204.62*DE133)</f>
        <v/>
      </c>
      <c r="DJ133" s="146" t="str">
        <f>IF(W133&lt;&gt;"AR","",J133*(INDEX('Device Refrigerant Leakage'!$D$2:$D$42,MATCH(X133,'Device Refrigerant Leakage'!$B$2:$B$42,0))-(INDEX('Device Refrigerant Leakage'!$D$2:$D$42,MATCH(X133,'Device Refrigerant Leakage'!$B$2:$B$42,0)))*DH133*DF133)*DG133/2204.62*DE133)</f>
        <v/>
      </c>
      <c r="DK133" s="146" t="str">
        <f>IF(W133&lt;&gt;"AR","",DI133*(K133-AB133)+'Fuel Sub Calcs-Deemed'!DJ133*((K133-AB133)/INDEX('Device Refrigerant Leakage'!$C$2:$C$42,MATCH('Fuel Sub Calcs-Deemed'!X133,'Device Refrigerant Leakage'!$B$2:$B$42,0))))</f>
        <v/>
      </c>
      <c r="DM133" s="56">
        <v>119</v>
      </c>
      <c r="DN133" s="67" t="e">
        <f t="shared" si="143"/>
        <v>#N/A</v>
      </c>
      <c r="DO133" s="45" t="e">
        <f t="shared" si="144"/>
        <v>#N/A</v>
      </c>
      <c r="DP133" s="67" t="e">
        <f t="shared" si="145"/>
        <v>#N/A</v>
      </c>
      <c r="DQ133" s="45" t="e">
        <f t="shared" si="146"/>
        <v>#N/A</v>
      </c>
      <c r="DR133" s="69" t="e">
        <f t="shared" si="147"/>
        <v>#N/A</v>
      </c>
      <c r="DS133" s="34"/>
      <c r="DT133" s="67" t="e">
        <f>((BX133*CJ133)+IF($W133=MAT_AR,(BZ133*CL133),0))*(1+Reference!$E$50+Reference!$E$51)</f>
        <v>#N/A</v>
      </c>
      <c r="DU133" s="67">
        <f>((BY133*CK133)+IF($W133=MAT_AR,(CA133*CM133),0))*(1+Reference!$G$50+Reference!$G$51)</f>
        <v>0</v>
      </c>
      <c r="DV133" s="67" t="e">
        <f t="shared" si="148"/>
        <v>#VALUE!</v>
      </c>
      <c r="DX133" s="56">
        <v>119</v>
      </c>
      <c r="DY133" s="67">
        <f t="shared" si="149"/>
        <v>0</v>
      </c>
      <c r="DZ133" s="45" t="e">
        <f>VLOOKUP($R133,Dropdown!$C$3:$D$4,2,FALSE)</f>
        <v>#N/A</v>
      </c>
      <c r="EA133" s="68">
        <f t="shared" si="150"/>
        <v>0</v>
      </c>
      <c r="EB133" s="68" t="str">
        <f t="shared" si="151"/>
        <v>N/A</v>
      </c>
      <c r="EC133" s="68">
        <f t="shared" si="152"/>
        <v>0</v>
      </c>
      <c r="ED133" s="68" t="str">
        <f t="shared" si="199"/>
        <v>N/A</v>
      </c>
      <c r="EF133" s="56">
        <v>119</v>
      </c>
      <c r="EG133" s="46">
        <f t="shared" si="154"/>
        <v>0</v>
      </c>
      <c r="EH133" s="68" t="e">
        <f t="shared" si="155"/>
        <v>#N/A</v>
      </c>
      <c r="EI133" s="68" t="e">
        <f t="shared" si="156"/>
        <v>#N/A</v>
      </c>
      <c r="EJ133" s="68" t="e">
        <f t="shared" si="157"/>
        <v>#N/A</v>
      </c>
      <c r="EK133" s="68" t="e">
        <f t="shared" si="158"/>
        <v>#N/A</v>
      </c>
      <c r="EL133" s="46">
        <f t="shared" si="159"/>
        <v>0</v>
      </c>
      <c r="EM133" s="46">
        <f t="shared" si="160"/>
        <v>0</v>
      </c>
    </row>
    <row r="134" spans="1:143">
      <c r="A134" s="89"/>
      <c r="B134" s="89"/>
      <c r="C134" s="89"/>
      <c r="D134" s="89"/>
      <c r="E134" s="89"/>
      <c r="F134" s="89"/>
      <c r="G134" s="34"/>
      <c r="H134" s="56">
        <f t="shared" si="161"/>
        <v>120</v>
      </c>
      <c r="I134" s="165"/>
      <c r="J134" s="163"/>
      <c r="K134" s="163"/>
      <c r="L134" s="164"/>
      <c r="M134" s="155"/>
      <c r="N134" s="155"/>
      <c r="O134" s="144"/>
      <c r="P134" s="159" t="str">
        <f>IFERROR(IF(O134&lt;&gt;"User Specified",IF(O134&lt;&gt;"", INDEX('Refrigerant GWPs'!$G$2:$G$154,MATCH(O134,'Refrigerant GWPs'!$A$2:$A$154,0)),""),U134),0)</f>
        <v/>
      </c>
      <c r="Q134" s="155"/>
      <c r="R134" s="155"/>
      <c r="S134" s="144"/>
      <c r="T134" s="159" t="str">
        <f>IF(S134&lt;&gt;"User Specified",IF(AND(S134&lt;&gt;"User Specified",S134&lt;&gt;""), INDEX('Refrigerant GWPs'!$G$2:$G$154,MATCH(S134,'Refrigerant GWPs'!$A$2:$A$154,0)),""),V134)</f>
        <v/>
      </c>
      <c r="U134" s="144"/>
      <c r="V134" s="144"/>
      <c r="W134" s="155"/>
      <c r="X134" s="155"/>
      <c r="Y134" s="144"/>
      <c r="Z134" s="159" t="str">
        <f>IF(AND(Y134&lt;&gt;"User Specified",Y134&lt;&gt;""), INDEX('Refrigerant GWPs'!$G$2:$G$154,MATCH(Y134,'Refrigerant GWPs'!$A$2:$A$154,0)),"")</f>
        <v/>
      </c>
      <c r="AA134" s="155"/>
      <c r="AB134" s="156"/>
      <c r="AC134" s="66"/>
      <c r="AD134" s="66"/>
      <c r="AE134" s="66"/>
      <c r="AF134" s="66"/>
      <c r="AG134" s="66"/>
      <c r="AH134" s="66"/>
      <c r="AI134" s="34"/>
      <c r="AJ134" s="88">
        <f t="shared" si="119"/>
        <v>0</v>
      </c>
      <c r="AK134" s="88">
        <f t="shared" si="120"/>
        <v>0</v>
      </c>
      <c r="AL134" s="88">
        <v>0</v>
      </c>
      <c r="AM134" s="88">
        <v>0</v>
      </c>
      <c r="AN134" s="81" t="str">
        <f t="shared" si="162"/>
        <v/>
      </c>
      <c r="AO134" s="88">
        <f t="shared" si="121"/>
        <v>0</v>
      </c>
      <c r="AP134" s="88">
        <f t="shared" si="122"/>
        <v>0</v>
      </c>
      <c r="AQ134" s="81" t="str">
        <f t="shared" si="123"/>
        <v/>
      </c>
      <c r="AS134" s="41" t="b">
        <f t="shared" si="124"/>
        <v>1</v>
      </c>
      <c r="AT134" s="38">
        <f t="shared" si="125"/>
        <v>0</v>
      </c>
      <c r="AU134" s="60">
        <f t="shared" si="126"/>
        <v>0</v>
      </c>
      <c r="AV134" s="41">
        <f t="shared" si="127"/>
        <v>0</v>
      </c>
      <c r="AW134" s="41" t="b">
        <f t="shared" si="128"/>
        <v>0</v>
      </c>
      <c r="AX134" t="str">
        <f t="shared" si="129"/>
        <v>+00</v>
      </c>
      <c r="AY134" t="str">
        <f t="shared" si="130"/>
        <v>+00</v>
      </c>
      <c r="BA134" s="47" t="b">
        <f t="shared" si="164"/>
        <v>1</v>
      </c>
      <c r="BB134" s="42" t="b">
        <f t="shared" si="165"/>
        <v>1</v>
      </c>
      <c r="BC134" s="42" t="b">
        <f t="shared" si="166"/>
        <v>0</v>
      </c>
      <c r="BD134" s="42" t="b">
        <f t="shared" si="167"/>
        <v>0</v>
      </c>
      <c r="BE134" s="70">
        <f t="shared" si="168"/>
        <v>0</v>
      </c>
      <c r="BF134" s="70">
        <f t="shared" si="169"/>
        <v>0</v>
      </c>
      <c r="BG134" s="34"/>
      <c r="BI134" s="47" t="b">
        <f t="shared" si="170"/>
        <v>1</v>
      </c>
      <c r="BJ134" s="47" t="b">
        <f t="shared" si="171"/>
        <v>1</v>
      </c>
      <c r="BK134" s="42" t="b">
        <f t="shared" si="172"/>
        <v>0</v>
      </c>
      <c r="BL134" s="42" t="b">
        <f t="shared" si="173"/>
        <v>0</v>
      </c>
      <c r="BM134" s="42">
        <f t="shared" si="174"/>
        <v>0</v>
      </c>
      <c r="BN134" s="42">
        <f t="shared" si="175"/>
        <v>0</v>
      </c>
      <c r="BP134" t="e">
        <f t="shared" si="176"/>
        <v>#N/A</v>
      </c>
      <c r="BQ134" t="e">
        <f t="shared" si="177"/>
        <v>#N/A</v>
      </c>
      <c r="BR134" t="e">
        <f t="shared" si="178"/>
        <v>#N/A</v>
      </c>
      <c r="BT134" s="60">
        <f t="shared" si="187"/>
        <v>0</v>
      </c>
      <c r="BU134" s="60">
        <f t="shared" si="188"/>
        <v>0</v>
      </c>
      <c r="BV134" s="60">
        <f t="shared" si="189"/>
        <v>0</v>
      </c>
      <c r="BW134" s="60">
        <f t="shared" si="190"/>
        <v>0</v>
      </c>
      <c r="BX134" s="60">
        <f t="shared" si="179"/>
        <v>0</v>
      </c>
      <c r="BY134" s="60">
        <f t="shared" si="180"/>
        <v>0</v>
      </c>
      <c r="BZ134" s="60">
        <f t="shared" si="181"/>
        <v>0</v>
      </c>
      <c r="CA134" s="60">
        <f t="shared" si="182"/>
        <v>0</v>
      </c>
      <c r="CB134" s="60" t="e">
        <f t="shared" si="191"/>
        <v>#N/A</v>
      </c>
      <c r="CC134" s="60">
        <f t="shared" si="192"/>
        <v>100000</v>
      </c>
      <c r="CD134" s="60" t="e">
        <f t="shared" si="193"/>
        <v>#N/A</v>
      </c>
      <c r="CE134" s="60">
        <f t="shared" si="194"/>
        <v>100000</v>
      </c>
      <c r="CF134" s="83" t="e">
        <f t="shared" si="183"/>
        <v>#N/A</v>
      </c>
      <c r="CG134" s="83">
        <f t="shared" si="184"/>
        <v>0</v>
      </c>
      <c r="CH134" s="83" t="e">
        <f t="shared" si="185"/>
        <v>#N/A</v>
      </c>
      <c r="CI134" s="83">
        <f t="shared" si="186"/>
        <v>0</v>
      </c>
      <c r="CJ134" s="86" t="e">
        <f t="shared" si="195"/>
        <v>#N/A</v>
      </c>
      <c r="CK134" s="82">
        <f t="shared" si="196"/>
        <v>5.3070370403969858E-3</v>
      </c>
      <c r="CL134" s="82" t="e">
        <f t="shared" si="197"/>
        <v>#N/A</v>
      </c>
      <c r="CM134" s="82">
        <f t="shared" si="198"/>
        <v>5.3070370403969858E-3</v>
      </c>
      <c r="CO134" s="149" t="str">
        <f>IF($I134&lt;&gt;"",IF(O134="User Specified",U134,INDEX('Refrigerant GWPs'!$G$2:$G$156,MATCH(O134,'Refrigerant GWPs'!$A$2:$A$156,0))),"")</f>
        <v/>
      </c>
      <c r="CP134" s="138" t="str">
        <f>IF($I134&lt;&gt;"",INDEX('Device Refrigerant Leakage'!$E$2:$E$42,MATCH($M134,'Device Refrigerant Leakage'!$B$2:$B$42,0)),"")</f>
        <v/>
      </c>
      <c r="CQ134" s="138" t="str">
        <f>IF($I134&lt;&gt;"",INDEX('Device Refrigerant Leakage'!$F$2:$F$42,MATCH($M134,'Device Refrigerant Leakage'!$B$2:$B$42,0)),"")</f>
        <v/>
      </c>
      <c r="CR134" s="145" t="str">
        <f>IF($I134&lt;&gt;"",INDEX('Device Refrigerant Leakage'!$G$2:$G$42,MATCH($M134,'Device Refrigerant Leakage'!$B$2:$B$42,0)),"")</f>
        <v/>
      </c>
      <c r="CS134" s="145" t="str">
        <f>IF($I134&lt;&gt;"",INDEX('Device Refrigerant Leakage'!$D$2:$D$42,MATCH($M134,'Device Refrigerant Leakage'!$B$2:$B$42,0))*CP134/2204.62*CO134,"")</f>
        <v/>
      </c>
      <c r="CT134" s="145" t="str">
        <f>IF($I134&lt;&gt;"",J134*(INDEX('Device Refrigerant Leakage'!$D$2:$D$42,MATCH($M134,'Device Refrigerant Leakage'!$B$2:$B$42,0))-(INDEX('Device Refrigerant Leakage'!$D$2:$D$42,MATCH($M134,'Device Refrigerant Leakage'!$B$2:$B$42,0)))*CR134*CP134)*CQ134/2204.62*CO134,"")</f>
        <v/>
      </c>
      <c r="CU134" s="135" t="str">
        <f>IF($I134&lt;&gt;"",J134*IF(W134&lt;&gt;"AR",(CS134*K134)+CT134,(CS134*AB134)+CT134*(AB134/INDEX('Device Refrigerant Leakage'!$C$2:$C$42,MATCH($M134,'Device Refrigerant Leakage'!$B$2:$B$42,0)))),"")</f>
        <v/>
      </c>
      <c r="CW134" s="135" t="str">
        <f>IF($I134&lt;&gt;"",IF(S134="User Specified",V134,INDEX('Refrigerant GWPs'!$G$2:$G$156,MATCH(S134,'Refrigerant GWPs'!$A$2:$A$157,0))),"")</f>
        <v/>
      </c>
      <c r="CX134" s="138" t="str">
        <f>IF($I134&lt;&gt;"",INDEX('Device Refrigerant Leakage'!$E$2:$E$42,MATCH($Q134,'Device Refrigerant Leakage'!$B$2:$B$42,0)),"")</f>
        <v/>
      </c>
      <c r="CY134" s="138" t="str">
        <f>IF($I134&lt;&gt;"",INDEX('Device Refrigerant Leakage'!$F$2:$F$42,MATCH($Q134,'Device Refrigerant Leakage'!$B$2:$B$42,0)),"")</f>
        <v/>
      </c>
      <c r="CZ134" s="145" t="str">
        <f>IF($I134&lt;&gt;"",INDEX('Device Refrigerant Leakage'!$G$2:$G$42,MATCH($Q134,'Device Refrigerant Leakage'!$B$2:$B$42,0)),"")</f>
        <v/>
      </c>
      <c r="DA134" s="145" t="str">
        <f>IF($I134&lt;&gt;"",J134*INDEX('Device Refrigerant Leakage'!$D$2:$D$42,MATCH($Q134,'Device Refrigerant Leakage'!$B$2:$B$42,0))*CX134/2204.62*CW134,"")</f>
        <v/>
      </c>
      <c r="DB134" s="145" t="str">
        <f>IF($I134&lt;&gt;"",J134*(INDEX('Device Refrigerant Leakage'!$D$2:$D$42,MATCH($Q134,'Device Refrigerant Leakage'!$B$2:$B$42,0))-(INDEX('Device Refrigerant Leakage'!$D$2:$D$42,MATCH($Q134,'Device Refrigerant Leakage'!$B$2:$B$42,0)))*CZ134*CX134)*CY134/2204.62*CW134,"")</f>
        <v/>
      </c>
      <c r="DC134" s="135" t="str">
        <f t="shared" si="163"/>
        <v/>
      </c>
      <c r="DE134" s="146" t="str">
        <f>IF(W134&lt;&gt;"AR","",IF(Y134="User Specified", AA134, INDEX('Refrigerant GWPs'!$G$2:$G$154,MATCH(Y134,'Refrigerant GWPs'!$A$2:$A$154,0))))</f>
        <v/>
      </c>
      <c r="DF134" s="146" t="str">
        <f>IF(W134&lt;&gt;"AR","",INDEX('Device Refrigerant Leakage'!$E$2:$E$42,MATCH(X134,'Device Refrigerant Leakage'!$B$2:$B$42,0)))</f>
        <v/>
      </c>
      <c r="DG134" s="146" t="str">
        <f>IF(W134&lt;&gt;"AR","",INDEX('Device Refrigerant Leakage'!$F$2:$F$42,MATCH(X134,'Device Refrigerant Leakage'!$B$2:$B$42,0)))</f>
        <v/>
      </c>
      <c r="DH134" s="146" t="str">
        <f>IF(W134&lt;&gt;"AR","",INDEX('Device Refrigerant Leakage'!$G$2:$G$42,MATCH(X134,'Device Refrigerant Leakage'!$B$2:$B$42,0)))</f>
        <v/>
      </c>
      <c r="DI134" s="146" t="str">
        <f>IF(W134&lt;&gt;"AR","",J134*INDEX('Device Refrigerant Leakage'!$D$2:$D$42,MATCH(X134,'Device Refrigerant Leakage'!$B$2:$B$42,0))*DF134/2204.62*DE134)</f>
        <v/>
      </c>
      <c r="DJ134" s="146" t="str">
        <f>IF(W134&lt;&gt;"AR","",J134*(INDEX('Device Refrigerant Leakage'!$D$2:$D$42,MATCH(X134,'Device Refrigerant Leakage'!$B$2:$B$42,0))-(INDEX('Device Refrigerant Leakage'!$D$2:$D$42,MATCH(X134,'Device Refrigerant Leakage'!$B$2:$B$42,0)))*DH134*DF134)*DG134/2204.62*DE134)</f>
        <v/>
      </c>
      <c r="DK134" s="146" t="str">
        <f>IF(W134&lt;&gt;"AR","",DI134*(K134-AB134)+'Fuel Sub Calcs-Deemed'!DJ134*((K134-AB134)/INDEX('Device Refrigerant Leakage'!$C$2:$C$42,MATCH('Fuel Sub Calcs-Deemed'!X134,'Device Refrigerant Leakage'!$B$2:$B$42,0))))</f>
        <v/>
      </c>
      <c r="DM134" s="56">
        <v>120</v>
      </c>
      <c r="DN134" s="67" t="e">
        <f t="shared" si="143"/>
        <v>#N/A</v>
      </c>
      <c r="DO134" s="45" t="e">
        <f t="shared" si="144"/>
        <v>#N/A</v>
      </c>
      <c r="DP134" s="67" t="e">
        <f t="shared" si="145"/>
        <v>#N/A</v>
      </c>
      <c r="DQ134" s="45" t="e">
        <f t="shared" si="146"/>
        <v>#N/A</v>
      </c>
      <c r="DR134" s="69" t="e">
        <f t="shared" si="147"/>
        <v>#N/A</v>
      </c>
      <c r="DS134" s="34"/>
      <c r="DT134" s="67" t="e">
        <f>((BX134*CJ134)+IF($W134=MAT_AR,(BZ134*CL134),0))*(1+Reference!$E$50+Reference!$E$51)</f>
        <v>#N/A</v>
      </c>
      <c r="DU134" s="67">
        <f>((BY134*CK134)+IF($W134=MAT_AR,(CA134*CM134),0))*(1+Reference!$G$50+Reference!$G$51)</f>
        <v>0</v>
      </c>
      <c r="DV134" s="67" t="e">
        <f t="shared" si="148"/>
        <v>#VALUE!</v>
      </c>
      <c r="DX134" s="56">
        <v>120</v>
      </c>
      <c r="DY134" s="67">
        <f t="shared" si="149"/>
        <v>0</v>
      </c>
      <c r="DZ134" s="45" t="e">
        <f>VLOOKUP($R134,Dropdown!$C$3:$D$4,2,FALSE)</f>
        <v>#N/A</v>
      </c>
      <c r="EA134" s="68">
        <f t="shared" si="150"/>
        <v>0</v>
      </c>
      <c r="EB134" s="68" t="str">
        <f t="shared" si="151"/>
        <v>N/A</v>
      </c>
      <c r="EC134" s="68">
        <f t="shared" si="152"/>
        <v>0</v>
      </c>
      <c r="ED134" s="68" t="str">
        <f t="shared" si="199"/>
        <v>N/A</v>
      </c>
      <c r="EF134" s="56">
        <v>120</v>
      </c>
      <c r="EG134" s="46">
        <f t="shared" si="154"/>
        <v>0</v>
      </c>
      <c r="EH134" s="68" t="e">
        <f t="shared" si="155"/>
        <v>#N/A</v>
      </c>
      <c r="EI134" s="68" t="e">
        <f t="shared" si="156"/>
        <v>#N/A</v>
      </c>
      <c r="EJ134" s="68" t="e">
        <f t="shared" si="157"/>
        <v>#N/A</v>
      </c>
      <c r="EK134" s="68" t="e">
        <f t="shared" si="158"/>
        <v>#N/A</v>
      </c>
      <c r="EL134" s="46">
        <f t="shared" si="159"/>
        <v>0</v>
      </c>
      <c r="EM134" s="46">
        <f t="shared" si="160"/>
        <v>0</v>
      </c>
    </row>
    <row r="135" spans="1:143">
      <c r="A135" s="89"/>
      <c r="B135" s="89"/>
      <c r="C135" s="89"/>
      <c r="D135" s="89"/>
      <c r="E135" s="89"/>
      <c r="F135" s="89"/>
      <c r="G135" s="34"/>
      <c r="H135" s="56">
        <f t="shared" si="161"/>
        <v>121</v>
      </c>
      <c r="I135" s="165"/>
      <c r="J135" s="163"/>
      <c r="K135" s="163"/>
      <c r="L135" s="164"/>
      <c r="M135" s="155"/>
      <c r="N135" s="155"/>
      <c r="O135" s="144"/>
      <c r="P135" s="159" t="str">
        <f>IFERROR(IF(O135&lt;&gt;"User Specified",IF(O135&lt;&gt;"", INDEX('Refrigerant GWPs'!$G$2:$G$154,MATCH(O135,'Refrigerant GWPs'!$A$2:$A$154,0)),""),U135),0)</f>
        <v/>
      </c>
      <c r="Q135" s="155"/>
      <c r="R135" s="155"/>
      <c r="S135" s="144"/>
      <c r="T135" s="159" t="str">
        <f>IF(S135&lt;&gt;"User Specified",IF(AND(S135&lt;&gt;"User Specified",S135&lt;&gt;""), INDEX('Refrigerant GWPs'!$G$2:$G$154,MATCH(S135,'Refrigerant GWPs'!$A$2:$A$154,0)),""),V135)</f>
        <v/>
      </c>
      <c r="U135" s="144"/>
      <c r="V135" s="144"/>
      <c r="W135" s="155"/>
      <c r="X135" s="155"/>
      <c r="Y135" s="144"/>
      <c r="Z135" s="159" t="str">
        <f>IF(AND(Y135&lt;&gt;"User Specified",Y135&lt;&gt;""), INDEX('Refrigerant GWPs'!$G$2:$G$154,MATCH(Y135,'Refrigerant GWPs'!$A$2:$A$154,0)),"")</f>
        <v/>
      </c>
      <c r="AA135" s="155"/>
      <c r="AB135" s="156"/>
      <c r="AC135" s="66"/>
      <c r="AD135" s="66"/>
      <c r="AE135" s="66"/>
      <c r="AF135" s="66"/>
      <c r="AG135" s="66"/>
      <c r="AH135" s="66"/>
      <c r="AI135" s="34"/>
      <c r="AJ135" s="88">
        <f t="shared" si="119"/>
        <v>0</v>
      </c>
      <c r="AK135" s="88">
        <f t="shared" si="120"/>
        <v>0</v>
      </c>
      <c r="AL135" s="88">
        <v>0</v>
      </c>
      <c r="AM135" s="88">
        <v>0</v>
      </c>
      <c r="AN135" s="81" t="str">
        <f t="shared" si="162"/>
        <v/>
      </c>
      <c r="AO135" s="88">
        <f t="shared" si="121"/>
        <v>0</v>
      </c>
      <c r="AP135" s="88">
        <f t="shared" si="122"/>
        <v>0</v>
      </c>
      <c r="AQ135" s="81" t="str">
        <f t="shared" si="123"/>
        <v/>
      </c>
      <c r="AS135" s="41" t="b">
        <f t="shared" si="124"/>
        <v>1</v>
      </c>
      <c r="AT135" s="38">
        <f t="shared" si="125"/>
        <v>0</v>
      </c>
      <c r="AU135" s="60">
        <f t="shared" si="126"/>
        <v>0</v>
      </c>
      <c r="AV135" s="41">
        <f t="shared" si="127"/>
        <v>0</v>
      </c>
      <c r="AW135" s="41" t="b">
        <f t="shared" si="128"/>
        <v>0</v>
      </c>
      <c r="AX135" t="str">
        <f t="shared" si="129"/>
        <v>+00</v>
      </c>
      <c r="AY135" t="str">
        <f t="shared" si="130"/>
        <v>+00</v>
      </c>
      <c r="BA135" s="47" t="b">
        <f t="shared" si="164"/>
        <v>1</v>
      </c>
      <c r="BB135" s="42" t="b">
        <f t="shared" si="165"/>
        <v>1</v>
      </c>
      <c r="BC135" s="42" t="b">
        <f t="shared" si="166"/>
        <v>0</v>
      </c>
      <c r="BD135" s="42" t="b">
        <f t="shared" si="167"/>
        <v>0</v>
      </c>
      <c r="BE135" s="70">
        <f t="shared" si="168"/>
        <v>0</v>
      </c>
      <c r="BF135" s="70">
        <f t="shared" si="169"/>
        <v>0</v>
      </c>
      <c r="BG135" s="34"/>
      <c r="BI135" s="47" t="b">
        <f t="shared" si="170"/>
        <v>1</v>
      </c>
      <c r="BJ135" s="47" t="b">
        <f t="shared" si="171"/>
        <v>1</v>
      </c>
      <c r="BK135" s="42" t="b">
        <f t="shared" si="172"/>
        <v>0</v>
      </c>
      <c r="BL135" s="42" t="b">
        <f t="shared" si="173"/>
        <v>0</v>
      </c>
      <c r="BM135" s="42">
        <f t="shared" si="174"/>
        <v>0</v>
      </c>
      <c r="BN135" s="42">
        <f t="shared" si="175"/>
        <v>0</v>
      </c>
      <c r="BP135" t="e">
        <f t="shared" si="176"/>
        <v>#N/A</v>
      </c>
      <c r="BQ135" t="e">
        <f t="shared" si="177"/>
        <v>#N/A</v>
      </c>
      <c r="BR135" t="e">
        <f t="shared" si="178"/>
        <v>#N/A</v>
      </c>
      <c r="BT135" s="60">
        <f t="shared" si="187"/>
        <v>0</v>
      </c>
      <c r="BU135" s="60">
        <f t="shared" si="188"/>
        <v>0</v>
      </c>
      <c r="BV135" s="60">
        <f t="shared" si="189"/>
        <v>0</v>
      </c>
      <c r="BW135" s="60">
        <f t="shared" si="190"/>
        <v>0</v>
      </c>
      <c r="BX135" s="60">
        <f t="shared" si="179"/>
        <v>0</v>
      </c>
      <c r="BY135" s="60">
        <f t="shared" si="180"/>
        <v>0</v>
      </c>
      <c r="BZ135" s="60">
        <f t="shared" si="181"/>
        <v>0</v>
      </c>
      <c r="CA135" s="60">
        <f t="shared" si="182"/>
        <v>0</v>
      </c>
      <c r="CB135" s="60" t="e">
        <f t="shared" si="191"/>
        <v>#N/A</v>
      </c>
      <c r="CC135" s="60">
        <f t="shared" si="192"/>
        <v>100000</v>
      </c>
      <c r="CD135" s="60" t="e">
        <f t="shared" si="193"/>
        <v>#N/A</v>
      </c>
      <c r="CE135" s="60">
        <f t="shared" si="194"/>
        <v>100000</v>
      </c>
      <c r="CF135" s="83" t="e">
        <f t="shared" si="183"/>
        <v>#N/A</v>
      </c>
      <c r="CG135" s="83">
        <f t="shared" si="184"/>
        <v>0</v>
      </c>
      <c r="CH135" s="83" t="e">
        <f t="shared" si="185"/>
        <v>#N/A</v>
      </c>
      <c r="CI135" s="83">
        <f t="shared" si="186"/>
        <v>0</v>
      </c>
      <c r="CJ135" s="86" t="e">
        <f t="shared" si="195"/>
        <v>#N/A</v>
      </c>
      <c r="CK135" s="82">
        <f t="shared" si="196"/>
        <v>5.3070370403969858E-3</v>
      </c>
      <c r="CL135" s="82" t="e">
        <f t="shared" si="197"/>
        <v>#N/A</v>
      </c>
      <c r="CM135" s="82">
        <f t="shared" si="198"/>
        <v>5.3070370403969858E-3</v>
      </c>
      <c r="CO135" s="149" t="str">
        <f>IF($I135&lt;&gt;"",IF(O135="User Specified",U135,INDEX('Refrigerant GWPs'!$G$2:$G$156,MATCH(O135,'Refrigerant GWPs'!$A$2:$A$156,0))),"")</f>
        <v/>
      </c>
      <c r="CP135" s="138" t="str">
        <f>IF($I135&lt;&gt;"",INDEX('Device Refrigerant Leakage'!$E$2:$E$42,MATCH($M135,'Device Refrigerant Leakage'!$B$2:$B$42,0)),"")</f>
        <v/>
      </c>
      <c r="CQ135" s="138" t="str">
        <f>IF($I135&lt;&gt;"",INDEX('Device Refrigerant Leakage'!$F$2:$F$42,MATCH($M135,'Device Refrigerant Leakage'!$B$2:$B$42,0)),"")</f>
        <v/>
      </c>
      <c r="CR135" s="145" t="str">
        <f>IF($I135&lt;&gt;"",INDEX('Device Refrigerant Leakage'!$G$2:$G$42,MATCH($M135,'Device Refrigerant Leakage'!$B$2:$B$42,0)),"")</f>
        <v/>
      </c>
      <c r="CS135" s="145" t="str">
        <f>IF($I135&lt;&gt;"",INDEX('Device Refrigerant Leakage'!$D$2:$D$42,MATCH($M135,'Device Refrigerant Leakage'!$B$2:$B$42,0))*CP135/2204.62*CO135,"")</f>
        <v/>
      </c>
      <c r="CT135" s="145" t="str">
        <f>IF($I135&lt;&gt;"",J135*(INDEX('Device Refrigerant Leakage'!$D$2:$D$42,MATCH($M135,'Device Refrigerant Leakage'!$B$2:$B$42,0))-(INDEX('Device Refrigerant Leakage'!$D$2:$D$42,MATCH($M135,'Device Refrigerant Leakage'!$B$2:$B$42,0)))*CR135*CP135)*CQ135/2204.62*CO135,"")</f>
        <v/>
      </c>
      <c r="CU135" s="135" t="str">
        <f>IF($I135&lt;&gt;"",J135*IF(W135&lt;&gt;"AR",(CS135*K135)+CT135,(CS135*AB135)+CT135*(AB135/INDEX('Device Refrigerant Leakage'!$C$2:$C$42,MATCH($M135,'Device Refrigerant Leakage'!$B$2:$B$42,0)))),"")</f>
        <v/>
      </c>
      <c r="CW135" s="135" t="str">
        <f>IF($I135&lt;&gt;"",IF(S135="User Specified",V135,INDEX('Refrigerant GWPs'!$G$2:$G$156,MATCH(S135,'Refrigerant GWPs'!$A$2:$A$157,0))),"")</f>
        <v/>
      </c>
      <c r="CX135" s="138" t="str">
        <f>IF($I135&lt;&gt;"",INDEX('Device Refrigerant Leakage'!$E$2:$E$42,MATCH($Q135,'Device Refrigerant Leakage'!$B$2:$B$42,0)),"")</f>
        <v/>
      </c>
      <c r="CY135" s="138" t="str">
        <f>IF($I135&lt;&gt;"",INDEX('Device Refrigerant Leakage'!$F$2:$F$42,MATCH($Q135,'Device Refrigerant Leakage'!$B$2:$B$42,0)),"")</f>
        <v/>
      </c>
      <c r="CZ135" s="145" t="str">
        <f>IF($I135&lt;&gt;"",INDEX('Device Refrigerant Leakage'!$G$2:$G$42,MATCH($Q135,'Device Refrigerant Leakage'!$B$2:$B$42,0)),"")</f>
        <v/>
      </c>
      <c r="DA135" s="145" t="str">
        <f>IF($I135&lt;&gt;"",J135*INDEX('Device Refrigerant Leakage'!$D$2:$D$42,MATCH($Q135,'Device Refrigerant Leakage'!$B$2:$B$42,0))*CX135/2204.62*CW135,"")</f>
        <v/>
      </c>
      <c r="DB135" s="145" t="str">
        <f>IF($I135&lt;&gt;"",J135*(INDEX('Device Refrigerant Leakage'!$D$2:$D$42,MATCH($Q135,'Device Refrigerant Leakage'!$B$2:$B$42,0))-(INDEX('Device Refrigerant Leakage'!$D$2:$D$42,MATCH($Q135,'Device Refrigerant Leakage'!$B$2:$B$42,0)))*CZ135*CX135)*CY135/2204.62*CW135,"")</f>
        <v/>
      </c>
      <c r="DC135" s="135" t="str">
        <f t="shared" si="163"/>
        <v/>
      </c>
      <c r="DE135" s="146" t="str">
        <f>IF(W135&lt;&gt;"AR","",IF(Y135="User Specified", AA135, INDEX('Refrigerant GWPs'!$G$2:$G$154,MATCH(Y135,'Refrigerant GWPs'!$A$2:$A$154,0))))</f>
        <v/>
      </c>
      <c r="DF135" s="146" t="str">
        <f>IF(W135&lt;&gt;"AR","",INDEX('Device Refrigerant Leakage'!$E$2:$E$42,MATCH(X135,'Device Refrigerant Leakage'!$B$2:$B$42,0)))</f>
        <v/>
      </c>
      <c r="DG135" s="146" t="str">
        <f>IF(W135&lt;&gt;"AR","",INDEX('Device Refrigerant Leakage'!$F$2:$F$42,MATCH(X135,'Device Refrigerant Leakage'!$B$2:$B$42,0)))</f>
        <v/>
      </c>
      <c r="DH135" s="146" t="str">
        <f>IF(W135&lt;&gt;"AR","",INDEX('Device Refrigerant Leakage'!$G$2:$G$42,MATCH(X135,'Device Refrigerant Leakage'!$B$2:$B$42,0)))</f>
        <v/>
      </c>
      <c r="DI135" s="146" t="str">
        <f>IF(W135&lt;&gt;"AR","",J135*INDEX('Device Refrigerant Leakage'!$D$2:$D$42,MATCH(X135,'Device Refrigerant Leakage'!$B$2:$B$42,0))*DF135/2204.62*DE135)</f>
        <v/>
      </c>
      <c r="DJ135" s="146" t="str">
        <f>IF(W135&lt;&gt;"AR","",J135*(INDEX('Device Refrigerant Leakage'!$D$2:$D$42,MATCH(X135,'Device Refrigerant Leakage'!$B$2:$B$42,0))-(INDEX('Device Refrigerant Leakage'!$D$2:$D$42,MATCH(X135,'Device Refrigerant Leakage'!$B$2:$B$42,0)))*DH135*DF135)*DG135/2204.62*DE135)</f>
        <v/>
      </c>
      <c r="DK135" s="146" t="str">
        <f>IF(W135&lt;&gt;"AR","",DI135*(K135-AB135)+'Fuel Sub Calcs-Deemed'!DJ135*((K135-AB135)/INDEX('Device Refrigerant Leakage'!$C$2:$C$42,MATCH('Fuel Sub Calcs-Deemed'!X135,'Device Refrigerant Leakage'!$B$2:$B$42,0))))</f>
        <v/>
      </c>
      <c r="DM135" s="56">
        <v>121</v>
      </c>
      <c r="DN135" s="67" t="e">
        <f t="shared" si="143"/>
        <v>#N/A</v>
      </c>
      <c r="DO135" s="45" t="e">
        <f t="shared" si="144"/>
        <v>#N/A</v>
      </c>
      <c r="DP135" s="67" t="e">
        <f t="shared" si="145"/>
        <v>#N/A</v>
      </c>
      <c r="DQ135" s="45" t="e">
        <f t="shared" si="146"/>
        <v>#N/A</v>
      </c>
      <c r="DR135" s="69" t="e">
        <f t="shared" si="147"/>
        <v>#N/A</v>
      </c>
      <c r="DS135" s="34"/>
      <c r="DT135" s="67" t="e">
        <f>((BX135*CJ135)+IF($W135=MAT_AR,(BZ135*CL135),0))*(1+Reference!$E$50+Reference!$E$51)</f>
        <v>#N/A</v>
      </c>
      <c r="DU135" s="67">
        <f>((BY135*CK135)+IF($W135=MAT_AR,(CA135*CM135),0))*(1+Reference!$G$50+Reference!$G$51)</f>
        <v>0</v>
      </c>
      <c r="DV135" s="67" t="e">
        <f t="shared" si="148"/>
        <v>#VALUE!</v>
      </c>
      <c r="DX135" s="56">
        <v>121</v>
      </c>
      <c r="DY135" s="67">
        <f t="shared" si="149"/>
        <v>0</v>
      </c>
      <c r="DZ135" s="45" t="e">
        <f>VLOOKUP($R135,Dropdown!$C$3:$D$4,2,FALSE)</f>
        <v>#N/A</v>
      </c>
      <c r="EA135" s="68">
        <f t="shared" si="150"/>
        <v>0</v>
      </c>
      <c r="EB135" s="68" t="str">
        <f t="shared" si="151"/>
        <v>N/A</v>
      </c>
      <c r="EC135" s="68">
        <f t="shared" si="152"/>
        <v>0</v>
      </c>
      <c r="ED135" s="68" t="str">
        <f t="shared" si="199"/>
        <v>N/A</v>
      </c>
      <c r="EF135" s="56">
        <v>121</v>
      </c>
      <c r="EG135" s="46">
        <f t="shared" si="154"/>
        <v>0</v>
      </c>
      <c r="EH135" s="68" t="e">
        <f t="shared" si="155"/>
        <v>#N/A</v>
      </c>
      <c r="EI135" s="68" t="e">
        <f t="shared" si="156"/>
        <v>#N/A</v>
      </c>
      <c r="EJ135" s="68" t="e">
        <f t="shared" si="157"/>
        <v>#N/A</v>
      </c>
      <c r="EK135" s="68" t="e">
        <f t="shared" si="158"/>
        <v>#N/A</v>
      </c>
      <c r="EL135" s="46">
        <f t="shared" si="159"/>
        <v>0</v>
      </c>
      <c r="EM135" s="46">
        <f t="shared" si="160"/>
        <v>0</v>
      </c>
    </row>
    <row r="136" spans="1:143">
      <c r="A136" s="89"/>
      <c r="B136" s="89"/>
      <c r="C136" s="89"/>
      <c r="D136" s="89"/>
      <c r="E136" s="89"/>
      <c r="F136" s="89"/>
      <c r="G136" s="34"/>
      <c r="H136" s="56">
        <f t="shared" si="161"/>
        <v>122</v>
      </c>
      <c r="I136" s="165"/>
      <c r="J136" s="163"/>
      <c r="K136" s="163"/>
      <c r="L136" s="164"/>
      <c r="M136" s="155"/>
      <c r="N136" s="155"/>
      <c r="O136" s="144"/>
      <c r="P136" s="159" t="str">
        <f>IFERROR(IF(O136&lt;&gt;"User Specified",IF(O136&lt;&gt;"", INDEX('Refrigerant GWPs'!$G$2:$G$154,MATCH(O136,'Refrigerant GWPs'!$A$2:$A$154,0)),""),U136),0)</f>
        <v/>
      </c>
      <c r="Q136" s="155"/>
      <c r="R136" s="155"/>
      <c r="S136" s="144"/>
      <c r="T136" s="159" t="str">
        <f>IF(S136&lt;&gt;"User Specified",IF(AND(S136&lt;&gt;"User Specified",S136&lt;&gt;""), INDEX('Refrigerant GWPs'!$G$2:$G$154,MATCH(S136,'Refrigerant GWPs'!$A$2:$A$154,0)),""),V136)</f>
        <v/>
      </c>
      <c r="U136" s="144"/>
      <c r="V136" s="144"/>
      <c r="W136" s="155"/>
      <c r="X136" s="155"/>
      <c r="Y136" s="144"/>
      <c r="Z136" s="159" t="str">
        <f>IF(AND(Y136&lt;&gt;"User Specified",Y136&lt;&gt;""), INDEX('Refrigerant GWPs'!$G$2:$G$154,MATCH(Y136,'Refrigerant GWPs'!$A$2:$A$154,0)),"")</f>
        <v/>
      </c>
      <c r="AA136" s="155"/>
      <c r="AB136" s="156"/>
      <c r="AC136" s="66"/>
      <c r="AD136" s="66"/>
      <c r="AE136" s="66"/>
      <c r="AF136" s="66"/>
      <c r="AG136" s="66"/>
      <c r="AH136" s="66"/>
      <c r="AI136" s="34"/>
      <c r="AJ136" s="88">
        <f t="shared" si="119"/>
        <v>0</v>
      </c>
      <c r="AK136" s="88">
        <f t="shared" si="120"/>
        <v>0</v>
      </c>
      <c r="AL136" s="88">
        <v>0</v>
      </c>
      <c r="AM136" s="88">
        <v>0</v>
      </c>
      <c r="AN136" s="81" t="str">
        <f t="shared" si="162"/>
        <v/>
      </c>
      <c r="AO136" s="88">
        <f t="shared" si="121"/>
        <v>0</v>
      </c>
      <c r="AP136" s="88">
        <f t="shared" si="122"/>
        <v>0</v>
      </c>
      <c r="AQ136" s="81" t="str">
        <f t="shared" si="123"/>
        <v/>
      </c>
      <c r="AS136" s="41" t="b">
        <f t="shared" si="124"/>
        <v>1</v>
      </c>
      <c r="AT136" s="38">
        <f t="shared" si="125"/>
        <v>0</v>
      </c>
      <c r="AU136" s="60">
        <f t="shared" si="126"/>
        <v>0</v>
      </c>
      <c r="AV136" s="41">
        <f t="shared" si="127"/>
        <v>0</v>
      </c>
      <c r="AW136" s="41" t="b">
        <f t="shared" si="128"/>
        <v>0</v>
      </c>
      <c r="AX136" t="str">
        <f t="shared" si="129"/>
        <v>+00</v>
      </c>
      <c r="AY136" t="str">
        <f t="shared" si="130"/>
        <v>+00</v>
      </c>
      <c r="BA136" s="47" t="b">
        <f t="shared" si="164"/>
        <v>1</v>
      </c>
      <c r="BB136" s="42" t="b">
        <f t="shared" si="165"/>
        <v>1</v>
      </c>
      <c r="BC136" s="42" t="b">
        <f t="shared" si="166"/>
        <v>0</v>
      </c>
      <c r="BD136" s="42" t="b">
        <f t="shared" si="167"/>
        <v>0</v>
      </c>
      <c r="BE136" s="70">
        <f t="shared" si="168"/>
        <v>0</v>
      </c>
      <c r="BF136" s="70">
        <f t="shared" si="169"/>
        <v>0</v>
      </c>
      <c r="BG136" s="34"/>
      <c r="BI136" s="47" t="b">
        <f t="shared" si="170"/>
        <v>1</v>
      </c>
      <c r="BJ136" s="47" t="b">
        <f t="shared" si="171"/>
        <v>1</v>
      </c>
      <c r="BK136" s="42" t="b">
        <f t="shared" si="172"/>
        <v>0</v>
      </c>
      <c r="BL136" s="42" t="b">
        <f t="shared" si="173"/>
        <v>0</v>
      </c>
      <c r="BM136" s="42">
        <f t="shared" si="174"/>
        <v>0</v>
      </c>
      <c r="BN136" s="42">
        <f t="shared" si="175"/>
        <v>0</v>
      </c>
      <c r="BP136" t="e">
        <f t="shared" si="176"/>
        <v>#N/A</v>
      </c>
      <c r="BQ136" t="e">
        <f t="shared" si="177"/>
        <v>#N/A</v>
      </c>
      <c r="BR136" t="e">
        <f t="shared" si="178"/>
        <v>#N/A</v>
      </c>
      <c r="BT136" s="60">
        <f t="shared" si="187"/>
        <v>0</v>
      </c>
      <c r="BU136" s="60">
        <f t="shared" si="188"/>
        <v>0</v>
      </c>
      <c r="BV136" s="60">
        <f t="shared" si="189"/>
        <v>0</v>
      </c>
      <c r="BW136" s="60">
        <f t="shared" si="190"/>
        <v>0</v>
      </c>
      <c r="BX136" s="60">
        <f t="shared" si="179"/>
        <v>0</v>
      </c>
      <c r="BY136" s="60">
        <f t="shared" si="180"/>
        <v>0</v>
      </c>
      <c r="BZ136" s="60">
        <f t="shared" si="181"/>
        <v>0</v>
      </c>
      <c r="CA136" s="60">
        <f t="shared" si="182"/>
        <v>0</v>
      </c>
      <c r="CB136" s="60" t="e">
        <f t="shared" si="191"/>
        <v>#N/A</v>
      </c>
      <c r="CC136" s="60">
        <f t="shared" si="192"/>
        <v>100000</v>
      </c>
      <c r="CD136" s="60" t="e">
        <f t="shared" si="193"/>
        <v>#N/A</v>
      </c>
      <c r="CE136" s="60">
        <f t="shared" si="194"/>
        <v>100000</v>
      </c>
      <c r="CF136" s="83" t="e">
        <f t="shared" si="183"/>
        <v>#N/A</v>
      </c>
      <c r="CG136" s="83">
        <f t="shared" si="184"/>
        <v>0</v>
      </c>
      <c r="CH136" s="83" t="e">
        <f t="shared" si="185"/>
        <v>#N/A</v>
      </c>
      <c r="CI136" s="83">
        <f t="shared" si="186"/>
        <v>0</v>
      </c>
      <c r="CJ136" s="86" t="e">
        <f t="shared" si="195"/>
        <v>#N/A</v>
      </c>
      <c r="CK136" s="82">
        <f t="shared" si="196"/>
        <v>5.3070370403969858E-3</v>
      </c>
      <c r="CL136" s="82" t="e">
        <f t="shared" si="197"/>
        <v>#N/A</v>
      </c>
      <c r="CM136" s="82">
        <f t="shared" si="198"/>
        <v>5.3070370403969858E-3</v>
      </c>
      <c r="CO136" s="149" t="str">
        <f>IF($I136&lt;&gt;"",IF(O136="User Specified",U136,INDEX('Refrigerant GWPs'!$G$2:$G$156,MATCH(O136,'Refrigerant GWPs'!$A$2:$A$156,0))),"")</f>
        <v/>
      </c>
      <c r="CP136" s="138" t="str">
        <f>IF($I136&lt;&gt;"",INDEX('Device Refrigerant Leakage'!$E$2:$E$42,MATCH($M136,'Device Refrigerant Leakage'!$B$2:$B$42,0)),"")</f>
        <v/>
      </c>
      <c r="CQ136" s="138" t="str">
        <f>IF($I136&lt;&gt;"",INDEX('Device Refrigerant Leakage'!$F$2:$F$42,MATCH($M136,'Device Refrigerant Leakage'!$B$2:$B$42,0)),"")</f>
        <v/>
      </c>
      <c r="CR136" s="145" t="str">
        <f>IF($I136&lt;&gt;"",INDEX('Device Refrigerant Leakage'!$G$2:$G$42,MATCH($M136,'Device Refrigerant Leakage'!$B$2:$B$42,0)),"")</f>
        <v/>
      </c>
      <c r="CS136" s="145" t="str">
        <f>IF($I136&lt;&gt;"",INDEX('Device Refrigerant Leakage'!$D$2:$D$42,MATCH($M136,'Device Refrigerant Leakage'!$B$2:$B$42,0))*CP136/2204.62*CO136,"")</f>
        <v/>
      </c>
      <c r="CT136" s="145" t="str">
        <f>IF($I136&lt;&gt;"",J136*(INDEX('Device Refrigerant Leakage'!$D$2:$D$42,MATCH($M136,'Device Refrigerant Leakage'!$B$2:$B$42,0))-(INDEX('Device Refrigerant Leakage'!$D$2:$D$42,MATCH($M136,'Device Refrigerant Leakage'!$B$2:$B$42,0)))*CR136*CP136)*CQ136/2204.62*CO136,"")</f>
        <v/>
      </c>
      <c r="CU136" s="135" t="str">
        <f>IF($I136&lt;&gt;"",J136*IF(W136&lt;&gt;"AR",(CS136*K136)+CT136,(CS136*AB136)+CT136*(AB136/INDEX('Device Refrigerant Leakage'!$C$2:$C$42,MATCH($M136,'Device Refrigerant Leakage'!$B$2:$B$42,0)))),"")</f>
        <v/>
      </c>
      <c r="CW136" s="135" t="str">
        <f>IF($I136&lt;&gt;"",IF(S136="User Specified",V136,INDEX('Refrigerant GWPs'!$G$2:$G$156,MATCH(S136,'Refrigerant GWPs'!$A$2:$A$157,0))),"")</f>
        <v/>
      </c>
      <c r="CX136" s="138" t="str">
        <f>IF($I136&lt;&gt;"",INDEX('Device Refrigerant Leakage'!$E$2:$E$42,MATCH($Q136,'Device Refrigerant Leakage'!$B$2:$B$42,0)),"")</f>
        <v/>
      </c>
      <c r="CY136" s="138" t="str">
        <f>IF($I136&lt;&gt;"",INDEX('Device Refrigerant Leakage'!$F$2:$F$42,MATCH($Q136,'Device Refrigerant Leakage'!$B$2:$B$42,0)),"")</f>
        <v/>
      </c>
      <c r="CZ136" s="145" t="str">
        <f>IF($I136&lt;&gt;"",INDEX('Device Refrigerant Leakage'!$G$2:$G$42,MATCH($Q136,'Device Refrigerant Leakage'!$B$2:$B$42,0)),"")</f>
        <v/>
      </c>
      <c r="DA136" s="145" t="str">
        <f>IF($I136&lt;&gt;"",J136*INDEX('Device Refrigerant Leakage'!$D$2:$D$42,MATCH($Q136,'Device Refrigerant Leakage'!$B$2:$B$42,0))*CX136/2204.62*CW136,"")</f>
        <v/>
      </c>
      <c r="DB136" s="145" t="str">
        <f>IF($I136&lt;&gt;"",J136*(INDEX('Device Refrigerant Leakage'!$D$2:$D$42,MATCH($Q136,'Device Refrigerant Leakage'!$B$2:$B$42,0))-(INDEX('Device Refrigerant Leakage'!$D$2:$D$42,MATCH($Q136,'Device Refrigerant Leakage'!$B$2:$B$42,0)))*CZ136*CX136)*CY136/2204.62*CW136,"")</f>
        <v/>
      </c>
      <c r="DC136" s="135" t="str">
        <f t="shared" si="163"/>
        <v/>
      </c>
      <c r="DE136" s="146" t="str">
        <f>IF(W136&lt;&gt;"AR","",IF(Y136="User Specified", AA136, INDEX('Refrigerant GWPs'!$G$2:$G$154,MATCH(Y136,'Refrigerant GWPs'!$A$2:$A$154,0))))</f>
        <v/>
      </c>
      <c r="DF136" s="146" t="str">
        <f>IF(W136&lt;&gt;"AR","",INDEX('Device Refrigerant Leakage'!$E$2:$E$42,MATCH(X136,'Device Refrigerant Leakage'!$B$2:$B$42,0)))</f>
        <v/>
      </c>
      <c r="DG136" s="146" t="str">
        <f>IF(W136&lt;&gt;"AR","",INDEX('Device Refrigerant Leakage'!$F$2:$F$42,MATCH(X136,'Device Refrigerant Leakage'!$B$2:$B$42,0)))</f>
        <v/>
      </c>
      <c r="DH136" s="146" t="str">
        <f>IF(W136&lt;&gt;"AR","",INDEX('Device Refrigerant Leakage'!$G$2:$G$42,MATCH(X136,'Device Refrigerant Leakage'!$B$2:$B$42,0)))</f>
        <v/>
      </c>
      <c r="DI136" s="146" t="str">
        <f>IF(W136&lt;&gt;"AR","",J136*INDEX('Device Refrigerant Leakage'!$D$2:$D$42,MATCH(X136,'Device Refrigerant Leakage'!$B$2:$B$42,0))*DF136/2204.62*DE136)</f>
        <v/>
      </c>
      <c r="DJ136" s="146" t="str">
        <f>IF(W136&lt;&gt;"AR","",J136*(INDEX('Device Refrigerant Leakage'!$D$2:$D$42,MATCH(X136,'Device Refrigerant Leakage'!$B$2:$B$42,0))-(INDEX('Device Refrigerant Leakage'!$D$2:$D$42,MATCH(X136,'Device Refrigerant Leakage'!$B$2:$B$42,0)))*DH136*DF136)*DG136/2204.62*DE136)</f>
        <v/>
      </c>
      <c r="DK136" s="146" t="str">
        <f>IF(W136&lt;&gt;"AR","",DI136*(K136-AB136)+'Fuel Sub Calcs-Deemed'!DJ136*((K136-AB136)/INDEX('Device Refrigerant Leakage'!$C$2:$C$42,MATCH('Fuel Sub Calcs-Deemed'!X136,'Device Refrigerant Leakage'!$B$2:$B$42,0))))</f>
        <v/>
      </c>
      <c r="DM136" s="56">
        <v>122</v>
      </c>
      <c r="DN136" s="67" t="e">
        <f t="shared" si="143"/>
        <v>#N/A</v>
      </c>
      <c r="DO136" s="45" t="e">
        <f t="shared" si="144"/>
        <v>#N/A</v>
      </c>
      <c r="DP136" s="67" t="e">
        <f t="shared" si="145"/>
        <v>#N/A</v>
      </c>
      <c r="DQ136" s="45" t="e">
        <f t="shared" si="146"/>
        <v>#N/A</v>
      </c>
      <c r="DR136" s="69" t="e">
        <f t="shared" si="147"/>
        <v>#N/A</v>
      </c>
      <c r="DS136" s="34"/>
      <c r="DT136" s="67" t="e">
        <f>((BX136*CJ136)+IF($W136=MAT_AR,(BZ136*CL136),0))*(1+Reference!$E$50+Reference!$E$51)</f>
        <v>#N/A</v>
      </c>
      <c r="DU136" s="67">
        <f>((BY136*CK136)+IF($W136=MAT_AR,(CA136*CM136),0))*(1+Reference!$G$50+Reference!$G$51)</f>
        <v>0</v>
      </c>
      <c r="DV136" s="67" t="e">
        <f t="shared" si="148"/>
        <v>#VALUE!</v>
      </c>
      <c r="DX136" s="56">
        <v>122</v>
      </c>
      <c r="DY136" s="67">
        <f t="shared" si="149"/>
        <v>0</v>
      </c>
      <c r="DZ136" s="45" t="e">
        <f>VLOOKUP($R136,Dropdown!$C$3:$D$4,2,FALSE)</f>
        <v>#N/A</v>
      </c>
      <c r="EA136" s="68">
        <f t="shared" si="150"/>
        <v>0</v>
      </c>
      <c r="EB136" s="68" t="str">
        <f t="shared" si="151"/>
        <v>N/A</v>
      </c>
      <c r="EC136" s="68">
        <f t="shared" si="152"/>
        <v>0</v>
      </c>
      <c r="ED136" s="68" t="str">
        <f t="shared" si="199"/>
        <v>N/A</v>
      </c>
      <c r="EF136" s="56">
        <v>122</v>
      </c>
      <c r="EG136" s="46">
        <f t="shared" si="154"/>
        <v>0</v>
      </c>
      <c r="EH136" s="68" t="e">
        <f t="shared" si="155"/>
        <v>#N/A</v>
      </c>
      <c r="EI136" s="68" t="e">
        <f t="shared" si="156"/>
        <v>#N/A</v>
      </c>
      <c r="EJ136" s="68" t="e">
        <f t="shared" si="157"/>
        <v>#N/A</v>
      </c>
      <c r="EK136" s="68" t="e">
        <f t="shared" si="158"/>
        <v>#N/A</v>
      </c>
      <c r="EL136" s="46">
        <f t="shared" si="159"/>
        <v>0</v>
      </c>
      <c r="EM136" s="46">
        <f t="shared" si="160"/>
        <v>0</v>
      </c>
    </row>
    <row r="137" spans="1:143">
      <c r="A137" s="89"/>
      <c r="B137" s="89"/>
      <c r="C137" s="89"/>
      <c r="D137" s="89"/>
      <c r="E137" s="89"/>
      <c r="F137" s="89"/>
      <c r="G137" s="34"/>
      <c r="H137" s="56">
        <f t="shared" si="161"/>
        <v>123</v>
      </c>
      <c r="I137" s="165"/>
      <c r="J137" s="163"/>
      <c r="K137" s="163"/>
      <c r="L137" s="164"/>
      <c r="M137" s="155"/>
      <c r="N137" s="155"/>
      <c r="O137" s="144"/>
      <c r="P137" s="159" t="str">
        <f>IFERROR(IF(O137&lt;&gt;"User Specified",IF(O137&lt;&gt;"", INDEX('Refrigerant GWPs'!$G$2:$G$154,MATCH(O137,'Refrigerant GWPs'!$A$2:$A$154,0)),""),U137),0)</f>
        <v/>
      </c>
      <c r="Q137" s="155"/>
      <c r="R137" s="155"/>
      <c r="S137" s="144"/>
      <c r="T137" s="159" t="str">
        <f>IF(S137&lt;&gt;"User Specified",IF(AND(S137&lt;&gt;"User Specified",S137&lt;&gt;""), INDEX('Refrigerant GWPs'!$G$2:$G$154,MATCH(S137,'Refrigerant GWPs'!$A$2:$A$154,0)),""),V137)</f>
        <v/>
      </c>
      <c r="U137" s="144"/>
      <c r="V137" s="144"/>
      <c r="W137" s="155"/>
      <c r="X137" s="155"/>
      <c r="Y137" s="144"/>
      <c r="Z137" s="159" t="str">
        <f>IF(AND(Y137&lt;&gt;"User Specified",Y137&lt;&gt;""), INDEX('Refrigerant GWPs'!$G$2:$G$154,MATCH(Y137,'Refrigerant GWPs'!$A$2:$A$154,0)),"")</f>
        <v/>
      </c>
      <c r="AA137" s="155"/>
      <c r="AB137" s="156"/>
      <c r="AC137" s="66"/>
      <c r="AD137" s="66"/>
      <c r="AE137" s="66"/>
      <c r="AF137" s="66"/>
      <c r="AG137" s="66"/>
      <c r="AH137" s="66"/>
      <c r="AI137" s="34"/>
      <c r="AJ137" s="88">
        <f t="shared" si="119"/>
        <v>0</v>
      </c>
      <c r="AK137" s="88">
        <f t="shared" si="120"/>
        <v>0</v>
      </c>
      <c r="AL137" s="88">
        <v>0</v>
      </c>
      <c r="AM137" s="88">
        <v>0</v>
      </c>
      <c r="AN137" s="81" t="str">
        <f t="shared" si="162"/>
        <v/>
      </c>
      <c r="AO137" s="88">
        <f t="shared" si="121"/>
        <v>0</v>
      </c>
      <c r="AP137" s="88">
        <f t="shared" si="122"/>
        <v>0</v>
      </c>
      <c r="AQ137" s="81" t="str">
        <f t="shared" si="123"/>
        <v/>
      </c>
      <c r="AS137" s="41" t="b">
        <f t="shared" si="124"/>
        <v>1</v>
      </c>
      <c r="AT137" s="38">
        <f t="shared" si="125"/>
        <v>0</v>
      </c>
      <c r="AU137" s="60">
        <f t="shared" si="126"/>
        <v>0</v>
      </c>
      <c r="AV137" s="41">
        <f t="shared" si="127"/>
        <v>0</v>
      </c>
      <c r="AW137" s="41" t="b">
        <f t="shared" si="128"/>
        <v>0</v>
      </c>
      <c r="AX137" t="str">
        <f t="shared" si="129"/>
        <v>+00</v>
      </c>
      <c r="AY137" t="str">
        <f t="shared" si="130"/>
        <v>+00</v>
      </c>
      <c r="BA137" s="47" t="b">
        <f t="shared" si="164"/>
        <v>1</v>
      </c>
      <c r="BB137" s="42" t="b">
        <f t="shared" si="165"/>
        <v>1</v>
      </c>
      <c r="BC137" s="42" t="b">
        <f t="shared" si="166"/>
        <v>0</v>
      </c>
      <c r="BD137" s="42" t="b">
        <f t="shared" si="167"/>
        <v>0</v>
      </c>
      <c r="BE137" s="70">
        <f t="shared" si="168"/>
        <v>0</v>
      </c>
      <c r="BF137" s="70">
        <f t="shared" si="169"/>
        <v>0</v>
      </c>
      <c r="BG137" s="34"/>
      <c r="BI137" s="47" t="b">
        <f t="shared" si="170"/>
        <v>1</v>
      </c>
      <c r="BJ137" s="47" t="b">
        <f t="shared" si="171"/>
        <v>1</v>
      </c>
      <c r="BK137" s="42" t="b">
        <f t="shared" si="172"/>
        <v>0</v>
      </c>
      <c r="BL137" s="42" t="b">
        <f t="shared" si="173"/>
        <v>0</v>
      </c>
      <c r="BM137" s="42">
        <f t="shared" si="174"/>
        <v>0</v>
      </c>
      <c r="BN137" s="42">
        <f t="shared" si="175"/>
        <v>0</v>
      </c>
      <c r="BP137" t="e">
        <f t="shared" si="176"/>
        <v>#N/A</v>
      </c>
      <c r="BQ137" t="e">
        <f t="shared" si="177"/>
        <v>#N/A</v>
      </c>
      <c r="BR137" t="e">
        <f t="shared" si="178"/>
        <v>#N/A</v>
      </c>
      <c r="BT137" s="60">
        <f t="shared" si="187"/>
        <v>0</v>
      </c>
      <c r="BU137" s="60">
        <f t="shared" si="188"/>
        <v>0</v>
      </c>
      <c r="BV137" s="60">
        <f t="shared" si="189"/>
        <v>0</v>
      </c>
      <c r="BW137" s="60">
        <f t="shared" si="190"/>
        <v>0</v>
      </c>
      <c r="BX137" s="60">
        <f t="shared" si="179"/>
        <v>0</v>
      </c>
      <c r="BY137" s="60">
        <f t="shared" si="180"/>
        <v>0</v>
      </c>
      <c r="BZ137" s="60">
        <f t="shared" si="181"/>
        <v>0</v>
      </c>
      <c r="CA137" s="60">
        <f t="shared" si="182"/>
        <v>0</v>
      </c>
      <c r="CB137" s="60" t="e">
        <f t="shared" si="191"/>
        <v>#N/A</v>
      </c>
      <c r="CC137" s="60">
        <f t="shared" si="192"/>
        <v>100000</v>
      </c>
      <c r="CD137" s="60" t="e">
        <f t="shared" si="193"/>
        <v>#N/A</v>
      </c>
      <c r="CE137" s="60">
        <f t="shared" si="194"/>
        <v>100000</v>
      </c>
      <c r="CF137" s="83" t="e">
        <f t="shared" si="183"/>
        <v>#N/A</v>
      </c>
      <c r="CG137" s="83">
        <f t="shared" si="184"/>
        <v>0</v>
      </c>
      <c r="CH137" s="83" t="e">
        <f t="shared" si="185"/>
        <v>#N/A</v>
      </c>
      <c r="CI137" s="83">
        <f t="shared" si="186"/>
        <v>0</v>
      </c>
      <c r="CJ137" s="86" t="e">
        <f t="shared" si="195"/>
        <v>#N/A</v>
      </c>
      <c r="CK137" s="82">
        <f t="shared" si="196"/>
        <v>5.3070370403969858E-3</v>
      </c>
      <c r="CL137" s="82" t="e">
        <f t="shared" si="197"/>
        <v>#N/A</v>
      </c>
      <c r="CM137" s="82">
        <f t="shared" si="198"/>
        <v>5.3070370403969858E-3</v>
      </c>
      <c r="CO137" s="149" t="str">
        <f>IF($I137&lt;&gt;"",IF(O137="User Specified",U137,INDEX('Refrigerant GWPs'!$G$2:$G$156,MATCH(O137,'Refrigerant GWPs'!$A$2:$A$156,0))),"")</f>
        <v/>
      </c>
      <c r="CP137" s="138" t="str">
        <f>IF($I137&lt;&gt;"",INDEX('Device Refrigerant Leakage'!$E$2:$E$42,MATCH($M137,'Device Refrigerant Leakage'!$B$2:$B$42,0)),"")</f>
        <v/>
      </c>
      <c r="CQ137" s="138" t="str">
        <f>IF($I137&lt;&gt;"",INDEX('Device Refrigerant Leakage'!$F$2:$F$42,MATCH($M137,'Device Refrigerant Leakage'!$B$2:$B$42,0)),"")</f>
        <v/>
      </c>
      <c r="CR137" s="145" t="str">
        <f>IF($I137&lt;&gt;"",INDEX('Device Refrigerant Leakage'!$G$2:$G$42,MATCH($M137,'Device Refrigerant Leakage'!$B$2:$B$42,0)),"")</f>
        <v/>
      </c>
      <c r="CS137" s="145" t="str">
        <f>IF($I137&lt;&gt;"",INDEX('Device Refrigerant Leakage'!$D$2:$D$42,MATCH($M137,'Device Refrigerant Leakage'!$B$2:$B$42,0))*CP137/2204.62*CO137,"")</f>
        <v/>
      </c>
      <c r="CT137" s="145" t="str">
        <f>IF($I137&lt;&gt;"",J137*(INDEX('Device Refrigerant Leakage'!$D$2:$D$42,MATCH($M137,'Device Refrigerant Leakage'!$B$2:$B$42,0))-(INDEX('Device Refrigerant Leakage'!$D$2:$D$42,MATCH($M137,'Device Refrigerant Leakage'!$B$2:$B$42,0)))*CR137*CP137)*CQ137/2204.62*CO137,"")</f>
        <v/>
      </c>
      <c r="CU137" s="135" t="str">
        <f>IF($I137&lt;&gt;"",J137*IF(W137&lt;&gt;"AR",(CS137*K137)+CT137,(CS137*AB137)+CT137*(AB137/INDEX('Device Refrigerant Leakage'!$C$2:$C$42,MATCH($M137,'Device Refrigerant Leakage'!$B$2:$B$42,0)))),"")</f>
        <v/>
      </c>
      <c r="CW137" s="135" t="str">
        <f>IF($I137&lt;&gt;"",IF(S137="User Specified",V137,INDEX('Refrigerant GWPs'!$G$2:$G$156,MATCH(S137,'Refrigerant GWPs'!$A$2:$A$157,0))),"")</f>
        <v/>
      </c>
      <c r="CX137" s="138" t="str">
        <f>IF($I137&lt;&gt;"",INDEX('Device Refrigerant Leakage'!$E$2:$E$42,MATCH($Q137,'Device Refrigerant Leakage'!$B$2:$B$42,0)),"")</f>
        <v/>
      </c>
      <c r="CY137" s="138" t="str">
        <f>IF($I137&lt;&gt;"",INDEX('Device Refrigerant Leakage'!$F$2:$F$42,MATCH($Q137,'Device Refrigerant Leakage'!$B$2:$B$42,0)),"")</f>
        <v/>
      </c>
      <c r="CZ137" s="145" t="str">
        <f>IF($I137&lt;&gt;"",INDEX('Device Refrigerant Leakage'!$G$2:$G$42,MATCH($Q137,'Device Refrigerant Leakage'!$B$2:$B$42,0)),"")</f>
        <v/>
      </c>
      <c r="DA137" s="145" t="str">
        <f>IF($I137&lt;&gt;"",J137*INDEX('Device Refrigerant Leakage'!$D$2:$D$42,MATCH($Q137,'Device Refrigerant Leakage'!$B$2:$B$42,0))*CX137/2204.62*CW137,"")</f>
        <v/>
      </c>
      <c r="DB137" s="145" t="str">
        <f>IF($I137&lt;&gt;"",J137*(INDEX('Device Refrigerant Leakage'!$D$2:$D$42,MATCH($Q137,'Device Refrigerant Leakage'!$B$2:$B$42,0))-(INDEX('Device Refrigerant Leakage'!$D$2:$D$42,MATCH($Q137,'Device Refrigerant Leakage'!$B$2:$B$42,0)))*CZ137*CX137)*CY137/2204.62*CW137,"")</f>
        <v/>
      </c>
      <c r="DC137" s="135" t="str">
        <f t="shared" si="163"/>
        <v/>
      </c>
      <c r="DE137" s="146" t="str">
        <f>IF(W137&lt;&gt;"AR","",IF(Y137="User Specified", AA137, INDEX('Refrigerant GWPs'!$G$2:$G$154,MATCH(Y137,'Refrigerant GWPs'!$A$2:$A$154,0))))</f>
        <v/>
      </c>
      <c r="DF137" s="146" t="str">
        <f>IF(W137&lt;&gt;"AR","",INDEX('Device Refrigerant Leakage'!$E$2:$E$42,MATCH(X137,'Device Refrigerant Leakage'!$B$2:$B$42,0)))</f>
        <v/>
      </c>
      <c r="DG137" s="146" t="str">
        <f>IF(W137&lt;&gt;"AR","",INDEX('Device Refrigerant Leakage'!$F$2:$F$42,MATCH(X137,'Device Refrigerant Leakage'!$B$2:$B$42,0)))</f>
        <v/>
      </c>
      <c r="DH137" s="146" t="str">
        <f>IF(W137&lt;&gt;"AR","",INDEX('Device Refrigerant Leakage'!$G$2:$G$42,MATCH(X137,'Device Refrigerant Leakage'!$B$2:$B$42,0)))</f>
        <v/>
      </c>
      <c r="DI137" s="146" t="str">
        <f>IF(W137&lt;&gt;"AR","",J137*INDEX('Device Refrigerant Leakage'!$D$2:$D$42,MATCH(X137,'Device Refrigerant Leakage'!$B$2:$B$42,0))*DF137/2204.62*DE137)</f>
        <v/>
      </c>
      <c r="DJ137" s="146" t="str">
        <f>IF(W137&lt;&gt;"AR","",J137*(INDEX('Device Refrigerant Leakage'!$D$2:$D$42,MATCH(X137,'Device Refrigerant Leakage'!$B$2:$B$42,0))-(INDEX('Device Refrigerant Leakage'!$D$2:$D$42,MATCH(X137,'Device Refrigerant Leakage'!$B$2:$B$42,0)))*DH137*DF137)*DG137/2204.62*DE137)</f>
        <v/>
      </c>
      <c r="DK137" s="146" t="str">
        <f>IF(W137&lt;&gt;"AR","",DI137*(K137-AB137)+'Fuel Sub Calcs-Deemed'!DJ137*((K137-AB137)/INDEX('Device Refrigerant Leakage'!$C$2:$C$42,MATCH('Fuel Sub Calcs-Deemed'!X137,'Device Refrigerant Leakage'!$B$2:$B$42,0))))</f>
        <v/>
      </c>
      <c r="DM137" s="56">
        <v>123</v>
      </c>
      <c r="DN137" s="67" t="e">
        <f t="shared" si="143"/>
        <v>#N/A</v>
      </c>
      <c r="DO137" s="45" t="e">
        <f t="shared" si="144"/>
        <v>#N/A</v>
      </c>
      <c r="DP137" s="67" t="e">
        <f t="shared" si="145"/>
        <v>#N/A</v>
      </c>
      <c r="DQ137" s="45" t="e">
        <f t="shared" si="146"/>
        <v>#N/A</v>
      </c>
      <c r="DR137" s="69" t="e">
        <f t="shared" si="147"/>
        <v>#N/A</v>
      </c>
      <c r="DS137" s="34"/>
      <c r="DT137" s="67" t="e">
        <f>((BX137*CJ137)+IF($W137=MAT_AR,(BZ137*CL137),0))*(1+Reference!$E$50+Reference!$E$51)</f>
        <v>#N/A</v>
      </c>
      <c r="DU137" s="67">
        <f>((BY137*CK137)+IF($W137=MAT_AR,(CA137*CM137),0))*(1+Reference!$G$50+Reference!$G$51)</f>
        <v>0</v>
      </c>
      <c r="DV137" s="67" t="e">
        <f t="shared" si="148"/>
        <v>#VALUE!</v>
      </c>
      <c r="DX137" s="56">
        <v>123</v>
      </c>
      <c r="DY137" s="67">
        <f t="shared" si="149"/>
        <v>0</v>
      </c>
      <c r="DZ137" s="45" t="e">
        <f>VLOOKUP($R137,Dropdown!$C$3:$D$4,2,FALSE)</f>
        <v>#N/A</v>
      </c>
      <c r="EA137" s="68">
        <f t="shared" si="150"/>
        <v>0</v>
      </c>
      <c r="EB137" s="68" t="str">
        <f t="shared" si="151"/>
        <v>N/A</v>
      </c>
      <c r="EC137" s="68">
        <f t="shared" si="152"/>
        <v>0</v>
      </c>
      <c r="ED137" s="68" t="str">
        <f t="shared" si="199"/>
        <v>N/A</v>
      </c>
      <c r="EF137" s="56">
        <v>123</v>
      </c>
      <c r="EG137" s="46">
        <f t="shared" si="154"/>
        <v>0</v>
      </c>
      <c r="EH137" s="68" t="e">
        <f t="shared" si="155"/>
        <v>#N/A</v>
      </c>
      <c r="EI137" s="68" t="e">
        <f t="shared" si="156"/>
        <v>#N/A</v>
      </c>
      <c r="EJ137" s="68" t="e">
        <f t="shared" si="157"/>
        <v>#N/A</v>
      </c>
      <c r="EK137" s="68" t="e">
        <f t="shared" si="158"/>
        <v>#N/A</v>
      </c>
      <c r="EL137" s="46">
        <f t="shared" si="159"/>
        <v>0</v>
      </c>
      <c r="EM137" s="46">
        <f t="shared" si="160"/>
        <v>0</v>
      </c>
    </row>
    <row r="138" spans="1:143">
      <c r="A138" s="89"/>
      <c r="B138" s="89"/>
      <c r="C138" s="89"/>
      <c r="D138" s="89"/>
      <c r="E138" s="89"/>
      <c r="F138" s="89"/>
      <c r="G138" s="34"/>
      <c r="H138" s="56">
        <f t="shared" si="161"/>
        <v>124</v>
      </c>
      <c r="I138" s="165"/>
      <c r="J138" s="163"/>
      <c r="K138" s="163"/>
      <c r="L138" s="164"/>
      <c r="M138" s="155"/>
      <c r="N138" s="155"/>
      <c r="O138" s="144"/>
      <c r="P138" s="159" t="str">
        <f>IFERROR(IF(O138&lt;&gt;"User Specified",IF(O138&lt;&gt;"", INDEX('Refrigerant GWPs'!$G$2:$G$154,MATCH(O138,'Refrigerant GWPs'!$A$2:$A$154,0)),""),U138),0)</f>
        <v/>
      </c>
      <c r="Q138" s="155"/>
      <c r="R138" s="155"/>
      <c r="S138" s="144"/>
      <c r="T138" s="159" t="str">
        <f>IF(S138&lt;&gt;"User Specified",IF(AND(S138&lt;&gt;"User Specified",S138&lt;&gt;""), INDEX('Refrigerant GWPs'!$G$2:$G$154,MATCH(S138,'Refrigerant GWPs'!$A$2:$A$154,0)),""),V138)</f>
        <v/>
      </c>
      <c r="U138" s="144"/>
      <c r="V138" s="144"/>
      <c r="W138" s="155"/>
      <c r="X138" s="155"/>
      <c r="Y138" s="144"/>
      <c r="Z138" s="159" t="str">
        <f>IF(AND(Y138&lt;&gt;"User Specified",Y138&lt;&gt;""), INDEX('Refrigerant GWPs'!$G$2:$G$154,MATCH(Y138,'Refrigerant GWPs'!$A$2:$A$154,0)),"")</f>
        <v/>
      </c>
      <c r="AA138" s="155"/>
      <c r="AB138" s="156"/>
      <c r="AC138" s="66"/>
      <c r="AD138" s="66"/>
      <c r="AE138" s="66"/>
      <c r="AF138" s="66"/>
      <c r="AG138" s="66"/>
      <c r="AH138" s="66"/>
      <c r="AI138" s="34"/>
      <c r="AJ138" s="88">
        <f t="shared" si="119"/>
        <v>0</v>
      </c>
      <c r="AK138" s="88">
        <f t="shared" si="120"/>
        <v>0</v>
      </c>
      <c r="AL138" s="88">
        <v>0</v>
      </c>
      <c r="AM138" s="88">
        <v>0</v>
      </c>
      <c r="AN138" s="81" t="str">
        <f t="shared" si="162"/>
        <v/>
      </c>
      <c r="AO138" s="88">
        <f t="shared" si="121"/>
        <v>0</v>
      </c>
      <c r="AP138" s="88">
        <f t="shared" si="122"/>
        <v>0</v>
      </c>
      <c r="AQ138" s="81" t="str">
        <f t="shared" si="123"/>
        <v/>
      </c>
      <c r="AS138" s="41" t="b">
        <f t="shared" si="124"/>
        <v>1</v>
      </c>
      <c r="AT138" s="38">
        <f t="shared" si="125"/>
        <v>0</v>
      </c>
      <c r="AU138" s="60">
        <f t="shared" si="126"/>
        <v>0</v>
      </c>
      <c r="AV138" s="41">
        <f t="shared" si="127"/>
        <v>0</v>
      </c>
      <c r="AW138" s="41" t="b">
        <f t="shared" si="128"/>
        <v>0</v>
      </c>
      <c r="AX138" t="str">
        <f t="shared" si="129"/>
        <v>+00</v>
      </c>
      <c r="AY138" t="str">
        <f t="shared" si="130"/>
        <v>+00</v>
      </c>
      <c r="BA138" s="47" t="b">
        <f t="shared" si="164"/>
        <v>1</v>
      </c>
      <c r="BB138" s="42" t="b">
        <f t="shared" si="165"/>
        <v>1</v>
      </c>
      <c r="BC138" s="42" t="b">
        <f t="shared" si="166"/>
        <v>0</v>
      </c>
      <c r="BD138" s="42" t="b">
        <f t="shared" si="167"/>
        <v>0</v>
      </c>
      <c r="BE138" s="70">
        <f t="shared" si="168"/>
        <v>0</v>
      </c>
      <c r="BF138" s="70">
        <f t="shared" si="169"/>
        <v>0</v>
      </c>
      <c r="BG138" s="34"/>
      <c r="BI138" s="47" t="b">
        <f t="shared" si="170"/>
        <v>1</v>
      </c>
      <c r="BJ138" s="47" t="b">
        <f t="shared" si="171"/>
        <v>1</v>
      </c>
      <c r="BK138" s="42" t="b">
        <f t="shared" si="172"/>
        <v>0</v>
      </c>
      <c r="BL138" s="42" t="b">
        <f t="shared" si="173"/>
        <v>0</v>
      </c>
      <c r="BM138" s="42">
        <f t="shared" si="174"/>
        <v>0</v>
      </c>
      <c r="BN138" s="42">
        <f t="shared" si="175"/>
        <v>0</v>
      </c>
      <c r="BP138" t="e">
        <f t="shared" si="176"/>
        <v>#N/A</v>
      </c>
      <c r="BQ138" t="e">
        <f t="shared" si="177"/>
        <v>#N/A</v>
      </c>
      <c r="BR138" t="e">
        <f t="shared" si="178"/>
        <v>#N/A</v>
      </c>
      <c r="BT138" s="60">
        <f t="shared" si="187"/>
        <v>0</v>
      </c>
      <c r="BU138" s="60">
        <f t="shared" si="188"/>
        <v>0</v>
      </c>
      <c r="BV138" s="60">
        <f t="shared" si="189"/>
        <v>0</v>
      </c>
      <c r="BW138" s="60">
        <f t="shared" si="190"/>
        <v>0</v>
      </c>
      <c r="BX138" s="60">
        <f t="shared" si="179"/>
        <v>0</v>
      </c>
      <c r="BY138" s="60">
        <f t="shared" si="180"/>
        <v>0</v>
      </c>
      <c r="BZ138" s="60">
        <f t="shared" si="181"/>
        <v>0</v>
      </c>
      <c r="CA138" s="60">
        <f t="shared" si="182"/>
        <v>0</v>
      </c>
      <c r="CB138" s="60" t="e">
        <f t="shared" si="191"/>
        <v>#N/A</v>
      </c>
      <c r="CC138" s="60">
        <f t="shared" si="192"/>
        <v>100000</v>
      </c>
      <c r="CD138" s="60" t="e">
        <f t="shared" si="193"/>
        <v>#N/A</v>
      </c>
      <c r="CE138" s="60">
        <f t="shared" si="194"/>
        <v>100000</v>
      </c>
      <c r="CF138" s="83" t="e">
        <f t="shared" si="183"/>
        <v>#N/A</v>
      </c>
      <c r="CG138" s="83">
        <f t="shared" si="184"/>
        <v>0</v>
      </c>
      <c r="CH138" s="83" t="e">
        <f t="shared" si="185"/>
        <v>#N/A</v>
      </c>
      <c r="CI138" s="83">
        <f t="shared" si="186"/>
        <v>0</v>
      </c>
      <c r="CJ138" s="86" t="e">
        <f t="shared" si="195"/>
        <v>#N/A</v>
      </c>
      <c r="CK138" s="82">
        <f t="shared" si="196"/>
        <v>5.3070370403969858E-3</v>
      </c>
      <c r="CL138" s="82" t="e">
        <f t="shared" si="197"/>
        <v>#N/A</v>
      </c>
      <c r="CM138" s="82">
        <f t="shared" si="198"/>
        <v>5.3070370403969858E-3</v>
      </c>
      <c r="CO138" s="149" t="str">
        <f>IF($I138&lt;&gt;"",IF(O138="User Specified",U138,INDEX('Refrigerant GWPs'!$G$2:$G$156,MATCH(O138,'Refrigerant GWPs'!$A$2:$A$156,0))),"")</f>
        <v/>
      </c>
      <c r="CP138" s="138" t="str">
        <f>IF($I138&lt;&gt;"",INDEX('Device Refrigerant Leakage'!$E$2:$E$42,MATCH($M138,'Device Refrigerant Leakage'!$B$2:$B$42,0)),"")</f>
        <v/>
      </c>
      <c r="CQ138" s="138" t="str">
        <f>IF($I138&lt;&gt;"",INDEX('Device Refrigerant Leakage'!$F$2:$F$42,MATCH($M138,'Device Refrigerant Leakage'!$B$2:$B$42,0)),"")</f>
        <v/>
      </c>
      <c r="CR138" s="145" t="str">
        <f>IF($I138&lt;&gt;"",INDEX('Device Refrigerant Leakage'!$G$2:$G$42,MATCH($M138,'Device Refrigerant Leakage'!$B$2:$B$42,0)),"")</f>
        <v/>
      </c>
      <c r="CS138" s="145" t="str">
        <f>IF($I138&lt;&gt;"",INDEX('Device Refrigerant Leakage'!$D$2:$D$42,MATCH($M138,'Device Refrigerant Leakage'!$B$2:$B$42,0))*CP138/2204.62*CO138,"")</f>
        <v/>
      </c>
      <c r="CT138" s="145" t="str">
        <f>IF($I138&lt;&gt;"",J138*(INDEX('Device Refrigerant Leakage'!$D$2:$D$42,MATCH($M138,'Device Refrigerant Leakage'!$B$2:$B$42,0))-(INDEX('Device Refrigerant Leakage'!$D$2:$D$42,MATCH($M138,'Device Refrigerant Leakage'!$B$2:$B$42,0)))*CR138*CP138)*CQ138/2204.62*CO138,"")</f>
        <v/>
      </c>
      <c r="CU138" s="135" t="str">
        <f>IF($I138&lt;&gt;"",J138*IF(W138&lt;&gt;"AR",(CS138*K138)+CT138,(CS138*AB138)+CT138*(AB138/INDEX('Device Refrigerant Leakage'!$C$2:$C$42,MATCH($M138,'Device Refrigerant Leakage'!$B$2:$B$42,0)))),"")</f>
        <v/>
      </c>
      <c r="CW138" s="135" t="str">
        <f>IF($I138&lt;&gt;"",IF(S138="User Specified",V138,INDEX('Refrigerant GWPs'!$G$2:$G$156,MATCH(S138,'Refrigerant GWPs'!$A$2:$A$157,0))),"")</f>
        <v/>
      </c>
      <c r="CX138" s="138" t="str">
        <f>IF($I138&lt;&gt;"",INDEX('Device Refrigerant Leakage'!$E$2:$E$42,MATCH($Q138,'Device Refrigerant Leakage'!$B$2:$B$42,0)),"")</f>
        <v/>
      </c>
      <c r="CY138" s="138" t="str">
        <f>IF($I138&lt;&gt;"",INDEX('Device Refrigerant Leakage'!$F$2:$F$42,MATCH($Q138,'Device Refrigerant Leakage'!$B$2:$B$42,0)),"")</f>
        <v/>
      </c>
      <c r="CZ138" s="145" t="str">
        <f>IF($I138&lt;&gt;"",INDEX('Device Refrigerant Leakage'!$G$2:$G$42,MATCH($Q138,'Device Refrigerant Leakage'!$B$2:$B$42,0)),"")</f>
        <v/>
      </c>
      <c r="DA138" s="145" t="str">
        <f>IF($I138&lt;&gt;"",J138*INDEX('Device Refrigerant Leakage'!$D$2:$D$42,MATCH($Q138,'Device Refrigerant Leakage'!$B$2:$B$42,0))*CX138/2204.62*CW138,"")</f>
        <v/>
      </c>
      <c r="DB138" s="145" t="str">
        <f>IF($I138&lt;&gt;"",J138*(INDEX('Device Refrigerant Leakage'!$D$2:$D$42,MATCH($Q138,'Device Refrigerant Leakage'!$B$2:$B$42,0))-(INDEX('Device Refrigerant Leakage'!$D$2:$D$42,MATCH($Q138,'Device Refrigerant Leakage'!$B$2:$B$42,0)))*CZ138*CX138)*CY138/2204.62*CW138,"")</f>
        <v/>
      </c>
      <c r="DC138" s="135" t="str">
        <f t="shared" si="163"/>
        <v/>
      </c>
      <c r="DE138" s="146" t="str">
        <f>IF(W138&lt;&gt;"AR","",IF(Y138="User Specified", AA138, INDEX('Refrigerant GWPs'!$G$2:$G$154,MATCH(Y138,'Refrigerant GWPs'!$A$2:$A$154,0))))</f>
        <v/>
      </c>
      <c r="DF138" s="146" t="str">
        <f>IF(W138&lt;&gt;"AR","",INDEX('Device Refrigerant Leakage'!$E$2:$E$42,MATCH(X138,'Device Refrigerant Leakage'!$B$2:$B$42,0)))</f>
        <v/>
      </c>
      <c r="DG138" s="146" t="str">
        <f>IF(W138&lt;&gt;"AR","",INDEX('Device Refrigerant Leakage'!$F$2:$F$42,MATCH(X138,'Device Refrigerant Leakage'!$B$2:$B$42,0)))</f>
        <v/>
      </c>
      <c r="DH138" s="146" t="str">
        <f>IF(W138&lt;&gt;"AR","",INDEX('Device Refrigerant Leakage'!$G$2:$G$42,MATCH(X138,'Device Refrigerant Leakage'!$B$2:$B$42,0)))</f>
        <v/>
      </c>
      <c r="DI138" s="146" t="str">
        <f>IF(W138&lt;&gt;"AR","",J138*INDEX('Device Refrigerant Leakage'!$D$2:$D$42,MATCH(X138,'Device Refrigerant Leakage'!$B$2:$B$42,0))*DF138/2204.62*DE138)</f>
        <v/>
      </c>
      <c r="DJ138" s="146" t="str">
        <f>IF(W138&lt;&gt;"AR","",J138*(INDEX('Device Refrigerant Leakage'!$D$2:$D$42,MATCH(X138,'Device Refrigerant Leakage'!$B$2:$B$42,0))-(INDEX('Device Refrigerant Leakage'!$D$2:$D$42,MATCH(X138,'Device Refrigerant Leakage'!$B$2:$B$42,0)))*DH138*DF138)*DG138/2204.62*DE138)</f>
        <v/>
      </c>
      <c r="DK138" s="146" t="str">
        <f>IF(W138&lt;&gt;"AR","",DI138*(K138-AB138)+'Fuel Sub Calcs-Deemed'!DJ138*((K138-AB138)/INDEX('Device Refrigerant Leakage'!$C$2:$C$42,MATCH('Fuel Sub Calcs-Deemed'!X138,'Device Refrigerant Leakage'!$B$2:$B$42,0))))</f>
        <v/>
      </c>
      <c r="DM138" s="56">
        <v>124</v>
      </c>
      <c r="DN138" s="67" t="e">
        <f t="shared" si="143"/>
        <v>#N/A</v>
      </c>
      <c r="DO138" s="45" t="e">
        <f t="shared" si="144"/>
        <v>#N/A</v>
      </c>
      <c r="DP138" s="67" t="e">
        <f t="shared" si="145"/>
        <v>#N/A</v>
      </c>
      <c r="DQ138" s="45" t="e">
        <f t="shared" si="146"/>
        <v>#N/A</v>
      </c>
      <c r="DR138" s="69" t="e">
        <f t="shared" si="147"/>
        <v>#N/A</v>
      </c>
      <c r="DS138" s="34"/>
      <c r="DT138" s="67" t="e">
        <f>((BX138*CJ138)+IF($W138=MAT_AR,(BZ138*CL138),0))*(1+Reference!$E$50+Reference!$E$51)</f>
        <v>#N/A</v>
      </c>
      <c r="DU138" s="67">
        <f>((BY138*CK138)+IF($W138=MAT_AR,(CA138*CM138),0))*(1+Reference!$G$50+Reference!$G$51)</f>
        <v>0</v>
      </c>
      <c r="DV138" s="67" t="e">
        <f t="shared" si="148"/>
        <v>#VALUE!</v>
      </c>
      <c r="DX138" s="56">
        <v>124</v>
      </c>
      <c r="DY138" s="67">
        <f t="shared" si="149"/>
        <v>0</v>
      </c>
      <c r="DZ138" s="45" t="e">
        <f>VLOOKUP($R138,Dropdown!$C$3:$D$4,2,FALSE)</f>
        <v>#N/A</v>
      </c>
      <c r="EA138" s="68">
        <f t="shared" si="150"/>
        <v>0</v>
      </c>
      <c r="EB138" s="68" t="str">
        <f t="shared" si="151"/>
        <v>N/A</v>
      </c>
      <c r="EC138" s="68">
        <f t="shared" si="152"/>
        <v>0</v>
      </c>
      <c r="ED138" s="68" t="str">
        <f t="shared" si="199"/>
        <v>N/A</v>
      </c>
      <c r="EF138" s="56">
        <v>124</v>
      </c>
      <c r="EG138" s="46">
        <f t="shared" si="154"/>
        <v>0</v>
      </c>
      <c r="EH138" s="68" t="e">
        <f t="shared" si="155"/>
        <v>#N/A</v>
      </c>
      <c r="EI138" s="68" t="e">
        <f t="shared" si="156"/>
        <v>#N/A</v>
      </c>
      <c r="EJ138" s="68" t="e">
        <f t="shared" si="157"/>
        <v>#N/A</v>
      </c>
      <c r="EK138" s="68" t="e">
        <f t="shared" si="158"/>
        <v>#N/A</v>
      </c>
      <c r="EL138" s="46">
        <f t="shared" si="159"/>
        <v>0</v>
      </c>
      <c r="EM138" s="46">
        <f t="shared" si="160"/>
        <v>0</v>
      </c>
    </row>
    <row r="139" spans="1:143">
      <c r="A139" s="89"/>
      <c r="B139" s="89"/>
      <c r="C139" s="89"/>
      <c r="D139" s="89"/>
      <c r="E139" s="89"/>
      <c r="F139" s="89"/>
      <c r="G139" s="34"/>
      <c r="H139" s="56">
        <f t="shared" si="161"/>
        <v>125</v>
      </c>
      <c r="I139" s="165"/>
      <c r="J139" s="163"/>
      <c r="K139" s="163"/>
      <c r="L139" s="164"/>
      <c r="M139" s="155"/>
      <c r="N139" s="155"/>
      <c r="O139" s="144"/>
      <c r="P139" s="159" t="str">
        <f>IFERROR(IF(O139&lt;&gt;"User Specified",IF(O139&lt;&gt;"", INDEX('Refrigerant GWPs'!$G$2:$G$154,MATCH(O139,'Refrigerant GWPs'!$A$2:$A$154,0)),""),U139),0)</f>
        <v/>
      </c>
      <c r="Q139" s="155"/>
      <c r="R139" s="155"/>
      <c r="S139" s="144"/>
      <c r="T139" s="159" t="str">
        <f>IF(S139&lt;&gt;"User Specified",IF(AND(S139&lt;&gt;"User Specified",S139&lt;&gt;""), INDEX('Refrigerant GWPs'!$G$2:$G$154,MATCH(S139,'Refrigerant GWPs'!$A$2:$A$154,0)),""),V139)</f>
        <v/>
      </c>
      <c r="U139" s="144"/>
      <c r="V139" s="144"/>
      <c r="W139" s="155"/>
      <c r="X139" s="155"/>
      <c r="Y139" s="144"/>
      <c r="Z139" s="159" t="str">
        <f>IF(AND(Y139&lt;&gt;"User Specified",Y139&lt;&gt;""), INDEX('Refrigerant GWPs'!$G$2:$G$154,MATCH(Y139,'Refrigerant GWPs'!$A$2:$A$154,0)),"")</f>
        <v/>
      </c>
      <c r="AA139" s="155"/>
      <c r="AB139" s="156"/>
      <c r="AC139" s="66"/>
      <c r="AD139" s="66"/>
      <c r="AE139" s="66"/>
      <c r="AF139" s="66"/>
      <c r="AG139" s="66"/>
      <c r="AH139" s="66"/>
      <c r="AI139" s="34"/>
      <c r="AJ139" s="88">
        <f t="shared" si="119"/>
        <v>0</v>
      </c>
      <c r="AK139" s="88">
        <f t="shared" si="120"/>
        <v>0</v>
      </c>
      <c r="AL139" s="88">
        <v>0</v>
      </c>
      <c r="AM139" s="88">
        <v>0</v>
      </c>
      <c r="AN139" s="81" t="str">
        <f t="shared" si="162"/>
        <v/>
      </c>
      <c r="AO139" s="88">
        <f t="shared" si="121"/>
        <v>0</v>
      </c>
      <c r="AP139" s="88">
        <f t="shared" si="122"/>
        <v>0</v>
      </c>
      <c r="AQ139" s="81" t="str">
        <f t="shared" si="123"/>
        <v/>
      </c>
      <c r="AS139" s="41" t="b">
        <f t="shared" si="124"/>
        <v>1</v>
      </c>
      <c r="AT139" s="38">
        <f t="shared" si="125"/>
        <v>0</v>
      </c>
      <c r="AU139" s="60">
        <f t="shared" si="126"/>
        <v>0</v>
      </c>
      <c r="AV139" s="41">
        <f t="shared" si="127"/>
        <v>0</v>
      </c>
      <c r="AW139" s="41" t="b">
        <f t="shared" si="128"/>
        <v>0</v>
      </c>
      <c r="AX139" t="str">
        <f t="shared" si="129"/>
        <v>+00</v>
      </c>
      <c r="AY139" t="str">
        <f t="shared" si="130"/>
        <v>+00</v>
      </c>
      <c r="BA139" s="47" t="b">
        <f t="shared" si="164"/>
        <v>1</v>
      </c>
      <c r="BB139" s="42" t="b">
        <f t="shared" si="165"/>
        <v>1</v>
      </c>
      <c r="BC139" s="42" t="b">
        <f t="shared" si="166"/>
        <v>0</v>
      </c>
      <c r="BD139" s="42" t="b">
        <f t="shared" si="167"/>
        <v>0</v>
      </c>
      <c r="BE139" s="70">
        <f t="shared" si="168"/>
        <v>0</v>
      </c>
      <c r="BF139" s="70">
        <f t="shared" si="169"/>
        <v>0</v>
      </c>
      <c r="BG139" s="34"/>
      <c r="BI139" s="47" t="b">
        <f t="shared" si="170"/>
        <v>1</v>
      </c>
      <c r="BJ139" s="47" t="b">
        <f t="shared" si="171"/>
        <v>1</v>
      </c>
      <c r="BK139" s="42" t="b">
        <f t="shared" si="172"/>
        <v>0</v>
      </c>
      <c r="BL139" s="42" t="b">
        <f t="shared" si="173"/>
        <v>0</v>
      </c>
      <c r="BM139" s="42">
        <f t="shared" si="174"/>
        <v>0</v>
      </c>
      <c r="BN139" s="42">
        <f t="shared" si="175"/>
        <v>0</v>
      </c>
      <c r="BP139" t="e">
        <f t="shared" si="176"/>
        <v>#N/A</v>
      </c>
      <c r="BQ139" t="e">
        <f t="shared" si="177"/>
        <v>#N/A</v>
      </c>
      <c r="BR139" t="e">
        <f t="shared" si="178"/>
        <v>#N/A</v>
      </c>
      <c r="BT139" s="60">
        <f t="shared" si="187"/>
        <v>0</v>
      </c>
      <c r="BU139" s="60">
        <f t="shared" si="188"/>
        <v>0</v>
      </c>
      <c r="BV139" s="60">
        <f t="shared" si="189"/>
        <v>0</v>
      </c>
      <c r="BW139" s="60">
        <f t="shared" si="190"/>
        <v>0</v>
      </c>
      <c r="BX139" s="60">
        <f t="shared" si="179"/>
        <v>0</v>
      </c>
      <c r="BY139" s="60">
        <f t="shared" si="180"/>
        <v>0</v>
      </c>
      <c r="BZ139" s="60">
        <f t="shared" si="181"/>
        <v>0</v>
      </c>
      <c r="CA139" s="60">
        <f t="shared" si="182"/>
        <v>0</v>
      </c>
      <c r="CB139" s="60" t="e">
        <f t="shared" si="191"/>
        <v>#N/A</v>
      </c>
      <c r="CC139" s="60">
        <f t="shared" si="192"/>
        <v>100000</v>
      </c>
      <c r="CD139" s="60" t="e">
        <f t="shared" si="193"/>
        <v>#N/A</v>
      </c>
      <c r="CE139" s="60">
        <f t="shared" si="194"/>
        <v>100000</v>
      </c>
      <c r="CF139" s="83" t="e">
        <f t="shared" si="183"/>
        <v>#N/A</v>
      </c>
      <c r="CG139" s="83">
        <f t="shared" si="184"/>
        <v>0</v>
      </c>
      <c r="CH139" s="83" t="e">
        <f t="shared" si="185"/>
        <v>#N/A</v>
      </c>
      <c r="CI139" s="83">
        <f t="shared" si="186"/>
        <v>0</v>
      </c>
      <c r="CJ139" s="86" t="e">
        <f t="shared" si="195"/>
        <v>#N/A</v>
      </c>
      <c r="CK139" s="82">
        <f t="shared" si="196"/>
        <v>5.3070370403969858E-3</v>
      </c>
      <c r="CL139" s="82" t="e">
        <f t="shared" si="197"/>
        <v>#N/A</v>
      </c>
      <c r="CM139" s="82">
        <f t="shared" si="198"/>
        <v>5.3070370403969858E-3</v>
      </c>
      <c r="CO139" s="149" t="str">
        <f>IF($I139&lt;&gt;"",IF(O139="User Specified",U139,INDEX('Refrigerant GWPs'!$G$2:$G$156,MATCH(O139,'Refrigerant GWPs'!$A$2:$A$156,0))),"")</f>
        <v/>
      </c>
      <c r="CP139" s="138" t="str">
        <f>IF($I139&lt;&gt;"",INDEX('Device Refrigerant Leakage'!$E$2:$E$42,MATCH($M139,'Device Refrigerant Leakage'!$B$2:$B$42,0)),"")</f>
        <v/>
      </c>
      <c r="CQ139" s="138" t="str">
        <f>IF($I139&lt;&gt;"",INDEX('Device Refrigerant Leakage'!$F$2:$F$42,MATCH($M139,'Device Refrigerant Leakage'!$B$2:$B$42,0)),"")</f>
        <v/>
      </c>
      <c r="CR139" s="145" t="str">
        <f>IF($I139&lt;&gt;"",INDEX('Device Refrigerant Leakage'!$G$2:$G$42,MATCH($M139,'Device Refrigerant Leakage'!$B$2:$B$42,0)),"")</f>
        <v/>
      </c>
      <c r="CS139" s="145" t="str">
        <f>IF($I139&lt;&gt;"",INDEX('Device Refrigerant Leakage'!$D$2:$D$42,MATCH($M139,'Device Refrigerant Leakage'!$B$2:$B$42,0))*CP139/2204.62*CO139,"")</f>
        <v/>
      </c>
      <c r="CT139" s="145" t="str">
        <f>IF($I139&lt;&gt;"",J139*(INDEX('Device Refrigerant Leakage'!$D$2:$D$42,MATCH($M139,'Device Refrigerant Leakage'!$B$2:$B$42,0))-(INDEX('Device Refrigerant Leakage'!$D$2:$D$42,MATCH($M139,'Device Refrigerant Leakage'!$B$2:$B$42,0)))*CR139*CP139)*CQ139/2204.62*CO139,"")</f>
        <v/>
      </c>
      <c r="CU139" s="135" t="str">
        <f>IF($I139&lt;&gt;"",J139*IF(W139&lt;&gt;"AR",(CS139*K139)+CT139,(CS139*AB139)+CT139*(AB139/INDEX('Device Refrigerant Leakage'!$C$2:$C$42,MATCH($M139,'Device Refrigerant Leakage'!$B$2:$B$42,0)))),"")</f>
        <v/>
      </c>
      <c r="CW139" s="135" t="str">
        <f>IF($I139&lt;&gt;"",IF(S139="User Specified",V139,INDEX('Refrigerant GWPs'!$G$2:$G$156,MATCH(S139,'Refrigerant GWPs'!$A$2:$A$157,0))),"")</f>
        <v/>
      </c>
      <c r="CX139" s="138" t="str">
        <f>IF($I139&lt;&gt;"",INDEX('Device Refrigerant Leakage'!$E$2:$E$42,MATCH($Q139,'Device Refrigerant Leakage'!$B$2:$B$42,0)),"")</f>
        <v/>
      </c>
      <c r="CY139" s="138" t="str">
        <f>IF($I139&lt;&gt;"",INDEX('Device Refrigerant Leakage'!$F$2:$F$42,MATCH($Q139,'Device Refrigerant Leakage'!$B$2:$B$42,0)),"")</f>
        <v/>
      </c>
      <c r="CZ139" s="145" t="str">
        <f>IF($I139&lt;&gt;"",INDEX('Device Refrigerant Leakage'!$G$2:$G$42,MATCH($Q139,'Device Refrigerant Leakage'!$B$2:$B$42,0)),"")</f>
        <v/>
      </c>
      <c r="DA139" s="145" t="str">
        <f>IF($I139&lt;&gt;"",J139*INDEX('Device Refrigerant Leakage'!$D$2:$D$42,MATCH($Q139,'Device Refrigerant Leakage'!$B$2:$B$42,0))*CX139/2204.62*CW139,"")</f>
        <v/>
      </c>
      <c r="DB139" s="145" t="str">
        <f>IF($I139&lt;&gt;"",J139*(INDEX('Device Refrigerant Leakage'!$D$2:$D$42,MATCH($Q139,'Device Refrigerant Leakage'!$B$2:$B$42,0))-(INDEX('Device Refrigerant Leakage'!$D$2:$D$42,MATCH($Q139,'Device Refrigerant Leakage'!$B$2:$B$42,0)))*CZ139*CX139)*CY139/2204.62*CW139,"")</f>
        <v/>
      </c>
      <c r="DC139" s="135" t="str">
        <f t="shared" si="163"/>
        <v/>
      </c>
      <c r="DE139" s="146" t="str">
        <f>IF(W139&lt;&gt;"AR","",IF(Y139="User Specified", AA139, INDEX('Refrigerant GWPs'!$G$2:$G$154,MATCH(Y139,'Refrigerant GWPs'!$A$2:$A$154,0))))</f>
        <v/>
      </c>
      <c r="DF139" s="146" t="str">
        <f>IF(W139&lt;&gt;"AR","",INDEX('Device Refrigerant Leakage'!$E$2:$E$42,MATCH(X139,'Device Refrigerant Leakage'!$B$2:$B$42,0)))</f>
        <v/>
      </c>
      <c r="DG139" s="146" t="str">
        <f>IF(W139&lt;&gt;"AR","",INDEX('Device Refrigerant Leakage'!$F$2:$F$42,MATCH(X139,'Device Refrigerant Leakage'!$B$2:$B$42,0)))</f>
        <v/>
      </c>
      <c r="DH139" s="146" t="str">
        <f>IF(W139&lt;&gt;"AR","",INDEX('Device Refrigerant Leakage'!$G$2:$G$42,MATCH(X139,'Device Refrigerant Leakage'!$B$2:$B$42,0)))</f>
        <v/>
      </c>
      <c r="DI139" s="146" t="str">
        <f>IF(W139&lt;&gt;"AR","",J139*INDEX('Device Refrigerant Leakage'!$D$2:$D$42,MATCH(X139,'Device Refrigerant Leakage'!$B$2:$B$42,0))*DF139/2204.62*DE139)</f>
        <v/>
      </c>
      <c r="DJ139" s="146" t="str">
        <f>IF(W139&lt;&gt;"AR","",J139*(INDEX('Device Refrigerant Leakage'!$D$2:$D$42,MATCH(X139,'Device Refrigerant Leakage'!$B$2:$B$42,0))-(INDEX('Device Refrigerant Leakage'!$D$2:$D$42,MATCH(X139,'Device Refrigerant Leakage'!$B$2:$B$42,0)))*DH139*DF139)*DG139/2204.62*DE139)</f>
        <v/>
      </c>
      <c r="DK139" s="146" t="str">
        <f>IF(W139&lt;&gt;"AR","",DI139*(K139-AB139)+'Fuel Sub Calcs-Deemed'!DJ139*((K139-AB139)/INDEX('Device Refrigerant Leakage'!$C$2:$C$42,MATCH('Fuel Sub Calcs-Deemed'!X139,'Device Refrigerant Leakage'!$B$2:$B$42,0))))</f>
        <v/>
      </c>
      <c r="DM139" s="56">
        <v>125</v>
      </c>
      <c r="DN139" s="67" t="e">
        <f t="shared" si="143"/>
        <v>#N/A</v>
      </c>
      <c r="DO139" s="45" t="e">
        <f t="shared" si="144"/>
        <v>#N/A</v>
      </c>
      <c r="DP139" s="67" t="e">
        <f t="shared" si="145"/>
        <v>#N/A</v>
      </c>
      <c r="DQ139" s="45" t="e">
        <f t="shared" si="146"/>
        <v>#N/A</v>
      </c>
      <c r="DR139" s="69" t="e">
        <f t="shared" si="147"/>
        <v>#N/A</v>
      </c>
      <c r="DS139" s="34"/>
      <c r="DT139" s="67" t="e">
        <f>((BX139*CJ139)+IF($W139=MAT_AR,(BZ139*CL139),0))*(1+Reference!$E$50+Reference!$E$51)</f>
        <v>#N/A</v>
      </c>
      <c r="DU139" s="67">
        <f>((BY139*CK139)+IF($W139=MAT_AR,(CA139*CM139),0))*(1+Reference!$G$50+Reference!$G$51)</f>
        <v>0</v>
      </c>
      <c r="DV139" s="67" t="e">
        <f t="shared" si="148"/>
        <v>#VALUE!</v>
      </c>
      <c r="DX139" s="56">
        <v>125</v>
      </c>
      <c r="DY139" s="67">
        <f t="shared" si="149"/>
        <v>0</v>
      </c>
      <c r="DZ139" s="45" t="e">
        <f>VLOOKUP($R139,Dropdown!$C$3:$D$4,2,FALSE)</f>
        <v>#N/A</v>
      </c>
      <c r="EA139" s="68">
        <f t="shared" si="150"/>
        <v>0</v>
      </c>
      <c r="EB139" s="68" t="str">
        <f t="shared" si="151"/>
        <v>N/A</v>
      </c>
      <c r="EC139" s="68">
        <f t="shared" si="152"/>
        <v>0</v>
      </c>
      <c r="ED139" s="68" t="str">
        <f t="shared" si="199"/>
        <v>N/A</v>
      </c>
      <c r="EF139" s="56">
        <v>125</v>
      </c>
      <c r="EG139" s="46">
        <f t="shared" si="154"/>
        <v>0</v>
      </c>
      <c r="EH139" s="68" t="e">
        <f t="shared" si="155"/>
        <v>#N/A</v>
      </c>
      <c r="EI139" s="68" t="e">
        <f t="shared" si="156"/>
        <v>#N/A</v>
      </c>
      <c r="EJ139" s="68" t="e">
        <f t="shared" si="157"/>
        <v>#N/A</v>
      </c>
      <c r="EK139" s="68" t="e">
        <f t="shared" si="158"/>
        <v>#N/A</v>
      </c>
      <c r="EL139" s="46">
        <f t="shared" si="159"/>
        <v>0</v>
      </c>
      <c r="EM139" s="46">
        <f t="shared" si="160"/>
        <v>0</v>
      </c>
    </row>
    <row r="140" spans="1:143">
      <c r="A140" s="89"/>
      <c r="B140" s="89"/>
      <c r="C140" s="89"/>
      <c r="D140" s="89"/>
      <c r="E140" s="89"/>
      <c r="F140" s="89"/>
      <c r="G140" s="34"/>
      <c r="H140" s="56">
        <f t="shared" si="161"/>
        <v>126</v>
      </c>
      <c r="I140" s="165"/>
      <c r="J140" s="163"/>
      <c r="K140" s="163"/>
      <c r="L140" s="164"/>
      <c r="M140" s="155"/>
      <c r="N140" s="155"/>
      <c r="O140" s="144"/>
      <c r="P140" s="159" t="str">
        <f>IFERROR(IF(O140&lt;&gt;"User Specified",IF(O140&lt;&gt;"", INDEX('Refrigerant GWPs'!$G$2:$G$154,MATCH(O140,'Refrigerant GWPs'!$A$2:$A$154,0)),""),U140),0)</f>
        <v/>
      </c>
      <c r="Q140" s="155"/>
      <c r="R140" s="155"/>
      <c r="S140" s="144"/>
      <c r="T140" s="159" t="str">
        <f>IF(S140&lt;&gt;"User Specified",IF(AND(S140&lt;&gt;"User Specified",S140&lt;&gt;""), INDEX('Refrigerant GWPs'!$G$2:$G$154,MATCH(S140,'Refrigerant GWPs'!$A$2:$A$154,0)),""),V140)</f>
        <v/>
      </c>
      <c r="U140" s="144"/>
      <c r="V140" s="144"/>
      <c r="W140" s="155"/>
      <c r="X140" s="155"/>
      <c r="Y140" s="144"/>
      <c r="Z140" s="159" t="str">
        <f>IF(AND(Y140&lt;&gt;"User Specified",Y140&lt;&gt;""), INDEX('Refrigerant GWPs'!$G$2:$G$154,MATCH(Y140,'Refrigerant GWPs'!$A$2:$A$154,0)),"")</f>
        <v/>
      </c>
      <c r="AA140" s="155"/>
      <c r="AB140" s="156"/>
      <c r="AC140" s="66"/>
      <c r="AD140" s="66"/>
      <c r="AE140" s="66"/>
      <c r="AF140" s="66"/>
      <c r="AG140" s="66"/>
      <c r="AH140" s="66"/>
      <c r="AI140" s="34"/>
      <c r="AJ140" s="88">
        <f t="shared" si="119"/>
        <v>0</v>
      </c>
      <c r="AK140" s="88">
        <f t="shared" si="120"/>
        <v>0</v>
      </c>
      <c r="AL140" s="88">
        <v>0</v>
      </c>
      <c r="AM140" s="88">
        <v>0</v>
      </c>
      <c r="AN140" s="81" t="str">
        <f t="shared" si="162"/>
        <v/>
      </c>
      <c r="AO140" s="88">
        <f t="shared" si="121"/>
        <v>0</v>
      </c>
      <c r="AP140" s="88">
        <f t="shared" si="122"/>
        <v>0</v>
      </c>
      <c r="AQ140" s="81" t="str">
        <f t="shared" si="123"/>
        <v/>
      </c>
      <c r="AS140" s="41" t="b">
        <f t="shared" si="124"/>
        <v>1</v>
      </c>
      <c r="AT140" s="38">
        <f t="shared" si="125"/>
        <v>0</v>
      </c>
      <c r="AU140" s="60">
        <f t="shared" si="126"/>
        <v>0</v>
      </c>
      <c r="AV140" s="41">
        <f t="shared" si="127"/>
        <v>0</v>
      </c>
      <c r="AW140" s="41" t="b">
        <f t="shared" si="128"/>
        <v>0</v>
      </c>
      <c r="AX140" t="str">
        <f t="shared" si="129"/>
        <v>+00</v>
      </c>
      <c r="AY140" t="str">
        <f t="shared" si="130"/>
        <v>+00</v>
      </c>
      <c r="BA140" s="47" t="b">
        <f t="shared" si="164"/>
        <v>1</v>
      </c>
      <c r="BB140" s="42" t="b">
        <f t="shared" si="165"/>
        <v>1</v>
      </c>
      <c r="BC140" s="42" t="b">
        <f t="shared" si="166"/>
        <v>0</v>
      </c>
      <c r="BD140" s="42" t="b">
        <f t="shared" si="167"/>
        <v>0</v>
      </c>
      <c r="BE140" s="70">
        <f t="shared" si="168"/>
        <v>0</v>
      </c>
      <c r="BF140" s="70">
        <f t="shared" si="169"/>
        <v>0</v>
      </c>
      <c r="BG140" s="34"/>
      <c r="BI140" s="47" t="b">
        <f t="shared" si="170"/>
        <v>1</v>
      </c>
      <c r="BJ140" s="47" t="b">
        <f t="shared" si="171"/>
        <v>1</v>
      </c>
      <c r="BK140" s="42" t="b">
        <f t="shared" si="172"/>
        <v>0</v>
      </c>
      <c r="BL140" s="42" t="b">
        <f t="shared" si="173"/>
        <v>0</v>
      </c>
      <c r="BM140" s="42">
        <f t="shared" si="174"/>
        <v>0</v>
      </c>
      <c r="BN140" s="42">
        <f t="shared" si="175"/>
        <v>0</v>
      </c>
      <c r="BP140" t="e">
        <f t="shared" si="176"/>
        <v>#N/A</v>
      </c>
      <c r="BQ140" t="e">
        <f t="shared" si="177"/>
        <v>#N/A</v>
      </c>
      <c r="BR140" t="e">
        <f t="shared" si="178"/>
        <v>#N/A</v>
      </c>
      <c r="BT140" s="60">
        <f t="shared" si="187"/>
        <v>0</v>
      </c>
      <c r="BU140" s="60">
        <f t="shared" si="188"/>
        <v>0</v>
      </c>
      <c r="BV140" s="60">
        <f t="shared" si="189"/>
        <v>0</v>
      </c>
      <c r="BW140" s="60">
        <f t="shared" si="190"/>
        <v>0</v>
      </c>
      <c r="BX140" s="60">
        <f t="shared" si="179"/>
        <v>0</v>
      </c>
      <c r="BY140" s="60">
        <f t="shared" si="180"/>
        <v>0</v>
      </c>
      <c r="BZ140" s="60">
        <f t="shared" si="181"/>
        <v>0</v>
      </c>
      <c r="CA140" s="60">
        <f t="shared" si="182"/>
        <v>0</v>
      </c>
      <c r="CB140" s="60" t="e">
        <f t="shared" si="191"/>
        <v>#N/A</v>
      </c>
      <c r="CC140" s="60">
        <f t="shared" si="192"/>
        <v>100000</v>
      </c>
      <c r="CD140" s="60" t="e">
        <f t="shared" si="193"/>
        <v>#N/A</v>
      </c>
      <c r="CE140" s="60">
        <f t="shared" si="194"/>
        <v>100000</v>
      </c>
      <c r="CF140" s="83" t="e">
        <f t="shared" si="183"/>
        <v>#N/A</v>
      </c>
      <c r="CG140" s="83">
        <f t="shared" si="184"/>
        <v>0</v>
      </c>
      <c r="CH140" s="83" t="e">
        <f t="shared" si="185"/>
        <v>#N/A</v>
      </c>
      <c r="CI140" s="83">
        <f t="shared" si="186"/>
        <v>0</v>
      </c>
      <c r="CJ140" s="86" t="e">
        <f t="shared" si="195"/>
        <v>#N/A</v>
      </c>
      <c r="CK140" s="82">
        <f t="shared" si="196"/>
        <v>5.3070370403969858E-3</v>
      </c>
      <c r="CL140" s="82" t="e">
        <f t="shared" si="197"/>
        <v>#N/A</v>
      </c>
      <c r="CM140" s="82">
        <f t="shared" si="198"/>
        <v>5.3070370403969858E-3</v>
      </c>
      <c r="CO140" s="149" t="str">
        <f>IF($I140&lt;&gt;"",IF(O140="User Specified",U140,INDEX('Refrigerant GWPs'!$G$2:$G$156,MATCH(O140,'Refrigerant GWPs'!$A$2:$A$156,0))),"")</f>
        <v/>
      </c>
      <c r="CP140" s="138" t="str">
        <f>IF($I140&lt;&gt;"",INDEX('Device Refrigerant Leakage'!$E$2:$E$42,MATCH($M140,'Device Refrigerant Leakage'!$B$2:$B$42,0)),"")</f>
        <v/>
      </c>
      <c r="CQ140" s="138" t="str">
        <f>IF($I140&lt;&gt;"",INDEX('Device Refrigerant Leakage'!$F$2:$F$42,MATCH($M140,'Device Refrigerant Leakage'!$B$2:$B$42,0)),"")</f>
        <v/>
      </c>
      <c r="CR140" s="145" t="str">
        <f>IF($I140&lt;&gt;"",INDEX('Device Refrigerant Leakage'!$G$2:$G$42,MATCH($M140,'Device Refrigerant Leakage'!$B$2:$B$42,0)),"")</f>
        <v/>
      </c>
      <c r="CS140" s="145" t="str">
        <f>IF($I140&lt;&gt;"",INDEX('Device Refrigerant Leakage'!$D$2:$D$42,MATCH($M140,'Device Refrigerant Leakage'!$B$2:$B$42,0))*CP140/2204.62*CO140,"")</f>
        <v/>
      </c>
      <c r="CT140" s="145" t="str">
        <f>IF($I140&lt;&gt;"",J140*(INDEX('Device Refrigerant Leakage'!$D$2:$D$42,MATCH($M140,'Device Refrigerant Leakage'!$B$2:$B$42,0))-(INDEX('Device Refrigerant Leakage'!$D$2:$D$42,MATCH($M140,'Device Refrigerant Leakage'!$B$2:$B$42,0)))*CR140*CP140)*CQ140/2204.62*CO140,"")</f>
        <v/>
      </c>
      <c r="CU140" s="135" t="str">
        <f>IF($I140&lt;&gt;"",J140*IF(W140&lt;&gt;"AR",(CS140*K140)+CT140,(CS140*AB140)+CT140*(AB140/INDEX('Device Refrigerant Leakage'!$C$2:$C$42,MATCH($M140,'Device Refrigerant Leakage'!$B$2:$B$42,0)))),"")</f>
        <v/>
      </c>
      <c r="CW140" s="135" t="str">
        <f>IF($I140&lt;&gt;"",IF(S140="User Specified",V140,INDEX('Refrigerant GWPs'!$G$2:$G$156,MATCH(S140,'Refrigerant GWPs'!$A$2:$A$157,0))),"")</f>
        <v/>
      </c>
      <c r="CX140" s="138" t="str">
        <f>IF($I140&lt;&gt;"",INDEX('Device Refrigerant Leakage'!$E$2:$E$42,MATCH($Q140,'Device Refrigerant Leakage'!$B$2:$B$42,0)),"")</f>
        <v/>
      </c>
      <c r="CY140" s="138" t="str">
        <f>IF($I140&lt;&gt;"",INDEX('Device Refrigerant Leakage'!$F$2:$F$42,MATCH($Q140,'Device Refrigerant Leakage'!$B$2:$B$42,0)),"")</f>
        <v/>
      </c>
      <c r="CZ140" s="145" t="str">
        <f>IF($I140&lt;&gt;"",INDEX('Device Refrigerant Leakage'!$G$2:$G$42,MATCH($Q140,'Device Refrigerant Leakage'!$B$2:$B$42,0)),"")</f>
        <v/>
      </c>
      <c r="DA140" s="145" t="str">
        <f>IF($I140&lt;&gt;"",J140*INDEX('Device Refrigerant Leakage'!$D$2:$D$42,MATCH($Q140,'Device Refrigerant Leakage'!$B$2:$B$42,0))*CX140/2204.62*CW140,"")</f>
        <v/>
      </c>
      <c r="DB140" s="145" t="str">
        <f>IF($I140&lt;&gt;"",J140*(INDEX('Device Refrigerant Leakage'!$D$2:$D$42,MATCH($Q140,'Device Refrigerant Leakage'!$B$2:$B$42,0))-(INDEX('Device Refrigerant Leakage'!$D$2:$D$42,MATCH($Q140,'Device Refrigerant Leakage'!$B$2:$B$42,0)))*CZ140*CX140)*CY140/2204.62*CW140,"")</f>
        <v/>
      </c>
      <c r="DC140" s="135" t="str">
        <f t="shared" si="163"/>
        <v/>
      </c>
      <c r="DE140" s="146" t="str">
        <f>IF(W140&lt;&gt;"AR","",IF(Y140="User Specified", AA140, INDEX('Refrigerant GWPs'!$G$2:$G$154,MATCH(Y140,'Refrigerant GWPs'!$A$2:$A$154,0))))</f>
        <v/>
      </c>
      <c r="DF140" s="146" t="str">
        <f>IF(W140&lt;&gt;"AR","",INDEX('Device Refrigerant Leakage'!$E$2:$E$42,MATCH(X140,'Device Refrigerant Leakage'!$B$2:$B$42,0)))</f>
        <v/>
      </c>
      <c r="DG140" s="146" t="str">
        <f>IF(W140&lt;&gt;"AR","",INDEX('Device Refrigerant Leakage'!$F$2:$F$42,MATCH(X140,'Device Refrigerant Leakage'!$B$2:$B$42,0)))</f>
        <v/>
      </c>
      <c r="DH140" s="146" t="str">
        <f>IF(W140&lt;&gt;"AR","",INDEX('Device Refrigerant Leakage'!$G$2:$G$42,MATCH(X140,'Device Refrigerant Leakage'!$B$2:$B$42,0)))</f>
        <v/>
      </c>
      <c r="DI140" s="146" t="str">
        <f>IF(W140&lt;&gt;"AR","",J140*INDEX('Device Refrigerant Leakage'!$D$2:$D$42,MATCH(X140,'Device Refrigerant Leakage'!$B$2:$B$42,0))*DF140/2204.62*DE140)</f>
        <v/>
      </c>
      <c r="DJ140" s="146" t="str">
        <f>IF(W140&lt;&gt;"AR","",J140*(INDEX('Device Refrigerant Leakage'!$D$2:$D$42,MATCH(X140,'Device Refrigerant Leakage'!$B$2:$B$42,0))-(INDEX('Device Refrigerant Leakage'!$D$2:$D$42,MATCH(X140,'Device Refrigerant Leakage'!$B$2:$B$42,0)))*DH140*DF140)*DG140/2204.62*DE140)</f>
        <v/>
      </c>
      <c r="DK140" s="146" t="str">
        <f>IF(W140&lt;&gt;"AR","",DI140*(K140-AB140)+'Fuel Sub Calcs-Deemed'!DJ140*((K140-AB140)/INDEX('Device Refrigerant Leakage'!$C$2:$C$42,MATCH('Fuel Sub Calcs-Deemed'!X140,'Device Refrigerant Leakage'!$B$2:$B$42,0))))</f>
        <v/>
      </c>
      <c r="DM140" s="56">
        <v>126</v>
      </c>
      <c r="DN140" s="67" t="e">
        <f t="shared" si="143"/>
        <v>#N/A</v>
      </c>
      <c r="DO140" s="45" t="e">
        <f t="shared" si="144"/>
        <v>#N/A</v>
      </c>
      <c r="DP140" s="67" t="e">
        <f t="shared" si="145"/>
        <v>#N/A</v>
      </c>
      <c r="DQ140" s="45" t="e">
        <f t="shared" si="146"/>
        <v>#N/A</v>
      </c>
      <c r="DR140" s="69" t="e">
        <f t="shared" si="147"/>
        <v>#N/A</v>
      </c>
      <c r="DS140" s="34"/>
      <c r="DT140" s="67" t="e">
        <f>((BX140*CJ140)+IF($W140=MAT_AR,(BZ140*CL140),0))*(1+Reference!$E$50+Reference!$E$51)</f>
        <v>#N/A</v>
      </c>
      <c r="DU140" s="67">
        <f>((BY140*CK140)+IF($W140=MAT_AR,(CA140*CM140),0))*(1+Reference!$G$50+Reference!$G$51)</f>
        <v>0</v>
      </c>
      <c r="DV140" s="67" t="e">
        <f t="shared" si="148"/>
        <v>#VALUE!</v>
      </c>
      <c r="DX140" s="56">
        <v>126</v>
      </c>
      <c r="DY140" s="67">
        <f t="shared" si="149"/>
        <v>0</v>
      </c>
      <c r="DZ140" s="45" t="e">
        <f>VLOOKUP($R140,Dropdown!$C$3:$D$4,2,FALSE)</f>
        <v>#N/A</v>
      </c>
      <c r="EA140" s="68">
        <f t="shared" si="150"/>
        <v>0</v>
      </c>
      <c r="EB140" s="68" t="str">
        <f t="shared" si="151"/>
        <v>N/A</v>
      </c>
      <c r="EC140" s="68">
        <f t="shared" si="152"/>
        <v>0</v>
      </c>
      <c r="ED140" s="68" t="str">
        <f t="shared" si="199"/>
        <v>N/A</v>
      </c>
      <c r="EF140" s="56">
        <v>126</v>
      </c>
      <c r="EG140" s="46">
        <f t="shared" si="154"/>
        <v>0</v>
      </c>
      <c r="EH140" s="68" t="e">
        <f t="shared" si="155"/>
        <v>#N/A</v>
      </c>
      <c r="EI140" s="68" t="e">
        <f t="shared" si="156"/>
        <v>#N/A</v>
      </c>
      <c r="EJ140" s="68" t="e">
        <f t="shared" si="157"/>
        <v>#N/A</v>
      </c>
      <c r="EK140" s="68" t="e">
        <f t="shared" si="158"/>
        <v>#N/A</v>
      </c>
      <c r="EL140" s="46">
        <f t="shared" si="159"/>
        <v>0</v>
      </c>
      <c r="EM140" s="46">
        <f t="shared" si="160"/>
        <v>0</v>
      </c>
    </row>
    <row r="141" spans="1:143">
      <c r="A141" s="89"/>
      <c r="B141" s="89"/>
      <c r="C141" s="89"/>
      <c r="D141" s="89"/>
      <c r="E141" s="89"/>
      <c r="F141" s="89"/>
      <c r="G141" s="34"/>
      <c r="H141" s="56">
        <f t="shared" si="161"/>
        <v>127</v>
      </c>
      <c r="I141" s="165"/>
      <c r="J141" s="163"/>
      <c r="K141" s="163"/>
      <c r="L141" s="164"/>
      <c r="M141" s="155"/>
      <c r="N141" s="155"/>
      <c r="O141" s="144"/>
      <c r="P141" s="159" t="str">
        <f>IFERROR(IF(O141&lt;&gt;"User Specified",IF(O141&lt;&gt;"", INDEX('Refrigerant GWPs'!$G$2:$G$154,MATCH(O141,'Refrigerant GWPs'!$A$2:$A$154,0)),""),U141),0)</f>
        <v/>
      </c>
      <c r="Q141" s="155"/>
      <c r="R141" s="155"/>
      <c r="S141" s="144"/>
      <c r="T141" s="159" t="str">
        <f>IF(S141&lt;&gt;"User Specified",IF(AND(S141&lt;&gt;"User Specified",S141&lt;&gt;""), INDEX('Refrigerant GWPs'!$G$2:$G$154,MATCH(S141,'Refrigerant GWPs'!$A$2:$A$154,0)),""),V141)</f>
        <v/>
      </c>
      <c r="U141" s="144"/>
      <c r="V141" s="144"/>
      <c r="W141" s="155"/>
      <c r="X141" s="155"/>
      <c r="Y141" s="144"/>
      <c r="Z141" s="159" t="str">
        <f>IF(AND(Y141&lt;&gt;"User Specified",Y141&lt;&gt;""), INDEX('Refrigerant GWPs'!$G$2:$G$154,MATCH(Y141,'Refrigerant GWPs'!$A$2:$A$154,0)),"")</f>
        <v/>
      </c>
      <c r="AA141" s="155"/>
      <c r="AB141" s="156"/>
      <c r="AC141" s="66"/>
      <c r="AD141" s="66"/>
      <c r="AE141" s="66"/>
      <c r="AF141" s="66"/>
      <c r="AG141" s="66"/>
      <c r="AH141" s="66"/>
      <c r="AI141" s="34"/>
      <c r="AJ141" s="88">
        <f t="shared" si="119"/>
        <v>0</v>
      </c>
      <c r="AK141" s="88">
        <f t="shared" si="120"/>
        <v>0</v>
      </c>
      <c r="AL141" s="88">
        <v>0</v>
      </c>
      <c r="AM141" s="88">
        <v>0</v>
      </c>
      <c r="AN141" s="81" t="str">
        <f t="shared" si="162"/>
        <v/>
      </c>
      <c r="AO141" s="88">
        <f t="shared" si="121"/>
        <v>0</v>
      </c>
      <c r="AP141" s="88">
        <f t="shared" si="122"/>
        <v>0</v>
      </c>
      <c r="AQ141" s="81" t="str">
        <f t="shared" si="123"/>
        <v/>
      </c>
      <c r="AS141" s="41" t="b">
        <f t="shared" si="124"/>
        <v>1</v>
      </c>
      <c r="AT141" s="38">
        <f t="shared" si="125"/>
        <v>0</v>
      </c>
      <c r="AU141" s="60">
        <f t="shared" si="126"/>
        <v>0</v>
      </c>
      <c r="AV141" s="41">
        <f t="shared" si="127"/>
        <v>0</v>
      </c>
      <c r="AW141" s="41" t="b">
        <f t="shared" si="128"/>
        <v>0</v>
      </c>
      <c r="AX141" t="str">
        <f t="shared" si="129"/>
        <v>+00</v>
      </c>
      <c r="AY141" t="str">
        <f t="shared" si="130"/>
        <v>+00</v>
      </c>
      <c r="BA141" s="47" t="b">
        <f t="shared" si="164"/>
        <v>1</v>
      </c>
      <c r="BB141" s="42" t="b">
        <f t="shared" si="165"/>
        <v>1</v>
      </c>
      <c r="BC141" s="42" t="b">
        <f t="shared" si="166"/>
        <v>0</v>
      </c>
      <c r="BD141" s="42" t="b">
        <f t="shared" si="167"/>
        <v>0</v>
      </c>
      <c r="BE141" s="70">
        <f t="shared" si="168"/>
        <v>0</v>
      </c>
      <c r="BF141" s="70">
        <f t="shared" si="169"/>
        <v>0</v>
      </c>
      <c r="BG141" s="34"/>
      <c r="BI141" s="47" t="b">
        <f t="shared" si="170"/>
        <v>1</v>
      </c>
      <c r="BJ141" s="47" t="b">
        <f t="shared" si="171"/>
        <v>1</v>
      </c>
      <c r="BK141" s="42" t="b">
        <f t="shared" si="172"/>
        <v>0</v>
      </c>
      <c r="BL141" s="42" t="b">
        <f t="shared" si="173"/>
        <v>0</v>
      </c>
      <c r="BM141" s="42">
        <f t="shared" si="174"/>
        <v>0</v>
      </c>
      <c r="BN141" s="42">
        <f t="shared" si="175"/>
        <v>0</v>
      </c>
      <c r="BP141" t="e">
        <f t="shared" si="176"/>
        <v>#N/A</v>
      </c>
      <c r="BQ141" t="e">
        <f t="shared" si="177"/>
        <v>#N/A</v>
      </c>
      <c r="BR141" t="e">
        <f t="shared" si="178"/>
        <v>#N/A</v>
      </c>
      <c r="BT141" s="60">
        <f t="shared" si="187"/>
        <v>0</v>
      </c>
      <c r="BU141" s="60">
        <f t="shared" si="188"/>
        <v>0</v>
      </c>
      <c r="BV141" s="60">
        <f t="shared" si="189"/>
        <v>0</v>
      </c>
      <c r="BW141" s="60">
        <f t="shared" si="190"/>
        <v>0</v>
      </c>
      <c r="BX141" s="60">
        <f t="shared" si="179"/>
        <v>0</v>
      </c>
      <c r="BY141" s="60">
        <f t="shared" si="180"/>
        <v>0</v>
      </c>
      <c r="BZ141" s="60">
        <f t="shared" si="181"/>
        <v>0</v>
      </c>
      <c r="CA141" s="60">
        <f t="shared" si="182"/>
        <v>0</v>
      </c>
      <c r="CB141" s="60" t="e">
        <f t="shared" si="191"/>
        <v>#N/A</v>
      </c>
      <c r="CC141" s="60">
        <f t="shared" si="192"/>
        <v>100000</v>
      </c>
      <c r="CD141" s="60" t="e">
        <f t="shared" si="193"/>
        <v>#N/A</v>
      </c>
      <c r="CE141" s="60">
        <f t="shared" si="194"/>
        <v>100000</v>
      </c>
      <c r="CF141" s="83" t="e">
        <f t="shared" si="183"/>
        <v>#N/A</v>
      </c>
      <c r="CG141" s="83">
        <f t="shared" si="184"/>
        <v>0</v>
      </c>
      <c r="CH141" s="83" t="e">
        <f t="shared" si="185"/>
        <v>#N/A</v>
      </c>
      <c r="CI141" s="83">
        <f t="shared" si="186"/>
        <v>0</v>
      </c>
      <c r="CJ141" s="86" t="e">
        <f t="shared" si="195"/>
        <v>#N/A</v>
      </c>
      <c r="CK141" s="82">
        <f t="shared" si="196"/>
        <v>5.3070370403969858E-3</v>
      </c>
      <c r="CL141" s="82" t="e">
        <f t="shared" si="197"/>
        <v>#N/A</v>
      </c>
      <c r="CM141" s="82">
        <f t="shared" si="198"/>
        <v>5.3070370403969858E-3</v>
      </c>
      <c r="CO141" s="149" t="str">
        <f>IF($I141&lt;&gt;"",IF(O141="User Specified",U141,INDEX('Refrigerant GWPs'!$G$2:$G$156,MATCH(O141,'Refrigerant GWPs'!$A$2:$A$156,0))),"")</f>
        <v/>
      </c>
      <c r="CP141" s="138" t="str">
        <f>IF($I141&lt;&gt;"",INDEX('Device Refrigerant Leakage'!$E$2:$E$42,MATCH($M141,'Device Refrigerant Leakage'!$B$2:$B$42,0)),"")</f>
        <v/>
      </c>
      <c r="CQ141" s="138" t="str">
        <f>IF($I141&lt;&gt;"",INDEX('Device Refrigerant Leakage'!$F$2:$F$42,MATCH($M141,'Device Refrigerant Leakage'!$B$2:$B$42,0)),"")</f>
        <v/>
      </c>
      <c r="CR141" s="145" t="str">
        <f>IF($I141&lt;&gt;"",INDEX('Device Refrigerant Leakage'!$G$2:$G$42,MATCH($M141,'Device Refrigerant Leakage'!$B$2:$B$42,0)),"")</f>
        <v/>
      </c>
      <c r="CS141" s="145" t="str">
        <f>IF($I141&lt;&gt;"",INDEX('Device Refrigerant Leakage'!$D$2:$D$42,MATCH($M141,'Device Refrigerant Leakage'!$B$2:$B$42,0))*CP141/2204.62*CO141,"")</f>
        <v/>
      </c>
      <c r="CT141" s="145" t="str">
        <f>IF($I141&lt;&gt;"",J141*(INDEX('Device Refrigerant Leakage'!$D$2:$D$42,MATCH($M141,'Device Refrigerant Leakage'!$B$2:$B$42,0))-(INDEX('Device Refrigerant Leakage'!$D$2:$D$42,MATCH($M141,'Device Refrigerant Leakage'!$B$2:$B$42,0)))*CR141*CP141)*CQ141/2204.62*CO141,"")</f>
        <v/>
      </c>
      <c r="CU141" s="135" t="str">
        <f>IF($I141&lt;&gt;"",J141*IF(W141&lt;&gt;"AR",(CS141*K141)+CT141,(CS141*AB141)+CT141*(AB141/INDEX('Device Refrigerant Leakage'!$C$2:$C$42,MATCH($M141,'Device Refrigerant Leakage'!$B$2:$B$42,0)))),"")</f>
        <v/>
      </c>
      <c r="CW141" s="135" t="str">
        <f>IF($I141&lt;&gt;"",IF(S141="User Specified",V141,INDEX('Refrigerant GWPs'!$G$2:$G$156,MATCH(S141,'Refrigerant GWPs'!$A$2:$A$157,0))),"")</f>
        <v/>
      </c>
      <c r="CX141" s="138" t="str">
        <f>IF($I141&lt;&gt;"",INDEX('Device Refrigerant Leakage'!$E$2:$E$42,MATCH($Q141,'Device Refrigerant Leakage'!$B$2:$B$42,0)),"")</f>
        <v/>
      </c>
      <c r="CY141" s="138" t="str">
        <f>IF($I141&lt;&gt;"",INDEX('Device Refrigerant Leakage'!$F$2:$F$42,MATCH($Q141,'Device Refrigerant Leakage'!$B$2:$B$42,0)),"")</f>
        <v/>
      </c>
      <c r="CZ141" s="145" t="str">
        <f>IF($I141&lt;&gt;"",INDEX('Device Refrigerant Leakage'!$G$2:$G$42,MATCH($Q141,'Device Refrigerant Leakage'!$B$2:$B$42,0)),"")</f>
        <v/>
      </c>
      <c r="DA141" s="145" t="str">
        <f>IF($I141&lt;&gt;"",J141*INDEX('Device Refrigerant Leakage'!$D$2:$D$42,MATCH($Q141,'Device Refrigerant Leakage'!$B$2:$B$42,0))*CX141/2204.62*CW141,"")</f>
        <v/>
      </c>
      <c r="DB141" s="145" t="str">
        <f>IF($I141&lt;&gt;"",J141*(INDEX('Device Refrigerant Leakage'!$D$2:$D$42,MATCH($Q141,'Device Refrigerant Leakage'!$B$2:$B$42,0))-(INDEX('Device Refrigerant Leakage'!$D$2:$D$42,MATCH($Q141,'Device Refrigerant Leakage'!$B$2:$B$42,0)))*CZ141*CX141)*CY141/2204.62*CW141,"")</f>
        <v/>
      </c>
      <c r="DC141" s="135" t="str">
        <f t="shared" si="163"/>
        <v/>
      </c>
      <c r="DE141" s="146" t="str">
        <f>IF(W141&lt;&gt;"AR","",IF(Y141="User Specified", AA141, INDEX('Refrigerant GWPs'!$G$2:$G$154,MATCH(Y141,'Refrigerant GWPs'!$A$2:$A$154,0))))</f>
        <v/>
      </c>
      <c r="DF141" s="146" t="str">
        <f>IF(W141&lt;&gt;"AR","",INDEX('Device Refrigerant Leakage'!$E$2:$E$42,MATCH(X141,'Device Refrigerant Leakage'!$B$2:$B$42,0)))</f>
        <v/>
      </c>
      <c r="DG141" s="146" t="str">
        <f>IF(W141&lt;&gt;"AR","",INDEX('Device Refrigerant Leakage'!$F$2:$F$42,MATCH(X141,'Device Refrigerant Leakage'!$B$2:$B$42,0)))</f>
        <v/>
      </c>
      <c r="DH141" s="146" t="str">
        <f>IF(W141&lt;&gt;"AR","",INDEX('Device Refrigerant Leakage'!$G$2:$G$42,MATCH(X141,'Device Refrigerant Leakage'!$B$2:$B$42,0)))</f>
        <v/>
      </c>
      <c r="DI141" s="146" t="str">
        <f>IF(W141&lt;&gt;"AR","",J141*INDEX('Device Refrigerant Leakage'!$D$2:$D$42,MATCH(X141,'Device Refrigerant Leakage'!$B$2:$B$42,0))*DF141/2204.62*DE141)</f>
        <v/>
      </c>
      <c r="DJ141" s="146" t="str">
        <f>IF(W141&lt;&gt;"AR","",J141*(INDEX('Device Refrigerant Leakage'!$D$2:$D$42,MATCH(X141,'Device Refrigerant Leakage'!$B$2:$B$42,0))-(INDEX('Device Refrigerant Leakage'!$D$2:$D$42,MATCH(X141,'Device Refrigerant Leakage'!$B$2:$B$42,0)))*DH141*DF141)*DG141/2204.62*DE141)</f>
        <v/>
      </c>
      <c r="DK141" s="146" t="str">
        <f>IF(W141&lt;&gt;"AR","",DI141*(K141-AB141)+'Fuel Sub Calcs-Deemed'!DJ141*((K141-AB141)/INDEX('Device Refrigerant Leakage'!$C$2:$C$42,MATCH('Fuel Sub Calcs-Deemed'!X141,'Device Refrigerant Leakage'!$B$2:$B$42,0))))</f>
        <v/>
      </c>
      <c r="DM141" s="56">
        <v>127</v>
      </c>
      <c r="DN141" s="67" t="e">
        <f t="shared" si="143"/>
        <v>#N/A</v>
      </c>
      <c r="DO141" s="45" t="e">
        <f t="shared" si="144"/>
        <v>#N/A</v>
      </c>
      <c r="DP141" s="67" t="e">
        <f t="shared" si="145"/>
        <v>#N/A</v>
      </c>
      <c r="DQ141" s="45" t="e">
        <f t="shared" si="146"/>
        <v>#N/A</v>
      </c>
      <c r="DR141" s="69" t="e">
        <f t="shared" si="147"/>
        <v>#N/A</v>
      </c>
      <c r="DS141" s="34"/>
      <c r="DT141" s="67" t="e">
        <f>((BX141*CJ141)+IF($W141=MAT_AR,(BZ141*CL141),0))*(1+Reference!$E$50+Reference!$E$51)</f>
        <v>#N/A</v>
      </c>
      <c r="DU141" s="67">
        <f>((BY141*CK141)+IF($W141=MAT_AR,(CA141*CM141),0))*(1+Reference!$G$50+Reference!$G$51)</f>
        <v>0</v>
      </c>
      <c r="DV141" s="67" t="e">
        <f t="shared" si="148"/>
        <v>#VALUE!</v>
      </c>
      <c r="DX141" s="56">
        <v>127</v>
      </c>
      <c r="DY141" s="67">
        <f t="shared" si="149"/>
        <v>0</v>
      </c>
      <c r="DZ141" s="45" t="e">
        <f>VLOOKUP($R141,Dropdown!$C$3:$D$4,2,FALSE)</f>
        <v>#N/A</v>
      </c>
      <c r="EA141" s="68">
        <f t="shared" si="150"/>
        <v>0</v>
      </c>
      <c r="EB141" s="68" t="str">
        <f t="shared" si="151"/>
        <v>N/A</v>
      </c>
      <c r="EC141" s="68">
        <f t="shared" si="152"/>
        <v>0</v>
      </c>
      <c r="ED141" s="68" t="str">
        <f t="shared" si="199"/>
        <v>N/A</v>
      </c>
      <c r="EF141" s="56">
        <v>127</v>
      </c>
      <c r="EG141" s="46">
        <f t="shared" si="154"/>
        <v>0</v>
      </c>
      <c r="EH141" s="68" t="e">
        <f t="shared" si="155"/>
        <v>#N/A</v>
      </c>
      <c r="EI141" s="68" t="e">
        <f t="shared" si="156"/>
        <v>#N/A</v>
      </c>
      <c r="EJ141" s="68" t="e">
        <f t="shared" si="157"/>
        <v>#N/A</v>
      </c>
      <c r="EK141" s="68" t="e">
        <f t="shared" si="158"/>
        <v>#N/A</v>
      </c>
      <c r="EL141" s="46">
        <f t="shared" si="159"/>
        <v>0</v>
      </c>
      <c r="EM141" s="46">
        <f t="shared" si="160"/>
        <v>0</v>
      </c>
    </row>
    <row r="142" spans="1:143">
      <c r="A142" s="89"/>
      <c r="B142" s="89"/>
      <c r="C142" s="89"/>
      <c r="D142" s="89"/>
      <c r="E142" s="89"/>
      <c r="F142" s="89"/>
      <c r="G142" s="34"/>
      <c r="H142" s="56">
        <f t="shared" si="161"/>
        <v>128</v>
      </c>
      <c r="I142" s="165"/>
      <c r="J142" s="163"/>
      <c r="K142" s="163"/>
      <c r="L142" s="164"/>
      <c r="M142" s="155"/>
      <c r="N142" s="155"/>
      <c r="O142" s="144"/>
      <c r="P142" s="159" t="str">
        <f>IFERROR(IF(O142&lt;&gt;"User Specified",IF(O142&lt;&gt;"", INDEX('Refrigerant GWPs'!$G$2:$G$154,MATCH(O142,'Refrigerant GWPs'!$A$2:$A$154,0)),""),U142),0)</f>
        <v/>
      </c>
      <c r="Q142" s="155"/>
      <c r="R142" s="155"/>
      <c r="S142" s="144"/>
      <c r="T142" s="159" t="str">
        <f>IF(S142&lt;&gt;"User Specified",IF(AND(S142&lt;&gt;"User Specified",S142&lt;&gt;""), INDEX('Refrigerant GWPs'!$G$2:$G$154,MATCH(S142,'Refrigerant GWPs'!$A$2:$A$154,0)),""),V142)</f>
        <v/>
      </c>
      <c r="U142" s="144"/>
      <c r="V142" s="144"/>
      <c r="W142" s="155"/>
      <c r="X142" s="155"/>
      <c r="Y142" s="144"/>
      <c r="Z142" s="159" t="str">
        <f>IF(AND(Y142&lt;&gt;"User Specified",Y142&lt;&gt;""), INDEX('Refrigerant GWPs'!$G$2:$G$154,MATCH(Y142,'Refrigerant GWPs'!$A$2:$A$154,0)),"")</f>
        <v/>
      </c>
      <c r="AA142" s="155"/>
      <c r="AB142" s="156"/>
      <c r="AC142" s="66"/>
      <c r="AD142" s="66"/>
      <c r="AE142" s="66"/>
      <c r="AF142" s="66"/>
      <c r="AG142" s="66"/>
      <c r="AH142" s="66"/>
      <c r="AI142" s="34"/>
      <c r="AJ142" s="88">
        <f t="shared" si="119"/>
        <v>0</v>
      </c>
      <c r="AK142" s="88">
        <f t="shared" si="120"/>
        <v>0</v>
      </c>
      <c r="AL142" s="88">
        <v>0</v>
      </c>
      <c r="AM142" s="88">
        <v>0</v>
      </c>
      <c r="AN142" s="81" t="str">
        <f t="shared" si="162"/>
        <v/>
      </c>
      <c r="AO142" s="88">
        <f t="shared" si="121"/>
        <v>0</v>
      </c>
      <c r="AP142" s="88">
        <f t="shared" si="122"/>
        <v>0</v>
      </c>
      <c r="AQ142" s="81" t="str">
        <f t="shared" si="123"/>
        <v/>
      </c>
      <c r="AS142" s="41" t="b">
        <f t="shared" si="124"/>
        <v>1</v>
      </c>
      <c r="AT142" s="38">
        <f t="shared" si="125"/>
        <v>0</v>
      </c>
      <c r="AU142" s="60">
        <f t="shared" si="126"/>
        <v>0</v>
      </c>
      <c r="AV142" s="41">
        <f t="shared" si="127"/>
        <v>0</v>
      </c>
      <c r="AW142" s="41" t="b">
        <f t="shared" si="128"/>
        <v>0</v>
      </c>
      <c r="AX142" t="str">
        <f t="shared" si="129"/>
        <v>+00</v>
      </c>
      <c r="AY142" t="str">
        <f t="shared" si="130"/>
        <v>+00</v>
      </c>
      <c r="BA142" s="47" t="b">
        <f t="shared" si="164"/>
        <v>1</v>
      </c>
      <c r="BB142" s="42" t="b">
        <f t="shared" si="165"/>
        <v>1</v>
      </c>
      <c r="BC142" s="42" t="b">
        <f t="shared" si="166"/>
        <v>0</v>
      </c>
      <c r="BD142" s="42" t="b">
        <f t="shared" si="167"/>
        <v>0</v>
      </c>
      <c r="BE142" s="70">
        <f t="shared" si="168"/>
        <v>0</v>
      </c>
      <c r="BF142" s="70">
        <f t="shared" si="169"/>
        <v>0</v>
      </c>
      <c r="BG142" s="34"/>
      <c r="BI142" s="47" t="b">
        <f t="shared" si="170"/>
        <v>1</v>
      </c>
      <c r="BJ142" s="47" t="b">
        <f t="shared" si="171"/>
        <v>1</v>
      </c>
      <c r="BK142" s="42" t="b">
        <f t="shared" si="172"/>
        <v>0</v>
      </c>
      <c r="BL142" s="42" t="b">
        <f t="shared" si="173"/>
        <v>0</v>
      </c>
      <c r="BM142" s="42">
        <f t="shared" si="174"/>
        <v>0</v>
      </c>
      <c r="BN142" s="42">
        <f t="shared" si="175"/>
        <v>0</v>
      </c>
      <c r="BP142" t="e">
        <f t="shared" si="176"/>
        <v>#N/A</v>
      </c>
      <c r="BQ142" t="e">
        <f t="shared" si="177"/>
        <v>#N/A</v>
      </c>
      <c r="BR142" t="e">
        <f t="shared" si="178"/>
        <v>#N/A</v>
      </c>
      <c r="BT142" s="60">
        <f t="shared" si="187"/>
        <v>0</v>
      </c>
      <c r="BU142" s="60">
        <f t="shared" si="188"/>
        <v>0</v>
      </c>
      <c r="BV142" s="60">
        <f t="shared" si="189"/>
        <v>0</v>
      </c>
      <c r="BW142" s="60">
        <f t="shared" si="190"/>
        <v>0</v>
      </c>
      <c r="BX142" s="60">
        <f t="shared" si="179"/>
        <v>0</v>
      </c>
      <c r="BY142" s="60">
        <f t="shared" si="180"/>
        <v>0</v>
      </c>
      <c r="BZ142" s="60">
        <f t="shared" si="181"/>
        <v>0</v>
      </c>
      <c r="CA142" s="60">
        <f t="shared" si="182"/>
        <v>0</v>
      </c>
      <c r="CB142" s="60" t="e">
        <f t="shared" si="191"/>
        <v>#N/A</v>
      </c>
      <c r="CC142" s="60">
        <f t="shared" si="192"/>
        <v>100000</v>
      </c>
      <c r="CD142" s="60" t="e">
        <f t="shared" si="193"/>
        <v>#N/A</v>
      </c>
      <c r="CE142" s="60">
        <f t="shared" si="194"/>
        <v>100000</v>
      </c>
      <c r="CF142" s="83" t="e">
        <f t="shared" si="183"/>
        <v>#N/A</v>
      </c>
      <c r="CG142" s="83">
        <f t="shared" si="184"/>
        <v>0</v>
      </c>
      <c r="CH142" s="83" t="e">
        <f t="shared" si="185"/>
        <v>#N/A</v>
      </c>
      <c r="CI142" s="83">
        <f t="shared" si="186"/>
        <v>0</v>
      </c>
      <c r="CJ142" s="86" t="e">
        <f t="shared" si="195"/>
        <v>#N/A</v>
      </c>
      <c r="CK142" s="82">
        <f t="shared" si="196"/>
        <v>5.3070370403969858E-3</v>
      </c>
      <c r="CL142" s="82" t="e">
        <f t="shared" si="197"/>
        <v>#N/A</v>
      </c>
      <c r="CM142" s="82">
        <f t="shared" si="198"/>
        <v>5.3070370403969858E-3</v>
      </c>
      <c r="CO142" s="149" t="str">
        <f>IF($I142&lt;&gt;"",IF(O142="User Specified",U142,INDEX('Refrigerant GWPs'!$G$2:$G$156,MATCH(O142,'Refrigerant GWPs'!$A$2:$A$156,0))),"")</f>
        <v/>
      </c>
      <c r="CP142" s="138" t="str">
        <f>IF($I142&lt;&gt;"",INDEX('Device Refrigerant Leakage'!$E$2:$E$42,MATCH($M142,'Device Refrigerant Leakage'!$B$2:$B$42,0)),"")</f>
        <v/>
      </c>
      <c r="CQ142" s="138" t="str">
        <f>IF($I142&lt;&gt;"",INDEX('Device Refrigerant Leakage'!$F$2:$F$42,MATCH($M142,'Device Refrigerant Leakage'!$B$2:$B$42,0)),"")</f>
        <v/>
      </c>
      <c r="CR142" s="145" t="str">
        <f>IF($I142&lt;&gt;"",INDEX('Device Refrigerant Leakage'!$G$2:$G$42,MATCH($M142,'Device Refrigerant Leakage'!$B$2:$B$42,0)),"")</f>
        <v/>
      </c>
      <c r="CS142" s="145" t="str">
        <f>IF($I142&lt;&gt;"",INDEX('Device Refrigerant Leakage'!$D$2:$D$42,MATCH($M142,'Device Refrigerant Leakage'!$B$2:$B$42,0))*CP142/2204.62*CO142,"")</f>
        <v/>
      </c>
      <c r="CT142" s="145" t="str">
        <f>IF($I142&lt;&gt;"",J142*(INDEX('Device Refrigerant Leakage'!$D$2:$D$42,MATCH($M142,'Device Refrigerant Leakage'!$B$2:$B$42,0))-(INDEX('Device Refrigerant Leakage'!$D$2:$D$42,MATCH($M142,'Device Refrigerant Leakage'!$B$2:$B$42,0)))*CR142*CP142)*CQ142/2204.62*CO142,"")</f>
        <v/>
      </c>
      <c r="CU142" s="135" t="str">
        <f>IF($I142&lt;&gt;"",J142*IF(W142&lt;&gt;"AR",(CS142*K142)+CT142,(CS142*AB142)+CT142*(AB142/INDEX('Device Refrigerant Leakage'!$C$2:$C$42,MATCH($M142,'Device Refrigerant Leakage'!$B$2:$B$42,0)))),"")</f>
        <v/>
      </c>
      <c r="CW142" s="135" t="str">
        <f>IF($I142&lt;&gt;"",IF(S142="User Specified",V142,INDEX('Refrigerant GWPs'!$G$2:$G$156,MATCH(S142,'Refrigerant GWPs'!$A$2:$A$157,0))),"")</f>
        <v/>
      </c>
      <c r="CX142" s="138" t="str">
        <f>IF($I142&lt;&gt;"",INDEX('Device Refrigerant Leakage'!$E$2:$E$42,MATCH($Q142,'Device Refrigerant Leakage'!$B$2:$B$42,0)),"")</f>
        <v/>
      </c>
      <c r="CY142" s="138" t="str">
        <f>IF($I142&lt;&gt;"",INDEX('Device Refrigerant Leakage'!$F$2:$F$42,MATCH($Q142,'Device Refrigerant Leakage'!$B$2:$B$42,0)),"")</f>
        <v/>
      </c>
      <c r="CZ142" s="145" t="str">
        <f>IF($I142&lt;&gt;"",INDEX('Device Refrigerant Leakage'!$G$2:$G$42,MATCH($Q142,'Device Refrigerant Leakage'!$B$2:$B$42,0)),"")</f>
        <v/>
      </c>
      <c r="DA142" s="145" t="str">
        <f>IF($I142&lt;&gt;"",J142*INDEX('Device Refrigerant Leakage'!$D$2:$D$42,MATCH($Q142,'Device Refrigerant Leakage'!$B$2:$B$42,0))*CX142/2204.62*CW142,"")</f>
        <v/>
      </c>
      <c r="DB142" s="145" t="str">
        <f>IF($I142&lt;&gt;"",J142*(INDEX('Device Refrigerant Leakage'!$D$2:$D$42,MATCH($Q142,'Device Refrigerant Leakage'!$B$2:$B$42,0))-(INDEX('Device Refrigerant Leakage'!$D$2:$D$42,MATCH($Q142,'Device Refrigerant Leakage'!$B$2:$B$42,0)))*CZ142*CX142)*CY142/2204.62*CW142,"")</f>
        <v/>
      </c>
      <c r="DC142" s="135" t="str">
        <f t="shared" si="163"/>
        <v/>
      </c>
      <c r="DE142" s="146" t="str">
        <f>IF(W142&lt;&gt;"AR","",IF(Y142="User Specified", AA142, INDEX('Refrigerant GWPs'!$G$2:$G$154,MATCH(Y142,'Refrigerant GWPs'!$A$2:$A$154,0))))</f>
        <v/>
      </c>
      <c r="DF142" s="146" t="str">
        <f>IF(W142&lt;&gt;"AR","",INDEX('Device Refrigerant Leakage'!$E$2:$E$42,MATCH(X142,'Device Refrigerant Leakage'!$B$2:$B$42,0)))</f>
        <v/>
      </c>
      <c r="DG142" s="146" t="str">
        <f>IF(W142&lt;&gt;"AR","",INDEX('Device Refrigerant Leakage'!$F$2:$F$42,MATCH(X142,'Device Refrigerant Leakage'!$B$2:$B$42,0)))</f>
        <v/>
      </c>
      <c r="DH142" s="146" t="str">
        <f>IF(W142&lt;&gt;"AR","",INDEX('Device Refrigerant Leakage'!$G$2:$G$42,MATCH(X142,'Device Refrigerant Leakage'!$B$2:$B$42,0)))</f>
        <v/>
      </c>
      <c r="DI142" s="146" t="str">
        <f>IF(W142&lt;&gt;"AR","",J142*INDEX('Device Refrigerant Leakage'!$D$2:$D$42,MATCH(X142,'Device Refrigerant Leakage'!$B$2:$B$42,0))*DF142/2204.62*DE142)</f>
        <v/>
      </c>
      <c r="DJ142" s="146" t="str">
        <f>IF(W142&lt;&gt;"AR","",J142*(INDEX('Device Refrigerant Leakage'!$D$2:$D$42,MATCH(X142,'Device Refrigerant Leakage'!$B$2:$B$42,0))-(INDEX('Device Refrigerant Leakage'!$D$2:$D$42,MATCH(X142,'Device Refrigerant Leakage'!$B$2:$B$42,0)))*DH142*DF142)*DG142/2204.62*DE142)</f>
        <v/>
      </c>
      <c r="DK142" s="146" t="str">
        <f>IF(W142&lt;&gt;"AR","",DI142*(K142-AB142)+'Fuel Sub Calcs-Deemed'!DJ142*((K142-AB142)/INDEX('Device Refrigerant Leakage'!$C$2:$C$42,MATCH('Fuel Sub Calcs-Deemed'!X142,'Device Refrigerant Leakage'!$B$2:$B$42,0))))</f>
        <v/>
      </c>
      <c r="DM142" s="56">
        <v>128</v>
      </c>
      <c r="DN142" s="67" t="e">
        <f t="shared" si="143"/>
        <v>#N/A</v>
      </c>
      <c r="DO142" s="45" t="e">
        <f t="shared" si="144"/>
        <v>#N/A</v>
      </c>
      <c r="DP142" s="67" t="e">
        <f t="shared" si="145"/>
        <v>#N/A</v>
      </c>
      <c r="DQ142" s="45" t="e">
        <f t="shared" si="146"/>
        <v>#N/A</v>
      </c>
      <c r="DR142" s="69" t="e">
        <f t="shared" si="147"/>
        <v>#N/A</v>
      </c>
      <c r="DS142" s="34"/>
      <c r="DT142" s="67" t="e">
        <f>((BX142*CJ142)+IF($W142=MAT_AR,(BZ142*CL142),0))*(1+Reference!$E$50+Reference!$E$51)</f>
        <v>#N/A</v>
      </c>
      <c r="DU142" s="67">
        <f>((BY142*CK142)+IF($W142=MAT_AR,(CA142*CM142),0))*(1+Reference!$G$50+Reference!$G$51)</f>
        <v>0</v>
      </c>
      <c r="DV142" s="67" t="e">
        <f t="shared" si="148"/>
        <v>#VALUE!</v>
      </c>
      <c r="DX142" s="56">
        <v>128</v>
      </c>
      <c r="DY142" s="67">
        <f t="shared" si="149"/>
        <v>0</v>
      </c>
      <c r="DZ142" s="45" t="e">
        <f>VLOOKUP($R142,Dropdown!$C$3:$D$4,2,FALSE)</f>
        <v>#N/A</v>
      </c>
      <c r="EA142" s="68">
        <f t="shared" si="150"/>
        <v>0</v>
      </c>
      <c r="EB142" s="68" t="str">
        <f t="shared" si="151"/>
        <v>N/A</v>
      </c>
      <c r="EC142" s="68">
        <f t="shared" si="152"/>
        <v>0</v>
      </c>
      <c r="ED142" s="68" t="str">
        <f t="shared" si="199"/>
        <v>N/A</v>
      </c>
      <c r="EF142" s="56">
        <v>128</v>
      </c>
      <c r="EG142" s="46">
        <f t="shared" si="154"/>
        <v>0</v>
      </c>
      <c r="EH142" s="68" t="e">
        <f t="shared" si="155"/>
        <v>#N/A</v>
      </c>
      <c r="EI142" s="68" t="e">
        <f t="shared" si="156"/>
        <v>#N/A</v>
      </c>
      <c r="EJ142" s="68" t="e">
        <f t="shared" si="157"/>
        <v>#N/A</v>
      </c>
      <c r="EK142" s="68" t="e">
        <f t="shared" si="158"/>
        <v>#N/A</v>
      </c>
      <c r="EL142" s="46">
        <f t="shared" si="159"/>
        <v>0</v>
      </c>
      <c r="EM142" s="46">
        <f t="shared" si="160"/>
        <v>0</v>
      </c>
    </row>
    <row r="143" spans="1:143">
      <c r="A143" s="89"/>
      <c r="B143" s="89"/>
      <c r="C143" s="89"/>
      <c r="D143" s="89"/>
      <c r="E143" s="89"/>
      <c r="F143" s="89"/>
      <c r="G143" s="34"/>
      <c r="H143" s="56">
        <f t="shared" si="161"/>
        <v>129</v>
      </c>
      <c r="I143" s="165"/>
      <c r="J143" s="163"/>
      <c r="K143" s="163"/>
      <c r="L143" s="164"/>
      <c r="M143" s="155"/>
      <c r="N143" s="155"/>
      <c r="O143" s="144"/>
      <c r="P143" s="159" t="str">
        <f>IFERROR(IF(O143&lt;&gt;"User Specified",IF(O143&lt;&gt;"", INDEX('Refrigerant GWPs'!$G$2:$G$154,MATCH(O143,'Refrigerant GWPs'!$A$2:$A$154,0)),""),U143),0)</f>
        <v/>
      </c>
      <c r="Q143" s="155"/>
      <c r="R143" s="155"/>
      <c r="S143" s="144"/>
      <c r="T143" s="159" t="str">
        <f>IF(S143&lt;&gt;"User Specified",IF(AND(S143&lt;&gt;"User Specified",S143&lt;&gt;""), INDEX('Refrigerant GWPs'!$G$2:$G$154,MATCH(S143,'Refrigerant GWPs'!$A$2:$A$154,0)),""),V143)</f>
        <v/>
      </c>
      <c r="U143" s="144"/>
      <c r="V143" s="144"/>
      <c r="W143" s="155"/>
      <c r="X143" s="155"/>
      <c r="Y143" s="144"/>
      <c r="Z143" s="159" t="str">
        <f>IF(AND(Y143&lt;&gt;"User Specified",Y143&lt;&gt;""), INDEX('Refrigerant GWPs'!$G$2:$G$154,MATCH(Y143,'Refrigerant GWPs'!$A$2:$A$154,0)),"")</f>
        <v/>
      </c>
      <c r="AA143" s="155"/>
      <c r="AB143" s="156"/>
      <c r="AC143" s="66"/>
      <c r="AD143" s="66"/>
      <c r="AE143" s="66"/>
      <c r="AF143" s="66"/>
      <c r="AG143" s="66"/>
      <c r="AH143" s="66"/>
      <c r="AI143" s="34"/>
      <c r="AJ143" s="88">
        <f t="shared" ref="AJ143:AJ206" si="200">IF($W143=MAT_AR,AC143,AF143)</f>
        <v>0</v>
      </c>
      <c r="AK143" s="88">
        <f t="shared" ref="AK143:AK206" si="201">IF($W143=MAT_AR,AE143,AH143)</f>
        <v>0</v>
      </c>
      <c r="AL143" s="88">
        <v>0</v>
      </c>
      <c r="AM143" s="88">
        <v>0</v>
      </c>
      <c r="AN143" s="81" t="str">
        <f t="shared" si="162"/>
        <v/>
      </c>
      <c r="AO143" s="88">
        <f t="shared" ref="AO143:AO206" si="202">IF($W143=MAT_AR,AF143,0)</f>
        <v>0</v>
      </c>
      <c r="AP143" s="88">
        <f t="shared" ref="AP143:AP206" si="203">IF($W143=MAT_AR,AH143,0)</f>
        <v>0</v>
      </c>
      <c r="AQ143" s="81" t="str">
        <f t="shared" ref="AQ143:AQ206" si="204">IF(AND(W143=MAT_AR,OR(BK143:BL143)),"Warning: Need to enter baseline and measure consumption","")</f>
        <v/>
      </c>
      <c r="AS143" s="41" t="b">
        <f t="shared" ref="AS143:AS206" si="205">NOT(W143=MAT_AR)</f>
        <v>1</v>
      </c>
      <c r="AT143" s="38">
        <f t="shared" ref="AT143:AT206" si="206">IF(W143=MAT_AR,AB143,K143)</f>
        <v>0</v>
      </c>
      <c r="AU143" s="60">
        <f t="shared" ref="AU143:AU206" si="207">K143-AT143</f>
        <v>0</v>
      </c>
      <c r="AV143" s="41">
        <f t="shared" ref="AV143:AV206" si="208">IF(W143=MAT_AR,AB143,0)</f>
        <v>0</v>
      </c>
      <c r="AW143" s="41" t="b">
        <f t="shared" ref="AW143:AW206" si="209">AND(NOT(ISBLANK(I143)),NOT(ISBLANK(J143)),NOT(ISBLANK(K143)),NOT(ISBLANK(L143)),NOT(ISBLANK(N143)),NOT(ISBLANK(R143)),NOT(OR(BC143:BD143)),NOT(ISBLANK(W143)))</f>
        <v>0</v>
      </c>
      <c r="AX143" t="str">
        <f t="shared" ref="AX143:AX206" si="210">$L143&amp;"+"&amp;TEXT(ROUND($AT143,0),"00")</f>
        <v>+00</v>
      </c>
      <c r="AY143" t="str">
        <f t="shared" ref="AY143:AY206" si="211">TEXT(ROUND($L143+$AT143,0),"#")&amp;"+"&amp;TEXT(ROUND($AU143,0),"00")</f>
        <v>+00</v>
      </c>
      <c r="BA143" s="47" t="b">
        <f t="shared" si="164"/>
        <v>1</v>
      </c>
      <c r="BB143" s="42" t="b">
        <f t="shared" si="165"/>
        <v>1</v>
      </c>
      <c r="BC143" s="42" t="b">
        <f t="shared" si="166"/>
        <v>0</v>
      </c>
      <c r="BD143" s="42" t="b">
        <f t="shared" si="167"/>
        <v>0</v>
      </c>
      <c r="BE143" s="70">
        <f t="shared" si="168"/>
        <v>0</v>
      </c>
      <c r="BF143" s="70">
        <f t="shared" si="169"/>
        <v>0</v>
      </c>
      <c r="BG143" s="34"/>
      <c r="BI143" s="47" t="b">
        <f t="shared" si="170"/>
        <v>1</v>
      </c>
      <c r="BJ143" s="47" t="b">
        <f t="shared" si="171"/>
        <v>1</v>
      </c>
      <c r="BK143" s="42" t="b">
        <f t="shared" si="172"/>
        <v>0</v>
      </c>
      <c r="BL143" s="42" t="b">
        <f t="shared" si="173"/>
        <v>0</v>
      </c>
      <c r="BM143" s="42">
        <f t="shared" si="174"/>
        <v>0</v>
      </c>
      <c r="BN143" s="42">
        <f t="shared" si="175"/>
        <v>0</v>
      </c>
      <c r="BP143" t="e">
        <f t="shared" si="176"/>
        <v>#N/A</v>
      </c>
      <c r="BQ143" t="e">
        <f t="shared" si="177"/>
        <v>#N/A</v>
      </c>
      <c r="BR143" t="e">
        <f t="shared" si="178"/>
        <v>#N/A</v>
      </c>
      <c r="BT143" s="60">
        <f t="shared" ref="BT143:BT174" si="212">$J143*BE143</f>
        <v>0</v>
      </c>
      <c r="BU143" s="60">
        <f t="shared" ref="BU143:BU174" si="213">$J143*BF143</f>
        <v>0</v>
      </c>
      <c r="BV143" s="60">
        <f t="shared" ref="BV143:BV174" si="214">$J143*BM143</f>
        <v>0</v>
      </c>
      <c r="BW143" s="60">
        <f t="shared" ref="BW143:BW174" si="215">$J143*BN143</f>
        <v>0</v>
      </c>
      <c r="BX143" s="60">
        <f t="shared" si="179"/>
        <v>0</v>
      </c>
      <c r="BY143" s="60">
        <f t="shared" si="180"/>
        <v>0</v>
      </c>
      <c r="BZ143" s="60">
        <f t="shared" si="181"/>
        <v>0</v>
      </c>
      <c r="CA143" s="60">
        <f t="shared" si="182"/>
        <v>0</v>
      </c>
      <c r="CB143" s="60" t="e">
        <f t="shared" ref="CB143:CB174" si="216">INDEX(AFL_Source_Energy_Btu_per_kWh,MATCH($AX143,AFL_IndexB,0))</f>
        <v>#N/A</v>
      </c>
      <c r="CC143" s="60">
        <f t="shared" ref="CC143:CC174" si="217">Btu_therm</f>
        <v>100000</v>
      </c>
      <c r="CD143" s="60" t="e">
        <f t="shared" ref="CD143:CD174" si="218">INDEX(AFL_Source_Energy_Btu_per_kWh,MATCH($AY143,AFL_IndexB,0))</f>
        <v>#N/A</v>
      </c>
      <c r="CE143" s="60">
        <f t="shared" ref="CE143:CE174" si="219">Btu_therm</f>
        <v>100000</v>
      </c>
      <c r="CF143" s="83" t="e">
        <f t="shared" si="183"/>
        <v>#N/A</v>
      </c>
      <c r="CG143" s="83">
        <f t="shared" si="184"/>
        <v>0</v>
      </c>
      <c r="CH143" s="83" t="e">
        <f t="shared" si="185"/>
        <v>#N/A</v>
      </c>
      <c r="CI143" s="83">
        <f t="shared" si="186"/>
        <v>0</v>
      </c>
      <c r="CJ143" s="86" t="e">
        <f t="shared" ref="CJ143:CJ174" si="220">INDEX(AFL_Emissions_Intensity_metric_tonnes_per_MWh,MATCH($AX143,AFL_IndexB,0))/1000</f>
        <v>#N/A</v>
      </c>
      <c r="CK143" s="82">
        <f t="shared" ref="CK143:CK174" si="221">NG_metric_tonne_CO2_therm</f>
        <v>5.3070370403969858E-3</v>
      </c>
      <c r="CL143" s="82" t="e">
        <f t="shared" ref="CL143:CL174" si="222">INDEX(AFL_Emissions_Intensity_metric_tonnes_per_MWh,MATCH($AY143,AFL_IndexB,0))/1000</f>
        <v>#N/A</v>
      </c>
      <c r="CM143" s="82">
        <f t="shared" ref="CM143:CM174" si="223">NG_metric_tonne_CO2_therm</f>
        <v>5.3070370403969858E-3</v>
      </c>
      <c r="CO143" s="149" t="str">
        <f>IF($I143&lt;&gt;"",IF(O143="User Specified",U143,INDEX('Refrigerant GWPs'!$G$2:$G$156,MATCH(O143,'Refrigerant GWPs'!$A$2:$A$156,0))),"")</f>
        <v/>
      </c>
      <c r="CP143" s="138" t="str">
        <f>IF($I143&lt;&gt;"",INDEX('Device Refrigerant Leakage'!$E$2:$E$42,MATCH($M143,'Device Refrigerant Leakage'!$B$2:$B$42,0)),"")</f>
        <v/>
      </c>
      <c r="CQ143" s="138" t="str">
        <f>IF($I143&lt;&gt;"",INDEX('Device Refrigerant Leakage'!$F$2:$F$42,MATCH($M143,'Device Refrigerant Leakage'!$B$2:$B$42,0)),"")</f>
        <v/>
      </c>
      <c r="CR143" s="145" t="str">
        <f>IF($I143&lt;&gt;"",INDEX('Device Refrigerant Leakage'!$G$2:$G$42,MATCH($M143,'Device Refrigerant Leakage'!$B$2:$B$42,0)),"")</f>
        <v/>
      </c>
      <c r="CS143" s="145" t="str">
        <f>IF($I143&lt;&gt;"",INDEX('Device Refrigerant Leakage'!$D$2:$D$42,MATCH($M143,'Device Refrigerant Leakage'!$B$2:$B$42,0))*CP143/2204.62*CO143,"")</f>
        <v/>
      </c>
      <c r="CT143" s="145" t="str">
        <f>IF($I143&lt;&gt;"",J143*(INDEX('Device Refrigerant Leakage'!$D$2:$D$42,MATCH($M143,'Device Refrigerant Leakage'!$B$2:$B$42,0))-(INDEX('Device Refrigerant Leakage'!$D$2:$D$42,MATCH($M143,'Device Refrigerant Leakage'!$B$2:$B$42,0)))*CR143*CP143)*CQ143/2204.62*CO143,"")</f>
        <v/>
      </c>
      <c r="CU143" s="135" t="str">
        <f>IF($I143&lt;&gt;"",J143*IF(W143&lt;&gt;"AR",(CS143*K143)+CT143,(CS143*AB143)+CT143*(AB143/INDEX('Device Refrigerant Leakage'!$C$2:$C$42,MATCH($M143,'Device Refrigerant Leakage'!$B$2:$B$42,0)))),"")</f>
        <v/>
      </c>
      <c r="CW143" s="135" t="str">
        <f>IF($I143&lt;&gt;"",IF(S143="User Specified",V143,INDEX('Refrigerant GWPs'!$G$2:$G$156,MATCH(S143,'Refrigerant GWPs'!$A$2:$A$157,0))),"")</f>
        <v/>
      </c>
      <c r="CX143" s="138" t="str">
        <f>IF($I143&lt;&gt;"",INDEX('Device Refrigerant Leakage'!$E$2:$E$42,MATCH($Q143,'Device Refrigerant Leakage'!$B$2:$B$42,0)),"")</f>
        <v/>
      </c>
      <c r="CY143" s="138" t="str">
        <f>IF($I143&lt;&gt;"",INDEX('Device Refrigerant Leakage'!$F$2:$F$42,MATCH($Q143,'Device Refrigerant Leakage'!$B$2:$B$42,0)),"")</f>
        <v/>
      </c>
      <c r="CZ143" s="145" t="str">
        <f>IF($I143&lt;&gt;"",INDEX('Device Refrigerant Leakage'!$G$2:$G$42,MATCH($Q143,'Device Refrigerant Leakage'!$B$2:$B$42,0)),"")</f>
        <v/>
      </c>
      <c r="DA143" s="145" t="str">
        <f>IF($I143&lt;&gt;"",J143*INDEX('Device Refrigerant Leakage'!$D$2:$D$42,MATCH($Q143,'Device Refrigerant Leakage'!$B$2:$B$42,0))*CX143/2204.62*CW143,"")</f>
        <v/>
      </c>
      <c r="DB143" s="145" t="str">
        <f>IF($I143&lt;&gt;"",J143*(INDEX('Device Refrigerant Leakage'!$D$2:$D$42,MATCH($Q143,'Device Refrigerant Leakage'!$B$2:$B$42,0))-(INDEX('Device Refrigerant Leakage'!$D$2:$D$42,MATCH($Q143,'Device Refrigerant Leakage'!$B$2:$B$42,0)))*CZ143*CX143)*CY143/2204.62*CW143,"")</f>
        <v/>
      </c>
      <c r="DC143" s="135" t="str">
        <f t="shared" si="163"/>
        <v/>
      </c>
      <c r="DE143" s="146" t="str">
        <f>IF(W143&lt;&gt;"AR","",IF(Y143="User Specified", AA143, INDEX('Refrigerant GWPs'!$G$2:$G$154,MATCH(Y143,'Refrigerant GWPs'!$A$2:$A$154,0))))</f>
        <v/>
      </c>
      <c r="DF143" s="146" t="str">
        <f>IF(W143&lt;&gt;"AR","",INDEX('Device Refrigerant Leakage'!$E$2:$E$42,MATCH(X143,'Device Refrigerant Leakage'!$B$2:$B$42,0)))</f>
        <v/>
      </c>
      <c r="DG143" s="146" t="str">
        <f>IF(W143&lt;&gt;"AR","",INDEX('Device Refrigerant Leakage'!$F$2:$F$42,MATCH(X143,'Device Refrigerant Leakage'!$B$2:$B$42,0)))</f>
        <v/>
      </c>
      <c r="DH143" s="146" t="str">
        <f>IF(W143&lt;&gt;"AR","",INDEX('Device Refrigerant Leakage'!$G$2:$G$42,MATCH(X143,'Device Refrigerant Leakage'!$B$2:$B$42,0)))</f>
        <v/>
      </c>
      <c r="DI143" s="146" t="str">
        <f>IF(W143&lt;&gt;"AR","",J143*INDEX('Device Refrigerant Leakage'!$D$2:$D$42,MATCH(X143,'Device Refrigerant Leakage'!$B$2:$B$42,0))*DF143/2204.62*DE143)</f>
        <v/>
      </c>
      <c r="DJ143" s="146" t="str">
        <f>IF(W143&lt;&gt;"AR","",J143*(INDEX('Device Refrigerant Leakage'!$D$2:$D$42,MATCH(X143,'Device Refrigerant Leakage'!$B$2:$B$42,0))-(INDEX('Device Refrigerant Leakage'!$D$2:$D$42,MATCH(X143,'Device Refrigerant Leakage'!$B$2:$B$42,0)))*DH143*DF143)*DG143/2204.62*DE143)</f>
        <v/>
      </c>
      <c r="DK143" s="146" t="str">
        <f>IF(W143&lt;&gt;"AR","",DI143*(K143-AB143)+'Fuel Sub Calcs-Deemed'!DJ143*((K143-AB143)/INDEX('Device Refrigerant Leakage'!$C$2:$C$42,MATCH('Fuel Sub Calcs-Deemed'!X143,'Device Refrigerant Leakage'!$B$2:$B$42,0))))</f>
        <v/>
      </c>
      <c r="DM143" s="56">
        <v>129</v>
      </c>
      <c r="DN143" s="67" t="e">
        <f t="shared" ref="DN143:DN206" si="224">(CB143*BX143+BY143*CE143)/10^6+IF($W143=MAT_AR,(BZ143*CD143+CA143*CE143)/10^6,0)</f>
        <v>#N/A</v>
      </c>
      <c r="DO143" s="45" t="e">
        <f t="shared" ref="DO143:DO206" si="225">IF(BP143,"PASS","FAIL")</f>
        <v>#N/A</v>
      </c>
      <c r="DP143" s="67" t="e">
        <f t="shared" ref="DP143:DP206" si="226">(DT143+DU143+DV143)</f>
        <v>#N/A</v>
      </c>
      <c r="DQ143" s="45" t="e">
        <f t="shared" ref="DQ143:DQ206" si="227">IF(BQ143,"PASS","FAIL")</f>
        <v>#N/A</v>
      </c>
      <c r="DR143" s="69" t="e">
        <f t="shared" ref="DR143:DR206" si="228">IF(BR143,"Eligible","Not eligible")</f>
        <v>#N/A</v>
      </c>
      <c r="DS143" s="34"/>
      <c r="DT143" s="67" t="e">
        <f>((BX143*CJ143)+IF($W143=MAT_AR,(BZ143*CL143),0))*(1+Reference!$E$50+Reference!$E$51)</f>
        <v>#N/A</v>
      </c>
      <c r="DU143" s="67">
        <f>((BY143*CK143)+IF($W143=MAT_AR,(CA143*CM143),0))*(1+Reference!$G$50+Reference!$G$51)</f>
        <v>0</v>
      </c>
      <c r="DV143" s="67" t="e">
        <f t="shared" ref="DV143:DV206" si="229">IF(W143="NR",CU143-DC143,(CU143+DK143)-DC143)</f>
        <v>#VALUE!</v>
      </c>
      <c r="DX143" s="56">
        <v>129</v>
      </c>
      <c r="DY143" s="67">
        <f t="shared" ref="DY143:DY206" si="230">(Btu_per_kWh*BT143+Btu_therm*BU143)/10^6</f>
        <v>0</v>
      </c>
      <c r="DZ143" s="45" t="e">
        <f>VLOOKUP($R143,Dropdown!$C$3:$D$4,2,FALSE)</f>
        <v>#N/A</v>
      </c>
      <c r="EA143" s="68">
        <f t="shared" ref="EA143:EA206" si="231">IF($R143=fuel_electricity,$DY143*10^6/Btu_per_kWh,0)</f>
        <v>0</v>
      </c>
      <c r="EB143" s="68" t="str">
        <f t="shared" ref="EB143:EB206" si="232">IF($R143=fuel_natural_gas,$DY143/MMBtu_per_therm,"N/A")</f>
        <v>N/A</v>
      </c>
      <c r="EC143" s="68">
        <f t="shared" ref="EC143:EC206" si="233">IF($R143=fuel_electricity,"N/A",AJ143)</f>
        <v>0</v>
      </c>
      <c r="ED143" s="68" t="str">
        <f t="shared" ref="ED143:ED174" si="234">IF($R143=fuel_electricity,DY143*10^6/Btu_therm,"N/A")</f>
        <v>N/A</v>
      </c>
      <c r="EF143" s="56">
        <v>129</v>
      </c>
      <c r="EG143" s="46">
        <f t="shared" ref="EG143:EG206" si="235">J143</f>
        <v>0</v>
      </c>
      <c r="EH143" s="68" t="e">
        <f t="shared" ref="EH143:EH206" si="236">IF($BR143,BE143,0)</f>
        <v>#N/A</v>
      </c>
      <c r="EI143" s="68" t="e">
        <f t="shared" ref="EI143:EI206" si="237">IF($BR143,BF143,0)</f>
        <v>#N/A</v>
      </c>
      <c r="EJ143" s="68" t="e">
        <f t="shared" ref="EJ143:EJ206" si="238">IF($BR143,BM143,0)</f>
        <v>#N/A</v>
      </c>
      <c r="EK143" s="68" t="e">
        <f t="shared" ref="EK143:EK206" si="239">IF($BR143,BN143,0)</f>
        <v>#N/A</v>
      </c>
      <c r="EL143" s="46">
        <f t="shared" ref="EL143:EL206" si="240">K143</f>
        <v>0</v>
      </c>
      <c r="EM143" s="46">
        <f t="shared" ref="EM143:EM206" si="241">AV143</f>
        <v>0</v>
      </c>
    </row>
    <row r="144" spans="1:143">
      <c r="A144" s="89"/>
      <c r="B144" s="89"/>
      <c r="C144" s="89"/>
      <c r="D144" s="89"/>
      <c r="E144" s="89"/>
      <c r="F144" s="89"/>
      <c r="G144" s="34"/>
      <c r="H144" s="56">
        <f t="shared" ref="H144:H207" si="242">ROW($H144)-ROW($H$14)</f>
        <v>130</v>
      </c>
      <c r="I144" s="165"/>
      <c r="J144" s="163"/>
      <c r="K144" s="163"/>
      <c r="L144" s="164"/>
      <c r="M144" s="155"/>
      <c r="N144" s="155"/>
      <c r="O144" s="144"/>
      <c r="P144" s="159" t="str">
        <f>IFERROR(IF(O144&lt;&gt;"User Specified",IF(O144&lt;&gt;"", INDEX('Refrigerant GWPs'!$G$2:$G$154,MATCH(O144,'Refrigerant GWPs'!$A$2:$A$154,0)),""),U144),0)</f>
        <v/>
      </c>
      <c r="Q144" s="155"/>
      <c r="R144" s="155"/>
      <c r="S144" s="144"/>
      <c r="T144" s="159" t="str">
        <f>IF(S144&lt;&gt;"User Specified",IF(AND(S144&lt;&gt;"User Specified",S144&lt;&gt;""), INDEX('Refrigerant GWPs'!$G$2:$G$154,MATCH(S144,'Refrigerant GWPs'!$A$2:$A$154,0)),""),V144)</f>
        <v/>
      </c>
      <c r="U144" s="144"/>
      <c r="V144" s="144"/>
      <c r="W144" s="155"/>
      <c r="X144" s="155"/>
      <c r="Y144" s="144"/>
      <c r="Z144" s="159" t="str">
        <f>IF(AND(Y144&lt;&gt;"User Specified",Y144&lt;&gt;""), INDEX('Refrigerant GWPs'!$G$2:$G$154,MATCH(Y144,'Refrigerant GWPs'!$A$2:$A$154,0)),"")</f>
        <v/>
      </c>
      <c r="AA144" s="155"/>
      <c r="AB144" s="156"/>
      <c r="AC144" s="66"/>
      <c r="AD144" s="66"/>
      <c r="AE144" s="66"/>
      <c r="AF144" s="66"/>
      <c r="AG144" s="66"/>
      <c r="AH144" s="66"/>
      <c r="AI144" s="34"/>
      <c r="AJ144" s="88">
        <f t="shared" si="200"/>
        <v>0</v>
      </c>
      <c r="AK144" s="88">
        <f t="shared" si="201"/>
        <v>0</v>
      </c>
      <c r="AL144" s="88">
        <v>0</v>
      </c>
      <c r="AM144" s="88">
        <v>0</v>
      </c>
      <c r="AN144" s="81" t="str">
        <f t="shared" ref="AN144:AN207" si="243">IF(OR(BC144:BD144),"Warning: Need to enter baseline and measure consumption","")</f>
        <v/>
      </c>
      <c r="AO144" s="88">
        <f t="shared" si="202"/>
        <v>0</v>
      </c>
      <c r="AP144" s="88">
        <f t="shared" si="203"/>
        <v>0</v>
      </c>
      <c r="AQ144" s="81" t="str">
        <f t="shared" si="204"/>
        <v/>
      </c>
      <c r="AS144" s="41" t="b">
        <f t="shared" si="205"/>
        <v>1</v>
      </c>
      <c r="AT144" s="38">
        <f t="shared" si="206"/>
        <v>0</v>
      </c>
      <c r="AU144" s="60">
        <f t="shared" si="207"/>
        <v>0</v>
      </c>
      <c r="AV144" s="41">
        <f t="shared" si="208"/>
        <v>0</v>
      </c>
      <c r="AW144" s="41" t="b">
        <f t="shared" si="209"/>
        <v>0</v>
      </c>
      <c r="AX144" t="str">
        <f t="shared" si="210"/>
        <v>+00</v>
      </c>
      <c r="AY144" t="str">
        <f t="shared" si="211"/>
        <v>+00</v>
      </c>
      <c r="BA144" s="47" t="b">
        <f t="shared" si="164"/>
        <v>1</v>
      </c>
      <c r="BB144" s="42" t="b">
        <f t="shared" si="165"/>
        <v>1</v>
      </c>
      <c r="BC144" s="42" t="b">
        <f t="shared" si="166"/>
        <v>0</v>
      </c>
      <c r="BD144" s="42" t="b">
        <f t="shared" si="167"/>
        <v>0</v>
      </c>
      <c r="BE144" s="70">
        <f t="shared" si="168"/>
        <v>0</v>
      </c>
      <c r="BF144" s="70">
        <f t="shared" si="169"/>
        <v>0</v>
      </c>
      <c r="BG144" s="34"/>
      <c r="BI144" s="47" t="b">
        <f t="shared" si="170"/>
        <v>1</v>
      </c>
      <c r="BJ144" s="47" t="b">
        <f t="shared" si="171"/>
        <v>1</v>
      </c>
      <c r="BK144" s="42" t="b">
        <f t="shared" si="172"/>
        <v>0</v>
      </c>
      <c r="BL144" s="42" t="b">
        <f t="shared" si="173"/>
        <v>0</v>
      </c>
      <c r="BM144" s="42">
        <f t="shared" si="174"/>
        <v>0</v>
      </c>
      <c r="BN144" s="42">
        <f t="shared" si="175"/>
        <v>0</v>
      </c>
      <c r="BP144" t="e">
        <f t="shared" si="176"/>
        <v>#N/A</v>
      </c>
      <c r="BQ144" t="e">
        <f t="shared" si="177"/>
        <v>#N/A</v>
      </c>
      <c r="BR144" t="e">
        <f t="shared" si="178"/>
        <v>#N/A</v>
      </c>
      <c r="BT144" s="60">
        <f t="shared" si="212"/>
        <v>0</v>
      </c>
      <c r="BU144" s="60">
        <f t="shared" si="213"/>
        <v>0</v>
      </c>
      <c r="BV144" s="60">
        <f t="shared" si="214"/>
        <v>0</v>
      </c>
      <c r="BW144" s="60">
        <f t="shared" si="215"/>
        <v>0</v>
      </c>
      <c r="BX144" s="60">
        <f t="shared" si="179"/>
        <v>0</v>
      </c>
      <c r="BY144" s="60">
        <f t="shared" si="180"/>
        <v>0</v>
      </c>
      <c r="BZ144" s="60">
        <f t="shared" si="181"/>
        <v>0</v>
      </c>
      <c r="CA144" s="60">
        <f t="shared" si="182"/>
        <v>0</v>
      </c>
      <c r="CB144" s="60" t="e">
        <f t="shared" si="216"/>
        <v>#N/A</v>
      </c>
      <c r="CC144" s="60">
        <f t="shared" si="217"/>
        <v>100000</v>
      </c>
      <c r="CD144" s="60" t="e">
        <f t="shared" si="218"/>
        <v>#N/A</v>
      </c>
      <c r="CE144" s="60">
        <f t="shared" si="219"/>
        <v>100000</v>
      </c>
      <c r="CF144" s="83" t="e">
        <f t="shared" si="183"/>
        <v>#N/A</v>
      </c>
      <c r="CG144" s="83">
        <f t="shared" si="184"/>
        <v>0</v>
      </c>
      <c r="CH144" s="83" t="e">
        <f t="shared" si="185"/>
        <v>#N/A</v>
      </c>
      <c r="CI144" s="83">
        <f t="shared" si="186"/>
        <v>0</v>
      </c>
      <c r="CJ144" s="86" t="e">
        <f t="shared" si="220"/>
        <v>#N/A</v>
      </c>
      <c r="CK144" s="82">
        <f t="shared" si="221"/>
        <v>5.3070370403969858E-3</v>
      </c>
      <c r="CL144" s="82" t="e">
        <f t="shared" si="222"/>
        <v>#N/A</v>
      </c>
      <c r="CM144" s="82">
        <f t="shared" si="223"/>
        <v>5.3070370403969858E-3</v>
      </c>
      <c r="CO144" s="149" t="str">
        <f>IF($I144&lt;&gt;"",IF(O144="User Specified",U144,INDEX('Refrigerant GWPs'!$G$2:$G$156,MATCH(O144,'Refrigerant GWPs'!$A$2:$A$156,0))),"")</f>
        <v/>
      </c>
      <c r="CP144" s="138" t="str">
        <f>IF($I144&lt;&gt;"",INDEX('Device Refrigerant Leakage'!$E$2:$E$42,MATCH($M144,'Device Refrigerant Leakage'!$B$2:$B$42,0)),"")</f>
        <v/>
      </c>
      <c r="CQ144" s="138" t="str">
        <f>IF($I144&lt;&gt;"",INDEX('Device Refrigerant Leakage'!$F$2:$F$42,MATCH($M144,'Device Refrigerant Leakage'!$B$2:$B$42,0)),"")</f>
        <v/>
      </c>
      <c r="CR144" s="145" t="str">
        <f>IF($I144&lt;&gt;"",INDEX('Device Refrigerant Leakage'!$G$2:$G$42,MATCH($M144,'Device Refrigerant Leakage'!$B$2:$B$42,0)),"")</f>
        <v/>
      </c>
      <c r="CS144" s="145" t="str">
        <f>IF($I144&lt;&gt;"",INDEX('Device Refrigerant Leakage'!$D$2:$D$42,MATCH($M144,'Device Refrigerant Leakage'!$B$2:$B$42,0))*CP144/2204.62*CO144,"")</f>
        <v/>
      </c>
      <c r="CT144" s="145" t="str">
        <f>IF($I144&lt;&gt;"",J144*(INDEX('Device Refrigerant Leakage'!$D$2:$D$42,MATCH($M144,'Device Refrigerant Leakage'!$B$2:$B$42,0))-(INDEX('Device Refrigerant Leakage'!$D$2:$D$42,MATCH($M144,'Device Refrigerant Leakage'!$B$2:$B$42,0)))*CR144*CP144)*CQ144/2204.62*CO144,"")</f>
        <v/>
      </c>
      <c r="CU144" s="135" t="str">
        <f>IF($I144&lt;&gt;"",J144*IF(W144&lt;&gt;"AR",(CS144*K144)+CT144,(CS144*AB144)+CT144*(AB144/INDEX('Device Refrigerant Leakage'!$C$2:$C$42,MATCH($M144,'Device Refrigerant Leakage'!$B$2:$B$42,0)))),"")</f>
        <v/>
      </c>
      <c r="CW144" s="135" t="str">
        <f>IF($I144&lt;&gt;"",IF(S144="User Specified",V144,INDEX('Refrigerant GWPs'!$G$2:$G$156,MATCH(S144,'Refrigerant GWPs'!$A$2:$A$157,0))),"")</f>
        <v/>
      </c>
      <c r="CX144" s="138" t="str">
        <f>IF($I144&lt;&gt;"",INDEX('Device Refrigerant Leakage'!$E$2:$E$42,MATCH($Q144,'Device Refrigerant Leakage'!$B$2:$B$42,0)),"")</f>
        <v/>
      </c>
      <c r="CY144" s="138" t="str">
        <f>IF($I144&lt;&gt;"",INDEX('Device Refrigerant Leakage'!$F$2:$F$42,MATCH($Q144,'Device Refrigerant Leakage'!$B$2:$B$42,0)),"")</f>
        <v/>
      </c>
      <c r="CZ144" s="145" t="str">
        <f>IF($I144&lt;&gt;"",INDEX('Device Refrigerant Leakage'!$G$2:$G$42,MATCH($Q144,'Device Refrigerant Leakage'!$B$2:$B$42,0)),"")</f>
        <v/>
      </c>
      <c r="DA144" s="145" t="str">
        <f>IF($I144&lt;&gt;"",J144*INDEX('Device Refrigerant Leakage'!$D$2:$D$42,MATCH($Q144,'Device Refrigerant Leakage'!$B$2:$B$42,0))*CX144/2204.62*CW144,"")</f>
        <v/>
      </c>
      <c r="DB144" s="145" t="str">
        <f>IF($I144&lt;&gt;"",J144*(INDEX('Device Refrigerant Leakage'!$D$2:$D$42,MATCH($Q144,'Device Refrigerant Leakage'!$B$2:$B$42,0))-(INDEX('Device Refrigerant Leakage'!$D$2:$D$42,MATCH($Q144,'Device Refrigerant Leakage'!$B$2:$B$42,0)))*CZ144*CX144)*CY144/2204.62*CW144,"")</f>
        <v/>
      </c>
      <c r="DC144" s="135" t="str">
        <f t="shared" ref="DC144:DC207" si="244">IF($I144&lt;&gt;"",(DA144*K144)+DB144,"")</f>
        <v/>
      </c>
      <c r="DE144" s="146" t="str">
        <f>IF(W144&lt;&gt;"AR","",IF(Y144="User Specified", AA144, INDEX('Refrigerant GWPs'!$G$2:$G$154,MATCH(Y144,'Refrigerant GWPs'!$A$2:$A$154,0))))</f>
        <v/>
      </c>
      <c r="DF144" s="146" t="str">
        <f>IF(W144&lt;&gt;"AR","",INDEX('Device Refrigerant Leakage'!$E$2:$E$42,MATCH(X144,'Device Refrigerant Leakage'!$B$2:$B$42,0)))</f>
        <v/>
      </c>
      <c r="DG144" s="146" t="str">
        <f>IF(W144&lt;&gt;"AR","",INDEX('Device Refrigerant Leakage'!$F$2:$F$42,MATCH(X144,'Device Refrigerant Leakage'!$B$2:$B$42,0)))</f>
        <v/>
      </c>
      <c r="DH144" s="146" t="str">
        <f>IF(W144&lt;&gt;"AR","",INDEX('Device Refrigerant Leakage'!$G$2:$G$42,MATCH(X144,'Device Refrigerant Leakage'!$B$2:$B$42,0)))</f>
        <v/>
      </c>
      <c r="DI144" s="146" t="str">
        <f>IF(W144&lt;&gt;"AR","",J144*INDEX('Device Refrigerant Leakage'!$D$2:$D$42,MATCH(X144,'Device Refrigerant Leakage'!$B$2:$B$42,0))*DF144/2204.62*DE144)</f>
        <v/>
      </c>
      <c r="DJ144" s="146" t="str">
        <f>IF(W144&lt;&gt;"AR","",J144*(INDEX('Device Refrigerant Leakage'!$D$2:$D$42,MATCH(X144,'Device Refrigerant Leakage'!$B$2:$B$42,0))-(INDEX('Device Refrigerant Leakage'!$D$2:$D$42,MATCH(X144,'Device Refrigerant Leakage'!$B$2:$B$42,0)))*DH144*DF144)*DG144/2204.62*DE144)</f>
        <v/>
      </c>
      <c r="DK144" s="146" t="str">
        <f>IF(W144&lt;&gt;"AR","",DI144*(K144-AB144)+'Fuel Sub Calcs-Deemed'!DJ144*((K144-AB144)/INDEX('Device Refrigerant Leakage'!$C$2:$C$42,MATCH('Fuel Sub Calcs-Deemed'!X144,'Device Refrigerant Leakage'!$B$2:$B$42,0))))</f>
        <v/>
      </c>
      <c r="DM144" s="56">
        <v>130</v>
      </c>
      <c r="DN144" s="67" t="e">
        <f t="shared" si="224"/>
        <v>#N/A</v>
      </c>
      <c r="DO144" s="45" t="e">
        <f t="shared" si="225"/>
        <v>#N/A</v>
      </c>
      <c r="DP144" s="67" t="e">
        <f t="shared" si="226"/>
        <v>#N/A</v>
      </c>
      <c r="DQ144" s="45" t="e">
        <f t="shared" si="227"/>
        <v>#N/A</v>
      </c>
      <c r="DR144" s="69" t="e">
        <f t="shared" si="228"/>
        <v>#N/A</v>
      </c>
      <c r="DS144" s="34"/>
      <c r="DT144" s="67" t="e">
        <f>((BX144*CJ144)+IF($W144=MAT_AR,(BZ144*CL144),0))*(1+Reference!$E$50+Reference!$E$51)</f>
        <v>#N/A</v>
      </c>
      <c r="DU144" s="67">
        <f>((BY144*CK144)+IF($W144=MAT_AR,(CA144*CM144),0))*(1+Reference!$G$50+Reference!$G$51)</f>
        <v>0</v>
      </c>
      <c r="DV144" s="67" t="e">
        <f t="shared" si="229"/>
        <v>#VALUE!</v>
      </c>
      <c r="DX144" s="56">
        <v>130</v>
      </c>
      <c r="DY144" s="67">
        <f t="shared" si="230"/>
        <v>0</v>
      </c>
      <c r="DZ144" s="45" t="e">
        <f>VLOOKUP($R144,Dropdown!$C$3:$D$4,2,FALSE)</f>
        <v>#N/A</v>
      </c>
      <c r="EA144" s="68">
        <f t="shared" si="231"/>
        <v>0</v>
      </c>
      <c r="EB144" s="68" t="str">
        <f t="shared" si="232"/>
        <v>N/A</v>
      </c>
      <c r="EC144" s="68">
        <f t="shared" si="233"/>
        <v>0</v>
      </c>
      <c r="ED144" s="68" t="str">
        <f t="shared" si="234"/>
        <v>N/A</v>
      </c>
      <c r="EF144" s="56">
        <v>130</v>
      </c>
      <c r="EG144" s="46">
        <f t="shared" si="235"/>
        <v>0</v>
      </c>
      <c r="EH144" s="68" t="e">
        <f t="shared" si="236"/>
        <v>#N/A</v>
      </c>
      <c r="EI144" s="68" t="e">
        <f t="shared" si="237"/>
        <v>#N/A</v>
      </c>
      <c r="EJ144" s="68" t="e">
        <f t="shared" si="238"/>
        <v>#N/A</v>
      </c>
      <c r="EK144" s="68" t="e">
        <f t="shared" si="239"/>
        <v>#N/A</v>
      </c>
      <c r="EL144" s="46">
        <f t="shared" si="240"/>
        <v>0</v>
      </c>
      <c r="EM144" s="46">
        <f t="shared" si="241"/>
        <v>0</v>
      </c>
    </row>
    <row r="145" spans="1:143">
      <c r="A145" s="89"/>
      <c r="B145" s="89"/>
      <c r="C145" s="89"/>
      <c r="D145" s="89"/>
      <c r="E145" s="89"/>
      <c r="F145" s="89"/>
      <c r="G145" s="34"/>
      <c r="H145" s="56">
        <f t="shared" si="242"/>
        <v>131</v>
      </c>
      <c r="I145" s="165"/>
      <c r="J145" s="163"/>
      <c r="K145" s="163"/>
      <c r="L145" s="164"/>
      <c r="M145" s="155"/>
      <c r="N145" s="155"/>
      <c r="O145" s="144"/>
      <c r="P145" s="159" t="str">
        <f>IFERROR(IF(O145&lt;&gt;"User Specified",IF(O145&lt;&gt;"", INDEX('Refrigerant GWPs'!$G$2:$G$154,MATCH(O145,'Refrigerant GWPs'!$A$2:$A$154,0)),""),U145),0)</f>
        <v/>
      </c>
      <c r="Q145" s="155"/>
      <c r="R145" s="155"/>
      <c r="S145" s="144"/>
      <c r="T145" s="159" t="str">
        <f>IF(S145&lt;&gt;"User Specified",IF(AND(S145&lt;&gt;"User Specified",S145&lt;&gt;""), INDEX('Refrigerant GWPs'!$G$2:$G$154,MATCH(S145,'Refrigerant GWPs'!$A$2:$A$154,0)),""),V145)</f>
        <v/>
      </c>
      <c r="U145" s="144"/>
      <c r="V145" s="144"/>
      <c r="W145" s="155"/>
      <c r="X145" s="155"/>
      <c r="Y145" s="144"/>
      <c r="Z145" s="159" t="str">
        <f>IF(AND(Y145&lt;&gt;"User Specified",Y145&lt;&gt;""), INDEX('Refrigerant GWPs'!$G$2:$G$154,MATCH(Y145,'Refrigerant GWPs'!$A$2:$A$154,0)),"")</f>
        <v/>
      </c>
      <c r="AA145" s="155"/>
      <c r="AB145" s="156"/>
      <c r="AC145" s="66"/>
      <c r="AD145" s="66"/>
      <c r="AE145" s="66"/>
      <c r="AF145" s="66"/>
      <c r="AG145" s="66"/>
      <c r="AH145" s="66"/>
      <c r="AI145" s="34"/>
      <c r="AJ145" s="88">
        <f t="shared" si="200"/>
        <v>0</v>
      </c>
      <c r="AK145" s="88">
        <f t="shared" si="201"/>
        <v>0</v>
      </c>
      <c r="AL145" s="88">
        <v>0</v>
      </c>
      <c r="AM145" s="88">
        <v>0</v>
      </c>
      <c r="AN145" s="81" t="str">
        <f t="shared" si="243"/>
        <v/>
      </c>
      <c r="AO145" s="88">
        <f t="shared" si="202"/>
        <v>0</v>
      </c>
      <c r="AP145" s="88">
        <f t="shared" si="203"/>
        <v>0</v>
      </c>
      <c r="AQ145" s="81" t="str">
        <f t="shared" si="204"/>
        <v/>
      </c>
      <c r="AS145" s="41" t="b">
        <f t="shared" si="205"/>
        <v>1</v>
      </c>
      <c r="AT145" s="38">
        <f t="shared" si="206"/>
        <v>0</v>
      </c>
      <c r="AU145" s="60">
        <f t="shared" si="207"/>
        <v>0</v>
      </c>
      <c r="AV145" s="41">
        <f t="shared" si="208"/>
        <v>0</v>
      </c>
      <c r="AW145" s="41" t="b">
        <f t="shared" si="209"/>
        <v>0</v>
      </c>
      <c r="AX145" t="str">
        <f t="shared" si="210"/>
        <v>+00</v>
      </c>
      <c r="AY145" t="str">
        <f t="shared" si="211"/>
        <v>+00</v>
      </c>
      <c r="BA145" s="47" t="b">
        <f t="shared" si="164"/>
        <v>1</v>
      </c>
      <c r="BB145" s="42" t="b">
        <f t="shared" si="165"/>
        <v>1</v>
      </c>
      <c r="BC145" s="42" t="b">
        <f t="shared" si="166"/>
        <v>0</v>
      </c>
      <c r="BD145" s="42" t="b">
        <f t="shared" si="167"/>
        <v>0</v>
      </c>
      <c r="BE145" s="70">
        <f t="shared" si="168"/>
        <v>0</v>
      </c>
      <c r="BF145" s="70">
        <f t="shared" si="169"/>
        <v>0</v>
      </c>
      <c r="BG145" s="34"/>
      <c r="BI145" s="47" t="b">
        <f t="shared" si="170"/>
        <v>1</v>
      </c>
      <c r="BJ145" s="47" t="b">
        <f t="shared" si="171"/>
        <v>1</v>
      </c>
      <c r="BK145" s="42" t="b">
        <f t="shared" si="172"/>
        <v>0</v>
      </c>
      <c r="BL145" s="42" t="b">
        <f t="shared" si="173"/>
        <v>0</v>
      </c>
      <c r="BM145" s="42">
        <f t="shared" si="174"/>
        <v>0</v>
      </c>
      <c r="BN145" s="42">
        <f t="shared" si="175"/>
        <v>0</v>
      </c>
      <c r="BP145" t="e">
        <f t="shared" si="176"/>
        <v>#N/A</v>
      </c>
      <c r="BQ145" t="e">
        <f t="shared" si="177"/>
        <v>#N/A</v>
      </c>
      <c r="BR145" t="e">
        <f t="shared" si="178"/>
        <v>#N/A</v>
      </c>
      <c r="BT145" s="60">
        <f t="shared" si="212"/>
        <v>0</v>
      </c>
      <c r="BU145" s="60">
        <f t="shared" si="213"/>
        <v>0</v>
      </c>
      <c r="BV145" s="60">
        <f t="shared" si="214"/>
        <v>0</v>
      </c>
      <c r="BW145" s="60">
        <f t="shared" si="215"/>
        <v>0</v>
      </c>
      <c r="BX145" s="60">
        <f t="shared" si="179"/>
        <v>0</v>
      </c>
      <c r="BY145" s="60">
        <f t="shared" si="180"/>
        <v>0</v>
      </c>
      <c r="BZ145" s="60">
        <f t="shared" si="181"/>
        <v>0</v>
      </c>
      <c r="CA145" s="60">
        <f t="shared" si="182"/>
        <v>0</v>
      </c>
      <c r="CB145" s="60" t="e">
        <f t="shared" si="216"/>
        <v>#N/A</v>
      </c>
      <c r="CC145" s="60">
        <f t="shared" si="217"/>
        <v>100000</v>
      </c>
      <c r="CD145" s="60" t="e">
        <f t="shared" si="218"/>
        <v>#N/A</v>
      </c>
      <c r="CE145" s="60">
        <f t="shared" si="219"/>
        <v>100000</v>
      </c>
      <c r="CF145" s="83" t="e">
        <f t="shared" si="183"/>
        <v>#N/A</v>
      </c>
      <c r="CG145" s="83">
        <f t="shared" si="184"/>
        <v>0</v>
      </c>
      <c r="CH145" s="83" t="e">
        <f t="shared" si="185"/>
        <v>#N/A</v>
      </c>
      <c r="CI145" s="83">
        <f t="shared" si="186"/>
        <v>0</v>
      </c>
      <c r="CJ145" s="86" t="e">
        <f t="shared" si="220"/>
        <v>#N/A</v>
      </c>
      <c r="CK145" s="82">
        <f t="shared" si="221"/>
        <v>5.3070370403969858E-3</v>
      </c>
      <c r="CL145" s="82" t="e">
        <f t="shared" si="222"/>
        <v>#N/A</v>
      </c>
      <c r="CM145" s="82">
        <f t="shared" si="223"/>
        <v>5.3070370403969858E-3</v>
      </c>
      <c r="CO145" s="149" t="str">
        <f>IF($I145&lt;&gt;"",IF(O145="User Specified",U145,INDEX('Refrigerant GWPs'!$G$2:$G$156,MATCH(O145,'Refrigerant GWPs'!$A$2:$A$156,0))),"")</f>
        <v/>
      </c>
      <c r="CP145" s="138" t="str">
        <f>IF($I145&lt;&gt;"",INDEX('Device Refrigerant Leakage'!$E$2:$E$42,MATCH($M145,'Device Refrigerant Leakage'!$B$2:$B$42,0)),"")</f>
        <v/>
      </c>
      <c r="CQ145" s="138" t="str">
        <f>IF($I145&lt;&gt;"",INDEX('Device Refrigerant Leakage'!$F$2:$F$42,MATCH($M145,'Device Refrigerant Leakage'!$B$2:$B$42,0)),"")</f>
        <v/>
      </c>
      <c r="CR145" s="145" t="str">
        <f>IF($I145&lt;&gt;"",INDEX('Device Refrigerant Leakage'!$G$2:$G$42,MATCH($M145,'Device Refrigerant Leakage'!$B$2:$B$42,0)),"")</f>
        <v/>
      </c>
      <c r="CS145" s="145" t="str">
        <f>IF($I145&lt;&gt;"",INDEX('Device Refrigerant Leakage'!$D$2:$D$42,MATCH($M145,'Device Refrigerant Leakage'!$B$2:$B$42,0))*CP145/2204.62*CO145,"")</f>
        <v/>
      </c>
      <c r="CT145" s="145" t="str">
        <f>IF($I145&lt;&gt;"",J145*(INDEX('Device Refrigerant Leakage'!$D$2:$D$42,MATCH($M145,'Device Refrigerant Leakage'!$B$2:$B$42,0))-(INDEX('Device Refrigerant Leakage'!$D$2:$D$42,MATCH($M145,'Device Refrigerant Leakage'!$B$2:$B$42,0)))*CR145*CP145)*CQ145/2204.62*CO145,"")</f>
        <v/>
      </c>
      <c r="CU145" s="135" t="str">
        <f>IF($I145&lt;&gt;"",J145*IF(W145&lt;&gt;"AR",(CS145*K145)+CT145,(CS145*AB145)+CT145*(AB145/INDEX('Device Refrigerant Leakage'!$C$2:$C$42,MATCH($M145,'Device Refrigerant Leakage'!$B$2:$B$42,0)))),"")</f>
        <v/>
      </c>
      <c r="CW145" s="135" t="str">
        <f>IF($I145&lt;&gt;"",IF(S145="User Specified",V145,INDEX('Refrigerant GWPs'!$G$2:$G$156,MATCH(S145,'Refrigerant GWPs'!$A$2:$A$157,0))),"")</f>
        <v/>
      </c>
      <c r="CX145" s="138" t="str">
        <f>IF($I145&lt;&gt;"",INDEX('Device Refrigerant Leakage'!$E$2:$E$42,MATCH($Q145,'Device Refrigerant Leakage'!$B$2:$B$42,0)),"")</f>
        <v/>
      </c>
      <c r="CY145" s="138" t="str">
        <f>IF($I145&lt;&gt;"",INDEX('Device Refrigerant Leakage'!$F$2:$F$42,MATCH($Q145,'Device Refrigerant Leakage'!$B$2:$B$42,0)),"")</f>
        <v/>
      </c>
      <c r="CZ145" s="145" t="str">
        <f>IF($I145&lt;&gt;"",INDEX('Device Refrigerant Leakage'!$G$2:$G$42,MATCH($Q145,'Device Refrigerant Leakage'!$B$2:$B$42,0)),"")</f>
        <v/>
      </c>
      <c r="DA145" s="145" t="str">
        <f>IF($I145&lt;&gt;"",J145*INDEX('Device Refrigerant Leakage'!$D$2:$D$42,MATCH($Q145,'Device Refrigerant Leakage'!$B$2:$B$42,0))*CX145/2204.62*CW145,"")</f>
        <v/>
      </c>
      <c r="DB145" s="145" t="str">
        <f>IF($I145&lt;&gt;"",J145*(INDEX('Device Refrigerant Leakage'!$D$2:$D$42,MATCH($Q145,'Device Refrigerant Leakage'!$B$2:$B$42,0))-(INDEX('Device Refrigerant Leakage'!$D$2:$D$42,MATCH($Q145,'Device Refrigerant Leakage'!$B$2:$B$42,0)))*CZ145*CX145)*CY145/2204.62*CW145,"")</f>
        <v/>
      </c>
      <c r="DC145" s="135" t="str">
        <f t="shared" si="244"/>
        <v/>
      </c>
      <c r="DE145" s="146" t="str">
        <f>IF(W145&lt;&gt;"AR","",IF(Y145="User Specified", AA145, INDEX('Refrigerant GWPs'!$G$2:$G$154,MATCH(Y145,'Refrigerant GWPs'!$A$2:$A$154,0))))</f>
        <v/>
      </c>
      <c r="DF145" s="146" t="str">
        <f>IF(W145&lt;&gt;"AR","",INDEX('Device Refrigerant Leakage'!$E$2:$E$42,MATCH(X145,'Device Refrigerant Leakage'!$B$2:$B$42,0)))</f>
        <v/>
      </c>
      <c r="DG145" s="146" t="str">
        <f>IF(W145&lt;&gt;"AR","",INDEX('Device Refrigerant Leakage'!$F$2:$F$42,MATCH(X145,'Device Refrigerant Leakage'!$B$2:$B$42,0)))</f>
        <v/>
      </c>
      <c r="DH145" s="146" t="str">
        <f>IF(W145&lt;&gt;"AR","",INDEX('Device Refrigerant Leakage'!$G$2:$G$42,MATCH(X145,'Device Refrigerant Leakage'!$B$2:$B$42,0)))</f>
        <v/>
      </c>
      <c r="DI145" s="146" t="str">
        <f>IF(W145&lt;&gt;"AR","",J145*INDEX('Device Refrigerant Leakage'!$D$2:$D$42,MATCH(X145,'Device Refrigerant Leakage'!$B$2:$B$42,0))*DF145/2204.62*DE145)</f>
        <v/>
      </c>
      <c r="DJ145" s="146" t="str">
        <f>IF(W145&lt;&gt;"AR","",J145*(INDEX('Device Refrigerant Leakage'!$D$2:$D$42,MATCH(X145,'Device Refrigerant Leakage'!$B$2:$B$42,0))-(INDEX('Device Refrigerant Leakage'!$D$2:$D$42,MATCH(X145,'Device Refrigerant Leakage'!$B$2:$B$42,0)))*DH145*DF145)*DG145/2204.62*DE145)</f>
        <v/>
      </c>
      <c r="DK145" s="146" t="str">
        <f>IF(W145&lt;&gt;"AR","",DI145*(K145-AB145)+'Fuel Sub Calcs-Deemed'!DJ145*((K145-AB145)/INDEX('Device Refrigerant Leakage'!$C$2:$C$42,MATCH('Fuel Sub Calcs-Deemed'!X145,'Device Refrigerant Leakage'!$B$2:$B$42,0))))</f>
        <v/>
      </c>
      <c r="DM145" s="56">
        <v>131</v>
      </c>
      <c r="DN145" s="67" t="e">
        <f t="shared" si="224"/>
        <v>#N/A</v>
      </c>
      <c r="DO145" s="45" t="e">
        <f t="shared" si="225"/>
        <v>#N/A</v>
      </c>
      <c r="DP145" s="67" t="e">
        <f t="shared" si="226"/>
        <v>#N/A</v>
      </c>
      <c r="DQ145" s="45" t="e">
        <f t="shared" si="227"/>
        <v>#N/A</v>
      </c>
      <c r="DR145" s="69" t="e">
        <f t="shared" si="228"/>
        <v>#N/A</v>
      </c>
      <c r="DS145" s="34"/>
      <c r="DT145" s="67" t="e">
        <f>((BX145*CJ145)+IF($W145=MAT_AR,(BZ145*CL145),0))*(1+Reference!$E$50+Reference!$E$51)</f>
        <v>#N/A</v>
      </c>
      <c r="DU145" s="67">
        <f>((BY145*CK145)+IF($W145=MAT_AR,(CA145*CM145),0))*(1+Reference!$G$50+Reference!$G$51)</f>
        <v>0</v>
      </c>
      <c r="DV145" s="67" t="e">
        <f t="shared" si="229"/>
        <v>#VALUE!</v>
      </c>
      <c r="DX145" s="56">
        <v>131</v>
      </c>
      <c r="DY145" s="67">
        <f t="shared" si="230"/>
        <v>0</v>
      </c>
      <c r="DZ145" s="45" t="e">
        <f>VLOOKUP($R145,Dropdown!$C$3:$D$4,2,FALSE)</f>
        <v>#N/A</v>
      </c>
      <c r="EA145" s="68">
        <f t="shared" si="231"/>
        <v>0</v>
      </c>
      <c r="EB145" s="68" t="str">
        <f t="shared" si="232"/>
        <v>N/A</v>
      </c>
      <c r="EC145" s="68">
        <f t="shared" si="233"/>
        <v>0</v>
      </c>
      <c r="ED145" s="68" t="str">
        <f t="shared" si="234"/>
        <v>N/A</v>
      </c>
      <c r="EF145" s="56">
        <v>131</v>
      </c>
      <c r="EG145" s="46">
        <f t="shared" si="235"/>
        <v>0</v>
      </c>
      <c r="EH145" s="68" t="e">
        <f t="shared" si="236"/>
        <v>#N/A</v>
      </c>
      <c r="EI145" s="68" t="e">
        <f t="shared" si="237"/>
        <v>#N/A</v>
      </c>
      <c r="EJ145" s="68" t="e">
        <f t="shared" si="238"/>
        <v>#N/A</v>
      </c>
      <c r="EK145" s="68" t="e">
        <f t="shared" si="239"/>
        <v>#N/A</v>
      </c>
      <c r="EL145" s="46">
        <f t="shared" si="240"/>
        <v>0</v>
      </c>
      <c r="EM145" s="46">
        <f t="shared" si="241"/>
        <v>0</v>
      </c>
    </row>
    <row r="146" spans="1:143">
      <c r="A146" s="89"/>
      <c r="B146" s="89"/>
      <c r="C146" s="89"/>
      <c r="D146" s="89"/>
      <c r="E146" s="89"/>
      <c r="F146" s="89"/>
      <c r="G146" s="34"/>
      <c r="H146" s="56">
        <f t="shared" si="242"/>
        <v>132</v>
      </c>
      <c r="I146" s="165"/>
      <c r="J146" s="163"/>
      <c r="K146" s="163"/>
      <c r="L146" s="164"/>
      <c r="M146" s="155"/>
      <c r="N146" s="155"/>
      <c r="O146" s="144"/>
      <c r="P146" s="159" t="str">
        <f>IFERROR(IF(O146&lt;&gt;"User Specified",IF(O146&lt;&gt;"", INDEX('Refrigerant GWPs'!$G$2:$G$154,MATCH(O146,'Refrigerant GWPs'!$A$2:$A$154,0)),""),U146),0)</f>
        <v/>
      </c>
      <c r="Q146" s="155"/>
      <c r="R146" s="155"/>
      <c r="S146" s="144"/>
      <c r="T146" s="159" t="str">
        <f>IF(S146&lt;&gt;"User Specified",IF(AND(S146&lt;&gt;"User Specified",S146&lt;&gt;""), INDEX('Refrigerant GWPs'!$G$2:$G$154,MATCH(S146,'Refrigerant GWPs'!$A$2:$A$154,0)),""),V146)</f>
        <v/>
      </c>
      <c r="U146" s="144"/>
      <c r="V146" s="144"/>
      <c r="W146" s="155"/>
      <c r="X146" s="155"/>
      <c r="Y146" s="144"/>
      <c r="Z146" s="159" t="str">
        <f>IF(AND(Y146&lt;&gt;"User Specified",Y146&lt;&gt;""), INDEX('Refrigerant GWPs'!$G$2:$G$154,MATCH(Y146,'Refrigerant GWPs'!$A$2:$A$154,0)),"")</f>
        <v/>
      </c>
      <c r="AA146" s="155"/>
      <c r="AB146" s="156"/>
      <c r="AC146" s="66"/>
      <c r="AD146" s="66"/>
      <c r="AE146" s="66"/>
      <c r="AF146" s="66"/>
      <c r="AG146" s="66"/>
      <c r="AH146" s="66"/>
      <c r="AI146" s="34"/>
      <c r="AJ146" s="88">
        <f t="shared" si="200"/>
        <v>0</v>
      </c>
      <c r="AK146" s="88">
        <f t="shared" si="201"/>
        <v>0</v>
      </c>
      <c r="AL146" s="88">
        <v>0</v>
      </c>
      <c r="AM146" s="88">
        <v>0</v>
      </c>
      <c r="AN146" s="81" t="str">
        <f t="shared" si="243"/>
        <v/>
      </c>
      <c r="AO146" s="88">
        <f t="shared" si="202"/>
        <v>0</v>
      </c>
      <c r="AP146" s="88">
        <f t="shared" si="203"/>
        <v>0</v>
      </c>
      <c r="AQ146" s="81" t="str">
        <f t="shared" si="204"/>
        <v/>
      </c>
      <c r="AS146" s="41" t="b">
        <f t="shared" si="205"/>
        <v>1</v>
      </c>
      <c r="AT146" s="38">
        <f t="shared" si="206"/>
        <v>0</v>
      </c>
      <c r="AU146" s="60">
        <f t="shared" si="207"/>
        <v>0</v>
      </c>
      <c r="AV146" s="41">
        <f t="shared" si="208"/>
        <v>0</v>
      </c>
      <c r="AW146" s="41" t="b">
        <f t="shared" si="209"/>
        <v>0</v>
      </c>
      <c r="AX146" t="str">
        <f t="shared" si="210"/>
        <v>+00</v>
      </c>
      <c r="AY146" t="str">
        <f t="shared" si="211"/>
        <v>+00</v>
      </c>
      <c r="BA146" s="47" t="b">
        <f t="shared" si="164"/>
        <v>1</v>
      </c>
      <c r="BB146" s="42" t="b">
        <f t="shared" si="165"/>
        <v>1</v>
      </c>
      <c r="BC146" s="42" t="b">
        <f t="shared" si="166"/>
        <v>0</v>
      </c>
      <c r="BD146" s="42" t="b">
        <f t="shared" si="167"/>
        <v>0</v>
      </c>
      <c r="BE146" s="70">
        <f t="shared" si="168"/>
        <v>0</v>
      </c>
      <c r="BF146" s="70">
        <f t="shared" si="169"/>
        <v>0</v>
      </c>
      <c r="BG146" s="34"/>
      <c r="BI146" s="47" t="b">
        <f t="shared" si="170"/>
        <v>1</v>
      </c>
      <c r="BJ146" s="47" t="b">
        <f t="shared" si="171"/>
        <v>1</v>
      </c>
      <c r="BK146" s="42" t="b">
        <f t="shared" si="172"/>
        <v>0</v>
      </c>
      <c r="BL146" s="42" t="b">
        <f t="shared" si="173"/>
        <v>0</v>
      </c>
      <c r="BM146" s="42">
        <f t="shared" si="174"/>
        <v>0</v>
      </c>
      <c r="BN146" s="42">
        <f t="shared" si="175"/>
        <v>0</v>
      </c>
      <c r="BP146" t="e">
        <f t="shared" si="176"/>
        <v>#N/A</v>
      </c>
      <c r="BQ146" t="e">
        <f t="shared" si="177"/>
        <v>#N/A</v>
      </c>
      <c r="BR146" t="e">
        <f t="shared" si="178"/>
        <v>#N/A</v>
      </c>
      <c r="BT146" s="60">
        <f t="shared" si="212"/>
        <v>0</v>
      </c>
      <c r="BU146" s="60">
        <f t="shared" si="213"/>
        <v>0</v>
      </c>
      <c r="BV146" s="60">
        <f t="shared" si="214"/>
        <v>0</v>
      </c>
      <c r="BW146" s="60">
        <f t="shared" si="215"/>
        <v>0</v>
      </c>
      <c r="BX146" s="60">
        <f t="shared" si="179"/>
        <v>0</v>
      </c>
      <c r="BY146" s="60">
        <f t="shared" si="180"/>
        <v>0</v>
      </c>
      <c r="BZ146" s="60">
        <f t="shared" si="181"/>
        <v>0</v>
      </c>
      <c r="CA146" s="60">
        <f t="shared" si="182"/>
        <v>0</v>
      </c>
      <c r="CB146" s="60" t="e">
        <f t="shared" si="216"/>
        <v>#N/A</v>
      </c>
      <c r="CC146" s="60">
        <f t="shared" si="217"/>
        <v>100000</v>
      </c>
      <c r="CD146" s="60" t="e">
        <f t="shared" si="218"/>
        <v>#N/A</v>
      </c>
      <c r="CE146" s="60">
        <f t="shared" si="219"/>
        <v>100000</v>
      </c>
      <c r="CF146" s="83" t="e">
        <f t="shared" si="183"/>
        <v>#N/A</v>
      </c>
      <c r="CG146" s="83">
        <f t="shared" si="184"/>
        <v>0</v>
      </c>
      <c r="CH146" s="83" t="e">
        <f t="shared" si="185"/>
        <v>#N/A</v>
      </c>
      <c r="CI146" s="83">
        <f t="shared" si="186"/>
        <v>0</v>
      </c>
      <c r="CJ146" s="86" t="e">
        <f t="shared" si="220"/>
        <v>#N/A</v>
      </c>
      <c r="CK146" s="82">
        <f t="shared" si="221"/>
        <v>5.3070370403969858E-3</v>
      </c>
      <c r="CL146" s="82" t="e">
        <f t="shared" si="222"/>
        <v>#N/A</v>
      </c>
      <c r="CM146" s="82">
        <f t="shared" si="223"/>
        <v>5.3070370403969858E-3</v>
      </c>
      <c r="CO146" s="149" t="str">
        <f>IF($I146&lt;&gt;"",IF(O146="User Specified",U146,INDEX('Refrigerant GWPs'!$G$2:$G$156,MATCH(O146,'Refrigerant GWPs'!$A$2:$A$156,0))),"")</f>
        <v/>
      </c>
      <c r="CP146" s="138" t="str">
        <f>IF($I146&lt;&gt;"",INDEX('Device Refrigerant Leakage'!$E$2:$E$42,MATCH($M146,'Device Refrigerant Leakage'!$B$2:$B$42,0)),"")</f>
        <v/>
      </c>
      <c r="CQ146" s="138" t="str">
        <f>IF($I146&lt;&gt;"",INDEX('Device Refrigerant Leakage'!$F$2:$F$42,MATCH($M146,'Device Refrigerant Leakage'!$B$2:$B$42,0)),"")</f>
        <v/>
      </c>
      <c r="CR146" s="145" t="str">
        <f>IF($I146&lt;&gt;"",INDEX('Device Refrigerant Leakage'!$G$2:$G$42,MATCH($M146,'Device Refrigerant Leakage'!$B$2:$B$42,0)),"")</f>
        <v/>
      </c>
      <c r="CS146" s="145" t="str">
        <f>IF($I146&lt;&gt;"",INDEX('Device Refrigerant Leakage'!$D$2:$D$42,MATCH($M146,'Device Refrigerant Leakage'!$B$2:$B$42,0))*CP146/2204.62*CO146,"")</f>
        <v/>
      </c>
      <c r="CT146" s="145" t="str">
        <f>IF($I146&lt;&gt;"",J146*(INDEX('Device Refrigerant Leakage'!$D$2:$D$42,MATCH($M146,'Device Refrigerant Leakage'!$B$2:$B$42,0))-(INDEX('Device Refrigerant Leakage'!$D$2:$D$42,MATCH($M146,'Device Refrigerant Leakage'!$B$2:$B$42,0)))*CR146*CP146)*CQ146/2204.62*CO146,"")</f>
        <v/>
      </c>
      <c r="CU146" s="135" t="str">
        <f>IF($I146&lt;&gt;"",J146*IF(W146&lt;&gt;"AR",(CS146*K146)+CT146,(CS146*AB146)+CT146*(AB146/INDEX('Device Refrigerant Leakage'!$C$2:$C$42,MATCH($M146,'Device Refrigerant Leakage'!$B$2:$B$42,0)))),"")</f>
        <v/>
      </c>
      <c r="CW146" s="135" t="str">
        <f>IF($I146&lt;&gt;"",IF(S146="User Specified",V146,INDEX('Refrigerant GWPs'!$G$2:$G$156,MATCH(S146,'Refrigerant GWPs'!$A$2:$A$157,0))),"")</f>
        <v/>
      </c>
      <c r="CX146" s="138" t="str">
        <f>IF($I146&lt;&gt;"",INDEX('Device Refrigerant Leakage'!$E$2:$E$42,MATCH($Q146,'Device Refrigerant Leakage'!$B$2:$B$42,0)),"")</f>
        <v/>
      </c>
      <c r="CY146" s="138" t="str">
        <f>IF($I146&lt;&gt;"",INDEX('Device Refrigerant Leakage'!$F$2:$F$42,MATCH($Q146,'Device Refrigerant Leakage'!$B$2:$B$42,0)),"")</f>
        <v/>
      </c>
      <c r="CZ146" s="145" t="str">
        <f>IF($I146&lt;&gt;"",INDEX('Device Refrigerant Leakage'!$G$2:$G$42,MATCH($Q146,'Device Refrigerant Leakage'!$B$2:$B$42,0)),"")</f>
        <v/>
      </c>
      <c r="DA146" s="145" t="str">
        <f>IF($I146&lt;&gt;"",J146*INDEX('Device Refrigerant Leakage'!$D$2:$D$42,MATCH($Q146,'Device Refrigerant Leakage'!$B$2:$B$42,0))*CX146/2204.62*CW146,"")</f>
        <v/>
      </c>
      <c r="DB146" s="145" t="str">
        <f>IF($I146&lt;&gt;"",J146*(INDEX('Device Refrigerant Leakage'!$D$2:$D$42,MATCH($Q146,'Device Refrigerant Leakage'!$B$2:$B$42,0))-(INDEX('Device Refrigerant Leakage'!$D$2:$D$42,MATCH($Q146,'Device Refrigerant Leakage'!$B$2:$B$42,0)))*CZ146*CX146)*CY146/2204.62*CW146,"")</f>
        <v/>
      </c>
      <c r="DC146" s="135" t="str">
        <f t="shared" si="244"/>
        <v/>
      </c>
      <c r="DE146" s="146" t="str">
        <f>IF(W146&lt;&gt;"AR","",IF(Y146="User Specified", AA146, INDEX('Refrigerant GWPs'!$G$2:$G$154,MATCH(Y146,'Refrigerant GWPs'!$A$2:$A$154,0))))</f>
        <v/>
      </c>
      <c r="DF146" s="146" t="str">
        <f>IF(W146&lt;&gt;"AR","",INDEX('Device Refrigerant Leakage'!$E$2:$E$42,MATCH(X146,'Device Refrigerant Leakage'!$B$2:$B$42,0)))</f>
        <v/>
      </c>
      <c r="DG146" s="146" t="str">
        <f>IF(W146&lt;&gt;"AR","",INDEX('Device Refrigerant Leakage'!$F$2:$F$42,MATCH(X146,'Device Refrigerant Leakage'!$B$2:$B$42,0)))</f>
        <v/>
      </c>
      <c r="DH146" s="146" t="str">
        <f>IF(W146&lt;&gt;"AR","",INDEX('Device Refrigerant Leakage'!$G$2:$G$42,MATCH(X146,'Device Refrigerant Leakage'!$B$2:$B$42,0)))</f>
        <v/>
      </c>
      <c r="DI146" s="146" t="str">
        <f>IF(W146&lt;&gt;"AR","",J146*INDEX('Device Refrigerant Leakage'!$D$2:$D$42,MATCH(X146,'Device Refrigerant Leakage'!$B$2:$B$42,0))*DF146/2204.62*DE146)</f>
        <v/>
      </c>
      <c r="DJ146" s="146" t="str">
        <f>IF(W146&lt;&gt;"AR","",J146*(INDEX('Device Refrigerant Leakage'!$D$2:$D$42,MATCH(X146,'Device Refrigerant Leakage'!$B$2:$B$42,0))-(INDEX('Device Refrigerant Leakage'!$D$2:$D$42,MATCH(X146,'Device Refrigerant Leakage'!$B$2:$B$42,0)))*DH146*DF146)*DG146/2204.62*DE146)</f>
        <v/>
      </c>
      <c r="DK146" s="146" t="str">
        <f>IF(W146&lt;&gt;"AR","",DI146*(K146-AB146)+'Fuel Sub Calcs-Deemed'!DJ146*((K146-AB146)/INDEX('Device Refrigerant Leakage'!$C$2:$C$42,MATCH('Fuel Sub Calcs-Deemed'!X146,'Device Refrigerant Leakage'!$B$2:$B$42,0))))</f>
        <v/>
      </c>
      <c r="DM146" s="56">
        <v>132</v>
      </c>
      <c r="DN146" s="67" t="e">
        <f t="shared" si="224"/>
        <v>#N/A</v>
      </c>
      <c r="DO146" s="45" t="e">
        <f t="shared" si="225"/>
        <v>#N/A</v>
      </c>
      <c r="DP146" s="67" t="e">
        <f t="shared" si="226"/>
        <v>#N/A</v>
      </c>
      <c r="DQ146" s="45" t="e">
        <f t="shared" si="227"/>
        <v>#N/A</v>
      </c>
      <c r="DR146" s="69" t="e">
        <f t="shared" si="228"/>
        <v>#N/A</v>
      </c>
      <c r="DS146" s="34"/>
      <c r="DT146" s="67" t="e">
        <f>((BX146*CJ146)+IF($W146=MAT_AR,(BZ146*CL146),0))*(1+Reference!$E$50+Reference!$E$51)</f>
        <v>#N/A</v>
      </c>
      <c r="DU146" s="67">
        <f>((BY146*CK146)+IF($W146=MAT_AR,(CA146*CM146),0))*(1+Reference!$G$50+Reference!$G$51)</f>
        <v>0</v>
      </c>
      <c r="DV146" s="67" t="e">
        <f t="shared" si="229"/>
        <v>#VALUE!</v>
      </c>
      <c r="DX146" s="56">
        <v>132</v>
      </c>
      <c r="DY146" s="67">
        <f t="shared" si="230"/>
        <v>0</v>
      </c>
      <c r="DZ146" s="45" t="e">
        <f>VLOOKUP($R146,Dropdown!$C$3:$D$4,2,FALSE)</f>
        <v>#N/A</v>
      </c>
      <c r="EA146" s="68">
        <f t="shared" si="231"/>
        <v>0</v>
      </c>
      <c r="EB146" s="68" t="str">
        <f t="shared" si="232"/>
        <v>N/A</v>
      </c>
      <c r="EC146" s="68">
        <f t="shared" si="233"/>
        <v>0</v>
      </c>
      <c r="ED146" s="68" t="str">
        <f t="shared" si="234"/>
        <v>N/A</v>
      </c>
      <c r="EF146" s="56">
        <v>132</v>
      </c>
      <c r="EG146" s="46">
        <f t="shared" si="235"/>
        <v>0</v>
      </c>
      <c r="EH146" s="68" t="e">
        <f t="shared" si="236"/>
        <v>#N/A</v>
      </c>
      <c r="EI146" s="68" t="e">
        <f t="shared" si="237"/>
        <v>#N/A</v>
      </c>
      <c r="EJ146" s="68" t="e">
        <f t="shared" si="238"/>
        <v>#N/A</v>
      </c>
      <c r="EK146" s="68" t="e">
        <f t="shared" si="239"/>
        <v>#N/A</v>
      </c>
      <c r="EL146" s="46">
        <f t="shared" si="240"/>
        <v>0</v>
      </c>
      <c r="EM146" s="46">
        <f t="shared" si="241"/>
        <v>0</v>
      </c>
    </row>
    <row r="147" spans="1:143">
      <c r="A147" s="89"/>
      <c r="B147" s="89"/>
      <c r="C147" s="89"/>
      <c r="D147" s="89"/>
      <c r="E147" s="89"/>
      <c r="F147" s="89"/>
      <c r="G147" s="34"/>
      <c r="H147" s="56">
        <f t="shared" si="242"/>
        <v>133</v>
      </c>
      <c r="I147" s="165"/>
      <c r="J147" s="163"/>
      <c r="K147" s="163"/>
      <c r="L147" s="164"/>
      <c r="M147" s="155"/>
      <c r="N147" s="155"/>
      <c r="O147" s="144"/>
      <c r="P147" s="159" t="str">
        <f>IFERROR(IF(O147&lt;&gt;"User Specified",IF(O147&lt;&gt;"", INDEX('Refrigerant GWPs'!$G$2:$G$154,MATCH(O147,'Refrigerant GWPs'!$A$2:$A$154,0)),""),U147),0)</f>
        <v/>
      </c>
      <c r="Q147" s="155"/>
      <c r="R147" s="155"/>
      <c r="S147" s="144"/>
      <c r="T147" s="159" t="str">
        <f>IF(S147&lt;&gt;"User Specified",IF(AND(S147&lt;&gt;"User Specified",S147&lt;&gt;""), INDEX('Refrigerant GWPs'!$G$2:$G$154,MATCH(S147,'Refrigerant GWPs'!$A$2:$A$154,0)),""),V147)</f>
        <v/>
      </c>
      <c r="U147" s="144"/>
      <c r="V147" s="144"/>
      <c r="W147" s="155"/>
      <c r="X147" s="155"/>
      <c r="Y147" s="144"/>
      <c r="Z147" s="159" t="str">
        <f>IF(AND(Y147&lt;&gt;"User Specified",Y147&lt;&gt;""), INDEX('Refrigerant GWPs'!$G$2:$G$154,MATCH(Y147,'Refrigerant GWPs'!$A$2:$A$154,0)),"")</f>
        <v/>
      </c>
      <c r="AA147" s="155"/>
      <c r="AB147" s="156"/>
      <c r="AC147" s="66"/>
      <c r="AD147" s="66"/>
      <c r="AE147" s="66"/>
      <c r="AF147" s="66"/>
      <c r="AG147" s="66"/>
      <c r="AH147" s="66"/>
      <c r="AI147" s="34"/>
      <c r="AJ147" s="88">
        <f t="shared" si="200"/>
        <v>0</v>
      </c>
      <c r="AK147" s="88">
        <f t="shared" si="201"/>
        <v>0</v>
      </c>
      <c r="AL147" s="88">
        <v>0</v>
      </c>
      <c r="AM147" s="88">
        <v>0</v>
      </c>
      <c r="AN147" s="81" t="str">
        <f t="shared" si="243"/>
        <v/>
      </c>
      <c r="AO147" s="88">
        <f t="shared" si="202"/>
        <v>0</v>
      </c>
      <c r="AP147" s="88">
        <f t="shared" si="203"/>
        <v>0</v>
      </c>
      <c r="AQ147" s="81" t="str">
        <f t="shared" si="204"/>
        <v/>
      </c>
      <c r="AS147" s="41" t="b">
        <f t="shared" si="205"/>
        <v>1</v>
      </c>
      <c r="AT147" s="38">
        <f t="shared" si="206"/>
        <v>0</v>
      </c>
      <c r="AU147" s="60">
        <f t="shared" si="207"/>
        <v>0</v>
      </c>
      <c r="AV147" s="41">
        <f t="shared" si="208"/>
        <v>0</v>
      </c>
      <c r="AW147" s="41" t="b">
        <f t="shared" si="209"/>
        <v>0</v>
      </c>
      <c r="AX147" t="str">
        <f t="shared" si="210"/>
        <v>+00</v>
      </c>
      <c r="AY147" t="str">
        <f t="shared" si="211"/>
        <v>+00</v>
      </c>
      <c r="BA147" s="47" t="b">
        <f t="shared" si="164"/>
        <v>1</v>
      </c>
      <c r="BB147" s="42" t="b">
        <f t="shared" si="165"/>
        <v>1</v>
      </c>
      <c r="BC147" s="42" t="b">
        <f t="shared" si="166"/>
        <v>0</v>
      </c>
      <c r="BD147" s="42" t="b">
        <f t="shared" si="167"/>
        <v>0</v>
      </c>
      <c r="BE147" s="70">
        <f t="shared" si="168"/>
        <v>0</v>
      </c>
      <c r="BF147" s="70">
        <f t="shared" si="169"/>
        <v>0</v>
      </c>
      <c r="BG147" s="34"/>
      <c r="BI147" s="47" t="b">
        <f t="shared" si="170"/>
        <v>1</v>
      </c>
      <c r="BJ147" s="47" t="b">
        <f t="shared" si="171"/>
        <v>1</v>
      </c>
      <c r="BK147" s="42" t="b">
        <f t="shared" si="172"/>
        <v>0</v>
      </c>
      <c r="BL147" s="42" t="b">
        <f t="shared" si="173"/>
        <v>0</v>
      </c>
      <c r="BM147" s="42">
        <f t="shared" si="174"/>
        <v>0</v>
      </c>
      <c r="BN147" s="42">
        <f t="shared" si="175"/>
        <v>0</v>
      </c>
      <c r="BP147" t="e">
        <f t="shared" si="176"/>
        <v>#N/A</v>
      </c>
      <c r="BQ147" t="e">
        <f t="shared" si="177"/>
        <v>#N/A</v>
      </c>
      <c r="BR147" t="e">
        <f t="shared" si="178"/>
        <v>#N/A</v>
      </c>
      <c r="BT147" s="60">
        <f t="shared" si="212"/>
        <v>0</v>
      </c>
      <c r="BU147" s="60">
        <f t="shared" si="213"/>
        <v>0</v>
      </c>
      <c r="BV147" s="60">
        <f t="shared" si="214"/>
        <v>0</v>
      </c>
      <c r="BW147" s="60">
        <f t="shared" si="215"/>
        <v>0</v>
      </c>
      <c r="BX147" s="60">
        <f t="shared" si="179"/>
        <v>0</v>
      </c>
      <c r="BY147" s="60">
        <f t="shared" si="180"/>
        <v>0</v>
      </c>
      <c r="BZ147" s="60">
        <f t="shared" si="181"/>
        <v>0</v>
      </c>
      <c r="CA147" s="60">
        <f t="shared" si="182"/>
        <v>0</v>
      </c>
      <c r="CB147" s="60" t="e">
        <f t="shared" si="216"/>
        <v>#N/A</v>
      </c>
      <c r="CC147" s="60">
        <f t="shared" si="217"/>
        <v>100000</v>
      </c>
      <c r="CD147" s="60" t="e">
        <f t="shared" si="218"/>
        <v>#N/A</v>
      </c>
      <c r="CE147" s="60">
        <f t="shared" si="219"/>
        <v>100000</v>
      </c>
      <c r="CF147" s="83" t="e">
        <f t="shared" si="183"/>
        <v>#N/A</v>
      </c>
      <c r="CG147" s="83">
        <f t="shared" si="184"/>
        <v>0</v>
      </c>
      <c r="CH147" s="83" t="e">
        <f t="shared" si="185"/>
        <v>#N/A</v>
      </c>
      <c r="CI147" s="83">
        <f t="shared" si="186"/>
        <v>0</v>
      </c>
      <c r="CJ147" s="86" t="e">
        <f t="shared" si="220"/>
        <v>#N/A</v>
      </c>
      <c r="CK147" s="82">
        <f t="shared" si="221"/>
        <v>5.3070370403969858E-3</v>
      </c>
      <c r="CL147" s="82" t="e">
        <f t="shared" si="222"/>
        <v>#N/A</v>
      </c>
      <c r="CM147" s="82">
        <f t="shared" si="223"/>
        <v>5.3070370403969858E-3</v>
      </c>
      <c r="CO147" s="149" t="str">
        <f>IF($I147&lt;&gt;"",IF(O147="User Specified",U147,INDEX('Refrigerant GWPs'!$G$2:$G$156,MATCH(O147,'Refrigerant GWPs'!$A$2:$A$156,0))),"")</f>
        <v/>
      </c>
      <c r="CP147" s="138" t="str">
        <f>IF($I147&lt;&gt;"",INDEX('Device Refrigerant Leakage'!$E$2:$E$42,MATCH($M147,'Device Refrigerant Leakage'!$B$2:$B$42,0)),"")</f>
        <v/>
      </c>
      <c r="CQ147" s="138" t="str">
        <f>IF($I147&lt;&gt;"",INDEX('Device Refrigerant Leakage'!$F$2:$F$42,MATCH($M147,'Device Refrigerant Leakage'!$B$2:$B$42,0)),"")</f>
        <v/>
      </c>
      <c r="CR147" s="145" t="str">
        <f>IF($I147&lt;&gt;"",INDEX('Device Refrigerant Leakage'!$G$2:$G$42,MATCH($M147,'Device Refrigerant Leakage'!$B$2:$B$42,0)),"")</f>
        <v/>
      </c>
      <c r="CS147" s="145" t="str">
        <f>IF($I147&lt;&gt;"",INDEX('Device Refrigerant Leakage'!$D$2:$D$42,MATCH($M147,'Device Refrigerant Leakage'!$B$2:$B$42,0))*CP147/2204.62*CO147,"")</f>
        <v/>
      </c>
      <c r="CT147" s="145" t="str">
        <f>IF($I147&lt;&gt;"",J147*(INDEX('Device Refrigerant Leakage'!$D$2:$D$42,MATCH($M147,'Device Refrigerant Leakage'!$B$2:$B$42,0))-(INDEX('Device Refrigerant Leakage'!$D$2:$D$42,MATCH($M147,'Device Refrigerant Leakage'!$B$2:$B$42,0)))*CR147*CP147)*CQ147/2204.62*CO147,"")</f>
        <v/>
      </c>
      <c r="CU147" s="135" t="str">
        <f>IF($I147&lt;&gt;"",J147*IF(W147&lt;&gt;"AR",(CS147*K147)+CT147,(CS147*AB147)+CT147*(AB147/INDEX('Device Refrigerant Leakage'!$C$2:$C$42,MATCH($M147,'Device Refrigerant Leakage'!$B$2:$B$42,0)))),"")</f>
        <v/>
      </c>
      <c r="CW147" s="135" t="str">
        <f>IF($I147&lt;&gt;"",IF(S147="User Specified",V147,INDEX('Refrigerant GWPs'!$G$2:$G$156,MATCH(S147,'Refrigerant GWPs'!$A$2:$A$157,0))),"")</f>
        <v/>
      </c>
      <c r="CX147" s="138" t="str">
        <f>IF($I147&lt;&gt;"",INDEX('Device Refrigerant Leakage'!$E$2:$E$42,MATCH($Q147,'Device Refrigerant Leakage'!$B$2:$B$42,0)),"")</f>
        <v/>
      </c>
      <c r="CY147" s="138" t="str">
        <f>IF($I147&lt;&gt;"",INDEX('Device Refrigerant Leakage'!$F$2:$F$42,MATCH($Q147,'Device Refrigerant Leakage'!$B$2:$B$42,0)),"")</f>
        <v/>
      </c>
      <c r="CZ147" s="145" t="str">
        <f>IF($I147&lt;&gt;"",INDEX('Device Refrigerant Leakage'!$G$2:$G$42,MATCH($Q147,'Device Refrigerant Leakage'!$B$2:$B$42,0)),"")</f>
        <v/>
      </c>
      <c r="DA147" s="145" t="str">
        <f>IF($I147&lt;&gt;"",J147*INDEX('Device Refrigerant Leakage'!$D$2:$D$42,MATCH($Q147,'Device Refrigerant Leakage'!$B$2:$B$42,0))*CX147/2204.62*CW147,"")</f>
        <v/>
      </c>
      <c r="DB147" s="145" t="str">
        <f>IF($I147&lt;&gt;"",J147*(INDEX('Device Refrigerant Leakage'!$D$2:$D$42,MATCH($Q147,'Device Refrigerant Leakage'!$B$2:$B$42,0))-(INDEX('Device Refrigerant Leakage'!$D$2:$D$42,MATCH($Q147,'Device Refrigerant Leakage'!$B$2:$B$42,0)))*CZ147*CX147)*CY147/2204.62*CW147,"")</f>
        <v/>
      </c>
      <c r="DC147" s="135" t="str">
        <f t="shared" si="244"/>
        <v/>
      </c>
      <c r="DE147" s="146" t="str">
        <f>IF(W147&lt;&gt;"AR","",IF(Y147="User Specified", AA147, INDEX('Refrigerant GWPs'!$G$2:$G$154,MATCH(Y147,'Refrigerant GWPs'!$A$2:$A$154,0))))</f>
        <v/>
      </c>
      <c r="DF147" s="146" t="str">
        <f>IF(W147&lt;&gt;"AR","",INDEX('Device Refrigerant Leakage'!$E$2:$E$42,MATCH(X147,'Device Refrigerant Leakage'!$B$2:$B$42,0)))</f>
        <v/>
      </c>
      <c r="DG147" s="146" t="str">
        <f>IF(W147&lt;&gt;"AR","",INDEX('Device Refrigerant Leakage'!$F$2:$F$42,MATCH(X147,'Device Refrigerant Leakage'!$B$2:$B$42,0)))</f>
        <v/>
      </c>
      <c r="DH147" s="146" t="str">
        <f>IF(W147&lt;&gt;"AR","",INDEX('Device Refrigerant Leakage'!$G$2:$G$42,MATCH(X147,'Device Refrigerant Leakage'!$B$2:$B$42,0)))</f>
        <v/>
      </c>
      <c r="DI147" s="146" t="str">
        <f>IF(W147&lt;&gt;"AR","",J147*INDEX('Device Refrigerant Leakage'!$D$2:$D$42,MATCH(X147,'Device Refrigerant Leakage'!$B$2:$B$42,0))*DF147/2204.62*DE147)</f>
        <v/>
      </c>
      <c r="DJ147" s="146" t="str">
        <f>IF(W147&lt;&gt;"AR","",J147*(INDEX('Device Refrigerant Leakage'!$D$2:$D$42,MATCH(X147,'Device Refrigerant Leakage'!$B$2:$B$42,0))-(INDEX('Device Refrigerant Leakage'!$D$2:$D$42,MATCH(X147,'Device Refrigerant Leakage'!$B$2:$B$42,0)))*DH147*DF147)*DG147/2204.62*DE147)</f>
        <v/>
      </c>
      <c r="DK147" s="146" t="str">
        <f>IF(W147&lt;&gt;"AR","",DI147*(K147-AB147)+'Fuel Sub Calcs-Deemed'!DJ147*((K147-AB147)/INDEX('Device Refrigerant Leakage'!$C$2:$C$42,MATCH('Fuel Sub Calcs-Deemed'!X147,'Device Refrigerant Leakage'!$B$2:$B$42,0))))</f>
        <v/>
      </c>
      <c r="DM147" s="56">
        <v>133</v>
      </c>
      <c r="DN147" s="67" t="e">
        <f t="shared" si="224"/>
        <v>#N/A</v>
      </c>
      <c r="DO147" s="45" t="e">
        <f t="shared" si="225"/>
        <v>#N/A</v>
      </c>
      <c r="DP147" s="67" t="e">
        <f t="shared" si="226"/>
        <v>#N/A</v>
      </c>
      <c r="DQ147" s="45" t="e">
        <f t="shared" si="227"/>
        <v>#N/A</v>
      </c>
      <c r="DR147" s="69" t="e">
        <f t="shared" si="228"/>
        <v>#N/A</v>
      </c>
      <c r="DS147" s="34"/>
      <c r="DT147" s="67" t="e">
        <f>((BX147*CJ147)+IF($W147=MAT_AR,(BZ147*CL147),0))*(1+Reference!$E$50+Reference!$E$51)</f>
        <v>#N/A</v>
      </c>
      <c r="DU147" s="67">
        <f>((BY147*CK147)+IF($W147=MAT_AR,(CA147*CM147),0))*(1+Reference!$G$50+Reference!$G$51)</f>
        <v>0</v>
      </c>
      <c r="DV147" s="67" t="e">
        <f t="shared" si="229"/>
        <v>#VALUE!</v>
      </c>
      <c r="DX147" s="56">
        <v>133</v>
      </c>
      <c r="DY147" s="67">
        <f t="shared" si="230"/>
        <v>0</v>
      </c>
      <c r="DZ147" s="45" t="e">
        <f>VLOOKUP($R147,Dropdown!$C$3:$D$4,2,FALSE)</f>
        <v>#N/A</v>
      </c>
      <c r="EA147" s="68">
        <f t="shared" si="231"/>
        <v>0</v>
      </c>
      <c r="EB147" s="68" t="str">
        <f t="shared" si="232"/>
        <v>N/A</v>
      </c>
      <c r="EC147" s="68">
        <f t="shared" si="233"/>
        <v>0</v>
      </c>
      <c r="ED147" s="68" t="str">
        <f t="shared" si="234"/>
        <v>N/A</v>
      </c>
      <c r="EF147" s="56">
        <v>133</v>
      </c>
      <c r="EG147" s="46">
        <f t="shared" si="235"/>
        <v>0</v>
      </c>
      <c r="EH147" s="68" t="e">
        <f t="shared" si="236"/>
        <v>#N/A</v>
      </c>
      <c r="EI147" s="68" t="e">
        <f t="shared" si="237"/>
        <v>#N/A</v>
      </c>
      <c r="EJ147" s="68" t="e">
        <f t="shared" si="238"/>
        <v>#N/A</v>
      </c>
      <c r="EK147" s="68" t="e">
        <f t="shared" si="239"/>
        <v>#N/A</v>
      </c>
      <c r="EL147" s="46">
        <f t="shared" si="240"/>
        <v>0</v>
      </c>
      <c r="EM147" s="46">
        <f t="shared" si="241"/>
        <v>0</v>
      </c>
    </row>
    <row r="148" spans="1:143">
      <c r="A148" s="89"/>
      <c r="B148" s="89"/>
      <c r="C148" s="89"/>
      <c r="D148" s="89"/>
      <c r="E148" s="89"/>
      <c r="F148" s="89"/>
      <c r="G148" s="34"/>
      <c r="H148" s="56">
        <f t="shared" si="242"/>
        <v>134</v>
      </c>
      <c r="I148" s="165"/>
      <c r="J148" s="163"/>
      <c r="K148" s="163"/>
      <c r="L148" s="164"/>
      <c r="M148" s="155"/>
      <c r="N148" s="155"/>
      <c r="O148" s="144"/>
      <c r="P148" s="159" t="str">
        <f>IFERROR(IF(O148&lt;&gt;"User Specified",IF(O148&lt;&gt;"", INDEX('Refrigerant GWPs'!$G$2:$G$154,MATCH(O148,'Refrigerant GWPs'!$A$2:$A$154,0)),""),U148),0)</f>
        <v/>
      </c>
      <c r="Q148" s="155"/>
      <c r="R148" s="155"/>
      <c r="S148" s="144"/>
      <c r="T148" s="159" t="str">
        <f>IF(S148&lt;&gt;"User Specified",IF(AND(S148&lt;&gt;"User Specified",S148&lt;&gt;""), INDEX('Refrigerant GWPs'!$G$2:$G$154,MATCH(S148,'Refrigerant GWPs'!$A$2:$A$154,0)),""),V148)</f>
        <v/>
      </c>
      <c r="U148" s="144"/>
      <c r="V148" s="144"/>
      <c r="W148" s="155"/>
      <c r="X148" s="155"/>
      <c r="Y148" s="144"/>
      <c r="Z148" s="159" t="str">
        <f>IF(AND(Y148&lt;&gt;"User Specified",Y148&lt;&gt;""), INDEX('Refrigerant GWPs'!$G$2:$G$154,MATCH(Y148,'Refrigerant GWPs'!$A$2:$A$154,0)),"")</f>
        <v/>
      </c>
      <c r="AA148" s="155"/>
      <c r="AB148" s="156"/>
      <c r="AC148" s="66"/>
      <c r="AD148" s="66"/>
      <c r="AE148" s="66"/>
      <c r="AF148" s="66"/>
      <c r="AG148" s="66"/>
      <c r="AH148" s="66"/>
      <c r="AI148" s="34"/>
      <c r="AJ148" s="88">
        <f t="shared" si="200"/>
        <v>0</v>
      </c>
      <c r="AK148" s="88">
        <f t="shared" si="201"/>
        <v>0</v>
      </c>
      <c r="AL148" s="88">
        <v>0</v>
      </c>
      <c r="AM148" s="88">
        <v>0</v>
      </c>
      <c r="AN148" s="81" t="str">
        <f t="shared" si="243"/>
        <v/>
      </c>
      <c r="AO148" s="88">
        <f t="shared" si="202"/>
        <v>0</v>
      </c>
      <c r="AP148" s="88">
        <f t="shared" si="203"/>
        <v>0</v>
      </c>
      <c r="AQ148" s="81" t="str">
        <f t="shared" si="204"/>
        <v/>
      </c>
      <c r="AS148" s="41" t="b">
        <f t="shared" si="205"/>
        <v>1</v>
      </c>
      <c r="AT148" s="38">
        <f t="shared" si="206"/>
        <v>0</v>
      </c>
      <c r="AU148" s="60">
        <f t="shared" si="207"/>
        <v>0</v>
      </c>
      <c r="AV148" s="41">
        <f t="shared" si="208"/>
        <v>0</v>
      </c>
      <c r="AW148" s="41" t="b">
        <f t="shared" si="209"/>
        <v>0</v>
      </c>
      <c r="AX148" t="str">
        <f t="shared" si="210"/>
        <v>+00</v>
      </c>
      <c r="AY148" t="str">
        <f t="shared" si="211"/>
        <v>+00</v>
      </c>
      <c r="BA148" s="47" t="b">
        <f t="shared" si="164"/>
        <v>1</v>
      </c>
      <c r="BB148" s="42" t="b">
        <f t="shared" si="165"/>
        <v>1</v>
      </c>
      <c r="BC148" s="42" t="b">
        <f t="shared" si="166"/>
        <v>0</v>
      </c>
      <c r="BD148" s="42" t="b">
        <f t="shared" si="167"/>
        <v>0</v>
      </c>
      <c r="BE148" s="70">
        <f t="shared" si="168"/>
        <v>0</v>
      </c>
      <c r="BF148" s="70">
        <f t="shared" si="169"/>
        <v>0</v>
      </c>
      <c r="BG148" s="34"/>
      <c r="BI148" s="47" t="b">
        <f t="shared" si="170"/>
        <v>1</v>
      </c>
      <c r="BJ148" s="47" t="b">
        <f t="shared" si="171"/>
        <v>1</v>
      </c>
      <c r="BK148" s="42" t="b">
        <f t="shared" si="172"/>
        <v>0</v>
      </c>
      <c r="BL148" s="42" t="b">
        <f t="shared" si="173"/>
        <v>0</v>
      </c>
      <c r="BM148" s="42">
        <f t="shared" si="174"/>
        <v>0</v>
      </c>
      <c r="BN148" s="42">
        <f t="shared" si="175"/>
        <v>0</v>
      </c>
      <c r="BP148" t="e">
        <f t="shared" si="176"/>
        <v>#N/A</v>
      </c>
      <c r="BQ148" t="e">
        <f t="shared" si="177"/>
        <v>#N/A</v>
      </c>
      <c r="BR148" t="e">
        <f t="shared" si="178"/>
        <v>#N/A</v>
      </c>
      <c r="BT148" s="60">
        <f t="shared" si="212"/>
        <v>0</v>
      </c>
      <c r="BU148" s="60">
        <f t="shared" si="213"/>
        <v>0</v>
      </c>
      <c r="BV148" s="60">
        <f t="shared" si="214"/>
        <v>0</v>
      </c>
      <c r="BW148" s="60">
        <f t="shared" si="215"/>
        <v>0</v>
      </c>
      <c r="BX148" s="60">
        <f t="shared" si="179"/>
        <v>0</v>
      </c>
      <c r="BY148" s="60">
        <f t="shared" si="180"/>
        <v>0</v>
      </c>
      <c r="BZ148" s="60">
        <f t="shared" si="181"/>
        <v>0</v>
      </c>
      <c r="CA148" s="60">
        <f t="shared" si="182"/>
        <v>0</v>
      </c>
      <c r="CB148" s="60" t="e">
        <f t="shared" si="216"/>
        <v>#N/A</v>
      </c>
      <c r="CC148" s="60">
        <f t="shared" si="217"/>
        <v>100000</v>
      </c>
      <c r="CD148" s="60" t="e">
        <f t="shared" si="218"/>
        <v>#N/A</v>
      </c>
      <c r="CE148" s="60">
        <f t="shared" si="219"/>
        <v>100000</v>
      </c>
      <c r="CF148" s="83" t="e">
        <f t="shared" si="183"/>
        <v>#N/A</v>
      </c>
      <c r="CG148" s="83">
        <f t="shared" si="184"/>
        <v>0</v>
      </c>
      <c r="CH148" s="83" t="e">
        <f t="shared" si="185"/>
        <v>#N/A</v>
      </c>
      <c r="CI148" s="83">
        <f t="shared" si="186"/>
        <v>0</v>
      </c>
      <c r="CJ148" s="86" t="e">
        <f t="shared" si="220"/>
        <v>#N/A</v>
      </c>
      <c r="CK148" s="82">
        <f t="shared" si="221"/>
        <v>5.3070370403969858E-3</v>
      </c>
      <c r="CL148" s="82" t="e">
        <f t="shared" si="222"/>
        <v>#N/A</v>
      </c>
      <c r="CM148" s="82">
        <f t="shared" si="223"/>
        <v>5.3070370403969858E-3</v>
      </c>
      <c r="CO148" s="149" t="str">
        <f>IF($I148&lt;&gt;"",IF(O148="User Specified",U148,INDEX('Refrigerant GWPs'!$G$2:$G$156,MATCH(O148,'Refrigerant GWPs'!$A$2:$A$156,0))),"")</f>
        <v/>
      </c>
      <c r="CP148" s="138" t="str">
        <f>IF($I148&lt;&gt;"",INDEX('Device Refrigerant Leakage'!$E$2:$E$42,MATCH($M148,'Device Refrigerant Leakage'!$B$2:$B$42,0)),"")</f>
        <v/>
      </c>
      <c r="CQ148" s="138" t="str">
        <f>IF($I148&lt;&gt;"",INDEX('Device Refrigerant Leakage'!$F$2:$F$42,MATCH($M148,'Device Refrigerant Leakage'!$B$2:$B$42,0)),"")</f>
        <v/>
      </c>
      <c r="CR148" s="145" t="str">
        <f>IF($I148&lt;&gt;"",INDEX('Device Refrigerant Leakage'!$G$2:$G$42,MATCH($M148,'Device Refrigerant Leakage'!$B$2:$B$42,0)),"")</f>
        <v/>
      </c>
      <c r="CS148" s="145" t="str">
        <f>IF($I148&lt;&gt;"",INDEX('Device Refrigerant Leakage'!$D$2:$D$42,MATCH($M148,'Device Refrigerant Leakage'!$B$2:$B$42,0))*CP148/2204.62*CO148,"")</f>
        <v/>
      </c>
      <c r="CT148" s="145" t="str">
        <f>IF($I148&lt;&gt;"",J148*(INDEX('Device Refrigerant Leakage'!$D$2:$D$42,MATCH($M148,'Device Refrigerant Leakage'!$B$2:$B$42,0))-(INDEX('Device Refrigerant Leakage'!$D$2:$D$42,MATCH($M148,'Device Refrigerant Leakage'!$B$2:$B$42,0)))*CR148*CP148)*CQ148/2204.62*CO148,"")</f>
        <v/>
      </c>
      <c r="CU148" s="135" t="str">
        <f>IF($I148&lt;&gt;"",J148*IF(W148&lt;&gt;"AR",(CS148*K148)+CT148,(CS148*AB148)+CT148*(AB148/INDEX('Device Refrigerant Leakage'!$C$2:$C$42,MATCH($M148,'Device Refrigerant Leakage'!$B$2:$B$42,0)))),"")</f>
        <v/>
      </c>
      <c r="CW148" s="135" t="str">
        <f>IF($I148&lt;&gt;"",IF(S148="User Specified",V148,INDEX('Refrigerant GWPs'!$G$2:$G$156,MATCH(S148,'Refrigerant GWPs'!$A$2:$A$157,0))),"")</f>
        <v/>
      </c>
      <c r="CX148" s="138" t="str">
        <f>IF($I148&lt;&gt;"",INDEX('Device Refrigerant Leakage'!$E$2:$E$42,MATCH($Q148,'Device Refrigerant Leakage'!$B$2:$B$42,0)),"")</f>
        <v/>
      </c>
      <c r="CY148" s="138" t="str">
        <f>IF($I148&lt;&gt;"",INDEX('Device Refrigerant Leakage'!$F$2:$F$42,MATCH($Q148,'Device Refrigerant Leakage'!$B$2:$B$42,0)),"")</f>
        <v/>
      </c>
      <c r="CZ148" s="145" t="str">
        <f>IF($I148&lt;&gt;"",INDEX('Device Refrigerant Leakage'!$G$2:$G$42,MATCH($Q148,'Device Refrigerant Leakage'!$B$2:$B$42,0)),"")</f>
        <v/>
      </c>
      <c r="DA148" s="145" t="str">
        <f>IF($I148&lt;&gt;"",J148*INDEX('Device Refrigerant Leakage'!$D$2:$D$42,MATCH($Q148,'Device Refrigerant Leakage'!$B$2:$B$42,0))*CX148/2204.62*CW148,"")</f>
        <v/>
      </c>
      <c r="DB148" s="145" t="str">
        <f>IF($I148&lt;&gt;"",J148*(INDEX('Device Refrigerant Leakage'!$D$2:$D$42,MATCH($Q148,'Device Refrigerant Leakage'!$B$2:$B$42,0))-(INDEX('Device Refrigerant Leakage'!$D$2:$D$42,MATCH($Q148,'Device Refrigerant Leakage'!$B$2:$B$42,0)))*CZ148*CX148)*CY148/2204.62*CW148,"")</f>
        <v/>
      </c>
      <c r="DC148" s="135" t="str">
        <f t="shared" si="244"/>
        <v/>
      </c>
      <c r="DE148" s="146" t="str">
        <f>IF(W148&lt;&gt;"AR","",IF(Y148="User Specified", AA148, INDEX('Refrigerant GWPs'!$G$2:$G$154,MATCH(Y148,'Refrigerant GWPs'!$A$2:$A$154,0))))</f>
        <v/>
      </c>
      <c r="DF148" s="146" t="str">
        <f>IF(W148&lt;&gt;"AR","",INDEX('Device Refrigerant Leakage'!$E$2:$E$42,MATCH(X148,'Device Refrigerant Leakage'!$B$2:$B$42,0)))</f>
        <v/>
      </c>
      <c r="DG148" s="146" t="str">
        <f>IF(W148&lt;&gt;"AR","",INDEX('Device Refrigerant Leakage'!$F$2:$F$42,MATCH(X148,'Device Refrigerant Leakage'!$B$2:$B$42,0)))</f>
        <v/>
      </c>
      <c r="DH148" s="146" t="str">
        <f>IF(W148&lt;&gt;"AR","",INDEX('Device Refrigerant Leakage'!$G$2:$G$42,MATCH(X148,'Device Refrigerant Leakage'!$B$2:$B$42,0)))</f>
        <v/>
      </c>
      <c r="DI148" s="146" t="str">
        <f>IF(W148&lt;&gt;"AR","",J148*INDEX('Device Refrigerant Leakage'!$D$2:$D$42,MATCH(X148,'Device Refrigerant Leakage'!$B$2:$B$42,0))*DF148/2204.62*DE148)</f>
        <v/>
      </c>
      <c r="DJ148" s="146" t="str">
        <f>IF(W148&lt;&gt;"AR","",J148*(INDEX('Device Refrigerant Leakage'!$D$2:$D$42,MATCH(X148,'Device Refrigerant Leakage'!$B$2:$B$42,0))-(INDEX('Device Refrigerant Leakage'!$D$2:$D$42,MATCH(X148,'Device Refrigerant Leakage'!$B$2:$B$42,0)))*DH148*DF148)*DG148/2204.62*DE148)</f>
        <v/>
      </c>
      <c r="DK148" s="146" t="str">
        <f>IF(W148&lt;&gt;"AR","",DI148*(K148-AB148)+'Fuel Sub Calcs-Deemed'!DJ148*((K148-AB148)/INDEX('Device Refrigerant Leakage'!$C$2:$C$42,MATCH('Fuel Sub Calcs-Deemed'!X148,'Device Refrigerant Leakage'!$B$2:$B$42,0))))</f>
        <v/>
      </c>
      <c r="DM148" s="56">
        <v>134</v>
      </c>
      <c r="DN148" s="67" t="e">
        <f t="shared" si="224"/>
        <v>#N/A</v>
      </c>
      <c r="DO148" s="45" t="e">
        <f t="shared" si="225"/>
        <v>#N/A</v>
      </c>
      <c r="DP148" s="67" t="e">
        <f t="shared" si="226"/>
        <v>#N/A</v>
      </c>
      <c r="DQ148" s="45" t="e">
        <f t="shared" si="227"/>
        <v>#N/A</v>
      </c>
      <c r="DR148" s="69" t="e">
        <f t="shared" si="228"/>
        <v>#N/A</v>
      </c>
      <c r="DS148" s="34"/>
      <c r="DT148" s="67" t="e">
        <f>((BX148*CJ148)+IF($W148=MAT_AR,(BZ148*CL148),0))*(1+Reference!$E$50+Reference!$E$51)</f>
        <v>#N/A</v>
      </c>
      <c r="DU148" s="67">
        <f>((BY148*CK148)+IF($W148=MAT_AR,(CA148*CM148),0))*(1+Reference!$G$50+Reference!$G$51)</f>
        <v>0</v>
      </c>
      <c r="DV148" s="67" t="e">
        <f t="shared" si="229"/>
        <v>#VALUE!</v>
      </c>
      <c r="DX148" s="56">
        <v>134</v>
      </c>
      <c r="DY148" s="67">
        <f t="shared" si="230"/>
        <v>0</v>
      </c>
      <c r="DZ148" s="45" t="e">
        <f>VLOOKUP($R148,Dropdown!$C$3:$D$4,2,FALSE)</f>
        <v>#N/A</v>
      </c>
      <c r="EA148" s="68">
        <f t="shared" si="231"/>
        <v>0</v>
      </c>
      <c r="EB148" s="68" t="str">
        <f t="shared" si="232"/>
        <v>N/A</v>
      </c>
      <c r="EC148" s="68">
        <f t="shared" si="233"/>
        <v>0</v>
      </c>
      <c r="ED148" s="68" t="str">
        <f t="shared" si="234"/>
        <v>N/A</v>
      </c>
      <c r="EF148" s="56">
        <v>134</v>
      </c>
      <c r="EG148" s="46">
        <f t="shared" si="235"/>
        <v>0</v>
      </c>
      <c r="EH148" s="68" t="e">
        <f t="shared" si="236"/>
        <v>#N/A</v>
      </c>
      <c r="EI148" s="68" t="e">
        <f t="shared" si="237"/>
        <v>#N/A</v>
      </c>
      <c r="EJ148" s="68" t="e">
        <f t="shared" si="238"/>
        <v>#N/A</v>
      </c>
      <c r="EK148" s="68" t="e">
        <f t="shared" si="239"/>
        <v>#N/A</v>
      </c>
      <c r="EL148" s="46">
        <f t="shared" si="240"/>
        <v>0</v>
      </c>
      <c r="EM148" s="46">
        <f t="shared" si="241"/>
        <v>0</v>
      </c>
    </row>
    <row r="149" spans="1:143">
      <c r="A149" s="89"/>
      <c r="B149" s="89"/>
      <c r="C149" s="89"/>
      <c r="D149" s="89"/>
      <c r="E149" s="89"/>
      <c r="F149" s="89"/>
      <c r="G149" s="34"/>
      <c r="H149" s="56">
        <f t="shared" si="242"/>
        <v>135</v>
      </c>
      <c r="I149" s="165"/>
      <c r="J149" s="163"/>
      <c r="K149" s="163"/>
      <c r="L149" s="164"/>
      <c r="M149" s="155"/>
      <c r="N149" s="155"/>
      <c r="O149" s="144"/>
      <c r="P149" s="159" t="str">
        <f>IFERROR(IF(O149&lt;&gt;"User Specified",IF(O149&lt;&gt;"", INDEX('Refrigerant GWPs'!$G$2:$G$154,MATCH(O149,'Refrigerant GWPs'!$A$2:$A$154,0)),""),U149),0)</f>
        <v/>
      </c>
      <c r="Q149" s="155"/>
      <c r="R149" s="155"/>
      <c r="S149" s="144"/>
      <c r="T149" s="159" t="str">
        <f>IF(S149&lt;&gt;"User Specified",IF(AND(S149&lt;&gt;"User Specified",S149&lt;&gt;""), INDEX('Refrigerant GWPs'!$G$2:$G$154,MATCH(S149,'Refrigerant GWPs'!$A$2:$A$154,0)),""),V149)</f>
        <v/>
      </c>
      <c r="U149" s="144"/>
      <c r="V149" s="144"/>
      <c r="W149" s="155"/>
      <c r="X149" s="155"/>
      <c r="Y149" s="144"/>
      <c r="Z149" s="159" t="str">
        <f>IF(AND(Y149&lt;&gt;"User Specified",Y149&lt;&gt;""), INDEX('Refrigerant GWPs'!$G$2:$G$154,MATCH(Y149,'Refrigerant GWPs'!$A$2:$A$154,0)),"")</f>
        <v/>
      </c>
      <c r="AA149" s="155"/>
      <c r="AB149" s="156"/>
      <c r="AC149" s="66"/>
      <c r="AD149" s="66"/>
      <c r="AE149" s="66"/>
      <c r="AF149" s="66"/>
      <c r="AG149" s="66"/>
      <c r="AH149" s="66"/>
      <c r="AI149" s="34"/>
      <c r="AJ149" s="88">
        <f t="shared" si="200"/>
        <v>0</v>
      </c>
      <c r="AK149" s="88">
        <f t="shared" si="201"/>
        <v>0</v>
      </c>
      <c r="AL149" s="88">
        <v>0</v>
      </c>
      <c r="AM149" s="88">
        <v>0</v>
      </c>
      <c r="AN149" s="81" t="str">
        <f t="shared" si="243"/>
        <v/>
      </c>
      <c r="AO149" s="88">
        <f t="shared" si="202"/>
        <v>0</v>
      </c>
      <c r="AP149" s="88">
        <f t="shared" si="203"/>
        <v>0</v>
      </c>
      <c r="AQ149" s="81" t="str">
        <f t="shared" si="204"/>
        <v/>
      </c>
      <c r="AS149" s="41" t="b">
        <f t="shared" si="205"/>
        <v>1</v>
      </c>
      <c r="AT149" s="38">
        <f t="shared" si="206"/>
        <v>0</v>
      </c>
      <c r="AU149" s="60">
        <f t="shared" si="207"/>
        <v>0</v>
      </c>
      <c r="AV149" s="41">
        <f t="shared" si="208"/>
        <v>0</v>
      </c>
      <c r="AW149" s="41" t="b">
        <f t="shared" si="209"/>
        <v>0</v>
      </c>
      <c r="AX149" t="str">
        <f t="shared" si="210"/>
        <v>+00</v>
      </c>
      <c r="AY149" t="str">
        <f t="shared" si="211"/>
        <v>+00</v>
      </c>
      <c r="BA149" s="47" t="b">
        <f t="shared" si="164"/>
        <v>1</v>
      </c>
      <c r="BB149" s="42" t="b">
        <f t="shared" si="165"/>
        <v>1</v>
      </c>
      <c r="BC149" s="42" t="b">
        <f t="shared" si="166"/>
        <v>0</v>
      </c>
      <c r="BD149" s="42" t="b">
        <f t="shared" si="167"/>
        <v>0</v>
      </c>
      <c r="BE149" s="70">
        <f t="shared" si="168"/>
        <v>0</v>
      </c>
      <c r="BF149" s="70">
        <f t="shared" si="169"/>
        <v>0</v>
      </c>
      <c r="BG149" s="34"/>
      <c r="BI149" s="47" t="b">
        <f t="shared" si="170"/>
        <v>1</v>
      </c>
      <c r="BJ149" s="47" t="b">
        <f t="shared" si="171"/>
        <v>1</v>
      </c>
      <c r="BK149" s="42" t="b">
        <f t="shared" si="172"/>
        <v>0</v>
      </c>
      <c r="BL149" s="42" t="b">
        <f t="shared" si="173"/>
        <v>0</v>
      </c>
      <c r="BM149" s="42">
        <f t="shared" si="174"/>
        <v>0</v>
      </c>
      <c r="BN149" s="42">
        <f t="shared" si="175"/>
        <v>0</v>
      </c>
      <c r="BP149" t="e">
        <f t="shared" si="176"/>
        <v>#N/A</v>
      </c>
      <c r="BQ149" t="e">
        <f t="shared" si="177"/>
        <v>#N/A</v>
      </c>
      <c r="BR149" t="e">
        <f t="shared" si="178"/>
        <v>#N/A</v>
      </c>
      <c r="BT149" s="60">
        <f t="shared" si="212"/>
        <v>0</v>
      </c>
      <c r="BU149" s="60">
        <f t="shared" si="213"/>
        <v>0</v>
      </c>
      <c r="BV149" s="60">
        <f t="shared" si="214"/>
        <v>0</v>
      </c>
      <c r="BW149" s="60">
        <f t="shared" si="215"/>
        <v>0</v>
      </c>
      <c r="BX149" s="60">
        <f t="shared" si="179"/>
        <v>0</v>
      </c>
      <c r="BY149" s="60">
        <f t="shared" si="180"/>
        <v>0</v>
      </c>
      <c r="BZ149" s="60">
        <f t="shared" si="181"/>
        <v>0</v>
      </c>
      <c r="CA149" s="60">
        <f t="shared" si="182"/>
        <v>0</v>
      </c>
      <c r="CB149" s="60" t="e">
        <f t="shared" si="216"/>
        <v>#N/A</v>
      </c>
      <c r="CC149" s="60">
        <f t="shared" si="217"/>
        <v>100000</v>
      </c>
      <c r="CD149" s="60" t="e">
        <f t="shared" si="218"/>
        <v>#N/A</v>
      </c>
      <c r="CE149" s="60">
        <f t="shared" si="219"/>
        <v>100000</v>
      </c>
      <c r="CF149" s="83" t="e">
        <f t="shared" si="183"/>
        <v>#N/A</v>
      </c>
      <c r="CG149" s="83">
        <f t="shared" si="184"/>
        <v>0</v>
      </c>
      <c r="CH149" s="83" t="e">
        <f t="shared" si="185"/>
        <v>#N/A</v>
      </c>
      <c r="CI149" s="83">
        <f t="shared" si="186"/>
        <v>0</v>
      </c>
      <c r="CJ149" s="86" t="e">
        <f t="shared" si="220"/>
        <v>#N/A</v>
      </c>
      <c r="CK149" s="82">
        <f t="shared" si="221"/>
        <v>5.3070370403969858E-3</v>
      </c>
      <c r="CL149" s="82" t="e">
        <f t="shared" si="222"/>
        <v>#N/A</v>
      </c>
      <c r="CM149" s="82">
        <f t="shared" si="223"/>
        <v>5.3070370403969858E-3</v>
      </c>
      <c r="CO149" s="149" t="str">
        <f>IF($I149&lt;&gt;"",IF(O149="User Specified",U149,INDEX('Refrigerant GWPs'!$G$2:$G$156,MATCH(O149,'Refrigerant GWPs'!$A$2:$A$156,0))),"")</f>
        <v/>
      </c>
      <c r="CP149" s="138" t="str">
        <f>IF($I149&lt;&gt;"",INDEX('Device Refrigerant Leakage'!$E$2:$E$42,MATCH($M149,'Device Refrigerant Leakage'!$B$2:$B$42,0)),"")</f>
        <v/>
      </c>
      <c r="CQ149" s="138" t="str">
        <f>IF($I149&lt;&gt;"",INDEX('Device Refrigerant Leakage'!$F$2:$F$42,MATCH($M149,'Device Refrigerant Leakage'!$B$2:$B$42,0)),"")</f>
        <v/>
      </c>
      <c r="CR149" s="145" t="str">
        <f>IF($I149&lt;&gt;"",INDEX('Device Refrigerant Leakage'!$G$2:$G$42,MATCH($M149,'Device Refrigerant Leakage'!$B$2:$B$42,0)),"")</f>
        <v/>
      </c>
      <c r="CS149" s="145" t="str">
        <f>IF($I149&lt;&gt;"",INDEX('Device Refrigerant Leakage'!$D$2:$D$42,MATCH($M149,'Device Refrigerant Leakage'!$B$2:$B$42,0))*CP149/2204.62*CO149,"")</f>
        <v/>
      </c>
      <c r="CT149" s="145" t="str">
        <f>IF($I149&lt;&gt;"",J149*(INDEX('Device Refrigerant Leakage'!$D$2:$D$42,MATCH($M149,'Device Refrigerant Leakage'!$B$2:$B$42,0))-(INDEX('Device Refrigerant Leakage'!$D$2:$D$42,MATCH($M149,'Device Refrigerant Leakage'!$B$2:$B$42,0)))*CR149*CP149)*CQ149/2204.62*CO149,"")</f>
        <v/>
      </c>
      <c r="CU149" s="135" t="str">
        <f>IF($I149&lt;&gt;"",J149*IF(W149&lt;&gt;"AR",(CS149*K149)+CT149,(CS149*AB149)+CT149*(AB149/INDEX('Device Refrigerant Leakage'!$C$2:$C$42,MATCH($M149,'Device Refrigerant Leakage'!$B$2:$B$42,0)))),"")</f>
        <v/>
      </c>
      <c r="CW149" s="135" t="str">
        <f>IF($I149&lt;&gt;"",IF(S149="User Specified",V149,INDEX('Refrigerant GWPs'!$G$2:$G$156,MATCH(S149,'Refrigerant GWPs'!$A$2:$A$157,0))),"")</f>
        <v/>
      </c>
      <c r="CX149" s="138" t="str">
        <f>IF($I149&lt;&gt;"",INDEX('Device Refrigerant Leakage'!$E$2:$E$42,MATCH($Q149,'Device Refrigerant Leakage'!$B$2:$B$42,0)),"")</f>
        <v/>
      </c>
      <c r="CY149" s="138" t="str">
        <f>IF($I149&lt;&gt;"",INDEX('Device Refrigerant Leakage'!$F$2:$F$42,MATCH($Q149,'Device Refrigerant Leakage'!$B$2:$B$42,0)),"")</f>
        <v/>
      </c>
      <c r="CZ149" s="145" t="str">
        <f>IF($I149&lt;&gt;"",INDEX('Device Refrigerant Leakage'!$G$2:$G$42,MATCH($Q149,'Device Refrigerant Leakage'!$B$2:$B$42,0)),"")</f>
        <v/>
      </c>
      <c r="DA149" s="145" t="str">
        <f>IF($I149&lt;&gt;"",J149*INDEX('Device Refrigerant Leakage'!$D$2:$D$42,MATCH($Q149,'Device Refrigerant Leakage'!$B$2:$B$42,0))*CX149/2204.62*CW149,"")</f>
        <v/>
      </c>
      <c r="DB149" s="145" t="str">
        <f>IF($I149&lt;&gt;"",J149*(INDEX('Device Refrigerant Leakage'!$D$2:$D$42,MATCH($Q149,'Device Refrigerant Leakage'!$B$2:$B$42,0))-(INDEX('Device Refrigerant Leakage'!$D$2:$D$42,MATCH($Q149,'Device Refrigerant Leakage'!$B$2:$B$42,0)))*CZ149*CX149)*CY149/2204.62*CW149,"")</f>
        <v/>
      </c>
      <c r="DC149" s="135" t="str">
        <f t="shared" si="244"/>
        <v/>
      </c>
      <c r="DE149" s="146" t="str">
        <f>IF(W149&lt;&gt;"AR","",IF(Y149="User Specified", AA149, INDEX('Refrigerant GWPs'!$G$2:$G$154,MATCH(Y149,'Refrigerant GWPs'!$A$2:$A$154,0))))</f>
        <v/>
      </c>
      <c r="DF149" s="146" t="str">
        <f>IF(W149&lt;&gt;"AR","",INDEX('Device Refrigerant Leakage'!$E$2:$E$42,MATCH(X149,'Device Refrigerant Leakage'!$B$2:$B$42,0)))</f>
        <v/>
      </c>
      <c r="DG149" s="146" t="str">
        <f>IF(W149&lt;&gt;"AR","",INDEX('Device Refrigerant Leakage'!$F$2:$F$42,MATCH(X149,'Device Refrigerant Leakage'!$B$2:$B$42,0)))</f>
        <v/>
      </c>
      <c r="DH149" s="146" t="str">
        <f>IF(W149&lt;&gt;"AR","",INDEX('Device Refrigerant Leakage'!$G$2:$G$42,MATCH(X149,'Device Refrigerant Leakage'!$B$2:$B$42,0)))</f>
        <v/>
      </c>
      <c r="DI149" s="146" t="str">
        <f>IF(W149&lt;&gt;"AR","",J149*INDEX('Device Refrigerant Leakage'!$D$2:$D$42,MATCH(X149,'Device Refrigerant Leakage'!$B$2:$B$42,0))*DF149/2204.62*DE149)</f>
        <v/>
      </c>
      <c r="DJ149" s="146" t="str">
        <f>IF(W149&lt;&gt;"AR","",J149*(INDEX('Device Refrigerant Leakage'!$D$2:$D$42,MATCH(X149,'Device Refrigerant Leakage'!$B$2:$B$42,0))-(INDEX('Device Refrigerant Leakage'!$D$2:$D$42,MATCH(X149,'Device Refrigerant Leakage'!$B$2:$B$42,0)))*DH149*DF149)*DG149/2204.62*DE149)</f>
        <v/>
      </c>
      <c r="DK149" s="146" t="str">
        <f>IF(W149&lt;&gt;"AR","",DI149*(K149-AB149)+'Fuel Sub Calcs-Deemed'!DJ149*((K149-AB149)/INDEX('Device Refrigerant Leakage'!$C$2:$C$42,MATCH('Fuel Sub Calcs-Deemed'!X149,'Device Refrigerant Leakage'!$B$2:$B$42,0))))</f>
        <v/>
      </c>
      <c r="DM149" s="56">
        <v>135</v>
      </c>
      <c r="DN149" s="67" t="e">
        <f t="shared" si="224"/>
        <v>#N/A</v>
      </c>
      <c r="DO149" s="45" t="e">
        <f t="shared" si="225"/>
        <v>#N/A</v>
      </c>
      <c r="DP149" s="67" t="e">
        <f t="shared" si="226"/>
        <v>#N/A</v>
      </c>
      <c r="DQ149" s="45" t="e">
        <f t="shared" si="227"/>
        <v>#N/A</v>
      </c>
      <c r="DR149" s="69" t="e">
        <f t="shared" si="228"/>
        <v>#N/A</v>
      </c>
      <c r="DS149" s="34"/>
      <c r="DT149" s="67" t="e">
        <f>((BX149*CJ149)+IF($W149=MAT_AR,(BZ149*CL149),0))*(1+Reference!$E$50+Reference!$E$51)</f>
        <v>#N/A</v>
      </c>
      <c r="DU149" s="67">
        <f>((BY149*CK149)+IF($W149=MAT_AR,(CA149*CM149),0))*(1+Reference!$G$50+Reference!$G$51)</f>
        <v>0</v>
      </c>
      <c r="DV149" s="67" t="e">
        <f t="shared" si="229"/>
        <v>#VALUE!</v>
      </c>
      <c r="DX149" s="56">
        <v>135</v>
      </c>
      <c r="DY149" s="67">
        <f t="shared" si="230"/>
        <v>0</v>
      </c>
      <c r="DZ149" s="45" t="e">
        <f>VLOOKUP($R149,Dropdown!$C$3:$D$4,2,FALSE)</f>
        <v>#N/A</v>
      </c>
      <c r="EA149" s="68">
        <f t="shared" si="231"/>
        <v>0</v>
      </c>
      <c r="EB149" s="68" t="str">
        <f t="shared" si="232"/>
        <v>N/A</v>
      </c>
      <c r="EC149" s="68">
        <f t="shared" si="233"/>
        <v>0</v>
      </c>
      <c r="ED149" s="68" t="str">
        <f t="shared" si="234"/>
        <v>N/A</v>
      </c>
      <c r="EF149" s="56">
        <v>135</v>
      </c>
      <c r="EG149" s="46">
        <f t="shared" si="235"/>
        <v>0</v>
      </c>
      <c r="EH149" s="68" t="e">
        <f t="shared" si="236"/>
        <v>#N/A</v>
      </c>
      <c r="EI149" s="68" t="e">
        <f t="shared" si="237"/>
        <v>#N/A</v>
      </c>
      <c r="EJ149" s="68" t="e">
        <f t="shared" si="238"/>
        <v>#N/A</v>
      </c>
      <c r="EK149" s="68" t="e">
        <f t="shared" si="239"/>
        <v>#N/A</v>
      </c>
      <c r="EL149" s="46">
        <f t="shared" si="240"/>
        <v>0</v>
      </c>
      <c r="EM149" s="46">
        <f t="shared" si="241"/>
        <v>0</v>
      </c>
    </row>
    <row r="150" spans="1:143">
      <c r="A150" s="89"/>
      <c r="B150" s="89"/>
      <c r="C150" s="89"/>
      <c r="D150" s="89"/>
      <c r="E150" s="89"/>
      <c r="F150" s="89"/>
      <c r="G150" s="34"/>
      <c r="H150" s="56">
        <f t="shared" si="242"/>
        <v>136</v>
      </c>
      <c r="I150" s="165"/>
      <c r="J150" s="163"/>
      <c r="K150" s="163"/>
      <c r="L150" s="164"/>
      <c r="M150" s="155"/>
      <c r="N150" s="155"/>
      <c r="O150" s="144"/>
      <c r="P150" s="159" t="str">
        <f>IFERROR(IF(O150&lt;&gt;"User Specified",IF(O150&lt;&gt;"", INDEX('Refrigerant GWPs'!$G$2:$G$154,MATCH(O150,'Refrigerant GWPs'!$A$2:$A$154,0)),""),U150),0)</f>
        <v/>
      </c>
      <c r="Q150" s="155"/>
      <c r="R150" s="155"/>
      <c r="S150" s="144"/>
      <c r="T150" s="159" t="str">
        <f>IF(S150&lt;&gt;"User Specified",IF(AND(S150&lt;&gt;"User Specified",S150&lt;&gt;""), INDEX('Refrigerant GWPs'!$G$2:$G$154,MATCH(S150,'Refrigerant GWPs'!$A$2:$A$154,0)),""),V150)</f>
        <v/>
      </c>
      <c r="U150" s="144"/>
      <c r="V150" s="144"/>
      <c r="W150" s="155"/>
      <c r="X150" s="155"/>
      <c r="Y150" s="144"/>
      <c r="Z150" s="159" t="str">
        <f>IF(AND(Y150&lt;&gt;"User Specified",Y150&lt;&gt;""), INDEX('Refrigerant GWPs'!$G$2:$G$154,MATCH(Y150,'Refrigerant GWPs'!$A$2:$A$154,0)),"")</f>
        <v/>
      </c>
      <c r="AA150" s="155"/>
      <c r="AB150" s="156"/>
      <c r="AC150" s="66"/>
      <c r="AD150" s="66"/>
      <c r="AE150" s="66"/>
      <c r="AF150" s="66"/>
      <c r="AG150" s="66"/>
      <c r="AH150" s="66"/>
      <c r="AI150" s="34"/>
      <c r="AJ150" s="88">
        <f t="shared" si="200"/>
        <v>0</v>
      </c>
      <c r="AK150" s="88">
        <f t="shared" si="201"/>
        <v>0</v>
      </c>
      <c r="AL150" s="88">
        <v>0</v>
      </c>
      <c r="AM150" s="88">
        <v>0</v>
      </c>
      <c r="AN150" s="81" t="str">
        <f t="shared" si="243"/>
        <v/>
      </c>
      <c r="AO150" s="88">
        <f t="shared" si="202"/>
        <v>0</v>
      </c>
      <c r="AP150" s="88">
        <f t="shared" si="203"/>
        <v>0</v>
      </c>
      <c r="AQ150" s="81" t="str">
        <f t="shared" si="204"/>
        <v/>
      </c>
      <c r="AS150" s="41" t="b">
        <f t="shared" si="205"/>
        <v>1</v>
      </c>
      <c r="AT150" s="38">
        <f t="shared" si="206"/>
        <v>0</v>
      </c>
      <c r="AU150" s="60">
        <f t="shared" si="207"/>
        <v>0</v>
      </c>
      <c r="AV150" s="41">
        <f t="shared" si="208"/>
        <v>0</v>
      </c>
      <c r="AW150" s="41" t="b">
        <f t="shared" si="209"/>
        <v>0</v>
      </c>
      <c r="AX150" t="str">
        <f t="shared" si="210"/>
        <v>+00</v>
      </c>
      <c r="AY150" t="str">
        <f t="shared" si="211"/>
        <v>+00</v>
      </c>
      <c r="BA150" s="47" t="b">
        <f t="shared" si="164"/>
        <v>1</v>
      </c>
      <c r="BB150" s="42" t="b">
        <f t="shared" si="165"/>
        <v>1</v>
      </c>
      <c r="BC150" s="42" t="b">
        <f t="shared" si="166"/>
        <v>0</v>
      </c>
      <c r="BD150" s="42" t="b">
        <f t="shared" si="167"/>
        <v>0</v>
      </c>
      <c r="BE150" s="70">
        <f t="shared" si="168"/>
        <v>0</v>
      </c>
      <c r="BF150" s="70">
        <f t="shared" si="169"/>
        <v>0</v>
      </c>
      <c r="BG150" s="34"/>
      <c r="BI150" s="47" t="b">
        <f t="shared" si="170"/>
        <v>1</v>
      </c>
      <c r="BJ150" s="47" t="b">
        <f t="shared" si="171"/>
        <v>1</v>
      </c>
      <c r="BK150" s="42" t="b">
        <f t="shared" si="172"/>
        <v>0</v>
      </c>
      <c r="BL150" s="42" t="b">
        <f t="shared" si="173"/>
        <v>0</v>
      </c>
      <c r="BM150" s="42">
        <f t="shared" si="174"/>
        <v>0</v>
      </c>
      <c r="BN150" s="42">
        <f t="shared" si="175"/>
        <v>0</v>
      </c>
      <c r="BP150" t="e">
        <f t="shared" si="176"/>
        <v>#N/A</v>
      </c>
      <c r="BQ150" t="e">
        <f t="shared" si="177"/>
        <v>#N/A</v>
      </c>
      <c r="BR150" t="e">
        <f t="shared" si="178"/>
        <v>#N/A</v>
      </c>
      <c r="BT150" s="60">
        <f t="shared" si="212"/>
        <v>0</v>
      </c>
      <c r="BU150" s="60">
        <f t="shared" si="213"/>
        <v>0</v>
      </c>
      <c r="BV150" s="60">
        <f t="shared" si="214"/>
        <v>0</v>
      </c>
      <c r="BW150" s="60">
        <f t="shared" si="215"/>
        <v>0</v>
      </c>
      <c r="BX150" s="60">
        <f t="shared" si="179"/>
        <v>0</v>
      </c>
      <c r="BY150" s="60">
        <f t="shared" si="180"/>
        <v>0</v>
      </c>
      <c r="BZ150" s="60">
        <f t="shared" si="181"/>
        <v>0</v>
      </c>
      <c r="CA150" s="60">
        <f t="shared" si="182"/>
        <v>0</v>
      </c>
      <c r="CB150" s="60" t="e">
        <f t="shared" si="216"/>
        <v>#N/A</v>
      </c>
      <c r="CC150" s="60">
        <f t="shared" si="217"/>
        <v>100000</v>
      </c>
      <c r="CD150" s="60" t="e">
        <f t="shared" si="218"/>
        <v>#N/A</v>
      </c>
      <c r="CE150" s="60">
        <f t="shared" si="219"/>
        <v>100000</v>
      </c>
      <c r="CF150" s="83" t="e">
        <f t="shared" si="183"/>
        <v>#N/A</v>
      </c>
      <c r="CG150" s="83">
        <f t="shared" si="184"/>
        <v>0</v>
      </c>
      <c r="CH150" s="83" t="e">
        <f t="shared" si="185"/>
        <v>#N/A</v>
      </c>
      <c r="CI150" s="83">
        <f t="shared" si="186"/>
        <v>0</v>
      </c>
      <c r="CJ150" s="86" t="e">
        <f t="shared" si="220"/>
        <v>#N/A</v>
      </c>
      <c r="CK150" s="82">
        <f t="shared" si="221"/>
        <v>5.3070370403969858E-3</v>
      </c>
      <c r="CL150" s="82" t="e">
        <f t="shared" si="222"/>
        <v>#N/A</v>
      </c>
      <c r="CM150" s="82">
        <f t="shared" si="223"/>
        <v>5.3070370403969858E-3</v>
      </c>
      <c r="CO150" s="149" t="str">
        <f>IF($I150&lt;&gt;"",IF(O150="User Specified",U150,INDEX('Refrigerant GWPs'!$G$2:$G$156,MATCH(O150,'Refrigerant GWPs'!$A$2:$A$156,0))),"")</f>
        <v/>
      </c>
      <c r="CP150" s="138" t="str">
        <f>IF($I150&lt;&gt;"",INDEX('Device Refrigerant Leakage'!$E$2:$E$42,MATCH($M150,'Device Refrigerant Leakage'!$B$2:$B$42,0)),"")</f>
        <v/>
      </c>
      <c r="CQ150" s="138" t="str">
        <f>IF($I150&lt;&gt;"",INDEX('Device Refrigerant Leakage'!$F$2:$F$42,MATCH($M150,'Device Refrigerant Leakage'!$B$2:$B$42,0)),"")</f>
        <v/>
      </c>
      <c r="CR150" s="145" t="str">
        <f>IF($I150&lt;&gt;"",INDEX('Device Refrigerant Leakage'!$G$2:$G$42,MATCH($M150,'Device Refrigerant Leakage'!$B$2:$B$42,0)),"")</f>
        <v/>
      </c>
      <c r="CS150" s="145" t="str">
        <f>IF($I150&lt;&gt;"",INDEX('Device Refrigerant Leakage'!$D$2:$D$42,MATCH($M150,'Device Refrigerant Leakage'!$B$2:$B$42,0))*CP150/2204.62*CO150,"")</f>
        <v/>
      </c>
      <c r="CT150" s="145" t="str">
        <f>IF($I150&lt;&gt;"",J150*(INDEX('Device Refrigerant Leakage'!$D$2:$D$42,MATCH($M150,'Device Refrigerant Leakage'!$B$2:$B$42,0))-(INDEX('Device Refrigerant Leakage'!$D$2:$D$42,MATCH($M150,'Device Refrigerant Leakage'!$B$2:$B$42,0)))*CR150*CP150)*CQ150/2204.62*CO150,"")</f>
        <v/>
      </c>
      <c r="CU150" s="135" t="str">
        <f>IF($I150&lt;&gt;"",J150*IF(W150&lt;&gt;"AR",(CS150*K150)+CT150,(CS150*AB150)+CT150*(AB150/INDEX('Device Refrigerant Leakage'!$C$2:$C$42,MATCH($M150,'Device Refrigerant Leakage'!$B$2:$B$42,0)))),"")</f>
        <v/>
      </c>
      <c r="CW150" s="135" t="str">
        <f>IF($I150&lt;&gt;"",IF(S150="User Specified",V150,INDEX('Refrigerant GWPs'!$G$2:$G$156,MATCH(S150,'Refrigerant GWPs'!$A$2:$A$157,0))),"")</f>
        <v/>
      </c>
      <c r="CX150" s="138" t="str">
        <f>IF($I150&lt;&gt;"",INDEX('Device Refrigerant Leakage'!$E$2:$E$42,MATCH($Q150,'Device Refrigerant Leakage'!$B$2:$B$42,0)),"")</f>
        <v/>
      </c>
      <c r="CY150" s="138" t="str">
        <f>IF($I150&lt;&gt;"",INDEX('Device Refrigerant Leakage'!$F$2:$F$42,MATCH($Q150,'Device Refrigerant Leakage'!$B$2:$B$42,0)),"")</f>
        <v/>
      </c>
      <c r="CZ150" s="145" t="str">
        <f>IF($I150&lt;&gt;"",INDEX('Device Refrigerant Leakage'!$G$2:$G$42,MATCH($Q150,'Device Refrigerant Leakage'!$B$2:$B$42,0)),"")</f>
        <v/>
      </c>
      <c r="DA150" s="145" t="str">
        <f>IF($I150&lt;&gt;"",J150*INDEX('Device Refrigerant Leakage'!$D$2:$D$42,MATCH($Q150,'Device Refrigerant Leakage'!$B$2:$B$42,0))*CX150/2204.62*CW150,"")</f>
        <v/>
      </c>
      <c r="DB150" s="145" t="str">
        <f>IF($I150&lt;&gt;"",J150*(INDEX('Device Refrigerant Leakage'!$D$2:$D$42,MATCH($Q150,'Device Refrigerant Leakage'!$B$2:$B$42,0))-(INDEX('Device Refrigerant Leakage'!$D$2:$D$42,MATCH($Q150,'Device Refrigerant Leakage'!$B$2:$B$42,0)))*CZ150*CX150)*CY150/2204.62*CW150,"")</f>
        <v/>
      </c>
      <c r="DC150" s="135" t="str">
        <f t="shared" si="244"/>
        <v/>
      </c>
      <c r="DE150" s="146" t="str">
        <f>IF(W150&lt;&gt;"AR","",IF(Y150="User Specified", AA150, INDEX('Refrigerant GWPs'!$G$2:$G$154,MATCH(Y150,'Refrigerant GWPs'!$A$2:$A$154,0))))</f>
        <v/>
      </c>
      <c r="DF150" s="146" t="str">
        <f>IF(W150&lt;&gt;"AR","",INDEX('Device Refrigerant Leakage'!$E$2:$E$42,MATCH(X150,'Device Refrigerant Leakage'!$B$2:$B$42,0)))</f>
        <v/>
      </c>
      <c r="DG150" s="146" t="str">
        <f>IF(W150&lt;&gt;"AR","",INDEX('Device Refrigerant Leakage'!$F$2:$F$42,MATCH(X150,'Device Refrigerant Leakage'!$B$2:$B$42,0)))</f>
        <v/>
      </c>
      <c r="DH150" s="146" t="str">
        <f>IF(W150&lt;&gt;"AR","",INDEX('Device Refrigerant Leakage'!$G$2:$G$42,MATCH(X150,'Device Refrigerant Leakage'!$B$2:$B$42,0)))</f>
        <v/>
      </c>
      <c r="DI150" s="146" t="str">
        <f>IF(W150&lt;&gt;"AR","",J150*INDEX('Device Refrigerant Leakage'!$D$2:$D$42,MATCH(X150,'Device Refrigerant Leakage'!$B$2:$B$42,0))*DF150/2204.62*DE150)</f>
        <v/>
      </c>
      <c r="DJ150" s="146" t="str">
        <f>IF(W150&lt;&gt;"AR","",J150*(INDEX('Device Refrigerant Leakage'!$D$2:$D$42,MATCH(X150,'Device Refrigerant Leakage'!$B$2:$B$42,0))-(INDEX('Device Refrigerant Leakage'!$D$2:$D$42,MATCH(X150,'Device Refrigerant Leakage'!$B$2:$B$42,0)))*DH150*DF150)*DG150/2204.62*DE150)</f>
        <v/>
      </c>
      <c r="DK150" s="146" t="str">
        <f>IF(W150&lt;&gt;"AR","",DI150*(K150-AB150)+'Fuel Sub Calcs-Deemed'!DJ150*((K150-AB150)/INDEX('Device Refrigerant Leakage'!$C$2:$C$42,MATCH('Fuel Sub Calcs-Deemed'!X150,'Device Refrigerant Leakage'!$B$2:$B$42,0))))</f>
        <v/>
      </c>
      <c r="DM150" s="56">
        <v>136</v>
      </c>
      <c r="DN150" s="67" t="e">
        <f t="shared" si="224"/>
        <v>#N/A</v>
      </c>
      <c r="DO150" s="45" t="e">
        <f t="shared" si="225"/>
        <v>#N/A</v>
      </c>
      <c r="DP150" s="67" t="e">
        <f t="shared" si="226"/>
        <v>#N/A</v>
      </c>
      <c r="DQ150" s="45" t="e">
        <f t="shared" si="227"/>
        <v>#N/A</v>
      </c>
      <c r="DR150" s="69" t="e">
        <f t="shared" si="228"/>
        <v>#N/A</v>
      </c>
      <c r="DS150" s="34"/>
      <c r="DT150" s="67" t="e">
        <f>((BX150*CJ150)+IF($W150=MAT_AR,(BZ150*CL150),0))*(1+Reference!$E$50+Reference!$E$51)</f>
        <v>#N/A</v>
      </c>
      <c r="DU150" s="67">
        <f>((BY150*CK150)+IF($W150=MAT_AR,(CA150*CM150),0))*(1+Reference!$G$50+Reference!$G$51)</f>
        <v>0</v>
      </c>
      <c r="DV150" s="67" t="e">
        <f t="shared" si="229"/>
        <v>#VALUE!</v>
      </c>
      <c r="DX150" s="56">
        <v>136</v>
      </c>
      <c r="DY150" s="67">
        <f t="shared" si="230"/>
        <v>0</v>
      </c>
      <c r="DZ150" s="45" t="e">
        <f>VLOOKUP($R150,Dropdown!$C$3:$D$4,2,FALSE)</f>
        <v>#N/A</v>
      </c>
      <c r="EA150" s="68">
        <f t="shared" si="231"/>
        <v>0</v>
      </c>
      <c r="EB150" s="68" t="str">
        <f t="shared" si="232"/>
        <v>N/A</v>
      </c>
      <c r="EC150" s="68">
        <f t="shared" si="233"/>
        <v>0</v>
      </c>
      <c r="ED150" s="68" t="str">
        <f t="shared" si="234"/>
        <v>N/A</v>
      </c>
      <c r="EF150" s="56">
        <v>136</v>
      </c>
      <c r="EG150" s="46">
        <f t="shared" si="235"/>
        <v>0</v>
      </c>
      <c r="EH150" s="68" t="e">
        <f t="shared" si="236"/>
        <v>#N/A</v>
      </c>
      <c r="EI150" s="68" t="e">
        <f t="shared" si="237"/>
        <v>#N/A</v>
      </c>
      <c r="EJ150" s="68" t="e">
        <f t="shared" si="238"/>
        <v>#N/A</v>
      </c>
      <c r="EK150" s="68" t="e">
        <f t="shared" si="239"/>
        <v>#N/A</v>
      </c>
      <c r="EL150" s="46">
        <f t="shared" si="240"/>
        <v>0</v>
      </c>
      <c r="EM150" s="46">
        <f t="shared" si="241"/>
        <v>0</v>
      </c>
    </row>
    <row r="151" spans="1:143">
      <c r="A151" s="89"/>
      <c r="B151" s="89"/>
      <c r="C151" s="89"/>
      <c r="D151" s="89"/>
      <c r="E151" s="89"/>
      <c r="F151" s="89"/>
      <c r="G151" s="34"/>
      <c r="H151" s="56">
        <f t="shared" si="242"/>
        <v>137</v>
      </c>
      <c r="I151" s="165"/>
      <c r="J151" s="163"/>
      <c r="K151" s="163"/>
      <c r="L151" s="164"/>
      <c r="M151" s="155"/>
      <c r="N151" s="155"/>
      <c r="O151" s="144"/>
      <c r="P151" s="159" t="str">
        <f>IFERROR(IF(O151&lt;&gt;"User Specified",IF(O151&lt;&gt;"", INDEX('Refrigerant GWPs'!$G$2:$G$154,MATCH(O151,'Refrigerant GWPs'!$A$2:$A$154,0)),""),U151),0)</f>
        <v/>
      </c>
      <c r="Q151" s="155"/>
      <c r="R151" s="155"/>
      <c r="S151" s="144"/>
      <c r="T151" s="159" t="str">
        <f>IF(S151&lt;&gt;"User Specified",IF(AND(S151&lt;&gt;"User Specified",S151&lt;&gt;""), INDEX('Refrigerant GWPs'!$G$2:$G$154,MATCH(S151,'Refrigerant GWPs'!$A$2:$A$154,0)),""),V151)</f>
        <v/>
      </c>
      <c r="U151" s="144"/>
      <c r="V151" s="144"/>
      <c r="W151" s="155"/>
      <c r="X151" s="155"/>
      <c r="Y151" s="144"/>
      <c r="Z151" s="159" t="str">
        <f>IF(AND(Y151&lt;&gt;"User Specified",Y151&lt;&gt;""), INDEX('Refrigerant GWPs'!$G$2:$G$154,MATCH(Y151,'Refrigerant GWPs'!$A$2:$A$154,0)),"")</f>
        <v/>
      </c>
      <c r="AA151" s="155"/>
      <c r="AB151" s="156"/>
      <c r="AC151" s="66"/>
      <c r="AD151" s="66"/>
      <c r="AE151" s="66"/>
      <c r="AF151" s="66"/>
      <c r="AG151" s="66"/>
      <c r="AH151" s="66"/>
      <c r="AI151" s="34"/>
      <c r="AJ151" s="88">
        <f t="shared" si="200"/>
        <v>0</v>
      </c>
      <c r="AK151" s="88">
        <f t="shared" si="201"/>
        <v>0</v>
      </c>
      <c r="AL151" s="88">
        <v>0</v>
      </c>
      <c r="AM151" s="88">
        <v>0</v>
      </c>
      <c r="AN151" s="81" t="str">
        <f t="shared" si="243"/>
        <v/>
      </c>
      <c r="AO151" s="88">
        <f t="shared" si="202"/>
        <v>0</v>
      </c>
      <c r="AP151" s="88">
        <f t="shared" si="203"/>
        <v>0</v>
      </c>
      <c r="AQ151" s="81" t="str">
        <f t="shared" si="204"/>
        <v/>
      </c>
      <c r="AS151" s="41" t="b">
        <f t="shared" si="205"/>
        <v>1</v>
      </c>
      <c r="AT151" s="38">
        <f t="shared" si="206"/>
        <v>0</v>
      </c>
      <c r="AU151" s="60">
        <f t="shared" si="207"/>
        <v>0</v>
      </c>
      <c r="AV151" s="41">
        <f t="shared" si="208"/>
        <v>0</v>
      </c>
      <c r="AW151" s="41" t="b">
        <f t="shared" si="209"/>
        <v>0</v>
      </c>
      <c r="AX151" t="str">
        <f t="shared" si="210"/>
        <v>+00</v>
      </c>
      <c r="AY151" t="str">
        <f t="shared" si="211"/>
        <v>+00</v>
      </c>
      <c r="BA151" s="47" t="b">
        <f t="shared" si="164"/>
        <v>1</v>
      </c>
      <c r="BB151" s="42" t="b">
        <f t="shared" si="165"/>
        <v>1</v>
      </c>
      <c r="BC151" s="42" t="b">
        <f t="shared" si="166"/>
        <v>0</v>
      </c>
      <c r="BD151" s="42" t="b">
        <f t="shared" si="167"/>
        <v>0</v>
      </c>
      <c r="BE151" s="70">
        <f t="shared" si="168"/>
        <v>0</v>
      </c>
      <c r="BF151" s="70">
        <f t="shared" si="169"/>
        <v>0</v>
      </c>
      <c r="BG151" s="34"/>
      <c r="BI151" s="47" t="b">
        <f t="shared" si="170"/>
        <v>1</v>
      </c>
      <c r="BJ151" s="47" t="b">
        <f t="shared" si="171"/>
        <v>1</v>
      </c>
      <c r="BK151" s="42" t="b">
        <f t="shared" si="172"/>
        <v>0</v>
      </c>
      <c r="BL151" s="42" t="b">
        <f t="shared" si="173"/>
        <v>0</v>
      </c>
      <c r="BM151" s="42">
        <f t="shared" si="174"/>
        <v>0</v>
      </c>
      <c r="BN151" s="42">
        <f t="shared" si="175"/>
        <v>0</v>
      </c>
      <c r="BP151" t="e">
        <f t="shared" si="176"/>
        <v>#N/A</v>
      </c>
      <c r="BQ151" t="e">
        <f t="shared" si="177"/>
        <v>#N/A</v>
      </c>
      <c r="BR151" t="e">
        <f t="shared" si="178"/>
        <v>#N/A</v>
      </c>
      <c r="BT151" s="60">
        <f t="shared" si="212"/>
        <v>0</v>
      </c>
      <c r="BU151" s="60">
        <f t="shared" si="213"/>
        <v>0</v>
      </c>
      <c r="BV151" s="60">
        <f t="shared" si="214"/>
        <v>0</v>
      </c>
      <c r="BW151" s="60">
        <f t="shared" si="215"/>
        <v>0</v>
      </c>
      <c r="BX151" s="60">
        <f t="shared" si="179"/>
        <v>0</v>
      </c>
      <c r="BY151" s="60">
        <f t="shared" si="180"/>
        <v>0</v>
      </c>
      <c r="BZ151" s="60">
        <f t="shared" si="181"/>
        <v>0</v>
      </c>
      <c r="CA151" s="60">
        <f t="shared" si="182"/>
        <v>0</v>
      </c>
      <c r="CB151" s="60" t="e">
        <f t="shared" si="216"/>
        <v>#N/A</v>
      </c>
      <c r="CC151" s="60">
        <f t="shared" si="217"/>
        <v>100000</v>
      </c>
      <c r="CD151" s="60" t="e">
        <f t="shared" si="218"/>
        <v>#N/A</v>
      </c>
      <c r="CE151" s="60">
        <f t="shared" si="219"/>
        <v>100000</v>
      </c>
      <c r="CF151" s="83" t="e">
        <f t="shared" si="183"/>
        <v>#N/A</v>
      </c>
      <c r="CG151" s="83">
        <f t="shared" si="184"/>
        <v>0</v>
      </c>
      <c r="CH151" s="83" t="e">
        <f t="shared" si="185"/>
        <v>#N/A</v>
      </c>
      <c r="CI151" s="83">
        <f t="shared" si="186"/>
        <v>0</v>
      </c>
      <c r="CJ151" s="86" t="e">
        <f t="shared" si="220"/>
        <v>#N/A</v>
      </c>
      <c r="CK151" s="82">
        <f t="shared" si="221"/>
        <v>5.3070370403969858E-3</v>
      </c>
      <c r="CL151" s="82" t="e">
        <f t="shared" si="222"/>
        <v>#N/A</v>
      </c>
      <c r="CM151" s="82">
        <f t="shared" si="223"/>
        <v>5.3070370403969858E-3</v>
      </c>
      <c r="CO151" s="149" t="str">
        <f>IF($I151&lt;&gt;"",IF(O151="User Specified",U151,INDEX('Refrigerant GWPs'!$G$2:$G$156,MATCH(O151,'Refrigerant GWPs'!$A$2:$A$156,0))),"")</f>
        <v/>
      </c>
      <c r="CP151" s="138" t="str">
        <f>IF($I151&lt;&gt;"",INDEX('Device Refrigerant Leakage'!$E$2:$E$42,MATCH($M151,'Device Refrigerant Leakage'!$B$2:$B$42,0)),"")</f>
        <v/>
      </c>
      <c r="CQ151" s="138" t="str">
        <f>IF($I151&lt;&gt;"",INDEX('Device Refrigerant Leakage'!$F$2:$F$42,MATCH($M151,'Device Refrigerant Leakage'!$B$2:$B$42,0)),"")</f>
        <v/>
      </c>
      <c r="CR151" s="145" t="str">
        <f>IF($I151&lt;&gt;"",INDEX('Device Refrigerant Leakage'!$G$2:$G$42,MATCH($M151,'Device Refrigerant Leakage'!$B$2:$B$42,0)),"")</f>
        <v/>
      </c>
      <c r="CS151" s="145" t="str">
        <f>IF($I151&lt;&gt;"",INDEX('Device Refrigerant Leakage'!$D$2:$D$42,MATCH($M151,'Device Refrigerant Leakage'!$B$2:$B$42,0))*CP151/2204.62*CO151,"")</f>
        <v/>
      </c>
      <c r="CT151" s="145" t="str">
        <f>IF($I151&lt;&gt;"",J151*(INDEX('Device Refrigerant Leakage'!$D$2:$D$42,MATCH($M151,'Device Refrigerant Leakage'!$B$2:$B$42,0))-(INDEX('Device Refrigerant Leakage'!$D$2:$D$42,MATCH($M151,'Device Refrigerant Leakage'!$B$2:$B$42,0)))*CR151*CP151)*CQ151/2204.62*CO151,"")</f>
        <v/>
      </c>
      <c r="CU151" s="135" t="str">
        <f>IF($I151&lt;&gt;"",J151*IF(W151&lt;&gt;"AR",(CS151*K151)+CT151,(CS151*AB151)+CT151*(AB151/INDEX('Device Refrigerant Leakage'!$C$2:$C$42,MATCH($M151,'Device Refrigerant Leakage'!$B$2:$B$42,0)))),"")</f>
        <v/>
      </c>
      <c r="CW151" s="135" t="str">
        <f>IF($I151&lt;&gt;"",IF(S151="User Specified",V151,INDEX('Refrigerant GWPs'!$G$2:$G$156,MATCH(S151,'Refrigerant GWPs'!$A$2:$A$157,0))),"")</f>
        <v/>
      </c>
      <c r="CX151" s="138" t="str">
        <f>IF($I151&lt;&gt;"",INDEX('Device Refrigerant Leakage'!$E$2:$E$42,MATCH($Q151,'Device Refrigerant Leakage'!$B$2:$B$42,0)),"")</f>
        <v/>
      </c>
      <c r="CY151" s="138" t="str">
        <f>IF($I151&lt;&gt;"",INDEX('Device Refrigerant Leakage'!$F$2:$F$42,MATCH($Q151,'Device Refrigerant Leakage'!$B$2:$B$42,0)),"")</f>
        <v/>
      </c>
      <c r="CZ151" s="145" t="str">
        <f>IF($I151&lt;&gt;"",INDEX('Device Refrigerant Leakage'!$G$2:$G$42,MATCH($Q151,'Device Refrigerant Leakage'!$B$2:$B$42,0)),"")</f>
        <v/>
      </c>
      <c r="DA151" s="145" t="str">
        <f>IF($I151&lt;&gt;"",J151*INDEX('Device Refrigerant Leakage'!$D$2:$D$42,MATCH($Q151,'Device Refrigerant Leakage'!$B$2:$B$42,0))*CX151/2204.62*CW151,"")</f>
        <v/>
      </c>
      <c r="DB151" s="145" t="str">
        <f>IF($I151&lt;&gt;"",J151*(INDEX('Device Refrigerant Leakage'!$D$2:$D$42,MATCH($Q151,'Device Refrigerant Leakage'!$B$2:$B$42,0))-(INDEX('Device Refrigerant Leakage'!$D$2:$D$42,MATCH($Q151,'Device Refrigerant Leakage'!$B$2:$B$42,0)))*CZ151*CX151)*CY151/2204.62*CW151,"")</f>
        <v/>
      </c>
      <c r="DC151" s="135" t="str">
        <f t="shared" si="244"/>
        <v/>
      </c>
      <c r="DE151" s="146" t="str">
        <f>IF(W151&lt;&gt;"AR","",IF(Y151="User Specified", AA151, INDEX('Refrigerant GWPs'!$G$2:$G$154,MATCH(Y151,'Refrigerant GWPs'!$A$2:$A$154,0))))</f>
        <v/>
      </c>
      <c r="DF151" s="146" t="str">
        <f>IF(W151&lt;&gt;"AR","",INDEX('Device Refrigerant Leakage'!$E$2:$E$42,MATCH(X151,'Device Refrigerant Leakage'!$B$2:$B$42,0)))</f>
        <v/>
      </c>
      <c r="DG151" s="146" t="str">
        <f>IF(W151&lt;&gt;"AR","",INDEX('Device Refrigerant Leakage'!$F$2:$F$42,MATCH(X151,'Device Refrigerant Leakage'!$B$2:$B$42,0)))</f>
        <v/>
      </c>
      <c r="DH151" s="146" t="str">
        <f>IF(W151&lt;&gt;"AR","",INDEX('Device Refrigerant Leakage'!$G$2:$G$42,MATCH(X151,'Device Refrigerant Leakage'!$B$2:$B$42,0)))</f>
        <v/>
      </c>
      <c r="DI151" s="146" t="str">
        <f>IF(W151&lt;&gt;"AR","",J151*INDEX('Device Refrigerant Leakage'!$D$2:$D$42,MATCH(X151,'Device Refrigerant Leakage'!$B$2:$B$42,0))*DF151/2204.62*DE151)</f>
        <v/>
      </c>
      <c r="DJ151" s="146" t="str">
        <f>IF(W151&lt;&gt;"AR","",J151*(INDEX('Device Refrigerant Leakage'!$D$2:$D$42,MATCH(X151,'Device Refrigerant Leakage'!$B$2:$B$42,0))-(INDEX('Device Refrigerant Leakage'!$D$2:$D$42,MATCH(X151,'Device Refrigerant Leakage'!$B$2:$B$42,0)))*DH151*DF151)*DG151/2204.62*DE151)</f>
        <v/>
      </c>
      <c r="DK151" s="146" t="str">
        <f>IF(W151&lt;&gt;"AR","",DI151*(K151-AB151)+'Fuel Sub Calcs-Deemed'!DJ151*((K151-AB151)/INDEX('Device Refrigerant Leakage'!$C$2:$C$42,MATCH('Fuel Sub Calcs-Deemed'!X151,'Device Refrigerant Leakage'!$B$2:$B$42,0))))</f>
        <v/>
      </c>
      <c r="DM151" s="56">
        <v>137</v>
      </c>
      <c r="DN151" s="67" t="e">
        <f t="shared" si="224"/>
        <v>#N/A</v>
      </c>
      <c r="DO151" s="45" t="e">
        <f t="shared" si="225"/>
        <v>#N/A</v>
      </c>
      <c r="DP151" s="67" t="e">
        <f t="shared" si="226"/>
        <v>#N/A</v>
      </c>
      <c r="DQ151" s="45" t="e">
        <f t="shared" si="227"/>
        <v>#N/A</v>
      </c>
      <c r="DR151" s="69" t="e">
        <f t="shared" si="228"/>
        <v>#N/A</v>
      </c>
      <c r="DS151" s="34"/>
      <c r="DT151" s="67" t="e">
        <f>((BX151*CJ151)+IF($W151=MAT_AR,(BZ151*CL151),0))*(1+Reference!$E$50+Reference!$E$51)</f>
        <v>#N/A</v>
      </c>
      <c r="DU151" s="67">
        <f>((BY151*CK151)+IF($W151=MAT_AR,(CA151*CM151),0))*(1+Reference!$G$50+Reference!$G$51)</f>
        <v>0</v>
      </c>
      <c r="DV151" s="67" t="e">
        <f t="shared" si="229"/>
        <v>#VALUE!</v>
      </c>
      <c r="DX151" s="56">
        <v>137</v>
      </c>
      <c r="DY151" s="67">
        <f t="shared" si="230"/>
        <v>0</v>
      </c>
      <c r="DZ151" s="45" t="e">
        <f>VLOOKUP($R151,Dropdown!$C$3:$D$4,2,FALSE)</f>
        <v>#N/A</v>
      </c>
      <c r="EA151" s="68">
        <f t="shared" si="231"/>
        <v>0</v>
      </c>
      <c r="EB151" s="68" t="str">
        <f t="shared" si="232"/>
        <v>N/A</v>
      </c>
      <c r="EC151" s="68">
        <f t="shared" si="233"/>
        <v>0</v>
      </c>
      <c r="ED151" s="68" t="str">
        <f t="shared" si="234"/>
        <v>N/A</v>
      </c>
      <c r="EF151" s="56">
        <v>137</v>
      </c>
      <c r="EG151" s="46">
        <f t="shared" si="235"/>
        <v>0</v>
      </c>
      <c r="EH151" s="68" t="e">
        <f t="shared" si="236"/>
        <v>#N/A</v>
      </c>
      <c r="EI151" s="68" t="e">
        <f t="shared" si="237"/>
        <v>#N/A</v>
      </c>
      <c r="EJ151" s="68" t="e">
        <f t="shared" si="238"/>
        <v>#N/A</v>
      </c>
      <c r="EK151" s="68" t="e">
        <f t="shared" si="239"/>
        <v>#N/A</v>
      </c>
      <c r="EL151" s="46">
        <f t="shared" si="240"/>
        <v>0</v>
      </c>
      <c r="EM151" s="46">
        <f t="shared" si="241"/>
        <v>0</v>
      </c>
    </row>
    <row r="152" spans="1:143">
      <c r="A152" s="89"/>
      <c r="B152" s="89"/>
      <c r="C152" s="89"/>
      <c r="D152" s="89"/>
      <c r="E152" s="89"/>
      <c r="F152" s="89"/>
      <c r="G152" s="34"/>
      <c r="H152" s="56">
        <f t="shared" si="242"/>
        <v>138</v>
      </c>
      <c r="I152" s="165"/>
      <c r="J152" s="163"/>
      <c r="K152" s="163"/>
      <c r="L152" s="164"/>
      <c r="M152" s="155"/>
      <c r="N152" s="155"/>
      <c r="O152" s="144"/>
      <c r="P152" s="159" t="str">
        <f>IFERROR(IF(O152&lt;&gt;"User Specified",IF(O152&lt;&gt;"", INDEX('Refrigerant GWPs'!$G$2:$G$154,MATCH(O152,'Refrigerant GWPs'!$A$2:$A$154,0)),""),U152),0)</f>
        <v/>
      </c>
      <c r="Q152" s="155"/>
      <c r="R152" s="155"/>
      <c r="S152" s="144"/>
      <c r="T152" s="159" t="str">
        <f>IF(S152&lt;&gt;"User Specified",IF(AND(S152&lt;&gt;"User Specified",S152&lt;&gt;""), INDEX('Refrigerant GWPs'!$G$2:$G$154,MATCH(S152,'Refrigerant GWPs'!$A$2:$A$154,0)),""),V152)</f>
        <v/>
      </c>
      <c r="U152" s="144"/>
      <c r="V152" s="144"/>
      <c r="W152" s="155"/>
      <c r="X152" s="155"/>
      <c r="Y152" s="144"/>
      <c r="Z152" s="159" t="str">
        <f>IF(AND(Y152&lt;&gt;"User Specified",Y152&lt;&gt;""), INDEX('Refrigerant GWPs'!$G$2:$G$154,MATCH(Y152,'Refrigerant GWPs'!$A$2:$A$154,0)),"")</f>
        <v/>
      </c>
      <c r="AA152" s="155"/>
      <c r="AB152" s="156"/>
      <c r="AC152" s="66"/>
      <c r="AD152" s="66"/>
      <c r="AE152" s="66"/>
      <c r="AF152" s="66"/>
      <c r="AG152" s="66"/>
      <c r="AH152" s="66"/>
      <c r="AI152" s="34"/>
      <c r="AJ152" s="88">
        <f t="shared" si="200"/>
        <v>0</v>
      </c>
      <c r="AK152" s="88">
        <f t="shared" si="201"/>
        <v>0</v>
      </c>
      <c r="AL152" s="88">
        <v>0</v>
      </c>
      <c r="AM152" s="88">
        <v>0</v>
      </c>
      <c r="AN152" s="81" t="str">
        <f t="shared" si="243"/>
        <v/>
      </c>
      <c r="AO152" s="88">
        <f t="shared" si="202"/>
        <v>0</v>
      </c>
      <c r="AP152" s="88">
        <f t="shared" si="203"/>
        <v>0</v>
      </c>
      <c r="AQ152" s="81" t="str">
        <f t="shared" si="204"/>
        <v/>
      </c>
      <c r="AS152" s="41" t="b">
        <f t="shared" si="205"/>
        <v>1</v>
      </c>
      <c r="AT152" s="38">
        <f t="shared" si="206"/>
        <v>0</v>
      </c>
      <c r="AU152" s="60">
        <f t="shared" si="207"/>
        <v>0</v>
      </c>
      <c r="AV152" s="41">
        <f t="shared" si="208"/>
        <v>0</v>
      </c>
      <c r="AW152" s="41" t="b">
        <f t="shared" si="209"/>
        <v>0</v>
      </c>
      <c r="AX152" t="str">
        <f t="shared" si="210"/>
        <v>+00</v>
      </c>
      <c r="AY152" t="str">
        <f t="shared" si="211"/>
        <v>+00</v>
      </c>
      <c r="BA152" s="47" t="b">
        <f t="shared" si="164"/>
        <v>1</v>
      </c>
      <c r="BB152" s="42" t="b">
        <f t="shared" si="165"/>
        <v>1</v>
      </c>
      <c r="BC152" s="42" t="b">
        <f t="shared" si="166"/>
        <v>0</v>
      </c>
      <c r="BD152" s="42" t="b">
        <f t="shared" si="167"/>
        <v>0</v>
      </c>
      <c r="BE152" s="70">
        <f t="shared" si="168"/>
        <v>0</v>
      </c>
      <c r="BF152" s="70">
        <f t="shared" si="169"/>
        <v>0</v>
      </c>
      <c r="BG152" s="34"/>
      <c r="BI152" s="47" t="b">
        <f t="shared" si="170"/>
        <v>1</v>
      </c>
      <c r="BJ152" s="47" t="b">
        <f t="shared" si="171"/>
        <v>1</v>
      </c>
      <c r="BK152" s="42" t="b">
        <f t="shared" si="172"/>
        <v>0</v>
      </c>
      <c r="BL152" s="42" t="b">
        <f t="shared" si="173"/>
        <v>0</v>
      </c>
      <c r="BM152" s="42">
        <f t="shared" si="174"/>
        <v>0</v>
      </c>
      <c r="BN152" s="42">
        <f t="shared" si="175"/>
        <v>0</v>
      </c>
      <c r="BP152" t="e">
        <f t="shared" si="176"/>
        <v>#N/A</v>
      </c>
      <c r="BQ152" t="e">
        <f t="shared" si="177"/>
        <v>#N/A</v>
      </c>
      <c r="BR152" t="e">
        <f t="shared" si="178"/>
        <v>#N/A</v>
      </c>
      <c r="BT152" s="60">
        <f t="shared" si="212"/>
        <v>0</v>
      </c>
      <c r="BU152" s="60">
        <f t="shared" si="213"/>
        <v>0</v>
      </c>
      <c r="BV152" s="60">
        <f t="shared" si="214"/>
        <v>0</v>
      </c>
      <c r="BW152" s="60">
        <f t="shared" si="215"/>
        <v>0</v>
      </c>
      <c r="BX152" s="60">
        <f t="shared" si="179"/>
        <v>0</v>
      </c>
      <c r="BY152" s="60">
        <f t="shared" si="180"/>
        <v>0</v>
      </c>
      <c r="BZ152" s="60">
        <f t="shared" si="181"/>
        <v>0</v>
      </c>
      <c r="CA152" s="60">
        <f t="shared" si="182"/>
        <v>0</v>
      </c>
      <c r="CB152" s="60" t="e">
        <f t="shared" si="216"/>
        <v>#N/A</v>
      </c>
      <c r="CC152" s="60">
        <f t="shared" si="217"/>
        <v>100000</v>
      </c>
      <c r="CD152" s="60" t="e">
        <f t="shared" si="218"/>
        <v>#N/A</v>
      </c>
      <c r="CE152" s="60">
        <f t="shared" si="219"/>
        <v>100000</v>
      </c>
      <c r="CF152" s="83" t="e">
        <f t="shared" si="183"/>
        <v>#N/A</v>
      </c>
      <c r="CG152" s="83">
        <f t="shared" si="184"/>
        <v>0</v>
      </c>
      <c r="CH152" s="83" t="e">
        <f t="shared" si="185"/>
        <v>#N/A</v>
      </c>
      <c r="CI152" s="83">
        <f t="shared" si="186"/>
        <v>0</v>
      </c>
      <c r="CJ152" s="86" t="e">
        <f t="shared" si="220"/>
        <v>#N/A</v>
      </c>
      <c r="CK152" s="82">
        <f t="shared" si="221"/>
        <v>5.3070370403969858E-3</v>
      </c>
      <c r="CL152" s="82" t="e">
        <f t="shared" si="222"/>
        <v>#N/A</v>
      </c>
      <c r="CM152" s="82">
        <f t="shared" si="223"/>
        <v>5.3070370403969858E-3</v>
      </c>
      <c r="CO152" s="149" t="str">
        <f>IF($I152&lt;&gt;"",IF(O152="User Specified",U152,INDEX('Refrigerant GWPs'!$G$2:$G$156,MATCH(O152,'Refrigerant GWPs'!$A$2:$A$156,0))),"")</f>
        <v/>
      </c>
      <c r="CP152" s="138" t="str">
        <f>IF($I152&lt;&gt;"",INDEX('Device Refrigerant Leakage'!$E$2:$E$42,MATCH($M152,'Device Refrigerant Leakage'!$B$2:$B$42,0)),"")</f>
        <v/>
      </c>
      <c r="CQ152" s="138" t="str">
        <f>IF($I152&lt;&gt;"",INDEX('Device Refrigerant Leakage'!$F$2:$F$42,MATCH($M152,'Device Refrigerant Leakage'!$B$2:$B$42,0)),"")</f>
        <v/>
      </c>
      <c r="CR152" s="145" t="str">
        <f>IF($I152&lt;&gt;"",INDEX('Device Refrigerant Leakage'!$G$2:$G$42,MATCH($M152,'Device Refrigerant Leakage'!$B$2:$B$42,0)),"")</f>
        <v/>
      </c>
      <c r="CS152" s="145" t="str">
        <f>IF($I152&lt;&gt;"",INDEX('Device Refrigerant Leakage'!$D$2:$D$42,MATCH($M152,'Device Refrigerant Leakage'!$B$2:$B$42,0))*CP152/2204.62*CO152,"")</f>
        <v/>
      </c>
      <c r="CT152" s="145" t="str">
        <f>IF($I152&lt;&gt;"",J152*(INDEX('Device Refrigerant Leakage'!$D$2:$D$42,MATCH($M152,'Device Refrigerant Leakage'!$B$2:$B$42,0))-(INDEX('Device Refrigerant Leakage'!$D$2:$D$42,MATCH($M152,'Device Refrigerant Leakage'!$B$2:$B$42,0)))*CR152*CP152)*CQ152/2204.62*CO152,"")</f>
        <v/>
      </c>
      <c r="CU152" s="135" t="str">
        <f>IF($I152&lt;&gt;"",J152*IF(W152&lt;&gt;"AR",(CS152*K152)+CT152,(CS152*AB152)+CT152*(AB152/INDEX('Device Refrigerant Leakage'!$C$2:$C$42,MATCH($M152,'Device Refrigerant Leakage'!$B$2:$B$42,0)))),"")</f>
        <v/>
      </c>
      <c r="CW152" s="135" t="str">
        <f>IF($I152&lt;&gt;"",IF(S152="User Specified",V152,INDEX('Refrigerant GWPs'!$G$2:$G$156,MATCH(S152,'Refrigerant GWPs'!$A$2:$A$157,0))),"")</f>
        <v/>
      </c>
      <c r="CX152" s="138" t="str">
        <f>IF($I152&lt;&gt;"",INDEX('Device Refrigerant Leakage'!$E$2:$E$42,MATCH($Q152,'Device Refrigerant Leakage'!$B$2:$B$42,0)),"")</f>
        <v/>
      </c>
      <c r="CY152" s="138" t="str">
        <f>IF($I152&lt;&gt;"",INDEX('Device Refrigerant Leakage'!$F$2:$F$42,MATCH($Q152,'Device Refrigerant Leakage'!$B$2:$B$42,0)),"")</f>
        <v/>
      </c>
      <c r="CZ152" s="145" t="str">
        <f>IF($I152&lt;&gt;"",INDEX('Device Refrigerant Leakage'!$G$2:$G$42,MATCH($Q152,'Device Refrigerant Leakage'!$B$2:$B$42,0)),"")</f>
        <v/>
      </c>
      <c r="DA152" s="145" t="str">
        <f>IF($I152&lt;&gt;"",J152*INDEX('Device Refrigerant Leakage'!$D$2:$D$42,MATCH($Q152,'Device Refrigerant Leakage'!$B$2:$B$42,0))*CX152/2204.62*CW152,"")</f>
        <v/>
      </c>
      <c r="DB152" s="145" t="str">
        <f>IF($I152&lt;&gt;"",J152*(INDEX('Device Refrigerant Leakage'!$D$2:$D$42,MATCH($Q152,'Device Refrigerant Leakage'!$B$2:$B$42,0))-(INDEX('Device Refrigerant Leakage'!$D$2:$D$42,MATCH($Q152,'Device Refrigerant Leakage'!$B$2:$B$42,0)))*CZ152*CX152)*CY152/2204.62*CW152,"")</f>
        <v/>
      </c>
      <c r="DC152" s="135" t="str">
        <f t="shared" si="244"/>
        <v/>
      </c>
      <c r="DE152" s="146" t="str">
        <f>IF(W152&lt;&gt;"AR","",IF(Y152="User Specified", AA152, INDEX('Refrigerant GWPs'!$G$2:$G$154,MATCH(Y152,'Refrigerant GWPs'!$A$2:$A$154,0))))</f>
        <v/>
      </c>
      <c r="DF152" s="146" t="str">
        <f>IF(W152&lt;&gt;"AR","",INDEX('Device Refrigerant Leakage'!$E$2:$E$42,MATCH(X152,'Device Refrigerant Leakage'!$B$2:$B$42,0)))</f>
        <v/>
      </c>
      <c r="DG152" s="146" t="str">
        <f>IF(W152&lt;&gt;"AR","",INDEX('Device Refrigerant Leakage'!$F$2:$F$42,MATCH(X152,'Device Refrigerant Leakage'!$B$2:$B$42,0)))</f>
        <v/>
      </c>
      <c r="DH152" s="146" t="str">
        <f>IF(W152&lt;&gt;"AR","",INDEX('Device Refrigerant Leakage'!$G$2:$G$42,MATCH(X152,'Device Refrigerant Leakage'!$B$2:$B$42,0)))</f>
        <v/>
      </c>
      <c r="DI152" s="146" t="str">
        <f>IF(W152&lt;&gt;"AR","",J152*INDEX('Device Refrigerant Leakage'!$D$2:$D$42,MATCH(X152,'Device Refrigerant Leakage'!$B$2:$B$42,0))*DF152/2204.62*DE152)</f>
        <v/>
      </c>
      <c r="DJ152" s="146" t="str">
        <f>IF(W152&lt;&gt;"AR","",J152*(INDEX('Device Refrigerant Leakage'!$D$2:$D$42,MATCH(X152,'Device Refrigerant Leakage'!$B$2:$B$42,0))-(INDEX('Device Refrigerant Leakage'!$D$2:$D$42,MATCH(X152,'Device Refrigerant Leakage'!$B$2:$B$42,0)))*DH152*DF152)*DG152/2204.62*DE152)</f>
        <v/>
      </c>
      <c r="DK152" s="146" t="str">
        <f>IF(W152&lt;&gt;"AR","",DI152*(K152-AB152)+'Fuel Sub Calcs-Deemed'!DJ152*((K152-AB152)/INDEX('Device Refrigerant Leakage'!$C$2:$C$42,MATCH('Fuel Sub Calcs-Deemed'!X152,'Device Refrigerant Leakage'!$B$2:$B$42,0))))</f>
        <v/>
      </c>
      <c r="DM152" s="56">
        <v>138</v>
      </c>
      <c r="DN152" s="67" t="e">
        <f t="shared" si="224"/>
        <v>#N/A</v>
      </c>
      <c r="DO152" s="45" t="e">
        <f t="shared" si="225"/>
        <v>#N/A</v>
      </c>
      <c r="DP152" s="67" t="e">
        <f t="shared" si="226"/>
        <v>#N/A</v>
      </c>
      <c r="DQ152" s="45" t="e">
        <f t="shared" si="227"/>
        <v>#N/A</v>
      </c>
      <c r="DR152" s="69" t="e">
        <f t="shared" si="228"/>
        <v>#N/A</v>
      </c>
      <c r="DS152" s="34"/>
      <c r="DT152" s="67" t="e">
        <f>((BX152*CJ152)+IF($W152=MAT_AR,(BZ152*CL152),0))*(1+Reference!$E$50+Reference!$E$51)</f>
        <v>#N/A</v>
      </c>
      <c r="DU152" s="67">
        <f>((BY152*CK152)+IF($W152=MAT_AR,(CA152*CM152),0))*(1+Reference!$G$50+Reference!$G$51)</f>
        <v>0</v>
      </c>
      <c r="DV152" s="67" t="e">
        <f t="shared" si="229"/>
        <v>#VALUE!</v>
      </c>
      <c r="DX152" s="56">
        <v>138</v>
      </c>
      <c r="DY152" s="67">
        <f t="shared" si="230"/>
        <v>0</v>
      </c>
      <c r="DZ152" s="45" t="e">
        <f>VLOOKUP($R152,Dropdown!$C$3:$D$4,2,FALSE)</f>
        <v>#N/A</v>
      </c>
      <c r="EA152" s="68">
        <f t="shared" si="231"/>
        <v>0</v>
      </c>
      <c r="EB152" s="68" t="str">
        <f t="shared" si="232"/>
        <v>N/A</v>
      </c>
      <c r="EC152" s="68">
        <f t="shared" si="233"/>
        <v>0</v>
      </c>
      <c r="ED152" s="68" t="str">
        <f t="shared" si="234"/>
        <v>N/A</v>
      </c>
      <c r="EF152" s="56">
        <v>138</v>
      </c>
      <c r="EG152" s="46">
        <f t="shared" si="235"/>
        <v>0</v>
      </c>
      <c r="EH152" s="68" t="e">
        <f t="shared" si="236"/>
        <v>#N/A</v>
      </c>
      <c r="EI152" s="68" t="e">
        <f t="shared" si="237"/>
        <v>#N/A</v>
      </c>
      <c r="EJ152" s="68" t="e">
        <f t="shared" si="238"/>
        <v>#N/A</v>
      </c>
      <c r="EK152" s="68" t="e">
        <f t="shared" si="239"/>
        <v>#N/A</v>
      </c>
      <c r="EL152" s="46">
        <f t="shared" si="240"/>
        <v>0</v>
      </c>
      <c r="EM152" s="46">
        <f t="shared" si="241"/>
        <v>0</v>
      </c>
    </row>
    <row r="153" spans="1:143">
      <c r="A153" s="89"/>
      <c r="B153" s="89"/>
      <c r="C153" s="89"/>
      <c r="D153" s="89"/>
      <c r="E153" s="89"/>
      <c r="F153" s="89"/>
      <c r="G153" s="34"/>
      <c r="H153" s="56">
        <f t="shared" si="242"/>
        <v>139</v>
      </c>
      <c r="I153" s="165"/>
      <c r="J153" s="163"/>
      <c r="K153" s="163"/>
      <c r="L153" s="164"/>
      <c r="M153" s="155"/>
      <c r="N153" s="155"/>
      <c r="O153" s="144"/>
      <c r="P153" s="159" t="str">
        <f>IFERROR(IF(O153&lt;&gt;"User Specified",IF(O153&lt;&gt;"", INDEX('Refrigerant GWPs'!$G$2:$G$154,MATCH(O153,'Refrigerant GWPs'!$A$2:$A$154,0)),""),U153),0)</f>
        <v/>
      </c>
      <c r="Q153" s="155"/>
      <c r="R153" s="155"/>
      <c r="S153" s="144"/>
      <c r="T153" s="159" t="str">
        <f>IF(S153&lt;&gt;"User Specified",IF(AND(S153&lt;&gt;"User Specified",S153&lt;&gt;""), INDEX('Refrigerant GWPs'!$G$2:$G$154,MATCH(S153,'Refrigerant GWPs'!$A$2:$A$154,0)),""),V153)</f>
        <v/>
      </c>
      <c r="U153" s="144"/>
      <c r="V153" s="144"/>
      <c r="W153" s="155"/>
      <c r="X153" s="155"/>
      <c r="Y153" s="144"/>
      <c r="Z153" s="159" t="str">
        <f>IF(AND(Y153&lt;&gt;"User Specified",Y153&lt;&gt;""), INDEX('Refrigerant GWPs'!$G$2:$G$154,MATCH(Y153,'Refrigerant GWPs'!$A$2:$A$154,0)),"")</f>
        <v/>
      </c>
      <c r="AA153" s="155"/>
      <c r="AB153" s="156"/>
      <c r="AC153" s="66"/>
      <c r="AD153" s="66"/>
      <c r="AE153" s="66"/>
      <c r="AF153" s="66"/>
      <c r="AG153" s="66"/>
      <c r="AH153" s="66"/>
      <c r="AI153" s="34"/>
      <c r="AJ153" s="88">
        <f t="shared" si="200"/>
        <v>0</v>
      </c>
      <c r="AK153" s="88">
        <f t="shared" si="201"/>
        <v>0</v>
      </c>
      <c r="AL153" s="88">
        <v>0</v>
      </c>
      <c r="AM153" s="88">
        <v>0</v>
      </c>
      <c r="AN153" s="81" t="str">
        <f t="shared" si="243"/>
        <v/>
      </c>
      <c r="AO153" s="88">
        <f t="shared" si="202"/>
        <v>0</v>
      </c>
      <c r="AP153" s="88">
        <f t="shared" si="203"/>
        <v>0</v>
      </c>
      <c r="AQ153" s="81" t="str">
        <f t="shared" si="204"/>
        <v/>
      </c>
      <c r="AS153" s="41" t="b">
        <f t="shared" si="205"/>
        <v>1</v>
      </c>
      <c r="AT153" s="38">
        <f t="shared" si="206"/>
        <v>0</v>
      </c>
      <c r="AU153" s="60">
        <f t="shared" si="207"/>
        <v>0</v>
      </c>
      <c r="AV153" s="41">
        <f t="shared" si="208"/>
        <v>0</v>
      </c>
      <c r="AW153" s="41" t="b">
        <f t="shared" si="209"/>
        <v>0</v>
      </c>
      <c r="AX153" t="str">
        <f t="shared" si="210"/>
        <v>+00</v>
      </c>
      <c r="AY153" t="str">
        <f t="shared" si="211"/>
        <v>+00</v>
      </c>
      <c r="BA153" s="47" t="b">
        <f t="shared" si="164"/>
        <v>1</v>
      </c>
      <c r="BB153" s="42" t="b">
        <f t="shared" si="165"/>
        <v>1</v>
      </c>
      <c r="BC153" s="42" t="b">
        <f t="shared" si="166"/>
        <v>0</v>
      </c>
      <c r="BD153" s="42" t="b">
        <f t="shared" si="167"/>
        <v>0</v>
      </c>
      <c r="BE153" s="70">
        <f t="shared" si="168"/>
        <v>0</v>
      </c>
      <c r="BF153" s="70">
        <f t="shared" si="169"/>
        <v>0</v>
      </c>
      <c r="BG153" s="34"/>
      <c r="BI153" s="47" t="b">
        <f t="shared" si="170"/>
        <v>1</v>
      </c>
      <c r="BJ153" s="47" t="b">
        <f t="shared" si="171"/>
        <v>1</v>
      </c>
      <c r="BK153" s="42" t="b">
        <f t="shared" si="172"/>
        <v>0</v>
      </c>
      <c r="BL153" s="42" t="b">
        <f t="shared" si="173"/>
        <v>0</v>
      </c>
      <c r="BM153" s="42">
        <f t="shared" si="174"/>
        <v>0</v>
      </c>
      <c r="BN153" s="42">
        <f t="shared" si="175"/>
        <v>0</v>
      </c>
      <c r="BP153" t="e">
        <f t="shared" si="176"/>
        <v>#N/A</v>
      </c>
      <c r="BQ153" t="e">
        <f t="shared" si="177"/>
        <v>#N/A</v>
      </c>
      <c r="BR153" t="e">
        <f t="shared" si="178"/>
        <v>#N/A</v>
      </c>
      <c r="BT153" s="60">
        <f t="shared" si="212"/>
        <v>0</v>
      </c>
      <c r="BU153" s="60">
        <f t="shared" si="213"/>
        <v>0</v>
      </c>
      <c r="BV153" s="60">
        <f t="shared" si="214"/>
        <v>0</v>
      </c>
      <c r="BW153" s="60">
        <f t="shared" si="215"/>
        <v>0</v>
      </c>
      <c r="BX153" s="60">
        <f t="shared" si="179"/>
        <v>0</v>
      </c>
      <c r="BY153" s="60">
        <f t="shared" si="180"/>
        <v>0</v>
      </c>
      <c r="BZ153" s="60">
        <f t="shared" si="181"/>
        <v>0</v>
      </c>
      <c r="CA153" s="60">
        <f t="shared" si="182"/>
        <v>0</v>
      </c>
      <c r="CB153" s="60" t="e">
        <f t="shared" si="216"/>
        <v>#N/A</v>
      </c>
      <c r="CC153" s="60">
        <f t="shared" si="217"/>
        <v>100000</v>
      </c>
      <c r="CD153" s="60" t="e">
        <f t="shared" si="218"/>
        <v>#N/A</v>
      </c>
      <c r="CE153" s="60">
        <f t="shared" si="219"/>
        <v>100000</v>
      </c>
      <c r="CF153" s="83" t="e">
        <f t="shared" si="183"/>
        <v>#N/A</v>
      </c>
      <c r="CG153" s="83">
        <f t="shared" si="184"/>
        <v>0</v>
      </c>
      <c r="CH153" s="83" t="e">
        <f t="shared" si="185"/>
        <v>#N/A</v>
      </c>
      <c r="CI153" s="83">
        <f t="shared" si="186"/>
        <v>0</v>
      </c>
      <c r="CJ153" s="86" t="e">
        <f t="shared" si="220"/>
        <v>#N/A</v>
      </c>
      <c r="CK153" s="82">
        <f t="shared" si="221"/>
        <v>5.3070370403969858E-3</v>
      </c>
      <c r="CL153" s="82" t="e">
        <f t="shared" si="222"/>
        <v>#N/A</v>
      </c>
      <c r="CM153" s="82">
        <f t="shared" si="223"/>
        <v>5.3070370403969858E-3</v>
      </c>
      <c r="CO153" s="149" t="str">
        <f>IF($I153&lt;&gt;"",IF(O153="User Specified",U153,INDEX('Refrigerant GWPs'!$G$2:$G$156,MATCH(O153,'Refrigerant GWPs'!$A$2:$A$156,0))),"")</f>
        <v/>
      </c>
      <c r="CP153" s="138" t="str">
        <f>IF($I153&lt;&gt;"",INDEX('Device Refrigerant Leakage'!$E$2:$E$42,MATCH($M153,'Device Refrigerant Leakage'!$B$2:$B$42,0)),"")</f>
        <v/>
      </c>
      <c r="CQ153" s="138" t="str">
        <f>IF($I153&lt;&gt;"",INDEX('Device Refrigerant Leakage'!$F$2:$F$42,MATCH($M153,'Device Refrigerant Leakage'!$B$2:$B$42,0)),"")</f>
        <v/>
      </c>
      <c r="CR153" s="145" t="str">
        <f>IF($I153&lt;&gt;"",INDEX('Device Refrigerant Leakage'!$G$2:$G$42,MATCH($M153,'Device Refrigerant Leakage'!$B$2:$B$42,0)),"")</f>
        <v/>
      </c>
      <c r="CS153" s="145" t="str">
        <f>IF($I153&lt;&gt;"",INDEX('Device Refrigerant Leakage'!$D$2:$D$42,MATCH($M153,'Device Refrigerant Leakage'!$B$2:$B$42,0))*CP153/2204.62*CO153,"")</f>
        <v/>
      </c>
      <c r="CT153" s="145" t="str">
        <f>IF($I153&lt;&gt;"",J153*(INDEX('Device Refrigerant Leakage'!$D$2:$D$42,MATCH($M153,'Device Refrigerant Leakage'!$B$2:$B$42,0))-(INDEX('Device Refrigerant Leakage'!$D$2:$D$42,MATCH($M153,'Device Refrigerant Leakage'!$B$2:$B$42,0)))*CR153*CP153)*CQ153/2204.62*CO153,"")</f>
        <v/>
      </c>
      <c r="CU153" s="135" t="str">
        <f>IF($I153&lt;&gt;"",J153*IF(W153&lt;&gt;"AR",(CS153*K153)+CT153,(CS153*AB153)+CT153*(AB153/INDEX('Device Refrigerant Leakage'!$C$2:$C$42,MATCH($M153,'Device Refrigerant Leakage'!$B$2:$B$42,0)))),"")</f>
        <v/>
      </c>
      <c r="CW153" s="135" t="str">
        <f>IF($I153&lt;&gt;"",IF(S153="User Specified",V153,INDEX('Refrigerant GWPs'!$G$2:$G$156,MATCH(S153,'Refrigerant GWPs'!$A$2:$A$157,0))),"")</f>
        <v/>
      </c>
      <c r="CX153" s="138" t="str">
        <f>IF($I153&lt;&gt;"",INDEX('Device Refrigerant Leakage'!$E$2:$E$42,MATCH($Q153,'Device Refrigerant Leakage'!$B$2:$B$42,0)),"")</f>
        <v/>
      </c>
      <c r="CY153" s="138" t="str">
        <f>IF($I153&lt;&gt;"",INDEX('Device Refrigerant Leakage'!$F$2:$F$42,MATCH($Q153,'Device Refrigerant Leakage'!$B$2:$B$42,0)),"")</f>
        <v/>
      </c>
      <c r="CZ153" s="145" t="str">
        <f>IF($I153&lt;&gt;"",INDEX('Device Refrigerant Leakage'!$G$2:$G$42,MATCH($Q153,'Device Refrigerant Leakage'!$B$2:$B$42,0)),"")</f>
        <v/>
      </c>
      <c r="DA153" s="145" t="str">
        <f>IF($I153&lt;&gt;"",J153*INDEX('Device Refrigerant Leakage'!$D$2:$D$42,MATCH($Q153,'Device Refrigerant Leakage'!$B$2:$B$42,0))*CX153/2204.62*CW153,"")</f>
        <v/>
      </c>
      <c r="DB153" s="145" t="str">
        <f>IF($I153&lt;&gt;"",J153*(INDEX('Device Refrigerant Leakage'!$D$2:$D$42,MATCH($Q153,'Device Refrigerant Leakage'!$B$2:$B$42,0))-(INDEX('Device Refrigerant Leakage'!$D$2:$D$42,MATCH($Q153,'Device Refrigerant Leakage'!$B$2:$B$42,0)))*CZ153*CX153)*CY153/2204.62*CW153,"")</f>
        <v/>
      </c>
      <c r="DC153" s="135" t="str">
        <f t="shared" si="244"/>
        <v/>
      </c>
      <c r="DE153" s="146" t="str">
        <f>IF(W153&lt;&gt;"AR","",IF(Y153="User Specified", AA153, INDEX('Refrigerant GWPs'!$G$2:$G$154,MATCH(Y153,'Refrigerant GWPs'!$A$2:$A$154,0))))</f>
        <v/>
      </c>
      <c r="DF153" s="146" t="str">
        <f>IF(W153&lt;&gt;"AR","",INDEX('Device Refrigerant Leakage'!$E$2:$E$42,MATCH(X153,'Device Refrigerant Leakage'!$B$2:$B$42,0)))</f>
        <v/>
      </c>
      <c r="DG153" s="146" t="str">
        <f>IF(W153&lt;&gt;"AR","",INDEX('Device Refrigerant Leakage'!$F$2:$F$42,MATCH(X153,'Device Refrigerant Leakage'!$B$2:$B$42,0)))</f>
        <v/>
      </c>
      <c r="DH153" s="146" t="str">
        <f>IF(W153&lt;&gt;"AR","",INDEX('Device Refrigerant Leakage'!$G$2:$G$42,MATCH(X153,'Device Refrigerant Leakage'!$B$2:$B$42,0)))</f>
        <v/>
      </c>
      <c r="DI153" s="146" t="str">
        <f>IF(W153&lt;&gt;"AR","",J153*INDEX('Device Refrigerant Leakage'!$D$2:$D$42,MATCH(X153,'Device Refrigerant Leakage'!$B$2:$B$42,0))*DF153/2204.62*DE153)</f>
        <v/>
      </c>
      <c r="DJ153" s="146" t="str">
        <f>IF(W153&lt;&gt;"AR","",J153*(INDEX('Device Refrigerant Leakage'!$D$2:$D$42,MATCH(X153,'Device Refrigerant Leakage'!$B$2:$B$42,0))-(INDEX('Device Refrigerant Leakage'!$D$2:$D$42,MATCH(X153,'Device Refrigerant Leakage'!$B$2:$B$42,0)))*DH153*DF153)*DG153/2204.62*DE153)</f>
        <v/>
      </c>
      <c r="DK153" s="146" t="str">
        <f>IF(W153&lt;&gt;"AR","",DI153*(K153-AB153)+'Fuel Sub Calcs-Deemed'!DJ153*((K153-AB153)/INDEX('Device Refrigerant Leakage'!$C$2:$C$42,MATCH('Fuel Sub Calcs-Deemed'!X153,'Device Refrigerant Leakage'!$B$2:$B$42,0))))</f>
        <v/>
      </c>
      <c r="DM153" s="56">
        <v>139</v>
      </c>
      <c r="DN153" s="67" t="e">
        <f t="shared" si="224"/>
        <v>#N/A</v>
      </c>
      <c r="DO153" s="45" t="e">
        <f t="shared" si="225"/>
        <v>#N/A</v>
      </c>
      <c r="DP153" s="67" t="e">
        <f t="shared" si="226"/>
        <v>#N/A</v>
      </c>
      <c r="DQ153" s="45" t="e">
        <f t="shared" si="227"/>
        <v>#N/A</v>
      </c>
      <c r="DR153" s="69" t="e">
        <f t="shared" si="228"/>
        <v>#N/A</v>
      </c>
      <c r="DS153" s="34"/>
      <c r="DT153" s="67" t="e">
        <f>((BX153*CJ153)+IF($W153=MAT_AR,(BZ153*CL153),0))*(1+Reference!$E$50+Reference!$E$51)</f>
        <v>#N/A</v>
      </c>
      <c r="DU153" s="67">
        <f>((BY153*CK153)+IF($W153=MAT_AR,(CA153*CM153),0))*(1+Reference!$G$50+Reference!$G$51)</f>
        <v>0</v>
      </c>
      <c r="DV153" s="67" t="e">
        <f t="shared" si="229"/>
        <v>#VALUE!</v>
      </c>
      <c r="DX153" s="56">
        <v>139</v>
      </c>
      <c r="DY153" s="67">
        <f t="shared" si="230"/>
        <v>0</v>
      </c>
      <c r="DZ153" s="45" t="e">
        <f>VLOOKUP($R153,Dropdown!$C$3:$D$4,2,FALSE)</f>
        <v>#N/A</v>
      </c>
      <c r="EA153" s="68">
        <f t="shared" si="231"/>
        <v>0</v>
      </c>
      <c r="EB153" s="68" t="str">
        <f t="shared" si="232"/>
        <v>N/A</v>
      </c>
      <c r="EC153" s="68">
        <f t="shared" si="233"/>
        <v>0</v>
      </c>
      <c r="ED153" s="68" t="str">
        <f t="shared" si="234"/>
        <v>N/A</v>
      </c>
      <c r="EF153" s="56">
        <v>139</v>
      </c>
      <c r="EG153" s="46">
        <f t="shared" si="235"/>
        <v>0</v>
      </c>
      <c r="EH153" s="68" t="e">
        <f t="shared" si="236"/>
        <v>#N/A</v>
      </c>
      <c r="EI153" s="68" t="e">
        <f t="shared" si="237"/>
        <v>#N/A</v>
      </c>
      <c r="EJ153" s="68" t="e">
        <f t="shared" si="238"/>
        <v>#N/A</v>
      </c>
      <c r="EK153" s="68" t="e">
        <f t="shared" si="239"/>
        <v>#N/A</v>
      </c>
      <c r="EL153" s="46">
        <f t="shared" si="240"/>
        <v>0</v>
      </c>
      <c r="EM153" s="46">
        <f t="shared" si="241"/>
        <v>0</v>
      </c>
    </row>
    <row r="154" spans="1:143">
      <c r="A154" s="89"/>
      <c r="B154" s="89"/>
      <c r="C154" s="89"/>
      <c r="D154" s="89"/>
      <c r="E154" s="89"/>
      <c r="F154" s="89"/>
      <c r="G154" s="34"/>
      <c r="H154" s="56">
        <f t="shared" si="242"/>
        <v>140</v>
      </c>
      <c r="I154" s="165"/>
      <c r="J154" s="163"/>
      <c r="K154" s="163"/>
      <c r="L154" s="164"/>
      <c r="M154" s="155"/>
      <c r="N154" s="155"/>
      <c r="O154" s="144"/>
      <c r="P154" s="159" t="str">
        <f>IFERROR(IF(O154&lt;&gt;"User Specified",IF(O154&lt;&gt;"", INDEX('Refrigerant GWPs'!$G$2:$G$154,MATCH(O154,'Refrigerant GWPs'!$A$2:$A$154,0)),""),U154),0)</f>
        <v/>
      </c>
      <c r="Q154" s="155"/>
      <c r="R154" s="155"/>
      <c r="S154" s="144"/>
      <c r="T154" s="159" t="str">
        <f>IF(S154&lt;&gt;"User Specified",IF(AND(S154&lt;&gt;"User Specified",S154&lt;&gt;""), INDEX('Refrigerant GWPs'!$G$2:$G$154,MATCH(S154,'Refrigerant GWPs'!$A$2:$A$154,0)),""),V154)</f>
        <v/>
      </c>
      <c r="U154" s="144"/>
      <c r="V154" s="144"/>
      <c r="W154" s="155"/>
      <c r="X154" s="155"/>
      <c r="Y154" s="144"/>
      <c r="Z154" s="159" t="str">
        <f>IF(AND(Y154&lt;&gt;"User Specified",Y154&lt;&gt;""), INDEX('Refrigerant GWPs'!$G$2:$G$154,MATCH(Y154,'Refrigerant GWPs'!$A$2:$A$154,0)),"")</f>
        <v/>
      </c>
      <c r="AA154" s="155"/>
      <c r="AB154" s="156"/>
      <c r="AC154" s="66"/>
      <c r="AD154" s="66"/>
      <c r="AE154" s="66"/>
      <c r="AF154" s="66"/>
      <c r="AG154" s="66"/>
      <c r="AH154" s="66"/>
      <c r="AI154" s="34"/>
      <c r="AJ154" s="88">
        <f t="shared" si="200"/>
        <v>0</v>
      </c>
      <c r="AK154" s="88">
        <f t="shared" si="201"/>
        <v>0</v>
      </c>
      <c r="AL154" s="88">
        <v>0</v>
      </c>
      <c r="AM154" s="88">
        <v>0</v>
      </c>
      <c r="AN154" s="81" t="str">
        <f t="shared" si="243"/>
        <v/>
      </c>
      <c r="AO154" s="88">
        <f t="shared" si="202"/>
        <v>0</v>
      </c>
      <c r="AP154" s="88">
        <f t="shared" si="203"/>
        <v>0</v>
      </c>
      <c r="AQ154" s="81" t="str">
        <f t="shared" si="204"/>
        <v/>
      </c>
      <c r="AS154" s="41" t="b">
        <f t="shared" si="205"/>
        <v>1</v>
      </c>
      <c r="AT154" s="38">
        <f t="shared" si="206"/>
        <v>0</v>
      </c>
      <c r="AU154" s="60">
        <f t="shared" si="207"/>
        <v>0</v>
      </c>
      <c r="AV154" s="41">
        <f t="shared" si="208"/>
        <v>0</v>
      </c>
      <c r="AW154" s="41" t="b">
        <f t="shared" si="209"/>
        <v>0</v>
      </c>
      <c r="AX154" t="str">
        <f t="shared" si="210"/>
        <v>+00</v>
      </c>
      <c r="AY154" t="str">
        <f t="shared" si="211"/>
        <v>+00</v>
      </c>
      <c r="BA154" s="47" t="b">
        <f t="shared" si="164"/>
        <v>1</v>
      </c>
      <c r="BB154" s="42" t="b">
        <f t="shared" si="165"/>
        <v>1</v>
      </c>
      <c r="BC154" s="42" t="b">
        <f t="shared" si="166"/>
        <v>0</v>
      </c>
      <c r="BD154" s="42" t="b">
        <f t="shared" si="167"/>
        <v>0</v>
      </c>
      <c r="BE154" s="70">
        <f t="shared" si="168"/>
        <v>0</v>
      </c>
      <c r="BF154" s="70">
        <f t="shared" si="169"/>
        <v>0</v>
      </c>
      <c r="BG154" s="34"/>
      <c r="BI154" s="47" t="b">
        <f t="shared" si="170"/>
        <v>1</v>
      </c>
      <c r="BJ154" s="47" t="b">
        <f t="shared" si="171"/>
        <v>1</v>
      </c>
      <c r="BK154" s="42" t="b">
        <f t="shared" si="172"/>
        <v>0</v>
      </c>
      <c r="BL154" s="42" t="b">
        <f t="shared" si="173"/>
        <v>0</v>
      </c>
      <c r="BM154" s="42">
        <f t="shared" si="174"/>
        <v>0</v>
      </c>
      <c r="BN154" s="42">
        <f t="shared" si="175"/>
        <v>0</v>
      </c>
      <c r="BP154" t="e">
        <f t="shared" si="176"/>
        <v>#N/A</v>
      </c>
      <c r="BQ154" t="e">
        <f t="shared" si="177"/>
        <v>#N/A</v>
      </c>
      <c r="BR154" t="e">
        <f t="shared" si="178"/>
        <v>#N/A</v>
      </c>
      <c r="BT154" s="60">
        <f t="shared" si="212"/>
        <v>0</v>
      </c>
      <c r="BU154" s="60">
        <f t="shared" si="213"/>
        <v>0</v>
      </c>
      <c r="BV154" s="60">
        <f t="shared" si="214"/>
        <v>0</v>
      </c>
      <c r="BW154" s="60">
        <f t="shared" si="215"/>
        <v>0</v>
      </c>
      <c r="BX154" s="60">
        <f t="shared" si="179"/>
        <v>0</v>
      </c>
      <c r="BY154" s="60">
        <f t="shared" si="180"/>
        <v>0</v>
      </c>
      <c r="BZ154" s="60">
        <f t="shared" si="181"/>
        <v>0</v>
      </c>
      <c r="CA154" s="60">
        <f t="shared" si="182"/>
        <v>0</v>
      </c>
      <c r="CB154" s="60" t="e">
        <f t="shared" si="216"/>
        <v>#N/A</v>
      </c>
      <c r="CC154" s="60">
        <f t="shared" si="217"/>
        <v>100000</v>
      </c>
      <c r="CD154" s="60" t="e">
        <f t="shared" si="218"/>
        <v>#N/A</v>
      </c>
      <c r="CE154" s="60">
        <f t="shared" si="219"/>
        <v>100000</v>
      </c>
      <c r="CF154" s="83" t="e">
        <f t="shared" si="183"/>
        <v>#N/A</v>
      </c>
      <c r="CG154" s="83">
        <f t="shared" si="184"/>
        <v>0</v>
      </c>
      <c r="CH154" s="83" t="e">
        <f t="shared" si="185"/>
        <v>#N/A</v>
      </c>
      <c r="CI154" s="83">
        <f t="shared" si="186"/>
        <v>0</v>
      </c>
      <c r="CJ154" s="86" t="e">
        <f t="shared" si="220"/>
        <v>#N/A</v>
      </c>
      <c r="CK154" s="82">
        <f t="shared" si="221"/>
        <v>5.3070370403969858E-3</v>
      </c>
      <c r="CL154" s="82" t="e">
        <f t="shared" si="222"/>
        <v>#N/A</v>
      </c>
      <c r="CM154" s="82">
        <f t="shared" si="223"/>
        <v>5.3070370403969858E-3</v>
      </c>
      <c r="CO154" s="149" t="str">
        <f>IF($I154&lt;&gt;"",IF(O154="User Specified",U154,INDEX('Refrigerant GWPs'!$G$2:$G$156,MATCH(O154,'Refrigerant GWPs'!$A$2:$A$156,0))),"")</f>
        <v/>
      </c>
      <c r="CP154" s="138" t="str">
        <f>IF($I154&lt;&gt;"",INDEX('Device Refrigerant Leakage'!$E$2:$E$42,MATCH($M154,'Device Refrigerant Leakage'!$B$2:$B$42,0)),"")</f>
        <v/>
      </c>
      <c r="CQ154" s="138" t="str">
        <f>IF($I154&lt;&gt;"",INDEX('Device Refrigerant Leakage'!$F$2:$F$42,MATCH($M154,'Device Refrigerant Leakage'!$B$2:$B$42,0)),"")</f>
        <v/>
      </c>
      <c r="CR154" s="145" t="str">
        <f>IF($I154&lt;&gt;"",INDEX('Device Refrigerant Leakage'!$G$2:$G$42,MATCH($M154,'Device Refrigerant Leakage'!$B$2:$B$42,0)),"")</f>
        <v/>
      </c>
      <c r="CS154" s="145" t="str">
        <f>IF($I154&lt;&gt;"",INDEX('Device Refrigerant Leakage'!$D$2:$D$42,MATCH($M154,'Device Refrigerant Leakage'!$B$2:$B$42,0))*CP154/2204.62*CO154,"")</f>
        <v/>
      </c>
      <c r="CT154" s="145" t="str">
        <f>IF($I154&lt;&gt;"",J154*(INDEX('Device Refrigerant Leakage'!$D$2:$D$42,MATCH($M154,'Device Refrigerant Leakage'!$B$2:$B$42,0))-(INDEX('Device Refrigerant Leakage'!$D$2:$D$42,MATCH($M154,'Device Refrigerant Leakage'!$B$2:$B$42,0)))*CR154*CP154)*CQ154/2204.62*CO154,"")</f>
        <v/>
      </c>
      <c r="CU154" s="135" t="str">
        <f>IF($I154&lt;&gt;"",J154*IF(W154&lt;&gt;"AR",(CS154*K154)+CT154,(CS154*AB154)+CT154*(AB154/INDEX('Device Refrigerant Leakage'!$C$2:$C$42,MATCH($M154,'Device Refrigerant Leakage'!$B$2:$B$42,0)))),"")</f>
        <v/>
      </c>
      <c r="CW154" s="135" t="str">
        <f>IF($I154&lt;&gt;"",IF(S154="User Specified",V154,INDEX('Refrigerant GWPs'!$G$2:$G$156,MATCH(S154,'Refrigerant GWPs'!$A$2:$A$157,0))),"")</f>
        <v/>
      </c>
      <c r="CX154" s="138" t="str">
        <f>IF($I154&lt;&gt;"",INDEX('Device Refrigerant Leakage'!$E$2:$E$42,MATCH($Q154,'Device Refrigerant Leakage'!$B$2:$B$42,0)),"")</f>
        <v/>
      </c>
      <c r="CY154" s="138" t="str">
        <f>IF($I154&lt;&gt;"",INDEX('Device Refrigerant Leakage'!$F$2:$F$42,MATCH($Q154,'Device Refrigerant Leakage'!$B$2:$B$42,0)),"")</f>
        <v/>
      </c>
      <c r="CZ154" s="145" t="str">
        <f>IF($I154&lt;&gt;"",INDEX('Device Refrigerant Leakage'!$G$2:$G$42,MATCH($Q154,'Device Refrigerant Leakage'!$B$2:$B$42,0)),"")</f>
        <v/>
      </c>
      <c r="DA154" s="145" t="str">
        <f>IF($I154&lt;&gt;"",J154*INDEX('Device Refrigerant Leakage'!$D$2:$D$42,MATCH($Q154,'Device Refrigerant Leakage'!$B$2:$B$42,0))*CX154/2204.62*CW154,"")</f>
        <v/>
      </c>
      <c r="DB154" s="145" t="str">
        <f>IF($I154&lt;&gt;"",J154*(INDEX('Device Refrigerant Leakage'!$D$2:$D$42,MATCH($Q154,'Device Refrigerant Leakage'!$B$2:$B$42,0))-(INDEX('Device Refrigerant Leakage'!$D$2:$D$42,MATCH($Q154,'Device Refrigerant Leakage'!$B$2:$B$42,0)))*CZ154*CX154)*CY154/2204.62*CW154,"")</f>
        <v/>
      </c>
      <c r="DC154" s="135" t="str">
        <f t="shared" si="244"/>
        <v/>
      </c>
      <c r="DE154" s="146" t="str">
        <f>IF(W154&lt;&gt;"AR","",IF(Y154="User Specified", AA154, INDEX('Refrigerant GWPs'!$G$2:$G$154,MATCH(Y154,'Refrigerant GWPs'!$A$2:$A$154,0))))</f>
        <v/>
      </c>
      <c r="DF154" s="146" t="str">
        <f>IF(W154&lt;&gt;"AR","",INDEX('Device Refrigerant Leakage'!$E$2:$E$42,MATCH(X154,'Device Refrigerant Leakage'!$B$2:$B$42,0)))</f>
        <v/>
      </c>
      <c r="DG154" s="146" t="str">
        <f>IF(W154&lt;&gt;"AR","",INDEX('Device Refrigerant Leakage'!$F$2:$F$42,MATCH(X154,'Device Refrigerant Leakage'!$B$2:$B$42,0)))</f>
        <v/>
      </c>
      <c r="DH154" s="146" t="str">
        <f>IF(W154&lt;&gt;"AR","",INDEX('Device Refrigerant Leakage'!$G$2:$G$42,MATCH(X154,'Device Refrigerant Leakage'!$B$2:$B$42,0)))</f>
        <v/>
      </c>
      <c r="DI154" s="146" t="str">
        <f>IF(W154&lt;&gt;"AR","",J154*INDEX('Device Refrigerant Leakage'!$D$2:$D$42,MATCH(X154,'Device Refrigerant Leakage'!$B$2:$B$42,0))*DF154/2204.62*DE154)</f>
        <v/>
      </c>
      <c r="DJ154" s="146" t="str">
        <f>IF(W154&lt;&gt;"AR","",J154*(INDEX('Device Refrigerant Leakage'!$D$2:$D$42,MATCH(X154,'Device Refrigerant Leakage'!$B$2:$B$42,0))-(INDEX('Device Refrigerant Leakage'!$D$2:$D$42,MATCH(X154,'Device Refrigerant Leakage'!$B$2:$B$42,0)))*DH154*DF154)*DG154/2204.62*DE154)</f>
        <v/>
      </c>
      <c r="DK154" s="146" t="str">
        <f>IF(W154&lt;&gt;"AR","",DI154*(K154-AB154)+'Fuel Sub Calcs-Deemed'!DJ154*((K154-AB154)/INDEX('Device Refrigerant Leakage'!$C$2:$C$42,MATCH('Fuel Sub Calcs-Deemed'!X154,'Device Refrigerant Leakage'!$B$2:$B$42,0))))</f>
        <v/>
      </c>
      <c r="DM154" s="56">
        <v>140</v>
      </c>
      <c r="DN154" s="67" t="e">
        <f t="shared" si="224"/>
        <v>#N/A</v>
      </c>
      <c r="DO154" s="45" t="e">
        <f t="shared" si="225"/>
        <v>#N/A</v>
      </c>
      <c r="DP154" s="67" t="e">
        <f t="shared" si="226"/>
        <v>#N/A</v>
      </c>
      <c r="DQ154" s="45" t="e">
        <f t="shared" si="227"/>
        <v>#N/A</v>
      </c>
      <c r="DR154" s="69" t="e">
        <f t="shared" si="228"/>
        <v>#N/A</v>
      </c>
      <c r="DS154" s="34"/>
      <c r="DT154" s="67" t="e">
        <f>((BX154*CJ154)+IF($W154=MAT_AR,(BZ154*CL154),0))*(1+Reference!$E$50+Reference!$E$51)</f>
        <v>#N/A</v>
      </c>
      <c r="DU154" s="67">
        <f>((BY154*CK154)+IF($W154=MAT_AR,(CA154*CM154),0))*(1+Reference!$G$50+Reference!$G$51)</f>
        <v>0</v>
      </c>
      <c r="DV154" s="67" t="e">
        <f t="shared" si="229"/>
        <v>#VALUE!</v>
      </c>
      <c r="DX154" s="56">
        <v>140</v>
      </c>
      <c r="DY154" s="67">
        <f t="shared" si="230"/>
        <v>0</v>
      </c>
      <c r="DZ154" s="45" t="e">
        <f>VLOOKUP($R154,Dropdown!$C$3:$D$4,2,FALSE)</f>
        <v>#N/A</v>
      </c>
      <c r="EA154" s="68">
        <f t="shared" si="231"/>
        <v>0</v>
      </c>
      <c r="EB154" s="68" t="str">
        <f t="shared" si="232"/>
        <v>N/A</v>
      </c>
      <c r="EC154" s="68">
        <f t="shared" si="233"/>
        <v>0</v>
      </c>
      <c r="ED154" s="68" t="str">
        <f t="shared" si="234"/>
        <v>N/A</v>
      </c>
      <c r="EF154" s="56">
        <v>140</v>
      </c>
      <c r="EG154" s="46">
        <f t="shared" si="235"/>
        <v>0</v>
      </c>
      <c r="EH154" s="68" t="e">
        <f t="shared" si="236"/>
        <v>#N/A</v>
      </c>
      <c r="EI154" s="68" t="e">
        <f t="shared" si="237"/>
        <v>#N/A</v>
      </c>
      <c r="EJ154" s="68" t="e">
        <f t="shared" si="238"/>
        <v>#N/A</v>
      </c>
      <c r="EK154" s="68" t="e">
        <f t="shared" si="239"/>
        <v>#N/A</v>
      </c>
      <c r="EL154" s="46">
        <f t="shared" si="240"/>
        <v>0</v>
      </c>
      <c r="EM154" s="46">
        <f t="shared" si="241"/>
        <v>0</v>
      </c>
    </row>
    <row r="155" spans="1:143">
      <c r="A155" s="89"/>
      <c r="B155" s="89"/>
      <c r="C155" s="89"/>
      <c r="D155" s="89"/>
      <c r="E155" s="89"/>
      <c r="F155" s="89"/>
      <c r="G155" s="34"/>
      <c r="H155" s="56">
        <f t="shared" si="242"/>
        <v>141</v>
      </c>
      <c r="I155" s="165"/>
      <c r="J155" s="163"/>
      <c r="K155" s="163"/>
      <c r="L155" s="164"/>
      <c r="M155" s="155"/>
      <c r="N155" s="155"/>
      <c r="O155" s="144"/>
      <c r="P155" s="159" t="str">
        <f>IFERROR(IF(O155&lt;&gt;"User Specified",IF(O155&lt;&gt;"", INDEX('Refrigerant GWPs'!$G$2:$G$154,MATCH(O155,'Refrigerant GWPs'!$A$2:$A$154,0)),""),U155),0)</f>
        <v/>
      </c>
      <c r="Q155" s="155"/>
      <c r="R155" s="155"/>
      <c r="S155" s="144"/>
      <c r="T155" s="159" t="str">
        <f>IF(S155&lt;&gt;"User Specified",IF(AND(S155&lt;&gt;"User Specified",S155&lt;&gt;""), INDEX('Refrigerant GWPs'!$G$2:$G$154,MATCH(S155,'Refrigerant GWPs'!$A$2:$A$154,0)),""),V155)</f>
        <v/>
      </c>
      <c r="U155" s="144"/>
      <c r="V155" s="144"/>
      <c r="W155" s="155"/>
      <c r="X155" s="155"/>
      <c r="Y155" s="144"/>
      <c r="Z155" s="159" t="str">
        <f>IF(AND(Y155&lt;&gt;"User Specified",Y155&lt;&gt;""), INDEX('Refrigerant GWPs'!$G$2:$G$154,MATCH(Y155,'Refrigerant GWPs'!$A$2:$A$154,0)),"")</f>
        <v/>
      </c>
      <c r="AA155" s="155"/>
      <c r="AB155" s="156"/>
      <c r="AC155" s="66"/>
      <c r="AD155" s="66"/>
      <c r="AE155" s="66"/>
      <c r="AF155" s="66"/>
      <c r="AG155" s="66"/>
      <c r="AH155" s="66"/>
      <c r="AI155" s="34"/>
      <c r="AJ155" s="88">
        <f t="shared" si="200"/>
        <v>0</v>
      </c>
      <c r="AK155" s="88">
        <f t="shared" si="201"/>
        <v>0</v>
      </c>
      <c r="AL155" s="88">
        <v>0</v>
      </c>
      <c r="AM155" s="88">
        <v>0</v>
      </c>
      <c r="AN155" s="81" t="str">
        <f t="shared" si="243"/>
        <v/>
      </c>
      <c r="AO155" s="88">
        <f t="shared" si="202"/>
        <v>0</v>
      </c>
      <c r="AP155" s="88">
        <f t="shared" si="203"/>
        <v>0</v>
      </c>
      <c r="AQ155" s="81" t="str">
        <f t="shared" si="204"/>
        <v/>
      </c>
      <c r="AS155" s="41" t="b">
        <f t="shared" si="205"/>
        <v>1</v>
      </c>
      <c r="AT155" s="38">
        <f t="shared" si="206"/>
        <v>0</v>
      </c>
      <c r="AU155" s="60">
        <f t="shared" si="207"/>
        <v>0</v>
      </c>
      <c r="AV155" s="41">
        <f t="shared" si="208"/>
        <v>0</v>
      </c>
      <c r="AW155" s="41" t="b">
        <f t="shared" si="209"/>
        <v>0</v>
      </c>
      <c r="AX155" t="str">
        <f t="shared" si="210"/>
        <v>+00</v>
      </c>
      <c r="AY155" t="str">
        <f t="shared" si="211"/>
        <v>+00</v>
      </c>
      <c r="BA155" s="47" t="b">
        <f t="shared" si="164"/>
        <v>1</v>
      </c>
      <c r="BB155" s="42" t="b">
        <f t="shared" si="165"/>
        <v>1</v>
      </c>
      <c r="BC155" s="42" t="b">
        <f t="shared" si="166"/>
        <v>0</v>
      </c>
      <c r="BD155" s="42" t="b">
        <f t="shared" si="167"/>
        <v>0</v>
      </c>
      <c r="BE155" s="70">
        <f t="shared" si="168"/>
        <v>0</v>
      </c>
      <c r="BF155" s="70">
        <f t="shared" si="169"/>
        <v>0</v>
      </c>
      <c r="BG155" s="34"/>
      <c r="BI155" s="47" t="b">
        <f t="shared" si="170"/>
        <v>1</v>
      </c>
      <c r="BJ155" s="47" t="b">
        <f t="shared" si="171"/>
        <v>1</v>
      </c>
      <c r="BK155" s="42" t="b">
        <f t="shared" si="172"/>
        <v>0</v>
      </c>
      <c r="BL155" s="42" t="b">
        <f t="shared" si="173"/>
        <v>0</v>
      </c>
      <c r="BM155" s="42">
        <f t="shared" si="174"/>
        <v>0</v>
      </c>
      <c r="BN155" s="42">
        <f t="shared" si="175"/>
        <v>0</v>
      </c>
      <c r="BP155" t="e">
        <f t="shared" si="176"/>
        <v>#N/A</v>
      </c>
      <c r="BQ155" t="e">
        <f t="shared" si="177"/>
        <v>#N/A</v>
      </c>
      <c r="BR155" t="e">
        <f t="shared" si="178"/>
        <v>#N/A</v>
      </c>
      <c r="BT155" s="60">
        <f t="shared" si="212"/>
        <v>0</v>
      </c>
      <c r="BU155" s="60">
        <f t="shared" si="213"/>
        <v>0</v>
      </c>
      <c r="BV155" s="60">
        <f t="shared" si="214"/>
        <v>0</v>
      </c>
      <c r="BW155" s="60">
        <f t="shared" si="215"/>
        <v>0</v>
      </c>
      <c r="BX155" s="60">
        <f t="shared" si="179"/>
        <v>0</v>
      </c>
      <c r="BY155" s="60">
        <f t="shared" si="180"/>
        <v>0</v>
      </c>
      <c r="BZ155" s="60">
        <f t="shared" si="181"/>
        <v>0</v>
      </c>
      <c r="CA155" s="60">
        <f t="shared" si="182"/>
        <v>0</v>
      </c>
      <c r="CB155" s="60" t="e">
        <f t="shared" si="216"/>
        <v>#N/A</v>
      </c>
      <c r="CC155" s="60">
        <f t="shared" si="217"/>
        <v>100000</v>
      </c>
      <c r="CD155" s="60" t="e">
        <f t="shared" si="218"/>
        <v>#N/A</v>
      </c>
      <c r="CE155" s="60">
        <f t="shared" si="219"/>
        <v>100000</v>
      </c>
      <c r="CF155" s="83" t="e">
        <f t="shared" si="183"/>
        <v>#N/A</v>
      </c>
      <c r="CG155" s="83">
        <f t="shared" si="184"/>
        <v>0</v>
      </c>
      <c r="CH155" s="83" t="e">
        <f t="shared" si="185"/>
        <v>#N/A</v>
      </c>
      <c r="CI155" s="83">
        <f t="shared" si="186"/>
        <v>0</v>
      </c>
      <c r="CJ155" s="86" t="e">
        <f t="shared" si="220"/>
        <v>#N/A</v>
      </c>
      <c r="CK155" s="82">
        <f t="shared" si="221"/>
        <v>5.3070370403969858E-3</v>
      </c>
      <c r="CL155" s="82" t="e">
        <f t="shared" si="222"/>
        <v>#N/A</v>
      </c>
      <c r="CM155" s="82">
        <f t="shared" si="223"/>
        <v>5.3070370403969858E-3</v>
      </c>
      <c r="CO155" s="149" t="str">
        <f>IF($I155&lt;&gt;"",IF(O155="User Specified",U155,INDEX('Refrigerant GWPs'!$G$2:$G$156,MATCH(O155,'Refrigerant GWPs'!$A$2:$A$156,0))),"")</f>
        <v/>
      </c>
      <c r="CP155" s="138" t="str">
        <f>IF($I155&lt;&gt;"",INDEX('Device Refrigerant Leakage'!$E$2:$E$42,MATCH($M155,'Device Refrigerant Leakage'!$B$2:$B$42,0)),"")</f>
        <v/>
      </c>
      <c r="CQ155" s="138" t="str">
        <f>IF($I155&lt;&gt;"",INDEX('Device Refrigerant Leakage'!$F$2:$F$42,MATCH($M155,'Device Refrigerant Leakage'!$B$2:$B$42,0)),"")</f>
        <v/>
      </c>
      <c r="CR155" s="145" t="str">
        <f>IF($I155&lt;&gt;"",INDEX('Device Refrigerant Leakage'!$G$2:$G$42,MATCH($M155,'Device Refrigerant Leakage'!$B$2:$B$42,0)),"")</f>
        <v/>
      </c>
      <c r="CS155" s="145" t="str">
        <f>IF($I155&lt;&gt;"",INDEX('Device Refrigerant Leakage'!$D$2:$D$42,MATCH($M155,'Device Refrigerant Leakage'!$B$2:$B$42,0))*CP155/2204.62*CO155,"")</f>
        <v/>
      </c>
      <c r="CT155" s="145" t="str">
        <f>IF($I155&lt;&gt;"",J155*(INDEX('Device Refrigerant Leakage'!$D$2:$D$42,MATCH($M155,'Device Refrigerant Leakage'!$B$2:$B$42,0))-(INDEX('Device Refrigerant Leakage'!$D$2:$D$42,MATCH($M155,'Device Refrigerant Leakage'!$B$2:$B$42,0)))*CR155*CP155)*CQ155/2204.62*CO155,"")</f>
        <v/>
      </c>
      <c r="CU155" s="135" t="str">
        <f>IF($I155&lt;&gt;"",J155*IF(W155&lt;&gt;"AR",(CS155*K155)+CT155,(CS155*AB155)+CT155*(AB155/INDEX('Device Refrigerant Leakage'!$C$2:$C$42,MATCH($M155,'Device Refrigerant Leakage'!$B$2:$B$42,0)))),"")</f>
        <v/>
      </c>
      <c r="CW155" s="135" t="str">
        <f>IF($I155&lt;&gt;"",IF(S155="User Specified",V155,INDEX('Refrigerant GWPs'!$G$2:$G$156,MATCH(S155,'Refrigerant GWPs'!$A$2:$A$157,0))),"")</f>
        <v/>
      </c>
      <c r="CX155" s="138" t="str">
        <f>IF($I155&lt;&gt;"",INDEX('Device Refrigerant Leakage'!$E$2:$E$42,MATCH($Q155,'Device Refrigerant Leakage'!$B$2:$B$42,0)),"")</f>
        <v/>
      </c>
      <c r="CY155" s="138" t="str">
        <f>IF($I155&lt;&gt;"",INDEX('Device Refrigerant Leakage'!$F$2:$F$42,MATCH($Q155,'Device Refrigerant Leakage'!$B$2:$B$42,0)),"")</f>
        <v/>
      </c>
      <c r="CZ155" s="145" t="str">
        <f>IF($I155&lt;&gt;"",INDEX('Device Refrigerant Leakage'!$G$2:$G$42,MATCH($Q155,'Device Refrigerant Leakage'!$B$2:$B$42,0)),"")</f>
        <v/>
      </c>
      <c r="DA155" s="145" t="str">
        <f>IF($I155&lt;&gt;"",J155*INDEX('Device Refrigerant Leakage'!$D$2:$D$42,MATCH($Q155,'Device Refrigerant Leakage'!$B$2:$B$42,0))*CX155/2204.62*CW155,"")</f>
        <v/>
      </c>
      <c r="DB155" s="145" t="str">
        <f>IF($I155&lt;&gt;"",J155*(INDEX('Device Refrigerant Leakage'!$D$2:$D$42,MATCH($Q155,'Device Refrigerant Leakage'!$B$2:$B$42,0))-(INDEX('Device Refrigerant Leakage'!$D$2:$D$42,MATCH($Q155,'Device Refrigerant Leakage'!$B$2:$B$42,0)))*CZ155*CX155)*CY155/2204.62*CW155,"")</f>
        <v/>
      </c>
      <c r="DC155" s="135" t="str">
        <f t="shared" si="244"/>
        <v/>
      </c>
      <c r="DE155" s="146" t="str">
        <f>IF(W155&lt;&gt;"AR","",IF(Y155="User Specified", AA155, INDEX('Refrigerant GWPs'!$G$2:$G$154,MATCH(Y155,'Refrigerant GWPs'!$A$2:$A$154,0))))</f>
        <v/>
      </c>
      <c r="DF155" s="146" t="str">
        <f>IF(W155&lt;&gt;"AR","",INDEX('Device Refrigerant Leakage'!$E$2:$E$42,MATCH(X155,'Device Refrigerant Leakage'!$B$2:$B$42,0)))</f>
        <v/>
      </c>
      <c r="DG155" s="146" t="str">
        <f>IF(W155&lt;&gt;"AR","",INDEX('Device Refrigerant Leakage'!$F$2:$F$42,MATCH(X155,'Device Refrigerant Leakage'!$B$2:$B$42,0)))</f>
        <v/>
      </c>
      <c r="DH155" s="146" t="str">
        <f>IF(W155&lt;&gt;"AR","",INDEX('Device Refrigerant Leakage'!$G$2:$G$42,MATCH(X155,'Device Refrigerant Leakage'!$B$2:$B$42,0)))</f>
        <v/>
      </c>
      <c r="DI155" s="146" t="str">
        <f>IF(W155&lt;&gt;"AR","",J155*INDEX('Device Refrigerant Leakage'!$D$2:$D$42,MATCH(X155,'Device Refrigerant Leakage'!$B$2:$B$42,0))*DF155/2204.62*DE155)</f>
        <v/>
      </c>
      <c r="DJ155" s="146" t="str">
        <f>IF(W155&lt;&gt;"AR","",J155*(INDEX('Device Refrigerant Leakage'!$D$2:$D$42,MATCH(X155,'Device Refrigerant Leakage'!$B$2:$B$42,0))-(INDEX('Device Refrigerant Leakage'!$D$2:$D$42,MATCH(X155,'Device Refrigerant Leakage'!$B$2:$B$42,0)))*DH155*DF155)*DG155/2204.62*DE155)</f>
        <v/>
      </c>
      <c r="DK155" s="146" t="str">
        <f>IF(W155&lt;&gt;"AR","",DI155*(K155-AB155)+'Fuel Sub Calcs-Deemed'!DJ155*((K155-AB155)/INDEX('Device Refrigerant Leakage'!$C$2:$C$42,MATCH('Fuel Sub Calcs-Deemed'!X155,'Device Refrigerant Leakage'!$B$2:$B$42,0))))</f>
        <v/>
      </c>
      <c r="DM155" s="56">
        <v>141</v>
      </c>
      <c r="DN155" s="67" t="e">
        <f t="shared" si="224"/>
        <v>#N/A</v>
      </c>
      <c r="DO155" s="45" t="e">
        <f t="shared" si="225"/>
        <v>#N/A</v>
      </c>
      <c r="DP155" s="67" t="e">
        <f t="shared" si="226"/>
        <v>#N/A</v>
      </c>
      <c r="DQ155" s="45" t="e">
        <f t="shared" si="227"/>
        <v>#N/A</v>
      </c>
      <c r="DR155" s="69" t="e">
        <f t="shared" si="228"/>
        <v>#N/A</v>
      </c>
      <c r="DS155" s="34"/>
      <c r="DT155" s="67" t="e">
        <f>((BX155*CJ155)+IF($W155=MAT_AR,(BZ155*CL155),0))*(1+Reference!$E$50+Reference!$E$51)</f>
        <v>#N/A</v>
      </c>
      <c r="DU155" s="67">
        <f>((BY155*CK155)+IF($W155=MAT_AR,(CA155*CM155),0))*(1+Reference!$G$50+Reference!$G$51)</f>
        <v>0</v>
      </c>
      <c r="DV155" s="67" t="e">
        <f t="shared" si="229"/>
        <v>#VALUE!</v>
      </c>
      <c r="DX155" s="56">
        <v>141</v>
      </c>
      <c r="DY155" s="67">
        <f t="shared" si="230"/>
        <v>0</v>
      </c>
      <c r="DZ155" s="45" t="e">
        <f>VLOOKUP($R155,Dropdown!$C$3:$D$4,2,FALSE)</f>
        <v>#N/A</v>
      </c>
      <c r="EA155" s="68">
        <f t="shared" si="231"/>
        <v>0</v>
      </c>
      <c r="EB155" s="68" t="str">
        <f t="shared" si="232"/>
        <v>N/A</v>
      </c>
      <c r="EC155" s="68">
        <f t="shared" si="233"/>
        <v>0</v>
      </c>
      <c r="ED155" s="68" t="str">
        <f t="shared" si="234"/>
        <v>N/A</v>
      </c>
      <c r="EF155" s="56">
        <v>141</v>
      </c>
      <c r="EG155" s="46">
        <f t="shared" si="235"/>
        <v>0</v>
      </c>
      <c r="EH155" s="68" t="e">
        <f t="shared" si="236"/>
        <v>#N/A</v>
      </c>
      <c r="EI155" s="68" t="e">
        <f t="shared" si="237"/>
        <v>#N/A</v>
      </c>
      <c r="EJ155" s="68" t="e">
        <f t="shared" si="238"/>
        <v>#N/A</v>
      </c>
      <c r="EK155" s="68" t="e">
        <f t="shared" si="239"/>
        <v>#N/A</v>
      </c>
      <c r="EL155" s="46">
        <f t="shared" si="240"/>
        <v>0</v>
      </c>
      <c r="EM155" s="46">
        <f t="shared" si="241"/>
        <v>0</v>
      </c>
    </row>
    <row r="156" spans="1:143">
      <c r="A156" s="89"/>
      <c r="B156" s="89"/>
      <c r="C156" s="89"/>
      <c r="D156" s="89"/>
      <c r="E156" s="89"/>
      <c r="F156" s="89"/>
      <c r="G156" s="34"/>
      <c r="H156" s="56">
        <f t="shared" si="242"/>
        <v>142</v>
      </c>
      <c r="I156" s="165"/>
      <c r="J156" s="163"/>
      <c r="K156" s="163"/>
      <c r="L156" s="164"/>
      <c r="M156" s="155"/>
      <c r="N156" s="155"/>
      <c r="O156" s="144"/>
      <c r="P156" s="159" t="str">
        <f>IFERROR(IF(O156&lt;&gt;"User Specified",IF(O156&lt;&gt;"", INDEX('Refrigerant GWPs'!$G$2:$G$154,MATCH(O156,'Refrigerant GWPs'!$A$2:$A$154,0)),""),U156),0)</f>
        <v/>
      </c>
      <c r="Q156" s="155"/>
      <c r="R156" s="155"/>
      <c r="S156" s="144"/>
      <c r="T156" s="159" t="str">
        <f>IF(S156&lt;&gt;"User Specified",IF(AND(S156&lt;&gt;"User Specified",S156&lt;&gt;""), INDEX('Refrigerant GWPs'!$G$2:$G$154,MATCH(S156,'Refrigerant GWPs'!$A$2:$A$154,0)),""),V156)</f>
        <v/>
      </c>
      <c r="U156" s="144"/>
      <c r="V156" s="144"/>
      <c r="W156" s="155"/>
      <c r="X156" s="155"/>
      <c r="Y156" s="144"/>
      <c r="Z156" s="159" t="str">
        <f>IF(AND(Y156&lt;&gt;"User Specified",Y156&lt;&gt;""), INDEX('Refrigerant GWPs'!$G$2:$G$154,MATCH(Y156,'Refrigerant GWPs'!$A$2:$A$154,0)),"")</f>
        <v/>
      </c>
      <c r="AA156" s="155"/>
      <c r="AB156" s="156"/>
      <c r="AC156" s="66"/>
      <c r="AD156" s="66"/>
      <c r="AE156" s="66"/>
      <c r="AF156" s="66"/>
      <c r="AG156" s="66"/>
      <c r="AH156" s="66"/>
      <c r="AI156" s="34"/>
      <c r="AJ156" s="88">
        <f t="shared" si="200"/>
        <v>0</v>
      </c>
      <c r="AK156" s="88">
        <f t="shared" si="201"/>
        <v>0</v>
      </c>
      <c r="AL156" s="88">
        <v>0</v>
      </c>
      <c r="AM156" s="88">
        <v>0</v>
      </c>
      <c r="AN156" s="81" t="str">
        <f t="shared" si="243"/>
        <v/>
      </c>
      <c r="AO156" s="88">
        <f t="shared" si="202"/>
        <v>0</v>
      </c>
      <c r="AP156" s="88">
        <f t="shared" si="203"/>
        <v>0</v>
      </c>
      <c r="AQ156" s="81" t="str">
        <f t="shared" si="204"/>
        <v/>
      </c>
      <c r="AS156" s="41" t="b">
        <f t="shared" si="205"/>
        <v>1</v>
      </c>
      <c r="AT156" s="38">
        <f t="shared" si="206"/>
        <v>0</v>
      </c>
      <c r="AU156" s="60">
        <f t="shared" si="207"/>
        <v>0</v>
      </c>
      <c r="AV156" s="41">
        <f t="shared" si="208"/>
        <v>0</v>
      </c>
      <c r="AW156" s="41" t="b">
        <f t="shared" si="209"/>
        <v>0</v>
      </c>
      <c r="AX156" t="str">
        <f t="shared" si="210"/>
        <v>+00</v>
      </c>
      <c r="AY156" t="str">
        <f t="shared" si="211"/>
        <v>+00</v>
      </c>
      <c r="BA156" s="47" t="b">
        <f t="shared" si="164"/>
        <v>1</v>
      </c>
      <c r="BB156" s="42" t="b">
        <f t="shared" si="165"/>
        <v>1</v>
      </c>
      <c r="BC156" s="42" t="b">
        <f t="shared" si="166"/>
        <v>0</v>
      </c>
      <c r="BD156" s="42" t="b">
        <f t="shared" si="167"/>
        <v>0</v>
      </c>
      <c r="BE156" s="70">
        <f t="shared" si="168"/>
        <v>0</v>
      </c>
      <c r="BF156" s="70">
        <f t="shared" si="169"/>
        <v>0</v>
      </c>
      <c r="BG156" s="34"/>
      <c r="BI156" s="47" t="b">
        <f t="shared" si="170"/>
        <v>1</v>
      </c>
      <c r="BJ156" s="47" t="b">
        <f t="shared" si="171"/>
        <v>1</v>
      </c>
      <c r="BK156" s="42" t="b">
        <f t="shared" si="172"/>
        <v>0</v>
      </c>
      <c r="BL156" s="42" t="b">
        <f t="shared" si="173"/>
        <v>0</v>
      </c>
      <c r="BM156" s="42">
        <f t="shared" si="174"/>
        <v>0</v>
      </c>
      <c r="BN156" s="42">
        <f t="shared" si="175"/>
        <v>0</v>
      </c>
      <c r="BP156" t="e">
        <f t="shared" si="176"/>
        <v>#N/A</v>
      </c>
      <c r="BQ156" t="e">
        <f t="shared" si="177"/>
        <v>#N/A</v>
      </c>
      <c r="BR156" t="e">
        <f t="shared" si="178"/>
        <v>#N/A</v>
      </c>
      <c r="BT156" s="60">
        <f t="shared" si="212"/>
        <v>0</v>
      </c>
      <c r="BU156" s="60">
        <f t="shared" si="213"/>
        <v>0</v>
      </c>
      <c r="BV156" s="60">
        <f t="shared" si="214"/>
        <v>0</v>
      </c>
      <c r="BW156" s="60">
        <f t="shared" si="215"/>
        <v>0</v>
      </c>
      <c r="BX156" s="60">
        <f t="shared" si="179"/>
        <v>0</v>
      </c>
      <c r="BY156" s="60">
        <f t="shared" si="180"/>
        <v>0</v>
      </c>
      <c r="BZ156" s="60">
        <f t="shared" si="181"/>
        <v>0</v>
      </c>
      <c r="CA156" s="60">
        <f t="shared" si="182"/>
        <v>0</v>
      </c>
      <c r="CB156" s="60" t="e">
        <f t="shared" si="216"/>
        <v>#N/A</v>
      </c>
      <c r="CC156" s="60">
        <f t="shared" si="217"/>
        <v>100000</v>
      </c>
      <c r="CD156" s="60" t="e">
        <f t="shared" si="218"/>
        <v>#N/A</v>
      </c>
      <c r="CE156" s="60">
        <f t="shared" si="219"/>
        <v>100000</v>
      </c>
      <c r="CF156" s="83" t="e">
        <f t="shared" si="183"/>
        <v>#N/A</v>
      </c>
      <c r="CG156" s="83">
        <f t="shared" si="184"/>
        <v>0</v>
      </c>
      <c r="CH156" s="83" t="e">
        <f t="shared" si="185"/>
        <v>#N/A</v>
      </c>
      <c r="CI156" s="83">
        <f t="shared" si="186"/>
        <v>0</v>
      </c>
      <c r="CJ156" s="86" t="e">
        <f t="shared" si="220"/>
        <v>#N/A</v>
      </c>
      <c r="CK156" s="82">
        <f t="shared" si="221"/>
        <v>5.3070370403969858E-3</v>
      </c>
      <c r="CL156" s="82" t="e">
        <f t="shared" si="222"/>
        <v>#N/A</v>
      </c>
      <c r="CM156" s="82">
        <f t="shared" si="223"/>
        <v>5.3070370403969858E-3</v>
      </c>
      <c r="CO156" s="149" t="str">
        <f>IF($I156&lt;&gt;"",IF(O156="User Specified",U156,INDEX('Refrigerant GWPs'!$G$2:$G$156,MATCH(O156,'Refrigerant GWPs'!$A$2:$A$156,0))),"")</f>
        <v/>
      </c>
      <c r="CP156" s="138" t="str">
        <f>IF($I156&lt;&gt;"",INDEX('Device Refrigerant Leakage'!$E$2:$E$42,MATCH($M156,'Device Refrigerant Leakage'!$B$2:$B$42,0)),"")</f>
        <v/>
      </c>
      <c r="CQ156" s="138" t="str">
        <f>IF($I156&lt;&gt;"",INDEX('Device Refrigerant Leakage'!$F$2:$F$42,MATCH($M156,'Device Refrigerant Leakage'!$B$2:$B$42,0)),"")</f>
        <v/>
      </c>
      <c r="CR156" s="145" t="str">
        <f>IF($I156&lt;&gt;"",INDEX('Device Refrigerant Leakage'!$G$2:$G$42,MATCH($M156,'Device Refrigerant Leakage'!$B$2:$B$42,0)),"")</f>
        <v/>
      </c>
      <c r="CS156" s="145" t="str">
        <f>IF($I156&lt;&gt;"",INDEX('Device Refrigerant Leakage'!$D$2:$D$42,MATCH($M156,'Device Refrigerant Leakage'!$B$2:$B$42,0))*CP156/2204.62*CO156,"")</f>
        <v/>
      </c>
      <c r="CT156" s="145" t="str">
        <f>IF($I156&lt;&gt;"",J156*(INDEX('Device Refrigerant Leakage'!$D$2:$D$42,MATCH($M156,'Device Refrigerant Leakage'!$B$2:$B$42,0))-(INDEX('Device Refrigerant Leakage'!$D$2:$D$42,MATCH($M156,'Device Refrigerant Leakage'!$B$2:$B$42,0)))*CR156*CP156)*CQ156/2204.62*CO156,"")</f>
        <v/>
      </c>
      <c r="CU156" s="135" t="str">
        <f>IF($I156&lt;&gt;"",J156*IF(W156&lt;&gt;"AR",(CS156*K156)+CT156,(CS156*AB156)+CT156*(AB156/INDEX('Device Refrigerant Leakage'!$C$2:$C$42,MATCH($M156,'Device Refrigerant Leakage'!$B$2:$B$42,0)))),"")</f>
        <v/>
      </c>
      <c r="CW156" s="135" t="str">
        <f>IF($I156&lt;&gt;"",IF(S156="User Specified",V156,INDEX('Refrigerant GWPs'!$G$2:$G$156,MATCH(S156,'Refrigerant GWPs'!$A$2:$A$157,0))),"")</f>
        <v/>
      </c>
      <c r="CX156" s="138" t="str">
        <f>IF($I156&lt;&gt;"",INDEX('Device Refrigerant Leakage'!$E$2:$E$42,MATCH($Q156,'Device Refrigerant Leakage'!$B$2:$B$42,0)),"")</f>
        <v/>
      </c>
      <c r="CY156" s="138" t="str">
        <f>IF($I156&lt;&gt;"",INDEX('Device Refrigerant Leakage'!$F$2:$F$42,MATCH($Q156,'Device Refrigerant Leakage'!$B$2:$B$42,0)),"")</f>
        <v/>
      </c>
      <c r="CZ156" s="145" t="str">
        <f>IF($I156&lt;&gt;"",INDEX('Device Refrigerant Leakage'!$G$2:$G$42,MATCH($Q156,'Device Refrigerant Leakage'!$B$2:$B$42,0)),"")</f>
        <v/>
      </c>
      <c r="DA156" s="145" t="str">
        <f>IF($I156&lt;&gt;"",J156*INDEX('Device Refrigerant Leakage'!$D$2:$D$42,MATCH($Q156,'Device Refrigerant Leakage'!$B$2:$B$42,0))*CX156/2204.62*CW156,"")</f>
        <v/>
      </c>
      <c r="DB156" s="145" t="str">
        <f>IF($I156&lt;&gt;"",J156*(INDEX('Device Refrigerant Leakage'!$D$2:$D$42,MATCH($Q156,'Device Refrigerant Leakage'!$B$2:$B$42,0))-(INDEX('Device Refrigerant Leakage'!$D$2:$D$42,MATCH($Q156,'Device Refrigerant Leakage'!$B$2:$B$42,0)))*CZ156*CX156)*CY156/2204.62*CW156,"")</f>
        <v/>
      </c>
      <c r="DC156" s="135" t="str">
        <f t="shared" si="244"/>
        <v/>
      </c>
      <c r="DE156" s="146" t="str">
        <f>IF(W156&lt;&gt;"AR","",IF(Y156="User Specified", AA156, INDEX('Refrigerant GWPs'!$G$2:$G$154,MATCH(Y156,'Refrigerant GWPs'!$A$2:$A$154,0))))</f>
        <v/>
      </c>
      <c r="DF156" s="146" t="str">
        <f>IF(W156&lt;&gt;"AR","",INDEX('Device Refrigerant Leakage'!$E$2:$E$42,MATCH(X156,'Device Refrigerant Leakage'!$B$2:$B$42,0)))</f>
        <v/>
      </c>
      <c r="DG156" s="146" t="str">
        <f>IF(W156&lt;&gt;"AR","",INDEX('Device Refrigerant Leakage'!$F$2:$F$42,MATCH(X156,'Device Refrigerant Leakage'!$B$2:$B$42,0)))</f>
        <v/>
      </c>
      <c r="DH156" s="146" t="str">
        <f>IF(W156&lt;&gt;"AR","",INDEX('Device Refrigerant Leakage'!$G$2:$G$42,MATCH(X156,'Device Refrigerant Leakage'!$B$2:$B$42,0)))</f>
        <v/>
      </c>
      <c r="DI156" s="146" t="str">
        <f>IF(W156&lt;&gt;"AR","",J156*INDEX('Device Refrigerant Leakage'!$D$2:$D$42,MATCH(X156,'Device Refrigerant Leakage'!$B$2:$B$42,0))*DF156/2204.62*DE156)</f>
        <v/>
      </c>
      <c r="DJ156" s="146" t="str">
        <f>IF(W156&lt;&gt;"AR","",J156*(INDEX('Device Refrigerant Leakage'!$D$2:$D$42,MATCH(X156,'Device Refrigerant Leakage'!$B$2:$B$42,0))-(INDEX('Device Refrigerant Leakage'!$D$2:$D$42,MATCH(X156,'Device Refrigerant Leakage'!$B$2:$B$42,0)))*DH156*DF156)*DG156/2204.62*DE156)</f>
        <v/>
      </c>
      <c r="DK156" s="146" t="str">
        <f>IF(W156&lt;&gt;"AR","",DI156*(K156-AB156)+'Fuel Sub Calcs-Deemed'!DJ156*((K156-AB156)/INDEX('Device Refrigerant Leakage'!$C$2:$C$42,MATCH('Fuel Sub Calcs-Deemed'!X156,'Device Refrigerant Leakage'!$B$2:$B$42,0))))</f>
        <v/>
      </c>
      <c r="DM156" s="56">
        <v>142</v>
      </c>
      <c r="DN156" s="67" t="e">
        <f t="shared" si="224"/>
        <v>#N/A</v>
      </c>
      <c r="DO156" s="45" t="e">
        <f t="shared" si="225"/>
        <v>#N/A</v>
      </c>
      <c r="DP156" s="67" t="e">
        <f t="shared" si="226"/>
        <v>#N/A</v>
      </c>
      <c r="DQ156" s="45" t="e">
        <f t="shared" si="227"/>
        <v>#N/A</v>
      </c>
      <c r="DR156" s="69" t="e">
        <f t="shared" si="228"/>
        <v>#N/A</v>
      </c>
      <c r="DS156" s="34"/>
      <c r="DT156" s="67" t="e">
        <f>((BX156*CJ156)+IF($W156=MAT_AR,(BZ156*CL156),0))*(1+Reference!$E$50+Reference!$E$51)</f>
        <v>#N/A</v>
      </c>
      <c r="DU156" s="67">
        <f>((BY156*CK156)+IF($W156=MAT_AR,(CA156*CM156),0))*(1+Reference!$G$50+Reference!$G$51)</f>
        <v>0</v>
      </c>
      <c r="DV156" s="67" t="e">
        <f t="shared" si="229"/>
        <v>#VALUE!</v>
      </c>
      <c r="DX156" s="56">
        <v>142</v>
      </c>
      <c r="DY156" s="67">
        <f t="shared" si="230"/>
        <v>0</v>
      </c>
      <c r="DZ156" s="45" t="e">
        <f>VLOOKUP($R156,Dropdown!$C$3:$D$4,2,FALSE)</f>
        <v>#N/A</v>
      </c>
      <c r="EA156" s="68">
        <f t="shared" si="231"/>
        <v>0</v>
      </c>
      <c r="EB156" s="68" t="str">
        <f t="shared" si="232"/>
        <v>N/A</v>
      </c>
      <c r="EC156" s="68">
        <f t="shared" si="233"/>
        <v>0</v>
      </c>
      <c r="ED156" s="68" t="str">
        <f t="shared" si="234"/>
        <v>N/A</v>
      </c>
      <c r="EF156" s="56">
        <v>142</v>
      </c>
      <c r="EG156" s="46">
        <f t="shared" si="235"/>
        <v>0</v>
      </c>
      <c r="EH156" s="68" t="e">
        <f t="shared" si="236"/>
        <v>#N/A</v>
      </c>
      <c r="EI156" s="68" t="e">
        <f t="shared" si="237"/>
        <v>#N/A</v>
      </c>
      <c r="EJ156" s="68" t="e">
        <f t="shared" si="238"/>
        <v>#N/A</v>
      </c>
      <c r="EK156" s="68" t="e">
        <f t="shared" si="239"/>
        <v>#N/A</v>
      </c>
      <c r="EL156" s="46">
        <f t="shared" si="240"/>
        <v>0</v>
      </c>
      <c r="EM156" s="46">
        <f t="shared" si="241"/>
        <v>0</v>
      </c>
    </row>
    <row r="157" spans="1:143">
      <c r="A157" s="89"/>
      <c r="B157" s="89"/>
      <c r="C157" s="89"/>
      <c r="D157" s="89"/>
      <c r="E157" s="89"/>
      <c r="F157" s="89"/>
      <c r="G157" s="34"/>
      <c r="H157" s="56">
        <f t="shared" si="242"/>
        <v>143</v>
      </c>
      <c r="I157" s="165"/>
      <c r="J157" s="163"/>
      <c r="K157" s="163"/>
      <c r="L157" s="164"/>
      <c r="M157" s="155"/>
      <c r="N157" s="155"/>
      <c r="O157" s="144"/>
      <c r="P157" s="159" t="str">
        <f>IFERROR(IF(O157&lt;&gt;"User Specified",IF(O157&lt;&gt;"", INDEX('Refrigerant GWPs'!$G$2:$G$154,MATCH(O157,'Refrigerant GWPs'!$A$2:$A$154,0)),""),U157),0)</f>
        <v/>
      </c>
      <c r="Q157" s="155"/>
      <c r="R157" s="155"/>
      <c r="S157" s="144"/>
      <c r="T157" s="159" t="str">
        <f>IF(S157&lt;&gt;"User Specified",IF(AND(S157&lt;&gt;"User Specified",S157&lt;&gt;""), INDEX('Refrigerant GWPs'!$G$2:$G$154,MATCH(S157,'Refrigerant GWPs'!$A$2:$A$154,0)),""),V157)</f>
        <v/>
      </c>
      <c r="U157" s="144"/>
      <c r="V157" s="144"/>
      <c r="W157" s="155"/>
      <c r="X157" s="155"/>
      <c r="Y157" s="144"/>
      <c r="Z157" s="159" t="str">
        <f>IF(AND(Y157&lt;&gt;"User Specified",Y157&lt;&gt;""), INDEX('Refrigerant GWPs'!$G$2:$G$154,MATCH(Y157,'Refrigerant GWPs'!$A$2:$A$154,0)),"")</f>
        <v/>
      </c>
      <c r="AA157" s="155"/>
      <c r="AB157" s="156"/>
      <c r="AC157" s="66"/>
      <c r="AD157" s="66"/>
      <c r="AE157" s="66"/>
      <c r="AF157" s="66"/>
      <c r="AG157" s="66"/>
      <c r="AH157" s="66"/>
      <c r="AI157" s="34"/>
      <c r="AJ157" s="88">
        <f t="shared" si="200"/>
        <v>0</v>
      </c>
      <c r="AK157" s="88">
        <f t="shared" si="201"/>
        <v>0</v>
      </c>
      <c r="AL157" s="88">
        <v>0</v>
      </c>
      <c r="AM157" s="88">
        <v>0</v>
      </c>
      <c r="AN157" s="81" t="str">
        <f t="shared" si="243"/>
        <v/>
      </c>
      <c r="AO157" s="88">
        <f t="shared" si="202"/>
        <v>0</v>
      </c>
      <c r="AP157" s="88">
        <f t="shared" si="203"/>
        <v>0</v>
      </c>
      <c r="AQ157" s="81" t="str">
        <f t="shared" si="204"/>
        <v/>
      </c>
      <c r="AS157" s="41" t="b">
        <f t="shared" si="205"/>
        <v>1</v>
      </c>
      <c r="AT157" s="38">
        <f t="shared" si="206"/>
        <v>0</v>
      </c>
      <c r="AU157" s="60">
        <f t="shared" si="207"/>
        <v>0</v>
      </c>
      <c r="AV157" s="41">
        <f t="shared" si="208"/>
        <v>0</v>
      </c>
      <c r="AW157" s="41" t="b">
        <f t="shared" si="209"/>
        <v>0</v>
      </c>
      <c r="AX157" t="str">
        <f t="shared" si="210"/>
        <v>+00</v>
      </c>
      <c r="AY157" t="str">
        <f t="shared" si="211"/>
        <v>+00</v>
      </c>
      <c r="BA157" s="47" t="b">
        <f t="shared" si="164"/>
        <v>1</v>
      </c>
      <c r="BB157" s="42" t="b">
        <f t="shared" si="165"/>
        <v>1</v>
      </c>
      <c r="BC157" s="42" t="b">
        <f t="shared" si="166"/>
        <v>0</v>
      </c>
      <c r="BD157" s="42" t="b">
        <f t="shared" si="167"/>
        <v>0</v>
      </c>
      <c r="BE157" s="70">
        <f t="shared" si="168"/>
        <v>0</v>
      </c>
      <c r="BF157" s="70">
        <f t="shared" si="169"/>
        <v>0</v>
      </c>
      <c r="BG157" s="34"/>
      <c r="BI157" s="47" t="b">
        <f t="shared" si="170"/>
        <v>1</v>
      </c>
      <c r="BJ157" s="47" t="b">
        <f t="shared" si="171"/>
        <v>1</v>
      </c>
      <c r="BK157" s="42" t="b">
        <f t="shared" si="172"/>
        <v>0</v>
      </c>
      <c r="BL157" s="42" t="b">
        <f t="shared" si="173"/>
        <v>0</v>
      </c>
      <c r="BM157" s="42">
        <f t="shared" si="174"/>
        <v>0</v>
      </c>
      <c r="BN157" s="42">
        <f t="shared" si="175"/>
        <v>0</v>
      </c>
      <c r="BP157" t="e">
        <f t="shared" si="176"/>
        <v>#N/A</v>
      </c>
      <c r="BQ157" t="e">
        <f t="shared" si="177"/>
        <v>#N/A</v>
      </c>
      <c r="BR157" t="e">
        <f t="shared" si="178"/>
        <v>#N/A</v>
      </c>
      <c r="BT157" s="60">
        <f t="shared" si="212"/>
        <v>0</v>
      </c>
      <c r="BU157" s="60">
        <f t="shared" si="213"/>
        <v>0</v>
      </c>
      <c r="BV157" s="60">
        <f t="shared" si="214"/>
        <v>0</v>
      </c>
      <c r="BW157" s="60">
        <f t="shared" si="215"/>
        <v>0</v>
      </c>
      <c r="BX157" s="60">
        <f t="shared" si="179"/>
        <v>0</v>
      </c>
      <c r="BY157" s="60">
        <f t="shared" si="180"/>
        <v>0</v>
      </c>
      <c r="BZ157" s="60">
        <f t="shared" si="181"/>
        <v>0</v>
      </c>
      <c r="CA157" s="60">
        <f t="shared" si="182"/>
        <v>0</v>
      </c>
      <c r="CB157" s="60" t="e">
        <f t="shared" si="216"/>
        <v>#N/A</v>
      </c>
      <c r="CC157" s="60">
        <f t="shared" si="217"/>
        <v>100000</v>
      </c>
      <c r="CD157" s="60" t="e">
        <f t="shared" si="218"/>
        <v>#N/A</v>
      </c>
      <c r="CE157" s="60">
        <f t="shared" si="219"/>
        <v>100000</v>
      </c>
      <c r="CF157" s="83" t="e">
        <f t="shared" si="183"/>
        <v>#N/A</v>
      </c>
      <c r="CG157" s="83">
        <f t="shared" si="184"/>
        <v>0</v>
      </c>
      <c r="CH157" s="83" t="e">
        <f t="shared" si="185"/>
        <v>#N/A</v>
      </c>
      <c r="CI157" s="83">
        <f t="shared" si="186"/>
        <v>0</v>
      </c>
      <c r="CJ157" s="86" t="e">
        <f t="shared" si="220"/>
        <v>#N/A</v>
      </c>
      <c r="CK157" s="82">
        <f t="shared" si="221"/>
        <v>5.3070370403969858E-3</v>
      </c>
      <c r="CL157" s="82" t="e">
        <f t="shared" si="222"/>
        <v>#N/A</v>
      </c>
      <c r="CM157" s="82">
        <f t="shared" si="223"/>
        <v>5.3070370403969858E-3</v>
      </c>
      <c r="CO157" s="149" t="str">
        <f>IF($I157&lt;&gt;"",IF(O157="User Specified",U157,INDEX('Refrigerant GWPs'!$G$2:$G$156,MATCH(O157,'Refrigerant GWPs'!$A$2:$A$156,0))),"")</f>
        <v/>
      </c>
      <c r="CP157" s="138" t="str">
        <f>IF($I157&lt;&gt;"",INDEX('Device Refrigerant Leakage'!$E$2:$E$42,MATCH($M157,'Device Refrigerant Leakage'!$B$2:$B$42,0)),"")</f>
        <v/>
      </c>
      <c r="CQ157" s="138" t="str">
        <f>IF($I157&lt;&gt;"",INDEX('Device Refrigerant Leakage'!$F$2:$F$42,MATCH($M157,'Device Refrigerant Leakage'!$B$2:$B$42,0)),"")</f>
        <v/>
      </c>
      <c r="CR157" s="145" t="str">
        <f>IF($I157&lt;&gt;"",INDEX('Device Refrigerant Leakage'!$G$2:$G$42,MATCH($M157,'Device Refrigerant Leakage'!$B$2:$B$42,0)),"")</f>
        <v/>
      </c>
      <c r="CS157" s="145" t="str">
        <f>IF($I157&lt;&gt;"",INDEX('Device Refrigerant Leakage'!$D$2:$D$42,MATCH($M157,'Device Refrigerant Leakage'!$B$2:$B$42,0))*CP157/2204.62*CO157,"")</f>
        <v/>
      </c>
      <c r="CT157" s="145" t="str">
        <f>IF($I157&lt;&gt;"",J157*(INDEX('Device Refrigerant Leakage'!$D$2:$D$42,MATCH($M157,'Device Refrigerant Leakage'!$B$2:$B$42,0))-(INDEX('Device Refrigerant Leakage'!$D$2:$D$42,MATCH($M157,'Device Refrigerant Leakage'!$B$2:$B$42,0)))*CR157*CP157)*CQ157/2204.62*CO157,"")</f>
        <v/>
      </c>
      <c r="CU157" s="135" t="str">
        <f>IF($I157&lt;&gt;"",J157*IF(W157&lt;&gt;"AR",(CS157*K157)+CT157,(CS157*AB157)+CT157*(AB157/INDEX('Device Refrigerant Leakage'!$C$2:$C$42,MATCH($M157,'Device Refrigerant Leakage'!$B$2:$B$42,0)))),"")</f>
        <v/>
      </c>
      <c r="CW157" s="135" t="str">
        <f>IF($I157&lt;&gt;"",IF(S157="User Specified",V157,INDEX('Refrigerant GWPs'!$G$2:$G$156,MATCH(S157,'Refrigerant GWPs'!$A$2:$A$157,0))),"")</f>
        <v/>
      </c>
      <c r="CX157" s="138" t="str">
        <f>IF($I157&lt;&gt;"",INDEX('Device Refrigerant Leakage'!$E$2:$E$42,MATCH($Q157,'Device Refrigerant Leakage'!$B$2:$B$42,0)),"")</f>
        <v/>
      </c>
      <c r="CY157" s="138" t="str">
        <f>IF($I157&lt;&gt;"",INDEX('Device Refrigerant Leakage'!$F$2:$F$42,MATCH($Q157,'Device Refrigerant Leakage'!$B$2:$B$42,0)),"")</f>
        <v/>
      </c>
      <c r="CZ157" s="145" t="str">
        <f>IF($I157&lt;&gt;"",INDEX('Device Refrigerant Leakage'!$G$2:$G$42,MATCH($Q157,'Device Refrigerant Leakage'!$B$2:$B$42,0)),"")</f>
        <v/>
      </c>
      <c r="DA157" s="145" t="str">
        <f>IF($I157&lt;&gt;"",J157*INDEX('Device Refrigerant Leakage'!$D$2:$D$42,MATCH($Q157,'Device Refrigerant Leakage'!$B$2:$B$42,0))*CX157/2204.62*CW157,"")</f>
        <v/>
      </c>
      <c r="DB157" s="145" t="str">
        <f>IF($I157&lt;&gt;"",J157*(INDEX('Device Refrigerant Leakage'!$D$2:$D$42,MATCH($Q157,'Device Refrigerant Leakage'!$B$2:$B$42,0))-(INDEX('Device Refrigerant Leakage'!$D$2:$D$42,MATCH($Q157,'Device Refrigerant Leakage'!$B$2:$B$42,0)))*CZ157*CX157)*CY157/2204.62*CW157,"")</f>
        <v/>
      </c>
      <c r="DC157" s="135" t="str">
        <f t="shared" si="244"/>
        <v/>
      </c>
      <c r="DE157" s="146" t="str">
        <f>IF(W157&lt;&gt;"AR","",IF(Y157="User Specified", AA157, INDEX('Refrigerant GWPs'!$G$2:$G$154,MATCH(Y157,'Refrigerant GWPs'!$A$2:$A$154,0))))</f>
        <v/>
      </c>
      <c r="DF157" s="146" t="str">
        <f>IF(W157&lt;&gt;"AR","",INDEX('Device Refrigerant Leakage'!$E$2:$E$42,MATCH(X157,'Device Refrigerant Leakage'!$B$2:$B$42,0)))</f>
        <v/>
      </c>
      <c r="DG157" s="146" t="str">
        <f>IF(W157&lt;&gt;"AR","",INDEX('Device Refrigerant Leakage'!$F$2:$F$42,MATCH(X157,'Device Refrigerant Leakage'!$B$2:$B$42,0)))</f>
        <v/>
      </c>
      <c r="DH157" s="146" t="str">
        <f>IF(W157&lt;&gt;"AR","",INDEX('Device Refrigerant Leakage'!$G$2:$G$42,MATCH(X157,'Device Refrigerant Leakage'!$B$2:$B$42,0)))</f>
        <v/>
      </c>
      <c r="DI157" s="146" t="str">
        <f>IF(W157&lt;&gt;"AR","",J157*INDEX('Device Refrigerant Leakage'!$D$2:$D$42,MATCH(X157,'Device Refrigerant Leakage'!$B$2:$B$42,0))*DF157/2204.62*DE157)</f>
        <v/>
      </c>
      <c r="DJ157" s="146" t="str">
        <f>IF(W157&lt;&gt;"AR","",J157*(INDEX('Device Refrigerant Leakage'!$D$2:$D$42,MATCH(X157,'Device Refrigerant Leakage'!$B$2:$B$42,0))-(INDEX('Device Refrigerant Leakage'!$D$2:$D$42,MATCH(X157,'Device Refrigerant Leakage'!$B$2:$B$42,0)))*DH157*DF157)*DG157/2204.62*DE157)</f>
        <v/>
      </c>
      <c r="DK157" s="146" t="str">
        <f>IF(W157&lt;&gt;"AR","",DI157*(K157-AB157)+'Fuel Sub Calcs-Deemed'!DJ157*((K157-AB157)/INDEX('Device Refrigerant Leakage'!$C$2:$C$42,MATCH('Fuel Sub Calcs-Deemed'!X157,'Device Refrigerant Leakage'!$B$2:$B$42,0))))</f>
        <v/>
      </c>
      <c r="DM157" s="56">
        <v>143</v>
      </c>
      <c r="DN157" s="67" t="e">
        <f t="shared" si="224"/>
        <v>#N/A</v>
      </c>
      <c r="DO157" s="45" t="e">
        <f t="shared" si="225"/>
        <v>#N/A</v>
      </c>
      <c r="DP157" s="67" t="e">
        <f t="shared" si="226"/>
        <v>#N/A</v>
      </c>
      <c r="DQ157" s="45" t="e">
        <f t="shared" si="227"/>
        <v>#N/A</v>
      </c>
      <c r="DR157" s="69" t="e">
        <f t="shared" si="228"/>
        <v>#N/A</v>
      </c>
      <c r="DS157" s="34"/>
      <c r="DT157" s="67" t="e">
        <f>((BX157*CJ157)+IF($W157=MAT_AR,(BZ157*CL157),0))*(1+Reference!$E$50+Reference!$E$51)</f>
        <v>#N/A</v>
      </c>
      <c r="DU157" s="67">
        <f>((BY157*CK157)+IF($W157=MAT_AR,(CA157*CM157),0))*(1+Reference!$G$50+Reference!$G$51)</f>
        <v>0</v>
      </c>
      <c r="DV157" s="67" t="e">
        <f t="shared" si="229"/>
        <v>#VALUE!</v>
      </c>
      <c r="DX157" s="56">
        <v>143</v>
      </c>
      <c r="DY157" s="67">
        <f t="shared" si="230"/>
        <v>0</v>
      </c>
      <c r="DZ157" s="45" t="e">
        <f>VLOOKUP($R157,Dropdown!$C$3:$D$4,2,FALSE)</f>
        <v>#N/A</v>
      </c>
      <c r="EA157" s="68">
        <f t="shared" si="231"/>
        <v>0</v>
      </c>
      <c r="EB157" s="68" t="str">
        <f t="shared" si="232"/>
        <v>N/A</v>
      </c>
      <c r="EC157" s="68">
        <f t="shared" si="233"/>
        <v>0</v>
      </c>
      <c r="ED157" s="68" t="str">
        <f t="shared" si="234"/>
        <v>N/A</v>
      </c>
      <c r="EF157" s="56">
        <v>143</v>
      </c>
      <c r="EG157" s="46">
        <f t="shared" si="235"/>
        <v>0</v>
      </c>
      <c r="EH157" s="68" t="e">
        <f t="shared" si="236"/>
        <v>#N/A</v>
      </c>
      <c r="EI157" s="68" t="e">
        <f t="shared" si="237"/>
        <v>#N/A</v>
      </c>
      <c r="EJ157" s="68" t="e">
        <f t="shared" si="238"/>
        <v>#N/A</v>
      </c>
      <c r="EK157" s="68" t="e">
        <f t="shared" si="239"/>
        <v>#N/A</v>
      </c>
      <c r="EL157" s="46">
        <f t="shared" si="240"/>
        <v>0</v>
      </c>
      <c r="EM157" s="46">
        <f t="shared" si="241"/>
        <v>0</v>
      </c>
    </row>
    <row r="158" spans="1:143">
      <c r="A158" s="89"/>
      <c r="B158" s="89"/>
      <c r="C158" s="89"/>
      <c r="D158" s="89"/>
      <c r="E158" s="89"/>
      <c r="F158" s="89"/>
      <c r="G158" s="34"/>
      <c r="H158" s="56">
        <f t="shared" si="242"/>
        <v>144</v>
      </c>
      <c r="I158" s="165"/>
      <c r="J158" s="163"/>
      <c r="K158" s="163"/>
      <c r="L158" s="164"/>
      <c r="M158" s="155"/>
      <c r="N158" s="155"/>
      <c r="O158" s="144"/>
      <c r="P158" s="159" t="str">
        <f>IFERROR(IF(O158&lt;&gt;"User Specified",IF(O158&lt;&gt;"", INDEX('Refrigerant GWPs'!$G$2:$G$154,MATCH(O158,'Refrigerant GWPs'!$A$2:$A$154,0)),""),U158),0)</f>
        <v/>
      </c>
      <c r="Q158" s="155"/>
      <c r="R158" s="155"/>
      <c r="S158" s="144"/>
      <c r="T158" s="159" t="str">
        <f>IF(S158&lt;&gt;"User Specified",IF(AND(S158&lt;&gt;"User Specified",S158&lt;&gt;""), INDEX('Refrigerant GWPs'!$G$2:$G$154,MATCH(S158,'Refrigerant GWPs'!$A$2:$A$154,0)),""),V158)</f>
        <v/>
      </c>
      <c r="U158" s="144"/>
      <c r="V158" s="144"/>
      <c r="W158" s="155"/>
      <c r="X158" s="155"/>
      <c r="Y158" s="144"/>
      <c r="Z158" s="159" t="str">
        <f>IF(AND(Y158&lt;&gt;"User Specified",Y158&lt;&gt;""), INDEX('Refrigerant GWPs'!$G$2:$G$154,MATCH(Y158,'Refrigerant GWPs'!$A$2:$A$154,0)),"")</f>
        <v/>
      </c>
      <c r="AA158" s="155"/>
      <c r="AB158" s="156"/>
      <c r="AC158" s="66"/>
      <c r="AD158" s="66"/>
      <c r="AE158" s="66"/>
      <c r="AF158" s="66"/>
      <c r="AG158" s="66"/>
      <c r="AH158" s="66"/>
      <c r="AI158" s="34"/>
      <c r="AJ158" s="88">
        <f t="shared" si="200"/>
        <v>0</v>
      </c>
      <c r="AK158" s="88">
        <f t="shared" si="201"/>
        <v>0</v>
      </c>
      <c r="AL158" s="88">
        <v>0</v>
      </c>
      <c r="AM158" s="88">
        <v>0</v>
      </c>
      <c r="AN158" s="81" t="str">
        <f t="shared" si="243"/>
        <v/>
      </c>
      <c r="AO158" s="88">
        <f t="shared" si="202"/>
        <v>0</v>
      </c>
      <c r="AP158" s="88">
        <f t="shared" si="203"/>
        <v>0</v>
      </c>
      <c r="AQ158" s="81" t="str">
        <f t="shared" si="204"/>
        <v/>
      </c>
      <c r="AS158" s="41" t="b">
        <f t="shared" si="205"/>
        <v>1</v>
      </c>
      <c r="AT158" s="38">
        <f t="shared" si="206"/>
        <v>0</v>
      </c>
      <c r="AU158" s="60">
        <f t="shared" si="207"/>
        <v>0</v>
      </c>
      <c r="AV158" s="41">
        <f t="shared" si="208"/>
        <v>0</v>
      </c>
      <c r="AW158" s="41" t="b">
        <f t="shared" si="209"/>
        <v>0</v>
      </c>
      <c r="AX158" t="str">
        <f t="shared" si="210"/>
        <v>+00</v>
      </c>
      <c r="AY158" t="str">
        <f t="shared" si="211"/>
        <v>+00</v>
      </c>
      <c r="BA158" s="47" t="b">
        <f t="shared" si="164"/>
        <v>1</v>
      </c>
      <c r="BB158" s="42" t="b">
        <f t="shared" si="165"/>
        <v>1</v>
      </c>
      <c r="BC158" s="42" t="b">
        <f t="shared" si="166"/>
        <v>0</v>
      </c>
      <c r="BD158" s="42" t="b">
        <f t="shared" si="167"/>
        <v>0</v>
      </c>
      <c r="BE158" s="70">
        <f t="shared" si="168"/>
        <v>0</v>
      </c>
      <c r="BF158" s="70">
        <f t="shared" si="169"/>
        <v>0</v>
      </c>
      <c r="BG158" s="34"/>
      <c r="BI158" s="47" t="b">
        <f t="shared" si="170"/>
        <v>1</v>
      </c>
      <c r="BJ158" s="47" t="b">
        <f t="shared" si="171"/>
        <v>1</v>
      </c>
      <c r="BK158" s="42" t="b">
        <f t="shared" si="172"/>
        <v>0</v>
      </c>
      <c r="BL158" s="42" t="b">
        <f t="shared" si="173"/>
        <v>0</v>
      </c>
      <c r="BM158" s="42">
        <f t="shared" si="174"/>
        <v>0</v>
      </c>
      <c r="BN158" s="42">
        <f t="shared" si="175"/>
        <v>0</v>
      </c>
      <c r="BP158" t="e">
        <f t="shared" si="176"/>
        <v>#N/A</v>
      </c>
      <c r="BQ158" t="e">
        <f t="shared" si="177"/>
        <v>#N/A</v>
      </c>
      <c r="BR158" t="e">
        <f t="shared" si="178"/>
        <v>#N/A</v>
      </c>
      <c r="BT158" s="60">
        <f t="shared" si="212"/>
        <v>0</v>
      </c>
      <c r="BU158" s="60">
        <f t="shared" si="213"/>
        <v>0</v>
      </c>
      <c r="BV158" s="60">
        <f t="shared" si="214"/>
        <v>0</v>
      </c>
      <c r="BW158" s="60">
        <f t="shared" si="215"/>
        <v>0</v>
      </c>
      <c r="BX158" s="60">
        <f t="shared" si="179"/>
        <v>0</v>
      </c>
      <c r="BY158" s="60">
        <f t="shared" si="180"/>
        <v>0</v>
      </c>
      <c r="BZ158" s="60">
        <f t="shared" si="181"/>
        <v>0</v>
      </c>
      <c r="CA158" s="60">
        <f t="shared" si="182"/>
        <v>0</v>
      </c>
      <c r="CB158" s="60" t="e">
        <f t="shared" si="216"/>
        <v>#N/A</v>
      </c>
      <c r="CC158" s="60">
        <f t="shared" si="217"/>
        <v>100000</v>
      </c>
      <c r="CD158" s="60" t="e">
        <f t="shared" si="218"/>
        <v>#N/A</v>
      </c>
      <c r="CE158" s="60">
        <f t="shared" si="219"/>
        <v>100000</v>
      </c>
      <c r="CF158" s="83" t="e">
        <f t="shared" si="183"/>
        <v>#N/A</v>
      </c>
      <c r="CG158" s="83">
        <f t="shared" si="184"/>
        <v>0</v>
      </c>
      <c r="CH158" s="83" t="e">
        <f t="shared" si="185"/>
        <v>#N/A</v>
      </c>
      <c r="CI158" s="83">
        <f t="shared" si="186"/>
        <v>0</v>
      </c>
      <c r="CJ158" s="86" t="e">
        <f t="shared" si="220"/>
        <v>#N/A</v>
      </c>
      <c r="CK158" s="82">
        <f t="shared" si="221"/>
        <v>5.3070370403969858E-3</v>
      </c>
      <c r="CL158" s="82" t="e">
        <f t="shared" si="222"/>
        <v>#N/A</v>
      </c>
      <c r="CM158" s="82">
        <f t="shared" si="223"/>
        <v>5.3070370403969858E-3</v>
      </c>
      <c r="CO158" s="149" t="str">
        <f>IF($I158&lt;&gt;"",IF(O158="User Specified",U158,INDEX('Refrigerant GWPs'!$G$2:$G$156,MATCH(O158,'Refrigerant GWPs'!$A$2:$A$156,0))),"")</f>
        <v/>
      </c>
      <c r="CP158" s="138" t="str">
        <f>IF($I158&lt;&gt;"",INDEX('Device Refrigerant Leakage'!$E$2:$E$42,MATCH($M158,'Device Refrigerant Leakage'!$B$2:$B$42,0)),"")</f>
        <v/>
      </c>
      <c r="CQ158" s="138" t="str">
        <f>IF($I158&lt;&gt;"",INDEX('Device Refrigerant Leakage'!$F$2:$F$42,MATCH($M158,'Device Refrigerant Leakage'!$B$2:$B$42,0)),"")</f>
        <v/>
      </c>
      <c r="CR158" s="145" t="str">
        <f>IF($I158&lt;&gt;"",INDEX('Device Refrigerant Leakage'!$G$2:$G$42,MATCH($M158,'Device Refrigerant Leakage'!$B$2:$B$42,0)),"")</f>
        <v/>
      </c>
      <c r="CS158" s="145" t="str">
        <f>IF($I158&lt;&gt;"",INDEX('Device Refrigerant Leakage'!$D$2:$D$42,MATCH($M158,'Device Refrigerant Leakage'!$B$2:$B$42,0))*CP158/2204.62*CO158,"")</f>
        <v/>
      </c>
      <c r="CT158" s="145" t="str">
        <f>IF($I158&lt;&gt;"",J158*(INDEX('Device Refrigerant Leakage'!$D$2:$D$42,MATCH($M158,'Device Refrigerant Leakage'!$B$2:$B$42,0))-(INDEX('Device Refrigerant Leakage'!$D$2:$D$42,MATCH($M158,'Device Refrigerant Leakage'!$B$2:$B$42,0)))*CR158*CP158)*CQ158/2204.62*CO158,"")</f>
        <v/>
      </c>
      <c r="CU158" s="135" t="str">
        <f>IF($I158&lt;&gt;"",J158*IF(W158&lt;&gt;"AR",(CS158*K158)+CT158,(CS158*AB158)+CT158*(AB158/INDEX('Device Refrigerant Leakage'!$C$2:$C$42,MATCH($M158,'Device Refrigerant Leakage'!$B$2:$B$42,0)))),"")</f>
        <v/>
      </c>
      <c r="CW158" s="135" t="str">
        <f>IF($I158&lt;&gt;"",IF(S158="User Specified",V158,INDEX('Refrigerant GWPs'!$G$2:$G$156,MATCH(S158,'Refrigerant GWPs'!$A$2:$A$157,0))),"")</f>
        <v/>
      </c>
      <c r="CX158" s="138" t="str">
        <f>IF($I158&lt;&gt;"",INDEX('Device Refrigerant Leakage'!$E$2:$E$42,MATCH($Q158,'Device Refrigerant Leakage'!$B$2:$B$42,0)),"")</f>
        <v/>
      </c>
      <c r="CY158" s="138" t="str">
        <f>IF($I158&lt;&gt;"",INDEX('Device Refrigerant Leakage'!$F$2:$F$42,MATCH($Q158,'Device Refrigerant Leakage'!$B$2:$B$42,0)),"")</f>
        <v/>
      </c>
      <c r="CZ158" s="145" t="str">
        <f>IF($I158&lt;&gt;"",INDEX('Device Refrigerant Leakage'!$G$2:$G$42,MATCH($Q158,'Device Refrigerant Leakage'!$B$2:$B$42,0)),"")</f>
        <v/>
      </c>
      <c r="DA158" s="145" t="str">
        <f>IF($I158&lt;&gt;"",J158*INDEX('Device Refrigerant Leakage'!$D$2:$D$42,MATCH($Q158,'Device Refrigerant Leakage'!$B$2:$B$42,0))*CX158/2204.62*CW158,"")</f>
        <v/>
      </c>
      <c r="DB158" s="145" t="str">
        <f>IF($I158&lt;&gt;"",J158*(INDEX('Device Refrigerant Leakage'!$D$2:$D$42,MATCH($Q158,'Device Refrigerant Leakage'!$B$2:$B$42,0))-(INDEX('Device Refrigerant Leakage'!$D$2:$D$42,MATCH($Q158,'Device Refrigerant Leakage'!$B$2:$B$42,0)))*CZ158*CX158)*CY158/2204.62*CW158,"")</f>
        <v/>
      </c>
      <c r="DC158" s="135" t="str">
        <f t="shared" si="244"/>
        <v/>
      </c>
      <c r="DE158" s="146" t="str">
        <f>IF(W158&lt;&gt;"AR","",IF(Y158="User Specified", AA158, INDEX('Refrigerant GWPs'!$G$2:$G$154,MATCH(Y158,'Refrigerant GWPs'!$A$2:$A$154,0))))</f>
        <v/>
      </c>
      <c r="DF158" s="146" t="str">
        <f>IF(W158&lt;&gt;"AR","",INDEX('Device Refrigerant Leakage'!$E$2:$E$42,MATCH(X158,'Device Refrigerant Leakage'!$B$2:$B$42,0)))</f>
        <v/>
      </c>
      <c r="DG158" s="146" t="str">
        <f>IF(W158&lt;&gt;"AR","",INDEX('Device Refrigerant Leakage'!$F$2:$F$42,MATCH(X158,'Device Refrigerant Leakage'!$B$2:$B$42,0)))</f>
        <v/>
      </c>
      <c r="DH158" s="146" t="str">
        <f>IF(W158&lt;&gt;"AR","",INDEX('Device Refrigerant Leakage'!$G$2:$G$42,MATCH(X158,'Device Refrigerant Leakage'!$B$2:$B$42,0)))</f>
        <v/>
      </c>
      <c r="DI158" s="146" t="str">
        <f>IF(W158&lt;&gt;"AR","",J158*INDEX('Device Refrigerant Leakage'!$D$2:$D$42,MATCH(X158,'Device Refrigerant Leakage'!$B$2:$B$42,0))*DF158/2204.62*DE158)</f>
        <v/>
      </c>
      <c r="DJ158" s="146" t="str">
        <f>IF(W158&lt;&gt;"AR","",J158*(INDEX('Device Refrigerant Leakage'!$D$2:$D$42,MATCH(X158,'Device Refrigerant Leakage'!$B$2:$B$42,0))-(INDEX('Device Refrigerant Leakage'!$D$2:$D$42,MATCH(X158,'Device Refrigerant Leakage'!$B$2:$B$42,0)))*DH158*DF158)*DG158/2204.62*DE158)</f>
        <v/>
      </c>
      <c r="DK158" s="146" t="str">
        <f>IF(W158&lt;&gt;"AR","",DI158*(K158-AB158)+'Fuel Sub Calcs-Deemed'!DJ158*((K158-AB158)/INDEX('Device Refrigerant Leakage'!$C$2:$C$42,MATCH('Fuel Sub Calcs-Deemed'!X158,'Device Refrigerant Leakage'!$B$2:$B$42,0))))</f>
        <v/>
      </c>
      <c r="DM158" s="56">
        <v>144</v>
      </c>
      <c r="DN158" s="67" t="e">
        <f t="shared" si="224"/>
        <v>#N/A</v>
      </c>
      <c r="DO158" s="45" t="e">
        <f t="shared" si="225"/>
        <v>#N/A</v>
      </c>
      <c r="DP158" s="67" t="e">
        <f t="shared" si="226"/>
        <v>#N/A</v>
      </c>
      <c r="DQ158" s="45" t="e">
        <f t="shared" si="227"/>
        <v>#N/A</v>
      </c>
      <c r="DR158" s="69" t="e">
        <f t="shared" si="228"/>
        <v>#N/A</v>
      </c>
      <c r="DS158" s="34"/>
      <c r="DT158" s="67" t="e">
        <f>((BX158*CJ158)+IF($W158=MAT_AR,(BZ158*CL158),0))*(1+Reference!$E$50+Reference!$E$51)</f>
        <v>#N/A</v>
      </c>
      <c r="DU158" s="67">
        <f>((BY158*CK158)+IF($W158=MAT_AR,(CA158*CM158),0))*(1+Reference!$G$50+Reference!$G$51)</f>
        <v>0</v>
      </c>
      <c r="DV158" s="67" t="e">
        <f t="shared" si="229"/>
        <v>#VALUE!</v>
      </c>
      <c r="DX158" s="56">
        <v>144</v>
      </c>
      <c r="DY158" s="67">
        <f t="shared" si="230"/>
        <v>0</v>
      </c>
      <c r="DZ158" s="45" t="e">
        <f>VLOOKUP($R158,Dropdown!$C$3:$D$4,2,FALSE)</f>
        <v>#N/A</v>
      </c>
      <c r="EA158" s="68">
        <f t="shared" si="231"/>
        <v>0</v>
      </c>
      <c r="EB158" s="68" t="str">
        <f t="shared" si="232"/>
        <v>N/A</v>
      </c>
      <c r="EC158" s="68">
        <f t="shared" si="233"/>
        <v>0</v>
      </c>
      <c r="ED158" s="68" t="str">
        <f t="shared" si="234"/>
        <v>N/A</v>
      </c>
      <c r="EF158" s="56">
        <v>144</v>
      </c>
      <c r="EG158" s="46">
        <f t="shared" si="235"/>
        <v>0</v>
      </c>
      <c r="EH158" s="68" t="e">
        <f t="shared" si="236"/>
        <v>#N/A</v>
      </c>
      <c r="EI158" s="68" t="e">
        <f t="shared" si="237"/>
        <v>#N/A</v>
      </c>
      <c r="EJ158" s="68" t="e">
        <f t="shared" si="238"/>
        <v>#N/A</v>
      </c>
      <c r="EK158" s="68" t="e">
        <f t="shared" si="239"/>
        <v>#N/A</v>
      </c>
      <c r="EL158" s="46">
        <f t="shared" si="240"/>
        <v>0</v>
      </c>
      <c r="EM158" s="46">
        <f t="shared" si="241"/>
        <v>0</v>
      </c>
    </row>
    <row r="159" spans="1:143">
      <c r="A159" s="89"/>
      <c r="B159" s="89"/>
      <c r="C159" s="89"/>
      <c r="D159" s="89"/>
      <c r="E159" s="89"/>
      <c r="F159" s="89"/>
      <c r="G159" s="34"/>
      <c r="H159" s="56">
        <f t="shared" si="242"/>
        <v>145</v>
      </c>
      <c r="I159" s="165"/>
      <c r="J159" s="163"/>
      <c r="K159" s="163"/>
      <c r="L159" s="164"/>
      <c r="M159" s="155"/>
      <c r="N159" s="155"/>
      <c r="O159" s="144"/>
      <c r="P159" s="159" t="str">
        <f>IFERROR(IF(O159&lt;&gt;"User Specified",IF(O159&lt;&gt;"", INDEX('Refrigerant GWPs'!$G$2:$G$154,MATCH(O159,'Refrigerant GWPs'!$A$2:$A$154,0)),""),U159),0)</f>
        <v/>
      </c>
      <c r="Q159" s="155"/>
      <c r="R159" s="155"/>
      <c r="S159" s="144"/>
      <c r="T159" s="159" t="str">
        <f>IF(S159&lt;&gt;"User Specified",IF(AND(S159&lt;&gt;"User Specified",S159&lt;&gt;""), INDEX('Refrigerant GWPs'!$G$2:$G$154,MATCH(S159,'Refrigerant GWPs'!$A$2:$A$154,0)),""),V159)</f>
        <v/>
      </c>
      <c r="U159" s="144"/>
      <c r="V159" s="144"/>
      <c r="W159" s="155"/>
      <c r="X159" s="155"/>
      <c r="Y159" s="144"/>
      <c r="Z159" s="159" t="str">
        <f>IF(AND(Y159&lt;&gt;"User Specified",Y159&lt;&gt;""), INDEX('Refrigerant GWPs'!$G$2:$G$154,MATCH(Y159,'Refrigerant GWPs'!$A$2:$A$154,0)),"")</f>
        <v/>
      </c>
      <c r="AA159" s="155"/>
      <c r="AB159" s="156"/>
      <c r="AC159" s="66"/>
      <c r="AD159" s="66"/>
      <c r="AE159" s="66"/>
      <c r="AF159" s="66"/>
      <c r="AG159" s="66"/>
      <c r="AH159" s="66"/>
      <c r="AI159" s="34"/>
      <c r="AJ159" s="88">
        <f t="shared" si="200"/>
        <v>0</v>
      </c>
      <c r="AK159" s="88">
        <f t="shared" si="201"/>
        <v>0</v>
      </c>
      <c r="AL159" s="88">
        <v>0</v>
      </c>
      <c r="AM159" s="88">
        <v>0</v>
      </c>
      <c r="AN159" s="81" t="str">
        <f t="shared" si="243"/>
        <v/>
      </c>
      <c r="AO159" s="88">
        <f t="shared" si="202"/>
        <v>0</v>
      </c>
      <c r="AP159" s="88">
        <f t="shared" si="203"/>
        <v>0</v>
      </c>
      <c r="AQ159" s="81" t="str">
        <f t="shared" si="204"/>
        <v/>
      </c>
      <c r="AS159" s="41" t="b">
        <f t="shared" si="205"/>
        <v>1</v>
      </c>
      <c r="AT159" s="38">
        <f t="shared" si="206"/>
        <v>0</v>
      </c>
      <c r="AU159" s="60">
        <f t="shared" si="207"/>
        <v>0</v>
      </c>
      <c r="AV159" s="41">
        <f t="shared" si="208"/>
        <v>0</v>
      </c>
      <c r="AW159" s="41" t="b">
        <f t="shared" si="209"/>
        <v>0</v>
      </c>
      <c r="AX159" t="str">
        <f t="shared" si="210"/>
        <v>+00</v>
      </c>
      <c r="AY159" t="str">
        <f t="shared" si="211"/>
        <v>+00</v>
      </c>
      <c r="BA159" s="47" t="b">
        <f t="shared" si="164"/>
        <v>1</v>
      </c>
      <c r="BB159" s="42" t="b">
        <f t="shared" si="165"/>
        <v>1</v>
      </c>
      <c r="BC159" s="42" t="b">
        <f t="shared" si="166"/>
        <v>0</v>
      </c>
      <c r="BD159" s="42" t="b">
        <f t="shared" si="167"/>
        <v>0</v>
      </c>
      <c r="BE159" s="70">
        <f t="shared" si="168"/>
        <v>0</v>
      </c>
      <c r="BF159" s="70">
        <f t="shared" si="169"/>
        <v>0</v>
      </c>
      <c r="BG159" s="34"/>
      <c r="BI159" s="47" t="b">
        <f t="shared" si="170"/>
        <v>1</v>
      </c>
      <c r="BJ159" s="47" t="b">
        <f t="shared" si="171"/>
        <v>1</v>
      </c>
      <c r="BK159" s="42" t="b">
        <f t="shared" si="172"/>
        <v>0</v>
      </c>
      <c r="BL159" s="42" t="b">
        <f t="shared" si="173"/>
        <v>0</v>
      </c>
      <c r="BM159" s="42">
        <f t="shared" si="174"/>
        <v>0</v>
      </c>
      <c r="BN159" s="42">
        <f t="shared" si="175"/>
        <v>0</v>
      </c>
      <c r="BP159" t="e">
        <f t="shared" si="176"/>
        <v>#N/A</v>
      </c>
      <c r="BQ159" t="e">
        <f t="shared" si="177"/>
        <v>#N/A</v>
      </c>
      <c r="BR159" t="e">
        <f t="shared" si="178"/>
        <v>#N/A</v>
      </c>
      <c r="BT159" s="60">
        <f t="shared" si="212"/>
        <v>0</v>
      </c>
      <c r="BU159" s="60">
        <f t="shared" si="213"/>
        <v>0</v>
      </c>
      <c r="BV159" s="60">
        <f t="shared" si="214"/>
        <v>0</v>
      </c>
      <c r="BW159" s="60">
        <f t="shared" si="215"/>
        <v>0</v>
      </c>
      <c r="BX159" s="60">
        <f t="shared" si="179"/>
        <v>0</v>
      </c>
      <c r="BY159" s="60">
        <f t="shared" si="180"/>
        <v>0</v>
      </c>
      <c r="BZ159" s="60">
        <f t="shared" si="181"/>
        <v>0</v>
      </c>
      <c r="CA159" s="60">
        <f t="shared" si="182"/>
        <v>0</v>
      </c>
      <c r="CB159" s="60" t="e">
        <f t="shared" si="216"/>
        <v>#N/A</v>
      </c>
      <c r="CC159" s="60">
        <f t="shared" si="217"/>
        <v>100000</v>
      </c>
      <c r="CD159" s="60" t="e">
        <f t="shared" si="218"/>
        <v>#N/A</v>
      </c>
      <c r="CE159" s="60">
        <f t="shared" si="219"/>
        <v>100000</v>
      </c>
      <c r="CF159" s="83" t="e">
        <f t="shared" si="183"/>
        <v>#N/A</v>
      </c>
      <c r="CG159" s="83">
        <f t="shared" si="184"/>
        <v>0</v>
      </c>
      <c r="CH159" s="83" t="e">
        <f t="shared" si="185"/>
        <v>#N/A</v>
      </c>
      <c r="CI159" s="83">
        <f t="shared" si="186"/>
        <v>0</v>
      </c>
      <c r="CJ159" s="86" t="e">
        <f t="shared" si="220"/>
        <v>#N/A</v>
      </c>
      <c r="CK159" s="82">
        <f t="shared" si="221"/>
        <v>5.3070370403969858E-3</v>
      </c>
      <c r="CL159" s="82" t="e">
        <f t="shared" si="222"/>
        <v>#N/A</v>
      </c>
      <c r="CM159" s="82">
        <f t="shared" si="223"/>
        <v>5.3070370403969858E-3</v>
      </c>
      <c r="CO159" s="149" t="str">
        <f>IF($I159&lt;&gt;"",IF(O159="User Specified",U159,INDEX('Refrigerant GWPs'!$G$2:$G$156,MATCH(O159,'Refrigerant GWPs'!$A$2:$A$156,0))),"")</f>
        <v/>
      </c>
      <c r="CP159" s="138" t="str">
        <f>IF($I159&lt;&gt;"",INDEX('Device Refrigerant Leakage'!$E$2:$E$42,MATCH($M159,'Device Refrigerant Leakage'!$B$2:$B$42,0)),"")</f>
        <v/>
      </c>
      <c r="CQ159" s="138" t="str">
        <f>IF($I159&lt;&gt;"",INDEX('Device Refrigerant Leakage'!$F$2:$F$42,MATCH($M159,'Device Refrigerant Leakage'!$B$2:$B$42,0)),"")</f>
        <v/>
      </c>
      <c r="CR159" s="145" t="str">
        <f>IF($I159&lt;&gt;"",INDEX('Device Refrigerant Leakage'!$G$2:$G$42,MATCH($M159,'Device Refrigerant Leakage'!$B$2:$B$42,0)),"")</f>
        <v/>
      </c>
      <c r="CS159" s="145" t="str">
        <f>IF($I159&lt;&gt;"",INDEX('Device Refrigerant Leakage'!$D$2:$D$42,MATCH($M159,'Device Refrigerant Leakage'!$B$2:$B$42,0))*CP159/2204.62*CO159,"")</f>
        <v/>
      </c>
      <c r="CT159" s="145" t="str">
        <f>IF($I159&lt;&gt;"",J159*(INDEX('Device Refrigerant Leakage'!$D$2:$D$42,MATCH($M159,'Device Refrigerant Leakage'!$B$2:$B$42,0))-(INDEX('Device Refrigerant Leakage'!$D$2:$D$42,MATCH($M159,'Device Refrigerant Leakage'!$B$2:$B$42,0)))*CR159*CP159)*CQ159/2204.62*CO159,"")</f>
        <v/>
      </c>
      <c r="CU159" s="135" t="str">
        <f>IF($I159&lt;&gt;"",J159*IF(W159&lt;&gt;"AR",(CS159*K159)+CT159,(CS159*AB159)+CT159*(AB159/INDEX('Device Refrigerant Leakage'!$C$2:$C$42,MATCH($M159,'Device Refrigerant Leakage'!$B$2:$B$42,0)))),"")</f>
        <v/>
      </c>
      <c r="CW159" s="135" t="str">
        <f>IF($I159&lt;&gt;"",IF(S159="User Specified",V159,INDEX('Refrigerant GWPs'!$G$2:$G$156,MATCH(S159,'Refrigerant GWPs'!$A$2:$A$157,0))),"")</f>
        <v/>
      </c>
      <c r="CX159" s="138" t="str">
        <f>IF($I159&lt;&gt;"",INDEX('Device Refrigerant Leakage'!$E$2:$E$42,MATCH($Q159,'Device Refrigerant Leakage'!$B$2:$B$42,0)),"")</f>
        <v/>
      </c>
      <c r="CY159" s="138" t="str">
        <f>IF($I159&lt;&gt;"",INDEX('Device Refrigerant Leakage'!$F$2:$F$42,MATCH($Q159,'Device Refrigerant Leakage'!$B$2:$B$42,0)),"")</f>
        <v/>
      </c>
      <c r="CZ159" s="145" t="str">
        <f>IF($I159&lt;&gt;"",INDEX('Device Refrigerant Leakage'!$G$2:$G$42,MATCH($Q159,'Device Refrigerant Leakage'!$B$2:$B$42,0)),"")</f>
        <v/>
      </c>
      <c r="DA159" s="145" t="str">
        <f>IF($I159&lt;&gt;"",J159*INDEX('Device Refrigerant Leakage'!$D$2:$D$42,MATCH($Q159,'Device Refrigerant Leakage'!$B$2:$B$42,0))*CX159/2204.62*CW159,"")</f>
        <v/>
      </c>
      <c r="DB159" s="145" t="str">
        <f>IF($I159&lt;&gt;"",J159*(INDEX('Device Refrigerant Leakage'!$D$2:$D$42,MATCH($Q159,'Device Refrigerant Leakage'!$B$2:$B$42,0))-(INDEX('Device Refrigerant Leakage'!$D$2:$D$42,MATCH($Q159,'Device Refrigerant Leakage'!$B$2:$B$42,0)))*CZ159*CX159)*CY159/2204.62*CW159,"")</f>
        <v/>
      </c>
      <c r="DC159" s="135" t="str">
        <f t="shared" si="244"/>
        <v/>
      </c>
      <c r="DE159" s="146" t="str">
        <f>IF(W159&lt;&gt;"AR","",IF(Y159="User Specified", AA159, INDEX('Refrigerant GWPs'!$G$2:$G$154,MATCH(Y159,'Refrigerant GWPs'!$A$2:$A$154,0))))</f>
        <v/>
      </c>
      <c r="DF159" s="146" t="str">
        <f>IF(W159&lt;&gt;"AR","",INDEX('Device Refrigerant Leakage'!$E$2:$E$42,MATCH(X159,'Device Refrigerant Leakage'!$B$2:$B$42,0)))</f>
        <v/>
      </c>
      <c r="DG159" s="146" t="str">
        <f>IF(W159&lt;&gt;"AR","",INDEX('Device Refrigerant Leakage'!$F$2:$F$42,MATCH(X159,'Device Refrigerant Leakage'!$B$2:$B$42,0)))</f>
        <v/>
      </c>
      <c r="DH159" s="146" t="str">
        <f>IF(W159&lt;&gt;"AR","",INDEX('Device Refrigerant Leakage'!$G$2:$G$42,MATCH(X159,'Device Refrigerant Leakage'!$B$2:$B$42,0)))</f>
        <v/>
      </c>
      <c r="DI159" s="146" t="str">
        <f>IF(W159&lt;&gt;"AR","",J159*INDEX('Device Refrigerant Leakage'!$D$2:$D$42,MATCH(X159,'Device Refrigerant Leakage'!$B$2:$B$42,0))*DF159/2204.62*DE159)</f>
        <v/>
      </c>
      <c r="DJ159" s="146" t="str">
        <f>IF(W159&lt;&gt;"AR","",J159*(INDEX('Device Refrigerant Leakage'!$D$2:$D$42,MATCH(X159,'Device Refrigerant Leakage'!$B$2:$B$42,0))-(INDEX('Device Refrigerant Leakage'!$D$2:$D$42,MATCH(X159,'Device Refrigerant Leakage'!$B$2:$B$42,0)))*DH159*DF159)*DG159/2204.62*DE159)</f>
        <v/>
      </c>
      <c r="DK159" s="146" t="str">
        <f>IF(W159&lt;&gt;"AR","",DI159*(K159-AB159)+'Fuel Sub Calcs-Deemed'!DJ159*((K159-AB159)/INDEX('Device Refrigerant Leakage'!$C$2:$C$42,MATCH('Fuel Sub Calcs-Deemed'!X159,'Device Refrigerant Leakage'!$B$2:$B$42,0))))</f>
        <v/>
      </c>
      <c r="DM159" s="56">
        <v>145</v>
      </c>
      <c r="DN159" s="67" t="e">
        <f t="shared" si="224"/>
        <v>#N/A</v>
      </c>
      <c r="DO159" s="45" t="e">
        <f t="shared" si="225"/>
        <v>#N/A</v>
      </c>
      <c r="DP159" s="67" t="e">
        <f t="shared" si="226"/>
        <v>#N/A</v>
      </c>
      <c r="DQ159" s="45" t="e">
        <f t="shared" si="227"/>
        <v>#N/A</v>
      </c>
      <c r="DR159" s="69" t="e">
        <f t="shared" si="228"/>
        <v>#N/A</v>
      </c>
      <c r="DS159" s="34"/>
      <c r="DT159" s="67" t="e">
        <f>((BX159*CJ159)+IF($W159=MAT_AR,(BZ159*CL159),0))*(1+Reference!$E$50+Reference!$E$51)</f>
        <v>#N/A</v>
      </c>
      <c r="DU159" s="67">
        <f>((BY159*CK159)+IF($W159=MAT_AR,(CA159*CM159),0))*(1+Reference!$G$50+Reference!$G$51)</f>
        <v>0</v>
      </c>
      <c r="DV159" s="67" t="e">
        <f t="shared" si="229"/>
        <v>#VALUE!</v>
      </c>
      <c r="DX159" s="56">
        <v>145</v>
      </c>
      <c r="DY159" s="67">
        <f t="shared" si="230"/>
        <v>0</v>
      </c>
      <c r="DZ159" s="45" t="e">
        <f>VLOOKUP($R159,Dropdown!$C$3:$D$4,2,FALSE)</f>
        <v>#N/A</v>
      </c>
      <c r="EA159" s="68">
        <f t="shared" si="231"/>
        <v>0</v>
      </c>
      <c r="EB159" s="68" t="str">
        <f t="shared" si="232"/>
        <v>N/A</v>
      </c>
      <c r="EC159" s="68">
        <f t="shared" si="233"/>
        <v>0</v>
      </c>
      <c r="ED159" s="68" t="str">
        <f t="shared" si="234"/>
        <v>N/A</v>
      </c>
      <c r="EF159" s="56">
        <v>145</v>
      </c>
      <c r="EG159" s="46">
        <f t="shared" si="235"/>
        <v>0</v>
      </c>
      <c r="EH159" s="68" t="e">
        <f t="shared" si="236"/>
        <v>#N/A</v>
      </c>
      <c r="EI159" s="68" t="e">
        <f t="shared" si="237"/>
        <v>#N/A</v>
      </c>
      <c r="EJ159" s="68" t="e">
        <f t="shared" si="238"/>
        <v>#N/A</v>
      </c>
      <c r="EK159" s="68" t="e">
        <f t="shared" si="239"/>
        <v>#N/A</v>
      </c>
      <c r="EL159" s="46">
        <f t="shared" si="240"/>
        <v>0</v>
      </c>
      <c r="EM159" s="46">
        <f t="shared" si="241"/>
        <v>0</v>
      </c>
    </row>
    <row r="160" spans="1:143">
      <c r="A160" s="89"/>
      <c r="B160" s="89"/>
      <c r="C160" s="89"/>
      <c r="D160" s="89"/>
      <c r="E160" s="89"/>
      <c r="F160" s="89"/>
      <c r="G160" s="34"/>
      <c r="H160" s="56">
        <f t="shared" si="242"/>
        <v>146</v>
      </c>
      <c r="I160" s="165"/>
      <c r="J160" s="163"/>
      <c r="K160" s="163"/>
      <c r="L160" s="164"/>
      <c r="M160" s="155"/>
      <c r="N160" s="155"/>
      <c r="O160" s="144"/>
      <c r="P160" s="159" t="str">
        <f>IFERROR(IF(O160&lt;&gt;"User Specified",IF(O160&lt;&gt;"", INDEX('Refrigerant GWPs'!$G$2:$G$154,MATCH(O160,'Refrigerant GWPs'!$A$2:$A$154,0)),""),U160),0)</f>
        <v/>
      </c>
      <c r="Q160" s="155"/>
      <c r="R160" s="155"/>
      <c r="S160" s="144"/>
      <c r="T160" s="159" t="str">
        <f>IF(S160&lt;&gt;"User Specified",IF(AND(S160&lt;&gt;"User Specified",S160&lt;&gt;""), INDEX('Refrigerant GWPs'!$G$2:$G$154,MATCH(S160,'Refrigerant GWPs'!$A$2:$A$154,0)),""),V160)</f>
        <v/>
      </c>
      <c r="U160" s="144"/>
      <c r="V160" s="144"/>
      <c r="W160" s="155"/>
      <c r="X160" s="155"/>
      <c r="Y160" s="144"/>
      <c r="Z160" s="159" t="str">
        <f>IF(AND(Y160&lt;&gt;"User Specified",Y160&lt;&gt;""), INDEX('Refrigerant GWPs'!$G$2:$G$154,MATCH(Y160,'Refrigerant GWPs'!$A$2:$A$154,0)),"")</f>
        <v/>
      </c>
      <c r="AA160" s="155"/>
      <c r="AB160" s="156"/>
      <c r="AC160" s="66"/>
      <c r="AD160" s="66"/>
      <c r="AE160" s="66"/>
      <c r="AF160" s="66"/>
      <c r="AG160" s="66"/>
      <c r="AH160" s="66"/>
      <c r="AI160" s="34"/>
      <c r="AJ160" s="88">
        <f t="shared" si="200"/>
        <v>0</v>
      </c>
      <c r="AK160" s="88">
        <f t="shared" si="201"/>
        <v>0</v>
      </c>
      <c r="AL160" s="88">
        <v>0</v>
      </c>
      <c r="AM160" s="88">
        <v>0</v>
      </c>
      <c r="AN160" s="81" t="str">
        <f t="shared" si="243"/>
        <v/>
      </c>
      <c r="AO160" s="88">
        <f t="shared" si="202"/>
        <v>0</v>
      </c>
      <c r="AP160" s="88">
        <f t="shared" si="203"/>
        <v>0</v>
      </c>
      <c r="AQ160" s="81" t="str">
        <f t="shared" si="204"/>
        <v/>
      </c>
      <c r="AS160" s="41" t="b">
        <f t="shared" si="205"/>
        <v>1</v>
      </c>
      <c r="AT160" s="38">
        <f t="shared" si="206"/>
        <v>0</v>
      </c>
      <c r="AU160" s="60">
        <f t="shared" si="207"/>
        <v>0</v>
      </c>
      <c r="AV160" s="41">
        <f t="shared" si="208"/>
        <v>0</v>
      </c>
      <c r="AW160" s="41" t="b">
        <f t="shared" si="209"/>
        <v>0</v>
      </c>
      <c r="AX160" t="str">
        <f t="shared" si="210"/>
        <v>+00</v>
      </c>
      <c r="AY160" t="str">
        <f t="shared" si="211"/>
        <v>+00</v>
      </c>
      <c r="BA160" s="47" t="b">
        <f t="shared" ref="BA160:BA200" si="245">NOT(OR(ISBLANK(AJ160),ISBLANK(AL160)))</f>
        <v>1</v>
      </c>
      <c r="BB160" s="42" t="b">
        <f t="shared" ref="BB160:BB200" si="246">NOT(OR(ISBLANK(AK160),ISBLANK(AM160)))</f>
        <v>1</v>
      </c>
      <c r="BC160" s="42" t="b">
        <f t="shared" ref="BC160:BC200" si="247">AND(NOT(BA160))</f>
        <v>0</v>
      </c>
      <c r="BD160" s="42" t="b">
        <f t="shared" ref="BD160:BD200" si="248">AND(NOT(BB160))</f>
        <v>0</v>
      </c>
      <c r="BE160" s="70">
        <f t="shared" ref="BE160:BE200" si="249">AJ160-AL160</f>
        <v>0</v>
      </c>
      <c r="BF160" s="70">
        <f t="shared" ref="BF160:BF200" si="250">AK160-AM160</f>
        <v>0</v>
      </c>
      <c r="BG160" s="34"/>
      <c r="BI160" s="47" t="b">
        <f t="shared" ref="BI160:BI200" si="251">NOT(OR(ISBLANK(AL160),ISBLANK(AO160)))</f>
        <v>1</v>
      </c>
      <c r="BJ160" s="47" t="b">
        <f t="shared" ref="BJ160:BJ200" si="252">NOT(OR(ISBLANK(AM160),ISBLANK(AP160)))</f>
        <v>1</v>
      </c>
      <c r="BK160" s="42" t="b">
        <f t="shared" ref="BK160:BK200" si="253">AND(NOT(BI160))</f>
        <v>0</v>
      </c>
      <c r="BL160" s="42" t="b">
        <f t="shared" ref="BL160:BL200" si="254">AND(NOT(BJ160))</f>
        <v>0</v>
      </c>
      <c r="BM160" s="42">
        <f t="shared" ref="BM160:BM200" si="255">IF(NOT(OR(ISBLANK(AO160),ISBLANK(AL160))),AO160-AL160,0)</f>
        <v>0</v>
      </c>
      <c r="BN160" s="42">
        <f t="shared" ref="BN160:BN200" si="256">IF(NOT(OR(ISBLANK(AP160),ISBLANK(AM160))),AP160-AM160,0)</f>
        <v>0</v>
      </c>
      <c r="BP160" t="e">
        <f t="shared" ref="BP160:BP200" si="257">(DN160&gt;=0)</f>
        <v>#N/A</v>
      </c>
      <c r="BQ160" t="e">
        <f t="shared" ref="BQ160:BQ200" si="258">(DP160&gt;=0)</f>
        <v>#N/A</v>
      </c>
      <c r="BR160" t="e">
        <f t="shared" ref="BR160:BR200" si="259">AND(BP160,BQ160)</f>
        <v>#N/A</v>
      </c>
      <c r="BT160" s="60">
        <f t="shared" si="212"/>
        <v>0</v>
      </c>
      <c r="BU160" s="60">
        <f t="shared" si="213"/>
        <v>0</v>
      </c>
      <c r="BV160" s="60">
        <f t="shared" si="214"/>
        <v>0</v>
      </c>
      <c r="BW160" s="60">
        <f t="shared" si="215"/>
        <v>0</v>
      </c>
      <c r="BX160" s="60">
        <f t="shared" ref="BX160:BX200" si="260">$AT160*BT160</f>
        <v>0</v>
      </c>
      <c r="BY160" s="60">
        <f t="shared" ref="BY160:BY200" si="261">$AT160*BU160</f>
        <v>0</v>
      </c>
      <c r="BZ160" s="60">
        <f t="shared" ref="BZ160:BZ200" si="262">$AU160*BV160</f>
        <v>0</v>
      </c>
      <c r="CA160" s="60">
        <f t="shared" ref="CA160:CA200" si="263">$AU160*BW160</f>
        <v>0</v>
      </c>
      <c r="CB160" s="60" t="e">
        <f t="shared" si="216"/>
        <v>#N/A</v>
      </c>
      <c r="CC160" s="60">
        <f t="shared" si="217"/>
        <v>100000</v>
      </c>
      <c r="CD160" s="60" t="e">
        <f t="shared" si="218"/>
        <v>#N/A</v>
      </c>
      <c r="CE160" s="60">
        <f t="shared" si="219"/>
        <v>100000</v>
      </c>
      <c r="CF160" s="83" t="e">
        <f t="shared" ref="CF160:CF200" si="264">$AT160*CB160/1000000</f>
        <v>#N/A</v>
      </c>
      <c r="CG160" s="83">
        <f t="shared" ref="CG160:CG200" si="265">$AT160*CC160/1000000</f>
        <v>0</v>
      </c>
      <c r="CH160" s="83" t="e">
        <f t="shared" ref="CH160:CH200" si="266">$AU160*CD160/1000000</f>
        <v>#N/A</v>
      </c>
      <c r="CI160" s="83">
        <f t="shared" ref="CI160:CI200" si="267">$AU160*CE160/1000000</f>
        <v>0</v>
      </c>
      <c r="CJ160" s="86" t="e">
        <f t="shared" si="220"/>
        <v>#N/A</v>
      </c>
      <c r="CK160" s="82">
        <f t="shared" si="221"/>
        <v>5.3070370403969858E-3</v>
      </c>
      <c r="CL160" s="82" t="e">
        <f t="shared" si="222"/>
        <v>#N/A</v>
      </c>
      <c r="CM160" s="82">
        <f t="shared" si="223"/>
        <v>5.3070370403969858E-3</v>
      </c>
      <c r="CO160" s="149" t="str">
        <f>IF($I160&lt;&gt;"",IF(O160="User Specified",U160,INDEX('Refrigerant GWPs'!$G$2:$G$156,MATCH(O160,'Refrigerant GWPs'!$A$2:$A$156,0))),"")</f>
        <v/>
      </c>
      <c r="CP160" s="138" t="str">
        <f>IF($I160&lt;&gt;"",INDEX('Device Refrigerant Leakage'!$E$2:$E$42,MATCH($M160,'Device Refrigerant Leakage'!$B$2:$B$42,0)),"")</f>
        <v/>
      </c>
      <c r="CQ160" s="138" t="str">
        <f>IF($I160&lt;&gt;"",INDEX('Device Refrigerant Leakage'!$F$2:$F$42,MATCH($M160,'Device Refrigerant Leakage'!$B$2:$B$42,0)),"")</f>
        <v/>
      </c>
      <c r="CR160" s="145" t="str">
        <f>IF($I160&lt;&gt;"",INDEX('Device Refrigerant Leakage'!$G$2:$G$42,MATCH($M160,'Device Refrigerant Leakage'!$B$2:$B$42,0)),"")</f>
        <v/>
      </c>
      <c r="CS160" s="145" t="str">
        <f>IF($I160&lt;&gt;"",INDEX('Device Refrigerant Leakage'!$D$2:$D$42,MATCH($M160,'Device Refrigerant Leakage'!$B$2:$B$42,0))*CP160/2204.62*CO160,"")</f>
        <v/>
      </c>
      <c r="CT160" s="145" t="str">
        <f>IF($I160&lt;&gt;"",J160*(INDEX('Device Refrigerant Leakage'!$D$2:$D$42,MATCH($M160,'Device Refrigerant Leakage'!$B$2:$B$42,0))-(INDEX('Device Refrigerant Leakage'!$D$2:$D$42,MATCH($M160,'Device Refrigerant Leakage'!$B$2:$B$42,0)))*CR160*CP160)*CQ160/2204.62*CO160,"")</f>
        <v/>
      </c>
      <c r="CU160" s="135" t="str">
        <f>IF($I160&lt;&gt;"",J160*IF(W160&lt;&gt;"AR",(CS160*K160)+CT160,(CS160*AB160)+CT160*(AB160/INDEX('Device Refrigerant Leakage'!$C$2:$C$42,MATCH($M160,'Device Refrigerant Leakage'!$B$2:$B$42,0)))),"")</f>
        <v/>
      </c>
      <c r="CW160" s="135" t="str">
        <f>IF($I160&lt;&gt;"",IF(S160="User Specified",V160,INDEX('Refrigerant GWPs'!$G$2:$G$156,MATCH(S160,'Refrigerant GWPs'!$A$2:$A$157,0))),"")</f>
        <v/>
      </c>
      <c r="CX160" s="138" t="str">
        <f>IF($I160&lt;&gt;"",INDEX('Device Refrigerant Leakage'!$E$2:$E$42,MATCH($Q160,'Device Refrigerant Leakage'!$B$2:$B$42,0)),"")</f>
        <v/>
      </c>
      <c r="CY160" s="138" t="str">
        <f>IF($I160&lt;&gt;"",INDEX('Device Refrigerant Leakage'!$F$2:$F$42,MATCH($Q160,'Device Refrigerant Leakage'!$B$2:$B$42,0)),"")</f>
        <v/>
      </c>
      <c r="CZ160" s="145" t="str">
        <f>IF($I160&lt;&gt;"",INDEX('Device Refrigerant Leakage'!$G$2:$G$42,MATCH($Q160,'Device Refrigerant Leakage'!$B$2:$B$42,0)),"")</f>
        <v/>
      </c>
      <c r="DA160" s="145" t="str">
        <f>IF($I160&lt;&gt;"",J160*INDEX('Device Refrigerant Leakage'!$D$2:$D$42,MATCH($Q160,'Device Refrigerant Leakage'!$B$2:$B$42,0))*CX160/2204.62*CW160,"")</f>
        <v/>
      </c>
      <c r="DB160" s="145" t="str">
        <f>IF($I160&lt;&gt;"",J160*(INDEX('Device Refrigerant Leakage'!$D$2:$D$42,MATCH($Q160,'Device Refrigerant Leakage'!$B$2:$B$42,0))-(INDEX('Device Refrigerant Leakage'!$D$2:$D$42,MATCH($Q160,'Device Refrigerant Leakage'!$B$2:$B$42,0)))*CZ160*CX160)*CY160/2204.62*CW160,"")</f>
        <v/>
      </c>
      <c r="DC160" s="135" t="str">
        <f t="shared" si="244"/>
        <v/>
      </c>
      <c r="DE160" s="146" t="str">
        <f>IF(W160&lt;&gt;"AR","",IF(Y160="User Specified", AA160, INDEX('Refrigerant GWPs'!$G$2:$G$154,MATCH(Y160,'Refrigerant GWPs'!$A$2:$A$154,0))))</f>
        <v/>
      </c>
      <c r="DF160" s="146" t="str">
        <f>IF(W160&lt;&gt;"AR","",INDEX('Device Refrigerant Leakage'!$E$2:$E$42,MATCH(X160,'Device Refrigerant Leakage'!$B$2:$B$42,0)))</f>
        <v/>
      </c>
      <c r="DG160" s="146" t="str">
        <f>IF(W160&lt;&gt;"AR","",INDEX('Device Refrigerant Leakage'!$F$2:$F$42,MATCH(X160,'Device Refrigerant Leakage'!$B$2:$B$42,0)))</f>
        <v/>
      </c>
      <c r="DH160" s="146" t="str">
        <f>IF(W160&lt;&gt;"AR","",INDEX('Device Refrigerant Leakage'!$G$2:$G$42,MATCH(X160,'Device Refrigerant Leakage'!$B$2:$B$42,0)))</f>
        <v/>
      </c>
      <c r="DI160" s="146" t="str">
        <f>IF(W160&lt;&gt;"AR","",J160*INDEX('Device Refrigerant Leakage'!$D$2:$D$42,MATCH(X160,'Device Refrigerant Leakage'!$B$2:$B$42,0))*DF160/2204.62*DE160)</f>
        <v/>
      </c>
      <c r="DJ160" s="146" t="str">
        <f>IF(W160&lt;&gt;"AR","",J160*(INDEX('Device Refrigerant Leakage'!$D$2:$D$42,MATCH(X160,'Device Refrigerant Leakage'!$B$2:$B$42,0))-(INDEX('Device Refrigerant Leakage'!$D$2:$D$42,MATCH(X160,'Device Refrigerant Leakage'!$B$2:$B$42,0)))*DH160*DF160)*DG160/2204.62*DE160)</f>
        <v/>
      </c>
      <c r="DK160" s="146" t="str">
        <f>IF(W160&lt;&gt;"AR","",DI160*(K160-AB160)+'Fuel Sub Calcs-Deemed'!DJ160*((K160-AB160)/INDEX('Device Refrigerant Leakage'!$C$2:$C$42,MATCH('Fuel Sub Calcs-Deemed'!X160,'Device Refrigerant Leakage'!$B$2:$B$42,0))))</f>
        <v/>
      </c>
      <c r="DM160" s="56">
        <v>146</v>
      </c>
      <c r="DN160" s="67" t="e">
        <f t="shared" si="224"/>
        <v>#N/A</v>
      </c>
      <c r="DO160" s="45" t="e">
        <f t="shared" si="225"/>
        <v>#N/A</v>
      </c>
      <c r="DP160" s="67" t="e">
        <f t="shared" si="226"/>
        <v>#N/A</v>
      </c>
      <c r="DQ160" s="45" t="e">
        <f t="shared" si="227"/>
        <v>#N/A</v>
      </c>
      <c r="DR160" s="69" t="e">
        <f t="shared" si="228"/>
        <v>#N/A</v>
      </c>
      <c r="DS160" s="34"/>
      <c r="DT160" s="67" t="e">
        <f>((BX160*CJ160)+IF($W160=MAT_AR,(BZ160*CL160),0))*(1+Reference!$E$50+Reference!$E$51)</f>
        <v>#N/A</v>
      </c>
      <c r="DU160" s="67">
        <f>((BY160*CK160)+IF($W160=MAT_AR,(CA160*CM160),0))*(1+Reference!$G$50+Reference!$G$51)</f>
        <v>0</v>
      </c>
      <c r="DV160" s="67" t="e">
        <f t="shared" si="229"/>
        <v>#VALUE!</v>
      </c>
      <c r="DX160" s="56">
        <v>146</v>
      </c>
      <c r="DY160" s="67">
        <f t="shared" si="230"/>
        <v>0</v>
      </c>
      <c r="DZ160" s="45" t="e">
        <f>VLOOKUP($R160,Dropdown!$C$3:$D$4,2,FALSE)</f>
        <v>#N/A</v>
      </c>
      <c r="EA160" s="68">
        <f t="shared" si="231"/>
        <v>0</v>
      </c>
      <c r="EB160" s="68" t="str">
        <f t="shared" si="232"/>
        <v>N/A</v>
      </c>
      <c r="EC160" s="68">
        <f t="shared" si="233"/>
        <v>0</v>
      </c>
      <c r="ED160" s="68" t="str">
        <f t="shared" si="234"/>
        <v>N/A</v>
      </c>
      <c r="EF160" s="56">
        <v>146</v>
      </c>
      <c r="EG160" s="46">
        <f t="shared" si="235"/>
        <v>0</v>
      </c>
      <c r="EH160" s="68" t="e">
        <f t="shared" si="236"/>
        <v>#N/A</v>
      </c>
      <c r="EI160" s="68" t="e">
        <f t="shared" si="237"/>
        <v>#N/A</v>
      </c>
      <c r="EJ160" s="68" t="e">
        <f t="shared" si="238"/>
        <v>#N/A</v>
      </c>
      <c r="EK160" s="68" t="e">
        <f t="shared" si="239"/>
        <v>#N/A</v>
      </c>
      <c r="EL160" s="46">
        <f t="shared" si="240"/>
        <v>0</v>
      </c>
      <c r="EM160" s="46">
        <f t="shared" si="241"/>
        <v>0</v>
      </c>
    </row>
    <row r="161" spans="1:143">
      <c r="A161" s="89"/>
      <c r="B161" s="89"/>
      <c r="C161" s="89"/>
      <c r="D161" s="89"/>
      <c r="E161" s="89"/>
      <c r="F161" s="89"/>
      <c r="G161" s="34"/>
      <c r="H161" s="56">
        <f t="shared" si="242"/>
        <v>147</v>
      </c>
      <c r="I161" s="165"/>
      <c r="J161" s="163"/>
      <c r="K161" s="163"/>
      <c r="L161" s="164"/>
      <c r="M161" s="155"/>
      <c r="N161" s="155"/>
      <c r="O161" s="144"/>
      <c r="P161" s="159" t="str">
        <f>IFERROR(IF(O161&lt;&gt;"User Specified",IF(O161&lt;&gt;"", INDEX('Refrigerant GWPs'!$G$2:$G$154,MATCH(O161,'Refrigerant GWPs'!$A$2:$A$154,0)),""),U161),0)</f>
        <v/>
      </c>
      <c r="Q161" s="155"/>
      <c r="R161" s="155"/>
      <c r="S161" s="144"/>
      <c r="T161" s="159" t="str">
        <f>IF(S161&lt;&gt;"User Specified",IF(AND(S161&lt;&gt;"User Specified",S161&lt;&gt;""), INDEX('Refrigerant GWPs'!$G$2:$G$154,MATCH(S161,'Refrigerant GWPs'!$A$2:$A$154,0)),""),V161)</f>
        <v/>
      </c>
      <c r="U161" s="144"/>
      <c r="V161" s="144"/>
      <c r="W161" s="155"/>
      <c r="X161" s="155"/>
      <c r="Y161" s="144"/>
      <c r="Z161" s="159" t="str">
        <f>IF(AND(Y161&lt;&gt;"User Specified",Y161&lt;&gt;""), INDEX('Refrigerant GWPs'!$G$2:$G$154,MATCH(Y161,'Refrigerant GWPs'!$A$2:$A$154,0)),"")</f>
        <v/>
      </c>
      <c r="AA161" s="155"/>
      <c r="AB161" s="156"/>
      <c r="AC161" s="66"/>
      <c r="AD161" s="66"/>
      <c r="AE161" s="66"/>
      <c r="AF161" s="66"/>
      <c r="AG161" s="66"/>
      <c r="AH161" s="66"/>
      <c r="AI161" s="34"/>
      <c r="AJ161" s="88">
        <f t="shared" si="200"/>
        <v>0</v>
      </c>
      <c r="AK161" s="88">
        <f t="shared" si="201"/>
        <v>0</v>
      </c>
      <c r="AL161" s="88">
        <v>0</v>
      </c>
      <c r="AM161" s="88">
        <v>0</v>
      </c>
      <c r="AN161" s="81" t="str">
        <f t="shared" si="243"/>
        <v/>
      </c>
      <c r="AO161" s="88">
        <f t="shared" si="202"/>
        <v>0</v>
      </c>
      <c r="AP161" s="88">
        <f t="shared" si="203"/>
        <v>0</v>
      </c>
      <c r="AQ161" s="81" t="str">
        <f t="shared" si="204"/>
        <v/>
      </c>
      <c r="AS161" s="41" t="b">
        <f t="shared" si="205"/>
        <v>1</v>
      </c>
      <c r="AT161" s="38">
        <f t="shared" si="206"/>
        <v>0</v>
      </c>
      <c r="AU161" s="60">
        <f t="shared" si="207"/>
        <v>0</v>
      </c>
      <c r="AV161" s="41">
        <f t="shared" si="208"/>
        <v>0</v>
      </c>
      <c r="AW161" s="41" t="b">
        <f t="shared" si="209"/>
        <v>0</v>
      </c>
      <c r="AX161" t="str">
        <f t="shared" si="210"/>
        <v>+00</v>
      </c>
      <c r="AY161" t="str">
        <f t="shared" si="211"/>
        <v>+00</v>
      </c>
      <c r="BA161" s="47" t="b">
        <f t="shared" si="245"/>
        <v>1</v>
      </c>
      <c r="BB161" s="42" t="b">
        <f t="shared" si="246"/>
        <v>1</v>
      </c>
      <c r="BC161" s="42" t="b">
        <f t="shared" si="247"/>
        <v>0</v>
      </c>
      <c r="BD161" s="42" t="b">
        <f t="shared" si="248"/>
        <v>0</v>
      </c>
      <c r="BE161" s="70">
        <f t="shared" si="249"/>
        <v>0</v>
      </c>
      <c r="BF161" s="70">
        <f t="shared" si="250"/>
        <v>0</v>
      </c>
      <c r="BG161" s="34"/>
      <c r="BI161" s="47" t="b">
        <f t="shared" si="251"/>
        <v>1</v>
      </c>
      <c r="BJ161" s="47" t="b">
        <f t="shared" si="252"/>
        <v>1</v>
      </c>
      <c r="BK161" s="42" t="b">
        <f t="shared" si="253"/>
        <v>0</v>
      </c>
      <c r="BL161" s="42" t="b">
        <f t="shared" si="254"/>
        <v>0</v>
      </c>
      <c r="BM161" s="42">
        <f t="shared" si="255"/>
        <v>0</v>
      </c>
      <c r="BN161" s="42">
        <f t="shared" si="256"/>
        <v>0</v>
      </c>
      <c r="BP161" t="e">
        <f t="shared" si="257"/>
        <v>#N/A</v>
      </c>
      <c r="BQ161" t="e">
        <f t="shared" si="258"/>
        <v>#N/A</v>
      </c>
      <c r="BR161" t="e">
        <f t="shared" si="259"/>
        <v>#N/A</v>
      </c>
      <c r="BT161" s="60">
        <f t="shared" si="212"/>
        <v>0</v>
      </c>
      <c r="BU161" s="60">
        <f t="shared" si="213"/>
        <v>0</v>
      </c>
      <c r="BV161" s="60">
        <f t="shared" si="214"/>
        <v>0</v>
      </c>
      <c r="BW161" s="60">
        <f t="shared" si="215"/>
        <v>0</v>
      </c>
      <c r="BX161" s="60">
        <f t="shared" si="260"/>
        <v>0</v>
      </c>
      <c r="BY161" s="60">
        <f t="shared" si="261"/>
        <v>0</v>
      </c>
      <c r="BZ161" s="60">
        <f t="shared" si="262"/>
        <v>0</v>
      </c>
      <c r="CA161" s="60">
        <f t="shared" si="263"/>
        <v>0</v>
      </c>
      <c r="CB161" s="60" t="e">
        <f t="shared" si="216"/>
        <v>#N/A</v>
      </c>
      <c r="CC161" s="60">
        <f t="shared" si="217"/>
        <v>100000</v>
      </c>
      <c r="CD161" s="60" t="e">
        <f t="shared" si="218"/>
        <v>#N/A</v>
      </c>
      <c r="CE161" s="60">
        <f t="shared" si="219"/>
        <v>100000</v>
      </c>
      <c r="CF161" s="83" t="e">
        <f t="shared" si="264"/>
        <v>#N/A</v>
      </c>
      <c r="CG161" s="83">
        <f t="shared" si="265"/>
        <v>0</v>
      </c>
      <c r="CH161" s="83" t="e">
        <f t="shared" si="266"/>
        <v>#N/A</v>
      </c>
      <c r="CI161" s="83">
        <f t="shared" si="267"/>
        <v>0</v>
      </c>
      <c r="CJ161" s="86" t="e">
        <f t="shared" si="220"/>
        <v>#N/A</v>
      </c>
      <c r="CK161" s="82">
        <f t="shared" si="221"/>
        <v>5.3070370403969858E-3</v>
      </c>
      <c r="CL161" s="82" t="e">
        <f t="shared" si="222"/>
        <v>#N/A</v>
      </c>
      <c r="CM161" s="82">
        <f t="shared" si="223"/>
        <v>5.3070370403969858E-3</v>
      </c>
      <c r="CO161" s="149" t="str">
        <f>IF($I161&lt;&gt;"",IF(O161="User Specified",U161,INDEX('Refrigerant GWPs'!$G$2:$G$156,MATCH(O161,'Refrigerant GWPs'!$A$2:$A$156,0))),"")</f>
        <v/>
      </c>
      <c r="CP161" s="138" t="str">
        <f>IF($I161&lt;&gt;"",INDEX('Device Refrigerant Leakage'!$E$2:$E$42,MATCH($M161,'Device Refrigerant Leakage'!$B$2:$B$42,0)),"")</f>
        <v/>
      </c>
      <c r="CQ161" s="138" t="str">
        <f>IF($I161&lt;&gt;"",INDEX('Device Refrigerant Leakage'!$F$2:$F$42,MATCH($M161,'Device Refrigerant Leakage'!$B$2:$B$42,0)),"")</f>
        <v/>
      </c>
      <c r="CR161" s="145" t="str">
        <f>IF($I161&lt;&gt;"",INDEX('Device Refrigerant Leakage'!$G$2:$G$42,MATCH($M161,'Device Refrigerant Leakage'!$B$2:$B$42,0)),"")</f>
        <v/>
      </c>
      <c r="CS161" s="145" t="str">
        <f>IF($I161&lt;&gt;"",INDEX('Device Refrigerant Leakage'!$D$2:$D$42,MATCH($M161,'Device Refrigerant Leakage'!$B$2:$B$42,0))*CP161/2204.62*CO161,"")</f>
        <v/>
      </c>
      <c r="CT161" s="145" t="str">
        <f>IF($I161&lt;&gt;"",J161*(INDEX('Device Refrigerant Leakage'!$D$2:$D$42,MATCH($M161,'Device Refrigerant Leakage'!$B$2:$B$42,0))-(INDEX('Device Refrigerant Leakage'!$D$2:$D$42,MATCH($M161,'Device Refrigerant Leakage'!$B$2:$B$42,0)))*CR161*CP161)*CQ161/2204.62*CO161,"")</f>
        <v/>
      </c>
      <c r="CU161" s="135" t="str">
        <f>IF($I161&lt;&gt;"",J161*IF(W161&lt;&gt;"AR",(CS161*K161)+CT161,(CS161*AB161)+CT161*(AB161/INDEX('Device Refrigerant Leakage'!$C$2:$C$42,MATCH($M161,'Device Refrigerant Leakage'!$B$2:$B$42,0)))),"")</f>
        <v/>
      </c>
      <c r="CW161" s="135" t="str">
        <f>IF($I161&lt;&gt;"",IF(S161="User Specified",V161,INDEX('Refrigerant GWPs'!$G$2:$G$156,MATCH(S161,'Refrigerant GWPs'!$A$2:$A$157,0))),"")</f>
        <v/>
      </c>
      <c r="CX161" s="138" t="str">
        <f>IF($I161&lt;&gt;"",INDEX('Device Refrigerant Leakage'!$E$2:$E$42,MATCH($Q161,'Device Refrigerant Leakage'!$B$2:$B$42,0)),"")</f>
        <v/>
      </c>
      <c r="CY161" s="138" t="str">
        <f>IF($I161&lt;&gt;"",INDEX('Device Refrigerant Leakage'!$F$2:$F$42,MATCH($Q161,'Device Refrigerant Leakage'!$B$2:$B$42,0)),"")</f>
        <v/>
      </c>
      <c r="CZ161" s="145" t="str">
        <f>IF($I161&lt;&gt;"",INDEX('Device Refrigerant Leakage'!$G$2:$G$42,MATCH($Q161,'Device Refrigerant Leakage'!$B$2:$B$42,0)),"")</f>
        <v/>
      </c>
      <c r="DA161" s="145" t="str">
        <f>IF($I161&lt;&gt;"",J161*INDEX('Device Refrigerant Leakage'!$D$2:$D$42,MATCH($Q161,'Device Refrigerant Leakage'!$B$2:$B$42,0))*CX161/2204.62*CW161,"")</f>
        <v/>
      </c>
      <c r="DB161" s="145" t="str">
        <f>IF($I161&lt;&gt;"",J161*(INDEX('Device Refrigerant Leakage'!$D$2:$D$42,MATCH($Q161,'Device Refrigerant Leakage'!$B$2:$B$42,0))-(INDEX('Device Refrigerant Leakage'!$D$2:$D$42,MATCH($Q161,'Device Refrigerant Leakage'!$B$2:$B$42,0)))*CZ161*CX161)*CY161/2204.62*CW161,"")</f>
        <v/>
      </c>
      <c r="DC161" s="135" t="str">
        <f t="shared" si="244"/>
        <v/>
      </c>
      <c r="DE161" s="146" t="str">
        <f>IF(W161&lt;&gt;"AR","",IF(Y161="User Specified", AA161, INDEX('Refrigerant GWPs'!$G$2:$G$154,MATCH(Y161,'Refrigerant GWPs'!$A$2:$A$154,0))))</f>
        <v/>
      </c>
      <c r="DF161" s="146" t="str">
        <f>IF(W161&lt;&gt;"AR","",INDEX('Device Refrigerant Leakage'!$E$2:$E$42,MATCH(X161,'Device Refrigerant Leakage'!$B$2:$B$42,0)))</f>
        <v/>
      </c>
      <c r="DG161" s="146" t="str">
        <f>IF(W161&lt;&gt;"AR","",INDEX('Device Refrigerant Leakage'!$F$2:$F$42,MATCH(X161,'Device Refrigerant Leakage'!$B$2:$B$42,0)))</f>
        <v/>
      </c>
      <c r="DH161" s="146" t="str">
        <f>IF(W161&lt;&gt;"AR","",INDEX('Device Refrigerant Leakage'!$G$2:$G$42,MATCH(X161,'Device Refrigerant Leakage'!$B$2:$B$42,0)))</f>
        <v/>
      </c>
      <c r="DI161" s="146" t="str">
        <f>IF(W161&lt;&gt;"AR","",J161*INDEX('Device Refrigerant Leakage'!$D$2:$D$42,MATCH(X161,'Device Refrigerant Leakage'!$B$2:$B$42,0))*DF161/2204.62*DE161)</f>
        <v/>
      </c>
      <c r="DJ161" s="146" t="str">
        <f>IF(W161&lt;&gt;"AR","",J161*(INDEX('Device Refrigerant Leakage'!$D$2:$D$42,MATCH(X161,'Device Refrigerant Leakage'!$B$2:$B$42,0))-(INDEX('Device Refrigerant Leakage'!$D$2:$D$42,MATCH(X161,'Device Refrigerant Leakage'!$B$2:$B$42,0)))*DH161*DF161)*DG161/2204.62*DE161)</f>
        <v/>
      </c>
      <c r="DK161" s="146" t="str">
        <f>IF(W161&lt;&gt;"AR","",DI161*(K161-AB161)+'Fuel Sub Calcs-Deemed'!DJ161*((K161-AB161)/INDEX('Device Refrigerant Leakage'!$C$2:$C$42,MATCH('Fuel Sub Calcs-Deemed'!X161,'Device Refrigerant Leakage'!$B$2:$B$42,0))))</f>
        <v/>
      </c>
      <c r="DM161" s="56">
        <v>147</v>
      </c>
      <c r="DN161" s="67" t="e">
        <f t="shared" si="224"/>
        <v>#N/A</v>
      </c>
      <c r="DO161" s="45" t="e">
        <f t="shared" si="225"/>
        <v>#N/A</v>
      </c>
      <c r="DP161" s="67" t="e">
        <f t="shared" si="226"/>
        <v>#N/A</v>
      </c>
      <c r="DQ161" s="45" t="e">
        <f t="shared" si="227"/>
        <v>#N/A</v>
      </c>
      <c r="DR161" s="69" t="e">
        <f t="shared" si="228"/>
        <v>#N/A</v>
      </c>
      <c r="DS161" s="34"/>
      <c r="DT161" s="67" t="e">
        <f>((BX161*CJ161)+IF($W161=MAT_AR,(BZ161*CL161),0))*(1+Reference!$E$50+Reference!$E$51)</f>
        <v>#N/A</v>
      </c>
      <c r="DU161" s="67">
        <f>((BY161*CK161)+IF($W161=MAT_AR,(CA161*CM161),0))*(1+Reference!$G$50+Reference!$G$51)</f>
        <v>0</v>
      </c>
      <c r="DV161" s="67" t="e">
        <f t="shared" si="229"/>
        <v>#VALUE!</v>
      </c>
      <c r="DX161" s="56">
        <v>147</v>
      </c>
      <c r="DY161" s="67">
        <f t="shared" si="230"/>
        <v>0</v>
      </c>
      <c r="DZ161" s="45" t="e">
        <f>VLOOKUP($R161,Dropdown!$C$3:$D$4,2,FALSE)</f>
        <v>#N/A</v>
      </c>
      <c r="EA161" s="68">
        <f t="shared" si="231"/>
        <v>0</v>
      </c>
      <c r="EB161" s="68" t="str">
        <f t="shared" si="232"/>
        <v>N/A</v>
      </c>
      <c r="EC161" s="68">
        <f t="shared" si="233"/>
        <v>0</v>
      </c>
      <c r="ED161" s="68" t="str">
        <f t="shared" si="234"/>
        <v>N/A</v>
      </c>
      <c r="EF161" s="56">
        <v>147</v>
      </c>
      <c r="EG161" s="46">
        <f t="shared" si="235"/>
        <v>0</v>
      </c>
      <c r="EH161" s="68" t="e">
        <f t="shared" si="236"/>
        <v>#N/A</v>
      </c>
      <c r="EI161" s="68" t="e">
        <f t="shared" si="237"/>
        <v>#N/A</v>
      </c>
      <c r="EJ161" s="68" t="e">
        <f t="shared" si="238"/>
        <v>#N/A</v>
      </c>
      <c r="EK161" s="68" t="e">
        <f t="shared" si="239"/>
        <v>#N/A</v>
      </c>
      <c r="EL161" s="46">
        <f t="shared" si="240"/>
        <v>0</v>
      </c>
      <c r="EM161" s="46">
        <f t="shared" si="241"/>
        <v>0</v>
      </c>
    </row>
    <row r="162" spans="1:143">
      <c r="A162" s="89"/>
      <c r="B162" s="89"/>
      <c r="C162" s="89"/>
      <c r="D162" s="89"/>
      <c r="E162" s="89"/>
      <c r="F162" s="89"/>
      <c r="G162" s="34"/>
      <c r="H162" s="56">
        <f t="shared" si="242"/>
        <v>148</v>
      </c>
      <c r="I162" s="165"/>
      <c r="J162" s="163"/>
      <c r="K162" s="163"/>
      <c r="L162" s="164"/>
      <c r="M162" s="155"/>
      <c r="N162" s="155"/>
      <c r="O162" s="144"/>
      <c r="P162" s="159" t="str">
        <f>IFERROR(IF(O162&lt;&gt;"User Specified",IF(O162&lt;&gt;"", INDEX('Refrigerant GWPs'!$G$2:$G$154,MATCH(O162,'Refrigerant GWPs'!$A$2:$A$154,0)),""),U162),0)</f>
        <v/>
      </c>
      <c r="Q162" s="155"/>
      <c r="R162" s="155"/>
      <c r="S162" s="144"/>
      <c r="T162" s="159" t="str">
        <f>IF(S162&lt;&gt;"User Specified",IF(AND(S162&lt;&gt;"User Specified",S162&lt;&gt;""), INDEX('Refrigerant GWPs'!$G$2:$G$154,MATCH(S162,'Refrigerant GWPs'!$A$2:$A$154,0)),""),V162)</f>
        <v/>
      </c>
      <c r="U162" s="144"/>
      <c r="V162" s="144"/>
      <c r="W162" s="155"/>
      <c r="X162" s="155"/>
      <c r="Y162" s="144"/>
      <c r="Z162" s="159" t="str">
        <f>IF(AND(Y162&lt;&gt;"User Specified",Y162&lt;&gt;""), INDEX('Refrigerant GWPs'!$G$2:$G$154,MATCH(Y162,'Refrigerant GWPs'!$A$2:$A$154,0)),"")</f>
        <v/>
      </c>
      <c r="AA162" s="155"/>
      <c r="AB162" s="156"/>
      <c r="AC162" s="66"/>
      <c r="AD162" s="66"/>
      <c r="AE162" s="66"/>
      <c r="AF162" s="66"/>
      <c r="AG162" s="66"/>
      <c r="AH162" s="66"/>
      <c r="AI162" s="34"/>
      <c r="AJ162" s="88">
        <f t="shared" si="200"/>
        <v>0</v>
      </c>
      <c r="AK162" s="88">
        <f t="shared" si="201"/>
        <v>0</v>
      </c>
      <c r="AL162" s="88">
        <v>0</v>
      </c>
      <c r="AM162" s="88">
        <v>0</v>
      </c>
      <c r="AN162" s="81" t="str">
        <f t="shared" si="243"/>
        <v/>
      </c>
      <c r="AO162" s="88">
        <f t="shared" si="202"/>
        <v>0</v>
      </c>
      <c r="AP162" s="88">
        <f t="shared" si="203"/>
        <v>0</v>
      </c>
      <c r="AQ162" s="81" t="str">
        <f t="shared" si="204"/>
        <v/>
      </c>
      <c r="AS162" s="41" t="b">
        <f t="shared" si="205"/>
        <v>1</v>
      </c>
      <c r="AT162" s="38">
        <f t="shared" si="206"/>
        <v>0</v>
      </c>
      <c r="AU162" s="60">
        <f t="shared" si="207"/>
        <v>0</v>
      </c>
      <c r="AV162" s="41">
        <f t="shared" si="208"/>
        <v>0</v>
      </c>
      <c r="AW162" s="41" t="b">
        <f t="shared" si="209"/>
        <v>0</v>
      </c>
      <c r="AX162" t="str">
        <f t="shared" si="210"/>
        <v>+00</v>
      </c>
      <c r="AY162" t="str">
        <f t="shared" si="211"/>
        <v>+00</v>
      </c>
      <c r="BA162" s="47" t="b">
        <f t="shared" si="245"/>
        <v>1</v>
      </c>
      <c r="BB162" s="42" t="b">
        <f t="shared" si="246"/>
        <v>1</v>
      </c>
      <c r="BC162" s="42" t="b">
        <f t="shared" si="247"/>
        <v>0</v>
      </c>
      <c r="BD162" s="42" t="b">
        <f t="shared" si="248"/>
        <v>0</v>
      </c>
      <c r="BE162" s="70">
        <f t="shared" si="249"/>
        <v>0</v>
      </c>
      <c r="BF162" s="70">
        <f t="shared" si="250"/>
        <v>0</v>
      </c>
      <c r="BG162" s="34"/>
      <c r="BI162" s="47" t="b">
        <f t="shared" si="251"/>
        <v>1</v>
      </c>
      <c r="BJ162" s="47" t="b">
        <f t="shared" si="252"/>
        <v>1</v>
      </c>
      <c r="BK162" s="42" t="b">
        <f t="shared" si="253"/>
        <v>0</v>
      </c>
      <c r="BL162" s="42" t="b">
        <f t="shared" si="254"/>
        <v>0</v>
      </c>
      <c r="BM162" s="42">
        <f t="shared" si="255"/>
        <v>0</v>
      </c>
      <c r="BN162" s="42">
        <f t="shared" si="256"/>
        <v>0</v>
      </c>
      <c r="BP162" t="e">
        <f t="shared" si="257"/>
        <v>#N/A</v>
      </c>
      <c r="BQ162" t="e">
        <f t="shared" si="258"/>
        <v>#N/A</v>
      </c>
      <c r="BR162" t="e">
        <f t="shared" si="259"/>
        <v>#N/A</v>
      </c>
      <c r="BT162" s="60">
        <f t="shared" si="212"/>
        <v>0</v>
      </c>
      <c r="BU162" s="60">
        <f t="shared" si="213"/>
        <v>0</v>
      </c>
      <c r="BV162" s="60">
        <f t="shared" si="214"/>
        <v>0</v>
      </c>
      <c r="BW162" s="60">
        <f t="shared" si="215"/>
        <v>0</v>
      </c>
      <c r="BX162" s="60">
        <f t="shared" si="260"/>
        <v>0</v>
      </c>
      <c r="BY162" s="60">
        <f t="shared" si="261"/>
        <v>0</v>
      </c>
      <c r="BZ162" s="60">
        <f t="shared" si="262"/>
        <v>0</v>
      </c>
      <c r="CA162" s="60">
        <f t="shared" si="263"/>
        <v>0</v>
      </c>
      <c r="CB162" s="60" t="e">
        <f t="shared" si="216"/>
        <v>#N/A</v>
      </c>
      <c r="CC162" s="60">
        <f t="shared" si="217"/>
        <v>100000</v>
      </c>
      <c r="CD162" s="60" t="e">
        <f t="shared" si="218"/>
        <v>#N/A</v>
      </c>
      <c r="CE162" s="60">
        <f t="shared" si="219"/>
        <v>100000</v>
      </c>
      <c r="CF162" s="83" t="e">
        <f t="shared" si="264"/>
        <v>#N/A</v>
      </c>
      <c r="CG162" s="83">
        <f t="shared" si="265"/>
        <v>0</v>
      </c>
      <c r="CH162" s="83" t="e">
        <f t="shared" si="266"/>
        <v>#N/A</v>
      </c>
      <c r="CI162" s="83">
        <f t="shared" si="267"/>
        <v>0</v>
      </c>
      <c r="CJ162" s="86" t="e">
        <f t="shared" si="220"/>
        <v>#N/A</v>
      </c>
      <c r="CK162" s="82">
        <f t="shared" si="221"/>
        <v>5.3070370403969858E-3</v>
      </c>
      <c r="CL162" s="82" t="e">
        <f t="shared" si="222"/>
        <v>#N/A</v>
      </c>
      <c r="CM162" s="82">
        <f t="shared" si="223"/>
        <v>5.3070370403969858E-3</v>
      </c>
      <c r="CO162" s="149" t="str">
        <f>IF($I162&lt;&gt;"",IF(O162="User Specified",U162,INDEX('Refrigerant GWPs'!$G$2:$G$156,MATCH(O162,'Refrigerant GWPs'!$A$2:$A$156,0))),"")</f>
        <v/>
      </c>
      <c r="CP162" s="138" t="str">
        <f>IF($I162&lt;&gt;"",INDEX('Device Refrigerant Leakage'!$E$2:$E$42,MATCH($M162,'Device Refrigerant Leakage'!$B$2:$B$42,0)),"")</f>
        <v/>
      </c>
      <c r="CQ162" s="138" t="str">
        <f>IF($I162&lt;&gt;"",INDEX('Device Refrigerant Leakage'!$F$2:$F$42,MATCH($M162,'Device Refrigerant Leakage'!$B$2:$B$42,0)),"")</f>
        <v/>
      </c>
      <c r="CR162" s="145" t="str">
        <f>IF($I162&lt;&gt;"",INDEX('Device Refrigerant Leakage'!$G$2:$G$42,MATCH($M162,'Device Refrigerant Leakage'!$B$2:$B$42,0)),"")</f>
        <v/>
      </c>
      <c r="CS162" s="145" t="str">
        <f>IF($I162&lt;&gt;"",INDEX('Device Refrigerant Leakage'!$D$2:$D$42,MATCH($M162,'Device Refrigerant Leakage'!$B$2:$B$42,0))*CP162/2204.62*CO162,"")</f>
        <v/>
      </c>
      <c r="CT162" s="145" t="str">
        <f>IF($I162&lt;&gt;"",J162*(INDEX('Device Refrigerant Leakage'!$D$2:$D$42,MATCH($M162,'Device Refrigerant Leakage'!$B$2:$B$42,0))-(INDEX('Device Refrigerant Leakage'!$D$2:$D$42,MATCH($M162,'Device Refrigerant Leakage'!$B$2:$B$42,0)))*CR162*CP162)*CQ162/2204.62*CO162,"")</f>
        <v/>
      </c>
      <c r="CU162" s="135" t="str">
        <f>IF($I162&lt;&gt;"",J162*IF(W162&lt;&gt;"AR",(CS162*K162)+CT162,(CS162*AB162)+CT162*(AB162/INDEX('Device Refrigerant Leakage'!$C$2:$C$42,MATCH($M162,'Device Refrigerant Leakage'!$B$2:$B$42,0)))),"")</f>
        <v/>
      </c>
      <c r="CW162" s="135" t="str">
        <f>IF($I162&lt;&gt;"",IF(S162="User Specified",V162,INDEX('Refrigerant GWPs'!$G$2:$G$156,MATCH(S162,'Refrigerant GWPs'!$A$2:$A$157,0))),"")</f>
        <v/>
      </c>
      <c r="CX162" s="138" t="str">
        <f>IF($I162&lt;&gt;"",INDEX('Device Refrigerant Leakage'!$E$2:$E$42,MATCH($Q162,'Device Refrigerant Leakage'!$B$2:$B$42,0)),"")</f>
        <v/>
      </c>
      <c r="CY162" s="138" t="str">
        <f>IF($I162&lt;&gt;"",INDEX('Device Refrigerant Leakage'!$F$2:$F$42,MATCH($Q162,'Device Refrigerant Leakage'!$B$2:$B$42,0)),"")</f>
        <v/>
      </c>
      <c r="CZ162" s="145" t="str">
        <f>IF($I162&lt;&gt;"",INDEX('Device Refrigerant Leakage'!$G$2:$G$42,MATCH($Q162,'Device Refrigerant Leakage'!$B$2:$B$42,0)),"")</f>
        <v/>
      </c>
      <c r="DA162" s="145" t="str">
        <f>IF($I162&lt;&gt;"",J162*INDEX('Device Refrigerant Leakage'!$D$2:$D$42,MATCH($Q162,'Device Refrigerant Leakage'!$B$2:$B$42,0))*CX162/2204.62*CW162,"")</f>
        <v/>
      </c>
      <c r="DB162" s="145" t="str">
        <f>IF($I162&lt;&gt;"",J162*(INDEX('Device Refrigerant Leakage'!$D$2:$D$42,MATCH($Q162,'Device Refrigerant Leakage'!$B$2:$B$42,0))-(INDEX('Device Refrigerant Leakage'!$D$2:$D$42,MATCH($Q162,'Device Refrigerant Leakage'!$B$2:$B$42,0)))*CZ162*CX162)*CY162/2204.62*CW162,"")</f>
        <v/>
      </c>
      <c r="DC162" s="135" t="str">
        <f t="shared" si="244"/>
        <v/>
      </c>
      <c r="DE162" s="146" t="str">
        <f>IF(W162&lt;&gt;"AR","",IF(Y162="User Specified", AA162, INDEX('Refrigerant GWPs'!$G$2:$G$154,MATCH(Y162,'Refrigerant GWPs'!$A$2:$A$154,0))))</f>
        <v/>
      </c>
      <c r="DF162" s="146" t="str">
        <f>IF(W162&lt;&gt;"AR","",INDEX('Device Refrigerant Leakage'!$E$2:$E$42,MATCH(X162,'Device Refrigerant Leakage'!$B$2:$B$42,0)))</f>
        <v/>
      </c>
      <c r="DG162" s="146" t="str">
        <f>IF(W162&lt;&gt;"AR","",INDEX('Device Refrigerant Leakage'!$F$2:$F$42,MATCH(X162,'Device Refrigerant Leakage'!$B$2:$B$42,0)))</f>
        <v/>
      </c>
      <c r="DH162" s="146" t="str">
        <f>IF(W162&lt;&gt;"AR","",INDEX('Device Refrigerant Leakage'!$G$2:$G$42,MATCH(X162,'Device Refrigerant Leakage'!$B$2:$B$42,0)))</f>
        <v/>
      </c>
      <c r="DI162" s="146" t="str">
        <f>IF(W162&lt;&gt;"AR","",J162*INDEX('Device Refrigerant Leakage'!$D$2:$D$42,MATCH(X162,'Device Refrigerant Leakage'!$B$2:$B$42,0))*DF162/2204.62*DE162)</f>
        <v/>
      </c>
      <c r="DJ162" s="146" t="str">
        <f>IF(W162&lt;&gt;"AR","",J162*(INDEX('Device Refrigerant Leakage'!$D$2:$D$42,MATCH(X162,'Device Refrigerant Leakage'!$B$2:$B$42,0))-(INDEX('Device Refrigerant Leakage'!$D$2:$D$42,MATCH(X162,'Device Refrigerant Leakage'!$B$2:$B$42,0)))*DH162*DF162)*DG162/2204.62*DE162)</f>
        <v/>
      </c>
      <c r="DK162" s="146" t="str">
        <f>IF(W162&lt;&gt;"AR","",DI162*(K162-AB162)+'Fuel Sub Calcs-Deemed'!DJ162*((K162-AB162)/INDEX('Device Refrigerant Leakage'!$C$2:$C$42,MATCH('Fuel Sub Calcs-Deemed'!X162,'Device Refrigerant Leakage'!$B$2:$B$42,0))))</f>
        <v/>
      </c>
      <c r="DM162" s="56">
        <v>148</v>
      </c>
      <c r="DN162" s="67" t="e">
        <f t="shared" si="224"/>
        <v>#N/A</v>
      </c>
      <c r="DO162" s="45" t="e">
        <f t="shared" si="225"/>
        <v>#N/A</v>
      </c>
      <c r="DP162" s="67" t="e">
        <f t="shared" si="226"/>
        <v>#N/A</v>
      </c>
      <c r="DQ162" s="45" t="e">
        <f t="shared" si="227"/>
        <v>#N/A</v>
      </c>
      <c r="DR162" s="69" t="e">
        <f t="shared" si="228"/>
        <v>#N/A</v>
      </c>
      <c r="DS162" s="34"/>
      <c r="DT162" s="67" t="e">
        <f>((BX162*CJ162)+IF($W162=MAT_AR,(BZ162*CL162),0))*(1+Reference!$E$50+Reference!$E$51)</f>
        <v>#N/A</v>
      </c>
      <c r="DU162" s="67">
        <f>((BY162*CK162)+IF($W162=MAT_AR,(CA162*CM162),0))*(1+Reference!$G$50+Reference!$G$51)</f>
        <v>0</v>
      </c>
      <c r="DV162" s="67" t="e">
        <f t="shared" si="229"/>
        <v>#VALUE!</v>
      </c>
      <c r="DX162" s="56">
        <v>148</v>
      </c>
      <c r="DY162" s="67">
        <f t="shared" si="230"/>
        <v>0</v>
      </c>
      <c r="DZ162" s="45" t="e">
        <f>VLOOKUP($R162,Dropdown!$C$3:$D$4,2,FALSE)</f>
        <v>#N/A</v>
      </c>
      <c r="EA162" s="68">
        <f t="shared" si="231"/>
        <v>0</v>
      </c>
      <c r="EB162" s="68" t="str">
        <f t="shared" si="232"/>
        <v>N/A</v>
      </c>
      <c r="EC162" s="68">
        <f t="shared" si="233"/>
        <v>0</v>
      </c>
      <c r="ED162" s="68" t="str">
        <f t="shared" si="234"/>
        <v>N/A</v>
      </c>
      <c r="EF162" s="56">
        <v>148</v>
      </c>
      <c r="EG162" s="46">
        <f t="shared" si="235"/>
        <v>0</v>
      </c>
      <c r="EH162" s="68" t="e">
        <f t="shared" si="236"/>
        <v>#N/A</v>
      </c>
      <c r="EI162" s="68" t="e">
        <f t="shared" si="237"/>
        <v>#N/A</v>
      </c>
      <c r="EJ162" s="68" t="e">
        <f t="shared" si="238"/>
        <v>#N/A</v>
      </c>
      <c r="EK162" s="68" t="e">
        <f t="shared" si="239"/>
        <v>#N/A</v>
      </c>
      <c r="EL162" s="46">
        <f t="shared" si="240"/>
        <v>0</v>
      </c>
      <c r="EM162" s="46">
        <f t="shared" si="241"/>
        <v>0</v>
      </c>
    </row>
    <row r="163" spans="1:143">
      <c r="A163" s="89"/>
      <c r="B163" s="89"/>
      <c r="C163" s="89"/>
      <c r="D163" s="89"/>
      <c r="E163" s="89"/>
      <c r="F163" s="89"/>
      <c r="G163" s="34"/>
      <c r="H163" s="56">
        <f t="shared" si="242"/>
        <v>149</v>
      </c>
      <c r="I163" s="165"/>
      <c r="J163" s="163"/>
      <c r="K163" s="163"/>
      <c r="L163" s="164"/>
      <c r="M163" s="155"/>
      <c r="N163" s="155"/>
      <c r="O163" s="144"/>
      <c r="P163" s="159" t="str">
        <f>IFERROR(IF(O163&lt;&gt;"User Specified",IF(O163&lt;&gt;"", INDEX('Refrigerant GWPs'!$G$2:$G$154,MATCH(O163,'Refrigerant GWPs'!$A$2:$A$154,0)),""),U163),0)</f>
        <v/>
      </c>
      <c r="Q163" s="155"/>
      <c r="R163" s="155"/>
      <c r="S163" s="144"/>
      <c r="T163" s="159" t="str">
        <f>IF(S163&lt;&gt;"User Specified",IF(AND(S163&lt;&gt;"User Specified",S163&lt;&gt;""), INDEX('Refrigerant GWPs'!$G$2:$G$154,MATCH(S163,'Refrigerant GWPs'!$A$2:$A$154,0)),""),V163)</f>
        <v/>
      </c>
      <c r="U163" s="144"/>
      <c r="V163" s="144"/>
      <c r="W163" s="155"/>
      <c r="X163" s="155"/>
      <c r="Y163" s="144"/>
      <c r="Z163" s="159" t="str">
        <f>IF(AND(Y163&lt;&gt;"User Specified",Y163&lt;&gt;""), INDEX('Refrigerant GWPs'!$G$2:$G$154,MATCH(Y163,'Refrigerant GWPs'!$A$2:$A$154,0)),"")</f>
        <v/>
      </c>
      <c r="AA163" s="155"/>
      <c r="AB163" s="156"/>
      <c r="AC163" s="66"/>
      <c r="AD163" s="66"/>
      <c r="AE163" s="66"/>
      <c r="AF163" s="66"/>
      <c r="AG163" s="66"/>
      <c r="AH163" s="66"/>
      <c r="AI163" s="34"/>
      <c r="AJ163" s="88">
        <f t="shared" si="200"/>
        <v>0</v>
      </c>
      <c r="AK163" s="88">
        <f t="shared" si="201"/>
        <v>0</v>
      </c>
      <c r="AL163" s="88">
        <v>0</v>
      </c>
      <c r="AM163" s="88">
        <v>0</v>
      </c>
      <c r="AN163" s="81" t="str">
        <f t="shared" si="243"/>
        <v/>
      </c>
      <c r="AO163" s="88">
        <f t="shared" si="202"/>
        <v>0</v>
      </c>
      <c r="AP163" s="88">
        <f t="shared" si="203"/>
        <v>0</v>
      </c>
      <c r="AQ163" s="81" t="str">
        <f t="shared" si="204"/>
        <v/>
      </c>
      <c r="AS163" s="41" t="b">
        <f t="shared" si="205"/>
        <v>1</v>
      </c>
      <c r="AT163" s="38">
        <f t="shared" si="206"/>
        <v>0</v>
      </c>
      <c r="AU163" s="60">
        <f t="shared" si="207"/>
        <v>0</v>
      </c>
      <c r="AV163" s="41">
        <f t="shared" si="208"/>
        <v>0</v>
      </c>
      <c r="AW163" s="41" t="b">
        <f t="shared" si="209"/>
        <v>0</v>
      </c>
      <c r="AX163" t="str">
        <f t="shared" si="210"/>
        <v>+00</v>
      </c>
      <c r="AY163" t="str">
        <f t="shared" si="211"/>
        <v>+00</v>
      </c>
      <c r="BA163" s="47" t="b">
        <f t="shared" si="245"/>
        <v>1</v>
      </c>
      <c r="BB163" s="42" t="b">
        <f t="shared" si="246"/>
        <v>1</v>
      </c>
      <c r="BC163" s="42" t="b">
        <f t="shared" si="247"/>
        <v>0</v>
      </c>
      <c r="BD163" s="42" t="b">
        <f t="shared" si="248"/>
        <v>0</v>
      </c>
      <c r="BE163" s="70">
        <f t="shared" si="249"/>
        <v>0</v>
      </c>
      <c r="BF163" s="70">
        <f t="shared" si="250"/>
        <v>0</v>
      </c>
      <c r="BG163" s="34"/>
      <c r="BI163" s="47" t="b">
        <f t="shared" si="251"/>
        <v>1</v>
      </c>
      <c r="BJ163" s="47" t="b">
        <f t="shared" si="252"/>
        <v>1</v>
      </c>
      <c r="BK163" s="42" t="b">
        <f t="shared" si="253"/>
        <v>0</v>
      </c>
      <c r="BL163" s="42" t="b">
        <f t="shared" si="254"/>
        <v>0</v>
      </c>
      <c r="BM163" s="42">
        <f t="shared" si="255"/>
        <v>0</v>
      </c>
      <c r="BN163" s="42">
        <f t="shared" si="256"/>
        <v>0</v>
      </c>
      <c r="BP163" t="e">
        <f t="shared" si="257"/>
        <v>#N/A</v>
      </c>
      <c r="BQ163" t="e">
        <f t="shared" si="258"/>
        <v>#N/A</v>
      </c>
      <c r="BR163" t="e">
        <f t="shared" si="259"/>
        <v>#N/A</v>
      </c>
      <c r="BT163" s="60">
        <f t="shared" si="212"/>
        <v>0</v>
      </c>
      <c r="BU163" s="60">
        <f t="shared" si="213"/>
        <v>0</v>
      </c>
      <c r="BV163" s="60">
        <f t="shared" si="214"/>
        <v>0</v>
      </c>
      <c r="BW163" s="60">
        <f t="shared" si="215"/>
        <v>0</v>
      </c>
      <c r="BX163" s="60">
        <f t="shared" si="260"/>
        <v>0</v>
      </c>
      <c r="BY163" s="60">
        <f t="shared" si="261"/>
        <v>0</v>
      </c>
      <c r="BZ163" s="60">
        <f t="shared" si="262"/>
        <v>0</v>
      </c>
      <c r="CA163" s="60">
        <f t="shared" si="263"/>
        <v>0</v>
      </c>
      <c r="CB163" s="60" t="e">
        <f t="shared" si="216"/>
        <v>#N/A</v>
      </c>
      <c r="CC163" s="60">
        <f t="shared" si="217"/>
        <v>100000</v>
      </c>
      <c r="CD163" s="60" t="e">
        <f t="shared" si="218"/>
        <v>#N/A</v>
      </c>
      <c r="CE163" s="60">
        <f t="shared" si="219"/>
        <v>100000</v>
      </c>
      <c r="CF163" s="83" t="e">
        <f t="shared" si="264"/>
        <v>#N/A</v>
      </c>
      <c r="CG163" s="83">
        <f t="shared" si="265"/>
        <v>0</v>
      </c>
      <c r="CH163" s="83" t="e">
        <f t="shared" si="266"/>
        <v>#N/A</v>
      </c>
      <c r="CI163" s="83">
        <f t="shared" si="267"/>
        <v>0</v>
      </c>
      <c r="CJ163" s="86" t="e">
        <f t="shared" si="220"/>
        <v>#N/A</v>
      </c>
      <c r="CK163" s="82">
        <f t="shared" si="221"/>
        <v>5.3070370403969858E-3</v>
      </c>
      <c r="CL163" s="82" t="e">
        <f t="shared" si="222"/>
        <v>#N/A</v>
      </c>
      <c r="CM163" s="82">
        <f t="shared" si="223"/>
        <v>5.3070370403969858E-3</v>
      </c>
      <c r="CO163" s="149" t="str">
        <f>IF($I163&lt;&gt;"",IF(O163="User Specified",U163,INDEX('Refrigerant GWPs'!$G$2:$G$156,MATCH(O163,'Refrigerant GWPs'!$A$2:$A$156,0))),"")</f>
        <v/>
      </c>
      <c r="CP163" s="138" t="str">
        <f>IF($I163&lt;&gt;"",INDEX('Device Refrigerant Leakage'!$E$2:$E$42,MATCH($M163,'Device Refrigerant Leakage'!$B$2:$B$42,0)),"")</f>
        <v/>
      </c>
      <c r="CQ163" s="138" t="str">
        <f>IF($I163&lt;&gt;"",INDEX('Device Refrigerant Leakage'!$F$2:$F$42,MATCH($M163,'Device Refrigerant Leakage'!$B$2:$B$42,0)),"")</f>
        <v/>
      </c>
      <c r="CR163" s="145" t="str">
        <f>IF($I163&lt;&gt;"",INDEX('Device Refrigerant Leakage'!$G$2:$G$42,MATCH($M163,'Device Refrigerant Leakage'!$B$2:$B$42,0)),"")</f>
        <v/>
      </c>
      <c r="CS163" s="145" t="str">
        <f>IF($I163&lt;&gt;"",INDEX('Device Refrigerant Leakage'!$D$2:$D$42,MATCH($M163,'Device Refrigerant Leakage'!$B$2:$B$42,0))*CP163/2204.62*CO163,"")</f>
        <v/>
      </c>
      <c r="CT163" s="145" t="str">
        <f>IF($I163&lt;&gt;"",J163*(INDEX('Device Refrigerant Leakage'!$D$2:$D$42,MATCH($M163,'Device Refrigerant Leakage'!$B$2:$B$42,0))-(INDEX('Device Refrigerant Leakage'!$D$2:$D$42,MATCH($M163,'Device Refrigerant Leakage'!$B$2:$B$42,0)))*CR163*CP163)*CQ163/2204.62*CO163,"")</f>
        <v/>
      </c>
      <c r="CU163" s="135" t="str">
        <f>IF($I163&lt;&gt;"",J163*IF(W163&lt;&gt;"AR",(CS163*K163)+CT163,(CS163*AB163)+CT163*(AB163/INDEX('Device Refrigerant Leakage'!$C$2:$C$42,MATCH($M163,'Device Refrigerant Leakage'!$B$2:$B$42,0)))),"")</f>
        <v/>
      </c>
      <c r="CW163" s="135" t="str">
        <f>IF($I163&lt;&gt;"",IF(S163="User Specified",V163,INDEX('Refrigerant GWPs'!$G$2:$G$156,MATCH(S163,'Refrigerant GWPs'!$A$2:$A$157,0))),"")</f>
        <v/>
      </c>
      <c r="CX163" s="138" t="str">
        <f>IF($I163&lt;&gt;"",INDEX('Device Refrigerant Leakage'!$E$2:$E$42,MATCH($Q163,'Device Refrigerant Leakage'!$B$2:$B$42,0)),"")</f>
        <v/>
      </c>
      <c r="CY163" s="138" t="str">
        <f>IF($I163&lt;&gt;"",INDEX('Device Refrigerant Leakage'!$F$2:$F$42,MATCH($Q163,'Device Refrigerant Leakage'!$B$2:$B$42,0)),"")</f>
        <v/>
      </c>
      <c r="CZ163" s="145" t="str">
        <f>IF($I163&lt;&gt;"",INDEX('Device Refrigerant Leakage'!$G$2:$G$42,MATCH($Q163,'Device Refrigerant Leakage'!$B$2:$B$42,0)),"")</f>
        <v/>
      </c>
      <c r="DA163" s="145" t="str">
        <f>IF($I163&lt;&gt;"",J163*INDEX('Device Refrigerant Leakage'!$D$2:$D$42,MATCH($Q163,'Device Refrigerant Leakage'!$B$2:$B$42,0))*CX163/2204.62*CW163,"")</f>
        <v/>
      </c>
      <c r="DB163" s="145" t="str">
        <f>IF($I163&lt;&gt;"",J163*(INDEX('Device Refrigerant Leakage'!$D$2:$D$42,MATCH($Q163,'Device Refrigerant Leakage'!$B$2:$B$42,0))-(INDEX('Device Refrigerant Leakage'!$D$2:$D$42,MATCH($Q163,'Device Refrigerant Leakage'!$B$2:$B$42,0)))*CZ163*CX163)*CY163/2204.62*CW163,"")</f>
        <v/>
      </c>
      <c r="DC163" s="135" t="str">
        <f t="shared" si="244"/>
        <v/>
      </c>
      <c r="DE163" s="146" t="str">
        <f>IF(W163&lt;&gt;"AR","",IF(Y163="User Specified", AA163, INDEX('Refrigerant GWPs'!$G$2:$G$154,MATCH(Y163,'Refrigerant GWPs'!$A$2:$A$154,0))))</f>
        <v/>
      </c>
      <c r="DF163" s="146" t="str">
        <f>IF(W163&lt;&gt;"AR","",INDEX('Device Refrigerant Leakage'!$E$2:$E$42,MATCH(X163,'Device Refrigerant Leakage'!$B$2:$B$42,0)))</f>
        <v/>
      </c>
      <c r="DG163" s="146" t="str">
        <f>IF(W163&lt;&gt;"AR","",INDEX('Device Refrigerant Leakage'!$F$2:$F$42,MATCH(X163,'Device Refrigerant Leakage'!$B$2:$B$42,0)))</f>
        <v/>
      </c>
      <c r="DH163" s="146" t="str">
        <f>IF(W163&lt;&gt;"AR","",INDEX('Device Refrigerant Leakage'!$G$2:$G$42,MATCH(X163,'Device Refrigerant Leakage'!$B$2:$B$42,0)))</f>
        <v/>
      </c>
      <c r="DI163" s="146" t="str">
        <f>IF(W163&lt;&gt;"AR","",J163*INDEX('Device Refrigerant Leakage'!$D$2:$D$42,MATCH(X163,'Device Refrigerant Leakage'!$B$2:$B$42,0))*DF163/2204.62*DE163)</f>
        <v/>
      </c>
      <c r="DJ163" s="146" t="str">
        <f>IF(W163&lt;&gt;"AR","",J163*(INDEX('Device Refrigerant Leakage'!$D$2:$D$42,MATCH(X163,'Device Refrigerant Leakage'!$B$2:$B$42,0))-(INDEX('Device Refrigerant Leakage'!$D$2:$D$42,MATCH(X163,'Device Refrigerant Leakage'!$B$2:$B$42,0)))*DH163*DF163)*DG163/2204.62*DE163)</f>
        <v/>
      </c>
      <c r="DK163" s="146" t="str">
        <f>IF(W163&lt;&gt;"AR","",DI163*(K163-AB163)+'Fuel Sub Calcs-Deemed'!DJ163*((K163-AB163)/INDEX('Device Refrigerant Leakage'!$C$2:$C$42,MATCH('Fuel Sub Calcs-Deemed'!X163,'Device Refrigerant Leakage'!$B$2:$B$42,0))))</f>
        <v/>
      </c>
      <c r="DM163" s="56">
        <v>149</v>
      </c>
      <c r="DN163" s="67" t="e">
        <f t="shared" si="224"/>
        <v>#N/A</v>
      </c>
      <c r="DO163" s="45" t="e">
        <f t="shared" si="225"/>
        <v>#N/A</v>
      </c>
      <c r="DP163" s="67" t="e">
        <f t="shared" si="226"/>
        <v>#N/A</v>
      </c>
      <c r="DQ163" s="45" t="e">
        <f t="shared" si="227"/>
        <v>#N/A</v>
      </c>
      <c r="DR163" s="69" t="e">
        <f t="shared" si="228"/>
        <v>#N/A</v>
      </c>
      <c r="DS163" s="34"/>
      <c r="DT163" s="67" t="e">
        <f>((BX163*CJ163)+IF($W163=MAT_AR,(BZ163*CL163),0))*(1+Reference!$E$50+Reference!$E$51)</f>
        <v>#N/A</v>
      </c>
      <c r="DU163" s="67">
        <f>((BY163*CK163)+IF($W163=MAT_AR,(CA163*CM163),0))*(1+Reference!$G$50+Reference!$G$51)</f>
        <v>0</v>
      </c>
      <c r="DV163" s="67" t="e">
        <f t="shared" si="229"/>
        <v>#VALUE!</v>
      </c>
      <c r="DX163" s="56">
        <v>149</v>
      </c>
      <c r="DY163" s="67">
        <f t="shared" si="230"/>
        <v>0</v>
      </c>
      <c r="DZ163" s="45" t="e">
        <f>VLOOKUP($R163,Dropdown!$C$3:$D$4,2,FALSE)</f>
        <v>#N/A</v>
      </c>
      <c r="EA163" s="68">
        <f t="shared" si="231"/>
        <v>0</v>
      </c>
      <c r="EB163" s="68" t="str">
        <f t="shared" si="232"/>
        <v>N/A</v>
      </c>
      <c r="EC163" s="68">
        <f t="shared" si="233"/>
        <v>0</v>
      </c>
      <c r="ED163" s="68" t="str">
        <f t="shared" si="234"/>
        <v>N/A</v>
      </c>
      <c r="EF163" s="56">
        <v>149</v>
      </c>
      <c r="EG163" s="46">
        <f t="shared" si="235"/>
        <v>0</v>
      </c>
      <c r="EH163" s="68" t="e">
        <f t="shared" si="236"/>
        <v>#N/A</v>
      </c>
      <c r="EI163" s="68" t="e">
        <f t="shared" si="237"/>
        <v>#N/A</v>
      </c>
      <c r="EJ163" s="68" t="e">
        <f t="shared" si="238"/>
        <v>#N/A</v>
      </c>
      <c r="EK163" s="68" t="e">
        <f t="shared" si="239"/>
        <v>#N/A</v>
      </c>
      <c r="EL163" s="46">
        <f t="shared" si="240"/>
        <v>0</v>
      </c>
      <c r="EM163" s="46">
        <f t="shared" si="241"/>
        <v>0</v>
      </c>
    </row>
    <row r="164" spans="1:143">
      <c r="A164" s="89"/>
      <c r="B164" s="89"/>
      <c r="C164" s="89"/>
      <c r="D164" s="89"/>
      <c r="E164" s="89"/>
      <c r="F164" s="89"/>
      <c r="G164" s="34"/>
      <c r="H164" s="56">
        <f t="shared" si="242"/>
        <v>150</v>
      </c>
      <c r="I164" s="165"/>
      <c r="J164" s="163"/>
      <c r="K164" s="163"/>
      <c r="L164" s="164"/>
      <c r="M164" s="155"/>
      <c r="N164" s="155"/>
      <c r="O164" s="144"/>
      <c r="P164" s="159" t="str">
        <f>IFERROR(IF(O164&lt;&gt;"User Specified",IF(O164&lt;&gt;"", INDEX('Refrigerant GWPs'!$G$2:$G$154,MATCH(O164,'Refrigerant GWPs'!$A$2:$A$154,0)),""),U164),0)</f>
        <v/>
      </c>
      <c r="Q164" s="155"/>
      <c r="R164" s="155"/>
      <c r="S164" s="144"/>
      <c r="T164" s="159" t="str">
        <f>IF(S164&lt;&gt;"User Specified",IF(AND(S164&lt;&gt;"User Specified",S164&lt;&gt;""), INDEX('Refrigerant GWPs'!$G$2:$G$154,MATCH(S164,'Refrigerant GWPs'!$A$2:$A$154,0)),""),V164)</f>
        <v/>
      </c>
      <c r="U164" s="144"/>
      <c r="V164" s="144"/>
      <c r="W164" s="155"/>
      <c r="X164" s="155"/>
      <c r="Y164" s="144"/>
      <c r="Z164" s="159" t="str">
        <f>IF(AND(Y164&lt;&gt;"User Specified",Y164&lt;&gt;""), INDEX('Refrigerant GWPs'!$G$2:$G$154,MATCH(Y164,'Refrigerant GWPs'!$A$2:$A$154,0)),"")</f>
        <v/>
      </c>
      <c r="AA164" s="155"/>
      <c r="AB164" s="156"/>
      <c r="AC164" s="66"/>
      <c r="AD164" s="66"/>
      <c r="AE164" s="66"/>
      <c r="AF164" s="66"/>
      <c r="AG164" s="66"/>
      <c r="AH164" s="66"/>
      <c r="AI164" s="34"/>
      <c r="AJ164" s="88">
        <f t="shared" si="200"/>
        <v>0</v>
      </c>
      <c r="AK164" s="88">
        <f t="shared" si="201"/>
        <v>0</v>
      </c>
      <c r="AL164" s="88">
        <v>0</v>
      </c>
      <c r="AM164" s="88">
        <v>0</v>
      </c>
      <c r="AN164" s="81" t="str">
        <f t="shared" si="243"/>
        <v/>
      </c>
      <c r="AO164" s="88">
        <f t="shared" si="202"/>
        <v>0</v>
      </c>
      <c r="AP164" s="88">
        <f t="shared" si="203"/>
        <v>0</v>
      </c>
      <c r="AQ164" s="81" t="str">
        <f t="shared" si="204"/>
        <v/>
      </c>
      <c r="AS164" s="41" t="b">
        <f t="shared" si="205"/>
        <v>1</v>
      </c>
      <c r="AT164" s="38">
        <f t="shared" si="206"/>
        <v>0</v>
      </c>
      <c r="AU164" s="60">
        <f t="shared" si="207"/>
        <v>0</v>
      </c>
      <c r="AV164" s="41">
        <f t="shared" si="208"/>
        <v>0</v>
      </c>
      <c r="AW164" s="41" t="b">
        <f t="shared" si="209"/>
        <v>0</v>
      </c>
      <c r="AX164" t="str">
        <f t="shared" si="210"/>
        <v>+00</v>
      </c>
      <c r="AY164" t="str">
        <f t="shared" si="211"/>
        <v>+00</v>
      </c>
      <c r="BA164" s="47" t="b">
        <f t="shared" si="245"/>
        <v>1</v>
      </c>
      <c r="BB164" s="42" t="b">
        <f t="shared" si="246"/>
        <v>1</v>
      </c>
      <c r="BC164" s="42" t="b">
        <f t="shared" si="247"/>
        <v>0</v>
      </c>
      <c r="BD164" s="42" t="b">
        <f t="shared" si="248"/>
        <v>0</v>
      </c>
      <c r="BE164" s="70">
        <f t="shared" si="249"/>
        <v>0</v>
      </c>
      <c r="BF164" s="70">
        <f t="shared" si="250"/>
        <v>0</v>
      </c>
      <c r="BG164" s="34"/>
      <c r="BI164" s="47" t="b">
        <f t="shared" si="251"/>
        <v>1</v>
      </c>
      <c r="BJ164" s="47" t="b">
        <f t="shared" si="252"/>
        <v>1</v>
      </c>
      <c r="BK164" s="42" t="b">
        <f t="shared" si="253"/>
        <v>0</v>
      </c>
      <c r="BL164" s="42" t="b">
        <f t="shared" si="254"/>
        <v>0</v>
      </c>
      <c r="BM164" s="42">
        <f t="shared" si="255"/>
        <v>0</v>
      </c>
      <c r="BN164" s="42">
        <f t="shared" si="256"/>
        <v>0</v>
      </c>
      <c r="BP164" t="e">
        <f t="shared" si="257"/>
        <v>#N/A</v>
      </c>
      <c r="BQ164" t="e">
        <f t="shared" si="258"/>
        <v>#N/A</v>
      </c>
      <c r="BR164" t="e">
        <f t="shared" si="259"/>
        <v>#N/A</v>
      </c>
      <c r="BT164" s="60">
        <f t="shared" si="212"/>
        <v>0</v>
      </c>
      <c r="BU164" s="60">
        <f t="shared" si="213"/>
        <v>0</v>
      </c>
      <c r="BV164" s="60">
        <f t="shared" si="214"/>
        <v>0</v>
      </c>
      <c r="BW164" s="60">
        <f t="shared" si="215"/>
        <v>0</v>
      </c>
      <c r="BX164" s="60">
        <f t="shared" si="260"/>
        <v>0</v>
      </c>
      <c r="BY164" s="60">
        <f t="shared" si="261"/>
        <v>0</v>
      </c>
      <c r="BZ164" s="60">
        <f t="shared" si="262"/>
        <v>0</v>
      </c>
      <c r="CA164" s="60">
        <f t="shared" si="263"/>
        <v>0</v>
      </c>
      <c r="CB164" s="60" t="e">
        <f t="shared" si="216"/>
        <v>#N/A</v>
      </c>
      <c r="CC164" s="60">
        <f t="shared" si="217"/>
        <v>100000</v>
      </c>
      <c r="CD164" s="60" t="e">
        <f t="shared" si="218"/>
        <v>#N/A</v>
      </c>
      <c r="CE164" s="60">
        <f t="shared" si="219"/>
        <v>100000</v>
      </c>
      <c r="CF164" s="83" t="e">
        <f t="shared" si="264"/>
        <v>#N/A</v>
      </c>
      <c r="CG164" s="83">
        <f t="shared" si="265"/>
        <v>0</v>
      </c>
      <c r="CH164" s="83" t="e">
        <f t="shared" si="266"/>
        <v>#N/A</v>
      </c>
      <c r="CI164" s="83">
        <f t="shared" si="267"/>
        <v>0</v>
      </c>
      <c r="CJ164" s="86" t="e">
        <f t="shared" si="220"/>
        <v>#N/A</v>
      </c>
      <c r="CK164" s="82">
        <f t="shared" si="221"/>
        <v>5.3070370403969858E-3</v>
      </c>
      <c r="CL164" s="82" t="e">
        <f t="shared" si="222"/>
        <v>#N/A</v>
      </c>
      <c r="CM164" s="82">
        <f t="shared" si="223"/>
        <v>5.3070370403969858E-3</v>
      </c>
      <c r="CO164" s="149" t="str">
        <f>IF($I164&lt;&gt;"",IF(O164="User Specified",U164,INDEX('Refrigerant GWPs'!$G$2:$G$156,MATCH(O164,'Refrigerant GWPs'!$A$2:$A$156,0))),"")</f>
        <v/>
      </c>
      <c r="CP164" s="138" t="str">
        <f>IF($I164&lt;&gt;"",INDEX('Device Refrigerant Leakage'!$E$2:$E$42,MATCH($M164,'Device Refrigerant Leakage'!$B$2:$B$42,0)),"")</f>
        <v/>
      </c>
      <c r="CQ164" s="138" t="str">
        <f>IF($I164&lt;&gt;"",INDEX('Device Refrigerant Leakage'!$F$2:$F$42,MATCH($M164,'Device Refrigerant Leakage'!$B$2:$B$42,0)),"")</f>
        <v/>
      </c>
      <c r="CR164" s="145" t="str">
        <f>IF($I164&lt;&gt;"",INDEX('Device Refrigerant Leakage'!$G$2:$G$42,MATCH($M164,'Device Refrigerant Leakage'!$B$2:$B$42,0)),"")</f>
        <v/>
      </c>
      <c r="CS164" s="145" t="str">
        <f>IF($I164&lt;&gt;"",INDEX('Device Refrigerant Leakage'!$D$2:$D$42,MATCH($M164,'Device Refrigerant Leakage'!$B$2:$B$42,0))*CP164/2204.62*CO164,"")</f>
        <v/>
      </c>
      <c r="CT164" s="145" t="str">
        <f>IF($I164&lt;&gt;"",J164*(INDEX('Device Refrigerant Leakage'!$D$2:$D$42,MATCH($M164,'Device Refrigerant Leakage'!$B$2:$B$42,0))-(INDEX('Device Refrigerant Leakage'!$D$2:$D$42,MATCH($M164,'Device Refrigerant Leakage'!$B$2:$B$42,0)))*CR164*CP164)*CQ164/2204.62*CO164,"")</f>
        <v/>
      </c>
      <c r="CU164" s="135" t="str">
        <f>IF($I164&lt;&gt;"",J164*IF(W164&lt;&gt;"AR",(CS164*K164)+CT164,(CS164*AB164)+CT164*(AB164/INDEX('Device Refrigerant Leakage'!$C$2:$C$42,MATCH($M164,'Device Refrigerant Leakage'!$B$2:$B$42,0)))),"")</f>
        <v/>
      </c>
      <c r="CW164" s="135" t="str">
        <f>IF($I164&lt;&gt;"",IF(S164="User Specified",V164,INDEX('Refrigerant GWPs'!$G$2:$G$156,MATCH(S164,'Refrigerant GWPs'!$A$2:$A$157,0))),"")</f>
        <v/>
      </c>
      <c r="CX164" s="138" t="str">
        <f>IF($I164&lt;&gt;"",INDEX('Device Refrigerant Leakage'!$E$2:$E$42,MATCH($Q164,'Device Refrigerant Leakage'!$B$2:$B$42,0)),"")</f>
        <v/>
      </c>
      <c r="CY164" s="138" t="str">
        <f>IF($I164&lt;&gt;"",INDEX('Device Refrigerant Leakage'!$F$2:$F$42,MATCH($Q164,'Device Refrigerant Leakage'!$B$2:$B$42,0)),"")</f>
        <v/>
      </c>
      <c r="CZ164" s="145" t="str">
        <f>IF($I164&lt;&gt;"",INDEX('Device Refrigerant Leakage'!$G$2:$G$42,MATCH($Q164,'Device Refrigerant Leakage'!$B$2:$B$42,0)),"")</f>
        <v/>
      </c>
      <c r="DA164" s="145" t="str">
        <f>IF($I164&lt;&gt;"",J164*INDEX('Device Refrigerant Leakage'!$D$2:$D$42,MATCH($Q164,'Device Refrigerant Leakage'!$B$2:$B$42,0))*CX164/2204.62*CW164,"")</f>
        <v/>
      </c>
      <c r="DB164" s="145" t="str">
        <f>IF($I164&lt;&gt;"",J164*(INDEX('Device Refrigerant Leakage'!$D$2:$D$42,MATCH($Q164,'Device Refrigerant Leakage'!$B$2:$B$42,0))-(INDEX('Device Refrigerant Leakage'!$D$2:$D$42,MATCH($Q164,'Device Refrigerant Leakage'!$B$2:$B$42,0)))*CZ164*CX164)*CY164/2204.62*CW164,"")</f>
        <v/>
      </c>
      <c r="DC164" s="135" t="str">
        <f t="shared" si="244"/>
        <v/>
      </c>
      <c r="DE164" s="146" t="str">
        <f>IF(W164&lt;&gt;"AR","",IF(Y164="User Specified", AA164, INDEX('Refrigerant GWPs'!$G$2:$G$154,MATCH(Y164,'Refrigerant GWPs'!$A$2:$A$154,0))))</f>
        <v/>
      </c>
      <c r="DF164" s="146" t="str">
        <f>IF(W164&lt;&gt;"AR","",INDEX('Device Refrigerant Leakage'!$E$2:$E$42,MATCH(X164,'Device Refrigerant Leakage'!$B$2:$B$42,0)))</f>
        <v/>
      </c>
      <c r="DG164" s="146" t="str">
        <f>IF(W164&lt;&gt;"AR","",INDEX('Device Refrigerant Leakage'!$F$2:$F$42,MATCH(X164,'Device Refrigerant Leakage'!$B$2:$B$42,0)))</f>
        <v/>
      </c>
      <c r="DH164" s="146" t="str">
        <f>IF(W164&lt;&gt;"AR","",INDEX('Device Refrigerant Leakage'!$G$2:$G$42,MATCH(X164,'Device Refrigerant Leakage'!$B$2:$B$42,0)))</f>
        <v/>
      </c>
      <c r="DI164" s="146" t="str">
        <f>IF(W164&lt;&gt;"AR","",J164*INDEX('Device Refrigerant Leakage'!$D$2:$D$42,MATCH(X164,'Device Refrigerant Leakage'!$B$2:$B$42,0))*DF164/2204.62*DE164)</f>
        <v/>
      </c>
      <c r="DJ164" s="146" t="str">
        <f>IF(W164&lt;&gt;"AR","",J164*(INDEX('Device Refrigerant Leakage'!$D$2:$D$42,MATCH(X164,'Device Refrigerant Leakage'!$B$2:$B$42,0))-(INDEX('Device Refrigerant Leakage'!$D$2:$D$42,MATCH(X164,'Device Refrigerant Leakage'!$B$2:$B$42,0)))*DH164*DF164)*DG164/2204.62*DE164)</f>
        <v/>
      </c>
      <c r="DK164" s="146" t="str">
        <f>IF(W164&lt;&gt;"AR","",DI164*(K164-AB164)+'Fuel Sub Calcs-Deemed'!DJ164*((K164-AB164)/INDEX('Device Refrigerant Leakage'!$C$2:$C$42,MATCH('Fuel Sub Calcs-Deemed'!X164,'Device Refrigerant Leakage'!$B$2:$B$42,0))))</f>
        <v/>
      </c>
      <c r="DM164" s="56">
        <v>150</v>
      </c>
      <c r="DN164" s="67" t="e">
        <f t="shared" si="224"/>
        <v>#N/A</v>
      </c>
      <c r="DO164" s="45" t="e">
        <f t="shared" si="225"/>
        <v>#N/A</v>
      </c>
      <c r="DP164" s="67" t="e">
        <f t="shared" si="226"/>
        <v>#N/A</v>
      </c>
      <c r="DQ164" s="45" t="e">
        <f t="shared" si="227"/>
        <v>#N/A</v>
      </c>
      <c r="DR164" s="69" t="e">
        <f t="shared" si="228"/>
        <v>#N/A</v>
      </c>
      <c r="DS164" s="34"/>
      <c r="DT164" s="67" t="e">
        <f>((BX164*CJ164)+IF($W164=MAT_AR,(BZ164*CL164),0))*(1+Reference!$E$50+Reference!$E$51)</f>
        <v>#N/A</v>
      </c>
      <c r="DU164" s="67">
        <f>((BY164*CK164)+IF($W164=MAT_AR,(CA164*CM164),0))*(1+Reference!$G$50+Reference!$G$51)</f>
        <v>0</v>
      </c>
      <c r="DV164" s="67" t="e">
        <f t="shared" si="229"/>
        <v>#VALUE!</v>
      </c>
      <c r="DX164" s="56">
        <v>150</v>
      </c>
      <c r="DY164" s="67">
        <f t="shared" si="230"/>
        <v>0</v>
      </c>
      <c r="DZ164" s="45" t="e">
        <f>VLOOKUP($R164,Dropdown!$C$3:$D$4,2,FALSE)</f>
        <v>#N/A</v>
      </c>
      <c r="EA164" s="68">
        <f t="shared" si="231"/>
        <v>0</v>
      </c>
      <c r="EB164" s="68" t="str">
        <f t="shared" si="232"/>
        <v>N/A</v>
      </c>
      <c r="EC164" s="68">
        <f t="shared" si="233"/>
        <v>0</v>
      </c>
      <c r="ED164" s="68" t="str">
        <f t="shared" si="234"/>
        <v>N/A</v>
      </c>
      <c r="EF164" s="56">
        <v>150</v>
      </c>
      <c r="EG164" s="46">
        <f t="shared" si="235"/>
        <v>0</v>
      </c>
      <c r="EH164" s="68" t="e">
        <f t="shared" si="236"/>
        <v>#N/A</v>
      </c>
      <c r="EI164" s="68" t="e">
        <f t="shared" si="237"/>
        <v>#N/A</v>
      </c>
      <c r="EJ164" s="68" t="e">
        <f t="shared" si="238"/>
        <v>#N/A</v>
      </c>
      <c r="EK164" s="68" t="e">
        <f t="shared" si="239"/>
        <v>#N/A</v>
      </c>
      <c r="EL164" s="46">
        <f t="shared" si="240"/>
        <v>0</v>
      </c>
      <c r="EM164" s="46">
        <f t="shared" si="241"/>
        <v>0</v>
      </c>
    </row>
    <row r="165" spans="1:143">
      <c r="A165" s="89"/>
      <c r="B165" s="89"/>
      <c r="C165" s="89"/>
      <c r="D165" s="89"/>
      <c r="E165" s="89"/>
      <c r="F165" s="89"/>
      <c r="G165" s="34"/>
      <c r="H165" s="56">
        <f t="shared" si="242"/>
        <v>151</v>
      </c>
      <c r="I165" s="165"/>
      <c r="J165" s="163"/>
      <c r="K165" s="163"/>
      <c r="L165" s="164"/>
      <c r="M165" s="155"/>
      <c r="N165" s="155"/>
      <c r="O165" s="144"/>
      <c r="P165" s="159" t="str">
        <f>IFERROR(IF(O165&lt;&gt;"User Specified",IF(O165&lt;&gt;"", INDEX('Refrigerant GWPs'!$G$2:$G$154,MATCH(O165,'Refrigerant GWPs'!$A$2:$A$154,0)),""),U165),0)</f>
        <v/>
      </c>
      <c r="Q165" s="155"/>
      <c r="R165" s="155"/>
      <c r="S165" s="144"/>
      <c r="T165" s="159" t="str">
        <f>IF(S165&lt;&gt;"User Specified",IF(AND(S165&lt;&gt;"User Specified",S165&lt;&gt;""), INDEX('Refrigerant GWPs'!$G$2:$G$154,MATCH(S165,'Refrigerant GWPs'!$A$2:$A$154,0)),""),V165)</f>
        <v/>
      </c>
      <c r="U165" s="144"/>
      <c r="V165" s="144"/>
      <c r="W165" s="155"/>
      <c r="X165" s="155"/>
      <c r="Y165" s="144"/>
      <c r="Z165" s="159" t="str">
        <f>IF(AND(Y165&lt;&gt;"User Specified",Y165&lt;&gt;""), INDEX('Refrigerant GWPs'!$G$2:$G$154,MATCH(Y165,'Refrigerant GWPs'!$A$2:$A$154,0)),"")</f>
        <v/>
      </c>
      <c r="AA165" s="155"/>
      <c r="AB165" s="156"/>
      <c r="AC165" s="66"/>
      <c r="AD165" s="66"/>
      <c r="AE165" s="66"/>
      <c r="AF165" s="66"/>
      <c r="AG165" s="66"/>
      <c r="AH165" s="66"/>
      <c r="AI165" s="34"/>
      <c r="AJ165" s="88">
        <f t="shared" si="200"/>
        <v>0</v>
      </c>
      <c r="AK165" s="88">
        <f t="shared" si="201"/>
        <v>0</v>
      </c>
      <c r="AL165" s="88">
        <v>0</v>
      </c>
      <c r="AM165" s="88">
        <v>0</v>
      </c>
      <c r="AN165" s="81" t="str">
        <f t="shared" si="243"/>
        <v/>
      </c>
      <c r="AO165" s="88">
        <f t="shared" si="202"/>
        <v>0</v>
      </c>
      <c r="AP165" s="88">
        <f t="shared" si="203"/>
        <v>0</v>
      </c>
      <c r="AQ165" s="81" t="str">
        <f t="shared" si="204"/>
        <v/>
      </c>
      <c r="AS165" s="41" t="b">
        <f t="shared" si="205"/>
        <v>1</v>
      </c>
      <c r="AT165" s="38">
        <f t="shared" si="206"/>
        <v>0</v>
      </c>
      <c r="AU165" s="60">
        <f t="shared" si="207"/>
        <v>0</v>
      </c>
      <c r="AV165" s="41">
        <f t="shared" si="208"/>
        <v>0</v>
      </c>
      <c r="AW165" s="41" t="b">
        <f t="shared" si="209"/>
        <v>0</v>
      </c>
      <c r="AX165" t="str">
        <f t="shared" si="210"/>
        <v>+00</v>
      </c>
      <c r="AY165" t="str">
        <f t="shared" si="211"/>
        <v>+00</v>
      </c>
      <c r="BA165" s="47" t="b">
        <f t="shared" si="245"/>
        <v>1</v>
      </c>
      <c r="BB165" s="42" t="b">
        <f t="shared" si="246"/>
        <v>1</v>
      </c>
      <c r="BC165" s="42" t="b">
        <f t="shared" si="247"/>
        <v>0</v>
      </c>
      <c r="BD165" s="42" t="b">
        <f t="shared" si="248"/>
        <v>0</v>
      </c>
      <c r="BE165" s="70">
        <f t="shared" si="249"/>
        <v>0</v>
      </c>
      <c r="BF165" s="70">
        <f t="shared" si="250"/>
        <v>0</v>
      </c>
      <c r="BG165" s="34"/>
      <c r="BI165" s="47" t="b">
        <f t="shared" si="251"/>
        <v>1</v>
      </c>
      <c r="BJ165" s="47" t="b">
        <f t="shared" si="252"/>
        <v>1</v>
      </c>
      <c r="BK165" s="42" t="b">
        <f t="shared" si="253"/>
        <v>0</v>
      </c>
      <c r="BL165" s="42" t="b">
        <f t="shared" si="254"/>
        <v>0</v>
      </c>
      <c r="BM165" s="42">
        <f t="shared" si="255"/>
        <v>0</v>
      </c>
      <c r="BN165" s="42">
        <f t="shared" si="256"/>
        <v>0</v>
      </c>
      <c r="BP165" t="e">
        <f t="shared" si="257"/>
        <v>#N/A</v>
      </c>
      <c r="BQ165" t="e">
        <f t="shared" si="258"/>
        <v>#N/A</v>
      </c>
      <c r="BR165" t="e">
        <f t="shared" si="259"/>
        <v>#N/A</v>
      </c>
      <c r="BT165" s="60">
        <f t="shared" si="212"/>
        <v>0</v>
      </c>
      <c r="BU165" s="60">
        <f t="shared" si="213"/>
        <v>0</v>
      </c>
      <c r="BV165" s="60">
        <f t="shared" si="214"/>
        <v>0</v>
      </c>
      <c r="BW165" s="60">
        <f t="shared" si="215"/>
        <v>0</v>
      </c>
      <c r="BX165" s="60">
        <f t="shared" si="260"/>
        <v>0</v>
      </c>
      <c r="BY165" s="60">
        <f t="shared" si="261"/>
        <v>0</v>
      </c>
      <c r="BZ165" s="60">
        <f t="shared" si="262"/>
        <v>0</v>
      </c>
      <c r="CA165" s="60">
        <f t="shared" si="263"/>
        <v>0</v>
      </c>
      <c r="CB165" s="60" t="e">
        <f t="shared" si="216"/>
        <v>#N/A</v>
      </c>
      <c r="CC165" s="60">
        <f t="shared" si="217"/>
        <v>100000</v>
      </c>
      <c r="CD165" s="60" t="e">
        <f t="shared" si="218"/>
        <v>#N/A</v>
      </c>
      <c r="CE165" s="60">
        <f t="shared" si="219"/>
        <v>100000</v>
      </c>
      <c r="CF165" s="83" t="e">
        <f t="shared" si="264"/>
        <v>#N/A</v>
      </c>
      <c r="CG165" s="83">
        <f t="shared" si="265"/>
        <v>0</v>
      </c>
      <c r="CH165" s="83" t="e">
        <f t="shared" si="266"/>
        <v>#N/A</v>
      </c>
      <c r="CI165" s="83">
        <f t="shared" si="267"/>
        <v>0</v>
      </c>
      <c r="CJ165" s="86" t="e">
        <f t="shared" si="220"/>
        <v>#N/A</v>
      </c>
      <c r="CK165" s="82">
        <f t="shared" si="221"/>
        <v>5.3070370403969858E-3</v>
      </c>
      <c r="CL165" s="82" t="e">
        <f t="shared" si="222"/>
        <v>#N/A</v>
      </c>
      <c r="CM165" s="82">
        <f t="shared" si="223"/>
        <v>5.3070370403969858E-3</v>
      </c>
      <c r="CO165" s="149" t="str">
        <f>IF($I165&lt;&gt;"",IF(O165="User Specified",U165,INDEX('Refrigerant GWPs'!$G$2:$G$156,MATCH(O165,'Refrigerant GWPs'!$A$2:$A$156,0))),"")</f>
        <v/>
      </c>
      <c r="CP165" s="138" t="str">
        <f>IF($I165&lt;&gt;"",INDEX('Device Refrigerant Leakage'!$E$2:$E$42,MATCH($M165,'Device Refrigerant Leakage'!$B$2:$B$42,0)),"")</f>
        <v/>
      </c>
      <c r="CQ165" s="138" t="str">
        <f>IF($I165&lt;&gt;"",INDEX('Device Refrigerant Leakage'!$F$2:$F$42,MATCH($M165,'Device Refrigerant Leakage'!$B$2:$B$42,0)),"")</f>
        <v/>
      </c>
      <c r="CR165" s="145" t="str">
        <f>IF($I165&lt;&gt;"",INDEX('Device Refrigerant Leakage'!$G$2:$G$42,MATCH($M165,'Device Refrigerant Leakage'!$B$2:$B$42,0)),"")</f>
        <v/>
      </c>
      <c r="CS165" s="145" t="str">
        <f>IF($I165&lt;&gt;"",INDEX('Device Refrigerant Leakage'!$D$2:$D$42,MATCH($M165,'Device Refrigerant Leakage'!$B$2:$B$42,0))*CP165/2204.62*CO165,"")</f>
        <v/>
      </c>
      <c r="CT165" s="145" t="str">
        <f>IF($I165&lt;&gt;"",J165*(INDEX('Device Refrigerant Leakage'!$D$2:$D$42,MATCH($M165,'Device Refrigerant Leakage'!$B$2:$B$42,0))-(INDEX('Device Refrigerant Leakage'!$D$2:$D$42,MATCH($M165,'Device Refrigerant Leakage'!$B$2:$B$42,0)))*CR165*CP165)*CQ165/2204.62*CO165,"")</f>
        <v/>
      </c>
      <c r="CU165" s="135" t="str">
        <f>IF($I165&lt;&gt;"",J165*IF(W165&lt;&gt;"AR",(CS165*K165)+CT165,(CS165*AB165)+CT165*(AB165/INDEX('Device Refrigerant Leakage'!$C$2:$C$42,MATCH($M165,'Device Refrigerant Leakage'!$B$2:$B$42,0)))),"")</f>
        <v/>
      </c>
      <c r="CW165" s="135" t="str">
        <f>IF($I165&lt;&gt;"",IF(S165="User Specified",V165,INDEX('Refrigerant GWPs'!$G$2:$G$156,MATCH(S165,'Refrigerant GWPs'!$A$2:$A$157,0))),"")</f>
        <v/>
      </c>
      <c r="CX165" s="138" t="str">
        <f>IF($I165&lt;&gt;"",INDEX('Device Refrigerant Leakage'!$E$2:$E$42,MATCH($Q165,'Device Refrigerant Leakage'!$B$2:$B$42,0)),"")</f>
        <v/>
      </c>
      <c r="CY165" s="138" t="str">
        <f>IF($I165&lt;&gt;"",INDEX('Device Refrigerant Leakage'!$F$2:$F$42,MATCH($Q165,'Device Refrigerant Leakage'!$B$2:$B$42,0)),"")</f>
        <v/>
      </c>
      <c r="CZ165" s="145" t="str">
        <f>IF($I165&lt;&gt;"",INDEX('Device Refrigerant Leakage'!$G$2:$G$42,MATCH($Q165,'Device Refrigerant Leakage'!$B$2:$B$42,0)),"")</f>
        <v/>
      </c>
      <c r="DA165" s="145" t="str">
        <f>IF($I165&lt;&gt;"",J165*INDEX('Device Refrigerant Leakage'!$D$2:$D$42,MATCH($Q165,'Device Refrigerant Leakage'!$B$2:$B$42,0))*CX165/2204.62*CW165,"")</f>
        <v/>
      </c>
      <c r="DB165" s="145" t="str">
        <f>IF($I165&lt;&gt;"",J165*(INDEX('Device Refrigerant Leakage'!$D$2:$D$42,MATCH($Q165,'Device Refrigerant Leakage'!$B$2:$B$42,0))-(INDEX('Device Refrigerant Leakage'!$D$2:$D$42,MATCH($Q165,'Device Refrigerant Leakage'!$B$2:$B$42,0)))*CZ165*CX165)*CY165/2204.62*CW165,"")</f>
        <v/>
      </c>
      <c r="DC165" s="135" t="str">
        <f t="shared" si="244"/>
        <v/>
      </c>
      <c r="DE165" s="146" t="str">
        <f>IF(W165&lt;&gt;"AR","",IF(Y165="User Specified", AA165, INDEX('Refrigerant GWPs'!$G$2:$G$154,MATCH(Y165,'Refrigerant GWPs'!$A$2:$A$154,0))))</f>
        <v/>
      </c>
      <c r="DF165" s="146" t="str">
        <f>IF(W165&lt;&gt;"AR","",INDEX('Device Refrigerant Leakage'!$E$2:$E$42,MATCH(X165,'Device Refrigerant Leakage'!$B$2:$B$42,0)))</f>
        <v/>
      </c>
      <c r="DG165" s="146" t="str">
        <f>IF(W165&lt;&gt;"AR","",INDEX('Device Refrigerant Leakage'!$F$2:$F$42,MATCH(X165,'Device Refrigerant Leakage'!$B$2:$B$42,0)))</f>
        <v/>
      </c>
      <c r="DH165" s="146" t="str">
        <f>IF(W165&lt;&gt;"AR","",INDEX('Device Refrigerant Leakage'!$G$2:$G$42,MATCH(X165,'Device Refrigerant Leakage'!$B$2:$B$42,0)))</f>
        <v/>
      </c>
      <c r="DI165" s="146" t="str">
        <f>IF(W165&lt;&gt;"AR","",J165*INDEX('Device Refrigerant Leakage'!$D$2:$D$42,MATCH(X165,'Device Refrigerant Leakage'!$B$2:$B$42,0))*DF165/2204.62*DE165)</f>
        <v/>
      </c>
      <c r="DJ165" s="146" t="str">
        <f>IF(W165&lt;&gt;"AR","",J165*(INDEX('Device Refrigerant Leakage'!$D$2:$D$42,MATCH(X165,'Device Refrigerant Leakage'!$B$2:$B$42,0))-(INDEX('Device Refrigerant Leakage'!$D$2:$D$42,MATCH(X165,'Device Refrigerant Leakage'!$B$2:$B$42,0)))*DH165*DF165)*DG165/2204.62*DE165)</f>
        <v/>
      </c>
      <c r="DK165" s="146" t="str">
        <f>IF(W165&lt;&gt;"AR","",DI165*(K165-AB165)+'Fuel Sub Calcs-Deemed'!DJ165*((K165-AB165)/INDEX('Device Refrigerant Leakage'!$C$2:$C$42,MATCH('Fuel Sub Calcs-Deemed'!X165,'Device Refrigerant Leakage'!$B$2:$B$42,0))))</f>
        <v/>
      </c>
      <c r="DM165" s="56">
        <v>151</v>
      </c>
      <c r="DN165" s="67" t="e">
        <f t="shared" si="224"/>
        <v>#N/A</v>
      </c>
      <c r="DO165" s="45" t="e">
        <f t="shared" si="225"/>
        <v>#N/A</v>
      </c>
      <c r="DP165" s="67" t="e">
        <f t="shared" si="226"/>
        <v>#N/A</v>
      </c>
      <c r="DQ165" s="45" t="e">
        <f t="shared" si="227"/>
        <v>#N/A</v>
      </c>
      <c r="DR165" s="69" t="e">
        <f t="shared" si="228"/>
        <v>#N/A</v>
      </c>
      <c r="DS165" s="34"/>
      <c r="DT165" s="67" t="e">
        <f>((BX165*CJ165)+IF($W165=MAT_AR,(BZ165*CL165),0))*(1+Reference!$E$50+Reference!$E$51)</f>
        <v>#N/A</v>
      </c>
      <c r="DU165" s="67">
        <f>((BY165*CK165)+IF($W165=MAT_AR,(CA165*CM165),0))*(1+Reference!$G$50+Reference!$G$51)</f>
        <v>0</v>
      </c>
      <c r="DV165" s="67" t="e">
        <f t="shared" si="229"/>
        <v>#VALUE!</v>
      </c>
      <c r="DX165" s="56">
        <v>151</v>
      </c>
      <c r="DY165" s="67">
        <f t="shared" si="230"/>
        <v>0</v>
      </c>
      <c r="DZ165" s="45" t="e">
        <f>VLOOKUP($R165,Dropdown!$C$3:$D$4,2,FALSE)</f>
        <v>#N/A</v>
      </c>
      <c r="EA165" s="68">
        <f t="shared" si="231"/>
        <v>0</v>
      </c>
      <c r="EB165" s="68" t="str">
        <f t="shared" si="232"/>
        <v>N/A</v>
      </c>
      <c r="EC165" s="68">
        <f t="shared" si="233"/>
        <v>0</v>
      </c>
      <c r="ED165" s="68" t="str">
        <f t="shared" si="234"/>
        <v>N/A</v>
      </c>
      <c r="EF165" s="56">
        <v>151</v>
      </c>
      <c r="EG165" s="46">
        <f t="shared" si="235"/>
        <v>0</v>
      </c>
      <c r="EH165" s="68" t="e">
        <f t="shared" si="236"/>
        <v>#N/A</v>
      </c>
      <c r="EI165" s="68" t="e">
        <f t="shared" si="237"/>
        <v>#N/A</v>
      </c>
      <c r="EJ165" s="68" t="e">
        <f t="shared" si="238"/>
        <v>#N/A</v>
      </c>
      <c r="EK165" s="68" t="e">
        <f t="shared" si="239"/>
        <v>#N/A</v>
      </c>
      <c r="EL165" s="46">
        <f t="shared" si="240"/>
        <v>0</v>
      </c>
      <c r="EM165" s="46">
        <f t="shared" si="241"/>
        <v>0</v>
      </c>
    </row>
    <row r="166" spans="1:143">
      <c r="A166" s="89"/>
      <c r="B166" s="89"/>
      <c r="C166" s="89"/>
      <c r="D166" s="89"/>
      <c r="E166" s="89"/>
      <c r="F166" s="89"/>
      <c r="G166" s="34"/>
      <c r="H166" s="56">
        <f t="shared" si="242"/>
        <v>152</v>
      </c>
      <c r="I166" s="165"/>
      <c r="J166" s="163"/>
      <c r="K166" s="163"/>
      <c r="L166" s="164"/>
      <c r="M166" s="155"/>
      <c r="N166" s="155"/>
      <c r="O166" s="144"/>
      <c r="P166" s="159" t="str">
        <f>IFERROR(IF(O166&lt;&gt;"User Specified",IF(O166&lt;&gt;"", INDEX('Refrigerant GWPs'!$G$2:$G$154,MATCH(O166,'Refrigerant GWPs'!$A$2:$A$154,0)),""),U166),0)</f>
        <v/>
      </c>
      <c r="Q166" s="155"/>
      <c r="R166" s="155"/>
      <c r="S166" s="144"/>
      <c r="T166" s="159" t="str">
        <f>IF(S166&lt;&gt;"User Specified",IF(AND(S166&lt;&gt;"User Specified",S166&lt;&gt;""), INDEX('Refrigerant GWPs'!$G$2:$G$154,MATCH(S166,'Refrigerant GWPs'!$A$2:$A$154,0)),""),V166)</f>
        <v/>
      </c>
      <c r="U166" s="144"/>
      <c r="V166" s="144"/>
      <c r="W166" s="155"/>
      <c r="X166" s="155"/>
      <c r="Y166" s="144"/>
      <c r="Z166" s="159" t="str">
        <f>IF(AND(Y166&lt;&gt;"User Specified",Y166&lt;&gt;""), INDEX('Refrigerant GWPs'!$G$2:$G$154,MATCH(Y166,'Refrigerant GWPs'!$A$2:$A$154,0)),"")</f>
        <v/>
      </c>
      <c r="AA166" s="155"/>
      <c r="AB166" s="156"/>
      <c r="AC166" s="66"/>
      <c r="AD166" s="66"/>
      <c r="AE166" s="66"/>
      <c r="AF166" s="66"/>
      <c r="AG166" s="66"/>
      <c r="AH166" s="66"/>
      <c r="AI166" s="34"/>
      <c r="AJ166" s="88">
        <f t="shared" si="200"/>
        <v>0</v>
      </c>
      <c r="AK166" s="88">
        <f t="shared" si="201"/>
        <v>0</v>
      </c>
      <c r="AL166" s="88">
        <v>0</v>
      </c>
      <c r="AM166" s="88">
        <v>0</v>
      </c>
      <c r="AN166" s="81" t="str">
        <f t="shared" si="243"/>
        <v/>
      </c>
      <c r="AO166" s="88">
        <f t="shared" si="202"/>
        <v>0</v>
      </c>
      <c r="AP166" s="88">
        <f t="shared" si="203"/>
        <v>0</v>
      </c>
      <c r="AQ166" s="81" t="str">
        <f t="shared" si="204"/>
        <v/>
      </c>
      <c r="AS166" s="41" t="b">
        <f t="shared" si="205"/>
        <v>1</v>
      </c>
      <c r="AT166" s="38">
        <f t="shared" si="206"/>
        <v>0</v>
      </c>
      <c r="AU166" s="60">
        <f t="shared" si="207"/>
        <v>0</v>
      </c>
      <c r="AV166" s="41">
        <f t="shared" si="208"/>
        <v>0</v>
      </c>
      <c r="AW166" s="41" t="b">
        <f t="shared" si="209"/>
        <v>0</v>
      </c>
      <c r="AX166" t="str">
        <f t="shared" si="210"/>
        <v>+00</v>
      </c>
      <c r="AY166" t="str">
        <f t="shared" si="211"/>
        <v>+00</v>
      </c>
      <c r="BA166" s="47" t="b">
        <f t="shared" si="245"/>
        <v>1</v>
      </c>
      <c r="BB166" s="42" t="b">
        <f t="shared" si="246"/>
        <v>1</v>
      </c>
      <c r="BC166" s="42" t="b">
        <f t="shared" si="247"/>
        <v>0</v>
      </c>
      <c r="BD166" s="42" t="b">
        <f t="shared" si="248"/>
        <v>0</v>
      </c>
      <c r="BE166" s="70">
        <f t="shared" si="249"/>
        <v>0</v>
      </c>
      <c r="BF166" s="70">
        <f t="shared" si="250"/>
        <v>0</v>
      </c>
      <c r="BG166" s="34"/>
      <c r="BI166" s="47" t="b">
        <f t="shared" si="251"/>
        <v>1</v>
      </c>
      <c r="BJ166" s="47" t="b">
        <f t="shared" si="252"/>
        <v>1</v>
      </c>
      <c r="BK166" s="42" t="b">
        <f t="shared" si="253"/>
        <v>0</v>
      </c>
      <c r="BL166" s="42" t="b">
        <f t="shared" si="254"/>
        <v>0</v>
      </c>
      <c r="BM166" s="42">
        <f t="shared" si="255"/>
        <v>0</v>
      </c>
      <c r="BN166" s="42">
        <f t="shared" si="256"/>
        <v>0</v>
      </c>
      <c r="BP166" t="e">
        <f t="shared" si="257"/>
        <v>#N/A</v>
      </c>
      <c r="BQ166" t="e">
        <f t="shared" si="258"/>
        <v>#N/A</v>
      </c>
      <c r="BR166" t="e">
        <f t="shared" si="259"/>
        <v>#N/A</v>
      </c>
      <c r="BT166" s="60">
        <f t="shared" si="212"/>
        <v>0</v>
      </c>
      <c r="BU166" s="60">
        <f t="shared" si="213"/>
        <v>0</v>
      </c>
      <c r="BV166" s="60">
        <f t="shared" si="214"/>
        <v>0</v>
      </c>
      <c r="BW166" s="60">
        <f t="shared" si="215"/>
        <v>0</v>
      </c>
      <c r="BX166" s="60">
        <f t="shared" si="260"/>
        <v>0</v>
      </c>
      <c r="BY166" s="60">
        <f t="shared" si="261"/>
        <v>0</v>
      </c>
      <c r="BZ166" s="60">
        <f t="shared" si="262"/>
        <v>0</v>
      </c>
      <c r="CA166" s="60">
        <f t="shared" si="263"/>
        <v>0</v>
      </c>
      <c r="CB166" s="60" t="e">
        <f t="shared" si="216"/>
        <v>#N/A</v>
      </c>
      <c r="CC166" s="60">
        <f t="shared" si="217"/>
        <v>100000</v>
      </c>
      <c r="CD166" s="60" t="e">
        <f t="shared" si="218"/>
        <v>#N/A</v>
      </c>
      <c r="CE166" s="60">
        <f t="shared" si="219"/>
        <v>100000</v>
      </c>
      <c r="CF166" s="83" t="e">
        <f t="shared" si="264"/>
        <v>#N/A</v>
      </c>
      <c r="CG166" s="83">
        <f t="shared" si="265"/>
        <v>0</v>
      </c>
      <c r="CH166" s="83" t="e">
        <f t="shared" si="266"/>
        <v>#N/A</v>
      </c>
      <c r="CI166" s="83">
        <f t="shared" si="267"/>
        <v>0</v>
      </c>
      <c r="CJ166" s="86" t="e">
        <f t="shared" si="220"/>
        <v>#N/A</v>
      </c>
      <c r="CK166" s="82">
        <f t="shared" si="221"/>
        <v>5.3070370403969858E-3</v>
      </c>
      <c r="CL166" s="82" t="e">
        <f t="shared" si="222"/>
        <v>#N/A</v>
      </c>
      <c r="CM166" s="82">
        <f t="shared" si="223"/>
        <v>5.3070370403969858E-3</v>
      </c>
      <c r="CO166" s="149" t="str">
        <f>IF($I166&lt;&gt;"",IF(O166="User Specified",U166,INDEX('Refrigerant GWPs'!$G$2:$G$156,MATCH(O166,'Refrigerant GWPs'!$A$2:$A$156,0))),"")</f>
        <v/>
      </c>
      <c r="CP166" s="138" t="str">
        <f>IF($I166&lt;&gt;"",INDEX('Device Refrigerant Leakage'!$E$2:$E$42,MATCH($M166,'Device Refrigerant Leakage'!$B$2:$B$42,0)),"")</f>
        <v/>
      </c>
      <c r="CQ166" s="138" t="str">
        <f>IF($I166&lt;&gt;"",INDEX('Device Refrigerant Leakage'!$F$2:$F$42,MATCH($M166,'Device Refrigerant Leakage'!$B$2:$B$42,0)),"")</f>
        <v/>
      </c>
      <c r="CR166" s="145" t="str">
        <f>IF($I166&lt;&gt;"",INDEX('Device Refrigerant Leakage'!$G$2:$G$42,MATCH($M166,'Device Refrigerant Leakage'!$B$2:$B$42,0)),"")</f>
        <v/>
      </c>
      <c r="CS166" s="145" t="str">
        <f>IF($I166&lt;&gt;"",INDEX('Device Refrigerant Leakage'!$D$2:$D$42,MATCH($M166,'Device Refrigerant Leakage'!$B$2:$B$42,0))*CP166/2204.62*CO166,"")</f>
        <v/>
      </c>
      <c r="CT166" s="145" t="str">
        <f>IF($I166&lt;&gt;"",J166*(INDEX('Device Refrigerant Leakage'!$D$2:$D$42,MATCH($M166,'Device Refrigerant Leakage'!$B$2:$B$42,0))-(INDEX('Device Refrigerant Leakage'!$D$2:$D$42,MATCH($M166,'Device Refrigerant Leakage'!$B$2:$B$42,0)))*CR166*CP166)*CQ166/2204.62*CO166,"")</f>
        <v/>
      </c>
      <c r="CU166" s="135" t="str">
        <f>IF($I166&lt;&gt;"",J166*IF(W166&lt;&gt;"AR",(CS166*K166)+CT166,(CS166*AB166)+CT166*(AB166/INDEX('Device Refrigerant Leakage'!$C$2:$C$42,MATCH($M166,'Device Refrigerant Leakage'!$B$2:$B$42,0)))),"")</f>
        <v/>
      </c>
      <c r="CW166" s="135" t="str">
        <f>IF($I166&lt;&gt;"",IF(S166="User Specified",V166,INDEX('Refrigerant GWPs'!$G$2:$G$156,MATCH(S166,'Refrigerant GWPs'!$A$2:$A$157,0))),"")</f>
        <v/>
      </c>
      <c r="CX166" s="138" t="str">
        <f>IF($I166&lt;&gt;"",INDEX('Device Refrigerant Leakage'!$E$2:$E$42,MATCH($Q166,'Device Refrigerant Leakage'!$B$2:$B$42,0)),"")</f>
        <v/>
      </c>
      <c r="CY166" s="138" t="str">
        <f>IF($I166&lt;&gt;"",INDEX('Device Refrigerant Leakage'!$F$2:$F$42,MATCH($Q166,'Device Refrigerant Leakage'!$B$2:$B$42,0)),"")</f>
        <v/>
      </c>
      <c r="CZ166" s="145" t="str">
        <f>IF($I166&lt;&gt;"",INDEX('Device Refrigerant Leakage'!$G$2:$G$42,MATCH($Q166,'Device Refrigerant Leakage'!$B$2:$B$42,0)),"")</f>
        <v/>
      </c>
      <c r="DA166" s="145" t="str">
        <f>IF($I166&lt;&gt;"",J166*INDEX('Device Refrigerant Leakage'!$D$2:$D$42,MATCH($Q166,'Device Refrigerant Leakage'!$B$2:$B$42,0))*CX166/2204.62*CW166,"")</f>
        <v/>
      </c>
      <c r="DB166" s="145" t="str">
        <f>IF($I166&lt;&gt;"",J166*(INDEX('Device Refrigerant Leakage'!$D$2:$D$42,MATCH($Q166,'Device Refrigerant Leakage'!$B$2:$B$42,0))-(INDEX('Device Refrigerant Leakage'!$D$2:$D$42,MATCH($Q166,'Device Refrigerant Leakage'!$B$2:$B$42,0)))*CZ166*CX166)*CY166/2204.62*CW166,"")</f>
        <v/>
      </c>
      <c r="DC166" s="135" t="str">
        <f t="shared" si="244"/>
        <v/>
      </c>
      <c r="DE166" s="146" t="str">
        <f>IF(W166&lt;&gt;"AR","",IF(Y166="User Specified", AA166, INDEX('Refrigerant GWPs'!$G$2:$G$154,MATCH(Y166,'Refrigerant GWPs'!$A$2:$A$154,0))))</f>
        <v/>
      </c>
      <c r="DF166" s="146" t="str">
        <f>IF(W166&lt;&gt;"AR","",INDEX('Device Refrigerant Leakage'!$E$2:$E$42,MATCH(X166,'Device Refrigerant Leakage'!$B$2:$B$42,0)))</f>
        <v/>
      </c>
      <c r="DG166" s="146" t="str">
        <f>IF(W166&lt;&gt;"AR","",INDEX('Device Refrigerant Leakage'!$F$2:$F$42,MATCH(X166,'Device Refrigerant Leakage'!$B$2:$B$42,0)))</f>
        <v/>
      </c>
      <c r="DH166" s="146" t="str">
        <f>IF(W166&lt;&gt;"AR","",INDEX('Device Refrigerant Leakage'!$G$2:$G$42,MATCH(X166,'Device Refrigerant Leakage'!$B$2:$B$42,0)))</f>
        <v/>
      </c>
      <c r="DI166" s="146" t="str">
        <f>IF(W166&lt;&gt;"AR","",J166*INDEX('Device Refrigerant Leakage'!$D$2:$D$42,MATCH(X166,'Device Refrigerant Leakage'!$B$2:$B$42,0))*DF166/2204.62*DE166)</f>
        <v/>
      </c>
      <c r="DJ166" s="146" t="str">
        <f>IF(W166&lt;&gt;"AR","",J166*(INDEX('Device Refrigerant Leakage'!$D$2:$D$42,MATCH(X166,'Device Refrigerant Leakage'!$B$2:$B$42,0))-(INDEX('Device Refrigerant Leakage'!$D$2:$D$42,MATCH(X166,'Device Refrigerant Leakage'!$B$2:$B$42,0)))*DH166*DF166)*DG166/2204.62*DE166)</f>
        <v/>
      </c>
      <c r="DK166" s="146" t="str">
        <f>IF(W166&lt;&gt;"AR","",DI166*(K166-AB166)+'Fuel Sub Calcs-Deemed'!DJ166*((K166-AB166)/INDEX('Device Refrigerant Leakage'!$C$2:$C$42,MATCH('Fuel Sub Calcs-Deemed'!X166,'Device Refrigerant Leakage'!$B$2:$B$42,0))))</f>
        <v/>
      </c>
      <c r="DM166" s="56">
        <v>152</v>
      </c>
      <c r="DN166" s="67" t="e">
        <f t="shared" si="224"/>
        <v>#N/A</v>
      </c>
      <c r="DO166" s="45" t="e">
        <f t="shared" si="225"/>
        <v>#N/A</v>
      </c>
      <c r="DP166" s="67" t="e">
        <f t="shared" si="226"/>
        <v>#N/A</v>
      </c>
      <c r="DQ166" s="45" t="e">
        <f t="shared" si="227"/>
        <v>#N/A</v>
      </c>
      <c r="DR166" s="69" t="e">
        <f t="shared" si="228"/>
        <v>#N/A</v>
      </c>
      <c r="DS166" s="34"/>
      <c r="DT166" s="67" t="e">
        <f>((BX166*CJ166)+IF($W166=MAT_AR,(BZ166*CL166),0))*(1+Reference!$E$50+Reference!$E$51)</f>
        <v>#N/A</v>
      </c>
      <c r="DU166" s="67">
        <f>((BY166*CK166)+IF($W166=MAT_AR,(CA166*CM166),0))*(1+Reference!$G$50+Reference!$G$51)</f>
        <v>0</v>
      </c>
      <c r="DV166" s="67" t="e">
        <f t="shared" si="229"/>
        <v>#VALUE!</v>
      </c>
      <c r="DX166" s="56">
        <v>152</v>
      </c>
      <c r="DY166" s="67">
        <f t="shared" si="230"/>
        <v>0</v>
      </c>
      <c r="DZ166" s="45" t="e">
        <f>VLOOKUP($R166,Dropdown!$C$3:$D$4,2,FALSE)</f>
        <v>#N/A</v>
      </c>
      <c r="EA166" s="68">
        <f t="shared" si="231"/>
        <v>0</v>
      </c>
      <c r="EB166" s="68" t="str">
        <f t="shared" si="232"/>
        <v>N/A</v>
      </c>
      <c r="EC166" s="68">
        <f t="shared" si="233"/>
        <v>0</v>
      </c>
      <c r="ED166" s="68" t="str">
        <f t="shared" si="234"/>
        <v>N/A</v>
      </c>
      <c r="EF166" s="56">
        <v>152</v>
      </c>
      <c r="EG166" s="46">
        <f t="shared" si="235"/>
        <v>0</v>
      </c>
      <c r="EH166" s="68" t="e">
        <f t="shared" si="236"/>
        <v>#N/A</v>
      </c>
      <c r="EI166" s="68" t="e">
        <f t="shared" si="237"/>
        <v>#N/A</v>
      </c>
      <c r="EJ166" s="68" t="e">
        <f t="shared" si="238"/>
        <v>#N/A</v>
      </c>
      <c r="EK166" s="68" t="e">
        <f t="shared" si="239"/>
        <v>#N/A</v>
      </c>
      <c r="EL166" s="46">
        <f t="shared" si="240"/>
        <v>0</v>
      </c>
      <c r="EM166" s="46">
        <f t="shared" si="241"/>
        <v>0</v>
      </c>
    </row>
    <row r="167" spans="1:143">
      <c r="A167" s="89"/>
      <c r="B167" s="89"/>
      <c r="C167" s="89"/>
      <c r="D167" s="89"/>
      <c r="E167" s="89"/>
      <c r="F167" s="89"/>
      <c r="G167" s="34"/>
      <c r="H167" s="56">
        <f t="shared" si="242"/>
        <v>153</v>
      </c>
      <c r="I167" s="165"/>
      <c r="J167" s="163"/>
      <c r="K167" s="163"/>
      <c r="L167" s="164"/>
      <c r="M167" s="155"/>
      <c r="N167" s="155"/>
      <c r="O167" s="144"/>
      <c r="P167" s="159" t="str">
        <f>IFERROR(IF(O167&lt;&gt;"User Specified",IF(O167&lt;&gt;"", INDEX('Refrigerant GWPs'!$G$2:$G$154,MATCH(O167,'Refrigerant GWPs'!$A$2:$A$154,0)),""),U167),0)</f>
        <v/>
      </c>
      <c r="Q167" s="155"/>
      <c r="R167" s="155"/>
      <c r="S167" s="144"/>
      <c r="T167" s="159" t="str">
        <f>IF(S167&lt;&gt;"User Specified",IF(AND(S167&lt;&gt;"User Specified",S167&lt;&gt;""), INDEX('Refrigerant GWPs'!$G$2:$G$154,MATCH(S167,'Refrigerant GWPs'!$A$2:$A$154,0)),""),V167)</f>
        <v/>
      </c>
      <c r="U167" s="144"/>
      <c r="V167" s="144"/>
      <c r="W167" s="155"/>
      <c r="X167" s="155"/>
      <c r="Y167" s="144"/>
      <c r="Z167" s="159" t="str">
        <f>IF(AND(Y167&lt;&gt;"User Specified",Y167&lt;&gt;""), INDEX('Refrigerant GWPs'!$G$2:$G$154,MATCH(Y167,'Refrigerant GWPs'!$A$2:$A$154,0)),"")</f>
        <v/>
      </c>
      <c r="AA167" s="155"/>
      <c r="AB167" s="156"/>
      <c r="AC167" s="66"/>
      <c r="AD167" s="66"/>
      <c r="AE167" s="66"/>
      <c r="AF167" s="66"/>
      <c r="AG167" s="66"/>
      <c r="AH167" s="66"/>
      <c r="AI167" s="34"/>
      <c r="AJ167" s="88">
        <f t="shared" si="200"/>
        <v>0</v>
      </c>
      <c r="AK167" s="88">
        <f t="shared" si="201"/>
        <v>0</v>
      </c>
      <c r="AL167" s="88">
        <v>0</v>
      </c>
      <c r="AM167" s="88">
        <v>0</v>
      </c>
      <c r="AN167" s="81" t="str">
        <f t="shared" si="243"/>
        <v/>
      </c>
      <c r="AO167" s="88">
        <f t="shared" si="202"/>
        <v>0</v>
      </c>
      <c r="AP167" s="88">
        <f t="shared" si="203"/>
        <v>0</v>
      </c>
      <c r="AQ167" s="81" t="str">
        <f t="shared" si="204"/>
        <v/>
      </c>
      <c r="AS167" s="41" t="b">
        <f t="shared" si="205"/>
        <v>1</v>
      </c>
      <c r="AT167" s="38">
        <f t="shared" si="206"/>
        <v>0</v>
      </c>
      <c r="AU167" s="60">
        <f t="shared" si="207"/>
        <v>0</v>
      </c>
      <c r="AV167" s="41">
        <f t="shared" si="208"/>
        <v>0</v>
      </c>
      <c r="AW167" s="41" t="b">
        <f t="shared" si="209"/>
        <v>0</v>
      </c>
      <c r="AX167" t="str">
        <f t="shared" si="210"/>
        <v>+00</v>
      </c>
      <c r="AY167" t="str">
        <f t="shared" si="211"/>
        <v>+00</v>
      </c>
      <c r="BA167" s="47" t="b">
        <f t="shared" si="245"/>
        <v>1</v>
      </c>
      <c r="BB167" s="42" t="b">
        <f t="shared" si="246"/>
        <v>1</v>
      </c>
      <c r="BC167" s="42" t="b">
        <f t="shared" si="247"/>
        <v>0</v>
      </c>
      <c r="BD167" s="42" t="b">
        <f t="shared" si="248"/>
        <v>0</v>
      </c>
      <c r="BE167" s="70">
        <f t="shared" si="249"/>
        <v>0</v>
      </c>
      <c r="BF167" s="70">
        <f t="shared" si="250"/>
        <v>0</v>
      </c>
      <c r="BG167" s="34"/>
      <c r="BI167" s="47" t="b">
        <f t="shared" si="251"/>
        <v>1</v>
      </c>
      <c r="BJ167" s="47" t="b">
        <f t="shared" si="252"/>
        <v>1</v>
      </c>
      <c r="BK167" s="42" t="b">
        <f t="shared" si="253"/>
        <v>0</v>
      </c>
      <c r="BL167" s="42" t="b">
        <f t="shared" si="254"/>
        <v>0</v>
      </c>
      <c r="BM167" s="42">
        <f t="shared" si="255"/>
        <v>0</v>
      </c>
      <c r="BN167" s="42">
        <f t="shared" si="256"/>
        <v>0</v>
      </c>
      <c r="BP167" t="e">
        <f t="shared" si="257"/>
        <v>#N/A</v>
      </c>
      <c r="BQ167" t="e">
        <f t="shared" si="258"/>
        <v>#N/A</v>
      </c>
      <c r="BR167" t="e">
        <f t="shared" si="259"/>
        <v>#N/A</v>
      </c>
      <c r="BT167" s="60">
        <f t="shared" si="212"/>
        <v>0</v>
      </c>
      <c r="BU167" s="60">
        <f t="shared" si="213"/>
        <v>0</v>
      </c>
      <c r="BV167" s="60">
        <f t="shared" si="214"/>
        <v>0</v>
      </c>
      <c r="BW167" s="60">
        <f t="shared" si="215"/>
        <v>0</v>
      </c>
      <c r="BX167" s="60">
        <f t="shared" si="260"/>
        <v>0</v>
      </c>
      <c r="BY167" s="60">
        <f t="shared" si="261"/>
        <v>0</v>
      </c>
      <c r="BZ167" s="60">
        <f t="shared" si="262"/>
        <v>0</v>
      </c>
      <c r="CA167" s="60">
        <f t="shared" si="263"/>
        <v>0</v>
      </c>
      <c r="CB167" s="60" t="e">
        <f t="shared" si="216"/>
        <v>#N/A</v>
      </c>
      <c r="CC167" s="60">
        <f t="shared" si="217"/>
        <v>100000</v>
      </c>
      <c r="CD167" s="60" t="e">
        <f t="shared" si="218"/>
        <v>#N/A</v>
      </c>
      <c r="CE167" s="60">
        <f t="shared" si="219"/>
        <v>100000</v>
      </c>
      <c r="CF167" s="83" t="e">
        <f t="shared" si="264"/>
        <v>#N/A</v>
      </c>
      <c r="CG167" s="83">
        <f t="shared" si="265"/>
        <v>0</v>
      </c>
      <c r="CH167" s="83" t="e">
        <f t="shared" si="266"/>
        <v>#N/A</v>
      </c>
      <c r="CI167" s="83">
        <f t="shared" si="267"/>
        <v>0</v>
      </c>
      <c r="CJ167" s="86" t="e">
        <f t="shared" si="220"/>
        <v>#N/A</v>
      </c>
      <c r="CK167" s="82">
        <f t="shared" si="221"/>
        <v>5.3070370403969858E-3</v>
      </c>
      <c r="CL167" s="82" t="e">
        <f t="shared" si="222"/>
        <v>#N/A</v>
      </c>
      <c r="CM167" s="82">
        <f t="shared" si="223"/>
        <v>5.3070370403969858E-3</v>
      </c>
      <c r="CO167" s="149" t="str">
        <f>IF($I167&lt;&gt;"",IF(O167="User Specified",U167,INDEX('Refrigerant GWPs'!$G$2:$G$156,MATCH(O167,'Refrigerant GWPs'!$A$2:$A$156,0))),"")</f>
        <v/>
      </c>
      <c r="CP167" s="138" t="str">
        <f>IF($I167&lt;&gt;"",INDEX('Device Refrigerant Leakage'!$E$2:$E$42,MATCH($M167,'Device Refrigerant Leakage'!$B$2:$B$42,0)),"")</f>
        <v/>
      </c>
      <c r="CQ167" s="138" t="str">
        <f>IF($I167&lt;&gt;"",INDEX('Device Refrigerant Leakage'!$F$2:$F$42,MATCH($M167,'Device Refrigerant Leakage'!$B$2:$B$42,0)),"")</f>
        <v/>
      </c>
      <c r="CR167" s="145" t="str">
        <f>IF($I167&lt;&gt;"",INDEX('Device Refrigerant Leakage'!$G$2:$G$42,MATCH($M167,'Device Refrigerant Leakage'!$B$2:$B$42,0)),"")</f>
        <v/>
      </c>
      <c r="CS167" s="145" t="str">
        <f>IF($I167&lt;&gt;"",INDEX('Device Refrigerant Leakage'!$D$2:$D$42,MATCH($M167,'Device Refrigerant Leakage'!$B$2:$B$42,0))*CP167/2204.62*CO167,"")</f>
        <v/>
      </c>
      <c r="CT167" s="145" t="str">
        <f>IF($I167&lt;&gt;"",J167*(INDEX('Device Refrigerant Leakage'!$D$2:$D$42,MATCH($M167,'Device Refrigerant Leakage'!$B$2:$B$42,0))-(INDEX('Device Refrigerant Leakage'!$D$2:$D$42,MATCH($M167,'Device Refrigerant Leakage'!$B$2:$B$42,0)))*CR167*CP167)*CQ167/2204.62*CO167,"")</f>
        <v/>
      </c>
      <c r="CU167" s="135" t="str">
        <f>IF($I167&lt;&gt;"",J167*IF(W167&lt;&gt;"AR",(CS167*K167)+CT167,(CS167*AB167)+CT167*(AB167/INDEX('Device Refrigerant Leakage'!$C$2:$C$42,MATCH($M167,'Device Refrigerant Leakage'!$B$2:$B$42,0)))),"")</f>
        <v/>
      </c>
      <c r="CW167" s="135" t="str">
        <f>IF($I167&lt;&gt;"",IF(S167="User Specified",V167,INDEX('Refrigerant GWPs'!$G$2:$G$156,MATCH(S167,'Refrigerant GWPs'!$A$2:$A$157,0))),"")</f>
        <v/>
      </c>
      <c r="CX167" s="138" t="str">
        <f>IF($I167&lt;&gt;"",INDEX('Device Refrigerant Leakage'!$E$2:$E$42,MATCH($Q167,'Device Refrigerant Leakage'!$B$2:$B$42,0)),"")</f>
        <v/>
      </c>
      <c r="CY167" s="138" t="str">
        <f>IF($I167&lt;&gt;"",INDEX('Device Refrigerant Leakage'!$F$2:$F$42,MATCH($Q167,'Device Refrigerant Leakage'!$B$2:$B$42,0)),"")</f>
        <v/>
      </c>
      <c r="CZ167" s="145" t="str">
        <f>IF($I167&lt;&gt;"",INDEX('Device Refrigerant Leakage'!$G$2:$G$42,MATCH($Q167,'Device Refrigerant Leakage'!$B$2:$B$42,0)),"")</f>
        <v/>
      </c>
      <c r="DA167" s="145" t="str">
        <f>IF($I167&lt;&gt;"",J167*INDEX('Device Refrigerant Leakage'!$D$2:$D$42,MATCH($Q167,'Device Refrigerant Leakage'!$B$2:$B$42,0))*CX167/2204.62*CW167,"")</f>
        <v/>
      </c>
      <c r="DB167" s="145" t="str">
        <f>IF($I167&lt;&gt;"",J167*(INDEX('Device Refrigerant Leakage'!$D$2:$D$42,MATCH($Q167,'Device Refrigerant Leakage'!$B$2:$B$42,0))-(INDEX('Device Refrigerant Leakage'!$D$2:$D$42,MATCH($Q167,'Device Refrigerant Leakage'!$B$2:$B$42,0)))*CZ167*CX167)*CY167/2204.62*CW167,"")</f>
        <v/>
      </c>
      <c r="DC167" s="135" t="str">
        <f t="shared" si="244"/>
        <v/>
      </c>
      <c r="DE167" s="146" t="str">
        <f>IF(W167&lt;&gt;"AR","",IF(Y167="User Specified", AA167, INDEX('Refrigerant GWPs'!$G$2:$G$154,MATCH(Y167,'Refrigerant GWPs'!$A$2:$A$154,0))))</f>
        <v/>
      </c>
      <c r="DF167" s="146" t="str">
        <f>IF(W167&lt;&gt;"AR","",INDEX('Device Refrigerant Leakage'!$E$2:$E$42,MATCH(X167,'Device Refrigerant Leakage'!$B$2:$B$42,0)))</f>
        <v/>
      </c>
      <c r="DG167" s="146" t="str">
        <f>IF(W167&lt;&gt;"AR","",INDEX('Device Refrigerant Leakage'!$F$2:$F$42,MATCH(X167,'Device Refrigerant Leakage'!$B$2:$B$42,0)))</f>
        <v/>
      </c>
      <c r="DH167" s="146" t="str">
        <f>IF(W167&lt;&gt;"AR","",INDEX('Device Refrigerant Leakage'!$G$2:$G$42,MATCH(X167,'Device Refrigerant Leakage'!$B$2:$B$42,0)))</f>
        <v/>
      </c>
      <c r="DI167" s="146" t="str">
        <f>IF(W167&lt;&gt;"AR","",J167*INDEX('Device Refrigerant Leakage'!$D$2:$D$42,MATCH(X167,'Device Refrigerant Leakage'!$B$2:$B$42,0))*DF167/2204.62*DE167)</f>
        <v/>
      </c>
      <c r="DJ167" s="146" t="str">
        <f>IF(W167&lt;&gt;"AR","",J167*(INDEX('Device Refrigerant Leakage'!$D$2:$D$42,MATCH(X167,'Device Refrigerant Leakage'!$B$2:$B$42,0))-(INDEX('Device Refrigerant Leakage'!$D$2:$D$42,MATCH(X167,'Device Refrigerant Leakage'!$B$2:$B$42,0)))*DH167*DF167)*DG167/2204.62*DE167)</f>
        <v/>
      </c>
      <c r="DK167" s="146" t="str">
        <f>IF(W167&lt;&gt;"AR","",DI167*(K167-AB167)+'Fuel Sub Calcs-Deemed'!DJ167*((K167-AB167)/INDEX('Device Refrigerant Leakage'!$C$2:$C$42,MATCH('Fuel Sub Calcs-Deemed'!X167,'Device Refrigerant Leakage'!$B$2:$B$42,0))))</f>
        <v/>
      </c>
      <c r="DM167" s="56">
        <v>153</v>
      </c>
      <c r="DN167" s="67" t="e">
        <f t="shared" si="224"/>
        <v>#N/A</v>
      </c>
      <c r="DO167" s="45" t="e">
        <f t="shared" si="225"/>
        <v>#N/A</v>
      </c>
      <c r="DP167" s="67" t="e">
        <f t="shared" si="226"/>
        <v>#N/A</v>
      </c>
      <c r="DQ167" s="45" t="e">
        <f t="shared" si="227"/>
        <v>#N/A</v>
      </c>
      <c r="DR167" s="69" t="e">
        <f t="shared" si="228"/>
        <v>#N/A</v>
      </c>
      <c r="DS167" s="34"/>
      <c r="DT167" s="67" t="e">
        <f>((BX167*CJ167)+IF($W167=MAT_AR,(BZ167*CL167),0))*(1+Reference!$E$50+Reference!$E$51)</f>
        <v>#N/A</v>
      </c>
      <c r="DU167" s="67">
        <f>((BY167*CK167)+IF($W167=MAT_AR,(CA167*CM167),0))*(1+Reference!$G$50+Reference!$G$51)</f>
        <v>0</v>
      </c>
      <c r="DV167" s="67" t="e">
        <f t="shared" si="229"/>
        <v>#VALUE!</v>
      </c>
      <c r="DX167" s="56">
        <v>153</v>
      </c>
      <c r="DY167" s="67">
        <f t="shared" si="230"/>
        <v>0</v>
      </c>
      <c r="DZ167" s="45" t="e">
        <f>VLOOKUP($R167,Dropdown!$C$3:$D$4,2,FALSE)</f>
        <v>#N/A</v>
      </c>
      <c r="EA167" s="68">
        <f t="shared" si="231"/>
        <v>0</v>
      </c>
      <c r="EB167" s="68" t="str">
        <f t="shared" si="232"/>
        <v>N/A</v>
      </c>
      <c r="EC167" s="68">
        <f t="shared" si="233"/>
        <v>0</v>
      </c>
      <c r="ED167" s="68" t="str">
        <f t="shared" si="234"/>
        <v>N/A</v>
      </c>
      <c r="EF167" s="56">
        <v>153</v>
      </c>
      <c r="EG167" s="46">
        <f t="shared" si="235"/>
        <v>0</v>
      </c>
      <c r="EH167" s="68" t="e">
        <f t="shared" si="236"/>
        <v>#N/A</v>
      </c>
      <c r="EI167" s="68" t="e">
        <f t="shared" si="237"/>
        <v>#N/A</v>
      </c>
      <c r="EJ167" s="68" t="e">
        <f t="shared" si="238"/>
        <v>#N/A</v>
      </c>
      <c r="EK167" s="68" t="e">
        <f t="shared" si="239"/>
        <v>#N/A</v>
      </c>
      <c r="EL167" s="46">
        <f t="shared" si="240"/>
        <v>0</v>
      </c>
      <c r="EM167" s="46">
        <f t="shared" si="241"/>
        <v>0</v>
      </c>
    </row>
    <row r="168" spans="1:143">
      <c r="A168" s="89"/>
      <c r="B168" s="89"/>
      <c r="C168" s="89"/>
      <c r="D168" s="89"/>
      <c r="E168" s="89"/>
      <c r="F168" s="89"/>
      <c r="G168" s="34"/>
      <c r="H168" s="56">
        <f t="shared" si="242"/>
        <v>154</v>
      </c>
      <c r="I168" s="165"/>
      <c r="J168" s="163"/>
      <c r="K168" s="163"/>
      <c r="L168" s="164"/>
      <c r="M168" s="155"/>
      <c r="N168" s="155"/>
      <c r="O168" s="144"/>
      <c r="P168" s="159" t="str">
        <f>IFERROR(IF(O168&lt;&gt;"User Specified",IF(O168&lt;&gt;"", INDEX('Refrigerant GWPs'!$G$2:$G$154,MATCH(O168,'Refrigerant GWPs'!$A$2:$A$154,0)),""),U168),0)</f>
        <v/>
      </c>
      <c r="Q168" s="155"/>
      <c r="R168" s="155"/>
      <c r="S168" s="144"/>
      <c r="T168" s="159" t="str">
        <f>IF(S168&lt;&gt;"User Specified",IF(AND(S168&lt;&gt;"User Specified",S168&lt;&gt;""), INDEX('Refrigerant GWPs'!$G$2:$G$154,MATCH(S168,'Refrigerant GWPs'!$A$2:$A$154,0)),""),V168)</f>
        <v/>
      </c>
      <c r="U168" s="144"/>
      <c r="V168" s="144"/>
      <c r="W168" s="155"/>
      <c r="X168" s="155"/>
      <c r="Y168" s="144"/>
      <c r="Z168" s="159" t="str">
        <f>IF(AND(Y168&lt;&gt;"User Specified",Y168&lt;&gt;""), INDEX('Refrigerant GWPs'!$G$2:$G$154,MATCH(Y168,'Refrigerant GWPs'!$A$2:$A$154,0)),"")</f>
        <v/>
      </c>
      <c r="AA168" s="155"/>
      <c r="AB168" s="156"/>
      <c r="AC168" s="66"/>
      <c r="AD168" s="66"/>
      <c r="AE168" s="66"/>
      <c r="AF168" s="66"/>
      <c r="AG168" s="66"/>
      <c r="AH168" s="66"/>
      <c r="AI168" s="34"/>
      <c r="AJ168" s="88">
        <f t="shared" si="200"/>
        <v>0</v>
      </c>
      <c r="AK168" s="88">
        <f t="shared" si="201"/>
        <v>0</v>
      </c>
      <c r="AL168" s="88">
        <v>0</v>
      </c>
      <c r="AM168" s="88">
        <v>0</v>
      </c>
      <c r="AN168" s="81" t="str">
        <f t="shared" si="243"/>
        <v/>
      </c>
      <c r="AO168" s="88">
        <f t="shared" si="202"/>
        <v>0</v>
      </c>
      <c r="AP168" s="88">
        <f t="shared" si="203"/>
        <v>0</v>
      </c>
      <c r="AQ168" s="81" t="str">
        <f t="shared" si="204"/>
        <v/>
      </c>
      <c r="AS168" s="41" t="b">
        <f t="shared" si="205"/>
        <v>1</v>
      </c>
      <c r="AT168" s="38">
        <f t="shared" si="206"/>
        <v>0</v>
      </c>
      <c r="AU168" s="60">
        <f t="shared" si="207"/>
        <v>0</v>
      </c>
      <c r="AV168" s="41">
        <f t="shared" si="208"/>
        <v>0</v>
      </c>
      <c r="AW168" s="41" t="b">
        <f t="shared" si="209"/>
        <v>0</v>
      </c>
      <c r="AX168" t="str">
        <f t="shared" si="210"/>
        <v>+00</v>
      </c>
      <c r="AY168" t="str">
        <f t="shared" si="211"/>
        <v>+00</v>
      </c>
      <c r="BA168" s="47" t="b">
        <f t="shared" si="245"/>
        <v>1</v>
      </c>
      <c r="BB168" s="42" t="b">
        <f t="shared" si="246"/>
        <v>1</v>
      </c>
      <c r="BC168" s="42" t="b">
        <f t="shared" si="247"/>
        <v>0</v>
      </c>
      <c r="BD168" s="42" t="b">
        <f t="shared" si="248"/>
        <v>0</v>
      </c>
      <c r="BE168" s="70">
        <f t="shared" si="249"/>
        <v>0</v>
      </c>
      <c r="BF168" s="70">
        <f t="shared" si="250"/>
        <v>0</v>
      </c>
      <c r="BG168" s="34"/>
      <c r="BI168" s="47" t="b">
        <f t="shared" si="251"/>
        <v>1</v>
      </c>
      <c r="BJ168" s="47" t="b">
        <f t="shared" si="252"/>
        <v>1</v>
      </c>
      <c r="BK168" s="42" t="b">
        <f t="shared" si="253"/>
        <v>0</v>
      </c>
      <c r="BL168" s="42" t="b">
        <f t="shared" si="254"/>
        <v>0</v>
      </c>
      <c r="BM168" s="42">
        <f t="shared" si="255"/>
        <v>0</v>
      </c>
      <c r="BN168" s="42">
        <f t="shared" si="256"/>
        <v>0</v>
      </c>
      <c r="BP168" t="e">
        <f t="shared" si="257"/>
        <v>#N/A</v>
      </c>
      <c r="BQ168" t="e">
        <f t="shared" si="258"/>
        <v>#N/A</v>
      </c>
      <c r="BR168" t="e">
        <f t="shared" si="259"/>
        <v>#N/A</v>
      </c>
      <c r="BT168" s="60">
        <f t="shared" si="212"/>
        <v>0</v>
      </c>
      <c r="BU168" s="60">
        <f t="shared" si="213"/>
        <v>0</v>
      </c>
      <c r="BV168" s="60">
        <f t="shared" si="214"/>
        <v>0</v>
      </c>
      <c r="BW168" s="60">
        <f t="shared" si="215"/>
        <v>0</v>
      </c>
      <c r="BX168" s="60">
        <f t="shared" si="260"/>
        <v>0</v>
      </c>
      <c r="BY168" s="60">
        <f t="shared" si="261"/>
        <v>0</v>
      </c>
      <c r="BZ168" s="60">
        <f t="shared" si="262"/>
        <v>0</v>
      </c>
      <c r="CA168" s="60">
        <f t="shared" si="263"/>
        <v>0</v>
      </c>
      <c r="CB168" s="60" t="e">
        <f t="shared" si="216"/>
        <v>#N/A</v>
      </c>
      <c r="CC168" s="60">
        <f t="shared" si="217"/>
        <v>100000</v>
      </c>
      <c r="CD168" s="60" t="e">
        <f t="shared" si="218"/>
        <v>#N/A</v>
      </c>
      <c r="CE168" s="60">
        <f t="shared" si="219"/>
        <v>100000</v>
      </c>
      <c r="CF168" s="83" t="e">
        <f t="shared" si="264"/>
        <v>#N/A</v>
      </c>
      <c r="CG168" s="83">
        <f t="shared" si="265"/>
        <v>0</v>
      </c>
      <c r="CH168" s="83" t="e">
        <f t="shared" si="266"/>
        <v>#N/A</v>
      </c>
      <c r="CI168" s="83">
        <f t="shared" si="267"/>
        <v>0</v>
      </c>
      <c r="CJ168" s="86" t="e">
        <f t="shared" si="220"/>
        <v>#N/A</v>
      </c>
      <c r="CK168" s="82">
        <f t="shared" si="221"/>
        <v>5.3070370403969858E-3</v>
      </c>
      <c r="CL168" s="82" t="e">
        <f t="shared" si="222"/>
        <v>#N/A</v>
      </c>
      <c r="CM168" s="82">
        <f t="shared" si="223"/>
        <v>5.3070370403969858E-3</v>
      </c>
      <c r="CO168" s="149" t="str">
        <f>IF($I168&lt;&gt;"",IF(O168="User Specified",U168,INDEX('Refrigerant GWPs'!$G$2:$G$156,MATCH(O168,'Refrigerant GWPs'!$A$2:$A$156,0))),"")</f>
        <v/>
      </c>
      <c r="CP168" s="138" t="str">
        <f>IF($I168&lt;&gt;"",INDEX('Device Refrigerant Leakage'!$E$2:$E$42,MATCH($M168,'Device Refrigerant Leakage'!$B$2:$B$42,0)),"")</f>
        <v/>
      </c>
      <c r="CQ168" s="138" t="str">
        <f>IF($I168&lt;&gt;"",INDEX('Device Refrigerant Leakage'!$F$2:$F$42,MATCH($M168,'Device Refrigerant Leakage'!$B$2:$B$42,0)),"")</f>
        <v/>
      </c>
      <c r="CR168" s="145" t="str">
        <f>IF($I168&lt;&gt;"",INDEX('Device Refrigerant Leakage'!$G$2:$G$42,MATCH($M168,'Device Refrigerant Leakage'!$B$2:$B$42,0)),"")</f>
        <v/>
      </c>
      <c r="CS168" s="145" t="str">
        <f>IF($I168&lt;&gt;"",INDEX('Device Refrigerant Leakage'!$D$2:$D$42,MATCH($M168,'Device Refrigerant Leakage'!$B$2:$B$42,0))*CP168/2204.62*CO168,"")</f>
        <v/>
      </c>
      <c r="CT168" s="145" t="str">
        <f>IF($I168&lt;&gt;"",J168*(INDEX('Device Refrigerant Leakage'!$D$2:$D$42,MATCH($M168,'Device Refrigerant Leakage'!$B$2:$B$42,0))-(INDEX('Device Refrigerant Leakage'!$D$2:$D$42,MATCH($M168,'Device Refrigerant Leakage'!$B$2:$B$42,0)))*CR168*CP168)*CQ168/2204.62*CO168,"")</f>
        <v/>
      </c>
      <c r="CU168" s="135" t="str">
        <f>IF($I168&lt;&gt;"",J168*IF(W168&lt;&gt;"AR",(CS168*K168)+CT168,(CS168*AB168)+CT168*(AB168/INDEX('Device Refrigerant Leakage'!$C$2:$C$42,MATCH($M168,'Device Refrigerant Leakage'!$B$2:$B$42,0)))),"")</f>
        <v/>
      </c>
      <c r="CW168" s="135" t="str">
        <f>IF($I168&lt;&gt;"",IF(S168="User Specified",V168,INDEX('Refrigerant GWPs'!$G$2:$G$156,MATCH(S168,'Refrigerant GWPs'!$A$2:$A$157,0))),"")</f>
        <v/>
      </c>
      <c r="CX168" s="138" t="str">
        <f>IF($I168&lt;&gt;"",INDEX('Device Refrigerant Leakage'!$E$2:$E$42,MATCH($Q168,'Device Refrigerant Leakage'!$B$2:$B$42,0)),"")</f>
        <v/>
      </c>
      <c r="CY168" s="138" t="str">
        <f>IF($I168&lt;&gt;"",INDEX('Device Refrigerant Leakage'!$F$2:$F$42,MATCH($Q168,'Device Refrigerant Leakage'!$B$2:$B$42,0)),"")</f>
        <v/>
      </c>
      <c r="CZ168" s="145" t="str">
        <f>IF($I168&lt;&gt;"",INDEX('Device Refrigerant Leakage'!$G$2:$G$42,MATCH($Q168,'Device Refrigerant Leakage'!$B$2:$B$42,0)),"")</f>
        <v/>
      </c>
      <c r="DA168" s="145" t="str">
        <f>IF($I168&lt;&gt;"",J168*INDEX('Device Refrigerant Leakage'!$D$2:$D$42,MATCH($Q168,'Device Refrigerant Leakage'!$B$2:$B$42,0))*CX168/2204.62*CW168,"")</f>
        <v/>
      </c>
      <c r="DB168" s="145" t="str">
        <f>IF($I168&lt;&gt;"",J168*(INDEX('Device Refrigerant Leakage'!$D$2:$D$42,MATCH($Q168,'Device Refrigerant Leakage'!$B$2:$B$42,0))-(INDEX('Device Refrigerant Leakage'!$D$2:$D$42,MATCH($Q168,'Device Refrigerant Leakage'!$B$2:$B$42,0)))*CZ168*CX168)*CY168/2204.62*CW168,"")</f>
        <v/>
      </c>
      <c r="DC168" s="135" t="str">
        <f t="shared" si="244"/>
        <v/>
      </c>
      <c r="DE168" s="146" t="str">
        <f>IF(W168&lt;&gt;"AR","",IF(Y168="User Specified", AA168, INDEX('Refrigerant GWPs'!$G$2:$G$154,MATCH(Y168,'Refrigerant GWPs'!$A$2:$A$154,0))))</f>
        <v/>
      </c>
      <c r="DF168" s="146" t="str">
        <f>IF(W168&lt;&gt;"AR","",INDEX('Device Refrigerant Leakage'!$E$2:$E$42,MATCH(X168,'Device Refrigerant Leakage'!$B$2:$B$42,0)))</f>
        <v/>
      </c>
      <c r="DG168" s="146" t="str">
        <f>IF(W168&lt;&gt;"AR","",INDEX('Device Refrigerant Leakage'!$F$2:$F$42,MATCH(X168,'Device Refrigerant Leakage'!$B$2:$B$42,0)))</f>
        <v/>
      </c>
      <c r="DH168" s="146" t="str">
        <f>IF(W168&lt;&gt;"AR","",INDEX('Device Refrigerant Leakage'!$G$2:$G$42,MATCH(X168,'Device Refrigerant Leakage'!$B$2:$B$42,0)))</f>
        <v/>
      </c>
      <c r="DI168" s="146" t="str">
        <f>IF(W168&lt;&gt;"AR","",J168*INDEX('Device Refrigerant Leakage'!$D$2:$D$42,MATCH(X168,'Device Refrigerant Leakage'!$B$2:$B$42,0))*DF168/2204.62*DE168)</f>
        <v/>
      </c>
      <c r="DJ168" s="146" t="str">
        <f>IF(W168&lt;&gt;"AR","",J168*(INDEX('Device Refrigerant Leakage'!$D$2:$D$42,MATCH(X168,'Device Refrigerant Leakage'!$B$2:$B$42,0))-(INDEX('Device Refrigerant Leakage'!$D$2:$D$42,MATCH(X168,'Device Refrigerant Leakage'!$B$2:$B$42,0)))*DH168*DF168)*DG168/2204.62*DE168)</f>
        <v/>
      </c>
      <c r="DK168" s="146" t="str">
        <f>IF(W168&lt;&gt;"AR","",DI168*(K168-AB168)+'Fuel Sub Calcs-Deemed'!DJ168*((K168-AB168)/INDEX('Device Refrigerant Leakage'!$C$2:$C$42,MATCH('Fuel Sub Calcs-Deemed'!X168,'Device Refrigerant Leakage'!$B$2:$B$42,0))))</f>
        <v/>
      </c>
      <c r="DM168" s="56">
        <v>154</v>
      </c>
      <c r="DN168" s="67" t="e">
        <f t="shared" si="224"/>
        <v>#N/A</v>
      </c>
      <c r="DO168" s="45" t="e">
        <f t="shared" si="225"/>
        <v>#N/A</v>
      </c>
      <c r="DP168" s="67" t="e">
        <f t="shared" si="226"/>
        <v>#N/A</v>
      </c>
      <c r="DQ168" s="45" t="e">
        <f t="shared" si="227"/>
        <v>#N/A</v>
      </c>
      <c r="DR168" s="69" t="e">
        <f t="shared" si="228"/>
        <v>#N/A</v>
      </c>
      <c r="DS168" s="34"/>
      <c r="DT168" s="67" t="e">
        <f>((BX168*CJ168)+IF($W168=MAT_AR,(BZ168*CL168),0))*(1+Reference!$E$50+Reference!$E$51)</f>
        <v>#N/A</v>
      </c>
      <c r="DU168" s="67">
        <f>((BY168*CK168)+IF($W168=MAT_AR,(CA168*CM168),0))*(1+Reference!$G$50+Reference!$G$51)</f>
        <v>0</v>
      </c>
      <c r="DV168" s="67" t="e">
        <f t="shared" si="229"/>
        <v>#VALUE!</v>
      </c>
      <c r="DX168" s="56">
        <v>154</v>
      </c>
      <c r="DY168" s="67">
        <f t="shared" si="230"/>
        <v>0</v>
      </c>
      <c r="DZ168" s="45" t="e">
        <f>VLOOKUP($R168,Dropdown!$C$3:$D$4,2,FALSE)</f>
        <v>#N/A</v>
      </c>
      <c r="EA168" s="68">
        <f t="shared" si="231"/>
        <v>0</v>
      </c>
      <c r="EB168" s="68" t="str">
        <f t="shared" si="232"/>
        <v>N/A</v>
      </c>
      <c r="EC168" s="68">
        <f t="shared" si="233"/>
        <v>0</v>
      </c>
      <c r="ED168" s="68" t="str">
        <f t="shared" si="234"/>
        <v>N/A</v>
      </c>
      <c r="EF168" s="56">
        <v>154</v>
      </c>
      <c r="EG168" s="46">
        <f t="shared" si="235"/>
        <v>0</v>
      </c>
      <c r="EH168" s="68" t="e">
        <f t="shared" si="236"/>
        <v>#N/A</v>
      </c>
      <c r="EI168" s="68" t="e">
        <f t="shared" si="237"/>
        <v>#N/A</v>
      </c>
      <c r="EJ168" s="68" t="e">
        <f t="shared" si="238"/>
        <v>#N/A</v>
      </c>
      <c r="EK168" s="68" t="e">
        <f t="shared" si="239"/>
        <v>#N/A</v>
      </c>
      <c r="EL168" s="46">
        <f t="shared" si="240"/>
        <v>0</v>
      </c>
      <c r="EM168" s="46">
        <f t="shared" si="241"/>
        <v>0</v>
      </c>
    </row>
    <row r="169" spans="1:143">
      <c r="A169" s="89"/>
      <c r="B169" s="89"/>
      <c r="C169" s="89"/>
      <c r="D169" s="89"/>
      <c r="E169" s="89"/>
      <c r="F169" s="89"/>
      <c r="G169" s="34"/>
      <c r="H169" s="56">
        <f t="shared" si="242"/>
        <v>155</v>
      </c>
      <c r="I169" s="165"/>
      <c r="J169" s="163"/>
      <c r="K169" s="163"/>
      <c r="L169" s="164"/>
      <c r="M169" s="155"/>
      <c r="N169" s="155"/>
      <c r="O169" s="144"/>
      <c r="P169" s="159" t="str">
        <f>IFERROR(IF(O169&lt;&gt;"User Specified",IF(O169&lt;&gt;"", INDEX('Refrigerant GWPs'!$G$2:$G$154,MATCH(O169,'Refrigerant GWPs'!$A$2:$A$154,0)),""),U169),0)</f>
        <v/>
      </c>
      <c r="Q169" s="155"/>
      <c r="R169" s="155"/>
      <c r="S169" s="144"/>
      <c r="T169" s="159" t="str">
        <f>IF(S169&lt;&gt;"User Specified",IF(AND(S169&lt;&gt;"User Specified",S169&lt;&gt;""), INDEX('Refrigerant GWPs'!$G$2:$G$154,MATCH(S169,'Refrigerant GWPs'!$A$2:$A$154,0)),""),V169)</f>
        <v/>
      </c>
      <c r="U169" s="144"/>
      <c r="V169" s="144"/>
      <c r="W169" s="155"/>
      <c r="X169" s="155"/>
      <c r="Y169" s="144"/>
      <c r="Z169" s="159" t="str">
        <f>IF(AND(Y169&lt;&gt;"User Specified",Y169&lt;&gt;""), INDEX('Refrigerant GWPs'!$G$2:$G$154,MATCH(Y169,'Refrigerant GWPs'!$A$2:$A$154,0)),"")</f>
        <v/>
      </c>
      <c r="AA169" s="155"/>
      <c r="AB169" s="156"/>
      <c r="AC169" s="66"/>
      <c r="AD169" s="66"/>
      <c r="AE169" s="66"/>
      <c r="AF169" s="66"/>
      <c r="AG169" s="66"/>
      <c r="AH169" s="66"/>
      <c r="AI169" s="34"/>
      <c r="AJ169" s="88">
        <f t="shared" si="200"/>
        <v>0</v>
      </c>
      <c r="AK169" s="88">
        <f t="shared" si="201"/>
        <v>0</v>
      </c>
      <c r="AL169" s="88">
        <v>0</v>
      </c>
      <c r="AM169" s="88">
        <v>0</v>
      </c>
      <c r="AN169" s="81" t="str">
        <f t="shared" si="243"/>
        <v/>
      </c>
      <c r="AO169" s="88">
        <f t="shared" si="202"/>
        <v>0</v>
      </c>
      <c r="AP169" s="88">
        <f t="shared" si="203"/>
        <v>0</v>
      </c>
      <c r="AQ169" s="81" t="str">
        <f t="shared" si="204"/>
        <v/>
      </c>
      <c r="AS169" s="41" t="b">
        <f t="shared" si="205"/>
        <v>1</v>
      </c>
      <c r="AT169" s="38">
        <f t="shared" si="206"/>
        <v>0</v>
      </c>
      <c r="AU169" s="60">
        <f t="shared" si="207"/>
        <v>0</v>
      </c>
      <c r="AV169" s="41">
        <f t="shared" si="208"/>
        <v>0</v>
      </c>
      <c r="AW169" s="41" t="b">
        <f t="shared" si="209"/>
        <v>0</v>
      </c>
      <c r="AX169" t="str">
        <f t="shared" si="210"/>
        <v>+00</v>
      </c>
      <c r="AY169" t="str">
        <f t="shared" si="211"/>
        <v>+00</v>
      </c>
      <c r="BA169" s="47" t="b">
        <f t="shared" si="245"/>
        <v>1</v>
      </c>
      <c r="BB169" s="42" t="b">
        <f t="shared" si="246"/>
        <v>1</v>
      </c>
      <c r="BC169" s="42" t="b">
        <f t="shared" si="247"/>
        <v>0</v>
      </c>
      <c r="BD169" s="42" t="b">
        <f t="shared" si="248"/>
        <v>0</v>
      </c>
      <c r="BE169" s="70">
        <f t="shared" si="249"/>
        <v>0</v>
      </c>
      <c r="BF169" s="70">
        <f t="shared" si="250"/>
        <v>0</v>
      </c>
      <c r="BG169" s="34"/>
      <c r="BI169" s="47" t="b">
        <f t="shared" si="251"/>
        <v>1</v>
      </c>
      <c r="BJ169" s="47" t="b">
        <f t="shared" si="252"/>
        <v>1</v>
      </c>
      <c r="BK169" s="42" t="b">
        <f t="shared" si="253"/>
        <v>0</v>
      </c>
      <c r="BL169" s="42" t="b">
        <f t="shared" si="254"/>
        <v>0</v>
      </c>
      <c r="BM169" s="42">
        <f t="shared" si="255"/>
        <v>0</v>
      </c>
      <c r="BN169" s="42">
        <f t="shared" si="256"/>
        <v>0</v>
      </c>
      <c r="BP169" t="e">
        <f t="shared" si="257"/>
        <v>#N/A</v>
      </c>
      <c r="BQ169" t="e">
        <f t="shared" si="258"/>
        <v>#N/A</v>
      </c>
      <c r="BR169" t="e">
        <f t="shared" si="259"/>
        <v>#N/A</v>
      </c>
      <c r="BT169" s="60">
        <f t="shared" si="212"/>
        <v>0</v>
      </c>
      <c r="BU169" s="60">
        <f t="shared" si="213"/>
        <v>0</v>
      </c>
      <c r="BV169" s="60">
        <f t="shared" si="214"/>
        <v>0</v>
      </c>
      <c r="BW169" s="60">
        <f t="shared" si="215"/>
        <v>0</v>
      </c>
      <c r="BX169" s="60">
        <f t="shared" si="260"/>
        <v>0</v>
      </c>
      <c r="BY169" s="60">
        <f t="shared" si="261"/>
        <v>0</v>
      </c>
      <c r="BZ169" s="60">
        <f t="shared" si="262"/>
        <v>0</v>
      </c>
      <c r="CA169" s="60">
        <f t="shared" si="263"/>
        <v>0</v>
      </c>
      <c r="CB169" s="60" t="e">
        <f t="shared" si="216"/>
        <v>#N/A</v>
      </c>
      <c r="CC169" s="60">
        <f t="shared" si="217"/>
        <v>100000</v>
      </c>
      <c r="CD169" s="60" t="e">
        <f t="shared" si="218"/>
        <v>#N/A</v>
      </c>
      <c r="CE169" s="60">
        <f t="shared" si="219"/>
        <v>100000</v>
      </c>
      <c r="CF169" s="83" t="e">
        <f t="shared" si="264"/>
        <v>#N/A</v>
      </c>
      <c r="CG169" s="83">
        <f t="shared" si="265"/>
        <v>0</v>
      </c>
      <c r="CH169" s="83" t="e">
        <f t="shared" si="266"/>
        <v>#N/A</v>
      </c>
      <c r="CI169" s="83">
        <f t="shared" si="267"/>
        <v>0</v>
      </c>
      <c r="CJ169" s="86" t="e">
        <f t="shared" si="220"/>
        <v>#N/A</v>
      </c>
      <c r="CK169" s="82">
        <f t="shared" si="221"/>
        <v>5.3070370403969858E-3</v>
      </c>
      <c r="CL169" s="82" t="e">
        <f t="shared" si="222"/>
        <v>#N/A</v>
      </c>
      <c r="CM169" s="82">
        <f t="shared" si="223"/>
        <v>5.3070370403969858E-3</v>
      </c>
      <c r="CO169" s="149" t="str">
        <f>IF($I169&lt;&gt;"",IF(O169="User Specified",U169,INDEX('Refrigerant GWPs'!$G$2:$G$156,MATCH(O169,'Refrigerant GWPs'!$A$2:$A$156,0))),"")</f>
        <v/>
      </c>
      <c r="CP169" s="138" t="str">
        <f>IF($I169&lt;&gt;"",INDEX('Device Refrigerant Leakage'!$E$2:$E$42,MATCH($M169,'Device Refrigerant Leakage'!$B$2:$B$42,0)),"")</f>
        <v/>
      </c>
      <c r="CQ169" s="138" t="str">
        <f>IF($I169&lt;&gt;"",INDEX('Device Refrigerant Leakage'!$F$2:$F$42,MATCH($M169,'Device Refrigerant Leakage'!$B$2:$B$42,0)),"")</f>
        <v/>
      </c>
      <c r="CR169" s="145" t="str">
        <f>IF($I169&lt;&gt;"",INDEX('Device Refrigerant Leakage'!$G$2:$G$42,MATCH($M169,'Device Refrigerant Leakage'!$B$2:$B$42,0)),"")</f>
        <v/>
      </c>
      <c r="CS169" s="145" t="str">
        <f>IF($I169&lt;&gt;"",INDEX('Device Refrigerant Leakage'!$D$2:$D$42,MATCH($M169,'Device Refrigerant Leakage'!$B$2:$B$42,0))*CP169/2204.62*CO169,"")</f>
        <v/>
      </c>
      <c r="CT169" s="145" t="str">
        <f>IF($I169&lt;&gt;"",J169*(INDEX('Device Refrigerant Leakage'!$D$2:$D$42,MATCH($M169,'Device Refrigerant Leakage'!$B$2:$B$42,0))-(INDEX('Device Refrigerant Leakage'!$D$2:$D$42,MATCH($M169,'Device Refrigerant Leakage'!$B$2:$B$42,0)))*CR169*CP169)*CQ169/2204.62*CO169,"")</f>
        <v/>
      </c>
      <c r="CU169" s="135" t="str">
        <f>IF($I169&lt;&gt;"",J169*IF(W169&lt;&gt;"AR",(CS169*K169)+CT169,(CS169*AB169)+CT169*(AB169/INDEX('Device Refrigerant Leakage'!$C$2:$C$42,MATCH($M169,'Device Refrigerant Leakage'!$B$2:$B$42,0)))),"")</f>
        <v/>
      </c>
      <c r="CW169" s="135" t="str">
        <f>IF($I169&lt;&gt;"",IF(S169="User Specified",V169,INDEX('Refrigerant GWPs'!$G$2:$G$156,MATCH(S169,'Refrigerant GWPs'!$A$2:$A$157,0))),"")</f>
        <v/>
      </c>
      <c r="CX169" s="138" t="str">
        <f>IF($I169&lt;&gt;"",INDEX('Device Refrigerant Leakage'!$E$2:$E$42,MATCH($Q169,'Device Refrigerant Leakage'!$B$2:$B$42,0)),"")</f>
        <v/>
      </c>
      <c r="CY169" s="138" t="str">
        <f>IF($I169&lt;&gt;"",INDEX('Device Refrigerant Leakage'!$F$2:$F$42,MATCH($Q169,'Device Refrigerant Leakage'!$B$2:$B$42,0)),"")</f>
        <v/>
      </c>
      <c r="CZ169" s="145" t="str">
        <f>IF($I169&lt;&gt;"",INDEX('Device Refrigerant Leakage'!$G$2:$G$42,MATCH($Q169,'Device Refrigerant Leakage'!$B$2:$B$42,0)),"")</f>
        <v/>
      </c>
      <c r="DA169" s="145" t="str">
        <f>IF($I169&lt;&gt;"",J169*INDEX('Device Refrigerant Leakage'!$D$2:$D$42,MATCH($Q169,'Device Refrigerant Leakage'!$B$2:$B$42,0))*CX169/2204.62*CW169,"")</f>
        <v/>
      </c>
      <c r="DB169" s="145" t="str">
        <f>IF($I169&lt;&gt;"",J169*(INDEX('Device Refrigerant Leakage'!$D$2:$D$42,MATCH($Q169,'Device Refrigerant Leakage'!$B$2:$B$42,0))-(INDEX('Device Refrigerant Leakage'!$D$2:$D$42,MATCH($Q169,'Device Refrigerant Leakage'!$B$2:$B$42,0)))*CZ169*CX169)*CY169/2204.62*CW169,"")</f>
        <v/>
      </c>
      <c r="DC169" s="135" t="str">
        <f t="shared" si="244"/>
        <v/>
      </c>
      <c r="DE169" s="146" t="str">
        <f>IF(W169&lt;&gt;"AR","",IF(Y169="User Specified", AA169, INDEX('Refrigerant GWPs'!$G$2:$G$154,MATCH(Y169,'Refrigerant GWPs'!$A$2:$A$154,0))))</f>
        <v/>
      </c>
      <c r="DF169" s="146" t="str">
        <f>IF(W169&lt;&gt;"AR","",INDEX('Device Refrigerant Leakage'!$E$2:$E$42,MATCH(X169,'Device Refrigerant Leakage'!$B$2:$B$42,0)))</f>
        <v/>
      </c>
      <c r="DG169" s="146" t="str">
        <f>IF(W169&lt;&gt;"AR","",INDEX('Device Refrigerant Leakage'!$F$2:$F$42,MATCH(X169,'Device Refrigerant Leakage'!$B$2:$B$42,0)))</f>
        <v/>
      </c>
      <c r="DH169" s="146" t="str">
        <f>IF(W169&lt;&gt;"AR","",INDEX('Device Refrigerant Leakage'!$G$2:$G$42,MATCH(X169,'Device Refrigerant Leakage'!$B$2:$B$42,0)))</f>
        <v/>
      </c>
      <c r="DI169" s="146" t="str">
        <f>IF(W169&lt;&gt;"AR","",J169*INDEX('Device Refrigerant Leakage'!$D$2:$D$42,MATCH(X169,'Device Refrigerant Leakage'!$B$2:$B$42,0))*DF169/2204.62*DE169)</f>
        <v/>
      </c>
      <c r="DJ169" s="146" t="str">
        <f>IF(W169&lt;&gt;"AR","",J169*(INDEX('Device Refrigerant Leakage'!$D$2:$D$42,MATCH(X169,'Device Refrigerant Leakage'!$B$2:$B$42,0))-(INDEX('Device Refrigerant Leakage'!$D$2:$D$42,MATCH(X169,'Device Refrigerant Leakage'!$B$2:$B$42,0)))*DH169*DF169)*DG169/2204.62*DE169)</f>
        <v/>
      </c>
      <c r="DK169" s="146" t="str">
        <f>IF(W169&lt;&gt;"AR","",DI169*(K169-AB169)+'Fuel Sub Calcs-Deemed'!DJ169*((K169-AB169)/INDEX('Device Refrigerant Leakage'!$C$2:$C$42,MATCH('Fuel Sub Calcs-Deemed'!X169,'Device Refrigerant Leakage'!$B$2:$B$42,0))))</f>
        <v/>
      </c>
      <c r="DM169" s="56">
        <v>155</v>
      </c>
      <c r="DN169" s="67" t="e">
        <f t="shared" si="224"/>
        <v>#N/A</v>
      </c>
      <c r="DO169" s="45" t="e">
        <f t="shared" si="225"/>
        <v>#N/A</v>
      </c>
      <c r="DP169" s="67" t="e">
        <f t="shared" si="226"/>
        <v>#N/A</v>
      </c>
      <c r="DQ169" s="45" t="e">
        <f t="shared" si="227"/>
        <v>#N/A</v>
      </c>
      <c r="DR169" s="69" t="e">
        <f t="shared" si="228"/>
        <v>#N/A</v>
      </c>
      <c r="DS169" s="34"/>
      <c r="DT169" s="67" t="e">
        <f>((BX169*CJ169)+IF($W169=MAT_AR,(BZ169*CL169),0))*(1+Reference!$E$50+Reference!$E$51)</f>
        <v>#N/A</v>
      </c>
      <c r="DU169" s="67">
        <f>((BY169*CK169)+IF($W169=MAT_AR,(CA169*CM169),0))*(1+Reference!$G$50+Reference!$G$51)</f>
        <v>0</v>
      </c>
      <c r="DV169" s="67" t="e">
        <f t="shared" si="229"/>
        <v>#VALUE!</v>
      </c>
      <c r="DX169" s="56">
        <v>155</v>
      </c>
      <c r="DY169" s="67">
        <f t="shared" si="230"/>
        <v>0</v>
      </c>
      <c r="DZ169" s="45" t="e">
        <f>VLOOKUP($R169,Dropdown!$C$3:$D$4,2,FALSE)</f>
        <v>#N/A</v>
      </c>
      <c r="EA169" s="68">
        <f t="shared" si="231"/>
        <v>0</v>
      </c>
      <c r="EB169" s="68" t="str">
        <f t="shared" si="232"/>
        <v>N/A</v>
      </c>
      <c r="EC169" s="68">
        <f t="shared" si="233"/>
        <v>0</v>
      </c>
      <c r="ED169" s="68" t="str">
        <f t="shared" si="234"/>
        <v>N/A</v>
      </c>
      <c r="EF169" s="56">
        <v>155</v>
      </c>
      <c r="EG169" s="46">
        <f t="shared" si="235"/>
        <v>0</v>
      </c>
      <c r="EH169" s="68" t="e">
        <f t="shared" si="236"/>
        <v>#N/A</v>
      </c>
      <c r="EI169" s="68" t="e">
        <f t="shared" si="237"/>
        <v>#N/A</v>
      </c>
      <c r="EJ169" s="68" t="e">
        <f t="shared" si="238"/>
        <v>#N/A</v>
      </c>
      <c r="EK169" s="68" t="e">
        <f t="shared" si="239"/>
        <v>#N/A</v>
      </c>
      <c r="EL169" s="46">
        <f t="shared" si="240"/>
        <v>0</v>
      </c>
      <c r="EM169" s="46">
        <f t="shared" si="241"/>
        <v>0</v>
      </c>
    </row>
    <row r="170" spans="1:143">
      <c r="A170" s="89"/>
      <c r="B170" s="89"/>
      <c r="C170" s="89"/>
      <c r="D170" s="89"/>
      <c r="E170" s="89"/>
      <c r="F170" s="89"/>
      <c r="G170" s="34"/>
      <c r="H170" s="56">
        <f t="shared" si="242"/>
        <v>156</v>
      </c>
      <c r="I170" s="165"/>
      <c r="J170" s="163"/>
      <c r="K170" s="163"/>
      <c r="L170" s="164"/>
      <c r="M170" s="155"/>
      <c r="N170" s="155"/>
      <c r="O170" s="144"/>
      <c r="P170" s="159" t="str">
        <f>IFERROR(IF(O170&lt;&gt;"User Specified",IF(O170&lt;&gt;"", INDEX('Refrigerant GWPs'!$G$2:$G$154,MATCH(O170,'Refrigerant GWPs'!$A$2:$A$154,0)),""),U170),0)</f>
        <v/>
      </c>
      <c r="Q170" s="155"/>
      <c r="R170" s="155"/>
      <c r="S170" s="144"/>
      <c r="T170" s="159" t="str">
        <f>IF(S170&lt;&gt;"User Specified",IF(AND(S170&lt;&gt;"User Specified",S170&lt;&gt;""), INDEX('Refrigerant GWPs'!$G$2:$G$154,MATCH(S170,'Refrigerant GWPs'!$A$2:$A$154,0)),""),V170)</f>
        <v/>
      </c>
      <c r="U170" s="144"/>
      <c r="V170" s="144"/>
      <c r="W170" s="155"/>
      <c r="X170" s="155"/>
      <c r="Y170" s="144"/>
      <c r="Z170" s="159" t="str">
        <f>IF(AND(Y170&lt;&gt;"User Specified",Y170&lt;&gt;""), INDEX('Refrigerant GWPs'!$G$2:$G$154,MATCH(Y170,'Refrigerant GWPs'!$A$2:$A$154,0)),"")</f>
        <v/>
      </c>
      <c r="AA170" s="155"/>
      <c r="AB170" s="156"/>
      <c r="AC170" s="66"/>
      <c r="AD170" s="66"/>
      <c r="AE170" s="66"/>
      <c r="AF170" s="66"/>
      <c r="AG170" s="66"/>
      <c r="AH170" s="66"/>
      <c r="AI170" s="34"/>
      <c r="AJ170" s="88">
        <f t="shared" si="200"/>
        <v>0</v>
      </c>
      <c r="AK170" s="88">
        <f t="shared" si="201"/>
        <v>0</v>
      </c>
      <c r="AL170" s="88">
        <v>0</v>
      </c>
      <c r="AM170" s="88">
        <v>0</v>
      </c>
      <c r="AN170" s="81" t="str">
        <f t="shared" si="243"/>
        <v/>
      </c>
      <c r="AO170" s="88">
        <f t="shared" si="202"/>
        <v>0</v>
      </c>
      <c r="AP170" s="88">
        <f t="shared" si="203"/>
        <v>0</v>
      </c>
      <c r="AQ170" s="81" t="str">
        <f t="shared" si="204"/>
        <v/>
      </c>
      <c r="AS170" s="41" t="b">
        <f t="shared" si="205"/>
        <v>1</v>
      </c>
      <c r="AT170" s="38">
        <f t="shared" si="206"/>
        <v>0</v>
      </c>
      <c r="AU170" s="60">
        <f t="shared" si="207"/>
        <v>0</v>
      </c>
      <c r="AV170" s="41">
        <f t="shared" si="208"/>
        <v>0</v>
      </c>
      <c r="AW170" s="41" t="b">
        <f t="shared" si="209"/>
        <v>0</v>
      </c>
      <c r="AX170" t="str">
        <f t="shared" si="210"/>
        <v>+00</v>
      </c>
      <c r="AY170" t="str">
        <f t="shared" si="211"/>
        <v>+00</v>
      </c>
      <c r="BA170" s="47" t="b">
        <f t="shared" si="245"/>
        <v>1</v>
      </c>
      <c r="BB170" s="42" t="b">
        <f t="shared" si="246"/>
        <v>1</v>
      </c>
      <c r="BC170" s="42" t="b">
        <f t="shared" si="247"/>
        <v>0</v>
      </c>
      <c r="BD170" s="42" t="b">
        <f t="shared" si="248"/>
        <v>0</v>
      </c>
      <c r="BE170" s="70">
        <f t="shared" si="249"/>
        <v>0</v>
      </c>
      <c r="BF170" s="70">
        <f t="shared" si="250"/>
        <v>0</v>
      </c>
      <c r="BG170" s="34"/>
      <c r="BI170" s="47" t="b">
        <f t="shared" si="251"/>
        <v>1</v>
      </c>
      <c r="BJ170" s="47" t="b">
        <f t="shared" si="252"/>
        <v>1</v>
      </c>
      <c r="BK170" s="42" t="b">
        <f t="shared" si="253"/>
        <v>0</v>
      </c>
      <c r="BL170" s="42" t="b">
        <f t="shared" si="254"/>
        <v>0</v>
      </c>
      <c r="BM170" s="42">
        <f t="shared" si="255"/>
        <v>0</v>
      </c>
      <c r="BN170" s="42">
        <f t="shared" si="256"/>
        <v>0</v>
      </c>
      <c r="BP170" t="e">
        <f t="shared" si="257"/>
        <v>#N/A</v>
      </c>
      <c r="BQ170" t="e">
        <f t="shared" si="258"/>
        <v>#N/A</v>
      </c>
      <c r="BR170" t="e">
        <f t="shared" si="259"/>
        <v>#N/A</v>
      </c>
      <c r="BT170" s="60">
        <f t="shared" si="212"/>
        <v>0</v>
      </c>
      <c r="BU170" s="60">
        <f t="shared" si="213"/>
        <v>0</v>
      </c>
      <c r="BV170" s="60">
        <f t="shared" si="214"/>
        <v>0</v>
      </c>
      <c r="BW170" s="60">
        <f t="shared" si="215"/>
        <v>0</v>
      </c>
      <c r="BX170" s="60">
        <f t="shared" si="260"/>
        <v>0</v>
      </c>
      <c r="BY170" s="60">
        <f t="shared" si="261"/>
        <v>0</v>
      </c>
      <c r="BZ170" s="60">
        <f t="shared" si="262"/>
        <v>0</v>
      </c>
      <c r="CA170" s="60">
        <f t="shared" si="263"/>
        <v>0</v>
      </c>
      <c r="CB170" s="60" t="e">
        <f t="shared" si="216"/>
        <v>#N/A</v>
      </c>
      <c r="CC170" s="60">
        <f t="shared" si="217"/>
        <v>100000</v>
      </c>
      <c r="CD170" s="60" t="e">
        <f t="shared" si="218"/>
        <v>#N/A</v>
      </c>
      <c r="CE170" s="60">
        <f t="shared" si="219"/>
        <v>100000</v>
      </c>
      <c r="CF170" s="83" t="e">
        <f t="shared" si="264"/>
        <v>#N/A</v>
      </c>
      <c r="CG170" s="83">
        <f t="shared" si="265"/>
        <v>0</v>
      </c>
      <c r="CH170" s="83" t="e">
        <f t="shared" si="266"/>
        <v>#N/A</v>
      </c>
      <c r="CI170" s="83">
        <f t="shared" si="267"/>
        <v>0</v>
      </c>
      <c r="CJ170" s="86" t="e">
        <f t="shared" si="220"/>
        <v>#N/A</v>
      </c>
      <c r="CK170" s="82">
        <f t="shared" si="221"/>
        <v>5.3070370403969858E-3</v>
      </c>
      <c r="CL170" s="82" t="e">
        <f t="shared" si="222"/>
        <v>#N/A</v>
      </c>
      <c r="CM170" s="82">
        <f t="shared" si="223"/>
        <v>5.3070370403969858E-3</v>
      </c>
      <c r="CO170" s="149" t="str">
        <f>IF($I170&lt;&gt;"",IF(O170="User Specified",U170,INDEX('Refrigerant GWPs'!$G$2:$G$156,MATCH(O170,'Refrigerant GWPs'!$A$2:$A$156,0))),"")</f>
        <v/>
      </c>
      <c r="CP170" s="138" t="str">
        <f>IF($I170&lt;&gt;"",INDEX('Device Refrigerant Leakage'!$E$2:$E$42,MATCH($M170,'Device Refrigerant Leakage'!$B$2:$B$42,0)),"")</f>
        <v/>
      </c>
      <c r="CQ170" s="138" t="str">
        <f>IF($I170&lt;&gt;"",INDEX('Device Refrigerant Leakage'!$F$2:$F$42,MATCH($M170,'Device Refrigerant Leakage'!$B$2:$B$42,0)),"")</f>
        <v/>
      </c>
      <c r="CR170" s="145" t="str">
        <f>IF($I170&lt;&gt;"",INDEX('Device Refrigerant Leakage'!$G$2:$G$42,MATCH($M170,'Device Refrigerant Leakage'!$B$2:$B$42,0)),"")</f>
        <v/>
      </c>
      <c r="CS170" s="145" t="str">
        <f>IF($I170&lt;&gt;"",INDEX('Device Refrigerant Leakage'!$D$2:$D$42,MATCH($M170,'Device Refrigerant Leakage'!$B$2:$B$42,0))*CP170/2204.62*CO170,"")</f>
        <v/>
      </c>
      <c r="CT170" s="145" t="str">
        <f>IF($I170&lt;&gt;"",J170*(INDEX('Device Refrigerant Leakage'!$D$2:$D$42,MATCH($M170,'Device Refrigerant Leakage'!$B$2:$B$42,0))-(INDEX('Device Refrigerant Leakage'!$D$2:$D$42,MATCH($M170,'Device Refrigerant Leakage'!$B$2:$B$42,0)))*CR170*CP170)*CQ170/2204.62*CO170,"")</f>
        <v/>
      </c>
      <c r="CU170" s="135" t="str">
        <f>IF($I170&lt;&gt;"",J170*IF(W170&lt;&gt;"AR",(CS170*K170)+CT170,(CS170*AB170)+CT170*(AB170/INDEX('Device Refrigerant Leakage'!$C$2:$C$42,MATCH($M170,'Device Refrigerant Leakage'!$B$2:$B$42,0)))),"")</f>
        <v/>
      </c>
      <c r="CW170" s="135" t="str">
        <f>IF($I170&lt;&gt;"",IF(S170="User Specified",V170,INDEX('Refrigerant GWPs'!$G$2:$G$156,MATCH(S170,'Refrigerant GWPs'!$A$2:$A$157,0))),"")</f>
        <v/>
      </c>
      <c r="CX170" s="138" t="str">
        <f>IF($I170&lt;&gt;"",INDEX('Device Refrigerant Leakage'!$E$2:$E$42,MATCH($Q170,'Device Refrigerant Leakage'!$B$2:$B$42,0)),"")</f>
        <v/>
      </c>
      <c r="CY170" s="138" t="str">
        <f>IF($I170&lt;&gt;"",INDEX('Device Refrigerant Leakage'!$F$2:$F$42,MATCH($Q170,'Device Refrigerant Leakage'!$B$2:$B$42,0)),"")</f>
        <v/>
      </c>
      <c r="CZ170" s="145" t="str">
        <f>IF($I170&lt;&gt;"",INDEX('Device Refrigerant Leakage'!$G$2:$G$42,MATCH($Q170,'Device Refrigerant Leakage'!$B$2:$B$42,0)),"")</f>
        <v/>
      </c>
      <c r="DA170" s="145" t="str">
        <f>IF($I170&lt;&gt;"",J170*INDEX('Device Refrigerant Leakage'!$D$2:$D$42,MATCH($Q170,'Device Refrigerant Leakage'!$B$2:$B$42,0))*CX170/2204.62*CW170,"")</f>
        <v/>
      </c>
      <c r="DB170" s="145" t="str">
        <f>IF($I170&lt;&gt;"",J170*(INDEX('Device Refrigerant Leakage'!$D$2:$D$42,MATCH($Q170,'Device Refrigerant Leakage'!$B$2:$B$42,0))-(INDEX('Device Refrigerant Leakage'!$D$2:$D$42,MATCH($Q170,'Device Refrigerant Leakage'!$B$2:$B$42,0)))*CZ170*CX170)*CY170/2204.62*CW170,"")</f>
        <v/>
      </c>
      <c r="DC170" s="135" t="str">
        <f t="shared" si="244"/>
        <v/>
      </c>
      <c r="DE170" s="146" t="str">
        <f>IF(W170&lt;&gt;"AR","",IF(Y170="User Specified", AA170, INDEX('Refrigerant GWPs'!$G$2:$G$154,MATCH(Y170,'Refrigerant GWPs'!$A$2:$A$154,0))))</f>
        <v/>
      </c>
      <c r="DF170" s="146" t="str">
        <f>IF(W170&lt;&gt;"AR","",INDEX('Device Refrigerant Leakage'!$E$2:$E$42,MATCH(X170,'Device Refrigerant Leakage'!$B$2:$B$42,0)))</f>
        <v/>
      </c>
      <c r="DG170" s="146" t="str">
        <f>IF(W170&lt;&gt;"AR","",INDEX('Device Refrigerant Leakage'!$F$2:$F$42,MATCH(X170,'Device Refrigerant Leakage'!$B$2:$B$42,0)))</f>
        <v/>
      </c>
      <c r="DH170" s="146" t="str">
        <f>IF(W170&lt;&gt;"AR","",INDEX('Device Refrigerant Leakage'!$G$2:$G$42,MATCH(X170,'Device Refrigerant Leakage'!$B$2:$B$42,0)))</f>
        <v/>
      </c>
      <c r="DI170" s="146" t="str">
        <f>IF(W170&lt;&gt;"AR","",J170*INDEX('Device Refrigerant Leakage'!$D$2:$D$42,MATCH(X170,'Device Refrigerant Leakage'!$B$2:$B$42,0))*DF170/2204.62*DE170)</f>
        <v/>
      </c>
      <c r="DJ170" s="146" t="str">
        <f>IF(W170&lt;&gt;"AR","",J170*(INDEX('Device Refrigerant Leakage'!$D$2:$D$42,MATCH(X170,'Device Refrigerant Leakage'!$B$2:$B$42,0))-(INDEX('Device Refrigerant Leakage'!$D$2:$D$42,MATCH(X170,'Device Refrigerant Leakage'!$B$2:$B$42,0)))*DH170*DF170)*DG170/2204.62*DE170)</f>
        <v/>
      </c>
      <c r="DK170" s="146" t="str">
        <f>IF(W170&lt;&gt;"AR","",DI170*(K170-AB170)+'Fuel Sub Calcs-Deemed'!DJ170*((K170-AB170)/INDEX('Device Refrigerant Leakage'!$C$2:$C$42,MATCH('Fuel Sub Calcs-Deemed'!X170,'Device Refrigerant Leakage'!$B$2:$B$42,0))))</f>
        <v/>
      </c>
      <c r="DM170" s="56">
        <v>156</v>
      </c>
      <c r="DN170" s="67" t="e">
        <f t="shared" si="224"/>
        <v>#N/A</v>
      </c>
      <c r="DO170" s="45" t="e">
        <f t="shared" si="225"/>
        <v>#N/A</v>
      </c>
      <c r="DP170" s="67" t="e">
        <f t="shared" si="226"/>
        <v>#N/A</v>
      </c>
      <c r="DQ170" s="45" t="e">
        <f t="shared" si="227"/>
        <v>#N/A</v>
      </c>
      <c r="DR170" s="69" t="e">
        <f t="shared" si="228"/>
        <v>#N/A</v>
      </c>
      <c r="DS170" s="34"/>
      <c r="DT170" s="67" t="e">
        <f>((BX170*CJ170)+IF($W170=MAT_AR,(BZ170*CL170),0))*(1+Reference!$E$50+Reference!$E$51)</f>
        <v>#N/A</v>
      </c>
      <c r="DU170" s="67">
        <f>((BY170*CK170)+IF($W170=MAT_AR,(CA170*CM170),0))*(1+Reference!$G$50+Reference!$G$51)</f>
        <v>0</v>
      </c>
      <c r="DV170" s="67" t="e">
        <f t="shared" si="229"/>
        <v>#VALUE!</v>
      </c>
      <c r="DX170" s="56">
        <v>156</v>
      </c>
      <c r="DY170" s="67">
        <f t="shared" si="230"/>
        <v>0</v>
      </c>
      <c r="DZ170" s="45" t="e">
        <f>VLOOKUP($R170,Dropdown!$C$3:$D$4,2,FALSE)</f>
        <v>#N/A</v>
      </c>
      <c r="EA170" s="68">
        <f t="shared" si="231"/>
        <v>0</v>
      </c>
      <c r="EB170" s="68" t="str">
        <f t="shared" si="232"/>
        <v>N/A</v>
      </c>
      <c r="EC170" s="68">
        <f t="shared" si="233"/>
        <v>0</v>
      </c>
      <c r="ED170" s="68" t="str">
        <f t="shared" si="234"/>
        <v>N/A</v>
      </c>
      <c r="EF170" s="56">
        <v>156</v>
      </c>
      <c r="EG170" s="46">
        <f t="shared" si="235"/>
        <v>0</v>
      </c>
      <c r="EH170" s="68" t="e">
        <f t="shared" si="236"/>
        <v>#N/A</v>
      </c>
      <c r="EI170" s="68" t="e">
        <f t="shared" si="237"/>
        <v>#N/A</v>
      </c>
      <c r="EJ170" s="68" t="e">
        <f t="shared" si="238"/>
        <v>#N/A</v>
      </c>
      <c r="EK170" s="68" t="e">
        <f t="shared" si="239"/>
        <v>#N/A</v>
      </c>
      <c r="EL170" s="46">
        <f t="shared" si="240"/>
        <v>0</v>
      </c>
      <c r="EM170" s="46">
        <f t="shared" si="241"/>
        <v>0</v>
      </c>
    </row>
    <row r="171" spans="1:143">
      <c r="A171" s="89"/>
      <c r="B171" s="89"/>
      <c r="C171" s="89"/>
      <c r="D171" s="89"/>
      <c r="E171" s="89"/>
      <c r="F171" s="89"/>
      <c r="G171" s="34"/>
      <c r="H171" s="56">
        <f t="shared" si="242"/>
        <v>157</v>
      </c>
      <c r="I171" s="165"/>
      <c r="J171" s="163"/>
      <c r="K171" s="163"/>
      <c r="L171" s="164"/>
      <c r="M171" s="155"/>
      <c r="N171" s="155"/>
      <c r="O171" s="144"/>
      <c r="P171" s="159" t="str">
        <f>IFERROR(IF(O171&lt;&gt;"User Specified",IF(O171&lt;&gt;"", INDEX('Refrigerant GWPs'!$G$2:$G$154,MATCH(O171,'Refrigerant GWPs'!$A$2:$A$154,0)),""),U171),0)</f>
        <v/>
      </c>
      <c r="Q171" s="155"/>
      <c r="R171" s="155"/>
      <c r="S171" s="144"/>
      <c r="T171" s="159" t="str">
        <f>IF(S171&lt;&gt;"User Specified",IF(AND(S171&lt;&gt;"User Specified",S171&lt;&gt;""), INDEX('Refrigerant GWPs'!$G$2:$G$154,MATCH(S171,'Refrigerant GWPs'!$A$2:$A$154,0)),""),V171)</f>
        <v/>
      </c>
      <c r="U171" s="144"/>
      <c r="V171" s="144"/>
      <c r="W171" s="155"/>
      <c r="X171" s="155"/>
      <c r="Y171" s="144"/>
      <c r="Z171" s="159" t="str">
        <f>IF(AND(Y171&lt;&gt;"User Specified",Y171&lt;&gt;""), INDEX('Refrigerant GWPs'!$G$2:$G$154,MATCH(Y171,'Refrigerant GWPs'!$A$2:$A$154,0)),"")</f>
        <v/>
      </c>
      <c r="AA171" s="155"/>
      <c r="AB171" s="156"/>
      <c r="AC171" s="66"/>
      <c r="AD171" s="66"/>
      <c r="AE171" s="66"/>
      <c r="AF171" s="66"/>
      <c r="AG171" s="66"/>
      <c r="AH171" s="66"/>
      <c r="AI171" s="34"/>
      <c r="AJ171" s="88">
        <f t="shared" si="200"/>
        <v>0</v>
      </c>
      <c r="AK171" s="88">
        <f t="shared" si="201"/>
        <v>0</v>
      </c>
      <c r="AL171" s="88">
        <v>0</v>
      </c>
      <c r="AM171" s="88">
        <v>0</v>
      </c>
      <c r="AN171" s="81" t="str">
        <f t="shared" si="243"/>
        <v/>
      </c>
      <c r="AO171" s="88">
        <f t="shared" si="202"/>
        <v>0</v>
      </c>
      <c r="AP171" s="88">
        <f t="shared" si="203"/>
        <v>0</v>
      </c>
      <c r="AQ171" s="81" t="str">
        <f t="shared" si="204"/>
        <v/>
      </c>
      <c r="AS171" s="41" t="b">
        <f t="shared" si="205"/>
        <v>1</v>
      </c>
      <c r="AT171" s="38">
        <f t="shared" si="206"/>
        <v>0</v>
      </c>
      <c r="AU171" s="60">
        <f t="shared" si="207"/>
        <v>0</v>
      </c>
      <c r="AV171" s="41">
        <f t="shared" si="208"/>
        <v>0</v>
      </c>
      <c r="AW171" s="41" t="b">
        <f t="shared" si="209"/>
        <v>0</v>
      </c>
      <c r="AX171" t="str">
        <f t="shared" si="210"/>
        <v>+00</v>
      </c>
      <c r="AY171" t="str">
        <f t="shared" si="211"/>
        <v>+00</v>
      </c>
      <c r="BA171" s="47" t="b">
        <f t="shared" si="245"/>
        <v>1</v>
      </c>
      <c r="BB171" s="42" t="b">
        <f t="shared" si="246"/>
        <v>1</v>
      </c>
      <c r="BC171" s="42" t="b">
        <f t="shared" si="247"/>
        <v>0</v>
      </c>
      <c r="BD171" s="42" t="b">
        <f t="shared" si="248"/>
        <v>0</v>
      </c>
      <c r="BE171" s="70">
        <f t="shared" si="249"/>
        <v>0</v>
      </c>
      <c r="BF171" s="70">
        <f t="shared" si="250"/>
        <v>0</v>
      </c>
      <c r="BG171" s="34"/>
      <c r="BI171" s="47" t="b">
        <f t="shared" si="251"/>
        <v>1</v>
      </c>
      <c r="BJ171" s="47" t="b">
        <f t="shared" si="252"/>
        <v>1</v>
      </c>
      <c r="BK171" s="42" t="b">
        <f t="shared" si="253"/>
        <v>0</v>
      </c>
      <c r="BL171" s="42" t="b">
        <f t="shared" si="254"/>
        <v>0</v>
      </c>
      <c r="BM171" s="42">
        <f t="shared" si="255"/>
        <v>0</v>
      </c>
      <c r="BN171" s="42">
        <f t="shared" si="256"/>
        <v>0</v>
      </c>
      <c r="BP171" t="e">
        <f t="shared" si="257"/>
        <v>#N/A</v>
      </c>
      <c r="BQ171" t="e">
        <f t="shared" si="258"/>
        <v>#N/A</v>
      </c>
      <c r="BR171" t="e">
        <f t="shared" si="259"/>
        <v>#N/A</v>
      </c>
      <c r="BT171" s="60">
        <f t="shared" si="212"/>
        <v>0</v>
      </c>
      <c r="BU171" s="60">
        <f t="shared" si="213"/>
        <v>0</v>
      </c>
      <c r="BV171" s="60">
        <f t="shared" si="214"/>
        <v>0</v>
      </c>
      <c r="BW171" s="60">
        <f t="shared" si="215"/>
        <v>0</v>
      </c>
      <c r="BX171" s="60">
        <f t="shared" si="260"/>
        <v>0</v>
      </c>
      <c r="BY171" s="60">
        <f t="shared" si="261"/>
        <v>0</v>
      </c>
      <c r="BZ171" s="60">
        <f t="shared" si="262"/>
        <v>0</v>
      </c>
      <c r="CA171" s="60">
        <f t="shared" si="263"/>
        <v>0</v>
      </c>
      <c r="CB171" s="60" t="e">
        <f t="shared" si="216"/>
        <v>#N/A</v>
      </c>
      <c r="CC171" s="60">
        <f t="shared" si="217"/>
        <v>100000</v>
      </c>
      <c r="CD171" s="60" t="e">
        <f t="shared" si="218"/>
        <v>#N/A</v>
      </c>
      <c r="CE171" s="60">
        <f t="shared" si="219"/>
        <v>100000</v>
      </c>
      <c r="CF171" s="83" t="e">
        <f t="shared" si="264"/>
        <v>#N/A</v>
      </c>
      <c r="CG171" s="83">
        <f t="shared" si="265"/>
        <v>0</v>
      </c>
      <c r="CH171" s="83" t="e">
        <f t="shared" si="266"/>
        <v>#N/A</v>
      </c>
      <c r="CI171" s="83">
        <f t="shared" si="267"/>
        <v>0</v>
      </c>
      <c r="CJ171" s="86" t="e">
        <f t="shared" si="220"/>
        <v>#N/A</v>
      </c>
      <c r="CK171" s="82">
        <f t="shared" si="221"/>
        <v>5.3070370403969858E-3</v>
      </c>
      <c r="CL171" s="82" t="e">
        <f t="shared" si="222"/>
        <v>#N/A</v>
      </c>
      <c r="CM171" s="82">
        <f t="shared" si="223"/>
        <v>5.3070370403969858E-3</v>
      </c>
      <c r="CO171" s="149" t="str">
        <f>IF($I171&lt;&gt;"",IF(O171="User Specified",U171,INDEX('Refrigerant GWPs'!$G$2:$G$156,MATCH(O171,'Refrigerant GWPs'!$A$2:$A$156,0))),"")</f>
        <v/>
      </c>
      <c r="CP171" s="138" t="str">
        <f>IF($I171&lt;&gt;"",INDEX('Device Refrigerant Leakage'!$E$2:$E$42,MATCH($M171,'Device Refrigerant Leakage'!$B$2:$B$42,0)),"")</f>
        <v/>
      </c>
      <c r="CQ171" s="138" t="str">
        <f>IF($I171&lt;&gt;"",INDEX('Device Refrigerant Leakage'!$F$2:$F$42,MATCH($M171,'Device Refrigerant Leakage'!$B$2:$B$42,0)),"")</f>
        <v/>
      </c>
      <c r="CR171" s="145" t="str">
        <f>IF($I171&lt;&gt;"",INDEX('Device Refrigerant Leakage'!$G$2:$G$42,MATCH($M171,'Device Refrigerant Leakage'!$B$2:$B$42,0)),"")</f>
        <v/>
      </c>
      <c r="CS171" s="145" t="str">
        <f>IF($I171&lt;&gt;"",INDEX('Device Refrigerant Leakage'!$D$2:$D$42,MATCH($M171,'Device Refrigerant Leakage'!$B$2:$B$42,0))*CP171/2204.62*CO171,"")</f>
        <v/>
      </c>
      <c r="CT171" s="145" t="str">
        <f>IF($I171&lt;&gt;"",J171*(INDEX('Device Refrigerant Leakage'!$D$2:$D$42,MATCH($M171,'Device Refrigerant Leakage'!$B$2:$B$42,0))-(INDEX('Device Refrigerant Leakage'!$D$2:$D$42,MATCH($M171,'Device Refrigerant Leakage'!$B$2:$B$42,0)))*CR171*CP171)*CQ171/2204.62*CO171,"")</f>
        <v/>
      </c>
      <c r="CU171" s="135" t="str">
        <f>IF($I171&lt;&gt;"",J171*IF(W171&lt;&gt;"AR",(CS171*K171)+CT171,(CS171*AB171)+CT171*(AB171/INDEX('Device Refrigerant Leakage'!$C$2:$C$42,MATCH($M171,'Device Refrigerant Leakage'!$B$2:$B$42,0)))),"")</f>
        <v/>
      </c>
      <c r="CW171" s="135" t="str">
        <f>IF($I171&lt;&gt;"",IF(S171="User Specified",V171,INDEX('Refrigerant GWPs'!$G$2:$G$156,MATCH(S171,'Refrigerant GWPs'!$A$2:$A$157,0))),"")</f>
        <v/>
      </c>
      <c r="CX171" s="138" t="str">
        <f>IF($I171&lt;&gt;"",INDEX('Device Refrigerant Leakage'!$E$2:$E$42,MATCH($Q171,'Device Refrigerant Leakage'!$B$2:$B$42,0)),"")</f>
        <v/>
      </c>
      <c r="CY171" s="138" t="str">
        <f>IF($I171&lt;&gt;"",INDEX('Device Refrigerant Leakage'!$F$2:$F$42,MATCH($Q171,'Device Refrigerant Leakage'!$B$2:$B$42,0)),"")</f>
        <v/>
      </c>
      <c r="CZ171" s="145" t="str">
        <f>IF($I171&lt;&gt;"",INDEX('Device Refrigerant Leakage'!$G$2:$G$42,MATCH($Q171,'Device Refrigerant Leakage'!$B$2:$B$42,0)),"")</f>
        <v/>
      </c>
      <c r="DA171" s="145" t="str">
        <f>IF($I171&lt;&gt;"",J171*INDEX('Device Refrigerant Leakage'!$D$2:$D$42,MATCH($Q171,'Device Refrigerant Leakage'!$B$2:$B$42,0))*CX171/2204.62*CW171,"")</f>
        <v/>
      </c>
      <c r="DB171" s="145" t="str">
        <f>IF($I171&lt;&gt;"",J171*(INDEX('Device Refrigerant Leakage'!$D$2:$D$42,MATCH($Q171,'Device Refrigerant Leakage'!$B$2:$B$42,0))-(INDEX('Device Refrigerant Leakage'!$D$2:$D$42,MATCH($Q171,'Device Refrigerant Leakage'!$B$2:$B$42,0)))*CZ171*CX171)*CY171/2204.62*CW171,"")</f>
        <v/>
      </c>
      <c r="DC171" s="135" t="str">
        <f t="shared" si="244"/>
        <v/>
      </c>
      <c r="DE171" s="146" t="str">
        <f>IF(W171&lt;&gt;"AR","",IF(Y171="User Specified", AA171, INDEX('Refrigerant GWPs'!$G$2:$G$154,MATCH(Y171,'Refrigerant GWPs'!$A$2:$A$154,0))))</f>
        <v/>
      </c>
      <c r="DF171" s="146" t="str">
        <f>IF(W171&lt;&gt;"AR","",INDEX('Device Refrigerant Leakage'!$E$2:$E$42,MATCH(X171,'Device Refrigerant Leakage'!$B$2:$B$42,0)))</f>
        <v/>
      </c>
      <c r="DG171" s="146" t="str">
        <f>IF(W171&lt;&gt;"AR","",INDEX('Device Refrigerant Leakage'!$F$2:$F$42,MATCH(X171,'Device Refrigerant Leakage'!$B$2:$B$42,0)))</f>
        <v/>
      </c>
      <c r="DH171" s="146" t="str">
        <f>IF(W171&lt;&gt;"AR","",INDEX('Device Refrigerant Leakage'!$G$2:$G$42,MATCH(X171,'Device Refrigerant Leakage'!$B$2:$B$42,0)))</f>
        <v/>
      </c>
      <c r="DI171" s="146" t="str">
        <f>IF(W171&lt;&gt;"AR","",J171*INDEX('Device Refrigerant Leakage'!$D$2:$D$42,MATCH(X171,'Device Refrigerant Leakage'!$B$2:$B$42,0))*DF171/2204.62*DE171)</f>
        <v/>
      </c>
      <c r="DJ171" s="146" t="str">
        <f>IF(W171&lt;&gt;"AR","",J171*(INDEX('Device Refrigerant Leakage'!$D$2:$D$42,MATCH(X171,'Device Refrigerant Leakage'!$B$2:$B$42,0))-(INDEX('Device Refrigerant Leakage'!$D$2:$D$42,MATCH(X171,'Device Refrigerant Leakage'!$B$2:$B$42,0)))*DH171*DF171)*DG171/2204.62*DE171)</f>
        <v/>
      </c>
      <c r="DK171" s="146" t="str">
        <f>IF(W171&lt;&gt;"AR","",DI171*(K171-AB171)+'Fuel Sub Calcs-Deemed'!DJ171*((K171-AB171)/INDEX('Device Refrigerant Leakage'!$C$2:$C$42,MATCH('Fuel Sub Calcs-Deemed'!X171,'Device Refrigerant Leakage'!$B$2:$B$42,0))))</f>
        <v/>
      </c>
      <c r="DM171" s="56">
        <v>157</v>
      </c>
      <c r="DN171" s="67" t="e">
        <f t="shared" si="224"/>
        <v>#N/A</v>
      </c>
      <c r="DO171" s="45" t="e">
        <f t="shared" si="225"/>
        <v>#N/A</v>
      </c>
      <c r="DP171" s="67" t="e">
        <f t="shared" si="226"/>
        <v>#N/A</v>
      </c>
      <c r="DQ171" s="45" t="e">
        <f t="shared" si="227"/>
        <v>#N/A</v>
      </c>
      <c r="DR171" s="69" t="e">
        <f t="shared" si="228"/>
        <v>#N/A</v>
      </c>
      <c r="DS171" s="34"/>
      <c r="DT171" s="67" t="e">
        <f>((BX171*CJ171)+IF($W171=MAT_AR,(BZ171*CL171),0))*(1+Reference!$E$50+Reference!$E$51)</f>
        <v>#N/A</v>
      </c>
      <c r="DU171" s="67">
        <f>((BY171*CK171)+IF($W171=MAT_AR,(CA171*CM171),0))*(1+Reference!$G$50+Reference!$G$51)</f>
        <v>0</v>
      </c>
      <c r="DV171" s="67" t="e">
        <f t="shared" si="229"/>
        <v>#VALUE!</v>
      </c>
      <c r="DX171" s="56">
        <v>157</v>
      </c>
      <c r="DY171" s="67">
        <f t="shared" si="230"/>
        <v>0</v>
      </c>
      <c r="DZ171" s="45" t="e">
        <f>VLOOKUP($R171,Dropdown!$C$3:$D$4,2,FALSE)</f>
        <v>#N/A</v>
      </c>
      <c r="EA171" s="68">
        <f t="shared" si="231"/>
        <v>0</v>
      </c>
      <c r="EB171" s="68" t="str">
        <f t="shared" si="232"/>
        <v>N/A</v>
      </c>
      <c r="EC171" s="68">
        <f t="shared" si="233"/>
        <v>0</v>
      </c>
      <c r="ED171" s="68" t="str">
        <f t="shared" si="234"/>
        <v>N/A</v>
      </c>
      <c r="EF171" s="56">
        <v>157</v>
      </c>
      <c r="EG171" s="46">
        <f t="shared" si="235"/>
        <v>0</v>
      </c>
      <c r="EH171" s="68" t="e">
        <f t="shared" si="236"/>
        <v>#N/A</v>
      </c>
      <c r="EI171" s="68" t="e">
        <f t="shared" si="237"/>
        <v>#N/A</v>
      </c>
      <c r="EJ171" s="68" t="e">
        <f t="shared" si="238"/>
        <v>#N/A</v>
      </c>
      <c r="EK171" s="68" t="e">
        <f t="shared" si="239"/>
        <v>#N/A</v>
      </c>
      <c r="EL171" s="46">
        <f t="shared" si="240"/>
        <v>0</v>
      </c>
      <c r="EM171" s="46">
        <f t="shared" si="241"/>
        <v>0</v>
      </c>
    </row>
    <row r="172" spans="1:143">
      <c r="A172" s="89"/>
      <c r="B172" s="89"/>
      <c r="C172" s="89"/>
      <c r="D172" s="89"/>
      <c r="E172" s="89"/>
      <c r="F172" s="89"/>
      <c r="G172" s="34"/>
      <c r="H172" s="56">
        <f t="shared" si="242"/>
        <v>158</v>
      </c>
      <c r="I172" s="165"/>
      <c r="J172" s="163"/>
      <c r="K172" s="163"/>
      <c r="L172" s="164"/>
      <c r="M172" s="155"/>
      <c r="N172" s="155"/>
      <c r="O172" s="144"/>
      <c r="P172" s="159" t="str">
        <f>IFERROR(IF(O172&lt;&gt;"User Specified",IF(O172&lt;&gt;"", INDEX('Refrigerant GWPs'!$G$2:$G$154,MATCH(O172,'Refrigerant GWPs'!$A$2:$A$154,0)),""),U172),0)</f>
        <v/>
      </c>
      <c r="Q172" s="155"/>
      <c r="R172" s="155"/>
      <c r="S172" s="144"/>
      <c r="T172" s="159" t="str">
        <f>IF(S172&lt;&gt;"User Specified",IF(AND(S172&lt;&gt;"User Specified",S172&lt;&gt;""), INDEX('Refrigerant GWPs'!$G$2:$G$154,MATCH(S172,'Refrigerant GWPs'!$A$2:$A$154,0)),""),V172)</f>
        <v/>
      </c>
      <c r="U172" s="144"/>
      <c r="V172" s="144"/>
      <c r="W172" s="155"/>
      <c r="X172" s="155"/>
      <c r="Y172" s="144"/>
      <c r="Z172" s="159" t="str">
        <f>IF(AND(Y172&lt;&gt;"User Specified",Y172&lt;&gt;""), INDEX('Refrigerant GWPs'!$G$2:$G$154,MATCH(Y172,'Refrigerant GWPs'!$A$2:$A$154,0)),"")</f>
        <v/>
      </c>
      <c r="AA172" s="155"/>
      <c r="AB172" s="156"/>
      <c r="AC172" s="66"/>
      <c r="AD172" s="66"/>
      <c r="AE172" s="66"/>
      <c r="AF172" s="66"/>
      <c r="AG172" s="66"/>
      <c r="AH172" s="66"/>
      <c r="AI172" s="34"/>
      <c r="AJ172" s="88">
        <f t="shared" si="200"/>
        <v>0</v>
      </c>
      <c r="AK172" s="88">
        <f t="shared" si="201"/>
        <v>0</v>
      </c>
      <c r="AL172" s="88">
        <v>0</v>
      </c>
      <c r="AM172" s="88">
        <v>0</v>
      </c>
      <c r="AN172" s="81" t="str">
        <f t="shared" si="243"/>
        <v/>
      </c>
      <c r="AO172" s="88">
        <f t="shared" si="202"/>
        <v>0</v>
      </c>
      <c r="AP172" s="88">
        <f t="shared" si="203"/>
        <v>0</v>
      </c>
      <c r="AQ172" s="81" t="str">
        <f t="shared" si="204"/>
        <v/>
      </c>
      <c r="AS172" s="41" t="b">
        <f t="shared" si="205"/>
        <v>1</v>
      </c>
      <c r="AT172" s="38">
        <f t="shared" si="206"/>
        <v>0</v>
      </c>
      <c r="AU172" s="60">
        <f t="shared" si="207"/>
        <v>0</v>
      </c>
      <c r="AV172" s="41">
        <f t="shared" si="208"/>
        <v>0</v>
      </c>
      <c r="AW172" s="41" t="b">
        <f t="shared" si="209"/>
        <v>0</v>
      </c>
      <c r="AX172" t="str">
        <f t="shared" si="210"/>
        <v>+00</v>
      </c>
      <c r="AY172" t="str">
        <f t="shared" si="211"/>
        <v>+00</v>
      </c>
      <c r="BA172" s="47" t="b">
        <f t="shared" si="245"/>
        <v>1</v>
      </c>
      <c r="BB172" s="42" t="b">
        <f t="shared" si="246"/>
        <v>1</v>
      </c>
      <c r="BC172" s="42" t="b">
        <f t="shared" si="247"/>
        <v>0</v>
      </c>
      <c r="BD172" s="42" t="b">
        <f t="shared" si="248"/>
        <v>0</v>
      </c>
      <c r="BE172" s="70">
        <f t="shared" si="249"/>
        <v>0</v>
      </c>
      <c r="BF172" s="70">
        <f t="shared" si="250"/>
        <v>0</v>
      </c>
      <c r="BG172" s="34"/>
      <c r="BI172" s="47" t="b">
        <f t="shared" si="251"/>
        <v>1</v>
      </c>
      <c r="BJ172" s="47" t="b">
        <f t="shared" si="252"/>
        <v>1</v>
      </c>
      <c r="BK172" s="42" t="b">
        <f t="shared" si="253"/>
        <v>0</v>
      </c>
      <c r="BL172" s="42" t="b">
        <f t="shared" si="254"/>
        <v>0</v>
      </c>
      <c r="BM172" s="42">
        <f t="shared" si="255"/>
        <v>0</v>
      </c>
      <c r="BN172" s="42">
        <f t="shared" si="256"/>
        <v>0</v>
      </c>
      <c r="BP172" t="e">
        <f t="shared" si="257"/>
        <v>#N/A</v>
      </c>
      <c r="BQ172" t="e">
        <f t="shared" si="258"/>
        <v>#N/A</v>
      </c>
      <c r="BR172" t="e">
        <f t="shared" si="259"/>
        <v>#N/A</v>
      </c>
      <c r="BT172" s="60">
        <f t="shared" si="212"/>
        <v>0</v>
      </c>
      <c r="BU172" s="60">
        <f t="shared" si="213"/>
        <v>0</v>
      </c>
      <c r="BV172" s="60">
        <f t="shared" si="214"/>
        <v>0</v>
      </c>
      <c r="BW172" s="60">
        <f t="shared" si="215"/>
        <v>0</v>
      </c>
      <c r="BX172" s="60">
        <f t="shared" si="260"/>
        <v>0</v>
      </c>
      <c r="BY172" s="60">
        <f t="shared" si="261"/>
        <v>0</v>
      </c>
      <c r="BZ172" s="60">
        <f t="shared" si="262"/>
        <v>0</v>
      </c>
      <c r="CA172" s="60">
        <f t="shared" si="263"/>
        <v>0</v>
      </c>
      <c r="CB172" s="60" t="e">
        <f t="shared" si="216"/>
        <v>#N/A</v>
      </c>
      <c r="CC172" s="60">
        <f t="shared" si="217"/>
        <v>100000</v>
      </c>
      <c r="CD172" s="60" t="e">
        <f t="shared" si="218"/>
        <v>#N/A</v>
      </c>
      <c r="CE172" s="60">
        <f t="shared" si="219"/>
        <v>100000</v>
      </c>
      <c r="CF172" s="83" t="e">
        <f t="shared" si="264"/>
        <v>#N/A</v>
      </c>
      <c r="CG172" s="83">
        <f t="shared" si="265"/>
        <v>0</v>
      </c>
      <c r="CH172" s="83" t="e">
        <f t="shared" si="266"/>
        <v>#N/A</v>
      </c>
      <c r="CI172" s="83">
        <f t="shared" si="267"/>
        <v>0</v>
      </c>
      <c r="CJ172" s="86" t="e">
        <f t="shared" si="220"/>
        <v>#N/A</v>
      </c>
      <c r="CK172" s="82">
        <f t="shared" si="221"/>
        <v>5.3070370403969858E-3</v>
      </c>
      <c r="CL172" s="82" t="e">
        <f t="shared" si="222"/>
        <v>#N/A</v>
      </c>
      <c r="CM172" s="82">
        <f t="shared" si="223"/>
        <v>5.3070370403969858E-3</v>
      </c>
      <c r="CO172" s="149" t="str">
        <f>IF($I172&lt;&gt;"",IF(O172="User Specified",U172,INDEX('Refrigerant GWPs'!$G$2:$G$156,MATCH(O172,'Refrigerant GWPs'!$A$2:$A$156,0))),"")</f>
        <v/>
      </c>
      <c r="CP172" s="138" t="str">
        <f>IF($I172&lt;&gt;"",INDEX('Device Refrigerant Leakage'!$E$2:$E$42,MATCH($M172,'Device Refrigerant Leakage'!$B$2:$B$42,0)),"")</f>
        <v/>
      </c>
      <c r="CQ172" s="138" t="str">
        <f>IF($I172&lt;&gt;"",INDEX('Device Refrigerant Leakage'!$F$2:$F$42,MATCH($M172,'Device Refrigerant Leakage'!$B$2:$B$42,0)),"")</f>
        <v/>
      </c>
      <c r="CR172" s="145" t="str">
        <f>IF($I172&lt;&gt;"",INDEX('Device Refrigerant Leakage'!$G$2:$G$42,MATCH($M172,'Device Refrigerant Leakage'!$B$2:$B$42,0)),"")</f>
        <v/>
      </c>
      <c r="CS172" s="145" t="str">
        <f>IF($I172&lt;&gt;"",INDEX('Device Refrigerant Leakage'!$D$2:$D$42,MATCH($M172,'Device Refrigerant Leakage'!$B$2:$B$42,0))*CP172/2204.62*CO172,"")</f>
        <v/>
      </c>
      <c r="CT172" s="145" t="str">
        <f>IF($I172&lt;&gt;"",J172*(INDEX('Device Refrigerant Leakage'!$D$2:$D$42,MATCH($M172,'Device Refrigerant Leakage'!$B$2:$B$42,0))-(INDEX('Device Refrigerant Leakage'!$D$2:$D$42,MATCH($M172,'Device Refrigerant Leakage'!$B$2:$B$42,0)))*CR172*CP172)*CQ172/2204.62*CO172,"")</f>
        <v/>
      </c>
      <c r="CU172" s="135" t="str">
        <f>IF($I172&lt;&gt;"",J172*IF(W172&lt;&gt;"AR",(CS172*K172)+CT172,(CS172*AB172)+CT172*(AB172/INDEX('Device Refrigerant Leakage'!$C$2:$C$42,MATCH($M172,'Device Refrigerant Leakage'!$B$2:$B$42,0)))),"")</f>
        <v/>
      </c>
      <c r="CW172" s="135" t="str">
        <f>IF($I172&lt;&gt;"",IF(S172="User Specified",V172,INDEX('Refrigerant GWPs'!$G$2:$G$156,MATCH(S172,'Refrigerant GWPs'!$A$2:$A$157,0))),"")</f>
        <v/>
      </c>
      <c r="CX172" s="138" t="str">
        <f>IF($I172&lt;&gt;"",INDEX('Device Refrigerant Leakage'!$E$2:$E$42,MATCH($Q172,'Device Refrigerant Leakage'!$B$2:$B$42,0)),"")</f>
        <v/>
      </c>
      <c r="CY172" s="138" t="str">
        <f>IF($I172&lt;&gt;"",INDEX('Device Refrigerant Leakage'!$F$2:$F$42,MATCH($Q172,'Device Refrigerant Leakage'!$B$2:$B$42,0)),"")</f>
        <v/>
      </c>
      <c r="CZ172" s="145" t="str">
        <f>IF($I172&lt;&gt;"",INDEX('Device Refrigerant Leakage'!$G$2:$G$42,MATCH($Q172,'Device Refrigerant Leakage'!$B$2:$B$42,0)),"")</f>
        <v/>
      </c>
      <c r="DA172" s="145" t="str">
        <f>IF($I172&lt;&gt;"",J172*INDEX('Device Refrigerant Leakage'!$D$2:$D$42,MATCH($Q172,'Device Refrigerant Leakage'!$B$2:$B$42,0))*CX172/2204.62*CW172,"")</f>
        <v/>
      </c>
      <c r="DB172" s="145" t="str">
        <f>IF($I172&lt;&gt;"",J172*(INDEX('Device Refrigerant Leakage'!$D$2:$D$42,MATCH($Q172,'Device Refrigerant Leakage'!$B$2:$B$42,0))-(INDEX('Device Refrigerant Leakage'!$D$2:$D$42,MATCH($Q172,'Device Refrigerant Leakage'!$B$2:$B$42,0)))*CZ172*CX172)*CY172/2204.62*CW172,"")</f>
        <v/>
      </c>
      <c r="DC172" s="135" t="str">
        <f t="shared" si="244"/>
        <v/>
      </c>
      <c r="DE172" s="146" t="str">
        <f>IF(W172&lt;&gt;"AR","",IF(Y172="User Specified", AA172, INDEX('Refrigerant GWPs'!$G$2:$G$154,MATCH(Y172,'Refrigerant GWPs'!$A$2:$A$154,0))))</f>
        <v/>
      </c>
      <c r="DF172" s="146" t="str">
        <f>IF(W172&lt;&gt;"AR","",INDEX('Device Refrigerant Leakage'!$E$2:$E$42,MATCH(X172,'Device Refrigerant Leakage'!$B$2:$B$42,0)))</f>
        <v/>
      </c>
      <c r="DG172" s="146" t="str">
        <f>IF(W172&lt;&gt;"AR","",INDEX('Device Refrigerant Leakage'!$F$2:$F$42,MATCH(X172,'Device Refrigerant Leakage'!$B$2:$B$42,0)))</f>
        <v/>
      </c>
      <c r="DH172" s="146" t="str">
        <f>IF(W172&lt;&gt;"AR","",INDEX('Device Refrigerant Leakage'!$G$2:$G$42,MATCH(X172,'Device Refrigerant Leakage'!$B$2:$B$42,0)))</f>
        <v/>
      </c>
      <c r="DI172" s="146" t="str">
        <f>IF(W172&lt;&gt;"AR","",J172*INDEX('Device Refrigerant Leakage'!$D$2:$D$42,MATCH(X172,'Device Refrigerant Leakage'!$B$2:$B$42,0))*DF172/2204.62*DE172)</f>
        <v/>
      </c>
      <c r="DJ172" s="146" t="str">
        <f>IF(W172&lt;&gt;"AR","",J172*(INDEX('Device Refrigerant Leakage'!$D$2:$D$42,MATCH(X172,'Device Refrigerant Leakage'!$B$2:$B$42,0))-(INDEX('Device Refrigerant Leakage'!$D$2:$D$42,MATCH(X172,'Device Refrigerant Leakage'!$B$2:$B$42,0)))*DH172*DF172)*DG172/2204.62*DE172)</f>
        <v/>
      </c>
      <c r="DK172" s="146" t="str">
        <f>IF(W172&lt;&gt;"AR","",DI172*(K172-AB172)+'Fuel Sub Calcs-Deemed'!DJ172*((K172-AB172)/INDEX('Device Refrigerant Leakage'!$C$2:$C$42,MATCH('Fuel Sub Calcs-Deemed'!X172,'Device Refrigerant Leakage'!$B$2:$B$42,0))))</f>
        <v/>
      </c>
      <c r="DM172" s="56">
        <v>158</v>
      </c>
      <c r="DN172" s="67" t="e">
        <f t="shared" si="224"/>
        <v>#N/A</v>
      </c>
      <c r="DO172" s="45" t="e">
        <f t="shared" si="225"/>
        <v>#N/A</v>
      </c>
      <c r="DP172" s="67" t="e">
        <f t="shared" si="226"/>
        <v>#N/A</v>
      </c>
      <c r="DQ172" s="45" t="e">
        <f t="shared" si="227"/>
        <v>#N/A</v>
      </c>
      <c r="DR172" s="69" t="e">
        <f t="shared" si="228"/>
        <v>#N/A</v>
      </c>
      <c r="DS172" s="34"/>
      <c r="DT172" s="67" t="e">
        <f>((BX172*CJ172)+IF($W172=MAT_AR,(BZ172*CL172),0))*(1+Reference!$E$50+Reference!$E$51)</f>
        <v>#N/A</v>
      </c>
      <c r="DU172" s="67">
        <f>((BY172*CK172)+IF($W172=MAT_AR,(CA172*CM172),0))*(1+Reference!$G$50+Reference!$G$51)</f>
        <v>0</v>
      </c>
      <c r="DV172" s="67" t="e">
        <f t="shared" si="229"/>
        <v>#VALUE!</v>
      </c>
      <c r="DX172" s="56">
        <v>158</v>
      </c>
      <c r="DY172" s="67">
        <f t="shared" si="230"/>
        <v>0</v>
      </c>
      <c r="DZ172" s="45" t="e">
        <f>VLOOKUP($R172,Dropdown!$C$3:$D$4,2,FALSE)</f>
        <v>#N/A</v>
      </c>
      <c r="EA172" s="68">
        <f t="shared" si="231"/>
        <v>0</v>
      </c>
      <c r="EB172" s="68" t="str">
        <f t="shared" si="232"/>
        <v>N/A</v>
      </c>
      <c r="EC172" s="68">
        <f t="shared" si="233"/>
        <v>0</v>
      </c>
      <c r="ED172" s="68" t="str">
        <f t="shared" si="234"/>
        <v>N/A</v>
      </c>
      <c r="EF172" s="56">
        <v>158</v>
      </c>
      <c r="EG172" s="46">
        <f t="shared" si="235"/>
        <v>0</v>
      </c>
      <c r="EH172" s="68" t="e">
        <f t="shared" si="236"/>
        <v>#N/A</v>
      </c>
      <c r="EI172" s="68" t="e">
        <f t="shared" si="237"/>
        <v>#N/A</v>
      </c>
      <c r="EJ172" s="68" t="e">
        <f t="shared" si="238"/>
        <v>#N/A</v>
      </c>
      <c r="EK172" s="68" t="e">
        <f t="shared" si="239"/>
        <v>#N/A</v>
      </c>
      <c r="EL172" s="46">
        <f t="shared" si="240"/>
        <v>0</v>
      </c>
      <c r="EM172" s="46">
        <f t="shared" si="241"/>
        <v>0</v>
      </c>
    </row>
    <row r="173" spans="1:143">
      <c r="A173" s="89"/>
      <c r="B173" s="89"/>
      <c r="C173" s="89"/>
      <c r="D173" s="89"/>
      <c r="E173" s="89"/>
      <c r="F173" s="89"/>
      <c r="G173" s="34"/>
      <c r="H173" s="56">
        <f t="shared" si="242"/>
        <v>159</v>
      </c>
      <c r="I173" s="165"/>
      <c r="J173" s="163"/>
      <c r="K173" s="163"/>
      <c r="L173" s="164"/>
      <c r="M173" s="155"/>
      <c r="N173" s="155"/>
      <c r="O173" s="144"/>
      <c r="P173" s="159" t="str">
        <f>IFERROR(IF(O173&lt;&gt;"User Specified",IF(O173&lt;&gt;"", INDEX('Refrigerant GWPs'!$G$2:$G$154,MATCH(O173,'Refrigerant GWPs'!$A$2:$A$154,0)),""),U173),0)</f>
        <v/>
      </c>
      <c r="Q173" s="155"/>
      <c r="R173" s="155"/>
      <c r="S173" s="144"/>
      <c r="T173" s="159" t="str">
        <f>IF(S173&lt;&gt;"User Specified",IF(AND(S173&lt;&gt;"User Specified",S173&lt;&gt;""), INDEX('Refrigerant GWPs'!$G$2:$G$154,MATCH(S173,'Refrigerant GWPs'!$A$2:$A$154,0)),""),V173)</f>
        <v/>
      </c>
      <c r="U173" s="144"/>
      <c r="V173" s="144"/>
      <c r="W173" s="155"/>
      <c r="X173" s="155"/>
      <c r="Y173" s="144"/>
      <c r="Z173" s="159" t="str">
        <f>IF(AND(Y173&lt;&gt;"User Specified",Y173&lt;&gt;""), INDEX('Refrigerant GWPs'!$G$2:$G$154,MATCH(Y173,'Refrigerant GWPs'!$A$2:$A$154,0)),"")</f>
        <v/>
      </c>
      <c r="AA173" s="155"/>
      <c r="AB173" s="156"/>
      <c r="AC173" s="66"/>
      <c r="AD173" s="66"/>
      <c r="AE173" s="66"/>
      <c r="AF173" s="66"/>
      <c r="AG173" s="66"/>
      <c r="AH173" s="66"/>
      <c r="AI173" s="34"/>
      <c r="AJ173" s="88">
        <f t="shared" si="200"/>
        <v>0</v>
      </c>
      <c r="AK173" s="88">
        <f t="shared" si="201"/>
        <v>0</v>
      </c>
      <c r="AL173" s="88">
        <v>0</v>
      </c>
      <c r="AM173" s="88">
        <v>0</v>
      </c>
      <c r="AN173" s="81" t="str">
        <f t="shared" si="243"/>
        <v/>
      </c>
      <c r="AO173" s="88">
        <f t="shared" si="202"/>
        <v>0</v>
      </c>
      <c r="AP173" s="88">
        <f t="shared" si="203"/>
        <v>0</v>
      </c>
      <c r="AQ173" s="81" t="str">
        <f t="shared" si="204"/>
        <v/>
      </c>
      <c r="AS173" s="41" t="b">
        <f t="shared" si="205"/>
        <v>1</v>
      </c>
      <c r="AT173" s="38">
        <f t="shared" si="206"/>
        <v>0</v>
      </c>
      <c r="AU173" s="60">
        <f t="shared" si="207"/>
        <v>0</v>
      </c>
      <c r="AV173" s="41">
        <f t="shared" si="208"/>
        <v>0</v>
      </c>
      <c r="AW173" s="41" t="b">
        <f t="shared" si="209"/>
        <v>0</v>
      </c>
      <c r="AX173" t="str">
        <f t="shared" si="210"/>
        <v>+00</v>
      </c>
      <c r="AY173" t="str">
        <f t="shared" si="211"/>
        <v>+00</v>
      </c>
      <c r="BA173" s="47" t="b">
        <f t="shared" si="245"/>
        <v>1</v>
      </c>
      <c r="BB173" s="42" t="b">
        <f t="shared" si="246"/>
        <v>1</v>
      </c>
      <c r="BC173" s="42" t="b">
        <f t="shared" si="247"/>
        <v>0</v>
      </c>
      <c r="BD173" s="42" t="b">
        <f t="shared" si="248"/>
        <v>0</v>
      </c>
      <c r="BE173" s="70">
        <f t="shared" si="249"/>
        <v>0</v>
      </c>
      <c r="BF173" s="70">
        <f t="shared" si="250"/>
        <v>0</v>
      </c>
      <c r="BG173" s="34"/>
      <c r="BI173" s="47" t="b">
        <f t="shared" si="251"/>
        <v>1</v>
      </c>
      <c r="BJ173" s="47" t="b">
        <f t="shared" si="252"/>
        <v>1</v>
      </c>
      <c r="BK173" s="42" t="b">
        <f t="shared" si="253"/>
        <v>0</v>
      </c>
      <c r="BL173" s="42" t="b">
        <f t="shared" si="254"/>
        <v>0</v>
      </c>
      <c r="BM173" s="42">
        <f t="shared" si="255"/>
        <v>0</v>
      </c>
      <c r="BN173" s="42">
        <f t="shared" si="256"/>
        <v>0</v>
      </c>
      <c r="BP173" t="e">
        <f t="shared" si="257"/>
        <v>#N/A</v>
      </c>
      <c r="BQ173" t="e">
        <f t="shared" si="258"/>
        <v>#N/A</v>
      </c>
      <c r="BR173" t="e">
        <f t="shared" si="259"/>
        <v>#N/A</v>
      </c>
      <c r="BT173" s="60">
        <f t="shared" si="212"/>
        <v>0</v>
      </c>
      <c r="BU173" s="60">
        <f t="shared" si="213"/>
        <v>0</v>
      </c>
      <c r="BV173" s="60">
        <f t="shared" si="214"/>
        <v>0</v>
      </c>
      <c r="BW173" s="60">
        <f t="shared" si="215"/>
        <v>0</v>
      </c>
      <c r="BX173" s="60">
        <f t="shared" si="260"/>
        <v>0</v>
      </c>
      <c r="BY173" s="60">
        <f t="shared" si="261"/>
        <v>0</v>
      </c>
      <c r="BZ173" s="60">
        <f t="shared" si="262"/>
        <v>0</v>
      </c>
      <c r="CA173" s="60">
        <f t="shared" si="263"/>
        <v>0</v>
      </c>
      <c r="CB173" s="60" t="e">
        <f t="shared" si="216"/>
        <v>#N/A</v>
      </c>
      <c r="CC173" s="60">
        <f t="shared" si="217"/>
        <v>100000</v>
      </c>
      <c r="CD173" s="60" t="e">
        <f t="shared" si="218"/>
        <v>#N/A</v>
      </c>
      <c r="CE173" s="60">
        <f t="shared" si="219"/>
        <v>100000</v>
      </c>
      <c r="CF173" s="83" t="e">
        <f t="shared" si="264"/>
        <v>#N/A</v>
      </c>
      <c r="CG173" s="83">
        <f t="shared" si="265"/>
        <v>0</v>
      </c>
      <c r="CH173" s="83" t="e">
        <f t="shared" si="266"/>
        <v>#N/A</v>
      </c>
      <c r="CI173" s="83">
        <f t="shared" si="267"/>
        <v>0</v>
      </c>
      <c r="CJ173" s="86" t="e">
        <f t="shared" si="220"/>
        <v>#N/A</v>
      </c>
      <c r="CK173" s="82">
        <f t="shared" si="221"/>
        <v>5.3070370403969858E-3</v>
      </c>
      <c r="CL173" s="82" t="e">
        <f t="shared" si="222"/>
        <v>#N/A</v>
      </c>
      <c r="CM173" s="82">
        <f t="shared" si="223"/>
        <v>5.3070370403969858E-3</v>
      </c>
      <c r="CO173" s="149" t="str">
        <f>IF($I173&lt;&gt;"",IF(O173="User Specified",U173,INDEX('Refrigerant GWPs'!$G$2:$G$156,MATCH(O173,'Refrigerant GWPs'!$A$2:$A$156,0))),"")</f>
        <v/>
      </c>
      <c r="CP173" s="138" t="str">
        <f>IF($I173&lt;&gt;"",INDEX('Device Refrigerant Leakage'!$E$2:$E$42,MATCH($M173,'Device Refrigerant Leakage'!$B$2:$B$42,0)),"")</f>
        <v/>
      </c>
      <c r="CQ173" s="138" t="str">
        <f>IF($I173&lt;&gt;"",INDEX('Device Refrigerant Leakage'!$F$2:$F$42,MATCH($M173,'Device Refrigerant Leakage'!$B$2:$B$42,0)),"")</f>
        <v/>
      </c>
      <c r="CR173" s="145" t="str">
        <f>IF($I173&lt;&gt;"",INDEX('Device Refrigerant Leakage'!$G$2:$G$42,MATCH($M173,'Device Refrigerant Leakage'!$B$2:$B$42,0)),"")</f>
        <v/>
      </c>
      <c r="CS173" s="145" t="str">
        <f>IF($I173&lt;&gt;"",INDEX('Device Refrigerant Leakage'!$D$2:$D$42,MATCH($M173,'Device Refrigerant Leakage'!$B$2:$B$42,0))*CP173/2204.62*CO173,"")</f>
        <v/>
      </c>
      <c r="CT173" s="145" t="str">
        <f>IF($I173&lt;&gt;"",J173*(INDEX('Device Refrigerant Leakage'!$D$2:$D$42,MATCH($M173,'Device Refrigerant Leakage'!$B$2:$B$42,0))-(INDEX('Device Refrigerant Leakage'!$D$2:$D$42,MATCH($M173,'Device Refrigerant Leakage'!$B$2:$B$42,0)))*CR173*CP173)*CQ173/2204.62*CO173,"")</f>
        <v/>
      </c>
      <c r="CU173" s="135" t="str">
        <f>IF($I173&lt;&gt;"",J173*IF(W173&lt;&gt;"AR",(CS173*K173)+CT173,(CS173*AB173)+CT173*(AB173/INDEX('Device Refrigerant Leakage'!$C$2:$C$42,MATCH($M173,'Device Refrigerant Leakage'!$B$2:$B$42,0)))),"")</f>
        <v/>
      </c>
      <c r="CW173" s="135" t="str">
        <f>IF($I173&lt;&gt;"",IF(S173="User Specified",V173,INDEX('Refrigerant GWPs'!$G$2:$G$156,MATCH(S173,'Refrigerant GWPs'!$A$2:$A$157,0))),"")</f>
        <v/>
      </c>
      <c r="CX173" s="138" t="str">
        <f>IF($I173&lt;&gt;"",INDEX('Device Refrigerant Leakage'!$E$2:$E$42,MATCH($Q173,'Device Refrigerant Leakage'!$B$2:$B$42,0)),"")</f>
        <v/>
      </c>
      <c r="CY173" s="138" t="str">
        <f>IF($I173&lt;&gt;"",INDEX('Device Refrigerant Leakage'!$F$2:$F$42,MATCH($Q173,'Device Refrigerant Leakage'!$B$2:$B$42,0)),"")</f>
        <v/>
      </c>
      <c r="CZ173" s="145" t="str">
        <f>IF($I173&lt;&gt;"",INDEX('Device Refrigerant Leakage'!$G$2:$G$42,MATCH($Q173,'Device Refrigerant Leakage'!$B$2:$B$42,0)),"")</f>
        <v/>
      </c>
      <c r="DA173" s="145" t="str">
        <f>IF($I173&lt;&gt;"",J173*INDEX('Device Refrigerant Leakage'!$D$2:$D$42,MATCH($Q173,'Device Refrigerant Leakage'!$B$2:$B$42,0))*CX173/2204.62*CW173,"")</f>
        <v/>
      </c>
      <c r="DB173" s="145" t="str">
        <f>IF($I173&lt;&gt;"",J173*(INDEX('Device Refrigerant Leakage'!$D$2:$D$42,MATCH($Q173,'Device Refrigerant Leakage'!$B$2:$B$42,0))-(INDEX('Device Refrigerant Leakage'!$D$2:$D$42,MATCH($Q173,'Device Refrigerant Leakage'!$B$2:$B$42,0)))*CZ173*CX173)*CY173/2204.62*CW173,"")</f>
        <v/>
      </c>
      <c r="DC173" s="135" t="str">
        <f t="shared" si="244"/>
        <v/>
      </c>
      <c r="DE173" s="146" t="str">
        <f>IF(W173&lt;&gt;"AR","",IF(Y173="User Specified", AA173, INDEX('Refrigerant GWPs'!$G$2:$G$154,MATCH(Y173,'Refrigerant GWPs'!$A$2:$A$154,0))))</f>
        <v/>
      </c>
      <c r="DF173" s="146" t="str">
        <f>IF(W173&lt;&gt;"AR","",INDEX('Device Refrigerant Leakage'!$E$2:$E$42,MATCH(X173,'Device Refrigerant Leakage'!$B$2:$B$42,0)))</f>
        <v/>
      </c>
      <c r="DG173" s="146" t="str">
        <f>IF(W173&lt;&gt;"AR","",INDEX('Device Refrigerant Leakage'!$F$2:$F$42,MATCH(X173,'Device Refrigerant Leakage'!$B$2:$B$42,0)))</f>
        <v/>
      </c>
      <c r="DH173" s="146" t="str">
        <f>IF(W173&lt;&gt;"AR","",INDEX('Device Refrigerant Leakage'!$G$2:$G$42,MATCH(X173,'Device Refrigerant Leakage'!$B$2:$B$42,0)))</f>
        <v/>
      </c>
      <c r="DI173" s="146" t="str">
        <f>IF(W173&lt;&gt;"AR","",J173*INDEX('Device Refrigerant Leakage'!$D$2:$D$42,MATCH(X173,'Device Refrigerant Leakage'!$B$2:$B$42,0))*DF173/2204.62*DE173)</f>
        <v/>
      </c>
      <c r="DJ173" s="146" t="str">
        <f>IF(W173&lt;&gt;"AR","",J173*(INDEX('Device Refrigerant Leakage'!$D$2:$D$42,MATCH(X173,'Device Refrigerant Leakage'!$B$2:$B$42,0))-(INDEX('Device Refrigerant Leakage'!$D$2:$D$42,MATCH(X173,'Device Refrigerant Leakage'!$B$2:$B$42,0)))*DH173*DF173)*DG173/2204.62*DE173)</f>
        <v/>
      </c>
      <c r="DK173" s="146" t="str">
        <f>IF(W173&lt;&gt;"AR","",DI173*(K173-AB173)+'Fuel Sub Calcs-Deemed'!DJ173*((K173-AB173)/INDEX('Device Refrigerant Leakage'!$C$2:$C$42,MATCH('Fuel Sub Calcs-Deemed'!X173,'Device Refrigerant Leakage'!$B$2:$B$42,0))))</f>
        <v/>
      </c>
      <c r="DM173" s="56">
        <v>159</v>
      </c>
      <c r="DN173" s="67" t="e">
        <f t="shared" si="224"/>
        <v>#N/A</v>
      </c>
      <c r="DO173" s="45" t="e">
        <f t="shared" si="225"/>
        <v>#N/A</v>
      </c>
      <c r="DP173" s="67" t="e">
        <f t="shared" si="226"/>
        <v>#N/A</v>
      </c>
      <c r="DQ173" s="45" t="e">
        <f t="shared" si="227"/>
        <v>#N/A</v>
      </c>
      <c r="DR173" s="69" t="e">
        <f t="shared" si="228"/>
        <v>#N/A</v>
      </c>
      <c r="DS173" s="34"/>
      <c r="DT173" s="67" t="e">
        <f>((BX173*CJ173)+IF($W173=MAT_AR,(BZ173*CL173),0))*(1+Reference!$E$50+Reference!$E$51)</f>
        <v>#N/A</v>
      </c>
      <c r="DU173" s="67">
        <f>((BY173*CK173)+IF($W173=MAT_AR,(CA173*CM173),0))*(1+Reference!$G$50+Reference!$G$51)</f>
        <v>0</v>
      </c>
      <c r="DV173" s="67" t="e">
        <f t="shared" si="229"/>
        <v>#VALUE!</v>
      </c>
      <c r="DX173" s="56">
        <v>159</v>
      </c>
      <c r="DY173" s="67">
        <f t="shared" si="230"/>
        <v>0</v>
      </c>
      <c r="DZ173" s="45" t="e">
        <f>VLOOKUP($R173,Dropdown!$C$3:$D$4,2,FALSE)</f>
        <v>#N/A</v>
      </c>
      <c r="EA173" s="68">
        <f t="shared" si="231"/>
        <v>0</v>
      </c>
      <c r="EB173" s="68" t="str">
        <f t="shared" si="232"/>
        <v>N/A</v>
      </c>
      <c r="EC173" s="68">
        <f t="shared" si="233"/>
        <v>0</v>
      </c>
      <c r="ED173" s="68" t="str">
        <f t="shared" si="234"/>
        <v>N/A</v>
      </c>
      <c r="EF173" s="56">
        <v>159</v>
      </c>
      <c r="EG173" s="46">
        <f t="shared" si="235"/>
        <v>0</v>
      </c>
      <c r="EH173" s="68" t="e">
        <f t="shared" si="236"/>
        <v>#N/A</v>
      </c>
      <c r="EI173" s="68" t="e">
        <f t="shared" si="237"/>
        <v>#N/A</v>
      </c>
      <c r="EJ173" s="68" t="e">
        <f t="shared" si="238"/>
        <v>#N/A</v>
      </c>
      <c r="EK173" s="68" t="e">
        <f t="shared" si="239"/>
        <v>#N/A</v>
      </c>
      <c r="EL173" s="46">
        <f t="shared" si="240"/>
        <v>0</v>
      </c>
      <c r="EM173" s="46">
        <f t="shared" si="241"/>
        <v>0</v>
      </c>
    </row>
    <row r="174" spans="1:143">
      <c r="A174" s="89"/>
      <c r="B174" s="89"/>
      <c r="C174" s="89"/>
      <c r="D174" s="89"/>
      <c r="E174" s="89"/>
      <c r="F174" s="89"/>
      <c r="G174" s="34"/>
      <c r="H174" s="56">
        <f t="shared" si="242"/>
        <v>160</v>
      </c>
      <c r="I174" s="165"/>
      <c r="J174" s="163"/>
      <c r="K174" s="163"/>
      <c r="L174" s="164"/>
      <c r="M174" s="155"/>
      <c r="N174" s="155"/>
      <c r="O174" s="144"/>
      <c r="P174" s="159" t="str">
        <f>IFERROR(IF(O174&lt;&gt;"User Specified",IF(O174&lt;&gt;"", INDEX('Refrigerant GWPs'!$G$2:$G$154,MATCH(O174,'Refrigerant GWPs'!$A$2:$A$154,0)),""),U174),0)</f>
        <v/>
      </c>
      <c r="Q174" s="155"/>
      <c r="R174" s="155"/>
      <c r="S174" s="144"/>
      <c r="T174" s="159" t="str">
        <f>IF(S174&lt;&gt;"User Specified",IF(AND(S174&lt;&gt;"User Specified",S174&lt;&gt;""), INDEX('Refrigerant GWPs'!$G$2:$G$154,MATCH(S174,'Refrigerant GWPs'!$A$2:$A$154,0)),""),V174)</f>
        <v/>
      </c>
      <c r="U174" s="144"/>
      <c r="V174" s="144"/>
      <c r="W174" s="155"/>
      <c r="X174" s="155"/>
      <c r="Y174" s="144"/>
      <c r="Z174" s="159" t="str">
        <f>IF(AND(Y174&lt;&gt;"User Specified",Y174&lt;&gt;""), INDEX('Refrigerant GWPs'!$G$2:$G$154,MATCH(Y174,'Refrigerant GWPs'!$A$2:$A$154,0)),"")</f>
        <v/>
      </c>
      <c r="AA174" s="155"/>
      <c r="AB174" s="156"/>
      <c r="AC174" s="66"/>
      <c r="AD174" s="66"/>
      <c r="AE174" s="66"/>
      <c r="AF174" s="66"/>
      <c r="AG174" s="66"/>
      <c r="AH174" s="66"/>
      <c r="AI174" s="34"/>
      <c r="AJ174" s="88">
        <f t="shared" si="200"/>
        <v>0</v>
      </c>
      <c r="AK174" s="88">
        <f t="shared" si="201"/>
        <v>0</v>
      </c>
      <c r="AL174" s="88">
        <v>0</v>
      </c>
      <c r="AM174" s="88">
        <v>0</v>
      </c>
      <c r="AN174" s="81" t="str">
        <f t="shared" si="243"/>
        <v/>
      </c>
      <c r="AO174" s="88">
        <f t="shared" si="202"/>
        <v>0</v>
      </c>
      <c r="AP174" s="88">
        <f t="shared" si="203"/>
        <v>0</v>
      </c>
      <c r="AQ174" s="81" t="str">
        <f t="shared" si="204"/>
        <v/>
      </c>
      <c r="AS174" s="41" t="b">
        <f t="shared" si="205"/>
        <v>1</v>
      </c>
      <c r="AT174" s="38">
        <f t="shared" si="206"/>
        <v>0</v>
      </c>
      <c r="AU174" s="60">
        <f t="shared" si="207"/>
        <v>0</v>
      </c>
      <c r="AV174" s="41">
        <f t="shared" si="208"/>
        <v>0</v>
      </c>
      <c r="AW174" s="41" t="b">
        <f t="shared" si="209"/>
        <v>0</v>
      </c>
      <c r="AX174" t="str">
        <f t="shared" si="210"/>
        <v>+00</v>
      </c>
      <c r="AY174" t="str">
        <f t="shared" si="211"/>
        <v>+00</v>
      </c>
      <c r="BA174" s="47" t="b">
        <f t="shared" si="245"/>
        <v>1</v>
      </c>
      <c r="BB174" s="42" t="b">
        <f t="shared" si="246"/>
        <v>1</v>
      </c>
      <c r="BC174" s="42" t="b">
        <f t="shared" si="247"/>
        <v>0</v>
      </c>
      <c r="BD174" s="42" t="b">
        <f t="shared" si="248"/>
        <v>0</v>
      </c>
      <c r="BE174" s="70">
        <f t="shared" si="249"/>
        <v>0</v>
      </c>
      <c r="BF174" s="70">
        <f t="shared" si="250"/>
        <v>0</v>
      </c>
      <c r="BG174" s="34"/>
      <c r="BI174" s="47" t="b">
        <f t="shared" si="251"/>
        <v>1</v>
      </c>
      <c r="BJ174" s="47" t="b">
        <f t="shared" si="252"/>
        <v>1</v>
      </c>
      <c r="BK174" s="42" t="b">
        <f t="shared" si="253"/>
        <v>0</v>
      </c>
      <c r="BL174" s="42" t="b">
        <f t="shared" si="254"/>
        <v>0</v>
      </c>
      <c r="BM174" s="42">
        <f t="shared" si="255"/>
        <v>0</v>
      </c>
      <c r="BN174" s="42">
        <f t="shared" si="256"/>
        <v>0</v>
      </c>
      <c r="BP174" t="e">
        <f t="shared" si="257"/>
        <v>#N/A</v>
      </c>
      <c r="BQ174" t="e">
        <f t="shared" si="258"/>
        <v>#N/A</v>
      </c>
      <c r="BR174" t="e">
        <f t="shared" si="259"/>
        <v>#N/A</v>
      </c>
      <c r="BT174" s="60">
        <f t="shared" si="212"/>
        <v>0</v>
      </c>
      <c r="BU174" s="60">
        <f t="shared" si="213"/>
        <v>0</v>
      </c>
      <c r="BV174" s="60">
        <f t="shared" si="214"/>
        <v>0</v>
      </c>
      <c r="BW174" s="60">
        <f t="shared" si="215"/>
        <v>0</v>
      </c>
      <c r="BX174" s="60">
        <f t="shared" si="260"/>
        <v>0</v>
      </c>
      <c r="BY174" s="60">
        <f t="shared" si="261"/>
        <v>0</v>
      </c>
      <c r="BZ174" s="60">
        <f t="shared" si="262"/>
        <v>0</v>
      </c>
      <c r="CA174" s="60">
        <f t="shared" si="263"/>
        <v>0</v>
      </c>
      <c r="CB174" s="60" t="e">
        <f t="shared" si="216"/>
        <v>#N/A</v>
      </c>
      <c r="CC174" s="60">
        <f t="shared" si="217"/>
        <v>100000</v>
      </c>
      <c r="CD174" s="60" t="e">
        <f t="shared" si="218"/>
        <v>#N/A</v>
      </c>
      <c r="CE174" s="60">
        <f t="shared" si="219"/>
        <v>100000</v>
      </c>
      <c r="CF174" s="83" t="e">
        <f t="shared" si="264"/>
        <v>#N/A</v>
      </c>
      <c r="CG174" s="83">
        <f t="shared" si="265"/>
        <v>0</v>
      </c>
      <c r="CH174" s="83" t="e">
        <f t="shared" si="266"/>
        <v>#N/A</v>
      </c>
      <c r="CI174" s="83">
        <f t="shared" si="267"/>
        <v>0</v>
      </c>
      <c r="CJ174" s="86" t="e">
        <f t="shared" si="220"/>
        <v>#N/A</v>
      </c>
      <c r="CK174" s="82">
        <f t="shared" si="221"/>
        <v>5.3070370403969858E-3</v>
      </c>
      <c r="CL174" s="82" t="e">
        <f t="shared" si="222"/>
        <v>#N/A</v>
      </c>
      <c r="CM174" s="82">
        <f t="shared" si="223"/>
        <v>5.3070370403969858E-3</v>
      </c>
      <c r="CO174" s="149" t="str">
        <f>IF($I174&lt;&gt;"",IF(O174="User Specified",U174,INDEX('Refrigerant GWPs'!$G$2:$G$156,MATCH(O174,'Refrigerant GWPs'!$A$2:$A$156,0))),"")</f>
        <v/>
      </c>
      <c r="CP174" s="138" t="str">
        <f>IF($I174&lt;&gt;"",INDEX('Device Refrigerant Leakage'!$E$2:$E$42,MATCH($M174,'Device Refrigerant Leakage'!$B$2:$B$42,0)),"")</f>
        <v/>
      </c>
      <c r="CQ174" s="138" t="str">
        <f>IF($I174&lt;&gt;"",INDEX('Device Refrigerant Leakage'!$F$2:$F$42,MATCH($M174,'Device Refrigerant Leakage'!$B$2:$B$42,0)),"")</f>
        <v/>
      </c>
      <c r="CR174" s="145" t="str">
        <f>IF($I174&lt;&gt;"",INDEX('Device Refrigerant Leakage'!$G$2:$G$42,MATCH($M174,'Device Refrigerant Leakage'!$B$2:$B$42,0)),"")</f>
        <v/>
      </c>
      <c r="CS174" s="145" t="str">
        <f>IF($I174&lt;&gt;"",INDEX('Device Refrigerant Leakage'!$D$2:$D$42,MATCH($M174,'Device Refrigerant Leakage'!$B$2:$B$42,0))*CP174/2204.62*CO174,"")</f>
        <v/>
      </c>
      <c r="CT174" s="145" t="str">
        <f>IF($I174&lt;&gt;"",J174*(INDEX('Device Refrigerant Leakage'!$D$2:$D$42,MATCH($M174,'Device Refrigerant Leakage'!$B$2:$B$42,0))-(INDEX('Device Refrigerant Leakage'!$D$2:$D$42,MATCH($M174,'Device Refrigerant Leakage'!$B$2:$B$42,0)))*CR174*CP174)*CQ174/2204.62*CO174,"")</f>
        <v/>
      </c>
      <c r="CU174" s="135" t="str">
        <f>IF($I174&lt;&gt;"",J174*IF(W174&lt;&gt;"AR",(CS174*K174)+CT174,(CS174*AB174)+CT174*(AB174/INDEX('Device Refrigerant Leakage'!$C$2:$C$42,MATCH($M174,'Device Refrigerant Leakage'!$B$2:$B$42,0)))),"")</f>
        <v/>
      </c>
      <c r="CW174" s="135" t="str">
        <f>IF($I174&lt;&gt;"",IF(S174="User Specified",V174,INDEX('Refrigerant GWPs'!$G$2:$G$156,MATCH(S174,'Refrigerant GWPs'!$A$2:$A$157,0))),"")</f>
        <v/>
      </c>
      <c r="CX174" s="138" t="str">
        <f>IF($I174&lt;&gt;"",INDEX('Device Refrigerant Leakage'!$E$2:$E$42,MATCH($Q174,'Device Refrigerant Leakage'!$B$2:$B$42,0)),"")</f>
        <v/>
      </c>
      <c r="CY174" s="138" t="str">
        <f>IF($I174&lt;&gt;"",INDEX('Device Refrigerant Leakage'!$F$2:$F$42,MATCH($Q174,'Device Refrigerant Leakage'!$B$2:$B$42,0)),"")</f>
        <v/>
      </c>
      <c r="CZ174" s="145" t="str">
        <f>IF($I174&lt;&gt;"",INDEX('Device Refrigerant Leakage'!$G$2:$G$42,MATCH($Q174,'Device Refrigerant Leakage'!$B$2:$B$42,0)),"")</f>
        <v/>
      </c>
      <c r="DA174" s="145" t="str">
        <f>IF($I174&lt;&gt;"",J174*INDEX('Device Refrigerant Leakage'!$D$2:$D$42,MATCH($Q174,'Device Refrigerant Leakage'!$B$2:$B$42,0))*CX174/2204.62*CW174,"")</f>
        <v/>
      </c>
      <c r="DB174" s="145" t="str">
        <f>IF($I174&lt;&gt;"",J174*(INDEX('Device Refrigerant Leakage'!$D$2:$D$42,MATCH($Q174,'Device Refrigerant Leakage'!$B$2:$B$42,0))-(INDEX('Device Refrigerant Leakage'!$D$2:$D$42,MATCH($Q174,'Device Refrigerant Leakage'!$B$2:$B$42,0)))*CZ174*CX174)*CY174/2204.62*CW174,"")</f>
        <v/>
      </c>
      <c r="DC174" s="135" t="str">
        <f t="shared" si="244"/>
        <v/>
      </c>
      <c r="DE174" s="146" t="str">
        <f>IF(W174&lt;&gt;"AR","",IF(Y174="User Specified", AA174, INDEX('Refrigerant GWPs'!$G$2:$G$154,MATCH(Y174,'Refrigerant GWPs'!$A$2:$A$154,0))))</f>
        <v/>
      </c>
      <c r="DF174" s="146" t="str">
        <f>IF(W174&lt;&gt;"AR","",INDEX('Device Refrigerant Leakage'!$E$2:$E$42,MATCH(X174,'Device Refrigerant Leakage'!$B$2:$B$42,0)))</f>
        <v/>
      </c>
      <c r="DG174" s="146" t="str">
        <f>IF(W174&lt;&gt;"AR","",INDEX('Device Refrigerant Leakage'!$F$2:$F$42,MATCH(X174,'Device Refrigerant Leakage'!$B$2:$B$42,0)))</f>
        <v/>
      </c>
      <c r="DH174" s="146" t="str">
        <f>IF(W174&lt;&gt;"AR","",INDEX('Device Refrigerant Leakage'!$G$2:$G$42,MATCH(X174,'Device Refrigerant Leakage'!$B$2:$B$42,0)))</f>
        <v/>
      </c>
      <c r="DI174" s="146" t="str">
        <f>IF(W174&lt;&gt;"AR","",J174*INDEX('Device Refrigerant Leakage'!$D$2:$D$42,MATCH(X174,'Device Refrigerant Leakage'!$B$2:$B$42,0))*DF174/2204.62*DE174)</f>
        <v/>
      </c>
      <c r="DJ174" s="146" t="str">
        <f>IF(W174&lt;&gt;"AR","",J174*(INDEX('Device Refrigerant Leakage'!$D$2:$D$42,MATCH(X174,'Device Refrigerant Leakage'!$B$2:$B$42,0))-(INDEX('Device Refrigerant Leakage'!$D$2:$D$42,MATCH(X174,'Device Refrigerant Leakage'!$B$2:$B$42,0)))*DH174*DF174)*DG174/2204.62*DE174)</f>
        <v/>
      </c>
      <c r="DK174" s="146" t="str">
        <f>IF(W174&lt;&gt;"AR","",DI174*(K174-AB174)+'Fuel Sub Calcs-Deemed'!DJ174*((K174-AB174)/INDEX('Device Refrigerant Leakage'!$C$2:$C$42,MATCH('Fuel Sub Calcs-Deemed'!X174,'Device Refrigerant Leakage'!$B$2:$B$42,0))))</f>
        <v/>
      </c>
      <c r="DM174" s="56">
        <v>160</v>
      </c>
      <c r="DN174" s="67" t="e">
        <f t="shared" si="224"/>
        <v>#N/A</v>
      </c>
      <c r="DO174" s="45" t="e">
        <f t="shared" si="225"/>
        <v>#N/A</v>
      </c>
      <c r="DP174" s="67" t="e">
        <f t="shared" si="226"/>
        <v>#N/A</v>
      </c>
      <c r="DQ174" s="45" t="e">
        <f t="shared" si="227"/>
        <v>#N/A</v>
      </c>
      <c r="DR174" s="69" t="e">
        <f t="shared" si="228"/>
        <v>#N/A</v>
      </c>
      <c r="DS174" s="34"/>
      <c r="DT174" s="67" t="e">
        <f>((BX174*CJ174)+IF($W174=MAT_AR,(BZ174*CL174),0))*(1+Reference!$E$50+Reference!$E$51)</f>
        <v>#N/A</v>
      </c>
      <c r="DU174" s="67">
        <f>((BY174*CK174)+IF($W174=MAT_AR,(CA174*CM174),0))*(1+Reference!$G$50+Reference!$G$51)</f>
        <v>0</v>
      </c>
      <c r="DV174" s="67" t="e">
        <f t="shared" si="229"/>
        <v>#VALUE!</v>
      </c>
      <c r="DX174" s="56">
        <v>160</v>
      </c>
      <c r="DY174" s="67">
        <f t="shared" si="230"/>
        <v>0</v>
      </c>
      <c r="DZ174" s="45" t="e">
        <f>VLOOKUP($R174,Dropdown!$C$3:$D$4,2,FALSE)</f>
        <v>#N/A</v>
      </c>
      <c r="EA174" s="68">
        <f t="shared" si="231"/>
        <v>0</v>
      </c>
      <c r="EB174" s="68" t="str">
        <f t="shared" si="232"/>
        <v>N/A</v>
      </c>
      <c r="EC174" s="68">
        <f t="shared" si="233"/>
        <v>0</v>
      </c>
      <c r="ED174" s="68" t="str">
        <f t="shared" si="234"/>
        <v>N/A</v>
      </c>
      <c r="EF174" s="56">
        <v>160</v>
      </c>
      <c r="EG174" s="46">
        <f t="shared" si="235"/>
        <v>0</v>
      </c>
      <c r="EH174" s="68" t="e">
        <f t="shared" si="236"/>
        <v>#N/A</v>
      </c>
      <c r="EI174" s="68" t="e">
        <f t="shared" si="237"/>
        <v>#N/A</v>
      </c>
      <c r="EJ174" s="68" t="e">
        <f t="shared" si="238"/>
        <v>#N/A</v>
      </c>
      <c r="EK174" s="68" t="e">
        <f t="shared" si="239"/>
        <v>#N/A</v>
      </c>
      <c r="EL174" s="46">
        <f t="shared" si="240"/>
        <v>0</v>
      </c>
      <c r="EM174" s="46">
        <f t="shared" si="241"/>
        <v>0</v>
      </c>
    </row>
    <row r="175" spans="1:143">
      <c r="A175" s="89"/>
      <c r="B175" s="89"/>
      <c r="C175" s="89"/>
      <c r="D175" s="89"/>
      <c r="E175" s="89"/>
      <c r="F175" s="89"/>
      <c r="G175" s="34"/>
      <c r="H175" s="56">
        <f t="shared" si="242"/>
        <v>161</v>
      </c>
      <c r="I175" s="165"/>
      <c r="J175" s="163"/>
      <c r="K175" s="163"/>
      <c r="L175" s="164"/>
      <c r="M175" s="155"/>
      <c r="N175" s="155"/>
      <c r="O175" s="144"/>
      <c r="P175" s="159" t="str">
        <f>IFERROR(IF(O175&lt;&gt;"User Specified",IF(O175&lt;&gt;"", INDEX('Refrigerant GWPs'!$G$2:$G$154,MATCH(O175,'Refrigerant GWPs'!$A$2:$A$154,0)),""),U175),0)</f>
        <v/>
      </c>
      <c r="Q175" s="155"/>
      <c r="R175" s="155"/>
      <c r="S175" s="144"/>
      <c r="T175" s="159" t="str">
        <f>IF(S175&lt;&gt;"User Specified",IF(AND(S175&lt;&gt;"User Specified",S175&lt;&gt;""), INDEX('Refrigerant GWPs'!$G$2:$G$154,MATCH(S175,'Refrigerant GWPs'!$A$2:$A$154,0)),""),V175)</f>
        <v/>
      </c>
      <c r="U175" s="144"/>
      <c r="V175" s="144"/>
      <c r="W175" s="155"/>
      <c r="X175" s="155"/>
      <c r="Y175" s="144"/>
      <c r="Z175" s="159" t="str">
        <f>IF(AND(Y175&lt;&gt;"User Specified",Y175&lt;&gt;""), INDEX('Refrigerant GWPs'!$G$2:$G$154,MATCH(Y175,'Refrigerant GWPs'!$A$2:$A$154,0)),"")</f>
        <v/>
      </c>
      <c r="AA175" s="155"/>
      <c r="AB175" s="156"/>
      <c r="AC175" s="66"/>
      <c r="AD175" s="66"/>
      <c r="AE175" s="66"/>
      <c r="AF175" s="66"/>
      <c r="AG175" s="66"/>
      <c r="AH175" s="66"/>
      <c r="AI175" s="34"/>
      <c r="AJ175" s="88">
        <f t="shared" si="200"/>
        <v>0</v>
      </c>
      <c r="AK175" s="88">
        <f t="shared" si="201"/>
        <v>0</v>
      </c>
      <c r="AL175" s="88">
        <v>0</v>
      </c>
      <c r="AM175" s="88">
        <v>0</v>
      </c>
      <c r="AN175" s="81" t="str">
        <f t="shared" si="243"/>
        <v/>
      </c>
      <c r="AO175" s="88">
        <f t="shared" si="202"/>
        <v>0</v>
      </c>
      <c r="AP175" s="88">
        <f t="shared" si="203"/>
        <v>0</v>
      </c>
      <c r="AQ175" s="81" t="str">
        <f t="shared" si="204"/>
        <v/>
      </c>
      <c r="AS175" s="41" t="b">
        <f t="shared" si="205"/>
        <v>1</v>
      </c>
      <c r="AT175" s="38">
        <f t="shared" si="206"/>
        <v>0</v>
      </c>
      <c r="AU175" s="60">
        <f t="shared" si="207"/>
        <v>0</v>
      </c>
      <c r="AV175" s="41">
        <f t="shared" si="208"/>
        <v>0</v>
      </c>
      <c r="AW175" s="41" t="b">
        <f t="shared" si="209"/>
        <v>0</v>
      </c>
      <c r="AX175" t="str">
        <f t="shared" si="210"/>
        <v>+00</v>
      </c>
      <c r="AY175" t="str">
        <f t="shared" si="211"/>
        <v>+00</v>
      </c>
      <c r="BA175" s="47" t="b">
        <f t="shared" si="245"/>
        <v>1</v>
      </c>
      <c r="BB175" s="42" t="b">
        <f t="shared" si="246"/>
        <v>1</v>
      </c>
      <c r="BC175" s="42" t="b">
        <f t="shared" si="247"/>
        <v>0</v>
      </c>
      <c r="BD175" s="42" t="b">
        <f t="shared" si="248"/>
        <v>0</v>
      </c>
      <c r="BE175" s="70">
        <f t="shared" si="249"/>
        <v>0</v>
      </c>
      <c r="BF175" s="70">
        <f t="shared" si="250"/>
        <v>0</v>
      </c>
      <c r="BG175" s="34"/>
      <c r="BI175" s="47" t="b">
        <f t="shared" si="251"/>
        <v>1</v>
      </c>
      <c r="BJ175" s="47" t="b">
        <f t="shared" si="252"/>
        <v>1</v>
      </c>
      <c r="BK175" s="42" t="b">
        <f t="shared" si="253"/>
        <v>0</v>
      </c>
      <c r="BL175" s="42" t="b">
        <f t="shared" si="254"/>
        <v>0</v>
      </c>
      <c r="BM175" s="42">
        <f t="shared" si="255"/>
        <v>0</v>
      </c>
      <c r="BN175" s="42">
        <f t="shared" si="256"/>
        <v>0</v>
      </c>
      <c r="BP175" t="e">
        <f t="shared" si="257"/>
        <v>#N/A</v>
      </c>
      <c r="BQ175" t="e">
        <f t="shared" si="258"/>
        <v>#N/A</v>
      </c>
      <c r="BR175" t="e">
        <f t="shared" si="259"/>
        <v>#N/A</v>
      </c>
      <c r="BT175" s="60">
        <f t="shared" ref="BT175:BT206" si="268">$J175*BE175</f>
        <v>0</v>
      </c>
      <c r="BU175" s="60">
        <f t="shared" ref="BU175:BU206" si="269">$J175*BF175</f>
        <v>0</v>
      </c>
      <c r="BV175" s="60">
        <f t="shared" ref="BV175:BV206" si="270">$J175*BM175</f>
        <v>0</v>
      </c>
      <c r="BW175" s="60">
        <f t="shared" ref="BW175:BW206" si="271">$J175*BN175</f>
        <v>0</v>
      </c>
      <c r="BX175" s="60">
        <f t="shared" si="260"/>
        <v>0</v>
      </c>
      <c r="BY175" s="60">
        <f t="shared" si="261"/>
        <v>0</v>
      </c>
      <c r="BZ175" s="60">
        <f t="shared" si="262"/>
        <v>0</v>
      </c>
      <c r="CA175" s="60">
        <f t="shared" si="263"/>
        <v>0</v>
      </c>
      <c r="CB175" s="60" t="e">
        <f t="shared" ref="CB175:CB206" si="272">INDEX(AFL_Source_Energy_Btu_per_kWh,MATCH($AX175,AFL_IndexB,0))</f>
        <v>#N/A</v>
      </c>
      <c r="CC175" s="60">
        <f t="shared" ref="CC175:CC206" si="273">Btu_therm</f>
        <v>100000</v>
      </c>
      <c r="CD175" s="60" t="e">
        <f t="shared" ref="CD175:CD206" si="274">INDEX(AFL_Source_Energy_Btu_per_kWh,MATCH($AY175,AFL_IndexB,0))</f>
        <v>#N/A</v>
      </c>
      <c r="CE175" s="60">
        <f t="shared" ref="CE175:CE206" si="275">Btu_therm</f>
        <v>100000</v>
      </c>
      <c r="CF175" s="83" t="e">
        <f t="shared" si="264"/>
        <v>#N/A</v>
      </c>
      <c r="CG175" s="83">
        <f t="shared" si="265"/>
        <v>0</v>
      </c>
      <c r="CH175" s="83" t="e">
        <f t="shared" si="266"/>
        <v>#N/A</v>
      </c>
      <c r="CI175" s="83">
        <f t="shared" si="267"/>
        <v>0</v>
      </c>
      <c r="CJ175" s="86" t="e">
        <f t="shared" ref="CJ175:CJ206" si="276">INDEX(AFL_Emissions_Intensity_metric_tonnes_per_MWh,MATCH($AX175,AFL_IndexB,0))/1000</f>
        <v>#N/A</v>
      </c>
      <c r="CK175" s="82">
        <f t="shared" ref="CK175:CK206" si="277">NG_metric_tonne_CO2_therm</f>
        <v>5.3070370403969858E-3</v>
      </c>
      <c r="CL175" s="82" t="e">
        <f t="shared" ref="CL175:CL206" si="278">INDEX(AFL_Emissions_Intensity_metric_tonnes_per_MWh,MATCH($AY175,AFL_IndexB,0))/1000</f>
        <v>#N/A</v>
      </c>
      <c r="CM175" s="82">
        <f t="shared" ref="CM175:CM206" si="279">NG_metric_tonne_CO2_therm</f>
        <v>5.3070370403969858E-3</v>
      </c>
      <c r="CO175" s="149" t="str">
        <f>IF($I175&lt;&gt;"",IF(O175="User Specified",U175,INDEX('Refrigerant GWPs'!$G$2:$G$156,MATCH(O175,'Refrigerant GWPs'!$A$2:$A$156,0))),"")</f>
        <v/>
      </c>
      <c r="CP175" s="138" t="str">
        <f>IF($I175&lt;&gt;"",INDEX('Device Refrigerant Leakage'!$E$2:$E$42,MATCH($M175,'Device Refrigerant Leakage'!$B$2:$B$42,0)),"")</f>
        <v/>
      </c>
      <c r="CQ175" s="138" t="str">
        <f>IF($I175&lt;&gt;"",INDEX('Device Refrigerant Leakage'!$F$2:$F$42,MATCH($M175,'Device Refrigerant Leakage'!$B$2:$B$42,0)),"")</f>
        <v/>
      </c>
      <c r="CR175" s="145" t="str">
        <f>IF($I175&lt;&gt;"",INDEX('Device Refrigerant Leakage'!$G$2:$G$42,MATCH($M175,'Device Refrigerant Leakage'!$B$2:$B$42,0)),"")</f>
        <v/>
      </c>
      <c r="CS175" s="145" t="str">
        <f>IF($I175&lt;&gt;"",INDEX('Device Refrigerant Leakage'!$D$2:$D$42,MATCH($M175,'Device Refrigerant Leakage'!$B$2:$B$42,0))*CP175/2204.62*CO175,"")</f>
        <v/>
      </c>
      <c r="CT175" s="145" t="str">
        <f>IF($I175&lt;&gt;"",J175*(INDEX('Device Refrigerant Leakage'!$D$2:$D$42,MATCH($M175,'Device Refrigerant Leakage'!$B$2:$B$42,0))-(INDEX('Device Refrigerant Leakage'!$D$2:$D$42,MATCH($M175,'Device Refrigerant Leakage'!$B$2:$B$42,0)))*CR175*CP175)*CQ175/2204.62*CO175,"")</f>
        <v/>
      </c>
      <c r="CU175" s="135" t="str">
        <f>IF($I175&lt;&gt;"",J175*IF(W175&lt;&gt;"AR",(CS175*K175)+CT175,(CS175*AB175)+CT175*(AB175/INDEX('Device Refrigerant Leakage'!$C$2:$C$42,MATCH($M175,'Device Refrigerant Leakage'!$B$2:$B$42,0)))),"")</f>
        <v/>
      </c>
      <c r="CW175" s="135" t="str">
        <f>IF($I175&lt;&gt;"",IF(S175="User Specified",V175,INDEX('Refrigerant GWPs'!$G$2:$G$156,MATCH(S175,'Refrigerant GWPs'!$A$2:$A$157,0))),"")</f>
        <v/>
      </c>
      <c r="CX175" s="138" t="str">
        <f>IF($I175&lt;&gt;"",INDEX('Device Refrigerant Leakage'!$E$2:$E$42,MATCH($Q175,'Device Refrigerant Leakage'!$B$2:$B$42,0)),"")</f>
        <v/>
      </c>
      <c r="CY175" s="138" t="str">
        <f>IF($I175&lt;&gt;"",INDEX('Device Refrigerant Leakage'!$F$2:$F$42,MATCH($Q175,'Device Refrigerant Leakage'!$B$2:$B$42,0)),"")</f>
        <v/>
      </c>
      <c r="CZ175" s="145" t="str">
        <f>IF($I175&lt;&gt;"",INDEX('Device Refrigerant Leakage'!$G$2:$G$42,MATCH($Q175,'Device Refrigerant Leakage'!$B$2:$B$42,0)),"")</f>
        <v/>
      </c>
      <c r="DA175" s="145" t="str">
        <f>IF($I175&lt;&gt;"",J175*INDEX('Device Refrigerant Leakage'!$D$2:$D$42,MATCH($Q175,'Device Refrigerant Leakage'!$B$2:$B$42,0))*CX175/2204.62*CW175,"")</f>
        <v/>
      </c>
      <c r="DB175" s="145" t="str">
        <f>IF($I175&lt;&gt;"",J175*(INDEX('Device Refrigerant Leakage'!$D$2:$D$42,MATCH($Q175,'Device Refrigerant Leakage'!$B$2:$B$42,0))-(INDEX('Device Refrigerant Leakage'!$D$2:$D$42,MATCH($Q175,'Device Refrigerant Leakage'!$B$2:$B$42,0)))*CZ175*CX175)*CY175/2204.62*CW175,"")</f>
        <v/>
      </c>
      <c r="DC175" s="135" t="str">
        <f t="shared" si="244"/>
        <v/>
      </c>
      <c r="DE175" s="146" t="str">
        <f>IF(W175&lt;&gt;"AR","",IF(Y175="User Specified", AA175, INDEX('Refrigerant GWPs'!$G$2:$G$154,MATCH(Y175,'Refrigerant GWPs'!$A$2:$A$154,0))))</f>
        <v/>
      </c>
      <c r="DF175" s="146" t="str">
        <f>IF(W175&lt;&gt;"AR","",INDEX('Device Refrigerant Leakage'!$E$2:$E$42,MATCH(X175,'Device Refrigerant Leakage'!$B$2:$B$42,0)))</f>
        <v/>
      </c>
      <c r="DG175" s="146" t="str">
        <f>IF(W175&lt;&gt;"AR","",INDEX('Device Refrigerant Leakage'!$F$2:$F$42,MATCH(X175,'Device Refrigerant Leakage'!$B$2:$B$42,0)))</f>
        <v/>
      </c>
      <c r="DH175" s="146" t="str">
        <f>IF(W175&lt;&gt;"AR","",INDEX('Device Refrigerant Leakage'!$G$2:$G$42,MATCH(X175,'Device Refrigerant Leakage'!$B$2:$B$42,0)))</f>
        <v/>
      </c>
      <c r="DI175" s="146" t="str">
        <f>IF(W175&lt;&gt;"AR","",J175*INDEX('Device Refrigerant Leakage'!$D$2:$D$42,MATCH(X175,'Device Refrigerant Leakage'!$B$2:$B$42,0))*DF175/2204.62*DE175)</f>
        <v/>
      </c>
      <c r="DJ175" s="146" t="str">
        <f>IF(W175&lt;&gt;"AR","",J175*(INDEX('Device Refrigerant Leakage'!$D$2:$D$42,MATCH(X175,'Device Refrigerant Leakage'!$B$2:$B$42,0))-(INDEX('Device Refrigerant Leakage'!$D$2:$D$42,MATCH(X175,'Device Refrigerant Leakage'!$B$2:$B$42,0)))*DH175*DF175)*DG175/2204.62*DE175)</f>
        <v/>
      </c>
      <c r="DK175" s="146" t="str">
        <f>IF(W175&lt;&gt;"AR","",DI175*(K175-AB175)+'Fuel Sub Calcs-Deemed'!DJ175*((K175-AB175)/INDEX('Device Refrigerant Leakage'!$C$2:$C$42,MATCH('Fuel Sub Calcs-Deemed'!X175,'Device Refrigerant Leakage'!$B$2:$B$42,0))))</f>
        <v/>
      </c>
      <c r="DM175" s="56">
        <v>161</v>
      </c>
      <c r="DN175" s="67" t="e">
        <f t="shared" si="224"/>
        <v>#N/A</v>
      </c>
      <c r="DO175" s="45" t="e">
        <f t="shared" si="225"/>
        <v>#N/A</v>
      </c>
      <c r="DP175" s="67" t="e">
        <f t="shared" si="226"/>
        <v>#N/A</v>
      </c>
      <c r="DQ175" s="45" t="e">
        <f t="shared" si="227"/>
        <v>#N/A</v>
      </c>
      <c r="DR175" s="69" t="e">
        <f t="shared" si="228"/>
        <v>#N/A</v>
      </c>
      <c r="DS175" s="34"/>
      <c r="DT175" s="67" t="e">
        <f>((BX175*CJ175)+IF($W175=MAT_AR,(BZ175*CL175),0))*(1+Reference!$E$50+Reference!$E$51)</f>
        <v>#N/A</v>
      </c>
      <c r="DU175" s="67">
        <f>((BY175*CK175)+IF($W175=MAT_AR,(CA175*CM175),0))*(1+Reference!$G$50+Reference!$G$51)</f>
        <v>0</v>
      </c>
      <c r="DV175" s="67" t="e">
        <f t="shared" si="229"/>
        <v>#VALUE!</v>
      </c>
      <c r="DX175" s="56">
        <v>161</v>
      </c>
      <c r="DY175" s="67">
        <f t="shared" si="230"/>
        <v>0</v>
      </c>
      <c r="DZ175" s="45" t="e">
        <f>VLOOKUP($R175,Dropdown!$C$3:$D$4,2,FALSE)</f>
        <v>#N/A</v>
      </c>
      <c r="EA175" s="68">
        <f t="shared" si="231"/>
        <v>0</v>
      </c>
      <c r="EB175" s="68" t="str">
        <f t="shared" si="232"/>
        <v>N/A</v>
      </c>
      <c r="EC175" s="68">
        <f t="shared" si="233"/>
        <v>0</v>
      </c>
      <c r="ED175" s="68" t="str">
        <f t="shared" ref="ED175:ED206" si="280">IF($R175=fuel_electricity,DY175*10^6/Btu_therm,"N/A")</f>
        <v>N/A</v>
      </c>
      <c r="EF175" s="56">
        <v>161</v>
      </c>
      <c r="EG175" s="46">
        <f t="shared" si="235"/>
        <v>0</v>
      </c>
      <c r="EH175" s="68" t="e">
        <f t="shared" si="236"/>
        <v>#N/A</v>
      </c>
      <c r="EI175" s="68" t="e">
        <f t="shared" si="237"/>
        <v>#N/A</v>
      </c>
      <c r="EJ175" s="68" t="e">
        <f t="shared" si="238"/>
        <v>#N/A</v>
      </c>
      <c r="EK175" s="68" t="e">
        <f t="shared" si="239"/>
        <v>#N/A</v>
      </c>
      <c r="EL175" s="46">
        <f t="shared" si="240"/>
        <v>0</v>
      </c>
      <c r="EM175" s="46">
        <f t="shared" si="241"/>
        <v>0</v>
      </c>
    </row>
    <row r="176" spans="1:143">
      <c r="A176" s="89"/>
      <c r="B176" s="89"/>
      <c r="C176" s="89"/>
      <c r="D176" s="89"/>
      <c r="E176" s="89"/>
      <c r="F176" s="89"/>
      <c r="G176" s="34"/>
      <c r="H176" s="56">
        <f t="shared" si="242"/>
        <v>162</v>
      </c>
      <c r="I176" s="165"/>
      <c r="J176" s="163"/>
      <c r="K176" s="163"/>
      <c r="L176" s="164"/>
      <c r="M176" s="155"/>
      <c r="N176" s="155"/>
      <c r="O176" s="144"/>
      <c r="P176" s="159" t="str">
        <f>IFERROR(IF(O176&lt;&gt;"User Specified",IF(O176&lt;&gt;"", INDEX('Refrigerant GWPs'!$G$2:$G$154,MATCH(O176,'Refrigerant GWPs'!$A$2:$A$154,0)),""),U176),0)</f>
        <v/>
      </c>
      <c r="Q176" s="155"/>
      <c r="R176" s="155"/>
      <c r="S176" s="144"/>
      <c r="T176" s="159" t="str">
        <f>IF(S176&lt;&gt;"User Specified",IF(AND(S176&lt;&gt;"User Specified",S176&lt;&gt;""), INDEX('Refrigerant GWPs'!$G$2:$G$154,MATCH(S176,'Refrigerant GWPs'!$A$2:$A$154,0)),""),V176)</f>
        <v/>
      </c>
      <c r="U176" s="144"/>
      <c r="V176" s="144"/>
      <c r="W176" s="155"/>
      <c r="X176" s="155"/>
      <c r="Y176" s="144"/>
      <c r="Z176" s="159" t="str">
        <f>IF(AND(Y176&lt;&gt;"User Specified",Y176&lt;&gt;""), INDEX('Refrigerant GWPs'!$G$2:$G$154,MATCH(Y176,'Refrigerant GWPs'!$A$2:$A$154,0)),"")</f>
        <v/>
      </c>
      <c r="AA176" s="155"/>
      <c r="AB176" s="156"/>
      <c r="AC176" s="66"/>
      <c r="AD176" s="66"/>
      <c r="AE176" s="66"/>
      <c r="AF176" s="66"/>
      <c r="AG176" s="66"/>
      <c r="AH176" s="66"/>
      <c r="AI176" s="34"/>
      <c r="AJ176" s="88">
        <f t="shared" si="200"/>
        <v>0</v>
      </c>
      <c r="AK176" s="88">
        <f t="shared" si="201"/>
        <v>0</v>
      </c>
      <c r="AL176" s="88">
        <v>0</v>
      </c>
      <c r="AM176" s="88">
        <v>0</v>
      </c>
      <c r="AN176" s="81" t="str">
        <f t="shared" si="243"/>
        <v/>
      </c>
      <c r="AO176" s="88">
        <f t="shared" si="202"/>
        <v>0</v>
      </c>
      <c r="AP176" s="88">
        <f t="shared" si="203"/>
        <v>0</v>
      </c>
      <c r="AQ176" s="81" t="str">
        <f t="shared" si="204"/>
        <v/>
      </c>
      <c r="AS176" s="41" t="b">
        <f t="shared" si="205"/>
        <v>1</v>
      </c>
      <c r="AT176" s="38">
        <f t="shared" si="206"/>
        <v>0</v>
      </c>
      <c r="AU176" s="60">
        <f t="shared" si="207"/>
        <v>0</v>
      </c>
      <c r="AV176" s="41">
        <f t="shared" si="208"/>
        <v>0</v>
      </c>
      <c r="AW176" s="41" t="b">
        <f t="shared" si="209"/>
        <v>0</v>
      </c>
      <c r="AX176" t="str">
        <f t="shared" si="210"/>
        <v>+00</v>
      </c>
      <c r="AY176" t="str">
        <f t="shared" si="211"/>
        <v>+00</v>
      </c>
      <c r="BA176" s="47" t="b">
        <f t="shared" si="245"/>
        <v>1</v>
      </c>
      <c r="BB176" s="42" t="b">
        <f t="shared" si="246"/>
        <v>1</v>
      </c>
      <c r="BC176" s="42" t="b">
        <f t="shared" si="247"/>
        <v>0</v>
      </c>
      <c r="BD176" s="42" t="b">
        <f t="shared" si="248"/>
        <v>0</v>
      </c>
      <c r="BE176" s="70">
        <f t="shared" si="249"/>
        <v>0</v>
      </c>
      <c r="BF176" s="70">
        <f t="shared" si="250"/>
        <v>0</v>
      </c>
      <c r="BG176" s="34"/>
      <c r="BI176" s="47" t="b">
        <f t="shared" si="251"/>
        <v>1</v>
      </c>
      <c r="BJ176" s="47" t="b">
        <f t="shared" si="252"/>
        <v>1</v>
      </c>
      <c r="BK176" s="42" t="b">
        <f t="shared" si="253"/>
        <v>0</v>
      </c>
      <c r="BL176" s="42" t="b">
        <f t="shared" si="254"/>
        <v>0</v>
      </c>
      <c r="BM176" s="42">
        <f t="shared" si="255"/>
        <v>0</v>
      </c>
      <c r="BN176" s="42">
        <f t="shared" si="256"/>
        <v>0</v>
      </c>
      <c r="BP176" t="e">
        <f t="shared" si="257"/>
        <v>#N/A</v>
      </c>
      <c r="BQ176" t="e">
        <f t="shared" si="258"/>
        <v>#N/A</v>
      </c>
      <c r="BR176" t="e">
        <f t="shared" si="259"/>
        <v>#N/A</v>
      </c>
      <c r="BT176" s="60">
        <f t="shared" si="268"/>
        <v>0</v>
      </c>
      <c r="BU176" s="60">
        <f t="shared" si="269"/>
        <v>0</v>
      </c>
      <c r="BV176" s="60">
        <f t="shared" si="270"/>
        <v>0</v>
      </c>
      <c r="BW176" s="60">
        <f t="shared" si="271"/>
        <v>0</v>
      </c>
      <c r="BX176" s="60">
        <f t="shared" si="260"/>
        <v>0</v>
      </c>
      <c r="BY176" s="60">
        <f t="shared" si="261"/>
        <v>0</v>
      </c>
      <c r="BZ176" s="60">
        <f t="shared" si="262"/>
        <v>0</v>
      </c>
      <c r="CA176" s="60">
        <f t="shared" si="263"/>
        <v>0</v>
      </c>
      <c r="CB176" s="60" t="e">
        <f t="shared" si="272"/>
        <v>#N/A</v>
      </c>
      <c r="CC176" s="60">
        <f t="shared" si="273"/>
        <v>100000</v>
      </c>
      <c r="CD176" s="60" t="e">
        <f t="shared" si="274"/>
        <v>#N/A</v>
      </c>
      <c r="CE176" s="60">
        <f t="shared" si="275"/>
        <v>100000</v>
      </c>
      <c r="CF176" s="83" t="e">
        <f t="shared" si="264"/>
        <v>#N/A</v>
      </c>
      <c r="CG176" s="83">
        <f t="shared" si="265"/>
        <v>0</v>
      </c>
      <c r="CH176" s="83" t="e">
        <f t="shared" si="266"/>
        <v>#N/A</v>
      </c>
      <c r="CI176" s="83">
        <f t="shared" si="267"/>
        <v>0</v>
      </c>
      <c r="CJ176" s="86" t="e">
        <f t="shared" si="276"/>
        <v>#N/A</v>
      </c>
      <c r="CK176" s="82">
        <f t="shared" si="277"/>
        <v>5.3070370403969858E-3</v>
      </c>
      <c r="CL176" s="82" t="e">
        <f t="shared" si="278"/>
        <v>#N/A</v>
      </c>
      <c r="CM176" s="82">
        <f t="shared" si="279"/>
        <v>5.3070370403969858E-3</v>
      </c>
      <c r="CO176" s="149" t="str">
        <f>IF($I176&lt;&gt;"",IF(O176="User Specified",U176,INDEX('Refrigerant GWPs'!$G$2:$G$156,MATCH(O176,'Refrigerant GWPs'!$A$2:$A$156,0))),"")</f>
        <v/>
      </c>
      <c r="CP176" s="138" t="str">
        <f>IF($I176&lt;&gt;"",INDEX('Device Refrigerant Leakage'!$E$2:$E$42,MATCH($M176,'Device Refrigerant Leakage'!$B$2:$B$42,0)),"")</f>
        <v/>
      </c>
      <c r="CQ176" s="138" t="str">
        <f>IF($I176&lt;&gt;"",INDEX('Device Refrigerant Leakage'!$F$2:$F$42,MATCH($M176,'Device Refrigerant Leakage'!$B$2:$B$42,0)),"")</f>
        <v/>
      </c>
      <c r="CR176" s="145" t="str">
        <f>IF($I176&lt;&gt;"",INDEX('Device Refrigerant Leakage'!$G$2:$G$42,MATCH($M176,'Device Refrigerant Leakage'!$B$2:$B$42,0)),"")</f>
        <v/>
      </c>
      <c r="CS176" s="145" t="str">
        <f>IF($I176&lt;&gt;"",INDEX('Device Refrigerant Leakage'!$D$2:$D$42,MATCH($M176,'Device Refrigerant Leakage'!$B$2:$B$42,0))*CP176/2204.62*CO176,"")</f>
        <v/>
      </c>
      <c r="CT176" s="145" t="str">
        <f>IF($I176&lt;&gt;"",J176*(INDEX('Device Refrigerant Leakage'!$D$2:$D$42,MATCH($M176,'Device Refrigerant Leakage'!$B$2:$B$42,0))-(INDEX('Device Refrigerant Leakage'!$D$2:$D$42,MATCH($M176,'Device Refrigerant Leakage'!$B$2:$B$42,0)))*CR176*CP176)*CQ176/2204.62*CO176,"")</f>
        <v/>
      </c>
      <c r="CU176" s="135" t="str">
        <f>IF($I176&lt;&gt;"",J176*IF(W176&lt;&gt;"AR",(CS176*K176)+CT176,(CS176*AB176)+CT176*(AB176/INDEX('Device Refrigerant Leakage'!$C$2:$C$42,MATCH($M176,'Device Refrigerant Leakage'!$B$2:$B$42,0)))),"")</f>
        <v/>
      </c>
      <c r="CW176" s="135" t="str">
        <f>IF($I176&lt;&gt;"",IF(S176="User Specified",V176,INDEX('Refrigerant GWPs'!$G$2:$G$156,MATCH(S176,'Refrigerant GWPs'!$A$2:$A$157,0))),"")</f>
        <v/>
      </c>
      <c r="CX176" s="138" t="str">
        <f>IF($I176&lt;&gt;"",INDEX('Device Refrigerant Leakage'!$E$2:$E$42,MATCH($Q176,'Device Refrigerant Leakage'!$B$2:$B$42,0)),"")</f>
        <v/>
      </c>
      <c r="CY176" s="138" t="str">
        <f>IF($I176&lt;&gt;"",INDEX('Device Refrigerant Leakage'!$F$2:$F$42,MATCH($Q176,'Device Refrigerant Leakage'!$B$2:$B$42,0)),"")</f>
        <v/>
      </c>
      <c r="CZ176" s="145" t="str">
        <f>IF($I176&lt;&gt;"",INDEX('Device Refrigerant Leakage'!$G$2:$G$42,MATCH($Q176,'Device Refrigerant Leakage'!$B$2:$B$42,0)),"")</f>
        <v/>
      </c>
      <c r="DA176" s="145" t="str">
        <f>IF($I176&lt;&gt;"",J176*INDEX('Device Refrigerant Leakage'!$D$2:$D$42,MATCH($Q176,'Device Refrigerant Leakage'!$B$2:$B$42,0))*CX176/2204.62*CW176,"")</f>
        <v/>
      </c>
      <c r="DB176" s="145" t="str">
        <f>IF($I176&lt;&gt;"",J176*(INDEX('Device Refrigerant Leakage'!$D$2:$D$42,MATCH($Q176,'Device Refrigerant Leakage'!$B$2:$B$42,0))-(INDEX('Device Refrigerant Leakage'!$D$2:$D$42,MATCH($Q176,'Device Refrigerant Leakage'!$B$2:$B$42,0)))*CZ176*CX176)*CY176/2204.62*CW176,"")</f>
        <v/>
      </c>
      <c r="DC176" s="135" t="str">
        <f t="shared" si="244"/>
        <v/>
      </c>
      <c r="DE176" s="146" t="str">
        <f>IF(W176&lt;&gt;"AR","",IF(Y176="User Specified", AA176, INDEX('Refrigerant GWPs'!$G$2:$G$154,MATCH(Y176,'Refrigerant GWPs'!$A$2:$A$154,0))))</f>
        <v/>
      </c>
      <c r="DF176" s="146" t="str">
        <f>IF(W176&lt;&gt;"AR","",INDEX('Device Refrigerant Leakage'!$E$2:$E$42,MATCH(X176,'Device Refrigerant Leakage'!$B$2:$B$42,0)))</f>
        <v/>
      </c>
      <c r="DG176" s="146" t="str">
        <f>IF(W176&lt;&gt;"AR","",INDEX('Device Refrigerant Leakage'!$F$2:$F$42,MATCH(X176,'Device Refrigerant Leakage'!$B$2:$B$42,0)))</f>
        <v/>
      </c>
      <c r="DH176" s="146" t="str">
        <f>IF(W176&lt;&gt;"AR","",INDEX('Device Refrigerant Leakage'!$G$2:$G$42,MATCH(X176,'Device Refrigerant Leakage'!$B$2:$B$42,0)))</f>
        <v/>
      </c>
      <c r="DI176" s="146" t="str">
        <f>IF(W176&lt;&gt;"AR","",J176*INDEX('Device Refrigerant Leakage'!$D$2:$D$42,MATCH(X176,'Device Refrigerant Leakage'!$B$2:$B$42,0))*DF176/2204.62*DE176)</f>
        <v/>
      </c>
      <c r="DJ176" s="146" t="str">
        <f>IF(W176&lt;&gt;"AR","",J176*(INDEX('Device Refrigerant Leakage'!$D$2:$D$42,MATCH(X176,'Device Refrigerant Leakage'!$B$2:$B$42,0))-(INDEX('Device Refrigerant Leakage'!$D$2:$D$42,MATCH(X176,'Device Refrigerant Leakage'!$B$2:$B$42,0)))*DH176*DF176)*DG176/2204.62*DE176)</f>
        <v/>
      </c>
      <c r="DK176" s="146" t="str">
        <f>IF(W176&lt;&gt;"AR","",DI176*(K176-AB176)+'Fuel Sub Calcs-Deemed'!DJ176*((K176-AB176)/INDEX('Device Refrigerant Leakage'!$C$2:$C$42,MATCH('Fuel Sub Calcs-Deemed'!X176,'Device Refrigerant Leakage'!$B$2:$B$42,0))))</f>
        <v/>
      </c>
      <c r="DM176" s="56">
        <v>162</v>
      </c>
      <c r="DN176" s="67" t="e">
        <f t="shared" si="224"/>
        <v>#N/A</v>
      </c>
      <c r="DO176" s="45" t="e">
        <f t="shared" si="225"/>
        <v>#N/A</v>
      </c>
      <c r="DP176" s="67" t="e">
        <f t="shared" si="226"/>
        <v>#N/A</v>
      </c>
      <c r="DQ176" s="45" t="e">
        <f t="shared" si="227"/>
        <v>#N/A</v>
      </c>
      <c r="DR176" s="69" t="e">
        <f t="shared" si="228"/>
        <v>#N/A</v>
      </c>
      <c r="DS176" s="34"/>
      <c r="DT176" s="67" t="e">
        <f>((BX176*CJ176)+IF($W176=MAT_AR,(BZ176*CL176),0))*(1+Reference!$E$50+Reference!$E$51)</f>
        <v>#N/A</v>
      </c>
      <c r="DU176" s="67">
        <f>((BY176*CK176)+IF($W176=MAT_AR,(CA176*CM176),0))*(1+Reference!$G$50+Reference!$G$51)</f>
        <v>0</v>
      </c>
      <c r="DV176" s="67" t="e">
        <f t="shared" si="229"/>
        <v>#VALUE!</v>
      </c>
      <c r="DX176" s="56">
        <v>162</v>
      </c>
      <c r="DY176" s="67">
        <f t="shared" si="230"/>
        <v>0</v>
      </c>
      <c r="DZ176" s="45" t="e">
        <f>VLOOKUP($R176,Dropdown!$C$3:$D$4,2,FALSE)</f>
        <v>#N/A</v>
      </c>
      <c r="EA176" s="68">
        <f t="shared" si="231"/>
        <v>0</v>
      </c>
      <c r="EB176" s="68" t="str">
        <f t="shared" si="232"/>
        <v>N/A</v>
      </c>
      <c r="EC176" s="68">
        <f t="shared" si="233"/>
        <v>0</v>
      </c>
      <c r="ED176" s="68" t="str">
        <f t="shared" si="280"/>
        <v>N/A</v>
      </c>
      <c r="EF176" s="56">
        <v>162</v>
      </c>
      <c r="EG176" s="46">
        <f t="shared" si="235"/>
        <v>0</v>
      </c>
      <c r="EH176" s="68" t="e">
        <f t="shared" si="236"/>
        <v>#N/A</v>
      </c>
      <c r="EI176" s="68" t="e">
        <f t="shared" si="237"/>
        <v>#N/A</v>
      </c>
      <c r="EJ176" s="68" t="e">
        <f t="shared" si="238"/>
        <v>#N/A</v>
      </c>
      <c r="EK176" s="68" t="e">
        <f t="shared" si="239"/>
        <v>#N/A</v>
      </c>
      <c r="EL176" s="46">
        <f t="shared" si="240"/>
        <v>0</v>
      </c>
      <c r="EM176" s="46">
        <f t="shared" si="241"/>
        <v>0</v>
      </c>
    </row>
    <row r="177" spans="1:143">
      <c r="A177" s="89"/>
      <c r="B177" s="89"/>
      <c r="C177" s="89"/>
      <c r="D177" s="89"/>
      <c r="E177" s="89"/>
      <c r="F177" s="89"/>
      <c r="G177" s="34"/>
      <c r="H177" s="56">
        <f t="shared" si="242"/>
        <v>163</v>
      </c>
      <c r="I177" s="165"/>
      <c r="J177" s="163"/>
      <c r="K177" s="163"/>
      <c r="L177" s="164"/>
      <c r="M177" s="155"/>
      <c r="N177" s="155"/>
      <c r="O177" s="144"/>
      <c r="P177" s="159" t="str">
        <f>IFERROR(IF(O177&lt;&gt;"User Specified",IF(O177&lt;&gt;"", INDEX('Refrigerant GWPs'!$G$2:$G$154,MATCH(O177,'Refrigerant GWPs'!$A$2:$A$154,0)),""),U177),0)</f>
        <v/>
      </c>
      <c r="Q177" s="155"/>
      <c r="R177" s="155"/>
      <c r="S177" s="144"/>
      <c r="T177" s="159" t="str">
        <f>IF(S177&lt;&gt;"User Specified",IF(AND(S177&lt;&gt;"User Specified",S177&lt;&gt;""), INDEX('Refrigerant GWPs'!$G$2:$G$154,MATCH(S177,'Refrigerant GWPs'!$A$2:$A$154,0)),""),V177)</f>
        <v/>
      </c>
      <c r="U177" s="144"/>
      <c r="V177" s="144"/>
      <c r="W177" s="155"/>
      <c r="X177" s="155"/>
      <c r="Y177" s="144"/>
      <c r="Z177" s="159" t="str">
        <f>IF(AND(Y177&lt;&gt;"User Specified",Y177&lt;&gt;""), INDEX('Refrigerant GWPs'!$G$2:$G$154,MATCH(Y177,'Refrigerant GWPs'!$A$2:$A$154,0)),"")</f>
        <v/>
      </c>
      <c r="AA177" s="155"/>
      <c r="AB177" s="156"/>
      <c r="AC177" s="66"/>
      <c r="AD177" s="66"/>
      <c r="AE177" s="66"/>
      <c r="AF177" s="66"/>
      <c r="AG177" s="66"/>
      <c r="AH177" s="66"/>
      <c r="AI177" s="34"/>
      <c r="AJ177" s="88">
        <f t="shared" si="200"/>
        <v>0</v>
      </c>
      <c r="AK177" s="88">
        <f t="shared" si="201"/>
        <v>0</v>
      </c>
      <c r="AL177" s="88">
        <v>0</v>
      </c>
      <c r="AM177" s="88">
        <v>0</v>
      </c>
      <c r="AN177" s="81" t="str">
        <f t="shared" si="243"/>
        <v/>
      </c>
      <c r="AO177" s="88">
        <f t="shared" si="202"/>
        <v>0</v>
      </c>
      <c r="AP177" s="88">
        <f t="shared" si="203"/>
        <v>0</v>
      </c>
      <c r="AQ177" s="81" t="str">
        <f t="shared" si="204"/>
        <v/>
      </c>
      <c r="AS177" s="41" t="b">
        <f t="shared" si="205"/>
        <v>1</v>
      </c>
      <c r="AT177" s="38">
        <f t="shared" si="206"/>
        <v>0</v>
      </c>
      <c r="AU177" s="60">
        <f t="shared" si="207"/>
        <v>0</v>
      </c>
      <c r="AV177" s="41">
        <f t="shared" si="208"/>
        <v>0</v>
      </c>
      <c r="AW177" s="41" t="b">
        <f t="shared" si="209"/>
        <v>0</v>
      </c>
      <c r="AX177" t="str">
        <f t="shared" si="210"/>
        <v>+00</v>
      </c>
      <c r="AY177" t="str">
        <f t="shared" si="211"/>
        <v>+00</v>
      </c>
      <c r="BA177" s="47" t="b">
        <f t="shared" si="245"/>
        <v>1</v>
      </c>
      <c r="BB177" s="42" t="b">
        <f t="shared" si="246"/>
        <v>1</v>
      </c>
      <c r="BC177" s="42" t="b">
        <f t="shared" si="247"/>
        <v>0</v>
      </c>
      <c r="BD177" s="42" t="b">
        <f t="shared" si="248"/>
        <v>0</v>
      </c>
      <c r="BE177" s="70">
        <f t="shared" si="249"/>
        <v>0</v>
      </c>
      <c r="BF177" s="70">
        <f t="shared" si="250"/>
        <v>0</v>
      </c>
      <c r="BG177" s="34"/>
      <c r="BI177" s="47" t="b">
        <f t="shared" si="251"/>
        <v>1</v>
      </c>
      <c r="BJ177" s="47" t="b">
        <f t="shared" si="252"/>
        <v>1</v>
      </c>
      <c r="BK177" s="42" t="b">
        <f t="shared" si="253"/>
        <v>0</v>
      </c>
      <c r="BL177" s="42" t="b">
        <f t="shared" si="254"/>
        <v>0</v>
      </c>
      <c r="BM177" s="42">
        <f t="shared" si="255"/>
        <v>0</v>
      </c>
      <c r="BN177" s="42">
        <f t="shared" si="256"/>
        <v>0</v>
      </c>
      <c r="BP177" t="e">
        <f t="shared" si="257"/>
        <v>#N/A</v>
      </c>
      <c r="BQ177" t="e">
        <f t="shared" si="258"/>
        <v>#N/A</v>
      </c>
      <c r="BR177" t="e">
        <f t="shared" si="259"/>
        <v>#N/A</v>
      </c>
      <c r="BT177" s="60">
        <f t="shared" si="268"/>
        <v>0</v>
      </c>
      <c r="BU177" s="60">
        <f t="shared" si="269"/>
        <v>0</v>
      </c>
      <c r="BV177" s="60">
        <f t="shared" si="270"/>
        <v>0</v>
      </c>
      <c r="BW177" s="60">
        <f t="shared" si="271"/>
        <v>0</v>
      </c>
      <c r="BX177" s="60">
        <f t="shared" si="260"/>
        <v>0</v>
      </c>
      <c r="BY177" s="60">
        <f t="shared" si="261"/>
        <v>0</v>
      </c>
      <c r="BZ177" s="60">
        <f t="shared" si="262"/>
        <v>0</v>
      </c>
      <c r="CA177" s="60">
        <f t="shared" si="263"/>
        <v>0</v>
      </c>
      <c r="CB177" s="60" t="e">
        <f t="shared" si="272"/>
        <v>#N/A</v>
      </c>
      <c r="CC177" s="60">
        <f t="shared" si="273"/>
        <v>100000</v>
      </c>
      <c r="CD177" s="60" t="e">
        <f t="shared" si="274"/>
        <v>#N/A</v>
      </c>
      <c r="CE177" s="60">
        <f t="shared" si="275"/>
        <v>100000</v>
      </c>
      <c r="CF177" s="83" t="e">
        <f t="shared" si="264"/>
        <v>#N/A</v>
      </c>
      <c r="CG177" s="83">
        <f t="shared" si="265"/>
        <v>0</v>
      </c>
      <c r="CH177" s="83" t="e">
        <f t="shared" si="266"/>
        <v>#N/A</v>
      </c>
      <c r="CI177" s="83">
        <f t="shared" si="267"/>
        <v>0</v>
      </c>
      <c r="CJ177" s="86" t="e">
        <f t="shared" si="276"/>
        <v>#N/A</v>
      </c>
      <c r="CK177" s="82">
        <f t="shared" si="277"/>
        <v>5.3070370403969858E-3</v>
      </c>
      <c r="CL177" s="82" t="e">
        <f t="shared" si="278"/>
        <v>#N/A</v>
      </c>
      <c r="CM177" s="82">
        <f t="shared" si="279"/>
        <v>5.3070370403969858E-3</v>
      </c>
      <c r="CO177" s="149" t="str">
        <f>IF($I177&lt;&gt;"",IF(O177="User Specified",U177,INDEX('Refrigerant GWPs'!$G$2:$G$156,MATCH(O177,'Refrigerant GWPs'!$A$2:$A$156,0))),"")</f>
        <v/>
      </c>
      <c r="CP177" s="138" t="str">
        <f>IF($I177&lt;&gt;"",INDEX('Device Refrigerant Leakage'!$E$2:$E$42,MATCH($M177,'Device Refrigerant Leakage'!$B$2:$B$42,0)),"")</f>
        <v/>
      </c>
      <c r="CQ177" s="138" t="str">
        <f>IF($I177&lt;&gt;"",INDEX('Device Refrigerant Leakage'!$F$2:$F$42,MATCH($M177,'Device Refrigerant Leakage'!$B$2:$B$42,0)),"")</f>
        <v/>
      </c>
      <c r="CR177" s="145" t="str">
        <f>IF($I177&lt;&gt;"",INDEX('Device Refrigerant Leakage'!$G$2:$G$42,MATCH($M177,'Device Refrigerant Leakage'!$B$2:$B$42,0)),"")</f>
        <v/>
      </c>
      <c r="CS177" s="145" t="str">
        <f>IF($I177&lt;&gt;"",INDEX('Device Refrigerant Leakage'!$D$2:$D$42,MATCH($M177,'Device Refrigerant Leakage'!$B$2:$B$42,0))*CP177/2204.62*CO177,"")</f>
        <v/>
      </c>
      <c r="CT177" s="145" t="str">
        <f>IF($I177&lt;&gt;"",J177*(INDEX('Device Refrigerant Leakage'!$D$2:$D$42,MATCH($M177,'Device Refrigerant Leakage'!$B$2:$B$42,0))-(INDEX('Device Refrigerant Leakage'!$D$2:$D$42,MATCH($M177,'Device Refrigerant Leakage'!$B$2:$B$42,0)))*CR177*CP177)*CQ177/2204.62*CO177,"")</f>
        <v/>
      </c>
      <c r="CU177" s="135" t="str">
        <f>IF($I177&lt;&gt;"",J177*IF(W177&lt;&gt;"AR",(CS177*K177)+CT177,(CS177*AB177)+CT177*(AB177/INDEX('Device Refrigerant Leakage'!$C$2:$C$42,MATCH($M177,'Device Refrigerant Leakage'!$B$2:$B$42,0)))),"")</f>
        <v/>
      </c>
      <c r="CW177" s="135" t="str">
        <f>IF($I177&lt;&gt;"",IF(S177="User Specified",V177,INDEX('Refrigerant GWPs'!$G$2:$G$156,MATCH(S177,'Refrigerant GWPs'!$A$2:$A$157,0))),"")</f>
        <v/>
      </c>
      <c r="CX177" s="138" t="str">
        <f>IF($I177&lt;&gt;"",INDEX('Device Refrigerant Leakage'!$E$2:$E$42,MATCH($Q177,'Device Refrigerant Leakage'!$B$2:$B$42,0)),"")</f>
        <v/>
      </c>
      <c r="CY177" s="138" t="str">
        <f>IF($I177&lt;&gt;"",INDEX('Device Refrigerant Leakage'!$F$2:$F$42,MATCH($Q177,'Device Refrigerant Leakage'!$B$2:$B$42,0)),"")</f>
        <v/>
      </c>
      <c r="CZ177" s="145" t="str">
        <f>IF($I177&lt;&gt;"",INDEX('Device Refrigerant Leakage'!$G$2:$G$42,MATCH($Q177,'Device Refrigerant Leakage'!$B$2:$B$42,0)),"")</f>
        <v/>
      </c>
      <c r="DA177" s="145" t="str">
        <f>IF($I177&lt;&gt;"",J177*INDEX('Device Refrigerant Leakage'!$D$2:$D$42,MATCH($Q177,'Device Refrigerant Leakage'!$B$2:$B$42,0))*CX177/2204.62*CW177,"")</f>
        <v/>
      </c>
      <c r="DB177" s="145" t="str">
        <f>IF($I177&lt;&gt;"",J177*(INDEX('Device Refrigerant Leakage'!$D$2:$D$42,MATCH($Q177,'Device Refrigerant Leakage'!$B$2:$B$42,0))-(INDEX('Device Refrigerant Leakage'!$D$2:$D$42,MATCH($Q177,'Device Refrigerant Leakage'!$B$2:$B$42,0)))*CZ177*CX177)*CY177/2204.62*CW177,"")</f>
        <v/>
      </c>
      <c r="DC177" s="135" t="str">
        <f t="shared" si="244"/>
        <v/>
      </c>
      <c r="DE177" s="146" t="str">
        <f>IF(W177&lt;&gt;"AR","",IF(Y177="User Specified", AA177, INDEX('Refrigerant GWPs'!$G$2:$G$154,MATCH(Y177,'Refrigerant GWPs'!$A$2:$A$154,0))))</f>
        <v/>
      </c>
      <c r="DF177" s="146" t="str">
        <f>IF(W177&lt;&gt;"AR","",INDEX('Device Refrigerant Leakage'!$E$2:$E$42,MATCH(X177,'Device Refrigerant Leakage'!$B$2:$B$42,0)))</f>
        <v/>
      </c>
      <c r="DG177" s="146" t="str">
        <f>IF(W177&lt;&gt;"AR","",INDEX('Device Refrigerant Leakage'!$F$2:$F$42,MATCH(X177,'Device Refrigerant Leakage'!$B$2:$B$42,0)))</f>
        <v/>
      </c>
      <c r="DH177" s="146" t="str">
        <f>IF(W177&lt;&gt;"AR","",INDEX('Device Refrigerant Leakage'!$G$2:$G$42,MATCH(X177,'Device Refrigerant Leakage'!$B$2:$B$42,0)))</f>
        <v/>
      </c>
      <c r="DI177" s="146" t="str">
        <f>IF(W177&lt;&gt;"AR","",J177*INDEX('Device Refrigerant Leakage'!$D$2:$D$42,MATCH(X177,'Device Refrigerant Leakage'!$B$2:$B$42,0))*DF177/2204.62*DE177)</f>
        <v/>
      </c>
      <c r="DJ177" s="146" t="str">
        <f>IF(W177&lt;&gt;"AR","",J177*(INDEX('Device Refrigerant Leakage'!$D$2:$D$42,MATCH(X177,'Device Refrigerant Leakage'!$B$2:$B$42,0))-(INDEX('Device Refrigerant Leakage'!$D$2:$D$42,MATCH(X177,'Device Refrigerant Leakage'!$B$2:$B$42,0)))*DH177*DF177)*DG177/2204.62*DE177)</f>
        <v/>
      </c>
      <c r="DK177" s="146" t="str">
        <f>IF(W177&lt;&gt;"AR","",DI177*(K177-AB177)+'Fuel Sub Calcs-Deemed'!DJ177*((K177-AB177)/INDEX('Device Refrigerant Leakage'!$C$2:$C$42,MATCH('Fuel Sub Calcs-Deemed'!X177,'Device Refrigerant Leakage'!$B$2:$B$42,0))))</f>
        <v/>
      </c>
      <c r="DM177" s="56">
        <v>163</v>
      </c>
      <c r="DN177" s="67" t="e">
        <f t="shared" si="224"/>
        <v>#N/A</v>
      </c>
      <c r="DO177" s="45" t="e">
        <f t="shared" si="225"/>
        <v>#N/A</v>
      </c>
      <c r="DP177" s="67" t="e">
        <f t="shared" si="226"/>
        <v>#N/A</v>
      </c>
      <c r="DQ177" s="45" t="e">
        <f t="shared" si="227"/>
        <v>#N/A</v>
      </c>
      <c r="DR177" s="69" t="e">
        <f t="shared" si="228"/>
        <v>#N/A</v>
      </c>
      <c r="DS177" s="34"/>
      <c r="DT177" s="67" t="e">
        <f>((BX177*CJ177)+IF($W177=MAT_AR,(BZ177*CL177),0))*(1+Reference!$E$50+Reference!$E$51)</f>
        <v>#N/A</v>
      </c>
      <c r="DU177" s="67">
        <f>((BY177*CK177)+IF($W177=MAT_AR,(CA177*CM177),0))*(1+Reference!$G$50+Reference!$G$51)</f>
        <v>0</v>
      </c>
      <c r="DV177" s="67" t="e">
        <f t="shared" si="229"/>
        <v>#VALUE!</v>
      </c>
      <c r="DX177" s="56">
        <v>163</v>
      </c>
      <c r="DY177" s="67">
        <f t="shared" si="230"/>
        <v>0</v>
      </c>
      <c r="DZ177" s="45" t="e">
        <f>VLOOKUP($R177,Dropdown!$C$3:$D$4,2,FALSE)</f>
        <v>#N/A</v>
      </c>
      <c r="EA177" s="68">
        <f t="shared" si="231"/>
        <v>0</v>
      </c>
      <c r="EB177" s="68" t="str">
        <f t="shared" si="232"/>
        <v>N/A</v>
      </c>
      <c r="EC177" s="68">
        <f t="shared" si="233"/>
        <v>0</v>
      </c>
      <c r="ED177" s="68" t="str">
        <f t="shared" si="280"/>
        <v>N/A</v>
      </c>
      <c r="EF177" s="56">
        <v>163</v>
      </c>
      <c r="EG177" s="46">
        <f t="shared" si="235"/>
        <v>0</v>
      </c>
      <c r="EH177" s="68" t="e">
        <f t="shared" si="236"/>
        <v>#N/A</v>
      </c>
      <c r="EI177" s="68" t="e">
        <f t="shared" si="237"/>
        <v>#N/A</v>
      </c>
      <c r="EJ177" s="68" t="e">
        <f t="shared" si="238"/>
        <v>#N/A</v>
      </c>
      <c r="EK177" s="68" t="e">
        <f t="shared" si="239"/>
        <v>#N/A</v>
      </c>
      <c r="EL177" s="46">
        <f t="shared" si="240"/>
        <v>0</v>
      </c>
      <c r="EM177" s="46">
        <f t="shared" si="241"/>
        <v>0</v>
      </c>
    </row>
    <row r="178" spans="1:143">
      <c r="A178" s="89"/>
      <c r="B178" s="89"/>
      <c r="C178" s="89"/>
      <c r="D178" s="89"/>
      <c r="E178" s="89"/>
      <c r="F178" s="89"/>
      <c r="G178" s="34"/>
      <c r="H178" s="56">
        <f t="shared" si="242"/>
        <v>164</v>
      </c>
      <c r="I178" s="165"/>
      <c r="J178" s="163"/>
      <c r="K178" s="163"/>
      <c r="L178" s="164"/>
      <c r="M178" s="155"/>
      <c r="N178" s="155"/>
      <c r="O178" s="144"/>
      <c r="P178" s="159" t="str">
        <f>IFERROR(IF(O178&lt;&gt;"User Specified",IF(O178&lt;&gt;"", INDEX('Refrigerant GWPs'!$G$2:$G$154,MATCH(O178,'Refrigerant GWPs'!$A$2:$A$154,0)),""),U178),0)</f>
        <v/>
      </c>
      <c r="Q178" s="155"/>
      <c r="R178" s="155"/>
      <c r="S178" s="144"/>
      <c r="T178" s="159" t="str">
        <f>IF(S178&lt;&gt;"User Specified",IF(AND(S178&lt;&gt;"User Specified",S178&lt;&gt;""), INDEX('Refrigerant GWPs'!$G$2:$G$154,MATCH(S178,'Refrigerant GWPs'!$A$2:$A$154,0)),""),V178)</f>
        <v/>
      </c>
      <c r="U178" s="144"/>
      <c r="V178" s="144"/>
      <c r="W178" s="155"/>
      <c r="X178" s="155"/>
      <c r="Y178" s="144"/>
      <c r="Z178" s="159" t="str">
        <f>IF(AND(Y178&lt;&gt;"User Specified",Y178&lt;&gt;""), INDEX('Refrigerant GWPs'!$G$2:$G$154,MATCH(Y178,'Refrigerant GWPs'!$A$2:$A$154,0)),"")</f>
        <v/>
      </c>
      <c r="AA178" s="155"/>
      <c r="AB178" s="156"/>
      <c r="AC178" s="66"/>
      <c r="AD178" s="66"/>
      <c r="AE178" s="66"/>
      <c r="AF178" s="66"/>
      <c r="AG178" s="66"/>
      <c r="AH178" s="66"/>
      <c r="AI178" s="34"/>
      <c r="AJ178" s="88">
        <f t="shared" si="200"/>
        <v>0</v>
      </c>
      <c r="AK178" s="88">
        <f t="shared" si="201"/>
        <v>0</v>
      </c>
      <c r="AL178" s="88">
        <v>0</v>
      </c>
      <c r="AM178" s="88">
        <v>0</v>
      </c>
      <c r="AN178" s="81" t="str">
        <f t="shared" si="243"/>
        <v/>
      </c>
      <c r="AO178" s="88">
        <f t="shared" si="202"/>
        <v>0</v>
      </c>
      <c r="AP178" s="88">
        <f t="shared" si="203"/>
        <v>0</v>
      </c>
      <c r="AQ178" s="81" t="str">
        <f t="shared" si="204"/>
        <v/>
      </c>
      <c r="AS178" s="41" t="b">
        <f t="shared" si="205"/>
        <v>1</v>
      </c>
      <c r="AT178" s="38">
        <f t="shared" si="206"/>
        <v>0</v>
      </c>
      <c r="AU178" s="60">
        <f t="shared" si="207"/>
        <v>0</v>
      </c>
      <c r="AV178" s="41">
        <f t="shared" si="208"/>
        <v>0</v>
      </c>
      <c r="AW178" s="41" t="b">
        <f t="shared" si="209"/>
        <v>0</v>
      </c>
      <c r="AX178" t="str">
        <f t="shared" si="210"/>
        <v>+00</v>
      </c>
      <c r="AY178" t="str">
        <f t="shared" si="211"/>
        <v>+00</v>
      </c>
      <c r="BA178" s="47" t="b">
        <f t="shared" si="245"/>
        <v>1</v>
      </c>
      <c r="BB178" s="42" t="b">
        <f t="shared" si="246"/>
        <v>1</v>
      </c>
      <c r="BC178" s="42" t="b">
        <f t="shared" si="247"/>
        <v>0</v>
      </c>
      <c r="BD178" s="42" t="b">
        <f t="shared" si="248"/>
        <v>0</v>
      </c>
      <c r="BE178" s="70">
        <f t="shared" si="249"/>
        <v>0</v>
      </c>
      <c r="BF178" s="70">
        <f t="shared" si="250"/>
        <v>0</v>
      </c>
      <c r="BG178" s="34"/>
      <c r="BI178" s="47" t="b">
        <f t="shared" si="251"/>
        <v>1</v>
      </c>
      <c r="BJ178" s="47" t="b">
        <f t="shared" si="252"/>
        <v>1</v>
      </c>
      <c r="BK178" s="42" t="b">
        <f t="shared" si="253"/>
        <v>0</v>
      </c>
      <c r="BL178" s="42" t="b">
        <f t="shared" si="254"/>
        <v>0</v>
      </c>
      <c r="BM178" s="42">
        <f t="shared" si="255"/>
        <v>0</v>
      </c>
      <c r="BN178" s="42">
        <f t="shared" si="256"/>
        <v>0</v>
      </c>
      <c r="BP178" t="e">
        <f t="shared" si="257"/>
        <v>#N/A</v>
      </c>
      <c r="BQ178" t="e">
        <f t="shared" si="258"/>
        <v>#N/A</v>
      </c>
      <c r="BR178" t="e">
        <f t="shared" si="259"/>
        <v>#N/A</v>
      </c>
      <c r="BT178" s="60">
        <f t="shared" si="268"/>
        <v>0</v>
      </c>
      <c r="BU178" s="60">
        <f t="shared" si="269"/>
        <v>0</v>
      </c>
      <c r="BV178" s="60">
        <f t="shared" si="270"/>
        <v>0</v>
      </c>
      <c r="BW178" s="60">
        <f t="shared" si="271"/>
        <v>0</v>
      </c>
      <c r="BX178" s="60">
        <f t="shared" si="260"/>
        <v>0</v>
      </c>
      <c r="BY178" s="60">
        <f t="shared" si="261"/>
        <v>0</v>
      </c>
      <c r="BZ178" s="60">
        <f t="shared" si="262"/>
        <v>0</v>
      </c>
      <c r="CA178" s="60">
        <f t="shared" si="263"/>
        <v>0</v>
      </c>
      <c r="CB178" s="60" t="e">
        <f t="shared" si="272"/>
        <v>#N/A</v>
      </c>
      <c r="CC178" s="60">
        <f t="shared" si="273"/>
        <v>100000</v>
      </c>
      <c r="CD178" s="60" t="e">
        <f t="shared" si="274"/>
        <v>#N/A</v>
      </c>
      <c r="CE178" s="60">
        <f t="shared" si="275"/>
        <v>100000</v>
      </c>
      <c r="CF178" s="83" t="e">
        <f t="shared" si="264"/>
        <v>#N/A</v>
      </c>
      <c r="CG178" s="83">
        <f t="shared" si="265"/>
        <v>0</v>
      </c>
      <c r="CH178" s="83" t="e">
        <f t="shared" si="266"/>
        <v>#N/A</v>
      </c>
      <c r="CI178" s="83">
        <f t="shared" si="267"/>
        <v>0</v>
      </c>
      <c r="CJ178" s="86" t="e">
        <f t="shared" si="276"/>
        <v>#N/A</v>
      </c>
      <c r="CK178" s="82">
        <f t="shared" si="277"/>
        <v>5.3070370403969858E-3</v>
      </c>
      <c r="CL178" s="82" t="e">
        <f t="shared" si="278"/>
        <v>#N/A</v>
      </c>
      <c r="CM178" s="82">
        <f t="shared" si="279"/>
        <v>5.3070370403969858E-3</v>
      </c>
      <c r="CO178" s="149" t="str">
        <f>IF($I178&lt;&gt;"",IF(O178="User Specified",U178,INDEX('Refrigerant GWPs'!$G$2:$G$156,MATCH(O178,'Refrigerant GWPs'!$A$2:$A$156,0))),"")</f>
        <v/>
      </c>
      <c r="CP178" s="138" t="str">
        <f>IF($I178&lt;&gt;"",INDEX('Device Refrigerant Leakage'!$E$2:$E$42,MATCH($M178,'Device Refrigerant Leakage'!$B$2:$B$42,0)),"")</f>
        <v/>
      </c>
      <c r="CQ178" s="138" t="str">
        <f>IF($I178&lt;&gt;"",INDEX('Device Refrigerant Leakage'!$F$2:$F$42,MATCH($M178,'Device Refrigerant Leakage'!$B$2:$B$42,0)),"")</f>
        <v/>
      </c>
      <c r="CR178" s="145" t="str">
        <f>IF($I178&lt;&gt;"",INDEX('Device Refrigerant Leakage'!$G$2:$G$42,MATCH($M178,'Device Refrigerant Leakage'!$B$2:$B$42,0)),"")</f>
        <v/>
      </c>
      <c r="CS178" s="145" t="str">
        <f>IF($I178&lt;&gt;"",INDEX('Device Refrigerant Leakage'!$D$2:$D$42,MATCH($M178,'Device Refrigerant Leakage'!$B$2:$B$42,0))*CP178/2204.62*CO178,"")</f>
        <v/>
      </c>
      <c r="CT178" s="145" t="str">
        <f>IF($I178&lt;&gt;"",J178*(INDEX('Device Refrigerant Leakage'!$D$2:$D$42,MATCH($M178,'Device Refrigerant Leakage'!$B$2:$B$42,0))-(INDEX('Device Refrigerant Leakage'!$D$2:$D$42,MATCH($M178,'Device Refrigerant Leakage'!$B$2:$B$42,0)))*CR178*CP178)*CQ178/2204.62*CO178,"")</f>
        <v/>
      </c>
      <c r="CU178" s="135" t="str">
        <f>IF($I178&lt;&gt;"",J178*IF(W178&lt;&gt;"AR",(CS178*K178)+CT178,(CS178*AB178)+CT178*(AB178/INDEX('Device Refrigerant Leakage'!$C$2:$C$42,MATCH($M178,'Device Refrigerant Leakage'!$B$2:$B$42,0)))),"")</f>
        <v/>
      </c>
      <c r="CW178" s="135" t="str">
        <f>IF($I178&lt;&gt;"",IF(S178="User Specified",V178,INDEX('Refrigerant GWPs'!$G$2:$G$156,MATCH(S178,'Refrigerant GWPs'!$A$2:$A$157,0))),"")</f>
        <v/>
      </c>
      <c r="CX178" s="138" t="str">
        <f>IF($I178&lt;&gt;"",INDEX('Device Refrigerant Leakage'!$E$2:$E$42,MATCH($Q178,'Device Refrigerant Leakage'!$B$2:$B$42,0)),"")</f>
        <v/>
      </c>
      <c r="CY178" s="138" t="str">
        <f>IF($I178&lt;&gt;"",INDEX('Device Refrigerant Leakage'!$F$2:$F$42,MATCH($Q178,'Device Refrigerant Leakage'!$B$2:$B$42,0)),"")</f>
        <v/>
      </c>
      <c r="CZ178" s="145" t="str">
        <f>IF($I178&lt;&gt;"",INDEX('Device Refrigerant Leakage'!$G$2:$G$42,MATCH($Q178,'Device Refrigerant Leakage'!$B$2:$B$42,0)),"")</f>
        <v/>
      </c>
      <c r="DA178" s="145" t="str">
        <f>IF($I178&lt;&gt;"",J178*INDEX('Device Refrigerant Leakage'!$D$2:$D$42,MATCH($Q178,'Device Refrigerant Leakage'!$B$2:$B$42,0))*CX178/2204.62*CW178,"")</f>
        <v/>
      </c>
      <c r="DB178" s="145" t="str">
        <f>IF($I178&lt;&gt;"",J178*(INDEX('Device Refrigerant Leakage'!$D$2:$D$42,MATCH($Q178,'Device Refrigerant Leakage'!$B$2:$B$42,0))-(INDEX('Device Refrigerant Leakage'!$D$2:$D$42,MATCH($Q178,'Device Refrigerant Leakage'!$B$2:$B$42,0)))*CZ178*CX178)*CY178/2204.62*CW178,"")</f>
        <v/>
      </c>
      <c r="DC178" s="135" t="str">
        <f t="shared" si="244"/>
        <v/>
      </c>
      <c r="DE178" s="146" t="str">
        <f>IF(W178&lt;&gt;"AR","",IF(Y178="User Specified", AA178, INDEX('Refrigerant GWPs'!$G$2:$G$154,MATCH(Y178,'Refrigerant GWPs'!$A$2:$A$154,0))))</f>
        <v/>
      </c>
      <c r="DF178" s="146" t="str">
        <f>IF(W178&lt;&gt;"AR","",INDEX('Device Refrigerant Leakage'!$E$2:$E$42,MATCH(X178,'Device Refrigerant Leakage'!$B$2:$B$42,0)))</f>
        <v/>
      </c>
      <c r="DG178" s="146" t="str">
        <f>IF(W178&lt;&gt;"AR","",INDEX('Device Refrigerant Leakage'!$F$2:$F$42,MATCH(X178,'Device Refrigerant Leakage'!$B$2:$B$42,0)))</f>
        <v/>
      </c>
      <c r="DH178" s="146" t="str">
        <f>IF(W178&lt;&gt;"AR","",INDEX('Device Refrigerant Leakage'!$G$2:$G$42,MATCH(X178,'Device Refrigerant Leakage'!$B$2:$B$42,0)))</f>
        <v/>
      </c>
      <c r="DI178" s="146" t="str">
        <f>IF(W178&lt;&gt;"AR","",J178*INDEX('Device Refrigerant Leakage'!$D$2:$D$42,MATCH(X178,'Device Refrigerant Leakage'!$B$2:$B$42,0))*DF178/2204.62*DE178)</f>
        <v/>
      </c>
      <c r="DJ178" s="146" t="str">
        <f>IF(W178&lt;&gt;"AR","",J178*(INDEX('Device Refrigerant Leakage'!$D$2:$D$42,MATCH(X178,'Device Refrigerant Leakage'!$B$2:$B$42,0))-(INDEX('Device Refrigerant Leakage'!$D$2:$D$42,MATCH(X178,'Device Refrigerant Leakage'!$B$2:$B$42,0)))*DH178*DF178)*DG178/2204.62*DE178)</f>
        <v/>
      </c>
      <c r="DK178" s="146" t="str">
        <f>IF(W178&lt;&gt;"AR","",DI178*(K178-AB178)+'Fuel Sub Calcs-Deemed'!DJ178*((K178-AB178)/INDEX('Device Refrigerant Leakage'!$C$2:$C$42,MATCH('Fuel Sub Calcs-Deemed'!X178,'Device Refrigerant Leakage'!$B$2:$B$42,0))))</f>
        <v/>
      </c>
      <c r="DM178" s="56">
        <v>164</v>
      </c>
      <c r="DN178" s="67" t="e">
        <f t="shared" si="224"/>
        <v>#N/A</v>
      </c>
      <c r="DO178" s="45" t="e">
        <f t="shared" si="225"/>
        <v>#N/A</v>
      </c>
      <c r="DP178" s="67" t="e">
        <f t="shared" si="226"/>
        <v>#N/A</v>
      </c>
      <c r="DQ178" s="45" t="e">
        <f t="shared" si="227"/>
        <v>#N/A</v>
      </c>
      <c r="DR178" s="69" t="e">
        <f t="shared" si="228"/>
        <v>#N/A</v>
      </c>
      <c r="DS178" s="34"/>
      <c r="DT178" s="67" t="e">
        <f>((BX178*CJ178)+IF($W178=MAT_AR,(BZ178*CL178),0))*(1+Reference!$E$50+Reference!$E$51)</f>
        <v>#N/A</v>
      </c>
      <c r="DU178" s="67">
        <f>((BY178*CK178)+IF($W178=MAT_AR,(CA178*CM178),0))*(1+Reference!$G$50+Reference!$G$51)</f>
        <v>0</v>
      </c>
      <c r="DV178" s="67" t="e">
        <f t="shared" si="229"/>
        <v>#VALUE!</v>
      </c>
      <c r="DX178" s="56">
        <v>164</v>
      </c>
      <c r="DY178" s="67">
        <f t="shared" si="230"/>
        <v>0</v>
      </c>
      <c r="DZ178" s="45" t="e">
        <f>VLOOKUP($R178,Dropdown!$C$3:$D$4,2,FALSE)</f>
        <v>#N/A</v>
      </c>
      <c r="EA178" s="68">
        <f t="shared" si="231"/>
        <v>0</v>
      </c>
      <c r="EB178" s="68" t="str">
        <f t="shared" si="232"/>
        <v>N/A</v>
      </c>
      <c r="EC178" s="68">
        <f t="shared" si="233"/>
        <v>0</v>
      </c>
      <c r="ED178" s="68" t="str">
        <f t="shared" si="280"/>
        <v>N/A</v>
      </c>
      <c r="EF178" s="56">
        <v>164</v>
      </c>
      <c r="EG178" s="46">
        <f t="shared" si="235"/>
        <v>0</v>
      </c>
      <c r="EH178" s="68" t="e">
        <f t="shared" si="236"/>
        <v>#N/A</v>
      </c>
      <c r="EI178" s="68" t="e">
        <f t="shared" si="237"/>
        <v>#N/A</v>
      </c>
      <c r="EJ178" s="68" t="e">
        <f t="shared" si="238"/>
        <v>#N/A</v>
      </c>
      <c r="EK178" s="68" t="e">
        <f t="shared" si="239"/>
        <v>#N/A</v>
      </c>
      <c r="EL178" s="46">
        <f t="shared" si="240"/>
        <v>0</v>
      </c>
      <c r="EM178" s="46">
        <f t="shared" si="241"/>
        <v>0</v>
      </c>
    </row>
    <row r="179" spans="1:143">
      <c r="A179" s="89"/>
      <c r="B179" s="89"/>
      <c r="C179" s="89"/>
      <c r="D179" s="89"/>
      <c r="E179" s="89"/>
      <c r="F179" s="89"/>
      <c r="G179" s="34"/>
      <c r="H179" s="56">
        <f t="shared" si="242"/>
        <v>165</v>
      </c>
      <c r="I179" s="165"/>
      <c r="J179" s="163"/>
      <c r="K179" s="163"/>
      <c r="L179" s="164"/>
      <c r="M179" s="155"/>
      <c r="N179" s="155"/>
      <c r="O179" s="144"/>
      <c r="P179" s="159" t="str">
        <f>IFERROR(IF(O179&lt;&gt;"User Specified",IF(O179&lt;&gt;"", INDEX('Refrigerant GWPs'!$G$2:$G$154,MATCH(O179,'Refrigerant GWPs'!$A$2:$A$154,0)),""),U179),0)</f>
        <v/>
      </c>
      <c r="Q179" s="155"/>
      <c r="R179" s="155"/>
      <c r="S179" s="144"/>
      <c r="T179" s="159" t="str">
        <f>IF(S179&lt;&gt;"User Specified",IF(AND(S179&lt;&gt;"User Specified",S179&lt;&gt;""), INDEX('Refrigerant GWPs'!$G$2:$G$154,MATCH(S179,'Refrigerant GWPs'!$A$2:$A$154,0)),""),V179)</f>
        <v/>
      </c>
      <c r="U179" s="144"/>
      <c r="V179" s="144"/>
      <c r="W179" s="155"/>
      <c r="X179" s="155"/>
      <c r="Y179" s="144"/>
      <c r="Z179" s="159" t="str">
        <f>IF(AND(Y179&lt;&gt;"User Specified",Y179&lt;&gt;""), INDEX('Refrigerant GWPs'!$G$2:$G$154,MATCH(Y179,'Refrigerant GWPs'!$A$2:$A$154,0)),"")</f>
        <v/>
      </c>
      <c r="AA179" s="155"/>
      <c r="AB179" s="156"/>
      <c r="AC179" s="66"/>
      <c r="AD179" s="66"/>
      <c r="AE179" s="66"/>
      <c r="AF179" s="66"/>
      <c r="AG179" s="66"/>
      <c r="AH179" s="66"/>
      <c r="AI179" s="34"/>
      <c r="AJ179" s="88">
        <f t="shared" si="200"/>
        <v>0</v>
      </c>
      <c r="AK179" s="88">
        <f t="shared" si="201"/>
        <v>0</v>
      </c>
      <c r="AL179" s="88">
        <v>0</v>
      </c>
      <c r="AM179" s="88">
        <v>0</v>
      </c>
      <c r="AN179" s="81" t="str">
        <f t="shared" si="243"/>
        <v/>
      </c>
      <c r="AO179" s="88">
        <f t="shared" si="202"/>
        <v>0</v>
      </c>
      <c r="AP179" s="88">
        <f t="shared" si="203"/>
        <v>0</v>
      </c>
      <c r="AQ179" s="81" t="str">
        <f t="shared" si="204"/>
        <v/>
      </c>
      <c r="AS179" s="41" t="b">
        <f t="shared" si="205"/>
        <v>1</v>
      </c>
      <c r="AT179" s="38">
        <f t="shared" si="206"/>
        <v>0</v>
      </c>
      <c r="AU179" s="60">
        <f t="shared" si="207"/>
        <v>0</v>
      </c>
      <c r="AV179" s="41">
        <f t="shared" si="208"/>
        <v>0</v>
      </c>
      <c r="AW179" s="41" t="b">
        <f t="shared" si="209"/>
        <v>0</v>
      </c>
      <c r="AX179" t="str">
        <f t="shared" si="210"/>
        <v>+00</v>
      </c>
      <c r="AY179" t="str">
        <f t="shared" si="211"/>
        <v>+00</v>
      </c>
      <c r="BA179" s="47" t="b">
        <f t="shared" si="245"/>
        <v>1</v>
      </c>
      <c r="BB179" s="42" t="b">
        <f t="shared" si="246"/>
        <v>1</v>
      </c>
      <c r="BC179" s="42" t="b">
        <f t="shared" si="247"/>
        <v>0</v>
      </c>
      <c r="BD179" s="42" t="b">
        <f t="shared" si="248"/>
        <v>0</v>
      </c>
      <c r="BE179" s="70">
        <f t="shared" si="249"/>
        <v>0</v>
      </c>
      <c r="BF179" s="70">
        <f t="shared" si="250"/>
        <v>0</v>
      </c>
      <c r="BG179" s="34"/>
      <c r="BI179" s="47" t="b">
        <f t="shared" si="251"/>
        <v>1</v>
      </c>
      <c r="BJ179" s="47" t="b">
        <f t="shared" si="252"/>
        <v>1</v>
      </c>
      <c r="BK179" s="42" t="b">
        <f t="shared" si="253"/>
        <v>0</v>
      </c>
      <c r="BL179" s="42" t="b">
        <f t="shared" si="254"/>
        <v>0</v>
      </c>
      <c r="BM179" s="42">
        <f t="shared" si="255"/>
        <v>0</v>
      </c>
      <c r="BN179" s="42">
        <f t="shared" si="256"/>
        <v>0</v>
      </c>
      <c r="BP179" t="e">
        <f t="shared" si="257"/>
        <v>#N/A</v>
      </c>
      <c r="BQ179" t="e">
        <f t="shared" si="258"/>
        <v>#N/A</v>
      </c>
      <c r="BR179" t="e">
        <f t="shared" si="259"/>
        <v>#N/A</v>
      </c>
      <c r="BT179" s="60">
        <f t="shared" si="268"/>
        <v>0</v>
      </c>
      <c r="BU179" s="60">
        <f t="shared" si="269"/>
        <v>0</v>
      </c>
      <c r="BV179" s="60">
        <f t="shared" si="270"/>
        <v>0</v>
      </c>
      <c r="BW179" s="60">
        <f t="shared" si="271"/>
        <v>0</v>
      </c>
      <c r="BX179" s="60">
        <f t="shared" si="260"/>
        <v>0</v>
      </c>
      <c r="BY179" s="60">
        <f t="shared" si="261"/>
        <v>0</v>
      </c>
      <c r="BZ179" s="60">
        <f t="shared" si="262"/>
        <v>0</v>
      </c>
      <c r="CA179" s="60">
        <f t="shared" si="263"/>
        <v>0</v>
      </c>
      <c r="CB179" s="60" t="e">
        <f t="shared" si="272"/>
        <v>#N/A</v>
      </c>
      <c r="CC179" s="60">
        <f t="shared" si="273"/>
        <v>100000</v>
      </c>
      <c r="CD179" s="60" t="e">
        <f t="shared" si="274"/>
        <v>#N/A</v>
      </c>
      <c r="CE179" s="60">
        <f t="shared" si="275"/>
        <v>100000</v>
      </c>
      <c r="CF179" s="83" t="e">
        <f t="shared" si="264"/>
        <v>#N/A</v>
      </c>
      <c r="CG179" s="83">
        <f t="shared" si="265"/>
        <v>0</v>
      </c>
      <c r="CH179" s="83" t="e">
        <f t="shared" si="266"/>
        <v>#N/A</v>
      </c>
      <c r="CI179" s="83">
        <f t="shared" si="267"/>
        <v>0</v>
      </c>
      <c r="CJ179" s="86" t="e">
        <f t="shared" si="276"/>
        <v>#N/A</v>
      </c>
      <c r="CK179" s="82">
        <f t="shared" si="277"/>
        <v>5.3070370403969858E-3</v>
      </c>
      <c r="CL179" s="82" t="e">
        <f t="shared" si="278"/>
        <v>#N/A</v>
      </c>
      <c r="CM179" s="82">
        <f t="shared" si="279"/>
        <v>5.3070370403969858E-3</v>
      </c>
      <c r="CO179" s="149" t="str">
        <f>IF($I179&lt;&gt;"",IF(O179="User Specified",U179,INDEX('Refrigerant GWPs'!$G$2:$G$156,MATCH(O179,'Refrigerant GWPs'!$A$2:$A$156,0))),"")</f>
        <v/>
      </c>
      <c r="CP179" s="138" t="str">
        <f>IF($I179&lt;&gt;"",INDEX('Device Refrigerant Leakage'!$E$2:$E$42,MATCH($M179,'Device Refrigerant Leakage'!$B$2:$B$42,0)),"")</f>
        <v/>
      </c>
      <c r="CQ179" s="138" t="str">
        <f>IF($I179&lt;&gt;"",INDEX('Device Refrigerant Leakage'!$F$2:$F$42,MATCH($M179,'Device Refrigerant Leakage'!$B$2:$B$42,0)),"")</f>
        <v/>
      </c>
      <c r="CR179" s="145" t="str">
        <f>IF($I179&lt;&gt;"",INDEX('Device Refrigerant Leakage'!$G$2:$G$42,MATCH($M179,'Device Refrigerant Leakage'!$B$2:$B$42,0)),"")</f>
        <v/>
      </c>
      <c r="CS179" s="145" t="str">
        <f>IF($I179&lt;&gt;"",INDEX('Device Refrigerant Leakage'!$D$2:$D$42,MATCH($M179,'Device Refrigerant Leakage'!$B$2:$B$42,0))*CP179/2204.62*CO179,"")</f>
        <v/>
      </c>
      <c r="CT179" s="145" t="str">
        <f>IF($I179&lt;&gt;"",J179*(INDEX('Device Refrigerant Leakage'!$D$2:$D$42,MATCH($M179,'Device Refrigerant Leakage'!$B$2:$B$42,0))-(INDEX('Device Refrigerant Leakage'!$D$2:$D$42,MATCH($M179,'Device Refrigerant Leakage'!$B$2:$B$42,0)))*CR179*CP179)*CQ179/2204.62*CO179,"")</f>
        <v/>
      </c>
      <c r="CU179" s="135" t="str">
        <f>IF($I179&lt;&gt;"",J179*IF(W179&lt;&gt;"AR",(CS179*K179)+CT179,(CS179*AB179)+CT179*(AB179/INDEX('Device Refrigerant Leakage'!$C$2:$C$42,MATCH($M179,'Device Refrigerant Leakage'!$B$2:$B$42,0)))),"")</f>
        <v/>
      </c>
      <c r="CW179" s="135" t="str">
        <f>IF($I179&lt;&gt;"",IF(S179="User Specified",V179,INDEX('Refrigerant GWPs'!$G$2:$G$156,MATCH(S179,'Refrigerant GWPs'!$A$2:$A$157,0))),"")</f>
        <v/>
      </c>
      <c r="CX179" s="138" t="str">
        <f>IF($I179&lt;&gt;"",INDEX('Device Refrigerant Leakage'!$E$2:$E$42,MATCH($Q179,'Device Refrigerant Leakage'!$B$2:$B$42,0)),"")</f>
        <v/>
      </c>
      <c r="CY179" s="138" t="str">
        <f>IF($I179&lt;&gt;"",INDEX('Device Refrigerant Leakage'!$F$2:$F$42,MATCH($Q179,'Device Refrigerant Leakage'!$B$2:$B$42,0)),"")</f>
        <v/>
      </c>
      <c r="CZ179" s="145" t="str">
        <f>IF($I179&lt;&gt;"",INDEX('Device Refrigerant Leakage'!$G$2:$G$42,MATCH($Q179,'Device Refrigerant Leakage'!$B$2:$B$42,0)),"")</f>
        <v/>
      </c>
      <c r="DA179" s="145" t="str">
        <f>IF($I179&lt;&gt;"",J179*INDEX('Device Refrigerant Leakage'!$D$2:$D$42,MATCH($Q179,'Device Refrigerant Leakage'!$B$2:$B$42,0))*CX179/2204.62*CW179,"")</f>
        <v/>
      </c>
      <c r="DB179" s="145" t="str">
        <f>IF($I179&lt;&gt;"",J179*(INDEX('Device Refrigerant Leakage'!$D$2:$D$42,MATCH($Q179,'Device Refrigerant Leakage'!$B$2:$B$42,0))-(INDEX('Device Refrigerant Leakage'!$D$2:$D$42,MATCH($Q179,'Device Refrigerant Leakage'!$B$2:$B$42,0)))*CZ179*CX179)*CY179/2204.62*CW179,"")</f>
        <v/>
      </c>
      <c r="DC179" s="135" t="str">
        <f t="shared" si="244"/>
        <v/>
      </c>
      <c r="DE179" s="146" t="str">
        <f>IF(W179&lt;&gt;"AR","",IF(Y179="User Specified", AA179, INDEX('Refrigerant GWPs'!$G$2:$G$154,MATCH(Y179,'Refrigerant GWPs'!$A$2:$A$154,0))))</f>
        <v/>
      </c>
      <c r="DF179" s="146" t="str">
        <f>IF(W179&lt;&gt;"AR","",INDEX('Device Refrigerant Leakage'!$E$2:$E$42,MATCH(X179,'Device Refrigerant Leakage'!$B$2:$B$42,0)))</f>
        <v/>
      </c>
      <c r="DG179" s="146" t="str">
        <f>IF(W179&lt;&gt;"AR","",INDEX('Device Refrigerant Leakage'!$F$2:$F$42,MATCH(X179,'Device Refrigerant Leakage'!$B$2:$B$42,0)))</f>
        <v/>
      </c>
      <c r="DH179" s="146" t="str">
        <f>IF(W179&lt;&gt;"AR","",INDEX('Device Refrigerant Leakage'!$G$2:$G$42,MATCH(X179,'Device Refrigerant Leakage'!$B$2:$B$42,0)))</f>
        <v/>
      </c>
      <c r="DI179" s="146" t="str">
        <f>IF(W179&lt;&gt;"AR","",J179*INDEX('Device Refrigerant Leakage'!$D$2:$D$42,MATCH(X179,'Device Refrigerant Leakage'!$B$2:$B$42,0))*DF179/2204.62*DE179)</f>
        <v/>
      </c>
      <c r="DJ179" s="146" t="str">
        <f>IF(W179&lt;&gt;"AR","",J179*(INDEX('Device Refrigerant Leakage'!$D$2:$D$42,MATCH(X179,'Device Refrigerant Leakage'!$B$2:$B$42,0))-(INDEX('Device Refrigerant Leakage'!$D$2:$D$42,MATCH(X179,'Device Refrigerant Leakage'!$B$2:$B$42,0)))*DH179*DF179)*DG179/2204.62*DE179)</f>
        <v/>
      </c>
      <c r="DK179" s="146" t="str">
        <f>IF(W179&lt;&gt;"AR","",DI179*(K179-AB179)+'Fuel Sub Calcs-Deemed'!DJ179*((K179-AB179)/INDEX('Device Refrigerant Leakage'!$C$2:$C$42,MATCH('Fuel Sub Calcs-Deemed'!X179,'Device Refrigerant Leakage'!$B$2:$B$42,0))))</f>
        <v/>
      </c>
      <c r="DM179" s="56">
        <v>165</v>
      </c>
      <c r="DN179" s="67" t="e">
        <f t="shared" si="224"/>
        <v>#N/A</v>
      </c>
      <c r="DO179" s="45" t="e">
        <f t="shared" si="225"/>
        <v>#N/A</v>
      </c>
      <c r="DP179" s="67" t="e">
        <f t="shared" si="226"/>
        <v>#N/A</v>
      </c>
      <c r="DQ179" s="45" t="e">
        <f t="shared" si="227"/>
        <v>#N/A</v>
      </c>
      <c r="DR179" s="69" t="e">
        <f t="shared" si="228"/>
        <v>#N/A</v>
      </c>
      <c r="DS179" s="34"/>
      <c r="DT179" s="67" t="e">
        <f>((BX179*CJ179)+IF($W179=MAT_AR,(BZ179*CL179),0))*(1+Reference!$E$50+Reference!$E$51)</f>
        <v>#N/A</v>
      </c>
      <c r="DU179" s="67">
        <f>((BY179*CK179)+IF($W179=MAT_AR,(CA179*CM179),0))*(1+Reference!$G$50+Reference!$G$51)</f>
        <v>0</v>
      </c>
      <c r="DV179" s="67" t="e">
        <f t="shared" si="229"/>
        <v>#VALUE!</v>
      </c>
      <c r="DX179" s="56">
        <v>165</v>
      </c>
      <c r="DY179" s="67">
        <f t="shared" si="230"/>
        <v>0</v>
      </c>
      <c r="DZ179" s="45" t="e">
        <f>VLOOKUP($R179,Dropdown!$C$3:$D$4,2,FALSE)</f>
        <v>#N/A</v>
      </c>
      <c r="EA179" s="68">
        <f t="shared" si="231"/>
        <v>0</v>
      </c>
      <c r="EB179" s="68" t="str">
        <f t="shared" si="232"/>
        <v>N/A</v>
      </c>
      <c r="EC179" s="68">
        <f t="shared" si="233"/>
        <v>0</v>
      </c>
      <c r="ED179" s="68" t="str">
        <f t="shared" si="280"/>
        <v>N/A</v>
      </c>
      <c r="EF179" s="56">
        <v>165</v>
      </c>
      <c r="EG179" s="46">
        <f t="shared" si="235"/>
        <v>0</v>
      </c>
      <c r="EH179" s="68" t="e">
        <f t="shared" si="236"/>
        <v>#N/A</v>
      </c>
      <c r="EI179" s="68" t="e">
        <f t="shared" si="237"/>
        <v>#N/A</v>
      </c>
      <c r="EJ179" s="68" t="e">
        <f t="shared" si="238"/>
        <v>#N/A</v>
      </c>
      <c r="EK179" s="68" t="e">
        <f t="shared" si="239"/>
        <v>#N/A</v>
      </c>
      <c r="EL179" s="46">
        <f t="shared" si="240"/>
        <v>0</v>
      </c>
      <c r="EM179" s="46">
        <f t="shared" si="241"/>
        <v>0</v>
      </c>
    </row>
    <row r="180" spans="1:143">
      <c r="A180" s="89"/>
      <c r="B180" s="89"/>
      <c r="C180" s="89"/>
      <c r="D180" s="89"/>
      <c r="E180" s="89"/>
      <c r="F180" s="89"/>
      <c r="G180" s="34"/>
      <c r="H180" s="56">
        <f t="shared" si="242"/>
        <v>166</v>
      </c>
      <c r="I180" s="165"/>
      <c r="J180" s="163"/>
      <c r="K180" s="163"/>
      <c r="L180" s="164"/>
      <c r="M180" s="155"/>
      <c r="N180" s="155"/>
      <c r="O180" s="144"/>
      <c r="P180" s="159" t="str">
        <f>IFERROR(IF(O180&lt;&gt;"User Specified",IF(O180&lt;&gt;"", INDEX('Refrigerant GWPs'!$G$2:$G$154,MATCH(O180,'Refrigerant GWPs'!$A$2:$A$154,0)),""),U180),0)</f>
        <v/>
      </c>
      <c r="Q180" s="155"/>
      <c r="R180" s="155"/>
      <c r="S180" s="144"/>
      <c r="T180" s="159" t="str">
        <f>IF(S180&lt;&gt;"User Specified",IF(AND(S180&lt;&gt;"User Specified",S180&lt;&gt;""), INDEX('Refrigerant GWPs'!$G$2:$G$154,MATCH(S180,'Refrigerant GWPs'!$A$2:$A$154,0)),""),V180)</f>
        <v/>
      </c>
      <c r="U180" s="144"/>
      <c r="V180" s="144"/>
      <c r="W180" s="155"/>
      <c r="X180" s="155"/>
      <c r="Y180" s="144"/>
      <c r="Z180" s="159" t="str">
        <f>IF(AND(Y180&lt;&gt;"User Specified",Y180&lt;&gt;""), INDEX('Refrigerant GWPs'!$G$2:$G$154,MATCH(Y180,'Refrigerant GWPs'!$A$2:$A$154,0)),"")</f>
        <v/>
      </c>
      <c r="AA180" s="155"/>
      <c r="AB180" s="156"/>
      <c r="AC180" s="66"/>
      <c r="AD180" s="66"/>
      <c r="AE180" s="66"/>
      <c r="AF180" s="66"/>
      <c r="AG180" s="66"/>
      <c r="AH180" s="66"/>
      <c r="AI180" s="34"/>
      <c r="AJ180" s="88">
        <f t="shared" si="200"/>
        <v>0</v>
      </c>
      <c r="AK180" s="88">
        <f t="shared" si="201"/>
        <v>0</v>
      </c>
      <c r="AL180" s="88">
        <v>0</v>
      </c>
      <c r="AM180" s="88">
        <v>0</v>
      </c>
      <c r="AN180" s="81" t="str">
        <f t="shared" si="243"/>
        <v/>
      </c>
      <c r="AO180" s="88">
        <f t="shared" si="202"/>
        <v>0</v>
      </c>
      <c r="AP180" s="88">
        <f t="shared" si="203"/>
        <v>0</v>
      </c>
      <c r="AQ180" s="81" t="str">
        <f t="shared" si="204"/>
        <v/>
      </c>
      <c r="AS180" s="41" t="b">
        <f t="shared" si="205"/>
        <v>1</v>
      </c>
      <c r="AT180" s="38">
        <f t="shared" si="206"/>
        <v>0</v>
      </c>
      <c r="AU180" s="60">
        <f t="shared" si="207"/>
        <v>0</v>
      </c>
      <c r="AV180" s="41">
        <f t="shared" si="208"/>
        <v>0</v>
      </c>
      <c r="AW180" s="41" t="b">
        <f t="shared" si="209"/>
        <v>0</v>
      </c>
      <c r="AX180" t="str">
        <f t="shared" si="210"/>
        <v>+00</v>
      </c>
      <c r="AY180" t="str">
        <f t="shared" si="211"/>
        <v>+00</v>
      </c>
      <c r="BA180" s="47" t="b">
        <f t="shared" si="245"/>
        <v>1</v>
      </c>
      <c r="BB180" s="42" t="b">
        <f t="shared" si="246"/>
        <v>1</v>
      </c>
      <c r="BC180" s="42" t="b">
        <f t="shared" si="247"/>
        <v>0</v>
      </c>
      <c r="BD180" s="42" t="b">
        <f t="shared" si="248"/>
        <v>0</v>
      </c>
      <c r="BE180" s="70">
        <f t="shared" si="249"/>
        <v>0</v>
      </c>
      <c r="BF180" s="70">
        <f t="shared" si="250"/>
        <v>0</v>
      </c>
      <c r="BG180" s="34"/>
      <c r="BI180" s="47" t="b">
        <f t="shared" si="251"/>
        <v>1</v>
      </c>
      <c r="BJ180" s="47" t="b">
        <f t="shared" si="252"/>
        <v>1</v>
      </c>
      <c r="BK180" s="42" t="b">
        <f t="shared" si="253"/>
        <v>0</v>
      </c>
      <c r="BL180" s="42" t="b">
        <f t="shared" si="254"/>
        <v>0</v>
      </c>
      <c r="BM180" s="42">
        <f t="shared" si="255"/>
        <v>0</v>
      </c>
      <c r="BN180" s="42">
        <f t="shared" si="256"/>
        <v>0</v>
      </c>
      <c r="BP180" t="e">
        <f t="shared" si="257"/>
        <v>#N/A</v>
      </c>
      <c r="BQ180" t="e">
        <f t="shared" si="258"/>
        <v>#N/A</v>
      </c>
      <c r="BR180" t="e">
        <f t="shared" si="259"/>
        <v>#N/A</v>
      </c>
      <c r="BT180" s="60">
        <f t="shared" si="268"/>
        <v>0</v>
      </c>
      <c r="BU180" s="60">
        <f t="shared" si="269"/>
        <v>0</v>
      </c>
      <c r="BV180" s="60">
        <f t="shared" si="270"/>
        <v>0</v>
      </c>
      <c r="BW180" s="60">
        <f t="shared" si="271"/>
        <v>0</v>
      </c>
      <c r="BX180" s="60">
        <f t="shared" si="260"/>
        <v>0</v>
      </c>
      <c r="BY180" s="60">
        <f t="shared" si="261"/>
        <v>0</v>
      </c>
      <c r="BZ180" s="60">
        <f t="shared" si="262"/>
        <v>0</v>
      </c>
      <c r="CA180" s="60">
        <f t="shared" si="263"/>
        <v>0</v>
      </c>
      <c r="CB180" s="60" t="e">
        <f t="shared" si="272"/>
        <v>#N/A</v>
      </c>
      <c r="CC180" s="60">
        <f t="shared" si="273"/>
        <v>100000</v>
      </c>
      <c r="CD180" s="60" t="e">
        <f t="shared" si="274"/>
        <v>#N/A</v>
      </c>
      <c r="CE180" s="60">
        <f t="shared" si="275"/>
        <v>100000</v>
      </c>
      <c r="CF180" s="83" t="e">
        <f t="shared" si="264"/>
        <v>#N/A</v>
      </c>
      <c r="CG180" s="83">
        <f t="shared" si="265"/>
        <v>0</v>
      </c>
      <c r="CH180" s="83" t="e">
        <f t="shared" si="266"/>
        <v>#N/A</v>
      </c>
      <c r="CI180" s="83">
        <f t="shared" si="267"/>
        <v>0</v>
      </c>
      <c r="CJ180" s="86" t="e">
        <f t="shared" si="276"/>
        <v>#N/A</v>
      </c>
      <c r="CK180" s="82">
        <f t="shared" si="277"/>
        <v>5.3070370403969858E-3</v>
      </c>
      <c r="CL180" s="82" t="e">
        <f t="shared" si="278"/>
        <v>#N/A</v>
      </c>
      <c r="CM180" s="82">
        <f t="shared" si="279"/>
        <v>5.3070370403969858E-3</v>
      </c>
      <c r="CO180" s="149" t="str">
        <f>IF($I180&lt;&gt;"",IF(O180="User Specified",U180,INDEX('Refrigerant GWPs'!$G$2:$G$156,MATCH(O180,'Refrigerant GWPs'!$A$2:$A$156,0))),"")</f>
        <v/>
      </c>
      <c r="CP180" s="138" t="str">
        <f>IF($I180&lt;&gt;"",INDEX('Device Refrigerant Leakage'!$E$2:$E$42,MATCH($M180,'Device Refrigerant Leakage'!$B$2:$B$42,0)),"")</f>
        <v/>
      </c>
      <c r="CQ180" s="138" t="str">
        <f>IF($I180&lt;&gt;"",INDEX('Device Refrigerant Leakage'!$F$2:$F$42,MATCH($M180,'Device Refrigerant Leakage'!$B$2:$B$42,0)),"")</f>
        <v/>
      </c>
      <c r="CR180" s="145" t="str">
        <f>IF($I180&lt;&gt;"",INDEX('Device Refrigerant Leakage'!$G$2:$G$42,MATCH($M180,'Device Refrigerant Leakage'!$B$2:$B$42,0)),"")</f>
        <v/>
      </c>
      <c r="CS180" s="145" t="str">
        <f>IF($I180&lt;&gt;"",INDEX('Device Refrigerant Leakage'!$D$2:$D$42,MATCH($M180,'Device Refrigerant Leakage'!$B$2:$B$42,0))*CP180/2204.62*CO180,"")</f>
        <v/>
      </c>
      <c r="CT180" s="145" t="str">
        <f>IF($I180&lt;&gt;"",J180*(INDEX('Device Refrigerant Leakage'!$D$2:$D$42,MATCH($M180,'Device Refrigerant Leakage'!$B$2:$B$42,0))-(INDEX('Device Refrigerant Leakage'!$D$2:$D$42,MATCH($M180,'Device Refrigerant Leakage'!$B$2:$B$42,0)))*CR180*CP180)*CQ180/2204.62*CO180,"")</f>
        <v/>
      </c>
      <c r="CU180" s="135" t="str">
        <f>IF($I180&lt;&gt;"",J180*IF(W180&lt;&gt;"AR",(CS180*K180)+CT180,(CS180*AB180)+CT180*(AB180/INDEX('Device Refrigerant Leakage'!$C$2:$C$42,MATCH($M180,'Device Refrigerant Leakage'!$B$2:$B$42,0)))),"")</f>
        <v/>
      </c>
      <c r="CW180" s="135" t="str">
        <f>IF($I180&lt;&gt;"",IF(S180="User Specified",V180,INDEX('Refrigerant GWPs'!$G$2:$G$156,MATCH(S180,'Refrigerant GWPs'!$A$2:$A$157,0))),"")</f>
        <v/>
      </c>
      <c r="CX180" s="138" t="str">
        <f>IF($I180&lt;&gt;"",INDEX('Device Refrigerant Leakage'!$E$2:$E$42,MATCH($Q180,'Device Refrigerant Leakage'!$B$2:$B$42,0)),"")</f>
        <v/>
      </c>
      <c r="CY180" s="138" t="str">
        <f>IF($I180&lt;&gt;"",INDEX('Device Refrigerant Leakage'!$F$2:$F$42,MATCH($Q180,'Device Refrigerant Leakage'!$B$2:$B$42,0)),"")</f>
        <v/>
      </c>
      <c r="CZ180" s="145" t="str">
        <f>IF($I180&lt;&gt;"",INDEX('Device Refrigerant Leakage'!$G$2:$G$42,MATCH($Q180,'Device Refrigerant Leakage'!$B$2:$B$42,0)),"")</f>
        <v/>
      </c>
      <c r="DA180" s="145" t="str">
        <f>IF($I180&lt;&gt;"",J180*INDEX('Device Refrigerant Leakage'!$D$2:$D$42,MATCH($Q180,'Device Refrigerant Leakage'!$B$2:$B$42,0))*CX180/2204.62*CW180,"")</f>
        <v/>
      </c>
      <c r="DB180" s="145" t="str">
        <f>IF($I180&lt;&gt;"",J180*(INDEX('Device Refrigerant Leakage'!$D$2:$D$42,MATCH($Q180,'Device Refrigerant Leakage'!$B$2:$B$42,0))-(INDEX('Device Refrigerant Leakage'!$D$2:$D$42,MATCH($Q180,'Device Refrigerant Leakage'!$B$2:$B$42,0)))*CZ180*CX180)*CY180/2204.62*CW180,"")</f>
        <v/>
      </c>
      <c r="DC180" s="135" t="str">
        <f t="shared" si="244"/>
        <v/>
      </c>
      <c r="DE180" s="146" t="str">
        <f>IF(W180&lt;&gt;"AR","",IF(Y180="User Specified", AA180, INDEX('Refrigerant GWPs'!$G$2:$G$154,MATCH(Y180,'Refrigerant GWPs'!$A$2:$A$154,0))))</f>
        <v/>
      </c>
      <c r="DF180" s="146" t="str">
        <f>IF(W180&lt;&gt;"AR","",INDEX('Device Refrigerant Leakage'!$E$2:$E$42,MATCH(X180,'Device Refrigerant Leakage'!$B$2:$B$42,0)))</f>
        <v/>
      </c>
      <c r="DG180" s="146" t="str">
        <f>IF(W180&lt;&gt;"AR","",INDEX('Device Refrigerant Leakage'!$F$2:$F$42,MATCH(X180,'Device Refrigerant Leakage'!$B$2:$B$42,0)))</f>
        <v/>
      </c>
      <c r="DH180" s="146" t="str">
        <f>IF(W180&lt;&gt;"AR","",INDEX('Device Refrigerant Leakage'!$G$2:$G$42,MATCH(X180,'Device Refrigerant Leakage'!$B$2:$B$42,0)))</f>
        <v/>
      </c>
      <c r="DI180" s="146" t="str">
        <f>IF(W180&lt;&gt;"AR","",J180*INDEX('Device Refrigerant Leakage'!$D$2:$D$42,MATCH(X180,'Device Refrigerant Leakage'!$B$2:$B$42,0))*DF180/2204.62*DE180)</f>
        <v/>
      </c>
      <c r="DJ180" s="146" t="str">
        <f>IF(W180&lt;&gt;"AR","",J180*(INDEX('Device Refrigerant Leakage'!$D$2:$D$42,MATCH(X180,'Device Refrigerant Leakage'!$B$2:$B$42,0))-(INDEX('Device Refrigerant Leakage'!$D$2:$D$42,MATCH(X180,'Device Refrigerant Leakage'!$B$2:$B$42,0)))*DH180*DF180)*DG180/2204.62*DE180)</f>
        <v/>
      </c>
      <c r="DK180" s="146" t="str">
        <f>IF(W180&lt;&gt;"AR","",DI180*(K180-AB180)+'Fuel Sub Calcs-Deemed'!DJ180*((K180-AB180)/INDEX('Device Refrigerant Leakage'!$C$2:$C$42,MATCH('Fuel Sub Calcs-Deemed'!X180,'Device Refrigerant Leakage'!$B$2:$B$42,0))))</f>
        <v/>
      </c>
      <c r="DM180" s="56">
        <v>166</v>
      </c>
      <c r="DN180" s="67" t="e">
        <f t="shared" si="224"/>
        <v>#N/A</v>
      </c>
      <c r="DO180" s="45" t="e">
        <f t="shared" si="225"/>
        <v>#N/A</v>
      </c>
      <c r="DP180" s="67" t="e">
        <f t="shared" si="226"/>
        <v>#N/A</v>
      </c>
      <c r="DQ180" s="45" t="e">
        <f t="shared" si="227"/>
        <v>#N/A</v>
      </c>
      <c r="DR180" s="69" t="e">
        <f t="shared" si="228"/>
        <v>#N/A</v>
      </c>
      <c r="DS180" s="34"/>
      <c r="DT180" s="67" t="e">
        <f>((BX180*CJ180)+IF($W180=MAT_AR,(BZ180*CL180),0))*(1+Reference!$E$50+Reference!$E$51)</f>
        <v>#N/A</v>
      </c>
      <c r="DU180" s="67">
        <f>((BY180*CK180)+IF($W180=MAT_AR,(CA180*CM180),0))*(1+Reference!$G$50+Reference!$G$51)</f>
        <v>0</v>
      </c>
      <c r="DV180" s="67" t="e">
        <f t="shared" si="229"/>
        <v>#VALUE!</v>
      </c>
      <c r="DX180" s="56">
        <v>166</v>
      </c>
      <c r="DY180" s="67">
        <f t="shared" si="230"/>
        <v>0</v>
      </c>
      <c r="DZ180" s="45" t="e">
        <f>VLOOKUP($R180,Dropdown!$C$3:$D$4,2,FALSE)</f>
        <v>#N/A</v>
      </c>
      <c r="EA180" s="68">
        <f t="shared" si="231"/>
        <v>0</v>
      </c>
      <c r="EB180" s="68" t="str">
        <f t="shared" si="232"/>
        <v>N/A</v>
      </c>
      <c r="EC180" s="68">
        <f t="shared" si="233"/>
        <v>0</v>
      </c>
      <c r="ED180" s="68" t="str">
        <f t="shared" si="280"/>
        <v>N/A</v>
      </c>
      <c r="EF180" s="56">
        <v>166</v>
      </c>
      <c r="EG180" s="46">
        <f t="shared" si="235"/>
        <v>0</v>
      </c>
      <c r="EH180" s="68" t="e">
        <f t="shared" si="236"/>
        <v>#N/A</v>
      </c>
      <c r="EI180" s="68" t="e">
        <f t="shared" si="237"/>
        <v>#N/A</v>
      </c>
      <c r="EJ180" s="68" t="e">
        <f t="shared" si="238"/>
        <v>#N/A</v>
      </c>
      <c r="EK180" s="68" t="e">
        <f t="shared" si="239"/>
        <v>#N/A</v>
      </c>
      <c r="EL180" s="46">
        <f t="shared" si="240"/>
        <v>0</v>
      </c>
      <c r="EM180" s="46">
        <f t="shared" si="241"/>
        <v>0</v>
      </c>
    </row>
    <row r="181" spans="1:143">
      <c r="A181" s="89"/>
      <c r="B181" s="89"/>
      <c r="C181" s="89"/>
      <c r="D181" s="89"/>
      <c r="E181" s="89"/>
      <c r="F181" s="89"/>
      <c r="G181" s="34"/>
      <c r="H181" s="56">
        <f t="shared" si="242"/>
        <v>167</v>
      </c>
      <c r="I181" s="165"/>
      <c r="J181" s="163"/>
      <c r="K181" s="163"/>
      <c r="L181" s="164"/>
      <c r="M181" s="155"/>
      <c r="N181" s="155"/>
      <c r="O181" s="144"/>
      <c r="P181" s="159" t="str">
        <f>IFERROR(IF(O181&lt;&gt;"User Specified",IF(O181&lt;&gt;"", INDEX('Refrigerant GWPs'!$G$2:$G$154,MATCH(O181,'Refrigerant GWPs'!$A$2:$A$154,0)),""),U181),0)</f>
        <v/>
      </c>
      <c r="Q181" s="155"/>
      <c r="R181" s="155"/>
      <c r="S181" s="144"/>
      <c r="T181" s="159" t="str">
        <f>IF(S181&lt;&gt;"User Specified",IF(AND(S181&lt;&gt;"User Specified",S181&lt;&gt;""), INDEX('Refrigerant GWPs'!$G$2:$G$154,MATCH(S181,'Refrigerant GWPs'!$A$2:$A$154,0)),""),V181)</f>
        <v/>
      </c>
      <c r="U181" s="144"/>
      <c r="V181" s="144"/>
      <c r="W181" s="155"/>
      <c r="X181" s="155"/>
      <c r="Y181" s="144"/>
      <c r="Z181" s="159" t="str">
        <f>IF(AND(Y181&lt;&gt;"User Specified",Y181&lt;&gt;""), INDEX('Refrigerant GWPs'!$G$2:$G$154,MATCH(Y181,'Refrigerant GWPs'!$A$2:$A$154,0)),"")</f>
        <v/>
      </c>
      <c r="AA181" s="155"/>
      <c r="AB181" s="156"/>
      <c r="AC181" s="66"/>
      <c r="AD181" s="66"/>
      <c r="AE181" s="66"/>
      <c r="AF181" s="66"/>
      <c r="AG181" s="66"/>
      <c r="AH181" s="66"/>
      <c r="AI181" s="34"/>
      <c r="AJ181" s="88">
        <f t="shared" si="200"/>
        <v>0</v>
      </c>
      <c r="AK181" s="88">
        <f t="shared" si="201"/>
        <v>0</v>
      </c>
      <c r="AL181" s="88">
        <v>0</v>
      </c>
      <c r="AM181" s="88">
        <v>0</v>
      </c>
      <c r="AN181" s="81" t="str">
        <f t="shared" si="243"/>
        <v/>
      </c>
      <c r="AO181" s="88">
        <f t="shared" si="202"/>
        <v>0</v>
      </c>
      <c r="AP181" s="88">
        <f t="shared" si="203"/>
        <v>0</v>
      </c>
      <c r="AQ181" s="81" t="str">
        <f t="shared" si="204"/>
        <v/>
      </c>
      <c r="AS181" s="41" t="b">
        <f t="shared" si="205"/>
        <v>1</v>
      </c>
      <c r="AT181" s="38">
        <f t="shared" si="206"/>
        <v>0</v>
      </c>
      <c r="AU181" s="60">
        <f t="shared" si="207"/>
        <v>0</v>
      </c>
      <c r="AV181" s="41">
        <f t="shared" si="208"/>
        <v>0</v>
      </c>
      <c r="AW181" s="41" t="b">
        <f t="shared" si="209"/>
        <v>0</v>
      </c>
      <c r="AX181" t="str">
        <f t="shared" si="210"/>
        <v>+00</v>
      </c>
      <c r="AY181" t="str">
        <f t="shared" si="211"/>
        <v>+00</v>
      </c>
      <c r="BA181" s="47" t="b">
        <f t="shared" si="245"/>
        <v>1</v>
      </c>
      <c r="BB181" s="42" t="b">
        <f t="shared" si="246"/>
        <v>1</v>
      </c>
      <c r="BC181" s="42" t="b">
        <f t="shared" si="247"/>
        <v>0</v>
      </c>
      <c r="BD181" s="42" t="b">
        <f t="shared" si="248"/>
        <v>0</v>
      </c>
      <c r="BE181" s="70">
        <f t="shared" si="249"/>
        <v>0</v>
      </c>
      <c r="BF181" s="70">
        <f t="shared" si="250"/>
        <v>0</v>
      </c>
      <c r="BG181" s="34"/>
      <c r="BI181" s="47" t="b">
        <f t="shared" si="251"/>
        <v>1</v>
      </c>
      <c r="BJ181" s="47" t="b">
        <f t="shared" si="252"/>
        <v>1</v>
      </c>
      <c r="BK181" s="42" t="b">
        <f t="shared" si="253"/>
        <v>0</v>
      </c>
      <c r="BL181" s="42" t="b">
        <f t="shared" si="254"/>
        <v>0</v>
      </c>
      <c r="BM181" s="42">
        <f t="shared" si="255"/>
        <v>0</v>
      </c>
      <c r="BN181" s="42">
        <f t="shared" si="256"/>
        <v>0</v>
      </c>
      <c r="BP181" t="e">
        <f t="shared" si="257"/>
        <v>#N/A</v>
      </c>
      <c r="BQ181" t="e">
        <f t="shared" si="258"/>
        <v>#N/A</v>
      </c>
      <c r="BR181" t="e">
        <f t="shared" si="259"/>
        <v>#N/A</v>
      </c>
      <c r="BT181" s="60">
        <f t="shared" si="268"/>
        <v>0</v>
      </c>
      <c r="BU181" s="60">
        <f t="shared" si="269"/>
        <v>0</v>
      </c>
      <c r="BV181" s="60">
        <f t="shared" si="270"/>
        <v>0</v>
      </c>
      <c r="BW181" s="60">
        <f t="shared" si="271"/>
        <v>0</v>
      </c>
      <c r="BX181" s="60">
        <f t="shared" si="260"/>
        <v>0</v>
      </c>
      <c r="BY181" s="60">
        <f t="shared" si="261"/>
        <v>0</v>
      </c>
      <c r="BZ181" s="60">
        <f t="shared" si="262"/>
        <v>0</v>
      </c>
      <c r="CA181" s="60">
        <f t="shared" si="263"/>
        <v>0</v>
      </c>
      <c r="CB181" s="60" t="e">
        <f t="shared" si="272"/>
        <v>#N/A</v>
      </c>
      <c r="CC181" s="60">
        <f t="shared" si="273"/>
        <v>100000</v>
      </c>
      <c r="CD181" s="60" t="e">
        <f t="shared" si="274"/>
        <v>#N/A</v>
      </c>
      <c r="CE181" s="60">
        <f t="shared" si="275"/>
        <v>100000</v>
      </c>
      <c r="CF181" s="83" t="e">
        <f t="shared" si="264"/>
        <v>#N/A</v>
      </c>
      <c r="CG181" s="83">
        <f t="shared" si="265"/>
        <v>0</v>
      </c>
      <c r="CH181" s="83" t="e">
        <f t="shared" si="266"/>
        <v>#N/A</v>
      </c>
      <c r="CI181" s="83">
        <f t="shared" si="267"/>
        <v>0</v>
      </c>
      <c r="CJ181" s="86" t="e">
        <f t="shared" si="276"/>
        <v>#N/A</v>
      </c>
      <c r="CK181" s="82">
        <f t="shared" si="277"/>
        <v>5.3070370403969858E-3</v>
      </c>
      <c r="CL181" s="82" t="e">
        <f t="shared" si="278"/>
        <v>#N/A</v>
      </c>
      <c r="CM181" s="82">
        <f t="shared" si="279"/>
        <v>5.3070370403969858E-3</v>
      </c>
      <c r="CO181" s="149" t="str">
        <f>IF($I181&lt;&gt;"",IF(O181="User Specified",U181,INDEX('Refrigerant GWPs'!$G$2:$G$156,MATCH(O181,'Refrigerant GWPs'!$A$2:$A$156,0))),"")</f>
        <v/>
      </c>
      <c r="CP181" s="138" t="str">
        <f>IF($I181&lt;&gt;"",INDEX('Device Refrigerant Leakage'!$E$2:$E$42,MATCH($M181,'Device Refrigerant Leakage'!$B$2:$B$42,0)),"")</f>
        <v/>
      </c>
      <c r="CQ181" s="138" t="str">
        <f>IF($I181&lt;&gt;"",INDEX('Device Refrigerant Leakage'!$F$2:$F$42,MATCH($M181,'Device Refrigerant Leakage'!$B$2:$B$42,0)),"")</f>
        <v/>
      </c>
      <c r="CR181" s="145" t="str">
        <f>IF($I181&lt;&gt;"",INDEX('Device Refrigerant Leakage'!$G$2:$G$42,MATCH($M181,'Device Refrigerant Leakage'!$B$2:$B$42,0)),"")</f>
        <v/>
      </c>
      <c r="CS181" s="145" t="str">
        <f>IF($I181&lt;&gt;"",INDEX('Device Refrigerant Leakage'!$D$2:$D$42,MATCH($M181,'Device Refrigerant Leakage'!$B$2:$B$42,0))*CP181/2204.62*CO181,"")</f>
        <v/>
      </c>
      <c r="CT181" s="145" t="str">
        <f>IF($I181&lt;&gt;"",J181*(INDEX('Device Refrigerant Leakage'!$D$2:$D$42,MATCH($M181,'Device Refrigerant Leakage'!$B$2:$B$42,0))-(INDEX('Device Refrigerant Leakage'!$D$2:$D$42,MATCH($M181,'Device Refrigerant Leakage'!$B$2:$B$42,0)))*CR181*CP181)*CQ181/2204.62*CO181,"")</f>
        <v/>
      </c>
      <c r="CU181" s="135" t="str">
        <f>IF($I181&lt;&gt;"",J181*IF(W181&lt;&gt;"AR",(CS181*K181)+CT181,(CS181*AB181)+CT181*(AB181/INDEX('Device Refrigerant Leakage'!$C$2:$C$42,MATCH($M181,'Device Refrigerant Leakage'!$B$2:$B$42,0)))),"")</f>
        <v/>
      </c>
      <c r="CW181" s="135" t="str">
        <f>IF($I181&lt;&gt;"",IF(S181="User Specified",V181,INDEX('Refrigerant GWPs'!$G$2:$G$156,MATCH(S181,'Refrigerant GWPs'!$A$2:$A$157,0))),"")</f>
        <v/>
      </c>
      <c r="CX181" s="138" t="str">
        <f>IF($I181&lt;&gt;"",INDEX('Device Refrigerant Leakage'!$E$2:$E$42,MATCH($Q181,'Device Refrigerant Leakage'!$B$2:$B$42,0)),"")</f>
        <v/>
      </c>
      <c r="CY181" s="138" t="str">
        <f>IF($I181&lt;&gt;"",INDEX('Device Refrigerant Leakage'!$F$2:$F$42,MATCH($Q181,'Device Refrigerant Leakage'!$B$2:$B$42,0)),"")</f>
        <v/>
      </c>
      <c r="CZ181" s="145" t="str">
        <f>IF($I181&lt;&gt;"",INDEX('Device Refrigerant Leakage'!$G$2:$G$42,MATCH($Q181,'Device Refrigerant Leakage'!$B$2:$B$42,0)),"")</f>
        <v/>
      </c>
      <c r="DA181" s="145" t="str">
        <f>IF($I181&lt;&gt;"",J181*INDEX('Device Refrigerant Leakage'!$D$2:$D$42,MATCH($Q181,'Device Refrigerant Leakage'!$B$2:$B$42,0))*CX181/2204.62*CW181,"")</f>
        <v/>
      </c>
      <c r="DB181" s="145" t="str">
        <f>IF($I181&lt;&gt;"",J181*(INDEX('Device Refrigerant Leakage'!$D$2:$D$42,MATCH($Q181,'Device Refrigerant Leakage'!$B$2:$B$42,0))-(INDEX('Device Refrigerant Leakage'!$D$2:$D$42,MATCH($Q181,'Device Refrigerant Leakage'!$B$2:$B$42,0)))*CZ181*CX181)*CY181/2204.62*CW181,"")</f>
        <v/>
      </c>
      <c r="DC181" s="135" t="str">
        <f t="shared" si="244"/>
        <v/>
      </c>
      <c r="DE181" s="146" t="str">
        <f>IF(W181&lt;&gt;"AR","",IF(Y181="User Specified", AA181, INDEX('Refrigerant GWPs'!$G$2:$G$154,MATCH(Y181,'Refrigerant GWPs'!$A$2:$A$154,0))))</f>
        <v/>
      </c>
      <c r="DF181" s="146" t="str">
        <f>IF(W181&lt;&gt;"AR","",INDEX('Device Refrigerant Leakage'!$E$2:$E$42,MATCH(X181,'Device Refrigerant Leakage'!$B$2:$B$42,0)))</f>
        <v/>
      </c>
      <c r="DG181" s="146" t="str">
        <f>IF(W181&lt;&gt;"AR","",INDEX('Device Refrigerant Leakage'!$F$2:$F$42,MATCH(X181,'Device Refrigerant Leakage'!$B$2:$B$42,0)))</f>
        <v/>
      </c>
      <c r="DH181" s="146" t="str">
        <f>IF(W181&lt;&gt;"AR","",INDEX('Device Refrigerant Leakage'!$G$2:$G$42,MATCH(X181,'Device Refrigerant Leakage'!$B$2:$B$42,0)))</f>
        <v/>
      </c>
      <c r="DI181" s="146" t="str">
        <f>IF(W181&lt;&gt;"AR","",J181*INDEX('Device Refrigerant Leakage'!$D$2:$D$42,MATCH(X181,'Device Refrigerant Leakage'!$B$2:$B$42,0))*DF181/2204.62*DE181)</f>
        <v/>
      </c>
      <c r="DJ181" s="146" t="str">
        <f>IF(W181&lt;&gt;"AR","",J181*(INDEX('Device Refrigerant Leakage'!$D$2:$D$42,MATCH(X181,'Device Refrigerant Leakage'!$B$2:$B$42,0))-(INDEX('Device Refrigerant Leakage'!$D$2:$D$42,MATCH(X181,'Device Refrigerant Leakage'!$B$2:$B$42,0)))*DH181*DF181)*DG181/2204.62*DE181)</f>
        <v/>
      </c>
      <c r="DK181" s="146" t="str">
        <f>IF(W181&lt;&gt;"AR","",DI181*(K181-AB181)+'Fuel Sub Calcs-Deemed'!DJ181*((K181-AB181)/INDEX('Device Refrigerant Leakage'!$C$2:$C$42,MATCH('Fuel Sub Calcs-Deemed'!X181,'Device Refrigerant Leakage'!$B$2:$B$42,0))))</f>
        <v/>
      </c>
      <c r="DM181" s="56">
        <v>167</v>
      </c>
      <c r="DN181" s="67" t="e">
        <f t="shared" si="224"/>
        <v>#N/A</v>
      </c>
      <c r="DO181" s="45" t="e">
        <f t="shared" si="225"/>
        <v>#N/A</v>
      </c>
      <c r="DP181" s="67" t="e">
        <f t="shared" si="226"/>
        <v>#N/A</v>
      </c>
      <c r="DQ181" s="45" t="e">
        <f t="shared" si="227"/>
        <v>#N/A</v>
      </c>
      <c r="DR181" s="69" t="e">
        <f t="shared" si="228"/>
        <v>#N/A</v>
      </c>
      <c r="DS181" s="34"/>
      <c r="DT181" s="67" t="e">
        <f>((BX181*CJ181)+IF($W181=MAT_AR,(BZ181*CL181),0))*(1+Reference!$E$50+Reference!$E$51)</f>
        <v>#N/A</v>
      </c>
      <c r="DU181" s="67">
        <f>((BY181*CK181)+IF($W181=MAT_AR,(CA181*CM181),0))*(1+Reference!$G$50+Reference!$G$51)</f>
        <v>0</v>
      </c>
      <c r="DV181" s="67" t="e">
        <f t="shared" si="229"/>
        <v>#VALUE!</v>
      </c>
      <c r="DX181" s="56">
        <v>167</v>
      </c>
      <c r="DY181" s="67">
        <f t="shared" si="230"/>
        <v>0</v>
      </c>
      <c r="DZ181" s="45" t="e">
        <f>VLOOKUP($R181,Dropdown!$C$3:$D$4,2,FALSE)</f>
        <v>#N/A</v>
      </c>
      <c r="EA181" s="68">
        <f t="shared" si="231"/>
        <v>0</v>
      </c>
      <c r="EB181" s="68" t="str">
        <f t="shared" si="232"/>
        <v>N/A</v>
      </c>
      <c r="EC181" s="68">
        <f t="shared" si="233"/>
        <v>0</v>
      </c>
      <c r="ED181" s="68" t="str">
        <f t="shared" si="280"/>
        <v>N/A</v>
      </c>
      <c r="EF181" s="56">
        <v>167</v>
      </c>
      <c r="EG181" s="46">
        <f t="shared" si="235"/>
        <v>0</v>
      </c>
      <c r="EH181" s="68" t="e">
        <f t="shared" si="236"/>
        <v>#N/A</v>
      </c>
      <c r="EI181" s="68" t="e">
        <f t="shared" si="237"/>
        <v>#N/A</v>
      </c>
      <c r="EJ181" s="68" t="e">
        <f t="shared" si="238"/>
        <v>#N/A</v>
      </c>
      <c r="EK181" s="68" t="e">
        <f t="shared" si="239"/>
        <v>#N/A</v>
      </c>
      <c r="EL181" s="46">
        <f t="shared" si="240"/>
        <v>0</v>
      </c>
      <c r="EM181" s="46">
        <f t="shared" si="241"/>
        <v>0</v>
      </c>
    </row>
    <row r="182" spans="1:143">
      <c r="A182" s="89"/>
      <c r="B182" s="89"/>
      <c r="C182" s="89"/>
      <c r="D182" s="89"/>
      <c r="E182" s="89"/>
      <c r="F182" s="89"/>
      <c r="G182" s="34"/>
      <c r="H182" s="56">
        <f t="shared" si="242"/>
        <v>168</v>
      </c>
      <c r="I182" s="165"/>
      <c r="J182" s="163"/>
      <c r="K182" s="163"/>
      <c r="L182" s="164"/>
      <c r="M182" s="155"/>
      <c r="N182" s="155"/>
      <c r="O182" s="144"/>
      <c r="P182" s="159" t="str">
        <f>IFERROR(IF(O182&lt;&gt;"User Specified",IF(O182&lt;&gt;"", INDEX('Refrigerant GWPs'!$G$2:$G$154,MATCH(O182,'Refrigerant GWPs'!$A$2:$A$154,0)),""),U182),0)</f>
        <v/>
      </c>
      <c r="Q182" s="155"/>
      <c r="R182" s="155"/>
      <c r="S182" s="144"/>
      <c r="T182" s="159" t="str">
        <f>IF(S182&lt;&gt;"User Specified",IF(AND(S182&lt;&gt;"User Specified",S182&lt;&gt;""), INDEX('Refrigerant GWPs'!$G$2:$G$154,MATCH(S182,'Refrigerant GWPs'!$A$2:$A$154,0)),""),V182)</f>
        <v/>
      </c>
      <c r="U182" s="144"/>
      <c r="V182" s="144"/>
      <c r="W182" s="155"/>
      <c r="X182" s="155"/>
      <c r="Y182" s="144"/>
      <c r="Z182" s="159" t="str">
        <f>IF(AND(Y182&lt;&gt;"User Specified",Y182&lt;&gt;""), INDEX('Refrigerant GWPs'!$G$2:$G$154,MATCH(Y182,'Refrigerant GWPs'!$A$2:$A$154,0)),"")</f>
        <v/>
      </c>
      <c r="AA182" s="155"/>
      <c r="AB182" s="156"/>
      <c r="AC182" s="66"/>
      <c r="AD182" s="66"/>
      <c r="AE182" s="66"/>
      <c r="AF182" s="66"/>
      <c r="AG182" s="66"/>
      <c r="AH182" s="66"/>
      <c r="AI182" s="34"/>
      <c r="AJ182" s="88">
        <f t="shared" si="200"/>
        <v>0</v>
      </c>
      <c r="AK182" s="88">
        <f t="shared" si="201"/>
        <v>0</v>
      </c>
      <c r="AL182" s="88">
        <v>0</v>
      </c>
      <c r="AM182" s="88">
        <v>0</v>
      </c>
      <c r="AN182" s="81" t="str">
        <f t="shared" si="243"/>
        <v/>
      </c>
      <c r="AO182" s="88">
        <f t="shared" si="202"/>
        <v>0</v>
      </c>
      <c r="AP182" s="88">
        <f t="shared" si="203"/>
        <v>0</v>
      </c>
      <c r="AQ182" s="81" t="str">
        <f t="shared" si="204"/>
        <v/>
      </c>
      <c r="AS182" s="41" t="b">
        <f t="shared" si="205"/>
        <v>1</v>
      </c>
      <c r="AT182" s="38">
        <f t="shared" si="206"/>
        <v>0</v>
      </c>
      <c r="AU182" s="60">
        <f t="shared" si="207"/>
        <v>0</v>
      </c>
      <c r="AV182" s="41">
        <f t="shared" si="208"/>
        <v>0</v>
      </c>
      <c r="AW182" s="41" t="b">
        <f t="shared" si="209"/>
        <v>0</v>
      </c>
      <c r="AX182" t="str">
        <f t="shared" si="210"/>
        <v>+00</v>
      </c>
      <c r="AY182" t="str">
        <f t="shared" si="211"/>
        <v>+00</v>
      </c>
      <c r="BA182" s="47" t="b">
        <f t="shared" si="245"/>
        <v>1</v>
      </c>
      <c r="BB182" s="42" t="b">
        <f t="shared" si="246"/>
        <v>1</v>
      </c>
      <c r="BC182" s="42" t="b">
        <f t="shared" si="247"/>
        <v>0</v>
      </c>
      <c r="BD182" s="42" t="b">
        <f t="shared" si="248"/>
        <v>0</v>
      </c>
      <c r="BE182" s="70">
        <f t="shared" si="249"/>
        <v>0</v>
      </c>
      <c r="BF182" s="70">
        <f t="shared" si="250"/>
        <v>0</v>
      </c>
      <c r="BG182" s="34"/>
      <c r="BI182" s="47" t="b">
        <f t="shared" si="251"/>
        <v>1</v>
      </c>
      <c r="BJ182" s="47" t="b">
        <f t="shared" si="252"/>
        <v>1</v>
      </c>
      <c r="BK182" s="42" t="b">
        <f t="shared" si="253"/>
        <v>0</v>
      </c>
      <c r="BL182" s="42" t="b">
        <f t="shared" si="254"/>
        <v>0</v>
      </c>
      <c r="BM182" s="42">
        <f t="shared" si="255"/>
        <v>0</v>
      </c>
      <c r="BN182" s="42">
        <f t="shared" si="256"/>
        <v>0</v>
      </c>
      <c r="BP182" t="e">
        <f t="shared" si="257"/>
        <v>#N/A</v>
      </c>
      <c r="BQ182" t="e">
        <f t="shared" si="258"/>
        <v>#N/A</v>
      </c>
      <c r="BR182" t="e">
        <f t="shared" si="259"/>
        <v>#N/A</v>
      </c>
      <c r="BT182" s="60">
        <f t="shared" si="268"/>
        <v>0</v>
      </c>
      <c r="BU182" s="60">
        <f t="shared" si="269"/>
        <v>0</v>
      </c>
      <c r="BV182" s="60">
        <f t="shared" si="270"/>
        <v>0</v>
      </c>
      <c r="BW182" s="60">
        <f t="shared" si="271"/>
        <v>0</v>
      </c>
      <c r="BX182" s="60">
        <f t="shared" si="260"/>
        <v>0</v>
      </c>
      <c r="BY182" s="60">
        <f t="shared" si="261"/>
        <v>0</v>
      </c>
      <c r="BZ182" s="60">
        <f t="shared" si="262"/>
        <v>0</v>
      </c>
      <c r="CA182" s="60">
        <f t="shared" si="263"/>
        <v>0</v>
      </c>
      <c r="CB182" s="60" t="e">
        <f t="shared" si="272"/>
        <v>#N/A</v>
      </c>
      <c r="CC182" s="60">
        <f t="shared" si="273"/>
        <v>100000</v>
      </c>
      <c r="CD182" s="60" t="e">
        <f t="shared" si="274"/>
        <v>#N/A</v>
      </c>
      <c r="CE182" s="60">
        <f t="shared" si="275"/>
        <v>100000</v>
      </c>
      <c r="CF182" s="83" t="e">
        <f t="shared" si="264"/>
        <v>#N/A</v>
      </c>
      <c r="CG182" s="83">
        <f t="shared" si="265"/>
        <v>0</v>
      </c>
      <c r="CH182" s="83" t="e">
        <f t="shared" si="266"/>
        <v>#N/A</v>
      </c>
      <c r="CI182" s="83">
        <f t="shared" si="267"/>
        <v>0</v>
      </c>
      <c r="CJ182" s="86" t="e">
        <f t="shared" si="276"/>
        <v>#N/A</v>
      </c>
      <c r="CK182" s="82">
        <f t="shared" si="277"/>
        <v>5.3070370403969858E-3</v>
      </c>
      <c r="CL182" s="82" t="e">
        <f t="shared" si="278"/>
        <v>#N/A</v>
      </c>
      <c r="CM182" s="82">
        <f t="shared" si="279"/>
        <v>5.3070370403969858E-3</v>
      </c>
      <c r="CO182" s="149" t="str">
        <f>IF($I182&lt;&gt;"",IF(O182="User Specified",U182,INDEX('Refrigerant GWPs'!$G$2:$G$156,MATCH(O182,'Refrigerant GWPs'!$A$2:$A$156,0))),"")</f>
        <v/>
      </c>
      <c r="CP182" s="138" t="str">
        <f>IF($I182&lt;&gt;"",INDEX('Device Refrigerant Leakage'!$E$2:$E$42,MATCH($M182,'Device Refrigerant Leakage'!$B$2:$B$42,0)),"")</f>
        <v/>
      </c>
      <c r="CQ182" s="138" t="str">
        <f>IF($I182&lt;&gt;"",INDEX('Device Refrigerant Leakage'!$F$2:$F$42,MATCH($M182,'Device Refrigerant Leakage'!$B$2:$B$42,0)),"")</f>
        <v/>
      </c>
      <c r="CR182" s="145" t="str">
        <f>IF($I182&lt;&gt;"",INDEX('Device Refrigerant Leakage'!$G$2:$G$42,MATCH($M182,'Device Refrigerant Leakage'!$B$2:$B$42,0)),"")</f>
        <v/>
      </c>
      <c r="CS182" s="145" t="str">
        <f>IF($I182&lt;&gt;"",INDEX('Device Refrigerant Leakage'!$D$2:$D$42,MATCH($M182,'Device Refrigerant Leakage'!$B$2:$B$42,0))*CP182/2204.62*CO182,"")</f>
        <v/>
      </c>
      <c r="CT182" s="145" t="str">
        <f>IF($I182&lt;&gt;"",J182*(INDEX('Device Refrigerant Leakage'!$D$2:$D$42,MATCH($M182,'Device Refrigerant Leakage'!$B$2:$B$42,0))-(INDEX('Device Refrigerant Leakage'!$D$2:$D$42,MATCH($M182,'Device Refrigerant Leakage'!$B$2:$B$42,0)))*CR182*CP182)*CQ182/2204.62*CO182,"")</f>
        <v/>
      </c>
      <c r="CU182" s="135" t="str">
        <f>IF($I182&lt;&gt;"",J182*IF(W182&lt;&gt;"AR",(CS182*K182)+CT182,(CS182*AB182)+CT182*(AB182/INDEX('Device Refrigerant Leakage'!$C$2:$C$42,MATCH($M182,'Device Refrigerant Leakage'!$B$2:$B$42,0)))),"")</f>
        <v/>
      </c>
      <c r="CW182" s="135" t="str">
        <f>IF($I182&lt;&gt;"",IF(S182="User Specified",V182,INDEX('Refrigerant GWPs'!$G$2:$G$156,MATCH(S182,'Refrigerant GWPs'!$A$2:$A$157,0))),"")</f>
        <v/>
      </c>
      <c r="CX182" s="138" t="str">
        <f>IF($I182&lt;&gt;"",INDEX('Device Refrigerant Leakage'!$E$2:$E$42,MATCH($Q182,'Device Refrigerant Leakage'!$B$2:$B$42,0)),"")</f>
        <v/>
      </c>
      <c r="CY182" s="138" t="str">
        <f>IF($I182&lt;&gt;"",INDEX('Device Refrigerant Leakage'!$F$2:$F$42,MATCH($Q182,'Device Refrigerant Leakage'!$B$2:$B$42,0)),"")</f>
        <v/>
      </c>
      <c r="CZ182" s="145" t="str">
        <f>IF($I182&lt;&gt;"",INDEX('Device Refrigerant Leakage'!$G$2:$G$42,MATCH($Q182,'Device Refrigerant Leakage'!$B$2:$B$42,0)),"")</f>
        <v/>
      </c>
      <c r="DA182" s="145" t="str">
        <f>IF($I182&lt;&gt;"",J182*INDEX('Device Refrigerant Leakage'!$D$2:$D$42,MATCH($Q182,'Device Refrigerant Leakage'!$B$2:$B$42,0))*CX182/2204.62*CW182,"")</f>
        <v/>
      </c>
      <c r="DB182" s="145" t="str">
        <f>IF($I182&lt;&gt;"",J182*(INDEX('Device Refrigerant Leakage'!$D$2:$D$42,MATCH($Q182,'Device Refrigerant Leakage'!$B$2:$B$42,0))-(INDEX('Device Refrigerant Leakage'!$D$2:$D$42,MATCH($Q182,'Device Refrigerant Leakage'!$B$2:$B$42,0)))*CZ182*CX182)*CY182/2204.62*CW182,"")</f>
        <v/>
      </c>
      <c r="DC182" s="135" t="str">
        <f t="shared" si="244"/>
        <v/>
      </c>
      <c r="DE182" s="146" t="str">
        <f>IF(W182&lt;&gt;"AR","",IF(Y182="User Specified", AA182, INDEX('Refrigerant GWPs'!$G$2:$G$154,MATCH(Y182,'Refrigerant GWPs'!$A$2:$A$154,0))))</f>
        <v/>
      </c>
      <c r="DF182" s="146" t="str">
        <f>IF(W182&lt;&gt;"AR","",INDEX('Device Refrigerant Leakage'!$E$2:$E$42,MATCH(X182,'Device Refrigerant Leakage'!$B$2:$B$42,0)))</f>
        <v/>
      </c>
      <c r="DG182" s="146" t="str">
        <f>IF(W182&lt;&gt;"AR","",INDEX('Device Refrigerant Leakage'!$F$2:$F$42,MATCH(X182,'Device Refrigerant Leakage'!$B$2:$B$42,0)))</f>
        <v/>
      </c>
      <c r="DH182" s="146" t="str">
        <f>IF(W182&lt;&gt;"AR","",INDEX('Device Refrigerant Leakage'!$G$2:$G$42,MATCH(X182,'Device Refrigerant Leakage'!$B$2:$B$42,0)))</f>
        <v/>
      </c>
      <c r="DI182" s="146" t="str">
        <f>IF(W182&lt;&gt;"AR","",J182*INDEX('Device Refrigerant Leakage'!$D$2:$D$42,MATCH(X182,'Device Refrigerant Leakage'!$B$2:$B$42,0))*DF182/2204.62*DE182)</f>
        <v/>
      </c>
      <c r="DJ182" s="146" t="str">
        <f>IF(W182&lt;&gt;"AR","",J182*(INDEX('Device Refrigerant Leakage'!$D$2:$D$42,MATCH(X182,'Device Refrigerant Leakage'!$B$2:$B$42,0))-(INDEX('Device Refrigerant Leakage'!$D$2:$D$42,MATCH(X182,'Device Refrigerant Leakage'!$B$2:$B$42,0)))*DH182*DF182)*DG182/2204.62*DE182)</f>
        <v/>
      </c>
      <c r="DK182" s="146" t="str">
        <f>IF(W182&lt;&gt;"AR","",DI182*(K182-AB182)+'Fuel Sub Calcs-Deemed'!DJ182*((K182-AB182)/INDEX('Device Refrigerant Leakage'!$C$2:$C$42,MATCH('Fuel Sub Calcs-Deemed'!X182,'Device Refrigerant Leakage'!$B$2:$B$42,0))))</f>
        <v/>
      </c>
      <c r="DM182" s="56">
        <v>168</v>
      </c>
      <c r="DN182" s="67" t="e">
        <f t="shared" si="224"/>
        <v>#N/A</v>
      </c>
      <c r="DO182" s="45" t="e">
        <f t="shared" si="225"/>
        <v>#N/A</v>
      </c>
      <c r="DP182" s="67" t="e">
        <f t="shared" si="226"/>
        <v>#N/A</v>
      </c>
      <c r="DQ182" s="45" t="e">
        <f t="shared" si="227"/>
        <v>#N/A</v>
      </c>
      <c r="DR182" s="69" t="e">
        <f t="shared" si="228"/>
        <v>#N/A</v>
      </c>
      <c r="DS182" s="34"/>
      <c r="DT182" s="67" t="e">
        <f>((BX182*CJ182)+IF($W182=MAT_AR,(BZ182*CL182),0))*(1+Reference!$E$50+Reference!$E$51)</f>
        <v>#N/A</v>
      </c>
      <c r="DU182" s="67">
        <f>((BY182*CK182)+IF($W182=MAT_AR,(CA182*CM182),0))*(1+Reference!$G$50+Reference!$G$51)</f>
        <v>0</v>
      </c>
      <c r="DV182" s="67" t="e">
        <f t="shared" si="229"/>
        <v>#VALUE!</v>
      </c>
      <c r="DX182" s="56">
        <v>168</v>
      </c>
      <c r="DY182" s="67">
        <f t="shared" si="230"/>
        <v>0</v>
      </c>
      <c r="DZ182" s="45" t="e">
        <f>VLOOKUP($R182,Dropdown!$C$3:$D$4,2,FALSE)</f>
        <v>#N/A</v>
      </c>
      <c r="EA182" s="68">
        <f t="shared" si="231"/>
        <v>0</v>
      </c>
      <c r="EB182" s="68" t="str">
        <f t="shared" si="232"/>
        <v>N/A</v>
      </c>
      <c r="EC182" s="68">
        <f t="shared" si="233"/>
        <v>0</v>
      </c>
      <c r="ED182" s="68" t="str">
        <f t="shared" si="280"/>
        <v>N/A</v>
      </c>
      <c r="EF182" s="56">
        <v>168</v>
      </c>
      <c r="EG182" s="46">
        <f t="shared" si="235"/>
        <v>0</v>
      </c>
      <c r="EH182" s="68" t="e">
        <f t="shared" si="236"/>
        <v>#N/A</v>
      </c>
      <c r="EI182" s="68" t="e">
        <f t="shared" si="237"/>
        <v>#N/A</v>
      </c>
      <c r="EJ182" s="68" t="e">
        <f t="shared" si="238"/>
        <v>#N/A</v>
      </c>
      <c r="EK182" s="68" t="e">
        <f t="shared" si="239"/>
        <v>#N/A</v>
      </c>
      <c r="EL182" s="46">
        <f t="shared" si="240"/>
        <v>0</v>
      </c>
      <c r="EM182" s="46">
        <f t="shared" si="241"/>
        <v>0</v>
      </c>
    </row>
    <row r="183" spans="1:143">
      <c r="A183" s="89"/>
      <c r="B183" s="89"/>
      <c r="C183" s="89"/>
      <c r="D183" s="89"/>
      <c r="E183" s="89"/>
      <c r="F183" s="89"/>
      <c r="G183" s="34"/>
      <c r="H183" s="56">
        <f t="shared" si="242"/>
        <v>169</v>
      </c>
      <c r="I183" s="165"/>
      <c r="J183" s="163"/>
      <c r="K183" s="163"/>
      <c r="L183" s="164"/>
      <c r="M183" s="155"/>
      <c r="N183" s="155"/>
      <c r="O183" s="144"/>
      <c r="P183" s="159" t="str">
        <f>IFERROR(IF(O183&lt;&gt;"User Specified",IF(O183&lt;&gt;"", INDEX('Refrigerant GWPs'!$G$2:$G$154,MATCH(O183,'Refrigerant GWPs'!$A$2:$A$154,0)),""),U183),0)</f>
        <v/>
      </c>
      <c r="Q183" s="155"/>
      <c r="R183" s="155"/>
      <c r="S183" s="144"/>
      <c r="T183" s="159" t="str">
        <f>IF(S183&lt;&gt;"User Specified",IF(AND(S183&lt;&gt;"User Specified",S183&lt;&gt;""), INDEX('Refrigerant GWPs'!$G$2:$G$154,MATCH(S183,'Refrigerant GWPs'!$A$2:$A$154,0)),""),V183)</f>
        <v/>
      </c>
      <c r="U183" s="144"/>
      <c r="V183" s="144"/>
      <c r="W183" s="155"/>
      <c r="X183" s="155"/>
      <c r="Y183" s="144"/>
      <c r="Z183" s="159" t="str">
        <f>IF(AND(Y183&lt;&gt;"User Specified",Y183&lt;&gt;""), INDEX('Refrigerant GWPs'!$G$2:$G$154,MATCH(Y183,'Refrigerant GWPs'!$A$2:$A$154,0)),"")</f>
        <v/>
      </c>
      <c r="AA183" s="155"/>
      <c r="AB183" s="156"/>
      <c r="AC183" s="66"/>
      <c r="AD183" s="66"/>
      <c r="AE183" s="66"/>
      <c r="AF183" s="66"/>
      <c r="AG183" s="66"/>
      <c r="AH183" s="66"/>
      <c r="AI183" s="34"/>
      <c r="AJ183" s="88">
        <f t="shared" si="200"/>
        <v>0</v>
      </c>
      <c r="AK183" s="88">
        <f t="shared" si="201"/>
        <v>0</v>
      </c>
      <c r="AL183" s="88">
        <v>0</v>
      </c>
      <c r="AM183" s="88">
        <v>0</v>
      </c>
      <c r="AN183" s="81" t="str">
        <f t="shared" si="243"/>
        <v/>
      </c>
      <c r="AO183" s="88">
        <f t="shared" si="202"/>
        <v>0</v>
      </c>
      <c r="AP183" s="88">
        <f t="shared" si="203"/>
        <v>0</v>
      </c>
      <c r="AQ183" s="81" t="str">
        <f t="shared" si="204"/>
        <v/>
      </c>
      <c r="AS183" s="41" t="b">
        <f t="shared" si="205"/>
        <v>1</v>
      </c>
      <c r="AT183" s="38">
        <f t="shared" si="206"/>
        <v>0</v>
      </c>
      <c r="AU183" s="60">
        <f t="shared" si="207"/>
        <v>0</v>
      </c>
      <c r="AV183" s="41">
        <f t="shared" si="208"/>
        <v>0</v>
      </c>
      <c r="AW183" s="41" t="b">
        <f t="shared" si="209"/>
        <v>0</v>
      </c>
      <c r="AX183" t="str">
        <f t="shared" si="210"/>
        <v>+00</v>
      </c>
      <c r="AY183" t="str">
        <f t="shared" si="211"/>
        <v>+00</v>
      </c>
      <c r="BA183" s="47" t="b">
        <f t="shared" si="245"/>
        <v>1</v>
      </c>
      <c r="BB183" s="42" t="b">
        <f t="shared" si="246"/>
        <v>1</v>
      </c>
      <c r="BC183" s="42" t="b">
        <f t="shared" si="247"/>
        <v>0</v>
      </c>
      <c r="BD183" s="42" t="b">
        <f t="shared" si="248"/>
        <v>0</v>
      </c>
      <c r="BE183" s="70">
        <f t="shared" si="249"/>
        <v>0</v>
      </c>
      <c r="BF183" s="70">
        <f t="shared" si="250"/>
        <v>0</v>
      </c>
      <c r="BG183" s="34"/>
      <c r="BI183" s="47" t="b">
        <f t="shared" si="251"/>
        <v>1</v>
      </c>
      <c r="BJ183" s="47" t="b">
        <f t="shared" si="252"/>
        <v>1</v>
      </c>
      <c r="BK183" s="42" t="b">
        <f t="shared" si="253"/>
        <v>0</v>
      </c>
      <c r="BL183" s="42" t="b">
        <f t="shared" si="254"/>
        <v>0</v>
      </c>
      <c r="BM183" s="42">
        <f t="shared" si="255"/>
        <v>0</v>
      </c>
      <c r="BN183" s="42">
        <f t="shared" si="256"/>
        <v>0</v>
      </c>
      <c r="BP183" t="e">
        <f t="shared" si="257"/>
        <v>#N/A</v>
      </c>
      <c r="BQ183" t="e">
        <f t="shared" si="258"/>
        <v>#N/A</v>
      </c>
      <c r="BR183" t="e">
        <f t="shared" si="259"/>
        <v>#N/A</v>
      </c>
      <c r="BT183" s="60">
        <f t="shared" si="268"/>
        <v>0</v>
      </c>
      <c r="BU183" s="60">
        <f t="shared" si="269"/>
        <v>0</v>
      </c>
      <c r="BV183" s="60">
        <f t="shared" si="270"/>
        <v>0</v>
      </c>
      <c r="BW183" s="60">
        <f t="shared" si="271"/>
        <v>0</v>
      </c>
      <c r="BX183" s="60">
        <f t="shared" si="260"/>
        <v>0</v>
      </c>
      <c r="BY183" s="60">
        <f t="shared" si="261"/>
        <v>0</v>
      </c>
      <c r="BZ183" s="60">
        <f t="shared" si="262"/>
        <v>0</v>
      </c>
      <c r="CA183" s="60">
        <f t="shared" si="263"/>
        <v>0</v>
      </c>
      <c r="CB183" s="60" t="e">
        <f t="shared" si="272"/>
        <v>#N/A</v>
      </c>
      <c r="CC183" s="60">
        <f t="shared" si="273"/>
        <v>100000</v>
      </c>
      <c r="CD183" s="60" t="e">
        <f t="shared" si="274"/>
        <v>#N/A</v>
      </c>
      <c r="CE183" s="60">
        <f t="shared" si="275"/>
        <v>100000</v>
      </c>
      <c r="CF183" s="83" t="e">
        <f t="shared" si="264"/>
        <v>#N/A</v>
      </c>
      <c r="CG183" s="83">
        <f t="shared" si="265"/>
        <v>0</v>
      </c>
      <c r="CH183" s="83" t="e">
        <f t="shared" si="266"/>
        <v>#N/A</v>
      </c>
      <c r="CI183" s="83">
        <f t="shared" si="267"/>
        <v>0</v>
      </c>
      <c r="CJ183" s="86" t="e">
        <f t="shared" si="276"/>
        <v>#N/A</v>
      </c>
      <c r="CK183" s="82">
        <f t="shared" si="277"/>
        <v>5.3070370403969858E-3</v>
      </c>
      <c r="CL183" s="82" t="e">
        <f t="shared" si="278"/>
        <v>#N/A</v>
      </c>
      <c r="CM183" s="82">
        <f t="shared" si="279"/>
        <v>5.3070370403969858E-3</v>
      </c>
      <c r="CO183" s="149" t="str">
        <f>IF($I183&lt;&gt;"",IF(O183="User Specified",U183,INDEX('Refrigerant GWPs'!$G$2:$G$156,MATCH(O183,'Refrigerant GWPs'!$A$2:$A$156,0))),"")</f>
        <v/>
      </c>
      <c r="CP183" s="138" t="str">
        <f>IF($I183&lt;&gt;"",INDEX('Device Refrigerant Leakage'!$E$2:$E$42,MATCH($M183,'Device Refrigerant Leakage'!$B$2:$B$42,0)),"")</f>
        <v/>
      </c>
      <c r="CQ183" s="138" t="str">
        <f>IF($I183&lt;&gt;"",INDEX('Device Refrigerant Leakage'!$F$2:$F$42,MATCH($M183,'Device Refrigerant Leakage'!$B$2:$B$42,0)),"")</f>
        <v/>
      </c>
      <c r="CR183" s="145" t="str">
        <f>IF($I183&lt;&gt;"",INDEX('Device Refrigerant Leakage'!$G$2:$G$42,MATCH($M183,'Device Refrigerant Leakage'!$B$2:$B$42,0)),"")</f>
        <v/>
      </c>
      <c r="CS183" s="145" t="str">
        <f>IF($I183&lt;&gt;"",INDEX('Device Refrigerant Leakage'!$D$2:$D$42,MATCH($M183,'Device Refrigerant Leakage'!$B$2:$B$42,0))*CP183/2204.62*CO183,"")</f>
        <v/>
      </c>
      <c r="CT183" s="145" t="str">
        <f>IF($I183&lt;&gt;"",J183*(INDEX('Device Refrigerant Leakage'!$D$2:$D$42,MATCH($M183,'Device Refrigerant Leakage'!$B$2:$B$42,0))-(INDEX('Device Refrigerant Leakage'!$D$2:$D$42,MATCH($M183,'Device Refrigerant Leakage'!$B$2:$B$42,0)))*CR183*CP183)*CQ183/2204.62*CO183,"")</f>
        <v/>
      </c>
      <c r="CU183" s="135" t="str">
        <f>IF($I183&lt;&gt;"",J183*IF(W183&lt;&gt;"AR",(CS183*K183)+CT183,(CS183*AB183)+CT183*(AB183/INDEX('Device Refrigerant Leakage'!$C$2:$C$42,MATCH($M183,'Device Refrigerant Leakage'!$B$2:$B$42,0)))),"")</f>
        <v/>
      </c>
      <c r="CW183" s="135" t="str">
        <f>IF($I183&lt;&gt;"",IF(S183="User Specified",V183,INDEX('Refrigerant GWPs'!$G$2:$G$156,MATCH(S183,'Refrigerant GWPs'!$A$2:$A$157,0))),"")</f>
        <v/>
      </c>
      <c r="CX183" s="138" t="str">
        <f>IF($I183&lt;&gt;"",INDEX('Device Refrigerant Leakage'!$E$2:$E$42,MATCH($Q183,'Device Refrigerant Leakage'!$B$2:$B$42,0)),"")</f>
        <v/>
      </c>
      <c r="CY183" s="138" t="str">
        <f>IF($I183&lt;&gt;"",INDEX('Device Refrigerant Leakage'!$F$2:$F$42,MATCH($Q183,'Device Refrigerant Leakage'!$B$2:$B$42,0)),"")</f>
        <v/>
      </c>
      <c r="CZ183" s="145" t="str">
        <f>IF($I183&lt;&gt;"",INDEX('Device Refrigerant Leakage'!$G$2:$G$42,MATCH($Q183,'Device Refrigerant Leakage'!$B$2:$B$42,0)),"")</f>
        <v/>
      </c>
      <c r="DA183" s="145" t="str">
        <f>IF($I183&lt;&gt;"",J183*INDEX('Device Refrigerant Leakage'!$D$2:$D$42,MATCH($Q183,'Device Refrigerant Leakage'!$B$2:$B$42,0))*CX183/2204.62*CW183,"")</f>
        <v/>
      </c>
      <c r="DB183" s="145" t="str">
        <f>IF($I183&lt;&gt;"",J183*(INDEX('Device Refrigerant Leakage'!$D$2:$D$42,MATCH($Q183,'Device Refrigerant Leakage'!$B$2:$B$42,0))-(INDEX('Device Refrigerant Leakage'!$D$2:$D$42,MATCH($Q183,'Device Refrigerant Leakage'!$B$2:$B$42,0)))*CZ183*CX183)*CY183/2204.62*CW183,"")</f>
        <v/>
      </c>
      <c r="DC183" s="135" t="str">
        <f t="shared" si="244"/>
        <v/>
      </c>
      <c r="DE183" s="146" t="str">
        <f>IF(W183&lt;&gt;"AR","",IF(Y183="User Specified", AA183, INDEX('Refrigerant GWPs'!$G$2:$G$154,MATCH(Y183,'Refrigerant GWPs'!$A$2:$A$154,0))))</f>
        <v/>
      </c>
      <c r="DF183" s="146" t="str">
        <f>IF(W183&lt;&gt;"AR","",INDEX('Device Refrigerant Leakage'!$E$2:$E$42,MATCH(X183,'Device Refrigerant Leakage'!$B$2:$B$42,0)))</f>
        <v/>
      </c>
      <c r="DG183" s="146" t="str">
        <f>IF(W183&lt;&gt;"AR","",INDEX('Device Refrigerant Leakage'!$F$2:$F$42,MATCH(X183,'Device Refrigerant Leakage'!$B$2:$B$42,0)))</f>
        <v/>
      </c>
      <c r="DH183" s="146" t="str">
        <f>IF(W183&lt;&gt;"AR","",INDEX('Device Refrigerant Leakage'!$G$2:$G$42,MATCH(X183,'Device Refrigerant Leakage'!$B$2:$B$42,0)))</f>
        <v/>
      </c>
      <c r="DI183" s="146" t="str">
        <f>IF(W183&lt;&gt;"AR","",J183*INDEX('Device Refrigerant Leakage'!$D$2:$D$42,MATCH(X183,'Device Refrigerant Leakage'!$B$2:$B$42,0))*DF183/2204.62*DE183)</f>
        <v/>
      </c>
      <c r="DJ183" s="146" t="str">
        <f>IF(W183&lt;&gt;"AR","",J183*(INDEX('Device Refrigerant Leakage'!$D$2:$D$42,MATCH(X183,'Device Refrigerant Leakage'!$B$2:$B$42,0))-(INDEX('Device Refrigerant Leakage'!$D$2:$D$42,MATCH(X183,'Device Refrigerant Leakage'!$B$2:$B$42,0)))*DH183*DF183)*DG183/2204.62*DE183)</f>
        <v/>
      </c>
      <c r="DK183" s="146" t="str">
        <f>IF(W183&lt;&gt;"AR","",DI183*(K183-AB183)+'Fuel Sub Calcs-Deemed'!DJ183*((K183-AB183)/INDEX('Device Refrigerant Leakage'!$C$2:$C$42,MATCH('Fuel Sub Calcs-Deemed'!X183,'Device Refrigerant Leakage'!$B$2:$B$42,0))))</f>
        <v/>
      </c>
      <c r="DM183" s="56">
        <v>169</v>
      </c>
      <c r="DN183" s="67" t="e">
        <f t="shared" si="224"/>
        <v>#N/A</v>
      </c>
      <c r="DO183" s="45" t="e">
        <f t="shared" si="225"/>
        <v>#N/A</v>
      </c>
      <c r="DP183" s="67" t="e">
        <f t="shared" si="226"/>
        <v>#N/A</v>
      </c>
      <c r="DQ183" s="45" t="e">
        <f t="shared" si="227"/>
        <v>#N/A</v>
      </c>
      <c r="DR183" s="69" t="e">
        <f t="shared" si="228"/>
        <v>#N/A</v>
      </c>
      <c r="DS183" s="34"/>
      <c r="DT183" s="67" t="e">
        <f>((BX183*CJ183)+IF($W183=MAT_AR,(BZ183*CL183),0))*(1+Reference!$E$50+Reference!$E$51)</f>
        <v>#N/A</v>
      </c>
      <c r="DU183" s="67">
        <f>((BY183*CK183)+IF($W183=MAT_AR,(CA183*CM183),0))*(1+Reference!$G$50+Reference!$G$51)</f>
        <v>0</v>
      </c>
      <c r="DV183" s="67" t="e">
        <f t="shared" si="229"/>
        <v>#VALUE!</v>
      </c>
      <c r="DX183" s="56">
        <v>169</v>
      </c>
      <c r="DY183" s="67">
        <f t="shared" si="230"/>
        <v>0</v>
      </c>
      <c r="DZ183" s="45" t="e">
        <f>VLOOKUP($R183,Dropdown!$C$3:$D$4,2,FALSE)</f>
        <v>#N/A</v>
      </c>
      <c r="EA183" s="68">
        <f t="shared" si="231"/>
        <v>0</v>
      </c>
      <c r="EB183" s="68" t="str">
        <f t="shared" si="232"/>
        <v>N/A</v>
      </c>
      <c r="EC183" s="68">
        <f t="shared" si="233"/>
        <v>0</v>
      </c>
      <c r="ED183" s="68" t="str">
        <f t="shared" si="280"/>
        <v>N/A</v>
      </c>
      <c r="EF183" s="56">
        <v>169</v>
      </c>
      <c r="EG183" s="46">
        <f t="shared" si="235"/>
        <v>0</v>
      </c>
      <c r="EH183" s="68" t="e">
        <f t="shared" si="236"/>
        <v>#N/A</v>
      </c>
      <c r="EI183" s="68" t="e">
        <f t="shared" si="237"/>
        <v>#N/A</v>
      </c>
      <c r="EJ183" s="68" t="e">
        <f t="shared" si="238"/>
        <v>#N/A</v>
      </c>
      <c r="EK183" s="68" t="e">
        <f t="shared" si="239"/>
        <v>#N/A</v>
      </c>
      <c r="EL183" s="46">
        <f t="shared" si="240"/>
        <v>0</v>
      </c>
      <c r="EM183" s="46">
        <f t="shared" si="241"/>
        <v>0</v>
      </c>
    </row>
    <row r="184" spans="1:143">
      <c r="A184" s="89"/>
      <c r="B184" s="89"/>
      <c r="C184" s="89"/>
      <c r="D184" s="89"/>
      <c r="E184" s="89"/>
      <c r="F184" s="89"/>
      <c r="G184" s="34"/>
      <c r="H184" s="56">
        <f t="shared" si="242"/>
        <v>170</v>
      </c>
      <c r="I184" s="165"/>
      <c r="J184" s="163"/>
      <c r="K184" s="163"/>
      <c r="L184" s="164"/>
      <c r="M184" s="155"/>
      <c r="N184" s="155"/>
      <c r="O184" s="144"/>
      <c r="P184" s="159" t="str">
        <f>IFERROR(IF(O184&lt;&gt;"User Specified",IF(O184&lt;&gt;"", INDEX('Refrigerant GWPs'!$G$2:$G$154,MATCH(O184,'Refrigerant GWPs'!$A$2:$A$154,0)),""),U184),0)</f>
        <v/>
      </c>
      <c r="Q184" s="155"/>
      <c r="R184" s="155"/>
      <c r="S184" s="144"/>
      <c r="T184" s="159" t="str">
        <f>IF(S184&lt;&gt;"User Specified",IF(AND(S184&lt;&gt;"User Specified",S184&lt;&gt;""), INDEX('Refrigerant GWPs'!$G$2:$G$154,MATCH(S184,'Refrigerant GWPs'!$A$2:$A$154,0)),""),V184)</f>
        <v/>
      </c>
      <c r="U184" s="144"/>
      <c r="V184" s="144"/>
      <c r="W184" s="155"/>
      <c r="X184" s="155"/>
      <c r="Y184" s="144"/>
      <c r="Z184" s="159" t="str">
        <f>IF(AND(Y184&lt;&gt;"User Specified",Y184&lt;&gt;""), INDEX('Refrigerant GWPs'!$G$2:$G$154,MATCH(Y184,'Refrigerant GWPs'!$A$2:$A$154,0)),"")</f>
        <v/>
      </c>
      <c r="AA184" s="155"/>
      <c r="AB184" s="156"/>
      <c r="AC184" s="66"/>
      <c r="AD184" s="66"/>
      <c r="AE184" s="66"/>
      <c r="AF184" s="66"/>
      <c r="AG184" s="66"/>
      <c r="AH184" s="66"/>
      <c r="AI184" s="34"/>
      <c r="AJ184" s="88">
        <f t="shared" si="200"/>
        <v>0</v>
      </c>
      <c r="AK184" s="88">
        <f t="shared" si="201"/>
        <v>0</v>
      </c>
      <c r="AL184" s="88">
        <v>0</v>
      </c>
      <c r="AM184" s="88">
        <v>0</v>
      </c>
      <c r="AN184" s="81" t="str">
        <f t="shared" si="243"/>
        <v/>
      </c>
      <c r="AO184" s="88">
        <f t="shared" si="202"/>
        <v>0</v>
      </c>
      <c r="AP184" s="88">
        <f t="shared" si="203"/>
        <v>0</v>
      </c>
      <c r="AQ184" s="81" t="str">
        <f t="shared" si="204"/>
        <v/>
      </c>
      <c r="AS184" s="41" t="b">
        <f t="shared" si="205"/>
        <v>1</v>
      </c>
      <c r="AT184" s="38">
        <f t="shared" si="206"/>
        <v>0</v>
      </c>
      <c r="AU184" s="60">
        <f t="shared" si="207"/>
        <v>0</v>
      </c>
      <c r="AV184" s="41">
        <f t="shared" si="208"/>
        <v>0</v>
      </c>
      <c r="AW184" s="41" t="b">
        <f t="shared" si="209"/>
        <v>0</v>
      </c>
      <c r="AX184" t="str">
        <f t="shared" si="210"/>
        <v>+00</v>
      </c>
      <c r="AY184" t="str">
        <f t="shared" si="211"/>
        <v>+00</v>
      </c>
      <c r="BA184" s="47" t="b">
        <f t="shared" si="245"/>
        <v>1</v>
      </c>
      <c r="BB184" s="42" t="b">
        <f t="shared" si="246"/>
        <v>1</v>
      </c>
      <c r="BC184" s="42" t="b">
        <f t="shared" si="247"/>
        <v>0</v>
      </c>
      <c r="BD184" s="42" t="b">
        <f t="shared" si="248"/>
        <v>0</v>
      </c>
      <c r="BE184" s="70">
        <f t="shared" si="249"/>
        <v>0</v>
      </c>
      <c r="BF184" s="70">
        <f t="shared" si="250"/>
        <v>0</v>
      </c>
      <c r="BG184" s="34"/>
      <c r="BI184" s="47" t="b">
        <f t="shared" si="251"/>
        <v>1</v>
      </c>
      <c r="BJ184" s="47" t="b">
        <f t="shared" si="252"/>
        <v>1</v>
      </c>
      <c r="BK184" s="42" t="b">
        <f t="shared" si="253"/>
        <v>0</v>
      </c>
      <c r="BL184" s="42" t="b">
        <f t="shared" si="254"/>
        <v>0</v>
      </c>
      <c r="BM184" s="42">
        <f t="shared" si="255"/>
        <v>0</v>
      </c>
      <c r="BN184" s="42">
        <f t="shared" si="256"/>
        <v>0</v>
      </c>
      <c r="BP184" t="e">
        <f t="shared" si="257"/>
        <v>#N/A</v>
      </c>
      <c r="BQ184" t="e">
        <f t="shared" si="258"/>
        <v>#N/A</v>
      </c>
      <c r="BR184" t="e">
        <f t="shared" si="259"/>
        <v>#N/A</v>
      </c>
      <c r="BT184" s="60">
        <f t="shared" si="268"/>
        <v>0</v>
      </c>
      <c r="BU184" s="60">
        <f t="shared" si="269"/>
        <v>0</v>
      </c>
      <c r="BV184" s="60">
        <f t="shared" si="270"/>
        <v>0</v>
      </c>
      <c r="BW184" s="60">
        <f t="shared" si="271"/>
        <v>0</v>
      </c>
      <c r="BX184" s="60">
        <f t="shared" si="260"/>
        <v>0</v>
      </c>
      <c r="BY184" s="60">
        <f t="shared" si="261"/>
        <v>0</v>
      </c>
      <c r="BZ184" s="60">
        <f t="shared" si="262"/>
        <v>0</v>
      </c>
      <c r="CA184" s="60">
        <f t="shared" si="263"/>
        <v>0</v>
      </c>
      <c r="CB184" s="60" t="e">
        <f t="shared" si="272"/>
        <v>#N/A</v>
      </c>
      <c r="CC184" s="60">
        <f t="shared" si="273"/>
        <v>100000</v>
      </c>
      <c r="CD184" s="60" t="e">
        <f t="shared" si="274"/>
        <v>#N/A</v>
      </c>
      <c r="CE184" s="60">
        <f t="shared" si="275"/>
        <v>100000</v>
      </c>
      <c r="CF184" s="83" t="e">
        <f t="shared" si="264"/>
        <v>#N/A</v>
      </c>
      <c r="CG184" s="83">
        <f t="shared" si="265"/>
        <v>0</v>
      </c>
      <c r="CH184" s="83" t="e">
        <f t="shared" si="266"/>
        <v>#N/A</v>
      </c>
      <c r="CI184" s="83">
        <f t="shared" si="267"/>
        <v>0</v>
      </c>
      <c r="CJ184" s="86" t="e">
        <f t="shared" si="276"/>
        <v>#N/A</v>
      </c>
      <c r="CK184" s="82">
        <f t="shared" si="277"/>
        <v>5.3070370403969858E-3</v>
      </c>
      <c r="CL184" s="82" t="e">
        <f t="shared" si="278"/>
        <v>#N/A</v>
      </c>
      <c r="CM184" s="82">
        <f t="shared" si="279"/>
        <v>5.3070370403969858E-3</v>
      </c>
      <c r="CO184" s="149" t="str">
        <f>IF($I184&lt;&gt;"",IF(O184="User Specified",U184,INDEX('Refrigerant GWPs'!$G$2:$G$156,MATCH(O184,'Refrigerant GWPs'!$A$2:$A$156,0))),"")</f>
        <v/>
      </c>
      <c r="CP184" s="138" t="str">
        <f>IF($I184&lt;&gt;"",INDEX('Device Refrigerant Leakage'!$E$2:$E$42,MATCH($M184,'Device Refrigerant Leakage'!$B$2:$B$42,0)),"")</f>
        <v/>
      </c>
      <c r="CQ184" s="138" t="str">
        <f>IF($I184&lt;&gt;"",INDEX('Device Refrigerant Leakage'!$F$2:$F$42,MATCH($M184,'Device Refrigerant Leakage'!$B$2:$B$42,0)),"")</f>
        <v/>
      </c>
      <c r="CR184" s="145" t="str">
        <f>IF($I184&lt;&gt;"",INDEX('Device Refrigerant Leakage'!$G$2:$G$42,MATCH($M184,'Device Refrigerant Leakage'!$B$2:$B$42,0)),"")</f>
        <v/>
      </c>
      <c r="CS184" s="145" t="str">
        <f>IF($I184&lt;&gt;"",INDEX('Device Refrigerant Leakage'!$D$2:$D$42,MATCH($M184,'Device Refrigerant Leakage'!$B$2:$B$42,0))*CP184/2204.62*CO184,"")</f>
        <v/>
      </c>
      <c r="CT184" s="145" t="str">
        <f>IF($I184&lt;&gt;"",J184*(INDEX('Device Refrigerant Leakage'!$D$2:$D$42,MATCH($M184,'Device Refrigerant Leakage'!$B$2:$B$42,0))-(INDEX('Device Refrigerant Leakage'!$D$2:$D$42,MATCH($M184,'Device Refrigerant Leakage'!$B$2:$B$42,0)))*CR184*CP184)*CQ184/2204.62*CO184,"")</f>
        <v/>
      </c>
      <c r="CU184" s="135" t="str">
        <f>IF($I184&lt;&gt;"",J184*IF(W184&lt;&gt;"AR",(CS184*K184)+CT184,(CS184*AB184)+CT184*(AB184/INDEX('Device Refrigerant Leakage'!$C$2:$C$42,MATCH($M184,'Device Refrigerant Leakage'!$B$2:$B$42,0)))),"")</f>
        <v/>
      </c>
      <c r="CW184" s="135" t="str">
        <f>IF($I184&lt;&gt;"",IF(S184="User Specified",V184,INDEX('Refrigerant GWPs'!$G$2:$G$156,MATCH(S184,'Refrigerant GWPs'!$A$2:$A$157,0))),"")</f>
        <v/>
      </c>
      <c r="CX184" s="138" t="str">
        <f>IF($I184&lt;&gt;"",INDEX('Device Refrigerant Leakage'!$E$2:$E$42,MATCH($Q184,'Device Refrigerant Leakage'!$B$2:$B$42,0)),"")</f>
        <v/>
      </c>
      <c r="CY184" s="138" t="str">
        <f>IF($I184&lt;&gt;"",INDEX('Device Refrigerant Leakage'!$F$2:$F$42,MATCH($Q184,'Device Refrigerant Leakage'!$B$2:$B$42,0)),"")</f>
        <v/>
      </c>
      <c r="CZ184" s="145" t="str">
        <f>IF($I184&lt;&gt;"",INDEX('Device Refrigerant Leakage'!$G$2:$G$42,MATCH($Q184,'Device Refrigerant Leakage'!$B$2:$B$42,0)),"")</f>
        <v/>
      </c>
      <c r="DA184" s="145" t="str">
        <f>IF($I184&lt;&gt;"",J184*INDEX('Device Refrigerant Leakage'!$D$2:$D$42,MATCH($Q184,'Device Refrigerant Leakage'!$B$2:$B$42,0))*CX184/2204.62*CW184,"")</f>
        <v/>
      </c>
      <c r="DB184" s="145" t="str">
        <f>IF($I184&lt;&gt;"",J184*(INDEX('Device Refrigerant Leakage'!$D$2:$D$42,MATCH($Q184,'Device Refrigerant Leakage'!$B$2:$B$42,0))-(INDEX('Device Refrigerant Leakage'!$D$2:$D$42,MATCH($Q184,'Device Refrigerant Leakage'!$B$2:$B$42,0)))*CZ184*CX184)*CY184/2204.62*CW184,"")</f>
        <v/>
      </c>
      <c r="DC184" s="135" t="str">
        <f t="shared" si="244"/>
        <v/>
      </c>
      <c r="DE184" s="146" t="str">
        <f>IF(W184&lt;&gt;"AR","",IF(Y184="User Specified", AA184, INDEX('Refrigerant GWPs'!$G$2:$G$154,MATCH(Y184,'Refrigerant GWPs'!$A$2:$A$154,0))))</f>
        <v/>
      </c>
      <c r="DF184" s="146" t="str">
        <f>IF(W184&lt;&gt;"AR","",INDEX('Device Refrigerant Leakage'!$E$2:$E$42,MATCH(X184,'Device Refrigerant Leakage'!$B$2:$B$42,0)))</f>
        <v/>
      </c>
      <c r="DG184" s="146" t="str">
        <f>IF(W184&lt;&gt;"AR","",INDEX('Device Refrigerant Leakage'!$F$2:$F$42,MATCH(X184,'Device Refrigerant Leakage'!$B$2:$B$42,0)))</f>
        <v/>
      </c>
      <c r="DH184" s="146" t="str">
        <f>IF(W184&lt;&gt;"AR","",INDEX('Device Refrigerant Leakage'!$G$2:$G$42,MATCH(X184,'Device Refrigerant Leakage'!$B$2:$B$42,0)))</f>
        <v/>
      </c>
      <c r="DI184" s="146" t="str">
        <f>IF(W184&lt;&gt;"AR","",J184*INDEX('Device Refrigerant Leakage'!$D$2:$D$42,MATCH(X184,'Device Refrigerant Leakage'!$B$2:$B$42,0))*DF184/2204.62*DE184)</f>
        <v/>
      </c>
      <c r="DJ184" s="146" t="str">
        <f>IF(W184&lt;&gt;"AR","",J184*(INDEX('Device Refrigerant Leakage'!$D$2:$D$42,MATCH(X184,'Device Refrigerant Leakage'!$B$2:$B$42,0))-(INDEX('Device Refrigerant Leakage'!$D$2:$D$42,MATCH(X184,'Device Refrigerant Leakage'!$B$2:$B$42,0)))*DH184*DF184)*DG184/2204.62*DE184)</f>
        <v/>
      </c>
      <c r="DK184" s="146" t="str">
        <f>IF(W184&lt;&gt;"AR","",DI184*(K184-AB184)+'Fuel Sub Calcs-Deemed'!DJ184*((K184-AB184)/INDEX('Device Refrigerant Leakage'!$C$2:$C$42,MATCH('Fuel Sub Calcs-Deemed'!X184,'Device Refrigerant Leakage'!$B$2:$B$42,0))))</f>
        <v/>
      </c>
      <c r="DM184" s="56">
        <v>170</v>
      </c>
      <c r="DN184" s="67" t="e">
        <f t="shared" si="224"/>
        <v>#N/A</v>
      </c>
      <c r="DO184" s="45" t="e">
        <f t="shared" si="225"/>
        <v>#N/A</v>
      </c>
      <c r="DP184" s="67" t="e">
        <f t="shared" si="226"/>
        <v>#N/A</v>
      </c>
      <c r="DQ184" s="45" t="e">
        <f t="shared" si="227"/>
        <v>#N/A</v>
      </c>
      <c r="DR184" s="69" t="e">
        <f t="shared" si="228"/>
        <v>#N/A</v>
      </c>
      <c r="DS184" s="34"/>
      <c r="DT184" s="67" t="e">
        <f>((BX184*CJ184)+IF($W184=MAT_AR,(BZ184*CL184),0))*(1+Reference!$E$50+Reference!$E$51)</f>
        <v>#N/A</v>
      </c>
      <c r="DU184" s="67">
        <f>((BY184*CK184)+IF($W184=MAT_AR,(CA184*CM184),0))*(1+Reference!$G$50+Reference!$G$51)</f>
        <v>0</v>
      </c>
      <c r="DV184" s="67" t="e">
        <f t="shared" si="229"/>
        <v>#VALUE!</v>
      </c>
      <c r="DX184" s="56">
        <v>170</v>
      </c>
      <c r="DY184" s="67">
        <f t="shared" si="230"/>
        <v>0</v>
      </c>
      <c r="DZ184" s="45" t="e">
        <f>VLOOKUP($R184,Dropdown!$C$3:$D$4,2,FALSE)</f>
        <v>#N/A</v>
      </c>
      <c r="EA184" s="68">
        <f t="shared" si="231"/>
        <v>0</v>
      </c>
      <c r="EB184" s="68" t="str">
        <f t="shared" si="232"/>
        <v>N/A</v>
      </c>
      <c r="EC184" s="68">
        <f t="shared" si="233"/>
        <v>0</v>
      </c>
      <c r="ED184" s="68" t="str">
        <f t="shared" si="280"/>
        <v>N/A</v>
      </c>
      <c r="EF184" s="56">
        <v>170</v>
      </c>
      <c r="EG184" s="46">
        <f t="shared" si="235"/>
        <v>0</v>
      </c>
      <c r="EH184" s="68" t="e">
        <f t="shared" si="236"/>
        <v>#N/A</v>
      </c>
      <c r="EI184" s="68" t="e">
        <f t="shared" si="237"/>
        <v>#N/A</v>
      </c>
      <c r="EJ184" s="68" t="e">
        <f t="shared" si="238"/>
        <v>#N/A</v>
      </c>
      <c r="EK184" s="68" t="e">
        <f t="shared" si="239"/>
        <v>#N/A</v>
      </c>
      <c r="EL184" s="46">
        <f t="shared" si="240"/>
        <v>0</v>
      </c>
      <c r="EM184" s="46">
        <f t="shared" si="241"/>
        <v>0</v>
      </c>
    </row>
    <row r="185" spans="1:143">
      <c r="A185" s="89"/>
      <c r="B185" s="89"/>
      <c r="C185" s="89"/>
      <c r="D185" s="89"/>
      <c r="E185" s="89"/>
      <c r="F185" s="89"/>
      <c r="G185" s="34"/>
      <c r="H185" s="56">
        <f t="shared" si="242"/>
        <v>171</v>
      </c>
      <c r="I185" s="165"/>
      <c r="J185" s="163"/>
      <c r="K185" s="163"/>
      <c r="L185" s="164"/>
      <c r="M185" s="155"/>
      <c r="N185" s="155"/>
      <c r="O185" s="144"/>
      <c r="P185" s="159" t="str">
        <f>IFERROR(IF(O185&lt;&gt;"User Specified",IF(O185&lt;&gt;"", INDEX('Refrigerant GWPs'!$G$2:$G$154,MATCH(O185,'Refrigerant GWPs'!$A$2:$A$154,0)),""),U185),0)</f>
        <v/>
      </c>
      <c r="Q185" s="155"/>
      <c r="R185" s="155"/>
      <c r="S185" s="144"/>
      <c r="T185" s="159" t="str">
        <f>IF(S185&lt;&gt;"User Specified",IF(AND(S185&lt;&gt;"User Specified",S185&lt;&gt;""), INDEX('Refrigerant GWPs'!$G$2:$G$154,MATCH(S185,'Refrigerant GWPs'!$A$2:$A$154,0)),""),V185)</f>
        <v/>
      </c>
      <c r="U185" s="144"/>
      <c r="V185" s="144"/>
      <c r="W185" s="155"/>
      <c r="X185" s="155"/>
      <c r="Y185" s="144"/>
      <c r="Z185" s="159" t="str">
        <f>IF(AND(Y185&lt;&gt;"User Specified",Y185&lt;&gt;""), INDEX('Refrigerant GWPs'!$G$2:$G$154,MATCH(Y185,'Refrigerant GWPs'!$A$2:$A$154,0)),"")</f>
        <v/>
      </c>
      <c r="AA185" s="155"/>
      <c r="AB185" s="156"/>
      <c r="AC185" s="66"/>
      <c r="AD185" s="66"/>
      <c r="AE185" s="66"/>
      <c r="AF185" s="66"/>
      <c r="AG185" s="66"/>
      <c r="AH185" s="66"/>
      <c r="AI185" s="34"/>
      <c r="AJ185" s="88">
        <f t="shared" si="200"/>
        <v>0</v>
      </c>
      <c r="AK185" s="88">
        <f t="shared" si="201"/>
        <v>0</v>
      </c>
      <c r="AL185" s="88">
        <v>0</v>
      </c>
      <c r="AM185" s="88">
        <v>0</v>
      </c>
      <c r="AN185" s="81" t="str">
        <f t="shared" si="243"/>
        <v/>
      </c>
      <c r="AO185" s="88">
        <f t="shared" si="202"/>
        <v>0</v>
      </c>
      <c r="AP185" s="88">
        <f t="shared" si="203"/>
        <v>0</v>
      </c>
      <c r="AQ185" s="81" t="str">
        <f t="shared" si="204"/>
        <v/>
      </c>
      <c r="AS185" s="41" t="b">
        <f t="shared" si="205"/>
        <v>1</v>
      </c>
      <c r="AT185" s="38">
        <f t="shared" si="206"/>
        <v>0</v>
      </c>
      <c r="AU185" s="60">
        <f t="shared" si="207"/>
        <v>0</v>
      </c>
      <c r="AV185" s="41">
        <f t="shared" si="208"/>
        <v>0</v>
      </c>
      <c r="AW185" s="41" t="b">
        <f t="shared" si="209"/>
        <v>0</v>
      </c>
      <c r="AX185" t="str">
        <f t="shared" si="210"/>
        <v>+00</v>
      </c>
      <c r="AY185" t="str">
        <f t="shared" si="211"/>
        <v>+00</v>
      </c>
      <c r="BA185" s="47" t="b">
        <f t="shared" si="245"/>
        <v>1</v>
      </c>
      <c r="BB185" s="42" t="b">
        <f t="shared" si="246"/>
        <v>1</v>
      </c>
      <c r="BC185" s="42" t="b">
        <f t="shared" si="247"/>
        <v>0</v>
      </c>
      <c r="BD185" s="42" t="b">
        <f t="shared" si="248"/>
        <v>0</v>
      </c>
      <c r="BE185" s="70">
        <f t="shared" si="249"/>
        <v>0</v>
      </c>
      <c r="BF185" s="70">
        <f t="shared" si="250"/>
        <v>0</v>
      </c>
      <c r="BG185" s="34"/>
      <c r="BI185" s="47" t="b">
        <f t="shared" si="251"/>
        <v>1</v>
      </c>
      <c r="BJ185" s="47" t="b">
        <f t="shared" si="252"/>
        <v>1</v>
      </c>
      <c r="BK185" s="42" t="b">
        <f t="shared" si="253"/>
        <v>0</v>
      </c>
      <c r="BL185" s="42" t="b">
        <f t="shared" si="254"/>
        <v>0</v>
      </c>
      <c r="BM185" s="42">
        <f t="shared" si="255"/>
        <v>0</v>
      </c>
      <c r="BN185" s="42">
        <f t="shared" si="256"/>
        <v>0</v>
      </c>
      <c r="BP185" t="e">
        <f t="shared" si="257"/>
        <v>#N/A</v>
      </c>
      <c r="BQ185" t="e">
        <f t="shared" si="258"/>
        <v>#N/A</v>
      </c>
      <c r="BR185" t="e">
        <f t="shared" si="259"/>
        <v>#N/A</v>
      </c>
      <c r="BT185" s="60">
        <f t="shared" si="268"/>
        <v>0</v>
      </c>
      <c r="BU185" s="60">
        <f t="shared" si="269"/>
        <v>0</v>
      </c>
      <c r="BV185" s="60">
        <f t="shared" si="270"/>
        <v>0</v>
      </c>
      <c r="BW185" s="60">
        <f t="shared" si="271"/>
        <v>0</v>
      </c>
      <c r="BX185" s="60">
        <f t="shared" si="260"/>
        <v>0</v>
      </c>
      <c r="BY185" s="60">
        <f t="shared" si="261"/>
        <v>0</v>
      </c>
      <c r="BZ185" s="60">
        <f t="shared" si="262"/>
        <v>0</v>
      </c>
      <c r="CA185" s="60">
        <f t="shared" si="263"/>
        <v>0</v>
      </c>
      <c r="CB185" s="60" t="e">
        <f t="shared" si="272"/>
        <v>#N/A</v>
      </c>
      <c r="CC185" s="60">
        <f t="shared" si="273"/>
        <v>100000</v>
      </c>
      <c r="CD185" s="60" t="e">
        <f t="shared" si="274"/>
        <v>#N/A</v>
      </c>
      <c r="CE185" s="60">
        <f t="shared" si="275"/>
        <v>100000</v>
      </c>
      <c r="CF185" s="83" t="e">
        <f t="shared" si="264"/>
        <v>#N/A</v>
      </c>
      <c r="CG185" s="83">
        <f t="shared" si="265"/>
        <v>0</v>
      </c>
      <c r="CH185" s="83" t="e">
        <f t="shared" si="266"/>
        <v>#N/A</v>
      </c>
      <c r="CI185" s="83">
        <f t="shared" si="267"/>
        <v>0</v>
      </c>
      <c r="CJ185" s="86" t="e">
        <f t="shared" si="276"/>
        <v>#N/A</v>
      </c>
      <c r="CK185" s="82">
        <f t="shared" si="277"/>
        <v>5.3070370403969858E-3</v>
      </c>
      <c r="CL185" s="82" t="e">
        <f t="shared" si="278"/>
        <v>#N/A</v>
      </c>
      <c r="CM185" s="82">
        <f t="shared" si="279"/>
        <v>5.3070370403969858E-3</v>
      </c>
      <c r="CO185" s="149" t="str">
        <f>IF($I185&lt;&gt;"",IF(O185="User Specified",U185,INDEX('Refrigerant GWPs'!$G$2:$G$156,MATCH(O185,'Refrigerant GWPs'!$A$2:$A$156,0))),"")</f>
        <v/>
      </c>
      <c r="CP185" s="138" t="str">
        <f>IF($I185&lt;&gt;"",INDEX('Device Refrigerant Leakage'!$E$2:$E$42,MATCH($M185,'Device Refrigerant Leakage'!$B$2:$B$42,0)),"")</f>
        <v/>
      </c>
      <c r="CQ185" s="138" t="str">
        <f>IF($I185&lt;&gt;"",INDEX('Device Refrigerant Leakage'!$F$2:$F$42,MATCH($M185,'Device Refrigerant Leakage'!$B$2:$B$42,0)),"")</f>
        <v/>
      </c>
      <c r="CR185" s="145" t="str">
        <f>IF($I185&lt;&gt;"",INDEX('Device Refrigerant Leakage'!$G$2:$G$42,MATCH($M185,'Device Refrigerant Leakage'!$B$2:$B$42,0)),"")</f>
        <v/>
      </c>
      <c r="CS185" s="145" t="str">
        <f>IF($I185&lt;&gt;"",INDEX('Device Refrigerant Leakage'!$D$2:$D$42,MATCH($M185,'Device Refrigerant Leakage'!$B$2:$B$42,0))*CP185/2204.62*CO185,"")</f>
        <v/>
      </c>
      <c r="CT185" s="145" t="str">
        <f>IF($I185&lt;&gt;"",J185*(INDEX('Device Refrigerant Leakage'!$D$2:$D$42,MATCH($M185,'Device Refrigerant Leakage'!$B$2:$B$42,0))-(INDEX('Device Refrigerant Leakage'!$D$2:$D$42,MATCH($M185,'Device Refrigerant Leakage'!$B$2:$B$42,0)))*CR185*CP185)*CQ185/2204.62*CO185,"")</f>
        <v/>
      </c>
      <c r="CU185" s="135" t="str">
        <f>IF($I185&lt;&gt;"",J185*IF(W185&lt;&gt;"AR",(CS185*K185)+CT185,(CS185*AB185)+CT185*(AB185/INDEX('Device Refrigerant Leakage'!$C$2:$C$42,MATCH($M185,'Device Refrigerant Leakage'!$B$2:$B$42,0)))),"")</f>
        <v/>
      </c>
      <c r="CW185" s="135" t="str">
        <f>IF($I185&lt;&gt;"",IF(S185="User Specified",V185,INDEX('Refrigerant GWPs'!$G$2:$G$156,MATCH(S185,'Refrigerant GWPs'!$A$2:$A$157,0))),"")</f>
        <v/>
      </c>
      <c r="CX185" s="138" t="str">
        <f>IF($I185&lt;&gt;"",INDEX('Device Refrigerant Leakage'!$E$2:$E$42,MATCH($Q185,'Device Refrigerant Leakage'!$B$2:$B$42,0)),"")</f>
        <v/>
      </c>
      <c r="CY185" s="138" t="str">
        <f>IF($I185&lt;&gt;"",INDEX('Device Refrigerant Leakage'!$F$2:$F$42,MATCH($Q185,'Device Refrigerant Leakage'!$B$2:$B$42,0)),"")</f>
        <v/>
      </c>
      <c r="CZ185" s="145" t="str">
        <f>IF($I185&lt;&gt;"",INDEX('Device Refrigerant Leakage'!$G$2:$G$42,MATCH($Q185,'Device Refrigerant Leakage'!$B$2:$B$42,0)),"")</f>
        <v/>
      </c>
      <c r="DA185" s="145" t="str">
        <f>IF($I185&lt;&gt;"",J185*INDEX('Device Refrigerant Leakage'!$D$2:$D$42,MATCH($Q185,'Device Refrigerant Leakage'!$B$2:$B$42,0))*CX185/2204.62*CW185,"")</f>
        <v/>
      </c>
      <c r="DB185" s="145" t="str">
        <f>IF($I185&lt;&gt;"",J185*(INDEX('Device Refrigerant Leakage'!$D$2:$D$42,MATCH($Q185,'Device Refrigerant Leakage'!$B$2:$B$42,0))-(INDEX('Device Refrigerant Leakage'!$D$2:$D$42,MATCH($Q185,'Device Refrigerant Leakage'!$B$2:$B$42,0)))*CZ185*CX185)*CY185/2204.62*CW185,"")</f>
        <v/>
      </c>
      <c r="DC185" s="135" t="str">
        <f t="shared" si="244"/>
        <v/>
      </c>
      <c r="DE185" s="146" t="str">
        <f>IF(W185&lt;&gt;"AR","",IF(Y185="User Specified", AA185, INDEX('Refrigerant GWPs'!$G$2:$G$154,MATCH(Y185,'Refrigerant GWPs'!$A$2:$A$154,0))))</f>
        <v/>
      </c>
      <c r="DF185" s="146" t="str">
        <f>IF(W185&lt;&gt;"AR","",INDEX('Device Refrigerant Leakage'!$E$2:$E$42,MATCH(X185,'Device Refrigerant Leakage'!$B$2:$B$42,0)))</f>
        <v/>
      </c>
      <c r="DG185" s="146" t="str">
        <f>IF(W185&lt;&gt;"AR","",INDEX('Device Refrigerant Leakage'!$F$2:$F$42,MATCH(X185,'Device Refrigerant Leakage'!$B$2:$B$42,0)))</f>
        <v/>
      </c>
      <c r="DH185" s="146" t="str">
        <f>IF(W185&lt;&gt;"AR","",INDEX('Device Refrigerant Leakage'!$G$2:$G$42,MATCH(X185,'Device Refrigerant Leakage'!$B$2:$B$42,0)))</f>
        <v/>
      </c>
      <c r="DI185" s="146" t="str">
        <f>IF(W185&lt;&gt;"AR","",J185*INDEX('Device Refrigerant Leakage'!$D$2:$D$42,MATCH(X185,'Device Refrigerant Leakage'!$B$2:$B$42,0))*DF185/2204.62*DE185)</f>
        <v/>
      </c>
      <c r="DJ185" s="146" t="str">
        <f>IF(W185&lt;&gt;"AR","",J185*(INDEX('Device Refrigerant Leakage'!$D$2:$D$42,MATCH(X185,'Device Refrigerant Leakage'!$B$2:$B$42,0))-(INDEX('Device Refrigerant Leakage'!$D$2:$D$42,MATCH(X185,'Device Refrigerant Leakage'!$B$2:$B$42,0)))*DH185*DF185)*DG185/2204.62*DE185)</f>
        <v/>
      </c>
      <c r="DK185" s="146" t="str">
        <f>IF(W185&lt;&gt;"AR","",DI185*(K185-AB185)+'Fuel Sub Calcs-Deemed'!DJ185*((K185-AB185)/INDEX('Device Refrigerant Leakage'!$C$2:$C$42,MATCH('Fuel Sub Calcs-Deemed'!X185,'Device Refrigerant Leakage'!$B$2:$B$42,0))))</f>
        <v/>
      </c>
      <c r="DM185" s="56">
        <v>171</v>
      </c>
      <c r="DN185" s="67" t="e">
        <f t="shared" si="224"/>
        <v>#N/A</v>
      </c>
      <c r="DO185" s="45" t="e">
        <f t="shared" si="225"/>
        <v>#N/A</v>
      </c>
      <c r="DP185" s="67" t="e">
        <f t="shared" si="226"/>
        <v>#N/A</v>
      </c>
      <c r="DQ185" s="45" t="e">
        <f t="shared" si="227"/>
        <v>#N/A</v>
      </c>
      <c r="DR185" s="69" t="e">
        <f t="shared" si="228"/>
        <v>#N/A</v>
      </c>
      <c r="DS185" s="34"/>
      <c r="DT185" s="67" t="e">
        <f>((BX185*CJ185)+IF($W185=MAT_AR,(BZ185*CL185),0))*(1+Reference!$E$50+Reference!$E$51)</f>
        <v>#N/A</v>
      </c>
      <c r="DU185" s="67">
        <f>((BY185*CK185)+IF($W185=MAT_AR,(CA185*CM185),0))*(1+Reference!$G$50+Reference!$G$51)</f>
        <v>0</v>
      </c>
      <c r="DV185" s="67" t="e">
        <f t="shared" si="229"/>
        <v>#VALUE!</v>
      </c>
      <c r="DX185" s="56">
        <v>171</v>
      </c>
      <c r="DY185" s="67">
        <f t="shared" si="230"/>
        <v>0</v>
      </c>
      <c r="DZ185" s="45" t="e">
        <f>VLOOKUP($R185,Dropdown!$C$3:$D$4,2,FALSE)</f>
        <v>#N/A</v>
      </c>
      <c r="EA185" s="68">
        <f t="shared" si="231"/>
        <v>0</v>
      </c>
      <c r="EB185" s="68" t="str">
        <f t="shared" si="232"/>
        <v>N/A</v>
      </c>
      <c r="EC185" s="68">
        <f t="shared" si="233"/>
        <v>0</v>
      </c>
      <c r="ED185" s="68" t="str">
        <f t="shared" si="280"/>
        <v>N/A</v>
      </c>
      <c r="EF185" s="56">
        <v>171</v>
      </c>
      <c r="EG185" s="46">
        <f t="shared" si="235"/>
        <v>0</v>
      </c>
      <c r="EH185" s="68" t="e">
        <f t="shared" si="236"/>
        <v>#N/A</v>
      </c>
      <c r="EI185" s="68" t="e">
        <f t="shared" si="237"/>
        <v>#N/A</v>
      </c>
      <c r="EJ185" s="68" t="e">
        <f t="shared" si="238"/>
        <v>#N/A</v>
      </c>
      <c r="EK185" s="68" t="e">
        <f t="shared" si="239"/>
        <v>#N/A</v>
      </c>
      <c r="EL185" s="46">
        <f t="shared" si="240"/>
        <v>0</v>
      </c>
      <c r="EM185" s="46">
        <f t="shared" si="241"/>
        <v>0</v>
      </c>
    </row>
    <row r="186" spans="1:143">
      <c r="A186" s="89"/>
      <c r="B186" s="89"/>
      <c r="C186" s="89"/>
      <c r="D186" s="89"/>
      <c r="E186" s="89"/>
      <c r="F186" s="89"/>
      <c r="G186" s="34"/>
      <c r="H186" s="56">
        <f t="shared" si="242"/>
        <v>172</v>
      </c>
      <c r="I186" s="165"/>
      <c r="J186" s="163"/>
      <c r="K186" s="163"/>
      <c r="L186" s="164"/>
      <c r="M186" s="155"/>
      <c r="N186" s="155"/>
      <c r="O186" s="144"/>
      <c r="P186" s="159" t="str">
        <f>IFERROR(IF(O186&lt;&gt;"User Specified",IF(O186&lt;&gt;"", INDEX('Refrigerant GWPs'!$G$2:$G$154,MATCH(O186,'Refrigerant GWPs'!$A$2:$A$154,0)),""),U186),0)</f>
        <v/>
      </c>
      <c r="Q186" s="155"/>
      <c r="R186" s="155"/>
      <c r="S186" s="144"/>
      <c r="T186" s="159" t="str">
        <f>IF(S186&lt;&gt;"User Specified",IF(AND(S186&lt;&gt;"User Specified",S186&lt;&gt;""), INDEX('Refrigerant GWPs'!$G$2:$G$154,MATCH(S186,'Refrigerant GWPs'!$A$2:$A$154,0)),""),V186)</f>
        <v/>
      </c>
      <c r="U186" s="144"/>
      <c r="V186" s="144"/>
      <c r="W186" s="155"/>
      <c r="X186" s="155"/>
      <c r="Y186" s="144"/>
      <c r="Z186" s="159" t="str">
        <f>IF(AND(Y186&lt;&gt;"User Specified",Y186&lt;&gt;""), INDEX('Refrigerant GWPs'!$G$2:$G$154,MATCH(Y186,'Refrigerant GWPs'!$A$2:$A$154,0)),"")</f>
        <v/>
      </c>
      <c r="AA186" s="155"/>
      <c r="AB186" s="156"/>
      <c r="AC186" s="66"/>
      <c r="AD186" s="66"/>
      <c r="AE186" s="66"/>
      <c r="AF186" s="66"/>
      <c r="AG186" s="66"/>
      <c r="AH186" s="66"/>
      <c r="AI186" s="34"/>
      <c r="AJ186" s="88">
        <f t="shared" si="200"/>
        <v>0</v>
      </c>
      <c r="AK186" s="88">
        <f t="shared" si="201"/>
        <v>0</v>
      </c>
      <c r="AL186" s="88">
        <v>0</v>
      </c>
      <c r="AM186" s="88">
        <v>0</v>
      </c>
      <c r="AN186" s="81" t="str">
        <f t="shared" si="243"/>
        <v/>
      </c>
      <c r="AO186" s="88">
        <f t="shared" si="202"/>
        <v>0</v>
      </c>
      <c r="AP186" s="88">
        <f t="shared" si="203"/>
        <v>0</v>
      </c>
      <c r="AQ186" s="81" t="str">
        <f t="shared" si="204"/>
        <v/>
      </c>
      <c r="AS186" s="41" t="b">
        <f t="shared" si="205"/>
        <v>1</v>
      </c>
      <c r="AT186" s="38">
        <f t="shared" si="206"/>
        <v>0</v>
      </c>
      <c r="AU186" s="60">
        <f t="shared" si="207"/>
        <v>0</v>
      </c>
      <c r="AV186" s="41">
        <f t="shared" si="208"/>
        <v>0</v>
      </c>
      <c r="AW186" s="41" t="b">
        <f t="shared" si="209"/>
        <v>0</v>
      </c>
      <c r="AX186" t="str">
        <f t="shared" si="210"/>
        <v>+00</v>
      </c>
      <c r="AY186" t="str">
        <f t="shared" si="211"/>
        <v>+00</v>
      </c>
      <c r="BA186" s="47" t="b">
        <f t="shared" si="245"/>
        <v>1</v>
      </c>
      <c r="BB186" s="42" t="b">
        <f t="shared" si="246"/>
        <v>1</v>
      </c>
      <c r="BC186" s="42" t="b">
        <f t="shared" si="247"/>
        <v>0</v>
      </c>
      <c r="BD186" s="42" t="b">
        <f t="shared" si="248"/>
        <v>0</v>
      </c>
      <c r="BE186" s="70">
        <f t="shared" si="249"/>
        <v>0</v>
      </c>
      <c r="BF186" s="70">
        <f t="shared" si="250"/>
        <v>0</v>
      </c>
      <c r="BG186" s="34"/>
      <c r="BI186" s="47" t="b">
        <f t="shared" si="251"/>
        <v>1</v>
      </c>
      <c r="BJ186" s="47" t="b">
        <f t="shared" si="252"/>
        <v>1</v>
      </c>
      <c r="BK186" s="42" t="b">
        <f t="shared" si="253"/>
        <v>0</v>
      </c>
      <c r="BL186" s="42" t="b">
        <f t="shared" si="254"/>
        <v>0</v>
      </c>
      <c r="BM186" s="42">
        <f t="shared" si="255"/>
        <v>0</v>
      </c>
      <c r="BN186" s="42">
        <f t="shared" si="256"/>
        <v>0</v>
      </c>
      <c r="BP186" t="e">
        <f t="shared" si="257"/>
        <v>#N/A</v>
      </c>
      <c r="BQ186" t="e">
        <f t="shared" si="258"/>
        <v>#N/A</v>
      </c>
      <c r="BR186" t="e">
        <f t="shared" si="259"/>
        <v>#N/A</v>
      </c>
      <c r="BT186" s="60">
        <f t="shared" si="268"/>
        <v>0</v>
      </c>
      <c r="BU186" s="60">
        <f t="shared" si="269"/>
        <v>0</v>
      </c>
      <c r="BV186" s="60">
        <f t="shared" si="270"/>
        <v>0</v>
      </c>
      <c r="BW186" s="60">
        <f t="shared" si="271"/>
        <v>0</v>
      </c>
      <c r="BX186" s="60">
        <f t="shared" si="260"/>
        <v>0</v>
      </c>
      <c r="BY186" s="60">
        <f t="shared" si="261"/>
        <v>0</v>
      </c>
      <c r="BZ186" s="60">
        <f t="shared" si="262"/>
        <v>0</v>
      </c>
      <c r="CA186" s="60">
        <f t="shared" si="263"/>
        <v>0</v>
      </c>
      <c r="CB186" s="60" t="e">
        <f t="shared" si="272"/>
        <v>#N/A</v>
      </c>
      <c r="CC186" s="60">
        <f t="shared" si="273"/>
        <v>100000</v>
      </c>
      <c r="CD186" s="60" t="e">
        <f t="shared" si="274"/>
        <v>#N/A</v>
      </c>
      <c r="CE186" s="60">
        <f t="shared" si="275"/>
        <v>100000</v>
      </c>
      <c r="CF186" s="83" t="e">
        <f t="shared" si="264"/>
        <v>#N/A</v>
      </c>
      <c r="CG186" s="83">
        <f t="shared" si="265"/>
        <v>0</v>
      </c>
      <c r="CH186" s="83" t="e">
        <f t="shared" si="266"/>
        <v>#N/A</v>
      </c>
      <c r="CI186" s="83">
        <f t="shared" si="267"/>
        <v>0</v>
      </c>
      <c r="CJ186" s="86" t="e">
        <f t="shared" si="276"/>
        <v>#N/A</v>
      </c>
      <c r="CK186" s="82">
        <f t="shared" si="277"/>
        <v>5.3070370403969858E-3</v>
      </c>
      <c r="CL186" s="82" t="e">
        <f t="shared" si="278"/>
        <v>#N/A</v>
      </c>
      <c r="CM186" s="82">
        <f t="shared" si="279"/>
        <v>5.3070370403969858E-3</v>
      </c>
      <c r="CO186" s="149" t="str">
        <f>IF($I186&lt;&gt;"",IF(O186="User Specified",U186,INDEX('Refrigerant GWPs'!$G$2:$G$156,MATCH(O186,'Refrigerant GWPs'!$A$2:$A$156,0))),"")</f>
        <v/>
      </c>
      <c r="CP186" s="138" t="str">
        <f>IF($I186&lt;&gt;"",INDEX('Device Refrigerant Leakage'!$E$2:$E$42,MATCH($M186,'Device Refrigerant Leakage'!$B$2:$B$42,0)),"")</f>
        <v/>
      </c>
      <c r="CQ186" s="138" t="str">
        <f>IF($I186&lt;&gt;"",INDEX('Device Refrigerant Leakage'!$F$2:$F$42,MATCH($M186,'Device Refrigerant Leakage'!$B$2:$B$42,0)),"")</f>
        <v/>
      </c>
      <c r="CR186" s="145" t="str">
        <f>IF($I186&lt;&gt;"",INDEX('Device Refrigerant Leakage'!$G$2:$G$42,MATCH($M186,'Device Refrigerant Leakage'!$B$2:$B$42,0)),"")</f>
        <v/>
      </c>
      <c r="CS186" s="145" t="str">
        <f>IF($I186&lt;&gt;"",INDEX('Device Refrigerant Leakage'!$D$2:$D$42,MATCH($M186,'Device Refrigerant Leakage'!$B$2:$B$42,0))*CP186/2204.62*CO186,"")</f>
        <v/>
      </c>
      <c r="CT186" s="145" t="str">
        <f>IF($I186&lt;&gt;"",J186*(INDEX('Device Refrigerant Leakage'!$D$2:$D$42,MATCH($M186,'Device Refrigerant Leakage'!$B$2:$B$42,0))-(INDEX('Device Refrigerant Leakage'!$D$2:$D$42,MATCH($M186,'Device Refrigerant Leakage'!$B$2:$B$42,0)))*CR186*CP186)*CQ186/2204.62*CO186,"")</f>
        <v/>
      </c>
      <c r="CU186" s="135" t="str">
        <f>IF($I186&lt;&gt;"",J186*IF(W186&lt;&gt;"AR",(CS186*K186)+CT186,(CS186*AB186)+CT186*(AB186/INDEX('Device Refrigerant Leakage'!$C$2:$C$42,MATCH($M186,'Device Refrigerant Leakage'!$B$2:$B$42,0)))),"")</f>
        <v/>
      </c>
      <c r="CW186" s="135" t="str">
        <f>IF($I186&lt;&gt;"",IF(S186="User Specified",V186,INDEX('Refrigerant GWPs'!$G$2:$G$156,MATCH(S186,'Refrigerant GWPs'!$A$2:$A$157,0))),"")</f>
        <v/>
      </c>
      <c r="CX186" s="138" t="str">
        <f>IF($I186&lt;&gt;"",INDEX('Device Refrigerant Leakage'!$E$2:$E$42,MATCH($Q186,'Device Refrigerant Leakage'!$B$2:$B$42,0)),"")</f>
        <v/>
      </c>
      <c r="CY186" s="138" t="str">
        <f>IF($I186&lt;&gt;"",INDEX('Device Refrigerant Leakage'!$F$2:$F$42,MATCH($Q186,'Device Refrigerant Leakage'!$B$2:$B$42,0)),"")</f>
        <v/>
      </c>
      <c r="CZ186" s="145" t="str">
        <f>IF($I186&lt;&gt;"",INDEX('Device Refrigerant Leakage'!$G$2:$G$42,MATCH($Q186,'Device Refrigerant Leakage'!$B$2:$B$42,0)),"")</f>
        <v/>
      </c>
      <c r="DA186" s="145" t="str">
        <f>IF($I186&lt;&gt;"",J186*INDEX('Device Refrigerant Leakage'!$D$2:$D$42,MATCH($Q186,'Device Refrigerant Leakage'!$B$2:$B$42,0))*CX186/2204.62*CW186,"")</f>
        <v/>
      </c>
      <c r="DB186" s="145" t="str">
        <f>IF($I186&lt;&gt;"",J186*(INDEX('Device Refrigerant Leakage'!$D$2:$D$42,MATCH($Q186,'Device Refrigerant Leakage'!$B$2:$B$42,0))-(INDEX('Device Refrigerant Leakage'!$D$2:$D$42,MATCH($Q186,'Device Refrigerant Leakage'!$B$2:$B$42,0)))*CZ186*CX186)*CY186/2204.62*CW186,"")</f>
        <v/>
      </c>
      <c r="DC186" s="135" t="str">
        <f t="shared" si="244"/>
        <v/>
      </c>
      <c r="DE186" s="146" t="str">
        <f>IF(W186&lt;&gt;"AR","",IF(Y186="User Specified", AA186, INDEX('Refrigerant GWPs'!$G$2:$G$154,MATCH(Y186,'Refrigerant GWPs'!$A$2:$A$154,0))))</f>
        <v/>
      </c>
      <c r="DF186" s="146" t="str">
        <f>IF(W186&lt;&gt;"AR","",INDEX('Device Refrigerant Leakage'!$E$2:$E$42,MATCH(X186,'Device Refrigerant Leakage'!$B$2:$B$42,0)))</f>
        <v/>
      </c>
      <c r="DG186" s="146" t="str">
        <f>IF(W186&lt;&gt;"AR","",INDEX('Device Refrigerant Leakage'!$F$2:$F$42,MATCH(X186,'Device Refrigerant Leakage'!$B$2:$B$42,0)))</f>
        <v/>
      </c>
      <c r="DH186" s="146" t="str">
        <f>IF(W186&lt;&gt;"AR","",INDEX('Device Refrigerant Leakage'!$G$2:$G$42,MATCH(X186,'Device Refrigerant Leakage'!$B$2:$B$42,0)))</f>
        <v/>
      </c>
      <c r="DI186" s="146" t="str">
        <f>IF(W186&lt;&gt;"AR","",J186*INDEX('Device Refrigerant Leakage'!$D$2:$D$42,MATCH(X186,'Device Refrigerant Leakage'!$B$2:$B$42,0))*DF186/2204.62*DE186)</f>
        <v/>
      </c>
      <c r="DJ186" s="146" t="str">
        <f>IF(W186&lt;&gt;"AR","",J186*(INDEX('Device Refrigerant Leakage'!$D$2:$D$42,MATCH(X186,'Device Refrigerant Leakage'!$B$2:$B$42,0))-(INDEX('Device Refrigerant Leakage'!$D$2:$D$42,MATCH(X186,'Device Refrigerant Leakage'!$B$2:$B$42,0)))*DH186*DF186)*DG186/2204.62*DE186)</f>
        <v/>
      </c>
      <c r="DK186" s="146" t="str">
        <f>IF(W186&lt;&gt;"AR","",DI186*(K186-AB186)+'Fuel Sub Calcs-Deemed'!DJ186*((K186-AB186)/INDEX('Device Refrigerant Leakage'!$C$2:$C$42,MATCH('Fuel Sub Calcs-Deemed'!X186,'Device Refrigerant Leakage'!$B$2:$B$42,0))))</f>
        <v/>
      </c>
      <c r="DM186" s="56">
        <v>172</v>
      </c>
      <c r="DN186" s="67" t="e">
        <f t="shared" si="224"/>
        <v>#N/A</v>
      </c>
      <c r="DO186" s="45" t="e">
        <f t="shared" si="225"/>
        <v>#N/A</v>
      </c>
      <c r="DP186" s="67" t="e">
        <f t="shared" si="226"/>
        <v>#N/A</v>
      </c>
      <c r="DQ186" s="45" t="e">
        <f t="shared" si="227"/>
        <v>#N/A</v>
      </c>
      <c r="DR186" s="69" t="e">
        <f t="shared" si="228"/>
        <v>#N/A</v>
      </c>
      <c r="DS186" s="34"/>
      <c r="DT186" s="67" t="e">
        <f>((BX186*CJ186)+IF($W186=MAT_AR,(BZ186*CL186),0))*(1+Reference!$E$50+Reference!$E$51)</f>
        <v>#N/A</v>
      </c>
      <c r="DU186" s="67">
        <f>((BY186*CK186)+IF($W186=MAT_AR,(CA186*CM186),0))*(1+Reference!$G$50+Reference!$G$51)</f>
        <v>0</v>
      </c>
      <c r="DV186" s="67" t="e">
        <f t="shared" si="229"/>
        <v>#VALUE!</v>
      </c>
      <c r="DX186" s="56">
        <v>172</v>
      </c>
      <c r="DY186" s="67">
        <f t="shared" si="230"/>
        <v>0</v>
      </c>
      <c r="DZ186" s="45" t="e">
        <f>VLOOKUP($R186,Dropdown!$C$3:$D$4,2,FALSE)</f>
        <v>#N/A</v>
      </c>
      <c r="EA186" s="68">
        <f t="shared" si="231"/>
        <v>0</v>
      </c>
      <c r="EB186" s="68" t="str">
        <f t="shared" si="232"/>
        <v>N/A</v>
      </c>
      <c r="EC186" s="68">
        <f t="shared" si="233"/>
        <v>0</v>
      </c>
      <c r="ED186" s="68" t="str">
        <f t="shared" si="280"/>
        <v>N/A</v>
      </c>
      <c r="EF186" s="56">
        <v>172</v>
      </c>
      <c r="EG186" s="46">
        <f t="shared" si="235"/>
        <v>0</v>
      </c>
      <c r="EH186" s="68" t="e">
        <f t="shared" si="236"/>
        <v>#N/A</v>
      </c>
      <c r="EI186" s="68" t="e">
        <f t="shared" si="237"/>
        <v>#N/A</v>
      </c>
      <c r="EJ186" s="68" t="e">
        <f t="shared" si="238"/>
        <v>#N/A</v>
      </c>
      <c r="EK186" s="68" t="e">
        <f t="shared" si="239"/>
        <v>#N/A</v>
      </c>
      <c r="EL186" s="46">
        <f t="shared" si="240"/>
        <v>0</v>
      </c>
      <c r="EM186" s="46">
        <f t="shared" si="241"/>
        <v>0</v>
      </c>
    </row>
    <row r="187" spans="1:143">
      <c r="A187" s="89"/>
      <c r="B187" s="89"/>
      <c r="C187" s="89"/>
      <c r="D187" s="89"/>
      <c r="E187" s="89"/>
      <c r="F187" s="89"/>
      <c r="G187" s="34"/>
      <c r="H187" s="56">
        <f t="shared" si="242"/>
        <v>173</v>
      </c>
      <c r="I187" s="165"/>
      <c r="J187" s="163"/>
      <c r="K187" s="163"/>
      <c r="L187" s="164"/>
      <c r="M187" s="155"/>
      <c r="N187" s="155"/>
      <c r="O187" s="144"/>
      <c r="P187" s="159" t="str">
        <f>IFERROR(IF(O187&lt;&gt;"User Specified",IF(O187&lt;&gt;"", INDEX('Refrigerant GWPs'!$G$2:$G$154,MATCH(O187,'Refrigerant GWPs'!$A$2:$A$154,0)),""),U187),0)</f>
        <v/>
      </c>
      <c r="Q187" s="155"/>
      <c r="R187" s="155"/>
      <c r="S187" s="144"/>
      <c r="T187" s="159" t="str">
        <f>IF(S187&lt;&gt;"User Specified",IF(AND(S187&lt;&gt;"User Specified",S187&lt;&gt;""), INDEX('Refrigerant GWPs'!$G$2:$G$154,MATCH(S187,'Refrigerant GWPs'!$A$2:$A$154,0)),""),V187)</f>
        <v/>
      </c>
      <c r="U187" s="144"/>
      <c r="V187" s="144"/>
      <c r="W187" s="155"/>
      <c r="X187" s="155"/>
      <c r="Y187" s="144"/>
      <c r="Z187" s="159" t="str">
        <f>IF(AND(Y187&lt;&gt;"User Specified",Y187&lt;&gt;""), INDEX('Refrigerant GWPs'!$G$2:$G$154,MATCH(Y187,'Refrigerant GWPs'!$A$2:$A$154,0)),"")</f>
        <v/>
      </c>
      <c r="AA187" s="155"/>
      <c r="AB187" s="156"/>
      <c r="AC187" s="66"/>
      <c r="AD187" s="66"/>
      <c r="AE187" s="66"/>
      <c r="AF187" s="66"/>
      <c r="AG187" s="66"/>
      <c r="AH187" s="66"/>
      <c r="AI187" s="34"/>
      <c r="AJ187" s="88">
        <f t="shared" si="200"/>
        <v>0</v>
      </c>
      <c r="AK187" s="88">
        <f t="shared" si="201"/>
        <v>0</v>
      </c>
      <c r="AL187" s="88">
        <v>0</v>
      </c>
      <c r="AM187" s="88">
        <v>0</v>
      </c>
      <c r="AN187" s="81" t="str">
        <f t="shared" si="243"/>
        <v/>
      </c>
      <c r="AO187" s="88">
        <f t="shared" si="202"/>
        <v>0</v>
      </c>
      <c r="AP187" s="88">
        <f t="shared" si="203"/>
        <v>0</v>
      </c>
      <c r="AQ187" s="81" t="str">
        <f t="shared" si="204"/>
        <v/>
      </c>
      <c r="AS187" s="41" t="b">
        <f t="shared" si="205"/>
        <v>1</v>
      </c>
      <c r="AT187" s="38">
        <f t="shared" si="206"/>
        <v>0</v>
      </c>
      <c r="AU187" s="60">
        <f t="shared" si="207"/>
        <v>0</v>
      </c>
      <c r="AV187" s="41">
        <f t="shared" si="208"/>
        <v>0</v>
      </c>
      <c r="AW187" s="41" t="b">
        <f t="shared" si="209"/>
        <v>0</v>
      </c>
      <c r="AX187" t="str">
        <f t="shared" si="210"/>
        <v>+00</v>
      </c>
      <c r="AY187" t="str">
        <f t="shared" si="211"/>
        <v>+00</v>
      </c>
      <c r="BA187" s="47" t="b">
        <f t="shared" si="245"/>
        <v>1</v>
      </c>
      <c r="BB187" s="42" t="b">
        <f t="shared" si="246"/>
        <v>1</v>
      </c>
      <c r="BC187" s="42" t="b">
        <f t="shared" si="247"/>
        <v>0</v>
      </c>
      <c r="BD187" s="42" t="b">
        <f t="shared" si="248"/>
        <v>0</v>
      </c>
      <c r="BE187" s="70">
        <f t="shared" si="249"/>
        <v>0</v>
      </c>
      <c r="BF187" s="70">
        <f t="shared" si="250"/>
        <v>0</v>
      </c>
      <c r="BG187" s="34"/>
      <c r="BI187" s="47" t="b">
        <f t="shared" si="251"/>
        <v>1</v>
      </c>
      <c r="BJ187" s="47" t="b">
        <f t="shared" si="252"/>
        <v>1</v>
      </c>
      <c r="BK187" s="42" t="b">
        <f t="shared" si="253"/>
        <v>0</v>
      </c>
      <c r="BL187" s="42" t="b">
        <f t="shared" si="254"/>
        <v>0</v>
      </c>
      <c r="BM187" s="42">
        <f t="shared" si="255"/>
        <v>0</v>
      </c>
      <c r="BN187" s="42">
        <f t="shared" si="256"/>
        <v>0</v>
      </c>
      <c r="BP187" t="e">
        <f t="shared" si="257"/>
        <v>#N/A</v>
      </c>
      <c r="BQ187" t="e">
        <f t="shared" si="258"/>
        <v>#N/A</v>
      </c>
      <c r="BR187" t="e">
        <f t="shared" si="259"/>
        <v>#N/A</v>
      </c>
      <c r="BT187" s="60">
        <f t="shared" si="268"/>
        <v>0</v>
      </c>
      <c r="BU187" s="60">
        <f t="shared" si="269"/>
        <v>0</v>
      </c>
      <c r="BV187" s="60">
        <f t="shared" si="270"/>
        <v>0</v>
      </c>
      <c r="BW187" s="60">
        <f t="shared" si="271"/>
        <v>0</v>
      </c>
      <c r="BX187" s="60">
        <f t="shared" si="260"/>
        <v>0</v>
      </c>
      <c r="BY187" s="60">
        <f t="shared" si="261"/>
        <v>0</v>
      </c>
      <c r="BZ187" s="60">
        <f t="shared" si="262"/>
        <v>0</v>
      </c>
      <c r="CA187" s="60">
        <f t="shared" si="263"/>
        <v>0</v>
      </c>
      <c r="CB187" s="60" t="e">
        <f t="shared" si="272"/>
        <v>#N/A</v>
      </c>
      <c r="CC187" s="60">
        <f t="shared" si="273"/>
        <v>100000</v>
      </c>
      <c r="CD187" s="60" t="e">
        <f t="shared" si="274"/>
        <v>#N/A</v>
      </c>
      <c r="CE187" s="60">
        <f t="shared" si="275"/>
        <v>100000</v>
      </c>
      <c r="CF187" s="83" t="e">
        <f t="shared" si="264"/>
        <v>#N/A</v>
      </c>
      <c r="CG187" s="83">
        <f t="shared" si="265"/>
        <v>0</v>
      </c>
      <c r="CH187" s="83" t="e">
        <f t="shared" si="266"/>
        <v>#N/A</v>
      </c>
      <c r="CI187" s="83">
        <f t="shared" si="267"/>
        <v>0</v>
      </c>
      <c r="CJ187" s="86" t="e">
        <f t="shared" si="276"/>
        <v>#N/A</v>
      </c>
      <c r="CK187" s="82">
        <f t="shared" si="277"/>
        <v>5.3070370403969858E-3</v>
      </c>
      <c r="CL187" s="82" t="e">
        <f t="shared" si="278"/>
        <v>#N/A</v>
      </c>
      <c r="CM187" s="82">
        <f t="shared" si="279"/>
        <v>5.3070370403969858E-3</v>
      </c>
      <c r="CO187" s="149" t="str">
        <f>IF($I187&lt;&gt;"",IF(O187="User Specified",U187,INDEX('Refrigerant GWPs'!$G$2:$G$156,MATCH(O187,'Refrigerant GWPs'!$A$2:$A$156,0))),"")</f>
        <v/>
      </c>
      <c r="CP187" s="138" t="str">
        <f>IF($I187&lt;&gt;"",INDEX('Device Refrigerant Leakage'!$E$2:$E$42,MATCH($M187,'Device Refrigerant Leakage'!$B$2:$B$42,0)),"")</f>
        <v/>
      </c>
      <c r="CQ187" s="138" t="str">
        <f>IF($I187&lt;&gt;"",INDEX('Device Refrigerant Leakage'!$F$2:$F$42,MATCH($M187,'Device Refrigerant Leakage'!$B$2:$B$42,0)),"")</f>
        <v/>
      </c>
      <c r="CR187" s="145" t="str">
        <f>IF($I187&lt;&gt;"",INDEX('Device Refrigerant Leakage'!$G$2:$G$42,MATCH($M187,'Device Refrigerant Leakage'!$B$2:$B$42,0)),"")</f>
        <v/>
      </c>
      <c r="CS187" s="145" t="str">
        <f>IF($I187&lt;&gt;"",INDEX('Device Refrigerant Leakage'!$D$2:$D$42,MATCH($M187,'Device Refrigerant Leakage'!$B$2:$B$42,0))*CP187/2204.62*CO187,"")</f>
        <v/>
      </c>
      <c r="CT187" s="145" t="str">
        <f>IF($I187&lt;&gt;"",J187*(INDEX('Device Refrigerant Leakage'!$D$2:$D$42,MATCH($M187,'Device Refrigerant Leakage'!$B$2:$B$42,0))-(INDEX('Device Refrigerant Leakage'!$D$2:$D$42,MATCH($M187,'Device Refrigerant Leakage'!$B$2:$B$42,0)))*CR187*CP187)*CQ187/2204.62*CO187,"")</f>
        <v/>
      </c>
      <c r="CU187" s="135" t="str">
        <f>IF($I187&lt;&gt;"",J187*IF(W187&lt;&gt;"AR",(CS187*K187)+CT187,(CS187*AB187)+CT187*(AB187/INDEX('Device Refrigerant Leakage'!$C$2:$C$42,MATCH($M187,'Device Refrigerant Leakage'!$B$2:$B$42,0)))),"")</f>
        <v/>
      </c>
      <c r="CW187" s="135" t="str">
        <f>IF($I187&lt;&gt;"",IF(S187="User Specified",V187,INDEX('Refrigerant GWPs'!$G$2:$G$156,MATCH(S187,'Refrigerant GWPs'!$A$2:$A$157,0))),"")</f>
        <v/>
      </c>
      <c r="CX187" s="138" t="str">
        <f>IF($I187&lt;&gt;"",INDEX('Device Refrigerant Leakage'!$E$2:$E$42,MATCH($Q187,'Device Refrigerant Leakage'!$B$2:$B$42,0)),"")</f>
        <v/>
      </c>
      <c r="CY187" s="138" t="str">
        <f>IF($I187&lt;&gt;"",INDEX('Device Refrigerant Leakage'!$F$2:$F$42,MATCH($Q187,'Device Refrigerant Leakage'!$B$2:$B$42,0)),"")</f>
        <v/>
      </c>
      <c r="CZ187" s="145" t="str">
        <f>IF($I187&lt;&gt;"",INDEX('Device Refrigerant Leakage'!$G$2:$G$42,MATCH($Q187,'Device Refrigerant Leakage'!$B$2:$B$42,0)),"")</f>
        <v/>
      </c>
      <c r="DA187" s="145" t="str">
        <f>IF($I187&lt;&gt;"",J187*INDEX('Device Refrigerant Leakage'!$D$2:$D$42,MATCH($Q187,'Device Refrigerant Leakage'!$B$2:$B$42,0))*CX187/2204.62*CW187,"")</f>
        <v/>
      </c>
      <c r="DB187" s="145" t="str">
        <f>IF($I187&lt;&gt;"",J187*(INDEX('Device Refrigerant Leakage'!$D$2:$D$42,MATCH($Q187,'Device Refrigerant Leakage'!$B$2:$B$42,0))-(INDEX('Device Refrigerant Leakage'!$D$2:$D$42,MATCH($Q187,'Device Refrigerant Leakage'!$B$2:$B$42,0)))*CZ187*CX187)*CY187/2204.62*CW187,"")</f>
        <v/>
      </c>
      <c r="DC187" s="135" t="str">
        <f t="shared" si="244"/>
        <v/>
      </c>
      <c r="DE187" s="146" t="str">
        <f>IF(W187&lt;&gt;"AR","",IF(Y187="User Specified", AA187, INDEX('Refrigerant GWPs'!$G$2:$G$154,MATCH(Y187,'Refrigerant GWPs'!$A$2:$A$154,0))))</f>
        <v/>
      </c>
      <c r="DF187" s="146" t="str">
        <f>IF(W187&lt;&gt;"AR","",INDEX('Device Refrigerant Leakage'!$E$2:$E$42,MATCH(X187,'Device Refrigerant Leakage'!$B$2:$B$42,0)))</f>
        <v/>
      </c>
      <c r="DG187" s="146" t="str">
        <f>IF(W187&lt;&gt;"AR","",INDEX('Device Refrigerant Leakage'!$F$2:$F$42,MATCH(X187,'Device Refrigerant Leakage'!$B$2:$B$42,0)))</f>
        <v/>
      </c>
      <c r="DH187" s="146" t="str">
        <f>IF(W187&lt;&gt;"AR","",INDEX('Device Refrigerant Leakage'!$G$2:$G$42,MATCH(X187,'Device Refrigerant Leakage'!$B$2:$B$42,0)))</f>
        <v/>
      </c>
      <c r="DI187" s="146" t="str">
        <f>IF(W187&lt;&gt;"AR","",J187*INDEX('Device Refrigerant Leakage'!$D$2:$D$42,MATCH(X187,'Device Refrigerant Leakage'!$B$2:$B$42,0))*DF187/2204.62*DE187)</f>
        <v/>
      </c>
      <c r="DJ187" s="146" t="str">
        <f>IF(W187&lt;&gt;"AR","",J187*(INDEX('Device Refrigerant Leakage'!$D$2:$D$42,MATCH(X187,'Device Refrigerant Leakage'!$B$2:$B$42,0))-(INDEX('Device Refrigerant Leakage'!$D$2:$D$42,MATCH(X187,'Device Refrigerant Leakage'!$B$2:$B$42,0)))*DH187*DF187)*DG187/2204.62*DE187)</f>
        <v/>
      </c>
      <c r="DK187" s="146" t="str">
        <f>IF(W187&lt;&gt;"AR","",DI187*(K187-AB187)+'Fuel Sub Calcs-Deemed'!DJ187*((K187-AB187)/INDEX('Device Refrigerant Leakage'!$C$2:$C$42,MATCH('Fuel Sub Calcs-Deemed'!X187,'Device Refrigerant Leakage'!$B$2:$B$42,0))))</f>
        <v/>
      </c>
      <c r="DM187" s="56">
        <v>173</v>
      </c>
      <c r="DN187" s="67" t="e">
        <f t="shared" si="224"/>
        <v>#N/A</v>
      </c>
      <c r="DO187" s="45" t="e">
        <f t="shared" si="225"/>
        <v>#N/A</v>
      </c>
      <c r="DP187" s="67" t="e">
        <f t="shared" si="226"/>
        <v>#N/A</v>
      </c>
      <c r="DQ187" s="45" t="e">
        <f t="shared" si="227"/>
        <v>#N/A</v>
      </c>
      <c r="DR187" s="69" t="e">
        <f t="shared" si="228"/>
        <v>#N/A</v>
      </c>
      <c r="DS187" s="34"/>
      <c r="DT187" s="67" t="e">
        <f>((BX187*CJ187)+IF($W187=MAT_AR,(BZ187*CL187),0))*(1+Reference!$E$50+Reference!$E$51)</f>
        <v>#N/A</v>
      </c>
      <c r="DU187" s="67">
        <f>((BY187*CK187)+IF($W187=MAT_AR,(CA187*CM187),0))*(1+Reference!$G$50+Reference!$G$51)</f>
        <v>0</v>
      </c>
      <c r="DV187" s="67" t="e">
        <f t="shared" si="229"/>
        <v>#VALUE!</v>
      </c>
      <c r="DX187" s="56">
        <v>173</v>
      </c>
      <c r="DY187" s="67">
        <f t="shared" si="230"/>
        <v>0</v>
      </c>
      <c r="DZ187" s="45" t="e">
        <f>VLOOKUP($R187,Dropdown!$C$3:$D$4,2,FALSE)</f>
        <v>#N/A</v>
      </c>
      <c r="EA187" s="68">
        <f t="shared" si="231"/>
        <v>0</v>
      </c>
      <c r="EB187" s="68" t="str">
        <f t="shared" si="232"/>
        <v>N/A</v>
      </c>
      <c r="EC187" s="68">
        <f t="shared" si="233"/>
        <v>0</v>
      </c>
      <c r="ED187" s="68" t="str">
        <f t="shared" si="280"/>
        <v>N/A</v>
      </c>
      <c r="EF187" s="56">
        <v>173</v>
      </c>
      <c r="EG187" s="46">
        <f t="shared" si="235"/>
        <v>0</v>
      </c>
      <c r="EH187" s="68" t="e">
        <f t="shared" si="236"/>
        <v>#N/A</v>
      </c>
      <c r="EI187" s="68" t="e">
        <f t="shared" si="237"/>
        <v>#N/A</v>
      </c>
      <c r="EJ187" s="68" t="e">
        <f t="shared" si="238"/>
        <v>#N/A</v>
      </c>
      <c r="EK187" s="68" t="e">
        <f t="shared" si="239"/>
        <v>#N/A</v>
      </c>
      <c r="EL187" s="46">
        <f t="shared" si="240"/>
        <v>0</v>
      </c>
      <c r="EM187" s="46">
        <f t="shared" si="241"/>
        <v>0</v>
      </c>
    </row>
    <row r="188" spans="1:143">
      <c r="A188" s="89"/>
      <c r="B188" s="89"/>
      <c r="C188" s="89"/>
      <c r="D188" s="89"/>
      <c r="E188" s="89"/>
      <c r="F188" s="89"/>
      <c r="G188" s="34"/>
      <c r="H188" s="56">
        <f t="shared" si="242"/>
        <v>174</v>
      </c>
      <c r="I188" s="165"/>
      <c r="J188" s="163"/>
      <c r="K188" s="163"/>
      <c r="L188" s="164"/>
      <c r="M188" s="155"/>
      <c r="N188" s="155"/>
      <c r="O188" s="144"/>
      <c r="P188" s="159" t="str">
        <f>IFERROR(IF(O188&lt;&gt;"User Specified",IF(O188&lt;&gt;"", INDEX('Refrigerant GWPs'!$G$2:$G$154,MATCH(O188,'Refrigerant GWPs'!$A$2:$A$154,0)),""),U188),0)</f>
        <v/>
      </c>
      <c r="Q188" s="155"/>
      <c r="R188" s="155"/>
      <c r="S188" s="144"/>
      <c r="T188" s="159" t="str">
        <f>IF(S188&lt;&gt;"User Specified",IF(AND(S188&lt;&gt;"User Specified",S188&lt;&gt;""), INDEX('Refrigerant GWPs'!$G$2:$G$154,MATCH(S188,'Refrigerant GWPs'!$A$2:$A$154,0)),""),V188)</f>
        <v/>
      </c>
      <c r="U188" s="144"/>
      <c r="V188" s="144"/>
      <c r="W188" s="155"/>
      <c r="X188" s="155"/>
      <c r="Y188" s="144"/>
      <c r="Z188" s="159" t="str">
        <f>IF(AND(Y188&lt;&gt;"User Specified",Y188&lt;&gt;""), INDEX('Refrigerant GWPs'!$G$2:$G$154,MATCH(Y188,'Refrigerant GWPs'!$A$2:$A$154,0)),"")</f>
        <v/>
      </c>
      <c r="AA188" s="155"/>
      <c r="AB188" s="156"/>
      <c r="AC188" s="66"/>
      <c r="AD188" s="66"/>
      <c r="AE188" s="66"/>
      <c r="AF188" s="66"/>
      <c r="AG188" s="66"/>
      <c r="AH188" s="66"/>
      <c r="AI188" s="34"/>
      <c r="AJ188" s="88">
        <f t="shared" si="200"/>
        <v>0</v>
      </c>
      <c r="AK188" s="88">
        <f t="shared" si="201"/>
        <v>0</v>
      </c>
      <c r="AL188" s="88">
        <v>0</v>
      </c>
      <c r="AM188" s="88">
        <v>0</v>
      </c>
      <c r="AN188" s="81" t="str">
        <f t="shared" si="243"/>
        <v/>
      </c>
      <c r="AO188" s="88">
        <f t="shared" si="202"/>
        <v>0</v>
      </c>
      <c r="AP188" s="88">
        <f t="shared" si="203"/>
        <v>0</v>
      </c>
      <c r="AQ188" s="81" t="str">
        <f t="shared" si="204"/>
        <v/>
      </c>
      <c r="AS188" s="41" t="b">
        <f t="shared" si="205"/>
        <v>1</v>
      </c>
      <c r="AT188" s="38">
        <f t="shared" si="206"/>
        <v>0</v>
      </c>
      <c r="AU188" s="60">
        <f t="shared" si="207"/>
        <v>0</v>
      </c>
      <c r="AV188" s="41">
        <f t="shared" si="208"/>
        <v>0</v>
      </c>
      <c r="AW188" s="41" t="b">
        <f t="shared" si="209"/>
        <v>0</v>
      </c>
      <c r="AX188" t="str">
        <f t="shared" si="210"/>
        <v>+00</v>
      </c>
      <c r="AY188" t="str">
        <f t="shared" si="211"/>
        <v>+00</v>
      </c>
      <c r="BA188" s="47" t="b">
        <f t="shared" si="245"/>
        <v>1</v>
      </c>
      <c r="BB188" s="42" t="b">
        <f t="shared" si="246"/>
        <v>1</v>
      </c>
      <c r="BC188" s="42" t="b">
        <f t="shared" si="247"/>
        <v>0</v>
      </c>
      <c r="BD188" s="42" t="b">
        <f t="shared" si="248"/>
        <v>0</v>
      </c>
      <c r="BE188" s="70">
        <f t="shared" si="249"/>
        <v>0</v>
      </c>
      <c r="BF188" s="70">
        <f t="shared" si="250"/>
        <v>0</v>
      </c>
      <c r="BG188" s="34"/>
      <c r="BI188" s="47" t="b">
        <f t="shared" si="251"/>
        <v>1</v>
      </c>
      <c r="BJ188" s="47" t="b">
        <f t="shared" si="252"/>
        <v>1</v>
      </c>
      <c r="BK188" s="42" t="b">
        <f t="shared" si="253"/>
        <v>0</v>
      </c>
      <c r="BL188" s="42" t="b">
        <f t="shared" si="254"/>
        <v>0</v>
      </c>
      <c r="BM188" s="42">
        <f t="shared" si="255"/>
        <v>0</v>
      </c>
      <c r="BN188" s="42">
        <f t="shared" si="256"/>
        <v>0</v>
      </c>
      <c r="BP188" t="e">
        <f t="shared" si="257"/>
        <v>#N/A</v>
      </c>
      <c r="BQ188" t="e">
        <f t="shared" si="258"/>
        <v>#N/A</v>
      </c>
      <c r="BR188" t="e">
        <f t="shared" si="259"/>
        <v>#N/A</v>
      </c>
      <c r="BT188" s="60">
        <f t="shared" si="268"/>
        <v>0</v>
      </c>
      <c r="BU188" s="60">
        <f t="shared" si="269"/>
        <v>0</v>
      </c>
      <c r="BV188" s="60">
        <f t="shared" si="270"/>
        <v>0</v>
      </c>
      <c r="BW188" s="60">
        <f t="shared" si="271"/>
        <v>0</v>
      </c>
      <c r="BX188" s="60">
        <f t="shared" si="260"/>
        <v>0</v>
      </c>
      <c r="BY188" s="60">
        <f t="shared" si="261"/>
        <v>0</v>
      </c>
      <c r="BZ188" s="60">
        <f t="shared" si="262"/>
        <v>0</v>
      </c>
      <c r="CA188" s="60">
        <f t="shared" si="263"/>
        <v>0</v>
      </c>
      <c r="CB188" s="60" t="e">
        <f t="shared" si="272"/>
        <v>#N/A</v>
      </c>
      <c r="CC188" s="60">
        <f t="shared" si="273"/>
        <v>100000</v>
      </c>
      <c r="CD188" s="60" t="e">
        <f t="shared" si="274"/>
        <v>#N/A</v>
      </c>
      <c r="CE188" s="60">
        <f t="shared" si="275"/>
        <v>100000</v>
      </c>
      <c r="CF188" s="83" t="e">
        <f t="shared" si="264"/>
        <v>#N/A</v>
      </c>
      <c r="CG188" s="83">
        <f t="shared" si="265"/>
        <v>0</v>
      </c>
      <c r="CH188" s="83" t="e">
        <f t="shared" si="266"/>
        <v>#N/A</v>
      </c>
      <c r="CI188" s="83">
        <f t="shared" si="267"/>
        <v>0</v>
      </c>
      <c r="CJ188" s="86" t="e">
        <f t="shared" si="276"/>
        <v>#N/A</v>
      </c>
      <c r="CK188" s="82">
        <f t="shared" si="277"/>
        <v>5.3070370403969858E-3</v>
      </c>
      <c r="CL188" s="82" t="e">
        <f t="shared" si="278"/>
        <v>#N/A</v>
      </c>
      <c r="CM188" s="82">
        <f t="shared" si="279"/>
        <v>5.3070370403969858E-3</v>
      </c>
      <c r="CO188" s="149" t="str">
        <f>IF($I188&lt;&gt;"",IF(O188="User Specified",U188,INDEX('Refrigerant GWPs'!$G$2:$G$156,MATCH(O188,'Refrigerant GWPs'!$A$2:$A$156,0))),"")</f>
        <v/>
      </c>
      <c r="CP188" s="138" t="str">
        <f>IF($I188&lt;&gt;"",INDEX('Device Refrigerant Leakage'!$E$2:$E$42,MATCH($M188,'Device Refrigerant Leakage'!$B$2:$B$42,0)),"")</f>
        <v/>
      </c>
      <c r="CQ188" s="138" t="str">
        <f>IF($I188&lt;&gt;"",INDEX('Device Refrigerant Leakage'!$F$2:$F$42,MATCH($M188,'Device Refrigerant Leakage'!$B$2:$B$42,0)),"")</f>
        <v/>
      </c>
      <c r="CR188" s="145" t="str">
        <f>IF($I188&lt;&gt;"",INDEX('Device Refrigerant Leakage'!$G$2:$G$42,MATCH($M188,'Device Refrigerant Leakage'!$B$2:$B$42,0)),"")</f>
        <v/>
      </c>
      <c r="CS188" s="145" t="str">
        <f>IF($I188&lt;&gt;"",INDEX('Device Refrigerant Leakage'!$D$2:$D$42,MATCH($M188,'Device Refrigerant Leakage'!$B$2:$B$42,0))*CP188/2204.62*CO188,"")</f>
        <v/>
      </c>
      <c r="CT188" s="145" t="str">
        <f>IF($I188&lt;&gt;"",J188*(INDEX('Device Refrigerant Leakage'!$D$2:$D$42,MATCH($M188,'Device Refrigerant Leakage'!$B$2:$B$42,0))-(INDEX('Device Refrigerant Leakage'!$D$2:$D$42,MATCH($M188,'Device Refrigerant Leakage'!$B$2:$B$42,0)))*CR188*CP188)*CQ188/2204.62*CO188,"")</f>
        <v/>
      </c>
      <c r="CU188" s="135" t="str">
        <f>IF($I188&lt;&gt;"",J188*IF(W188&lt;&gt;"AR",(CS188*K188)+CT188,(CS188*AB188)+CT188*(AB188/INDEX('Device Refrigerant Leakage'!$C$2:$C$42,MATCH($M188,'Device Refrigerant Leakage'!$B$2:$B$42,0)))),"")</f>
        <v/>
      </c>
      <c r="CW188" s="135" t="str">
        <f>IF($I188&lt;&gt;"",IF(S188="User Specified",V188,INDEX('Refrigerant GWPs'!$G$2:$G$156,MATCH(S188,'Refrigerant GWPs'!$A$2:$A$157,0))),"")</f>
        <v/>
      </c>
      <c r="CX188" s="138" t="str">
        <f>IF($I188&lt;&gt;"",INDEX('Device Refrigerant Leakage'!$E$2:$E$42,MATCH($Q188,'Device Refrigerant Leakage'!$B$2:$B$42,0)),"")</f>
        <v/>
      </c>
      <c r="CY188" s="138" t="str">
        <f>IF($I188&lt;&gt;"",INDEX('Device Refrigerant Leakage'!$F$2:$F$42,MATCH($Q188,'Device Refrigerant Leakage'!$B$2:$B$42,0)),"")</f>
        <v/>
      </c>
      <c r="CZ188" s="145" t="str">
        <f>IF($I188&lt;&gt;"",INDEX('Device Refrigerant Leakage'!$G$2:$G$42,MATCH($Q188,'Device Refrigerant Leakage'!$B$2:$B$42,0)),"")</f>
        <v/>
      </c>
      <c r="DA188" s="145" t="str">
        <f>IF($I188&lt;&gt;"",J188*INDEX('Device Refrigerant Leakage'!$D$2:$D$42,MATCH($Q188,'Device Refrigerant Leakage'!$B$2:$B$42,0))*CX188/2204.62*CW188,"")</f>
        <v/>
      </c>
      <c r="DB188" s="145" t="str">
        <f>IF($I188&lt;&gt;"",J188*(INDEX('Device Refrigerant Leakage'!$D$2:$D$42,MATCH($Q188,'Device Refrigerant Leakage'!$B$2:$B$42,0))-(INDEX('Device Refrigerant Leakage'!$D$2:$D$42,MATCH($Q188,'Device Refrigerant Leakage'!$B$2:$B$42,0)))*CZ188*CX188)*CY188/2204.62*CW188,"")</f>
        <v/>
      </c>
      <c r="DC188" s="135" t="str">
        <f t="shared" si="244"/>
        <v/>
      </c>
      <c r="DE188" s="146" t="str">
        <f>IF(W188&lt;&gt;"AR","",IF(Y188="User Specified", AA188, INDEX('Refrigerant GWPs'!$G$2:$G$154,MATCH(Y188,'Refrigerant GWPs'!$A$2:$A$154,0))))</f>
        <v/>
      </c>
      <c r="DF188" s="146" t="str">
        <f>IF(W188&lt;&gt;"AR","",INDEX('Device Refrigerant Leakage'!$E$2:$E$42,MATCH(X188,'Device Refrigerant Leakage'!$B$2:$B$42,0)))</f>
        <v/>
      </c>
      <c r="DG188" s="146" t="str">
        <f>IF(W188&lt;&gt;"AR","",INDEX('Device Refrigerant Leakage'!$F$2:$F$42,MATCH(X188,'Device Refrigerant Leakage'!$B$2:$B$42,0)))</f>
        <v/>
      </c>
      <c r="DH188" s="146" t="str">
        <f>IF(W188&lt;&gt;"AR","",INDEX('Device Refrigerant Leakage'!$G$2:$G$42,MATCH(X188,'Device Refrigerant Leakage'!$B$2:$B$42,0)))</f>
        <v/>
      </c>
      <c r="DI188" s="146" t="str">
        <f>IF(W188&lt;&gt;"AR","",J188*INDEX('Device Refrigerant Leakage'!$D$2:$D$42,MATCH(X188,'Device Refrigerant Leakage'!$B$2:$B$42,0))*DF188/2204.62*DE188)</f>
        <v/>
      </c>
      <c r="DJ188" s="146" t="str">
        <f>IF(W188&lt;&gt;"AR","",J188*(INDEX('Device Refrigerant Leakage'!$D$2:$D$42,MATCH(X188,'Device Refrigerant Leakage'!$B$2:$B$42,0))-(INDEX('Device Refrigerant Leakage'!$D$2:$D$42,MATCH(X188,'Device Refrigerant Leakage'!$B$2:$B$42,0)))*DH188*DF188)*DG188/2204.62*DE188)</f>
        <v/>
      </c>
      <c r="DK188" s="146" t="str">
        <f>IF(W188&lt;&gt;"AR","",DI188*(K188-AB188)+'Fuel Sub Calcs-Deemed'!DJ188*((K188-AB188)/INDEX('Device Refrigerant Leakage'!$C$2:$C$42,MATCH('Fuel Sub Calcs-Deemed'!X188,'Device Refrigerant Leakage'!$B$2:$B$42,0))))</f>
        <v/>
      </c>
      <c r="DM188" s="56">
        <v>174</v>
      </c>
      <c r="DN188" s="67" t="e">
        <f t="shared" si="224"/>
        <v>#N/A</v>
      </c>
      <c r="DO188" s="45" t="e">
        <f t="shared" si="225"/>
        <v>#N/A</v>
      </c>
      <c r="DP188" s="67" t="e">
        <f t="shared" si="226"/>
        <v>#N/A</v>
      </c>
      <c r="DQ188" s="45" t="e">
        <f t="shared" si="227"/>
        <v>#N/A</v>
      </c>
      <c r="DR188" s="69" t="e">
        <f t="shared" si="228"/>
        <v>#N/A</v>
      </c>
      <c r="DS188" s="34"/>
      <c r="DT188" s="67" t="e">
        <f>((BX188*CJ188)+IF($W188=MAT_AR,(BZ188*CL188),0))*(1+Reference!$E$50+Reference!$E$51)</f>
        <v>#N/A</v>
      </c>
      <c r="DU188" s="67">
        <f>((BY188*CK188)+IF($W188=MAT_AR,(CA188*CM188),0))*(1+Reference!$G$50+Reference!$G$51)</f>
        <v>0</v>
      </c>
      <c r="DV188" s="67" t="e">
        <f t="shared" si="229"/>
        <v>#VALUE!</v>
      </c>
      <c r="DX188" s="56">
        <v>174</v>
      </c>
      <c r="DY188" s="67">
        <f t="shared" si="230"/>
        <v>0</v>
      </c>
      <c r="DZ188" s="45" t="e">
        <f>VLOOKUP($R188,Dropdown!$C$3:$D$4,2,FALSE)</f>
        <v>#N/A</v>
      </c>
      <c r="EA188" s="68">
        <f t="shared" si="231"/>
        <v>0</v>
      </c>
      <c r="EB188" s="68" t="str">
        <f t="shared" si="232"/>
        <v>N/A</v>
      </c>
      <c r="EC188" s="68">
        <f t="shared" si="233"/>
        <v>0</v>
      </c>
      <c r="ED188" s="68" t="str">
        <f t="shared" si="280"/>
        <v>N/A</v>
      </c>
      <c r="EF188" s="56">
        <v>174</v>
      </c>
      <c r="EG188" s="46">
        <f t="shared" si="235"/>
        <v>0</v>
      </c>
      <c r="EH188" s="68" t="e">
        <f t="shared" si="236"/>
        <v>#N/A</v>
      </c>
      <c r="EI188" s="68" t="e">
        <f t="shared" si="237"/>
        <v>#N/A</v>
      </c>
      <c r="EJ188" s="68" t="e">
        <f t="shared" si="238"/>
        <v>#N/A</v>
      </c>
      <c r="EK188" s="68" t="e">
        <f t="shared" si="239"/>
        <v>#N/A</v>
      </c>
      <c r="EL188" s="46">
        <f t="shared" si="240"/>
        <v>0</v>
      </c>
      <c r="EM188" s="46">
        <f t="shared" si="241"/>
        <v>0</v>
      </c>
    </row>
    <row r="189" spans="1:143">
      <c r="A189" s="89"/>
      <c r="B189" s="89"/>
      <c r="C189" s="89"/>
      <c r="D189" s="89"/>
      <c r="E189" s="89"/>
      <c r="F189" s="89"/>
      <c r="G189" s="34"/>
      <c r="H189" s="56">
        <f t="shared" si="242"/>
        <v>175</v>
      </c>
      <c r="I189" s="165"/>
      <c r="J189" s="163"/>
      <c r="K189" s="163"/>
      <c r="L189" s="164"/>
      <c r="M189" s="155"/>
      <c r="N189" s="155"/>
      <c r="O189" s="144"/>
      <c r="P189" s="159" t="str">
        <f>IFERROR(IF(O189&lt;&gt;"User Specified",IF(O189&lt;&gt;"", INDEX('Refrigerant GWPs'!$G$2:$G$154,MATCH(O189,'Refrigerant GWPs'!$A$2:$A$154,0)),""),U189),0)</f>
        <v/>
      </c>
      <c r="Q189" s="155"/>
      <c r="R189" s="155"/>
      <c r="S189" s="144"/>
      <c r="T189" s="159" t="str">
        <f>IF(S189&lt;&gt;"User Specified",IF(AND(S189&lt;&gt;"User Specified",S189&lt;&gt;""), INDEX('Refrigerant GWPs'!$G$2:$G$154,MATCH(S189,'Refrigerant GWPs'!$A$2:$A$154,0)),""),V189)</f>
        <v/>
      </c>
      <c r="U189" s="144"/>
      <c r="V189" s="144"/>
      <c r="W189" s="155"/>
      <c r="X189" s="155"/>
      <c r="Y189" s="144"/>
      <c r="Z189" s="159" t="str">
        <f>IF(AND(Y189&lt;&gt;"User Specified",Y189&lt;&gt;""), INDEX('Refrigerant GWPs'!$G$2:$G$154,MATCH(Y189,'Refrigerant GWPs'!$A$2:$A$154,0)),"")</f>
        <v/>
      </c>
      <c r="AA189" s="155"/>
      <c r="AB189" s="156"/>
      <c r="AC189" s="66"/>
      <c r="AD189" s="66"/>
      <c r="AE189" s="66"/>
      <c r="AF189" s="66"/>
      <c r="AG189" s="66"/>
      <c r="AH189" s="66"/>
      <c r="AI189" s="34"/>
      <c r="AJ189" s="88">
        <f t="shared" si="200"/>
        <v>0</v>
      </c>
      <c r="AK189" s="88">
        <f t="shared" si="201"/>
        <v>0</v>
      </c>
      <c r="AL189" s="88">
        <v>0</v>
      </c>
      <c r="AM189" s="88">
        <v>0</v>
      </c>
      <c r="AN189" s="81" t="str">
        <f t="shared" si="243"/>
        <v/>
      </c>
      <c r="AO189" s="88">
        <f t="shared" si="202"/>
        <v>0</v>
      </c>
      <c r="AP189" s="88">
        <f t="shared" si="203"/>
        <v>0</v>
      </c>
      <c r="AQ189" s="81" t="str">
        <f t="shared" si="204"/>
        <v/>
      </c>
      <c r="AS189" s="41" t="b">
        <f t="shared" si="205"/>
        <v>1</v>
      </c>
      <c r="AT189" s="38">
        <f t="shared" si="206"/>
        <v>0</v>
      </c>
      <c r="AU189" s="60">
        <f t="shared" si="207"/>
        <v>0</v>
      </c>
      <c r="AV189" s="41">
        <f t="shared" si="208"/>
        <v>0</v>
      </c>
      <c r="AW189" s="41" t="b">
        <f t="shared" si="209"/>
        <v>0</v>
      </c>
      <c r="AX189" t="str">
        <f t="shared" si="210"/>
        <v>+00</v>
      </c>
      <c r="AY189" t="str">
        <f t="shared" si="211"/>
        <v>+00</v>
      </c>
      <c r="BA189" s="47" t="b">
        <f t="shared" si="245"/>
        <v>1</v>
      </c>
      <c r="BB189" s="42" t="b">
        <f t="shared" si="246"/>
        <v>1</v>
      </c>
      <c r="BC189" s="42" t="b">
        <f t="shared" si="247"/>
        <v>0</v>
      </c>
      <c r="BD189" s="42" t="b">
        <f t="shared" si="248"/>
        <v>0</v>
      </c>
      <c r="BE189" s="70">
        <f t="shared" si="249"/>
        <v>0</v>
      </c>
      <c r="BF189" s="70">
        <f t="shared" si="250"/>
        <v>0</v>
      </c>
      <c r="BG189" s="34"/>
      <c r="BI189" s="47" t="b">
        <f t="shared" si="251"/>
        <v>1</v>
      </c>
      <c r="BJ189" s="47" t="b">
        <f t="shared" si="252"/>
        <v>1</v>
      </c>
      <c r="BK189" s="42" t="b">
        <f t="shared" si="253"/>
        <v>0</v>
      </c>
      <c r="BL189" s="42" t="b">
        <f t="shared" si="254"/>
        <v>0</v>
      </c>
      <c r="BM189" s="42">
        <f t="shared" si="255"/>
        <v>0</v>
      </c>
      <c r="BN189" s="42">
        <f t="shared" si="256"/>
        <v>0</v>
      </c>
      <c r="BP189" t="e">
        <f t="shared" si="257"/>
        <v>#N/A</v>
      </c>
      <c r="BQ189" t="e">
        <f t="shared" si="258"/>
        <v>#N/A</v>
      </c>
      <c r="BR189" t="e">
        <f t="shared" si="259"/>
        <v>#N/A</v>
      </c>
      <c r="BT189" s="60">
        <f t="shared" si="268"/>
        <v>0</v>
      </c>
      <c r="BU189" s="60">
        <f t="shared" si="269"/>
        <v>0</v>
      </c>
      <c r="BV189" s="60">
        <f t="shared" si="270"/>
        <v>0</v>
      </c>
      <c r="BW189" s="60">
        <f t="shared" si="271"/>
        <v>0</v>
      </c>
      <c r="BX189" s="60">
        <f t="shared" si="260"/>
        <v>0</v>
      </c>
      <c r="BY189" s="60">
        <f t="shared" si="261"/>
        <v>0</v>
      </c>
      <c r="BZ189" s="60">
        <f t="shared" si="262"/>
        <v>0</v>
      </c>
      <c r="CA189" s="60">
        <f t="shared" si="263"/>
        <v>0</v>
      </c>
      <c r="CB189" s="60" t="e">
        <f t="shared" si="272"/>
        <v>#N/A</v>
      </c>
      <c r="CC189" s="60">
        <f t="shared" si="273"/>
        <v>100000</v>
      </c>
      <c r="CD189" s="60" t="e">
        <f t="shared" si="274"/>
        <v>#N/A</v>
      </c>
      <c r="CE189" s="60">
        <f t="shared" si="275"/>
        <v>100000</v>
      </c>
      <c r="CF189" s="83" t="e">
        <f t="shared" si="264"/>
        <v>#N/A</v>
      </c>
      <c r="CG189" s="83">
        <f t="shared" si="265"/>
        <v>0</v>
      </c>
      <c r="CH189" s="83" t="e">
        <f t="shared" si="266"/>
        <v>#N/A</v>
      </c>
      <c r="CI189" s="83">
        <f t="shared" si="267"/>
        <v>0</v>
      </c>
      <c r="CJ189" s="86" t="e">
        <f t="shared" si="276"/>
        <v>#N/A</v>
      </c>
      <c r="CK189" s="82">
        <f t="shared" si="277"/>
        <v>5.3070370403969858E-3</v>
      </c>
      <c r="CL189" s="82" t="e">
        <f t="shared" si="278"/>
        <v>#N/A</v>
      </c>
      <c r="CM189" s="82">
        <f t="shared" si="279"/>
        <v>5.3070370403969858E-3</v>
      </c>
      <c r="CO189" s="149" t="str">
        <f>IF($I189&lt;&gt;"",IF(O189="User Specified",U189,INDEX('Refrigerant GWPs'!$G$2:$G$156,MATCH(O189,'Refrigerant GWPs'!$A$2:$A$156,0))),"")</f>
        <v/>
      </c>
      <c r="CP189" s="138" t="str">
        <f>IF($I189&lt;&gt;"",INDEX('Device Refrigerant Leakage'!$E$2:$E$42,MATCH($M189,'Device Refrigerant Leakage'!$B$2:$B$42,0)),"")</f>
        <v/>
      </c>
      <c r="CQ189" s="138" t="str">
        <f>IF($I189&lt;&gt;"",INDEX('Device Refrigerant Leakage'!$F$2:$F$42,MATCH($M189,'Device Refrigerant Leakage'!$B$2:$B$42,0)),"")</f>
        <v/>
      </c>
      <c r="CR189" s="145" t="str">
        <f>IF($I189&lt;&gt;"",INDEX('Device Refrigerant Leakage'!$G$2:$G$42,MATCH($M189,'Device Refrigerant Leakage'!$B$2:$B$42,0)),"")</f>
        <v/>
      </c>
      <c r="CS189" s="145" t="str">
        <f>IF($I189&lt;&gt;"",INDEX('Device Refrigerant Leakage'!$D$2:$D$42,MATCH($M189,'Device Refrigerant Leakage'!$B$2:$B$42,0))*CP189/2204.62*CO189,"")</f>
        <v/>
      </c>
      <c r="CT189" s="145" t="str">
        <f>IF($I189&lt;&gt;"",J189*(INDEX('Device Refrigerant Leakage'!$D$2:$D$42,MATCH($M189,'Device Refrigerant Leakage'!$B$2:$B$42,0))-(INDEX('Device Refrigerant Leakage'!$D$2:$D$42,MATCH($M189,'Device Refrigerant Leakage'!$B$2:$B$42,0)))*CR189*CP189)*CQ189/2204.62*CO189,"")</f>
        <v/>
      </c>
      <c r="CU189" s="135" t="str">
        <f>IF($I189&lt;&gt;"",J189*IF(W189&lt;&gt;"AR",(CS189*K189)+CT189,(CS189*AB189)+CT189*(AB189/INDEX('Device Refrigerant Leakage'!$C$2:$C$42,MATCH($M189,'Device Refrigerant Leakage'!$B$2:$B$42,0)))),"")</f>
        <v/>
      </c>
      <c r="CW189" s="135" t="str">
        <f>IF($I189&lt;&gt;"",IF(S189="User Specified",V189,INDEX('Refrigerant GWPs'!$G$2:$G$156,MATCH(S189,'Refrigerant GWPs'!$A$2:$A$157,0))),"")</f>
        <v/>
      </c>
      <c r="CX189" s="138" t="str">
        <f>IF($I189&lt;&gt;"",INDEX('Device Refrigerant Leakage'!$E$2:$E$42,MATCH($Q189,'Device Refrigerant Leakage'!$B$2:$B$42,0)),"")</f>
        <v/>
      </c>
      <c r="CY189" s="138" t="str">
        <f>IF($I189&lt;&gt;"",INDEX('Device Refrigerant Leakage'!$F$2:$F$42,MATCH($Q189,'Device Refrigerant Leakage'!$B$2:$B$42,0)),"")</f>
        <v/>
      </c>
      <c r="CZ189" s="145" t="str">
        <f>IF($I189&lt;&gt;"",INDEX('Device Refrigerant Leakage'!$G$2:$G$42,MATCH($Q189,'Device Refrigerant Leakage'!$B$2:$B$42,0)),"")</f>
        <v/>
      </c>
      <c r="DA189" s="145" t="str">
        <f>IF($I189&lt;&gt;"",J189*INDEX('Device Refrigerant Leakage'!$D$2:$D$42,MATCH($Q189,'Device Refrigerant Leakage'!$B$2:$B$42,0))*CX189/2204.62*CW189,"")</f>
        <v/>
      </c>
      <c r="DB189" s="145" t="str">
        <f>IF($I189&lt;&gt;"",J189*(INDEX('Device Refrigerant Leakage'!$D$2:$D$42,MATCH($Q189,'Device Refrigerant Leakage'!$B$2:$B$42,0))-(INDEX('Device Refrigerant Leakage'!$D$2:$D$42,MATCH($Q189,'Device Refrigerant Leakage'!$B$2:$B$42,0)))*CZ189*CX189)*CY189/2204.62*CW189,"")</f>
        <v/>
      </c>
      <c r="DC189" s="135" t="str">
        <f t="shared" si="244"/>
        <v/>
      </c>
      <c r="DE189" s="146" t="str">
        <f>IF(W189&lt;&gt;"AR","",IF(Y189="User Specified", AA189, INDEX('Refrigerant GWPs'!$G$2:$G$154,MATCH(Y189,'Refrigerant GWPs'!$A$2:$A$154,0))))</f>
        <v/>
      </c>
      <c r="DF189" s="146" t="str">
        <f>IF(W189&lt;&gt;"AR","",INDEX('Device Refrigerant Leakage'!$E$2:$E$42,MATCH(X189,'Device Refrigerant Leakage'!$B$2:$B$42,0)))</f>
        <v/>
      </c>
      <c r="DG189" s="146" t="str">
        <f>IF(W189&lt;&gt;"AR","",INDEX('Device Refrigerant Leakage'!$F$2:$F$42,MATCH(X189,'Device Refrigerant Leakage'!$B$2:$B$42,0)))</f>
        <v/>
      </c>
      <c r="DH189" s="146" t="str">
        <f>IF(W189&lt;&gt;"AR","",INDEX('Device Refrigerant Leakage'!$G$2:$G$42,MATCH(X189,'Device Refrigerant Leakage'!$B$2:$B$42,0)))</f>
        <v/>
      </c>
      <c r="DI189" s="146" t="str">
        <f>IF(W189&lt;&gt;"AR","",J189*INDEX('Device Refrigerant Leakage'!$D$2:$D$42,MATCH(X189,'Device Refrigerant Leakage'!$B$2:$B$42,0))*DF189/2204.62*DE189)</f>
        <v/>
      </c>
      <c r="DJ189" s="146" t="str">
        <f>IF(W189&lt;&gt;"AR","",J189*(INDEX('Device Refrigerant Leakage'!$D$2:$D$42,MATCH(X189,'Device Refrigerant Leakage'!$B$2:$B$42,0))-(INDEX('Device Refrigerant Leakage'!$D$2:$D$42,MATCH(X189,'Device Refrigerant Leakage'!$B$2:$B$42,0)))*DH189*DF189)*DG189/2204.62*DE189)</f>
        <v/>
      </c>
      <c r="DK189" s="146" t="str">
        <f>IF(W189&lt;&gt;"AR","",DI189*(K189-AB189)+'Fuel Sub Calcs-Deemed'!DJ189*((K189-AB189)/INDEX('Device Refrigerant Leakage'!$C$2:$C$42,MATCH('Fuel Sub Calcs-Deemed'!X189,'Device Refrigerant Leakage'!$B$2:$B$42,0))))</f>
        <v/>
      </c>
      <c r="DM189" s="56">
        <v>175</v>
      </c>
      <c r="DN189" s="67" t="e">
        <f t="shared" si="224"/>
        <v>#N/A</v>
      </c>
      <c r="DO189" s="45" t="e">
        <f t="shared" si="225"/>
        <v>#N/A</v>
      </c>
      <c r="DP189" s="67" t="e">
        <f t="shared" si="226"/>
        <v>#N/A</v>
      </c>
      <c r="DQ189" s="45" t="e">
        <f t="shared" si="227"/>
        <v>#N/A</v>
      </c>
      <c r="DR189" s="69" t="e">
        <f t="shared" si="228"/>
        <v>#N/A</v>
      </c>
      <c r="DS189" s="34"/>
      <c r="DT189" s="67" t="e">
        <f>((BX189*CJ189)+IF($W189=MAT_AR,(BZ189*CL189),0))*(1+Reference!$E$50+Reference!$E$51)</f>
        <v>#N/A</v>
      </c>
      <c r="DU189" s="67">
        <f>((BY189*CK189)+IF($W189=MAT_AR,(CA189*CM189),0))*(1+Reference!$G$50+Reference!$G$51)</f>
        <v>0</v>
      </c>
      <c r="DV189" s="67" t="e">
        <f t="shared" si="229"/>
        <v>#VALUE!</v>
      </c>
      <c r="DX189" s="56">
        <v>175</v>
      </c>
      <c r="DY189" s="67">
        <f t="shared" si="230"/>
        <v>0</v>
      </c>
      <c r="DZ189" s="45" t="e">
        <f>VLOOKUP($R189,Dropdown!$C$3:$D$4,2,FALSE)</f>
        <v>#N/A</v>
      </c>
      <c r="EA189" s="68">
        <f t="shared" si="231"/>
        <v>0</v>
      </c>
      <c r="EB189" s="68" t="str">
        <f t="shared" si="232"/>
        <v>N/A</v>
      </c>
      <c r="EC189" s="68">
        <f t="shared" si="233"/>
        <v>0</v>
      </c>
      <c r="ED189" s="68" t="str">
        <f t="shared" si="280"/>
        <v>N/A</v>
      </c>
      <c r="EF189" s="56">
        <v>175</v>
      </c>
      <c r="EG189" s="46">
        <f t="shared" si="235"/>
        <v>0</v>
      </c>
      <c r="EH189" s="68" t="e">
        <f t="shared" si="236"/>
        <v>#N/A</v>
      </c>
      <c r="EI189" s="68" t="e">
        <f t="shared" si="237"/>
        <v>#N/A</v>
      </c>
      <c r="EJ189" s="68" t="e">
        <f t="shared" si="238"/>
        <v>#N/A</v>
      </c>
      <c r="EK189" s="68" t="e">
        <f t="shared" si="239"/>
        <v>#N/A</v>
      </c>
      <c r="EL189" s="46">
        <f t="shared" si="240"/>
        <v>0</v>
      </c>
      <c r="EM189" s="46">
        <f t="shared" si="241"/>
        <v>0</v>
      </c>
    </row>
    <row r="190" spans="1:143">
      <c r="A190" s="89"/>
      <c r="B190" s="89"/>
      <c r="C190" s="89"/>
      <c r="D190" s="89"/>
      <c r="E190" s="89"/>
      <c r="F190" s="89"/>
      <c r="G190" s="34"/>
      <c r="H190" s="56">
        <f t="shared" si="242"/>
        <v>176</v>
      </c>
      <c r="I190" s="165"/>
      <c r="J190" s="163"/>
      <c r="K190" s="163"/>
      <c r="L190" s="164"/>
      <c r="M190" s="155"/>
      <c r="N190" s="155"/>
      <c r="O190" s="144"/>
      <c r="P190" s="159" t="str">
        <f>IFERROR(IF(O190&lt;&gt;"User Specified",IF(O190&lt;&gt;"", INDEX('Refrigerant GWPs'!$G$2:$G$154,MATCH(O190,'Refrigerant GWPs'!$A$2:$A$154,0)),""),U190),0)</f>
        <v/>
      </c>
      <c r="Q190" s="155"/>
      <c r="R190" s="155"/>
      <c r="S190" s="144"/>
      <c r="T190" s="159" t="str">
        <f>IF(S190&lt;&gt;"User Specified",IF(AND(S190&lt;&gt;"User Specified",S190&lt;&gt;""), INDEX('Refrigerant GWPs'!$G$2:$G$154,MATCH(S190,'Refrigerant GWPs'!$A$2:$A$154,0)),""),V190)</f>
        <v/>
      </c>
      <c r="U190" s="144"/>
      <c r="V190" s="144"/>
      <c r="W190" s="155"/>
      <c r="X190" s="155"/>
      <c r="Y190" s="144"/>
      <c r="Z190" s="159" t="str">
        <f>IF(AND(Y190&lt;&gt;"User Specified",Y190&lt;&gt;""), INDEX('Refrigerant GWPs'!$G$2:$G$154,MATCH(Y190,'Refrigerant GWPs'!$A$2:$A$154,0)),"")</f>
        <v/>
      </c>
      <c r="AA190" s="155"/>
      <c r="AB190" s="156"/>
      <c r="AC190" s="66"/>
      <c r="AD190" s="66"/>
      <c r="AE190" s="66"/>
      <c r="AF190" s="66"/>
      <c r="AG190" s="66"/>
      <c r="AH190" s="66"/>
      <c r="AI190" s="34"/>
      <c r="AJ190" s="88">
        <f t="shared" si="200"/>
        <v>0</v>
      </c>
      <c r="AK190" s="88">
        <f t="shared" si="201"/>
        <v>0</v>
      </c>
      <c r="AL190" s="88">
        <v>0</v>
      </c>
      <c r="AM190" s="88">
        <v>0</v>
      </c>
      <c r="AN190" s="81" t="str">
        <f t="shared" si="243"/>
        <v/>
      </c>
      <c r="AO190" s="88">
        <f t="shared" si="202"/>
        <v>0</v>
      </c>
      <c r="AP190" s="88">
        <f t="shared" si="203"/>
        <v>0</v>
      </c>
      <c r="AQ190" s="81" t="str">
        <f t="shared" si="204"/>
        <v/>
      </c>
      <c r="AS190" s="41" t="b">
        <f t="shared" si="205"/>
        <v>1</v>
      </c>
      <c r="AT190" s="38">
        <f t="shared" si="206"/>
        <v>0</v>
      </c>
      <c r="AU190" s="60">
        <f t="shared" si="207"/>
        <v>0</v>
      </c>
      <c r="AV190" s="41">
        <f t="shared" si="208"/>
        <v>0</v>
      </c>
      <c r="AW190" s="41" t="b">
        <f t="shared" si="209"/>
        <v>0</v>
      </c>
      <c r="AX190" t="str">
        <f t="shared" si="210"/>
        <v>+00</v>
      </c>
      <c r="AY190" t="str">
        <f t="shared" si="211"/>
        <v>+00</v>
      </c>
      <c r="BA190" s="47" t="b">
        <f t="shared" si="245"/>
        <v>1</v>
      </c>
      <c r="BB190" s="42" t="b">
        <f t="shared" si="246"/>
        <v>1</v>
      </c>
      <c r="BC190" s="42" t="b">
        <f t="shared" si="247"/>
        <v>0</v>
      </c>
      <c r="BD190" s="42" t="b">
        <f t="shared" si="248"/>
        <v>0</v>
      </c>
      <c r="BE190" s="70">
        <f t="shared" si="249"/>
        <v>0</v>
      </c>
      <c r="BF190" s="70">
        <f t="shared" si="250"/>
        <v>0</v>
      </c>
      <c r="BG190" s="34"/>
      <c r="BI190" s="47" t="b">
        <f t="shared" si="251"/>
        <v>1</v>
      </c>
      <c r="BJ190" s="47" t="b">
        <f t="shared" si="252"/>
        <v>1</v>
      </c>
      <c r="BK190" s="42" t="b">
        <f t="shared" si="253"/>
        <v>0</v>
      </c>
      <c r="BL190" s="42" t="b">
        <f t="shared" si="254"/>
        <v>0</v>
      </c>
      <c r="BM190" s="42">
        <f t="shared" si="255"/>
        <v>0</v>
      </c>
      <c r="BN190" s="42">
        <f t="shared" si="256"/>
        <v>0</v>
      </c>
      <c r="BP190" t="e">
        <f t="shared" si="257"/>
        <v>#N/A</v>
      </c>
      <c r="BQ190" t="e">
        <f t="shared" si="258"/>
        <v>#N/A</v>
      </c>
      <c r="BR190" t="e">
        <f t="shared" si="259"/>
        <v>#N/A</v>
      </c>
      <c r="BT190" s="60">
        <f t="shared" si="268"/>
        <v>0</v>
      </c>
      <c r="BU190" s="60">
        <f t="shared" si="269"/>
        <v>0</v>
      </c>
      <c r="BV190" s="60">
        <f t="shared" si="270"/>
        <v>0</v>
      </c>
      <c r="BW190" s="60">
        <f t="shared" si="271"/>
        <v>0</v>
      </c>
      <c r="BX190" s="60">
        <f t="shared" si="260"/>
        <v>0</v>
      </c>
      <c r="BY190" s="60">
        <f t="shared" si="261"/>
        <v>0</v>
      </c>
      <c r="BZ190" s="60">
        <f t="shared" si="262"/>
        <v>0</v>
      </c>
      <c r="CA190" s="60">
        <f t="shared" si="263"/>
        <v>0</v>
      </c>
      <c r="CB190" s="60" t="e">
        <f t="shared" si="272"/>
        <v>#N/A</v>
      </c>
      <c r="CC190" s="60">
        <f t="shared" si="273"/>
        <v>100000</v>
      </c>
      <c r="CD190" s="60" t="e">
        <f t="shared" si="274"/>
        <v>#N/A</v>
      </c>
      <c r="CE190" s="60">
        <f t="shared" si="275"/>
        <v>100000</v>
      </c>
      <c r="CF190" s="83" t="e">
        <f t="shared" si="264"/>
        <v>#N/A</v>
      </c>
      <c r="CG190" s="83">
        <f t="shared" si="265"/>
        <v>0</v>
      </c>
      <c r="CH190" s="83" t="e">
        <f t="shared" si="266"/>
        <v>#N/A</v>
      </c>
      <c r="CI190" s="83">
        <f t="shared" si="267"/>
        <v>0</v>
      </c>
      <c r="CJ190" s="86" t="e">
        <f t="shared" si="276"/>
        <v>#N/A</v>
      </c>
      <c r="CK190" s="82">
        <f t="shared" si="277"/>
        <v>5.3070370403969858E-3</v>
      </c>
      <c r="CL190" s="82" t="e">
        <f t="shared" si="278"/>
        <v>#N/A</v>
      </c>
      <c r="CM190" s="82">
        <f t="shared" si="279"/>
        <v>5.3070370403969858E-3</v>
      </c>
      <c r="CO190" s="149" t="str">
        <f>IF($I190&lt;&gt;"",IF(O190="User Specified",U190,INDEX('Refrigerant GWPs'!$G$2:$G$156,MATCH(O190,'Refrigerant GWPs'!$A$2:$A$156,0))),"")</f>
        <v/>
      </c>
      <c r="CP190" s="138" t="str">
        <f>IF($I190&lt;&gt;"",INDEX('Device Refrigerant Leakage'!$E$2:$E$42,MATCH($M190,'Device Refrigerant Leakage'!$B$2:$B$42,0)),"")</f>
        <v/>
      </c>
      <c r="CQ190" s="138" t="str">
        <f>IF($I190&lt;&gt;"",INDEX('Device Refrigerant Leakage'!$F$2:$F$42,MATCH($M190,'Device Refrigerant Leakage'!$B$2:$B$42,0)),"")</f>
        <v/>
      </c>
      <c r="CR190" s="145" t="str">
        <f>IF($I190&lt;&gt;"",INDEX('Device Refrigerant Leakage'!$G$2:$G$42,MATCH($M190,'Device Refrigerant Leakage'!$B$2:$B$42,0)),"")</f>
        <v/>
      </c>
      <c r="CS190" s="145" t="str">
        <f>IF($I190&lt;&gt;"",INDEX('Device Refrigerant Leakage'!$D$2:$D$42,MATCH($M190,'Device Refrigerant Leakage'!$B$2:$B$42,0))*CP190/2204.62*CO190,"")</f>
        <v/>
      </c>
      <c r="CT190" s="145" t="str">
        <f>IF($I190&lt;&gt;"",J190*(INDEX('Device Refrigerant Leakage'!$D$2:$D$42,MATCH($M190,'Device Refrigerant Leakage'!$B$2:$B$42,0))-(INDEX('Device Refrigerant Leakage'!$D$2:$D$42,MATCH($M190,'Device Refrigerant Leakage'!$B$2:$B$42,0)))*CR190*CP190)*CQ190/2204.62*CO190,"")</f>
        <v/>
      </c>
      <c r="CU190" s="135" t="str">
        <f>IF($I190&lt;&gt;"",J190*IF(W190&lt;&gt;"AR",(CS190*K190)+CT190,(CS190*AB190)+CT190*(AB190/INDEX('Device Refrigerant Leakage'!$C$2:$C$42,MATCH($M190,'Device Refrigerant Leakage'!$B$2:$B$42,0)))),"")</f>
        <v/>
      </c>
      <c r="CW190" s="135" t="str">
        <f>IF($I190&lt;&gt;"",IF(S190="User Specified",V190,INDEX('Refrigerant GWPs'!$G$2:$G$156,MATCH(S190,'Refrigerant GWPs'!$A$2:$A$157,0))),"")</f>
        <v/>
      </c>
      <c r="CX190" s="138" t="str">
        <f>IF($I190&lt;&gt;"",INDEX('Device Refrigerant Leakage'!$E$2:$E$42,MATCH($Q190,'Device Refrigerant Leakage'!$B$2:$B$42,0)),"")</f>
        <v/>
      </c>
      <c r="CY190" s="138" t="str">
        <f>IF($I190&lt;&gt;"",INDEX('Device Refrigerant Leakage'!$F$2:$F$42,MATCH($Q190,'Device Refrigerant Leakage'!$B$2:$B$42,0)),"")</f>
        <v/>
      </c>
      <c r="CZ190" s="145" t="str">
        <f>IF($I190&lt;&gt;"",INDEX('Device Refrigerant Leakage'!$G$2:$G$42,MATCH($Q190,'Device Refrigerant Leakage'!$B$2:$B$42,0)),"")</f>
        <v/>
      </c>
      <c r="DA190" s="145" t="str">
        <f>IF($I190&lt;&gt;"",J190*INDEX('Device Refrigerant Leakage'!$D$2:$D$42,MATCH($Q190,'Device Refrigerant Leakage'!$B$2:$B$42,0))*CX190/2204.62*CW190,"")</f>
        <v/>
      </c>
      <c r="DB190" s="145" t="str">
        <f>IF($I190&lt;&gt;"",J190*(INDEX('Device Refrigerant Leakage'!$D$2:$D$42,MATCH($Q190,'Device Refrigerant Leakage'!$B$2:$B$42,0))-(INDEX('Device Refrigerant Leakage'!$D$2:$D$42,MATCH($Q190,'Device Refrigerant Leakage'!$B$2:$B$42,0)))*CZ190*CX190)*CY190/2204.62*CW190,"")</f>
        <v/>
      </c>
      <c r="DC190" s="135" t="str">
        <f t="shared" si="244"/>
        <v/>
      </c>
      <c r="DE190" s="146" t="str">
        <f>IF(W190&lt;&gt;"AR","",IF(Y190="User Specified", AA190, INDEX('Refrigerant GWPs'!$G$2:$G$154,MATCH(Y190,'Refrigerant GWPs'!$A$2:$A$154,0))))</f>
        <v/>
      </c>
      <c r="DF190" s="146" t="str">
        <f>IF(W190&lt;&gt;"AR","",INDEX('Device Refrigerant Leakage'!$E$2:$E$42,MATCH(X190,'Device Refrigerant Leakage'!$B$2:$B$42,0)))</f>
        <v/>
      </c>
      <c r="DG190" s="146" t="str">
        <f>IF(W190&lt;&gt;"AR","",INDEX('Device Refrigerant Leakage'!$F$2:$F$42,MATCH(X190,'Device Refrigerant Leakage'!$B$2:$B$42,0)))</f>
        <v/>
      </c>
      <c r="DH190" s="146" t="str">
        <f>IF(W190&lt;&gt;"AR","",INDEX('Device Refrigerant Leakage'!$G$2:$G$42,MATCH(X190,'Device Refrigerant Leakage'!$B$2:$B$42,0)))</f>
        <v/>
      </c>
      <c r="DI190" s="146" t="str">
        <f>IF(W190&lt;&gt;"AR","",J190*INDEX('Device Refrigerant Leakage'!$D$2:$D$42,MATCH(X190,'Device Refrigerant Leakage'!$B$2:$B$42,0))*DF190/2204.62*DE190)</f>
        <v/>
      </c>
      <c r="DJ190" s="146" t="str">
        <f>IF(W190&lt;&gt;"AR","",J190*(INDEX('Device Refrigerant Leakage'!$D$2:$D$42,MATCH(X190,'Device Refrigerant Leakage'!$B$2:$B$42,0))-(INDEX('Device Refrigerant Leakage'!$D$2:$D$42,MATCH(X190,'Device Refrigerant Leakage'!$B$2:$B$42,0)))*DH190*DF190)*DG190/2204.62*DE190)</f>
        <v/>
      </c>
      <c r="DK190" s="146" t="str">
        <f>IF(W190&lt;&gt;"AR","",DI190*(K190-AB190)+'Fuel Sub Calcs-Deemed'!DJ190*((K190-AB190)/INDEX('Device Refrigerant Leakage'!$C$2:$C$42,MATCH('Fuel Sub Calcs-Deemed'!X190,'Device Refrigerant Leakage'!$B$2:$B$42,0))))</f>
        <v/>
      </c>
      <c r="DM190" s="56">
        <v>176</v>
      </c>
      <c r="DN190" s="67" t="e">
        <f t="shared" si="224"/>
        <v>#N/A</v>
      </c>
      <c r="DO190" s="45" t="e">
        <f t="shared" si="225"/>
        <v>#N/A</v>
      </c>
      <c r="DP190" s="67" t="e">
        <f t="shared" si="226"/>
        <v>#N/A</v>
      </c>
      <c r="DQ190" s="45" t="e">
        <f t="shared" si="227"/>
        <v>#N/A</v>
      </c>
      <c r="DR190" s="69" t="e">
        <f t="shared" si="228"/>
        <v>#N/A</v>
      </c>
      <c r="DS190" s="34"/>
      <c r="DT190" s="67" t="e">
        <f>((BX190*CJ190)+IF($W190=MAT_AR,(BZ190*CL190),0))*(1+Reference!$E$50+Reference!$E$51)</f>
        <v>#N/A</v>
      </c>
      <c r="DU190" s="67">
        <f>((BY190*CK190)+IF($W190=MAT_AR,(CA190*CM190),0))*(1+Reference!$G$50+Reference!$G$51)</f>
        <v>0</v>
      </c>
      <c r="DV190" s="67" t="e">
        <f t="shared" si="229"/>
        <v>#VALUE!</v>
      </c>
      <c r="DX190" s="56">
        <v>176</v>
      </c>
      <c r="DY190" s="67">
        <f t="shared" si="230"/>
        <v>0</v>
      </c>
      <c r="DZ190" s="45" t="e">
        <f>VLOOKUP($R190,Dropdown!$C$3:$D$4,2,FALSE)</f>
        <v>#N/A</v>
      </c>
      <c r="EA190" s="68">
        <f t="shared" si="231"/>
        <v>0</v>
      </c>
      <c r="EB190" s="68" t="str">
        <f t="shared" si="232"/>
        <v>N/A</v>
      </c>
      <c r="EC190" s="68">
        <f t="shared" si="233"/>
        <v>0</v>
      </c>
      <c r="ED190" s="68" t="str">
        <f t="shared" si="280"/>
        <v>N/A</v>
      </c>
      <c r="EF190" s="56">
        <v>176</v>
      </c>
      <c r="EG190" s="46">
        <f t="shared" si="235"/>
        <v>0</v>
      </c>
      <c r="EH190" s="68" t="e">
        <f t="shared" si="236"/>
        <v>#N/A</v>
      </c>
      <c r="EI190" s="68" t="e">
        <f t="shared" si="237"/>
        <v>#N/A</v>
      </c>
      <c r="EJ190" s="68" t="e">
        <f t="shared" si="238"/>
        <v>#N/A</v>
      </c>
      <c r="EK190" s="68" t="e">
        <f t="shared" si="239"/>
        <v>#N/A</v>
      </c>
      <c r="EL190" s="46">
        <f t="shared" si="240"/>
        <v>0</v>
      </c>
      <c r="EM190" s="46">
        <f t="shared" si="241"/>
        <v>0</v>
      </c>
    </row>
    <row r="191" spans="1:143">
      <c r="A191" s="89"/>
      <c r="B191" s="89"/>
      <c r="C191" s="89"/>
      <c r="D191" s="89"/>
      <c r="E191" s="89"/>
      <c r="F191" s="89"/>
      <c r="G191" s="34"/>
      <c r="H191" s="56">
        <f t="shared" si="242"/>
        <v>177</v>
      </c>
      <c r="I191" s="165"/>
      <c r="J191" s="163"/>
      <c r="K191" s="163"/>
      <c r="L191" s="164"/>
      <c r="M191" s="155"/>
      <c r="N191" s="155"/>
      <c r="O191" s="144"/>
      <c r="P191" s="159" t="str">
        <f>IFERROR(IF(O191&lt;&gt;"User Specified",IF(O191&lt;&gt;"", INDEX('Refrigerant GWPs'!$G$2:$G$154,MATCH(O191,'Refrigerant GWPs'!$A$2:$A$154,0)),""),U191),0)</f>
        <v/>
      </c>
      <c r="Q191" s="155"/>
      <c r="R191" s="155"/>
      <c r="S191" s="144"/>
      <c r="T191" s="159" t="str">
        <f>IF(S191&lt;&gt;"User Specified",IF(AND(S191&lt;&gt;"User Specified",S191&lt;&gt;""), INDEX('Refrigerant GWPs'!$G$2:$G$154,MATCH(S191,'Refrigerant GWPs'!$A$2:$A$154,0)),""),V191)</f>
        <v/>
      </c>
      <c r="U191" s="144"/>
      <c r="V191" s="144"/>
      <c r="W191" s="155"/>
      <c r="X191" s="155"/>
      <c r="Y191" s="144"/>
      <c r="Z191" s="159" t="str">
        <f>IF(AND(Y191&lt;&gt;"User Specified",Y191&lt;&gt;""), INDEX('Refrigerant GWPs'!$G$2:$G$154,MATCH(Y191,'Refrigerant GWPs'!$A$2:$A$154,0)),"")</f>
        <v/>
      </c>
      <c r="AA191" s="155"/>
      <c r="AB191" s="156"/>
      <c r="AC191" s="66"/>
      <c r="AD191" s="66"/>
      <c r="AE191" s="66"/>
      <c r="AF191" s="66"/>
      <c r="AG191" s="66"/>
      <c r="AH191" s="66"/>
      <c r="AI191" s="34"/>
      <c r="AJ191" s="88">
        <f t="shared" si="200"/>
        <v>0</v>
      </c>
      <c r="AK191" s="88">
        <f t="shared" si="201"/>
        <v>0</v>
      </c>
      <c r="AL191" s="88">
        <v>0</v>
      </c>
      <c r="AM191" s="88">
        <v>0</v>
      </c>
      <c r="AN191" s="81" t="str">
        <f t="shared" si="243"/>
        <v/>
      </c>
      <c r="AO191" s="88">
        <f t="shared" si="202"/>
        <v>0</v>
      </c>
      <c r="AP191" s="88">
        <f t="shared" si="203"/>
        <v>0</v>
      </c>
      <c r="AQ191" s="81" t="str">
        <f t="shared" si="204"/>
        <v/>
      </c>
      <c r="AS191" s="41" t="b">
        <f t="shared" si="205"/>
        <v>1</v>
      </c>
      <c r="AT191" s="38">
        <f t="shared" si="206"/>
        <v>0</v>
      </c>
      <c r="AU191" s="60">
        <f t="shared" si="207"/>
        <v>0</v>
      </c>
      <c r="AV191" s="41">
        <f t="shared" si="208"/>
        <v>0</v>
      </c>
      <c r="AW191" s="41" t="b">
        <f t="shared" si="209"/>
        <v>0</v>
      </c>
      <c r="AX191" t="str">
        <f t="shared" si="210"/>
        <v>+00</v>
      </c>
      <c r="AY191" t="str">
        <f t="shared" si="211"/>
        <v>+00</v>
      </c>
      <c r="BA191" s="47" t="b">
        <f t="shared" si="245"/>
        <v>1</v>
      </c>
      <c r="BB191" s="42" t="b">
        <f t="shared" si="246"/>
        <v>1</v>
      </c>
      <c r="BC191" s="42" t="b">
        <f t="shared" si="247"/>
        <v>0</v>
      </c>
      <c r="BD191" s="42" t="b">
        <f t="shared" si="248"/>
        <v>0</v>
      </c>
      <c r="BE191" s="70">
        <f t="shared" si="249"/>
        <v>0</v>
      </c>
      <c r="BF191" s="70">
        <f t="shared" si="250"/>
        <v>0</v>
      </c>
      <c r="BG191" s="34"/>
      <c r="BI191" s="47" t="b">
        <f t="shared" si="251"/>
        <v>1</v>
      </c>
      <c r="BJ191" s="47" t="b">
        <f t="shared" si="252"/>
        <v>1</v>
      </c>
      <c r="BK191" s="42" t="b">
        <f t="shared" si="253"/>
        <v>0</v>
      </c>
      <c r="BL191" s="42" t="b">
        <f t="shared" si="254"/>
        <v>0</v>
      </c>
      <c r="BM191" s="42">
        <f t="shared" si="255"/>
        <v>0</v>
      </c>
      <c r="BN191" s="42">
        <f t="shared" si="256"/>
        <v>0</v>
      </c>
      <c r="BP191" t="e">
        <f t="shared" si="257"/>
        <v>#N/A</v>
      </c>
      <c r="BQ191" t="e">
        <f t="shared" si="258"/>
        <v>#N/A</v>
      </c>
      <c r="BR191" t="e">
        <f t="shared" si="259"/>
        <v>#N/A</v>
      </c>
      <c r="BT191" s="60">
        <f t="shared" si="268"/>
        <v>0</v>
      </c>
      <c r="BU191" s="60">
        <f t="shared" si="269"/>
        <v>0</v>
      </c>
      <c r="BV191" s="60">
        <f t="shared" si="270"/>
        <v>0</v>
      </c>
      <c r="BW191" s="60">
        <f t="shared" si="271"/>
        <v>0</v>
      </c>
      <c r="BX191" s="60">
        <f t="shared" si="260"/>
        <v>0</v>
      </c>
      <c r="BY191" s="60">
        <f t="shared" si="261"/>
        <v>0</v>
      </c>
      <c r="BZ191" s="60">
        <f t="shared" si="262"/>
        <v>0</v>
      </c>
      <c r="CA191" s="60">
        <f t="shared" si="263"/>
        <v>0</v>
      </c>
      <c r="CB191" s="60" t="e">
        <f t="shared" si="272"/>
        <v>#N/A</v>
      </c>
      <c r="CC191" s="60">
        <f t="shared" si="273"/>
        <v>100000</v>
      </c>
      <c r="CD191" s="60" t="e">
        <f t="shared" si="274"/>
        <v>#N/A</v>
      </c>
      <c r="CE191" s="60">
        <f t="shared" si="275"/>
        <v>100000</v>
      </c>
      <c r="CF191" s="83" t="e">
        <f t="shared" si="264"/>
        <v>#N/A</v>
      </c>
      <c r="CG191" s="83">
        <f t="shared" si="265"/>
        <v>0</v>
      </c>
      <c r="CH191" s="83" t="e">
        <f t="shared" si="266"/>
        <v>#N/A</v>
      </c>
      <c r="CI191" s="83">
        <f t="shared" si="267"/>
        <v>0</v>
      </c>
      <c r="CJ191" s="86" t="e">
        <f t="shared" si="276"/>
        <v>#N/A</v>
      </c>
      <c r="CK191" s="82">
        <f t="shared" si="277"/>
        <v>5.3070370403969858E-3</v>
      </c>
      <c r="CL191" s="82" t="e">
        <f t="shared" si="278"/>
        <v>#N/A</v>
      </c>
      <c r="CM191" s="82">
        <f t="shared" si="279"/>
        <v>5.3070370403969858E-3</v>
      </c>
      <c r="CO191" s="149" t="str">
        <f>IF($I191&lt;&gt;"",IF(O191="User Specified",U191,INDEX('Refrigerant GWPs'!$G$2:$G$156,MATCH(O191,'Refrigerant GWPs'!$A$2:$A$156,0))),"")</f>
        <v/>
      </c>
      <c r="CP191" s="138" t="str">
        <f>IF($I191&lt;&gt;"",INDEX('Device Refrigerant Leakage'!$E$2:$E$42,MATCH($M191,'Device Refrigerant Leakage'!$B$2:$B$42,0)),"")</f>
        <v/>
      </c>
      <c r="CQ191" s="138" t="str">
        <f>IF($I191&lt;&gt;"",INDEX('Device Refrigerant Leakage'!$F$2:$F$42,MATCH($M191,'Device Refrigerant Leakage'!$B$2:$B$42,0)),"")</f>
        <v/>
      </c>
      <c r="CR191" s="145" t="str">
        <f>IF($I191&lt;&gt;"",INDEX('Device Refrigerant Leakage'!$G$2:$G$42,MATCH($M191,'Device Refrigerant Leakage'!$B$2:$B$42,0)),"")</f>
        <v/>
      </c>
      <c r="CS191" s="145" t="str">
        <f>IF($I191&lt;&gt;"",INDEX('Device Refrigerant Leakage'!$D$2:$D$42,MATCH($M191,'Device Refrigerant Leakage'!$B$2:$B$42,0))*CP191/2204.62*CO191,"")</f>
        <v/>
      </c>
      <c r="CT191" s="145" t="str">
        <f>IF($I191&lt;&gt;"",J191*(INDEX('Device Refrigerant Leakage'!$D$2:$D$42,MATCH($M191,'Device Refrigerant Leakage'!$B$2:$B$42,0))-(INDEX('Device Refrigerant Leakage'!$D$2:$D$42,MATCH($M191,'Device Refrigerant Leakage'!$B$2:$B$42,0)))*CR191*CP191)*CQ191/2204.62*CO191,"")</f>
        <v/>
      </c>
      <c r="CU191" s="135" t="str">
        <f>IF($I191&lt;&gt;"",J191*IF(W191&lt;&gt;"AR",(CS191*K191)+CT191,(CS191*AB191)+CT191*(AB191/INDEX('Device Refrigerant Leakage'!$C$2:$C$42,MATCH($M191,'Device Refrigerant Leakage'!$B$2:$B$42,0)))),"")</f>
        <v/>
      </c>
      <c r="CW191" s="135" t="str">
        <f>IF($I191&lt;&gt;"",IF(S191="User Specified",V191,INDEX('Refrigerant GWPs'!$G$2:$G$156,MATCH(S191,'Refrigerant GWPs'!$A$2:$A$157,0))),"")</f>
        <v/>
      </c>
      <c r="CX191" s="138" t="str">
        <f>IF($I191&lt;&gt;"",INDEX('Device Refrigerant Leakage'!$E$2:$E$42,MATCH($Q191,'Device Refrigerant Leakage'!$B$2:$B$42,0)),"")</f>
        <v/>
      </c>
      <c r="CY191" s="138" t="str">
        <f>IF($I191&lt;&gt;"",INDEX('Device Refrigerant Leakage'!$F$2:$F$42,MATCH($Q191,'Device Refrigerant Leakage'!$B$2:$B$42,0)),"")</f>
        <v/>
      </c>
      <c r="CZ191" s="145" t="str">
        <f>IF($I191&lt;&gt;"",INDEX('Device Refrigerant Leakage'!$G$2:$G$42,MATCH($Q191,'Device Refrigerant Leakage'!$B$2:$B$42,0)),"")</f>
        <v/>
      </c>
      <c r="DA191" s="145" t="str">
        <f>IF($I191&lt;&gt;"",J191*INDEX('Device Refrigerant Leakage'!$D$2:$D$42,MATCH($Q191,'Device Refrigerant Leakage'!$B$2:$B$42,0))*CX191/2204.62*CW191,"")</f>
        <v/>
      </c>
      <c r="DB191" s="145" t="str">
        <f>IF($I191&lt;&gt;"",J191*(INDEX('Device Refrigerant Leakage'!$D$2:$D$42,MATCH($Q191,'Device Refrigerant Leakage'!$B$2:$B$42,0))-(INDEX('Device Refrigerant Leakage'!$D$2:$D$42,MATCH($Q191,'Device Refrigerant Leakage'!$B$2:$B$42,0)))*CZ191*CX191)*CY191/2204.62*CW191,"")</f>
        <v/>
      </c>
      <c r="DC191" s="135" t="str">
        <f t="shared" si="244"/>
        <v/>
      </c>
      <c r="DE191" s="146" t="str">
        <f>IF(W191&lt;&gt;"AR","",IF(Y191="User Specified", AA191, INDEX('Refrigerant GWPs'!$G$2:$G$154,MATCH(Y191,'Refrigerant GWPs'!$A$2:$A$154,0))))</f>
        <v/>
      </c>
      <c r="DF191" s="146" t="str">
        <f>IF(W191&lt;&gt;"AR","",INDEX('Device Refrigerant Leakage'!$E$2:$E$42,MATCH(X191,'Device Refrigerant Leakage'!$B$2:$B$42,0)))</f>
        <v/>
      </c>
      <c r="DG191" s="146" t="str">
        <f>IF(W191&lt;&gt;"AR","",INDEX('Device Refrigerant Leakage'!$F$2:$F$42,MATCH(X191,'Device Refrigerant Leakage'!$B$2:$B$42,0)))</f>
        <v/>
      </c>
      <c r="DH191" s="146" t="str">
        <f>IF(W191&lt;&gt;"AR","",INDEX('Device Refrigerant Leakage'!$G$2:$G$42,MATCH(X191,'Device Refrigerant Leakage'!$B$2:$B$42,0)))</f>
        <v/>
      </c>
      <c r="DI191" s="146" t="str">
        <f>IF(W191&lt;&gt;"AR","",J191*INDEX('Device Refrigerant Leakage'!$D$2:$D$42,MATCH(X191,'Device Refrigerant Leakage'!$B$2:$B$42,0))*DF191/2204.62*DE191)</f>
        <v/>
      </c>
      <c r="DJ191" s="146" t="str">
        <f>IF(W191&lt;&gt;"AR","",J191*(INDEX('Device Refrigerant Leakage'!$D$2:$D$42,MATCH(X191,'Device Refrigerant Leakage'!$B$2:$B$42,0))-(INDEX('Device Refrigerant Leakage'!$D$2:$D$42,MATCH(X191,'Device Refrigerant Leakage'!$B$2:$B$42,0)))*DH191*DF191)*DG191/2204.62*DE191)</f>
        <v/>
      </c>
      <c r="DK191" s="146" t="str">
        <f>IF(W191&lt;&gt;"AR","",DI191*(K191-AB191)+'Fuel Sub Calcs-Deemed'!DJ191*((K191-AB191)/INDEX('Device Refrigerant Leakage'!$C$2:$C$42,MATCH('Fuel Sub Calcs-Deemed'!X191,'Device Refrigerant Leakage'!$B$2:$B$42,0))))</f>
        <v/>
      </c>
      <c r="DM191" s="56">
        <v>177</v>
      </c>
      <c r="DN191" s="67" t="e">
        <f t="shared" si="224"/>
        <v>#N/A</v>
      </c>
      <c r="DO191" s="45" t="e">
        <f t="shared" si="225"/>
        <v>#N/A</v>
      </c>
      <c r="DP191" s="67" t="e">
        <f t="shared" si="226"/>
        <v>#N/A</v>
      </c>
      <c r="DQ191" s="45" t="e">
        <f t="shared" si="227"/>
        <v>#N/A</v>
      </c>
      <c r="DR191" s="69" t="e">
        <f t="shared" si="228"/>
        <v>#N/A</v>
      </c>
      <c r="DS191" s="34"/>
      <c r="DT191" s="67" t="e">
        <f>((BX191*CJ191)+IF($W191=MAT_AR,(BZ191*CL191),0))*(1+Reference!$E$50+Reference!$E$51)</f>
        <v>#N/A</v>
      </c>
      <c r="DU191" s="67">
        <f>((BY191*CK191)+IF($W191=MAT_AR,(CA191*CM191),0))*(1+Reference!$G$50+Reference!$G$51)</f>
        <v>0</v>
      </c>
      <c r="DV191" s="67" t="e">
        <f t="shared" si="229"/>
        <v>#VALUE!</v>
      </c>
      <c r="DX191" s="56">
        <v>177</v>
      </c>
      <c r="DY191" s="67">
        <f t="shared" si="230"/>
        <v>0</v>
      </c>
      <c r="DZ191" s="45" t="e">
        <f>VLOOKUP($R191,Dropdown!$C$3:$D$4,2,FALSE)</f>
        <v>#N/A</v>
      </c>
      <c r="EA191" s="68">
        <f t="shared" si="231"/>
        <v>0</v>
      </c>
      <c r="EB191" s="68" t="str">
        <f t="shared" si="232"/>
        <v>N/A</v>
      </c>
      <c r="EC191" s="68">
        <f t="shared" si="233"/>
        <v>0</v>
      </c>
      <c r="ED191" s="68" t="str">
        <f t="shared" si="280"/>
        <v>N/A</v>
      </c>
      <c r="EF191" s="56">
        <v>177</v>
      </c>
      <c r="EG191" s="46">
        <f t="shared" si="235"/>
        <v>0</v>
      </c>
      <c r="EH191" s="68" t="e">
        <f t="shared" si="236"/>
        <v>#N/A</v>
      </c>
      <c r="EI191" s="68" t="e">
        <f t="shared" si="237"/>
        <v>#N/A</v>
      </c>
      <c r="EJ191" s="68" t="e">
        <f t="shared" si="238"/>
        <v>#N/A</v>
      </c>
      <c r="EK191" s="68" t="e">
        <f t="shared" si="239"/>
        <v>#N/A</v>
      </c>
      <c r="EL191" s="46">
        <f t="shared" si="240"/>
        <v>0</v>
      </c>
      <c r="EM191" s="46">
        <f t="shared" si="241"/>
        <v>0</v>
      </c>
    </row>
    <row r="192" spans="1:143">
      <c r="A192" s="89"/>
      <c r="B192" s="89"/>
      <c r="C192" s="89"/>
      <c r="D192" s="89"/>
      <c r="E192" s="89"/>
      <c r="F192" s="89"/>
      <c r="G192" s="34"/>
      <c r="H192" s="56">
        <f t="shared" si="242"/>
        <v>178</v>
      </c>
      <c r="I192" s="165"/>
      <c r="J192" s="163"/>
      <c r="K192" s="163"/>
      <c r="L192" s="164"/>
      <c r="M192" s="155"/>
      <c r="N192" s="155"/>
      <c r="O192" s="144"/>
      <c r="P192" s="159" t="str">
        <f>IFERROR(IF(O192&lt;&gt;"User Specified",IF(O192&lt;&gt;"", INDEX('Refrigerant GWPs'!$G$2:$G$154,MATCH(O192,'Refrigerant GWPs'!$A$2:$A$154,0)),""),U192),0)</f>
        <v/>
      </c>
      <c r="Q192" s="155"/>
      <c r="R192" s="155"/>
      <c r="S192" s="144"/>
      <c r="T192" s="159" t="str">
        <f>IF(S192&lt;&gt;"User Specified",IF(AND(S192&lt;&gt;"User Specified",S192&lt;&gt;""), INDEX('Refrigerant GWPs'!$G$2:$G$154,MATCH(S192,'Refrigerant GWPs'!$A$2:$A$154,0)),""),V192)</f>
        <v/>
      </c>
      <c r="U192" s="144"/>
      <c r="V192" s="144"/>
      <c r="W192" s="155"/>
      <c r="X192" s="155"/>
      <c r="Y192" s="144"/>
      <c r="Z192" s="159" t="str">
        <f>IF(AND(Y192&lt;&gt;"User Specified",Y192&lt;&gt;""), INDEX('Refrigerant GWPs'!$G$2:$G$154,MATCH(Y192,'Refrigerant GWPs'!$A$2:$A$154,0)),"")</f>
        <v/>
      </c>
      <c r="AA192" s="155"/>
      <c r="AB192" s="156"/>
      <c r="AC192" s="66"/>
      <c r="AD192" s="66"/>
      <c r="AE192" s="66"/>
      <c r="AF192" s="66"/>
      <c r="AG192" s="66"/>
      <c r="AH192" s="66"/>
      <c r="AI192" s="34"/>
      <c r="AJ192" s="88">
        <f t="shared" si="200"/>
        <v>0</v>
      </c>
      <c r="AK192" s="88">
        <f t="shared" si="201"/>
        <v>0</v>
      </c>
      <c r="AL192" s="88">
        <v>0</v>
      </c>
      <c r="AM192" s="88">
        <v>0</v>
      </c>
      <c r="AN192" s="81" t="str">
        <f t="shared" si="243"/>
        <v/>
      </c>
      <c r="AO192" s="88">
        <f t="shared" si="202"/>
        <v>0</v>
      </c>
      <c r="AP192" s="88">
        <f t="shared" si="203"/>
        <v>0</v>
      </c>
      <c r="AQ192" s="81" t="str">
        <f t="shared" si="204"/>
        <v/>
      </c>
      <c r="AS192" s="41" t="b">
        <f t="shared" si="205"/>
        <v>1</v>
      </c>
      <c r="AT192" s="38">
        <f t="shared" si="206"/>
        <v>0</v>
      </c>
      <c r="AU192" s="60">
        <f t="shared" si="207"/>
        <v>0</v>
      </c>
      <c r="AV192" s="41">
        <f t="shared" si="208"/>
        <v>0</v>
      </c>
      <c r="AW192" s="41" t="b">
        <f t="shared" si="209"/>
        <v>0</v>
      </c>
      <c r="AX192" t="str">
        <f t="shared" si="210"/>
        <v>+00</v>
      </c>
      <c r="AY192" t="str">
        <f t="shared" si="211"/>
        <v>+00</v>
      </c>
      <c r="BA192" s="47" t="b">
        <f t="shared" si="245"/>
        <v>1</v>
      </c>
      <c r="BB192" s="42" t="b">
        <f t="shared" si="246"/>
        <v>1</v>
      </c>
      <c r="BC192" s="42" t="b">
        <f t="shared" si="247"/>
        <v>0</v>
      </c>
      <c r="BD192" s="42" t="b">
        <f t="shared" si="248"/>
        <v>0</v>
      </c>
      <c r="BE192" s="70">
        <f t="shared" si="249"/>
        <v>0</v>
      </c>
      <c r="BF192" s="70">
        <f t="shared" si="250"/>
        <v>0</v>
      </c>
      <c r="BG192" s="34"/>
      <c r="BI192" s="47" t="b">
        <f t="shared" si="251"/>
        <v>1</v>
      </c>
      <c r="BJ192" s="47" t="b">
        <f t="shared" si="252"/>
        <v>1</v>
      </c>
      <c r="BK192" s="42" t="b">
        <f t="shared" si="253"/>
        <v>0</v>
      </c>
      <c r="BL192" s="42" t="b">
        <f t="shared" si="254"/>
        <v>0</v>
      </c>
      <c r="BM192" s="42">
        <f t="shared" si="255"/>
        <v>0</v>
      </c>
      <c r="BN192" s="42">
        <f t="shared" si="256"/>
        <v>0</v>
      </c>
      <c r="BP192" t="e">
        <f t="shared" si="257"/>
        <v>#N/A</v>
      </c>
      <c r="BQ192" t="e">
        <f t="shared" si="258"/>
        <v>#N/A</v>
      </c>
      <c r="BR192" t="e">
        <f t="shared" si="259"/>
        <v>#N/A</v>
      </c>
      <c r="BT192" s="60">
        <f t="shared" si="268"/>
        <v>0</v>
      </c>
      <c r="BU192" s="60">
        <f t="shared" si="269"/>
        <v>0</v>
      </c>
      <c r="BV192" s="60">
        <f t="shared" si="270"/>
        <v>0</v>
      </c>
      <c r="BW192" s="60">
        <f t="shared" si="271"/>
        <v>0</v>
      </c>
      <c r="BX192" s="60">
        <f t="shared" si="260"/>
        <v>0</v>
      </c>
      <c r="BY192" s="60">
        <f t="shared" si="261"/>
        <v>0</v>
      </c>
      <c r="BZ192" s="60">
        <f t="shared" si="262"/>
        <v>0</v>
      </c>
      <c r="CA192" s="60">
        <f t="shared" si="263"/>
        <v>0</v>
      </c>
      <c r="CB192" s="60" t="e">
        <f t="shared" si="272"/>
        <v>#N/A</v>
      </c>
      <c r="CC192" s="60">
        <f t="shared" si="273"/>
        <v>100000</v>
      </c>
      <c r="CD192" s="60" t="e">
        <f t="shared" si="274"/>
        <v>#N/A</v>
      </c>
      <c r="CE192" s="60">
        <f t="shared" si="275"/>
        <v>100000</v>
      </c>
      <c r="CF192" s="83" t="e">
        <f t="shared" si="264"/>
        <v>#N/A</v>
      </c>
      <c r="CG192" s="83">
        <f t="shared" si="265"/>
        <v>0</v>
      </c>
      <c r="CH192" s="83" t="e">
        <f t="shared" si="266"/>
        <v>#N/A</v>
      </c>
      <c r="CI192" s="83">
        <f t="shared" si="267"/>
        <v>0</v>
      </c>
      <c r="CJ192" s="86" t="e">
        <f t="shared" si="276"/>
        <v>#N/A</v>
      </c>
      <c r="CK192" s="82">
        <f t="shared" si="277"/>
        <v>5.3070370403969858E-3</v>
      </c>
      <c r="CL192" s="82" t="e">
        <f t="shared" si="278"/>
        <v>#N/A</v>
      </c>
      <c r="CM192" s="82">
        <f t="shared" si="279"/>
        <v>5.3070370403969858E-3</v>
      </c>
      <c r="CO192" s="149" t="str">
        <f>IF($I192&lt;&gt;"",IF(O192="User Specified",U192,INDEX('Refrigerant GWPs'!$G$2:$G$156,MATCH(O192,'Refrigerant GWPs'!$A$2:$A$156,0))),"")</f>
        <v/>
      </c>
      <c r="CP192" s="138" t="str">
        <f>IF($I192&lt;&gt;"",INDEX('Device Refrigerant Leakage'!$E$2:$E$42,MATCH($M192,'Device Refrigerant Leakage'!$B$2:$B$42,0)),"")</f>
        <v/>
      </c>
      <c r="CQ192" s="138" t="str">
        <f>IF($I192&lt;&gt;"",INDEX('Device Refrigerant Leakage'!$F$2:$F$42,MATCH($M192,'Device Refrigerant Leakage'!$B$2:$B$42,0)),"")</f>
        <v/>
      </c>
      <c r="CR192" s="145" t="str">
        <f>IF($I192&lt;&gt;"",INDEX('Device Refrigerant Leakage'!$G$2:$G$42,MATCH($M192,'Device Refrigerant Leakage'!$B$2:$B$42,0)),"")</f>
        <v/>
      </c>
      <c r="CS192" s="145" t="str">
        <f>IF($I192&lt;&gt;"",INDEX('Device Refrigerant Leakage'!$D$2:$D$42,MATCH($M192,'Device Refrigerant Leakage'!$B$2:$B$42,0))*CP192/2204.62*CO192,"")</f>
        <v/>
      </c>
      <c r="CT192" s="145" t="str">
        <f>IF($I192&lt;&gt;"",J192*(INDEX('Device Refrigerant Leakage'!$D$2:$D$42,MATCH($M192,'Device Refrigerant Leakage'!$B$2:$B$42,0))-(INDEX('Device Refrigerant Leakage'!$D$2:$D$42,MATCH($M192,'Device Refrigerant Leakage'!$B$2:$B$42,0)))*CR192*CP192)*CQ192/2204.62*CO192,"")</f>
        <v/>
      </c>
      <c r="CU192" s="135" t="str">
        <f>IF($I192&lt;&gt;"",J192*IF(W192&lt;&gt;"AR",(CS192*K192)+CT192,(CS192*AB192)+CT192*(AB192/INDEX('Device Refrigerant Leakage'!$C$2:$C$42,MATCH($M192,'Device Refrigerant Leakage'!$B$2:$B$42,0)))),"")</f>
        <v/>
      </c>
      <c r="CW192" s="135" t="str">
        <f>IF($I192&lt;&gt;"",IF(S192="User Specified",V192,INDEX('Refrigerant GWPs'!$G$2:$G$156,MATCH(S192,'Refrigerant GWPs'!$A$2:$A$157,0))),"")</f>
        <v/>
      </c>
      <c r="CX192" s="138" t="str">
        <f>IF($I192&lt;&gt;"",INDEX('Device Refrigerant Leakage'!$E$2:$E$42,MATCH($Q192,'Device Refrigerant Leakage'!$B$2:$B$42,0)),"")</f>
        <v/>
      </c>
      <c r="CY192" s="138" t="str">
        <f>IF($I192&lt;&gt;"",INDEX('Device Refrigerant Leakage'!$F$2:$F$42,MATCH($Q192,'Device Refrigerant Leakage'!$B$2:$B$42,0)),"")</f>
        <v/>
      </c>
      <c r="CZ192" s="145" t="str">
        <f>IF($I192&lt;&gt;"",INDEX('Device Refrigerant Leakage'!$G$2:$G$42,MATCH($Q192,'Device Refrigerant Leakage'!$B$2:$B$42,0)),"")</f>
        <v/>
      </c>
      <c r="DA192" s="145" t="str">
        <f>IF($I192&lt;&gt;"",J192*INDEX('Device Refrigerant Leakage'!$D$2:$D$42,MATCH($Q192,'Device Refrigerant Leakage'!$B$2:$B$42,0))*CX192/2204.62*CW192,"")</f>
        <v/>
      </c>
      <c r="DB192" s="145" t="str">
        <f>IF($I192&lt;&gt;"",J192*(INDEX('Device Refrigerant Leakage'!$D$2:$D$42,MATCH($Q192,'Device Refrigerant Leakage'!$B$2:$B$42,0))-(INDEX('Device Refrigerant Leakage'!$D$2:$D$42,MATCH($Q192,'Device Refrigerant Leakage'!$B$2:$B$42,0)))*CZ192*CX192)*CY192/2204.62*CW192,"")</f>
        <v/>
      </c>
      <c r="DC192" s="135" t="str">
        <f t="shared" si="244"/>
        <v/>
      </c>
      <c r="DE192" s="146" t="str">
        <f>IF(W192&lt;&gt;"AR","",IF(Y192="User Specified", AA192, INDEX('Refrigerant GWPs'!$G$2:$G$154,MATCH(Y192,'Refrigerant GWPs'!$A$2:$A$154,0))))</f>
        <v/>
      </c>
      <c r="DF192" s="146" t="str">
        <f>IF(W192&lt;&gt;"AR","",INDEX('Device Refrigerant Leakage'!$E$2:$E$42,MATCH(X192,'Device Refrigerant Leakage'!$B$2:$B$42,0)))</f>
        <v/>
      </c>
      <c r="DG192" s="146" t="str">
        <f>IF(W192&lt;&gt;"AR","",INDEX('Device Refrigerant Leakage'!$F$2:$F$42,MATCH(X192,'Device Refrigerant Leakage'!$B$2:$B$42,0)))</f>
        <v/>
      </c>
      <c r="DH192" s="146" t="str">
        <f>IF(W192&lt;&gt;"AR","",INDEX('Device Refrigerant Leakage'!$G$2:$G$42,MATCH(X192,'Device Refrigerant Leakage'!$B$2:$B$42,0)))</f>
        <v/>
      </c>
      <c r="DI192" s="146" t="str">
        <f>IF(W192&lt;&gt;"AR","",J192*INDEX('Device Refrigerant Leakage'!$D$2:$D$42,MATCH(X192,'Device Refrigerant Leakage'!$B$2:$B$42,0))*DF192/2204.62*DE192)</f>
        <v/>
      </c>
      <c r="DJ192" s="146" t="str">
        <f>IF(W192&lt;&gt;"AR","",J192*(INDEX('Device Refrigerant Leakage'!$D$2:$D$42,MATCH(X192,'Device Refrigerant Leakage'!$B$2:$B$42,0))-(INDEX('Device Refrigerant Leakage'!$D$2:$D$42,MATCH(X192,'Device Refrigerant Leakage'!$B$2:$B$42,0)))*DH192*DF192)*DG192/2204.62*DE192)</f>
        <v/>
      </c>
      <c r="DK192" s="146" t="str">
        <f>IF(W192&lt;&gt;"AR","",DI192*(K192-AB192)+'Fuel Sub Calcs-Deemed'!DJ192*((K192-AB192)/INDEX('Device Refrigerant Leakage'!$C$2:$C$42,MATCH('Fuel Sub Calcs-Deemed'!X192,'Device Refrigerant Leakage'!$B$2:$B$42,0))))</f>
        <v/>
      </c>
      <c r="DM192" s="56">
        <v>178</v>
      </c>
      <c r="DN192" s="67" t="e">
        <f t="shared" si="224"/>
        <v>#N/A</v>
      </c>
      <c r="DO192" s="45" t="e">
        <f t="shared" si="225"/>
        <v>#N/A</v>
      </c>
      <c r="DP192" s="67" t="e">
        <f t="shared" si="226"/>
        <v>#N/A</v>
      </c>
      <c r="DQ192" s="45" t="e">
        <f t="shared" si="227"/>
        <v>#N/A</v>
      </c>
      <c r="DR192" s="69" t="e">
        <f t="shared" si="228"/>
        <v>#N/A</v>
      </c>
      <c r="DS192" s="34"/>
      <c r="DT192" s="67" t="e">
        <f>((BX192*CJ192)+IF($W192=MAT_AR,(BZ192*CL192),0))*(1+Reference!$E$50+Reference!$E$51)</f>
        <v>#N/A</v>
      </c>
      <c r="DU192" s="67">
        <f>((BY192*CK192)+IF($W192=MAT_AR,(CA192*CM192),0))*(1+Reference!$G$50+Reference!$G$51)</f>
        <v>0</v>
      </c>
      <c r="DV192" s="67" t="e">
        <f t="shared" si="229"/>
        <v>#VALUE!</v>
      </c>
      <c r="DX192" s="56">
        <v>178</v>
      </c>
      <c r="DY192" s="67">
        <f t="shared" si="230"/>
        <v>0</v>
      </c>
      <c r="DZ192" s="45" t="e">
        <f>VLOOKUP($R192,Dropdown!$C$3:$D$4,2,FALSE)</f>
        <v>#N/A</v>
      </c>
      <c r="EA192" s="68">
        <f t="shared" si="231"/>
        <v>0</v>
      </c>
      <c r="EB192" s="68" t="str">
        <f t="shared" si="232"/>
        <v>N/A</v>
      </c>
      <c r="EC192" s="68">
        <f t="shared" si="233"/>
        <v>0</v>
      </c>
      <c r="ED192" s="68" t="str">
        <f t="shared" si="280"/>
        <v>N/A</v>
      </c>
      <c r="EF192" s="56">
        <v>178</v>
      </c>
      <c r="EG192" s="46">
        <f t="shared" si="235"/>
        <v>0</v>
      </c>
      <c r="EH192" s="68" t="e">
        <f t="shared" si="236"/>
        <v>#N/A</v>
      </c>
      <c r="EI192" s="68" t="e">
        <f t="shared" si="237"/>
        <v>#N/A</v>
      </c>
      <c r="EJ192" s="68" t="e">
        <f t="shared" si="238"/>
        <v>#N/A</v>
      </c>
      <c r="EK192" s="68" t="e">
        <f t="shared" si="239"/>
        <v>#N/A</v>
      </c>
      <c r="EL192" s="46">
        <f t="shared" si="240"/>
        <v>0</v>
      </c>
      <c r="EM192" s="46">
        <f t="shared" si="241"/>
        <v>0</v>
      </c>
    </row>
    <row r="193" spans="1:143">
      <c r="A193" s="89"/>
      <c r="B193" s="89"/>
      <c r="C193" s="89"/>
      <c r="D193" s="89"/>
      <c r="E193" s="89"/>
      <c r="F193" s="89"/>
      <c r="G193" s="34"/>
      <c r="H193" s="56">
        <f t="shared" si="242"/>
        <v>179</v>
      </c>
      <c r="I193" s="165"/>
      <c r="J193" s="163"/>
      <c r="K193" s="163"/>
      <c r="L193" s="164"/>
      <c r="M193" s="155"/>
      <c r="N193" s="155"/>
      <c r="O193" s="144"/>
      <c r="P193" s="159" t="str">
        <f>IFERROR(IF(O193&lt;&gt;"User Specified",IF(O193&lt;&gt;"", INDEX('Refrigerant GWPs'!$G$2:$G$154,MATCH(O193,'Refrigerant GWPs'!$A$2:$A$154,0)),""),U193),0)</f>
        <v/>
      </c>
      <c r="Q193" s="155"/>
      <c r="R193" s="155"/>
      <c r="S193" s="144"/>
      <c r="T193" s="159" t="str">
        <f>IF(S193&lt;&gt;"User Specified",IF(AND(S193&lt;&gt;"User Specified",S193&lt;&gt;""), INDEX('Refrigerant GWPs'!$G$2:$G$154,MATCH(S193,'Refrigerant GWPs'!$A$2:$A$154,0)),""),V193)</f>
        <v/>
      </c>
      <c r="U193" s="144"/>
      <c r="V193" s="144"/>
      <c r="W193" s="155"/>
      <c r="X193" s="155"/>
      <c r="Y193" s="144"/>
      <c r="Z193" s="159" t="str">
        <f>IF(AND(Y193&lt;&gt;"User Specified",Y193&lt;&gt;""), INDEX('Refrigerant GWPs'!$G$2:$G$154,MATCH(Y193,'Refrigerant GWPs'!$A$2:$A$154,0)),"")</f>
        <v/>
      </c>
      <c r="AA193" s="155"/>
      <c r="AB193" s="156"/>
      <c r="AC193" s="66"/>
      <c r="AD193" s="66"/>
      <c r="AE193" s="66"/>
      <c r="AF193" s="66"/>
      <c r="AG193" s="66"/>
      <c r="AH193" s="66"/>
      <c r="AI193" s="34"/>
      <c r="AJ193" s="88">
        <f t="shared" si="200"/>
        <v>0</v>
      </c>
      <c r="AK193" s="88">
        <f t="shared" si="201"/>
        <v>0</v>
      </c>
      <c r="AL193" s="88">
        <v>0</v>
      </c>
      <c r="AM193" s="88">
        <v>0</v>
      </c>
      <c r="AN193" s="81" t="str">
        <f t="shared" si="243"/>
        <v/>
      </c>
      <c r="AO193" s="88">
        <f t="shared" si="202"/>
        <v>0</v>
      </c>
      <c r="AP193" s="88">
        <f t="shared" si="203"/>
        <v>0</v>
      </c>
      <c r="AQ193" s="81" t="str">
        <f t="shared" si="204"/>
        <v/>
      </c>
      <c r="AS193" s="41" t="b">
        <f t="shared" si="205"/>
        <v>1</v>
      </c>
      <c r="AT193" s="38">
        <f t="shared" si="206"/>
        <v>0</v>
      </c>
      <c r="AU193" s="60">
        <f t="shared" si="207"/>
        <v>0</v>
      </c>
      <c r="AV193" s="41">
        <f t="shared" si="208"/>
        <v>0</v>
      </c>
      <c r="AW193" s="41" t="b">
        <f t="shared" si="209"/>
        <v>0</v>
      </c>
      <c r="AX193" t="str">
        <f t="shared" si="210"/>
        <v>+00</v>
      </c>
      <c r="AY193" t="str">
        <f t="shared" si="211"/>
        <v>+00</v>
      </c>
      <c r="BA193" s="47" t="b">
        <f t="shared" si="245"/>
        <v>1</v>
      </c>
      <c r="BB193" s="42" t="b">
        <f t="shared" si="246"/>
        <v>1</v>
      </c>
      <c r="BC193" s="42" t="b">
        <f t="shared" si="247"/>
        <v>0</v>
      </c>
      <c r="BD193" s="42" t="b">
        <f t="shared" si="248"/>
        <v>0</v>
      </c>
      <c r="BE193" s="70">
        <f t="shared" si="249"/>
        <v>0</v>
      </c>
      <c r="BF193" s="70">
        <f t="shared" si="250"/>
        <v>0</v>
      </c>
      <c r="BG193" s="34"/>
      <c r="BI193" s="47" t="b">
        <f t="shared" si="251"/>
        <v>1</v>
      </c>
      <c r="BJ193" s="47" t="b">
        <f t="shared" si="252"/>
        <v>1</v>
      </c>
      <c r="BK193" s="42" t="b">
        <f t="shared" si="253"/>
        <v>0</v>
      </c>
      <c r="BL193" s="42" t="b">
        <f t="shared" si="254"/>
        <v>0</v>
      </c>
      <c r="BM193" s="42">
        <f t="shared" si="255"/>
        <v>0</v>
      </c>
      <c r="BN193" s="42">
        <f t="shared" si="256"/>
        <v>0</v>
      </c>
      <c r="BP193" t="e">
        <f t="shared" si="257"/>
        <v>#N/A</v>
      </c>
      <c r="BQ193" t="e">
        <f t="shared" si="258"/>
        <v>#N/A</v>
      </c>
      <c r="BR193" t="e">
        <f t="shared" si="259"/>
        <v>#N/A</v>
      </c>
      <c r="BT193" s="60">
        <f t="shared" si="268"/>
        <v>0</v>
      </c>
      <c r="BU193" s="60">
        <f t="shared" si="269"/>
        <v>0</v>
      </c>
      <c r="BV193" s="60">
        <f t="shared" si="270"/>
        <v>0</v>
      </c>
      <c r="BW193" s="60">
        <f t="shared" si="271"/>
        <v>0</v>
      </c>
      <c r="BX193" s="60">
        <f t="shared" si="260"/>
        <v>0</v>
      </c>
      <c r="BY193" s="60">
        <f t="shared" si="261"/>
        <v>0</v>
      </c>
      <c r="BZ193" s="60">
        <f t="shared" si="262"/>
        <v>0</v>
      </c>
      <c r="CA193" s="60">
        <f t="shared" si="263"/>
        <v>0</v>
      </c>
      <c r="CB193" s="60" t="e">
        <f t="shared" si="272"/>
        <v>#N/A</v>
      </c>
      <c r="CC193" s="60">
        <f t="shared" si="273"/>
        <v>100000</v>
      </c>
      <c r="CD193" s="60" t="e">
        <f t="shared" si="274"/>
        <v>#N/A</v>
      </c>
      <c r="CE193" s="60">
        <f t="shared" si="275"/>
        <v>100000</v>
      </c>
      <c r="CF193" s="83" t="e">
        <f t="shared" si="264"/>
        <v>#N/A</v>
      </c>
      <c r="CG193" s="83">
        <f t="shared" si="265"/>
        <v>0</v>
      </c>
      <c r="CH193" s="83" t="e">
        <f t="shared" si="266"/>
        <v>#N/A</v>
      </c>
      <c r="CI193" s="83">
        <f t="shared" si="267"/>
        <v>0</v>
      </c>
      <c r="CJ193" s="86" t="e">
        <f t="shared" si="276"/>
        <v>#N/A</v>
      </c>
      <c r="CK193" s="82">
        <f t="shared" si="277"/>
        <v>5.3070370403969858E-3</v>
      </c>
      <c r="CL193" s="82" t="e">
        <f t="shared" si="278"/>
        <v>#N/A</v>
      </c>
      <c r="CM193" s="82">
        <f t="shared" si="279"/>
        <v>5.3070370403969858E-3</v>
      </c>
      <c r="CO193" s="149" t="str">
        <f>IF($I193&lt;&gt;"",IF(O193="User Specified",U193,INDEX('Refrigerant GWPs'!$G$2:$G$156,MATCH(O193,'Refrigerant GWPs'!$A$2:$A$156,0))),"")</f>
        <v/>
      </c>
      <c r="CP193" s="138" t="str">
        <f>IF($I193&lt;&gt;"",INDEX('Device Refrigerant Leakage'!$E$2:$E$42,MATCH($M193,'Device Refrigerant Leakage'!$B$2:$B$42,0)),"")</f>
        <v/>
      </c>
      <c r="CQ193" s="138" t="str">
        <f>IF($I193&lt;&gt;"",INDEX('Device Refrigerant Leakage'!$F$2:$F$42,MATCH($M193,'Device Refrigerant Leakage'!$B$2:$B$42,0)),"")</f>
        <v/>
      </c>
      <c r="CR193" s="145" t="str">
        <f>IF($I193&lt;&gt;"",INDEX('Device Refrigerant Leakage'!$G$2:$G$42,MATCH($M193,'Device Refrigerant Leakage'!$B$2:$B$42,0)),"")</f>
        <v/>
      </c>
      <c r="CS193" s="145" t="str">
        <f>IF($I193&lt;&gt;"",INDEX('Device Refrigerant Leakage'!$D$2:$D$42,MATCH($M193,'Device Refrigerant Leakage'!$B$2:$B$42,0))*CP193/2204.62*CO193,"")</f>
        <v/>
      </c>
      <c r="CT193" s="145" t="str">
        <f>IF($I193&lt;&gt;"",J193*(INDEX('Device Refrigerant Leakage'!$D$2:$D$42,MATCH($M193,'Device Refrigerant Leakage'!$B$2:$B$42,0))-(INDEX('Device Refrigerant Leakage'!$D$2:$D$42,MATCH($M193,'Device Refrigerant Leakage'!$B$2:$B$42,0)))*CR193*CP193)*CQ193/2204.62*CO193,"")</f>
        <v/>
      </c>
      <c r="CU193" s="135" t="str">
        <f>IF($I193&lt;&gt;"",J193*IF(W193&lt;&gt;"AR",(CS193*K193)+CT193,(CS193*AB193)+CT193*(AB193/INDEX('Device Refrigerant Leakage'!$C$2:$C$42,MATCH($M193,'Device Refrigerant Leakage'!$B$2:$B$42,0)))),"")</f>
        <v/>
      </c>
      <c r="CW193" s="135" t="str">
        <f>IF($I193&lt;&gt;"",IF(S193="User Specified",V193,INDEX('Refrigerant GWPs'!$G$2:$G$156,MATCH(S193,'Refrigerant GWPs'!$A$2:$A$157,0))),"")</f>
        <v/>
      </c>
      <c r="CX193" s="138" t="str">
        <f>IF($I193&lt;&gt;"",INDEX('Device Refrigerant Leakage'!$E$2:$E$42,MATCH($Q193,'Device Refrigerant Leakage'!$B$2:$B$42,0)),"")</f>
        <v/>
      </c>
      <c r="CY193" s="138" t="str">
        <f>IF($I193&lt;&gt;"",INDEX('Device Refrigerant Leakage'!$F$2:$F$42,MATCH($Q193,'Device Refrigerant Leakage'!$B$2:$B$42,0)),"")</f>
        <v/>
      </c>
      <c r="CZ193" s="145" t="str">
        <f>IF($I193&lt;&gt;"",INDEX('Device Refrigerant Leakage'!$G$2:$G$42,MATCH($Q193,'Device Refrigerant Leakage'!$B$2:$B$42,0)),"")</f>
        <v/>
      </c>
      <c r="DA193" s="145" t="str">
        <f>IF($I193&lt;&gt;"",J193*INDEX('Device Refrigerant Leakage'!$D$2:$D$42,MATCH($Q193,'Device Refrigerant Leakage'!$B$2:$B$42,0))*CX193/2204.62*CW193,"")</f>
        <v/>
      </c>
      <c r="DB193" s="145" t="str">
        <f>IF($I193&lt;&gt;"",J193*(INDEX('Device Refrigerant Leakage'!$D$2:$D$42,MATCH($Q193,'Device Refrigerant Leakage'!$B$2:$B$42,0))-(INDEX('Device Refrigerant Leakage'!$D$2:$D$42,MATCH($Q193,'Device Refrigerant Leakage'!$B$2:$B$42,0)))*CZ193*CX193)*CY193/2204.62*CW193,"")</f>
        <v/>
      </c>
      <c r="DC193" s="135" t="str">
        <f t="shared" si="244"/>
        <v/>
      </c>
      <c r="DE193" s="146" t="str">
        <f>IF(W193&lt;&gt;"AR","",IF(Y193="User Specified", AA193, INDEX('Refrigerant GWPs'!$G$2:$G$154,MATCH(Y193,'Refrigerant GWPs'!$A$2:$A$154,0))))</f>
        <v/>
      </c>
      <c r="DF193" s="146" t="str">
        <f>IF(W193&lt;&gt;"AR","",INDEX('Device Refrigerant Leakage'!$E$2:$E$42,MATCH(X193,'Device Refrigerant Leakage'!$B$2:$B$42,0)))</f>
        <v/>
      </c>
      <c r="DG193" s="146" t="str">
        <f>IF(W193&lt;&gt;"AR","",INDEX('Device Refrigerant Leakage'!$F$2:$F$42,MATCH(X193,'Device Refrigerant Leakage'!$B$2:$B$42,0)))</f>
        <v/>
      </c>
      <c r="DH193" s="146" t="str">
        <f>IF(W193&lt;&gt;"AR","",INDEX('Device Refrigerant Leakage'!$G$2:$G$42,MATCH(X193,'Device Refrigerant Leakage'!$B$2:$B$42,0)))</f>
        <v/>
      </c>
      <c r="DI193" s="146" t="str">
        <f>IF(W193&lt;&gt;"AR","",J193*INDEX('Device Refrigerant Leakage'!$D$2:$D$42,MATCH(X193,'Device Refrigerant Leakage'!$B$2:$B$42,0))*DF193/2204.62*DE193)</f>
        <v/>
      </c>
      <c r="DJ193" s="146" t="str">
        <f>IF(W193&lt;&gt;"AR","",J193*(INDEX('Device Refrigerant Leakage'!$D$2:$D$42,MATCH(X193,'Device Refrigerant Leakage'!$B$2:$B$42,0))-(INDEX('Device Refrigerant Leakage'!$D$2:$D$42,MATCH(X193,'Device Refrigerant Leakage'!$B$2:$B$42,0)))*DH193*DF193)*DG193/2204.62*DE193)</f>
        <v/>
      </c>
      <c r="DK193" s="146" t="str">
        <f>IF(W193&lt;&gt;"AR","",DI193*(K193-AB193)+'Fuel Sub Calcs-Deemed'!DJ193*((K193-AB193)/INDEX('Device Refrigerant Leakage'!$C$2:$C$42,MATCH('Fuel Sub Calcs-Deemed'!X193,'Device Refrigerant Leakage'!$B$2:$B$42,0))))</f>
        <v/>
      </c>
      <c r="DM193" s="56">
        <v>179</v>
      </c>
      <c r="DN193" s="67" t="e">
        <f t="shared" si="224"/>
        <v>#N/A</v>
      </c>
      <c r="DO193" s="45" t="e">
        <f t="shared" si="225"/>
        <v>#N/A</v>
      </c>
      <c r="DP193" s="67" t="e">
        <f t="shared" si="226"/>
        <v>#N/A</v>
      </c>
      <c r="DQ193" s="45" t="e">
        <f t="shared" si="227"/>
        <v>#N/A</v>
      </c>
      <c r="DR193" s="69" t="e">
        <f t="shared" si="228"/>
        <v>#N/A</v>
      </c>
      <c r="DS193" s="34"/>
      <c r="DT193" s="67" t="e">
        <f>((BX193*CJ193)+IF($W193=MAT_AR,(BZ193*CL193),0))*(1+Reference!$E$50+Reference!$E$51)</f>
        <v>#N/A</v>
      </c>
      <c r="DU193" s="67">
        <f>((BY193*CK193)+IF($W193=MAT_AR,(CA193*CM193),0))*(1+Reference!$G$50+Reference!$G$51)</f>
        <v>0</v>
      </c>
      <c r="DV193" s="67" t="e">
        <f t="shared" si="229"/>
        <v>#VALUE!</v>
      </c>
      <c r="DX193" s="56">
        <v>179</v>
      </c>
      <c r="DY193" s="67">
        <f t="shared" si="230"/>
        <v>0</v>
      </c>
      <c r="DZ193" s="45" t="e">
        <f>VLOOKUP($R193,Dropdown!$C$3:$D$4,2,FALSE)</f>
        <v>#N/A</v>
      </c>
      <c r="EA193" s="68">
        <f t="shared" si="231"/>
        <v>0</v>
      </c>
      <c r="EB193" s="68" t="str">
        <f t="shared" si="232"/>
        <v>N/A</v>
      </c>
      <c r="EC193" s="68">
        <f t="shared" si="233"/>
        <v>0</v>
      </c>
      <c r="ED193" s="68" t="str">
        <f t="shared" si="280"/>
        <v>N/A</v>
      </c>
      <c r="EF193" s="56">
        <v>179</v>
      </c>
      <c r="EG193" s="46">
        <f t="shared" si="235"/>
        <v>0</v>
      </c>
      <c r="EH193" s="68" t="e">
        <f t="shared" si="236"/>
        <v>#N/A</v>
      </c>
      <c r="EI193" s="68" t="e">
        <f t="shared" si="237"/>
        <v>#N/A</v>
      </c>
      <c r="EJ193" s="68" t="e">
        <f t="shared" si="238"/>
        <v>#N/A</v>
      </c>
      <c r="EK193" s="68" t="e">
        <f t="shared" si="239"/>
        <v>#N/A</v>
      </c>
      <c r="EL193" s="46">
        <f t="shared" si="240"/>
        <v>0</v>
      </c>
      <c r="EM193" s="46">
        <f t="shared" si="241"/>
        <v>0</v>
      </c>
    </row>
    <row r="194" spans="1:143">
      <c r="A194" s="89"/>
      <c r="B194" s="89"/>
      <c r="C194" s="89"/>
      <c r="D194" s="89"/>
      <c r="E194" s="89"/>
      <c r="F194" s="89"/>
      <c r="G194" s="34"/>
      <c r="H194" s="56">
        <f t="shared" si="242"/>
        <v>180</v>
      </c>
      <c r="I194" s="165"/>
      <c r="J194" s="163"/>
      <c r="K194" s="163"/>
      <c r="L194" s="164"/>
      <c r="M194" s="155"/>
      <c r="N194" s="155"/>
      <c r="O194" s="144"/>
      <c r="P194" s="159" t="str">
        <f>IFERROR(IF(O194&lt;&gt;"User Specified",IF(O194&lt;&gt;"", INDEX('Refrigerant GWPs'!$G$2:$G$154,MATCH(O194,'Refrigerant GWPs'!$A$2:$A$154,0)),""),U194),0)</f>
        <v/>
      </c>
      <c r="Q194" s="155"/>
      <c r="R194" s="155"/>
      <c r="S194" s="144"/>
      <c r="T194" s="159" t="str">
        <f>IF(S194&lt;&gt;"User Specified",IF(AND(S194&lt;&gt;"User Specified",S194&lt;&gt;""), INDEX('Refrigerant GWPs'!$G$2:$G$154,MATCH(S194,'Refrigerant GWPs'!$A$2:$A$154,0)),""),V194)</f>
        <v/>
      </c>
      <c r="U194" s="144"/>
      <c r="V194" s="144"/>
      <c r="W194" s="155"/>
      <c r="X194" s="155"/>
      <c r="Y194" s="144"/>
      <c r="Z194" s="159" t="str">
        <f>IF(AND(Y194&lt;&gt;"User Specified",Y194&lt;&gt;""), INDEX('Refrigerant GWPs'!$G$2:$G$154,MATCH(Y194,'Refrigerant GWPs'!$A$2:$A$154,0)),"")</f>
        <v/>
      </c>
      <c r="AA194" s="155"/>
      <c r="AB194" s="156"/>
      <c r="AC194" s="66"/>
      <c r="AD194" s="66"/>
      <c r="AE194" s="66"/>
      <c r="AF194" s="66"/>
      <c r="AG194" s="66"/>
      <c r="AH194" s="66"/>
      <c r="AI194" s="34"/>
      <c r="AJ194" s="88">
        <f t="shared" si="200"/>
        <v>0</v>
      </c>
      <c r="AK194" s="88">
        <f t="shared" si="201"/>
        <v>0</v>
      </c>
      <c r="AL194" s="88">
        <v>0</v>
      </c>
      <c r="AM194" s="88">
        <v>0</v>
      </c>
      <c r="AN194" s="81" t="str">
        <f t="shared" si="243"/>
        <v/>
      </c>
      <c r="AO194" s="88">
        <f t="shared" si="202"/>
        <v>0</v>
      </c>
      <c r="AP194" s="88">
        <f t="shared" si="203"/>
        <v>0</v>
      </c>
      <c r="AQ194" s="81" t="str">
        <f t="shared" si="204"/>
        <v/>
      </c>
      <c r="AS194" s="41" t="b">
        <f t="shared" si="205"/>
        <v>1</v>
      </c>
      <c r="AT194" s="38">
        <f t="shared" si="206"/>
        <v>0</v>
      </c>
      <c r="AU194" s="60">
        <f t="shared" si="207"/>
        <v>0</v>
      </c>
      <c r="AV194" s="41">
        <f t="shared" si="208"/>
        <v>0</v>
      </c>
      <c r="AW194" s="41" t="b">
        <f t="shared" si="209"/>
        <v>0</v>
      </c>
      <c r="AX194" t="str">
        <f t="shared" si="210"/>
        <v>+00</v>
      </c>
      <c r="AY194" t="str">
        <f t="shared" si="211"/>
        <v>+00</v>
      </c>
      <c r="BA194" s="47" t="b">
        <f t="shared" si="245"/>
        <v>1</v>
      </c>
      <c r="BB194" s="42" t="b">
        <f t="shared" si="246"/>
        <v>1</v>
      </c>
      <c r="BC194" s="42" t="b">
        <f t="shared" si="247"/>
        <v>0</v>
      </c>
      <c r="BD194" s="42" t="b">
        <f t="shared" si="248"/>
        <v>0</v>
      </c>
      <c r="BE194" s="70">
        <f t="shared" si="249"/>
        <v>0</v>
      </c>
      <c r="BF194" s="70">
        <f t="shared" si="250"/>
        <v>0</v>
      </c>
      <c r="BG194" s="34"/>
      <c r="BI194" s="47" t="b">
        <f t="shared" si="251"/>
        <v>1</v>
      </c>
      <c r="BJ194" s="47" t="b">
        <f t="shared" si="252"/>
        <v>1</v>
      </c>
      <c r="BK194" s="42" t="b">
        <f t="shared" si="253"/>
        <v>0</v>
      </c>
      <c r="BL194" s="42" t="b">
        <f t="shared" si="254"/>
        <v>0</v>
      </c>
      <c r="BM194" s="42">
        <f t="shared" si="255"/>
        <v>0</v>
      </c>
      <c r="BN194" s="42">
        <f t="shared" si="256"/>
        <v>0</v>
      </c>
      <c r="BP194" t="e">
        <f t="shared" si="257"/>
        <v>#N/A</v>
      </c>
      <c r="BQ194" t="e">
        <f t="shared" si="258"/>
        <v>#N/A</v>
      </c>
      <c r="BR194" t="e">
        <f t="shared" si="259"/>
        <v>#N/A</v>
      </c>
      <c r="BT194" s="60">
        <f t="shared" si="268"/>
        <v>0</v>
      </c>
      <c r="BU194" s="60">
        <f t="shared" si="269"/>
        <v>0</v>
      </c>
      <c r="BV194" s="60">
        <f t="shared" si="270"/>
        <v>0</v>
      </c>
      <c r="BW194" s="60">
        <f t="shared" si="271"/>
        <v>0</v>
      </c>
      <c r="BX194" s="60">
        <f t="shared" si="260"/>
        <v>0</v>
      </c>
      <c r="BY194" s="60">
        <f t="shared" si="261"/>
        <v>0</v>
      </c>
      <c r="BZ194" s="60">
        <f t="shared" si="262"/>
        <v>0</v>
      </c>
      <c r="CA194" s="60">
        <f t="shared" si="263"/>
        <v>0</v>
      </c>
      <c r="CB194" s="60" t="e">
        <f t="shared" si="272"/>
        <v>#N/A</v>
      </c>
      <c r="CC194" s="60">
        <f t="shared" si="273"/>
        <v>100000</v>
      </c>
      <c r="CD194" s="60" t="e">
        <f t="shared" si="274"/>
        <v>#N/A</v>
      </c>
      <c r="CE194" s="60">
        <f t="shared" si="275"/>
        <v>100000</v>
      </c>
      <c r="CF194" s="83" t="e">
        <f t="shared" si="264"/>
        <v>#N/A</v>
      </c>
      <c r="CG194" s="83">
        <f t="shared" si="265"/>
        <v>0</v>
      </c>
      <c r="CH194" s="83" t="e">
        <f t="shared" si="266"/>
        <v>#N/A</v>
      </c>
      <c r="CI194" s="83">
        <f t="shared" si="267"/>
        <v>0</v>
      </c>
      <c r="CJ194" s="86" t="e">
        <f t="shared" si="276"/>
        <v>#N/A</v>
      </c>
      <c r="CK194" s="82">
        <f t="shared" si="277"/>
        <v>5.3070370403969858E-3</v>
      </c>
      <c r="CL194" s="82" t="e">
        <f t="shared" si="278"/>
        <v>#N/A</v>
      </c>
      <c r="CM194" s="82">
        <f t="shared" si="279"/>
        <v>5.3070370403969858E-3</v>
      </c>
      <c r="CO194" s="149" t="str">
        <f>IF($I194&lt;&gt;"",IF(O194="User Specified",U194,INDEX('Refrigerant GWPs'!$G$2:$G$156,MATCH(O194,'Refrigerant GWPs'!$A$2:$A$156,0))),"")</f>
        <v/>
      </c>
      <c r="CP194" s="138" t="str">
        <f>IF($I194&lt;&gt;"",INDEX('Device Refrigerant Leakage'!$E$2:$E$42,MATCH($M194,'Device Refrigerant Leakage'!$B$2:$B$42,0)),"")</f>
        <v/>
      </c>
      <c r="CQ194" s="138" t="str">
        <f>IF($I194&lt;&gt;"",INDEX('Device Refrigerant Leakage'!$F$2:$F$42,MATCH($M194,'Device Refrigerant Leakage'!$B$2:$B$42,0)),"")</f>
        <v/>
      </c>
      <c r="CR194" s="145" t="str">
        <f>IF($I194&lt;&gt;"",INDEX('Device Refrigerant Leakage'!$G$2:$G$42,MATCH($M194,'Device Refrigerant Leakage'!$B$2:$B$42,0)),"")</f>
        <v/>
      </c>
      <c r="CS194" s="145" t="str">
        <f>IF($I194&lt;&gt;"",INDEX('Device Refrigerant Leakage'!$D$2:$D$42,MATCH($M194,'Device Refrigerant Leakage'!$B$2:$B$42,0))*CP194/2204.62*CO194,"")</f>
        <v/>
      </c>
      <c r="CT194" s="145" t="str">
        <f>IF($I194&lt;&gt;"",J194*(INDEX('Device Refrigerant Leakage'!$D$2:$D$42,MATCH($M194,'Device Refrigerant Leakage'!$B$2:$B$42,0))-(INDEX('Device Refrigerant Leakage'!$D$2:$D$42,MATCH($M194,'Device Refrigerant Leakage'!$B$2:$B$42,0)))*CR194*CP194)*CQ194/2204.62*CO194,"")</f>
        <v/>
      </c>
      <c r="CU194" s="135" t="str">
        <f>IF($I194&lt;&gt;"",J194*IF(W194&lt;&gt;"AR",(CS194*K194)+CT194,(CS194*AB194)+CT194*(AB194/INDEX('Device Refrigerant Leakage'!$C$2:$C$42,MATCH($M194,'Device Refrigerant Leakage'!$B$2:$B$42,0)))),"")</f>
        <v/>
      </c>
      <c r="CW194" s="135" t="str">
        <f>IF($I194&lt;&gt;"",IF(S194="User Specified",V194,INDEX('Refrigerant GWPs'!$G$2:$G$156,MATCH(S194,'Refrigerant GWPs'!$A$2:$A$157,0))),"")</f>
        <v/>
      </c>
      <c r="CX194" s="138" t="str">
        <f>IF($I194&lt;&gt;"",INDEX('Device Refrigerant Leakage'!$E$2:$E$42,MATCH($Q194,'Device Refrigerant Leakage'!$B$2:$B$42,0)),"")</f>
        <v/>
      </c>
      <c r="CY194" s="138" t="str">
        <f>IF($I194&lt;&gt;"",INDEX('Device Refrigerant Leakage'!$F$2:$F$42,MATCH($Q194,'Device Refrigerant Leakage'!$B$2:$B$42,0)),"")</f>
        <v/>
      </c>
      <c r="CZ194" s="145" t="str">
        <f>IF($I194&lt;&gt;"",INDEX('Device Refrigerant Leakage'!$G$2:$G$42,MATCH($Q194,'Device Refrigerant Leakage'!$B$2:$B$42,0)),"")</f>
        <v/>
      </c>
      <c r="DA194" s="145" t="str">
        <f>IF($I194&lt;&gt;"",J194*INDEX('Device Refrigerant Leakage'!$D$2:$D$42,MATCH($Q194,'Device Refrigerant Leakage'!$B$2:$B$42,0))*CX194/2204.62*CW194,"")</f>
        <v/>
      </c>
      <c r="DB194" s="145" t="str">
        <f>IF($I194&lt;&gt;"",J194*(INDEX('Device Refrigerant Leakage'!$D$2:$D$42,MATCH($Q194,'Device Refrigerant Leakage'!$B$2:$B$42,0))-(INDEX('Device Refrigerant Leakage'!$D$2:$D$42,MATCH($Q194,'Device Refrigerant Leakage'!$B$2:$B$42,0)))*CZ194*CX194)*CY194/2204.62*CW194,"")</f>
        <v/>
      </c>
      <c r="DC194" s="135" t="str">
        <f t="shared" si="244"/>
        <v/>
      </c>
      <c r="DE194" s="146" t="str">
        <f>IF(W194&lt;&gt;"AR","",IF(Y194="User Specified", AA194, INDEX('Refrigerant GWPs'!$G$2:$G$154,MATCH(Y194,'Refrigerant GWPs'!$A$2:$A$154,0))))</f>
        <v/>
      </c>
      <c r="DF194" s="146" t="str">
        <f>IF(W194&lt;&gt;"AR","",INDEX('Device Refrigerant Leakage'!$E$2:$E$42,MATCH(X194,'Device Refrigerant Leakage'!$B$2:$B$42,0)))</f>
        <v/>
      </c>
      <c r="DG194" s="146" t="str">
        <f>IF(W194&lt;&gt;"AR","",INDEX('Device Refrigerant Leakage'!$F$2:$F$42,MATCH(X194,'Device Refrigerant Leakage'!$B$2:$B$42,0)))</f>
        <v/>
      </c>
      <c r="DH194" s="146" t="str">
        <f>IF(W194&lt;&gt;"AR","",INDEX('Device Refrigerant Leakage'!$G$2:$G$42,MATCH(X194,'Device Refrigerant Leakage'!$B$2:$B$42,0)))</f>
        <v/>
      </c>
      <c r="DI194" s="146" t="str">
        <f>IF(W194&lt;&gt;"AR","",J194*INDEX('Device Refrigerant Leakage'!$D$2:$D$42,MATCH(X194,'Device Refrigerant Leakage'!$B$2:$B$42,0))*DF194/2204.62*DE194)</f>
        <v/>
      </c>
      <c r="DJ194" s="146" t="str">
        <f>IF(W194&lt;&gt;"AR","",J194*(INDEX('Device Refrigerant Leakage'!$D$2:$D$42,MATCH(X194,'Device Refrigerant Leakage'!$B$2:$B$42,0))-(INDEX('Device Refrigerant Leakage'!$D$2:$D$42,MATCH(X194,'Device Refrigerant Leakage'!$B$2:$B$42,0)))*DH194*DF194)*DG194/2204.62*DE194)</f>
        <v/>
      </c>
      <c r="DK194" s="146" t="str">
        <f>IF(W194&lt;&gt;"AR","",DI194*(K194-AB194)+'Fuel Sub Calcs-Deemed'!DJ194*((K194-AB194)/INDEX('Device Refrigerant Leakage'!$C$2:$C$42,MATCH('Fuel Sub Calcs-Deemed'!X194,'Device Refrigerant Leakage'!$B$2:$B$42,0))))</f>
        <v/>
      </c>
      <c r="DM194" s="56">
        <v>180</v>
      </c>
      <c r="DN194" s="67" t="e">
        <f t="shared" si="224"/>
        <v>#N/A</v>
      </c>
      <c r="DO194" s="45" t="e">
        <f t="shared" si="225"/>
        <v>#N/A</v>
      </c>
      <c r="DP194" s="67" t="e">
        <f t="shared" si="226"/>
        <v>#N/A</v>
      </c>
      <c r="DQ194" s="45" t="e">
        <f t="shared" si="227"/>
        <v>#N/A</v>
      </c>
      <c r="DR194" s="69" t="e">
        <f t="shared" si="228"/>
        <v>#N/A</v>
      </c>
      <c r="DS194" s="34"/>
      <c r="DT194" s="67" t="e">
        <f>((BX194*CJ194)+IF($W194=MAT_AR,(BZ194*CL194),0))*(1+Reference!$E$50+Reference!$E$51)</f>
        <v>#N/A</v>
      </c>
      <c r="DU194" s="67">
        <f>((BY194*CK194)+IF($W194=MAT_AR,(CA194*CM194),0))*(1+Reference!$G$50+Reference!$G$51)</f>
        <v>0</v>
      </c>
      <c r="DV194" s="67" t="e">
        <f t="shared" si="229"/>
        <v>#VALUE!</v>
      </c>
      <c r="DX194" s="56">
        <v>180</v>
      </c>
      <c r="DY194" s="67">
        <f t="shared" si="230"/>
        <v>0</v>
      </c>
      <c r="DZ194" s="45" t="e">
        <f>VLOOKUP($R194,Dropdown!$C$3:$D$4,2,FALSE)</f>
        <v>#N/A</v>
      </c>
      <c r="EA194" s="68">
        <f t="shared" si="231"/>
        <v>0</v>
      </c>
      <c r="EB194" s="68" t="str">
        <f t="shared" si="232"/>
        <v>N/A</v>
      </c>
      <c r="EC194" s="68">
        <f t="shared" si="233"/>
        <v>0</v>
      </c>
      <c r="ED194" s="68" t="str">
        <f t="shared" si="280"/>
        <v>N/A</v>
      </c>
      <c r="EF194" s="56">
        <v>180</v>
      </c>
      <c r="EG194" s="46">
        <f t="shared" si="235"/>
        <v>0</v>
      </c>
      <c r="EH194" s="68" t="e">
        <f t="shared" si="236"/>
        <v>#N/A</v>
      </c>
      <c r="EI194" s="68" t="e">
        <f t="shared" si="237"/>
        <v>#N/A</v>
      </c>
      <c r="EJ194" s="68" t="e">
        <f t="shared" si="238"/>
        <v>#N/A</v>
      </c>
      <c r="EK194" s="68" t="e">
        <f t="shared" si="239"/>
        <v>#N/A</v>
      </c>
      <c r="EL194" s="46">
        <f t="shared" si="240"/>
        <v>0</v>
      </c>
      <c r="EM194" s="46">
        <f t="shared" si="241"/>
        <v>0</v>
      </c>
    </row>
    <row r="195" spans="1:143">
      <c r="A195" s="89"/>
      <c r="B195" s="89"/>
      <c r="C195" s="89"/>
      <c r="D195" s="89"/>
      <c r="E195" s="89"/>
      <c r="F195" s="89"/>
      <c r="G195" s="34"/>
      <c r="H195" s="56">
        <f t="shared" si="242"/>
        <v>181</v>
      </c>
      <c r="I195" s="165"/>
      <c r="J195" s="163"/>
      <c r="K195" s="163"/>
      <c r="L195" s="164"/>
      <c r="M195" s="155"/>
      <c r="N195" s="155"/>
      <c r="O195" s="144"/>
      <c r="P195" s="159" t="str">
        <f>IFERROR(IF(O195&lt;&gt;"User Specified",IF(O195&lt;&gt;"", INDEX('Refrigerant GWPs'!$G$2:$G$154,MATCH(O195,'Refrigerant GWPs'!$A$2:$A$154,0)),""),U195),0)</f>
        <v/>
      </c>
      <c r="Q195" s="155"/>
      <c r="R195" s="155"/>
      <c r="S195" s="144"/>
      <c r="T195" s="159" t="str">
        <f>IF(S195&lt;&gt;"User Specified",IF(AND(S195&lt;&gt;"User Specified",S195&lt;&gt;""), INDEX('Refrigerant GWPs'!$G$2:$G$154,MATCH(S195,'Refrigerant GWPs'!$A$2:$A$154,0)),""),V195)</f>
        <v/>
      </c>
      <c r="U195" s="144"/>
      <c r="V195" s="144"/>
      <c r="W195" s="155"/>
      <c r="X195" s="155"/>
      <c r="Y195" s="144"/>
      <c r="Z195" s="159" t="str">
        <f>IF(AND(Y195&lt;&gt;"User Specified",Y195&lt;&gt;""), INDEX('Refrigerant GWPs'!$G$2:$G$154,MATCH(Y195,'Refrigerant GWPs'!$A$2:$A$154,0)),"")</f>
        <v/>
      </c>
      <c r="AA195" s="155"/>
      <c r="AB195" s="156"/>
      <c r="AC195" s="66"/>
      <c r="AD195" s="66"/>
      <c r="AE195" s="66"/>
      <c r="AF195" s="66"/>
      <c r="AG195" s="66"/>
      <c r="AH195" s="66"/>
      <c r="AI195" s="34"/>
      <c r="AJ195" s="88">
        <f t="shared" si="200"/>
        <v>0</v>
      </c>
      <c r="AK195" s="88">
        <f t="shared" si="201"/>
        <v>0</v>
      </c>
      <c r="AL195" s="88">
        <v>0</v>
      </c>
      <c r="AM195" s="88">
        <v>0</v>
      </c>
      <c r="AN195" s="81" t="str">
        <f t="shared" si="243"/>
        <v/>
      </c>
      <c r="AO195" s="88">
        <f t="shared" si="202"/>
        <v>0</v>
      </c>
      <c r="AP195" s="88">
        <f t="shared" si="203"/>
        <v>0</v>
      </c>
      <c r="AQ195" s="81" t="str">
        <f t="shared" si="204"/>
        <v/>
      </c>
      <c r="AS195" s="41" t="b">
        <f t="shared" si="205"/>
        <v>1</v>
      </c>
      <c r="AT195" s="38">
        <f t="shared" si="206"/>
        <v>0</v>
      </c>
      <c r="AU195" s="60">
        <f t="shared" si="207"/>
        <v>0</v>
      </c>
      <c r="AV195" s="41">
        <f t="shared" si="208"/>
        <v>0</v>
      </c>
      <c r="AW195" s="41" t="b">
        <f t="shared" si="209"/>
        <v>0</v>
      </c>
      <c r="AX195" t="str">
        <f t="shared" si="210"/>
        <v>+00</v>
      </c>
      <c r="AY195" t="str">
        <f t="shared" si="211"/>
        <v>+00</v>
      </c>
      <c r="BA195" s="47" t="b">
        <f t="shared" si="245"/>
        <v>1</v>
      </c>
      <c r="BB195" s="42" t="b">
        <f t="shared" si="246"/>
        <v>1</v>
      </c>
      <c r="BC195" s="42" t="b">
        <f t="shared" si="247"/>
        <v>0</v>
      </c>
      <c r="BD195" s="42" t="b">
        <f t="shared" si="248"/>
        <v>0</v>
      </c>
      <c r="BE195" s="70">
        <f t="shared" si="249"/>
        <v>0</v>
      </c>
      <c r="BF195" s="70">
        <f t="shared" si="250"/>
        <v>0</v>
      </c>
      <c r="BG195" s="34"/>
      <c r="BI195" s="47" t="b">
        <f t="shared" si="251"/>
        <v>1</v>
      </c>
      <c r="BJ195" s="47" t="b">
        <f t="shared" si="252"/>
        <v>1</v>
      </c>
      <c r="BK195" s="42" t="b">
        <f t="shared" si="253"/>
        <v>0</v>
      </c>
      <c r="BL195" s="42" t="b">
        <f t="shared" si="254"/>
        <v>0</v>
      </c>
      <c r="BM195" s="42">
        <f t="shared" si="255"/>
        <v>0</v>
      </c>
      <c r="BN195" s="42">
        <f t="shared" si="256"/>
        <v>0</v>
      </c>
      <c r="BP195" t="e">
        <f t="shared" si="257"/>
        <v>#N/A</v>
      </c>
      <c r="BQ195" t="e">
        <f t="shared" si="258"/>
        <v>#N/A</v>
      </c>
      <c r="BR195" t="e">
        <f t="shared" si="259"/>
        <v>#N/A</v>
      </c>
      <c r="BT195" s="60">
        <f t="shared" si="268"/>
        <v>0</v>
      </c>
      <c r="BU195" s="60">
        <f t="shared" si="269"/>
        <v>0</v>
      </c>
      <c r="BV195" s="60">
        <f t="shared" si="270"/>
        <v>0</v>
      </c>
      <c r="BW195" s="60">
        <f t="shared" si="271"/>
        <v>0</v>
      </c>
      <c r="BX195" s="60">
        <f t="shared" si="260"/>
        <v>0</v>
      </c>
      <c r="BY195" s="60">
        <f t="shared" si="261"/>
        <v>0</v>
      </c>
      <c r="BZ195" s="60">
        <f t="shared" si="262"/>
        <v>0</v>
      </c>
      <c r="CA195" s="60">
        <f t="shared" si="263"/>
        <v>0</v>
      </c>
      <c r="CB195" s="60" t="e">
        <f t="shared" si="272"/>
        <v>#N/A</v>
      </c>
      <c r="CC195" s="60">
        <f t="shared" si="273"/>
        <v>100000</v>
      </c>
      <c r="CD195" s="60" t="e">
        <f t="shared" si="274"/>
        <v>#N/A</v>
      </c>
      <c r="CE195" s="60">
        <f t="shared" si="275"/>
        <v>100000</v>
      </c>
      <c r="CF195" s="83" t="e">
        <f t="shared" si="264"/>
        <v>#N/A</v>
      </c>
      <c r="CG195" s="83">
        <f t="shared" si="265"/>
        <v>0</v>
      </c>
      <c r="CH195" s="83" t="e">
        <f t="shared" si="266"/>
        <v>#N/A</v>
      </c>
      <c r="CI195" s="83">
        <f t="shared" si="267"/>
        <v>0</v>
      </c>
      <c r="CJ195" s="86" t="e">
        <f t="shared" si="276"/>
        <v>#N/A</v>
      </c>
      <c r="CK195" s="82">
        <f t="shared" si="277"/>
        <v>5.3070370403969858E-3</v>
      </c>
      <c r="CL195" s="82" t="e">
        <f t="shared" si="278"/>
        <v>#N/A</v>
      </c>
      <c r="CM195" s="82">
        <f t="shared" si="279"/>
        <v>5.3070370403969858E-3</v>
      </c>
      <c r="CO195" s="149" t="str">
        <f>IF($I195&lt;&gt;"",IF(O195="User Specified",U195,INDEX('Refrigerant GWPs'!$G$2:$G$156,MATCH(O195,'Refrigerant GWPs'!$A$2:$A$156,0))),"")</f>
        <v/>
      </c>
      <c r="CP195" s="138" t="str">
        <f>IF($I195&lt;&gt;"",INDEX('Device Refrigerant Leakage'!$E$2:$E$42,MATCH($M195,'Device Refrigerant Leakage'!$B$2:$B$42,0)),"")</f>
        <v/>
      </c>
      <c r="CQ195" s="138" t="str">
        <f>IF($I195&lt;&gt;"",INDEX('Device Refrigerant Leakage'!$F$2:$F$42,MATCH($M195,'Device Refrigerant Leakage'!$B$2:$B$42,0)),"")</f>
        <v/>
      </c>
      <c r="CR195" s="145" t="str">
        <f>IF($I195&lt;&gt;"",INDEX('Device Refrigerant Leakage'!$G$2:$G$42,MATCH($M195,'Device Refrigerant Leakage'!$B$2:$B$42,0)),"")</f>
        <v/>
      </c>
      <c r="CS195" s="145" t="str">
        <f>IF($I195&lt;&gt;"",INDEX('Device Refrigerant Leakage'!$D$2:$D$42,MATCH($M195,'Device Refrigerant Leakage'!$B$2:$B$42,0))*CP195/2204.62*CO195,"")</f>
        <v/>
      </c>
      <c r="CT195" s="145" t="str">
        <f>IF($I195&lt;&gt;"",J195*(INDEX('Device Refrigerant Leakage'!$D$2:$D$42,MATCH($M195,'Device Refrigerant Leakage'!$B$2:$B$42,0))-(INDEX('Device Refrigerant Leakage'!$D$2:$D$42,MATCH($M195,'Device Refrigerant Leakage'!$B$2:$B$42,0)))*CR195*CP195)*CQ195/2204.62*CO195,"")</f>
        <v/>
      </c>
      <c r="CU195" s="135" t="str">
        <f>IF($I195&lt;&gt;"",J195*IF(W195&lt;&gt;"AR",(CS195*K195)+CT195,(CS195*AB195)+CT195*(AB195/INDEX('Device Refrigerant Leakage'!$C$2:$C$42,MATCH($M195,'Device Refrigerant Leakage'!$B$2:$B$42,0)))),"")</f>
        <v/>
      </c>
      <c r="CW195" s="135" t="str">
        <f>IF($I195&lt;&gt;"",IF(S195="User Specified",V195,INDEX('Refrigerant GWPs'!$G$2:$G$156,MATCH(S195,'Refrigerant GWPs'!$A$2:$A$157,0))),"")</f>
        <v/>
      </c>
      <c r="CX195" s="138" t="str">
        <f>IF($I195&lt;&gt;"",INDEX('Device Refrigerant Leakage'!$E$2:$E$42,MATCH($Q195,'Device Refrigerant Leakage'!$B$2:$B$42,0)),"")</f>
        <v/>
      </c>
      <c r="CY195" s="138" t="str">
        <f>IF($I195&lt;&gt;"",INDEX('Device Refrigerant Leakage'!$F$2:$F$42,MATCH($Q195,'Device Refrigerant Leakage'!$B$2:$B$42,0)),"")</f>
        <v/>
      </c>
      <c r="CZ195" s="145" t="str">
        <f>IF($I195&lt;&gt;"",INDEX('Device Refrigerant Leakage'!$G$2:$G$42,MATCH($Q195,'Device Refrigerant Leakage'!$B$2:$B$42,0)),"")</f>
        <v/>
      </c>
      <c r="DA195" s="145" t="str">
        <f>IF($I195&lt;&gt;"",J195*INDEX('Device Refrigerant Leakage'!$D$2:$D$42,MATCH($Q195,'Device Refrigerant Leakage'!$B$2:$B$42,0))*CX195/2204.62*CW195,"")</f>
        <v/>
      </c>
      <c r="DB195" s="145" t="str">
        <f>IF($I195&lt;&gt;"",J195*(INDEX('Device Refrigerant Leakage'!$D$2:$D$42,MATCH($Q195,'Device Refrigerant Leakage'!$B$2:$B$42,0))-(INDEX('Device Refrigerant Leakage'!$D$2:$D$42,MATCH($Q195,'Device Refrigerant Leakage'!$B$2:$B$42,0)))*CZ195*CX195)*CY195/2204.62*CW195,"")</f>
        <v/>
      </c>
      <c r="DC195" s="135" t="str">
        <f t="shared" si="244"/>
        <v/>
      </c>
      <c r="DE195" s="146" t="str">
        <f>IF(W195&lt;&gt;"AR","",IF(Y195="User Specified", AA195, INDEX('Refrigerant GWPs'!$G$2:$G$154,MATCH(Y195,'Refrigerant GWPs'!$A$2:$A$154,0))))</f>
        <v/>
      </c>
      <c r="DF195" s="146" t="str">
        <f>IF(W195&lt;&gt;"AR","",INDEX('Device Refrigerant Leakage'!$E$2:$E$42,MATCH(X195,'Device Refrigerant Leakage'!$B$2:$B$42,0)))</f>
        <v/>
      </c>
      <c r="DG195" s="146" t="str">
        <f>IF(W195&lt;&gt;"AR","",INDEX('Device Refrigerant Leakage'!$F$2:$F$42,MATCH(X195,'Device Refrigerant Leakage'!$B$2:$B$42,0)))</f>
        <v/>
      </c>
      <c r="DH195" s="146" t="str">
        <f>IF(W195&lt;&gt;"AR","",INDEX('Device Refrigerant Leakage'!$G$2:$G$42,MATCH(X195,'Device Refrigerant Leakage'!$B$2:$B$42,0)))</f>
        <v/>
      </c>
      <c r="DI195" s="146" t="str">
        <f>IF(W195&lt;&gt;"AR","",J195*INDEX('Device Refrigerant Leakage'!$D$2:$D$42,MATCH(X195,'Device Refrigerant Leakage'!$B$2:$B$42,0))*DF195/2204.62*DE195)</f>
        <v/>
      </c>
      <c r="DJ195" s="146" t="str">
        <f>IF(W195&lt;&gt;"AR","",J195*(INDEX('Device Refrigerant Leakage'!$D$2:$D$42,MATCH(X195,'Device Refrigerant Leakage'!$B$2:$B$42,0))-(INDEX('Device Refrigerant Leakage'!$D$2:$D$42,MATCH(X195,'Device Refrigerant Leakage'!$B$2:$B$42,0)))*DH195*DF195)*DG195/2204.62*DE195)</f>
        <v/>
      </c>
      <c r="DK195" s="146" t="str">
        <f>IF(W195&lt;&gt;"AR","",DI195*(K195-AB195)+'Fuel Sub Calcs-Deemed'!DJ195*((K195-AB195)/INDEX('Device Refrigerant Leakage'!$C$2:$C$42,MATCH('Fuel Sub Calcs-Deemed'!X195,'Device Refrigerant Leakage'!$B$2:$B$42,0))))</f>
        <v/>
      </c>
      <c r="DM195" s="56">
        <v>181</v>
      </c>
      <c r="DN195" s="67" t="e">
        <f t="shared" si="224"/>
        <v>#N/A</v>
      </c>
      <c r="DO195" s="45" t="e">
        <f t="shared" si="225"/>
        <v>#N/A</v>
      </c>
      <c r="DP195" s="67" t="e">
        <f t="shared" si="226"/>
        <v>#N/A</v>
      </c>
      <c r="DQ195" s="45" t="e">
        <f t="shared" si="227"/>
        <v>#N/A</v>
      </c>
      <c r="DR195" s="69" t="e">
        <f t="shared" si="228"/>
        <v>#N/A</v>
      </c>
      <c r="DS195" s="34"/>
      <c r="DT195" s="67" t="e">
        <f>((BX195*CJ195)+IF($W195=MAT_AR,(BZ195*CL195),0))*(1+Reference!$E$50+Reference!$E$51)</f>
        <v>#N/A</v>
      </c>
      <c r="DU195" s="67">
        <f>((BY195*CK195)+IF($W195=MAT_AR,(CA195*CM195),0))*(1+Reference!$G$50+Reference!$G$51)</f>
        <v>0</v>
      </c>
      <c r="DV195" s="67" t="e">
        <f t="shared" si="229"/>
        <v>#VALUE!</v>
      </c>
      <c r="DX195" s="56">
        <v>181</v>
      </c>
      <c r="DY195" s="67">
        <f t="shared" si="230"/>
        <v>0</v>
      </c>
      <c r="DZ195" s="45" t="e">
        <f>VLOOKUP($R195,Dropdown!$C$3:$D$4,2,FALSE)</f>
        <v>#N/A</v>
      </c>
      <c r="EA195" s="68">
        <f t="shared" si="231"/>
        <v>0</v>
      </c>
      <c r="EB195" s="68" t="str">
        <f t="shared" si="232"/>
        <v>N/A</v>
      </c>
      <c r="EC195" s="68">
        <f t="shared" si="233"/>
        <v>0</v>
      </c>
      <c r="ED195" s="68" t="str">
        <f t="shared" si="280"/>
        <v>N/A</v>
      </c>
      <c r="EF195" s="56">
        <v>181</v>
      </c>
      <c r="EG195" s="46">
        <f t="shared" si="235"/>
        <v>0</v>
      </c>
      <c r="EH195" s="68" t="e">
        <f t="shared" si="236"/>
        <v>#N/A</v>
      </c>
      <c r="EI195" s="68" t="e">
        <f t="shared" si="237"/>
        <v>#N/A</v>
      </c>
      <c r="EJ195" s="68" t="e">
        <f t="shared" si="238"/>
        <v>#N/A</v>
      </c>
      <c r="EK195" s="68" t="e">
        <f t="shared" si="239"/>
        <v>#N/A</v>
      </c>
      <c r="EL195" s="46">
        <f t="shared" si="240"/>
        <v>0</v>
      </c>
      <c r="EM195" s="46">
        <f t="shared" si="241"/>
        <v>0</v>
      </c>
    </row>
    <row r="196" spans="1:143">
      <c r="A196" s="89"/>
      <c r="B196" s="89"/>
      <c r="C196" s="89"/>
      <c r="D196" s="89"/>
      <c r="E196" s="89"/>
      <c r="F196" s="89"/>
      <c r="G196" s="34"/>
      <c r="H196" s="56">
        <f t="shared" si="242"/>
        <v>182</v>
      </c>
      <c r="I196" s="165"/>
      <c r="J196" s="163"/>
      <c r="K196" s="163"/>
      <c r="L196" s="164"/>
      <c r="M196" s="155"/>
      <c r="N196" s="155"/>
      <c r="O196" s="144"/>
      <c r="P196" s="159" t="str">
        <f>IFERROR(IF(O196&lt;&gt;"User Specified",IF(O196&lt;&gt;"", INDEX('Refrigerant GWPs'!$G$2:$G$154,MATCH(O196,'Refrigerant GWPs'!$A$2:$A$154,0)),""),U196),0)</f>
        <v/>
      </c>
      <c r="Q196" s="155"/>
      <c r="R196" s="155"/>
      <c r="S196" s="144"/>
      <c r="T196" s="159" t="str">
        <f>IF(S196&lt;&gt;"User Specified",IF(AND(S196&lt;&gt;"User Specified",S196&lt;&gt;""), INDEX('Refrigerant GWPs'!$G$2:$G$154,MATCH(S196,'Refrigerant GWPs'!$A$2:$A$154,0)),""),V196)</f>
        <v/>
      </c>
      <c r="U196" s="144"/>
      <c r="V196" s="144"/>
      <c r="W196" s="155"/>
      <c r="X196" s="155"/>
      <c r="Y196" s="144"/>
      <c r="Z196" s="159" t="str">
        <f>IF(AND(Y196&lt;&gt;"User Specified",Y196&lt;&gt;""), INDEX('Refrigerant GWPs'!$G$2:$G$154,MATCH(Y196,'Refrigerant GWPs'!$A$2:$A$154,0)),"")</f>
        <v/>
      </c>
      <c r="AA196" s="155"/>
      <c r="AB196" s="156"/>
      <c r="AC196" s="66"/>
      <c r="AD196" s="66"/>
      <c r="AE196" s="66"/>
      <c r="AF196" s="66"/>
      <c r="AG196" s="66"/>
      <c r="AH196" s="66"/>
      <c r="AI196" s="34"/>
      <c r="AJ196" s="88">
        <f t="shared" si="200"/>
        <v>0</v>
      </c>
      <c r="AK196" s="88">
        <f t="shared" si="201"/>
        <v>0</v>
      </c>
      <c r="AL196" s="88">
        <v>0</v>
      </c>
      <c r="AM196" s="88">
        <v>0</v>
      </c>
      <c r="AN196" s="81" t="str">
        <f t="shared" si="243"/>
        <v/>
      </c>
      <c r="AO196" s="88">
        <f t="shared" si="202"/>
        <v>0</v>
      </c>
      <c r="AP196" s="88">
        <f t="shared" si="203"/>
        <v>0</v>
      </c>
      <c r="AQ196" s="81" t="str">
        <f t="shared" si="204"/>
        <v/>
      </c>
      <c r="AS196" s="41" t="b">
        <f t="shared" si="205"/>
        <v>1</v>
      </c>
      <c r="AT196" s="38">
        <f t="shared" si="206"/>
        <v>0</v>
      </c>
      <c r="AU196" s="60">
        <f t="shared" si="207"/>
        <v>0</v>
      </c>
      <c r="AV196" s="41">
        <f t="shared" si="208"/>
        <v>0</v>
      </c>
      <c r="AW196" s="41" t="b">
        <f t="shared" si="209"/>
        <v>0</v>
      </c>
      <c r="AX196" t="str">
        <f t="shared" si="210"/>
        <v>+00</v>
      </c>
      <c r="AY196" t="str">
        <f t="shared" si="211"/>
        <v>+00</v>
      </c>
      <c r="BA196" s="47" t="b">
        <f t="shared" si="245"/>
        <v>1</v>
      </c>
      <c r="BB196" s="42" t="b">
        <f t="shared" si="246"/>
        <v>1</v>
      </c>
      <c r="BC196" s="42" t="b">
        <f t="shared" si="247"/>
        <v>0</v>
      </c>
      <c r="BD196" s="42" t="b">
        <f t="shared" si="248"/>
        <v>0</v>
      </c>
      <c r="BE196" s="70">
        <f t="shared" si="249"/>
        <v>0</v>
      </c>
      <c r="BF196" s="70">
        <f t="shared" si="250"/>
        <v>0</v>
      </c>
      <c r="BG196" s="34"/>
      <c r="BI196" s="47" t="b">
        <f t="shared" si="251"/>
        <v>1</v>
      </c>
      <c r="BJ196" s="47" t="b">
        <f t="shared" si="252"/>
        <v>1</v>
      </c>
      <c r="BK196" s="42" t="b">
        <f t="shared" si="253"/>
        <v>0</v>
      </c>
      <c r="BL196" s="42" t="b">
        <f t="shared" si="254"/>
        <v>0</v>
      </c>
      <c r="BM196" s="42">
        <f t="shared" si="255"/>
        <v>0</v>
      </c>
      <c r="BN196" s="42">
        <f t="shared" si="256"/>
        <v>0</v>
      </c>
      <c r="BP196" t="e">
        <f t="shared" si="257"/>
        <v>#N/A</v>
      </c>
      <c r="BQ196" t="e">
        <f t="shared" si="258"/>
        <v>#N/A</v>
      </c>
      <c r="BR196" t="e">
        <f t="shared" si="259"/>
        <v>#N/A</v>
      </c>
      <c r="BT196" s="60">
        <f t="shared" si="268"/>
        <v>0</v>
      </c>
      <c r="BU196" s="60">
        <f t="shared" si="269"/>
        <v>0</v>
      </c>
      <c r="BV196" s="60">
        <f t="shared" si="270"/>
        <v>0</v>
      </c>
      <c r="BW196" s="60">
        <f t="shared" si="271"/>
        <v>0</v>
      </c>
      <c r="BX196" s="60">
        <f t="shared" si="260"/>
        <v>0</v>
      </c>
      <c r="BY196" s="60">
        <f t="shared" si="261"/>
        <v>0</v>
      </c>
      <c r="BZ196" s="60">
        <f t="shared" si="262"/>
        <v>0</v>
      </c>
      <c r="CA196" s="60">
        <f t="shared" si="263"/>
        <v>0</v>
      </c>
      <c r="CB196" s="60" t="e">
        <f t="shared" si="272"/>
        <v>#N/A</v>
      </c>
      <c r="CC196" s="60">
        <f t="shared" si="273"/>
        <v>100000</v>
      </c>
      <c r="CD196" s="60" t="e">
        <f t="shared" si="274"/>
        <v>#N/A</v>
      </c>
      <c r="CE196" s="60">
        <f t="shared" si="275"/>
        <v>100000</v>
      </c>
      <c r="CF196" s="83" t="e">
        <f t="shared" si="264"/>
        <v>#N/A</v>
      </c>
      <c r="CG196" s="83">
        <f t="shared" si="265"/>
        <v>0</v>
      </c>
      <c r="CH196" s="83" t="e">
        <f t="shared" si="266"/>
        <v>#N/A</v>
      </c>
      <c r="CI196" s="83">
        <f t="shared" si="267"/>
        <v>0</v>
      </c>
      <c r="CJ196" s="86" t="e">
        <f t="shared" si="276"/>
        <v>#N/A</v>
      </c>
      <c r="CK196" s="82">
        <f t="shared" si="277"/>
        <v>5.3070370403969858E-3</v>
      </c>
      <c r="CL196" s="82" t="e">
        <f t="shared" si="278"/>
        <v>#N/A</v>
      </c>
      <c r="CM196" s="82">
        <f t="shared" si="279"/>
        <v>5.3070370403969858E-3</v>
      </c>
      <c r="CO196" s="149" t="str">
        <f>IF($I196&lt;&gt;"",IF(O196="User Specified",U196,INDEX('Refrigerant GWPs'!$G$2:$G$156,MATCH(O196,'Refrigerant GWPs'!$A$2:$A$156,0))),"")</f>
        <v/>
      </c>
      <c r="CP196" s="138" t="str">
        <f>IF($I196&lt;&gt;"",INDEX('Device Refrigerant Leakage'!$E$2:$E$42,MATCH($M196,'Device Refrigerant Leakage'!$B$2:$B$42,0)),"")</f>
        <v/>
      </c>
      <c r="CQ196" s="138" t="str">
        <f>IF($I196&lt;&gt;"",INDEX('Device Refrigerant Leakage'!$F$2:$F$42,MATCH($M196,'Device Refrigerant Leakage'!$B$2:$B$42,0)),"")</f>
        <v/>
      </c>
      <c r="CR196" s="145" t="str">
        <f>IF($I196&lt;&gt;"",INDEX('Device Refrigerant Leakage'!$G$2:$G$42,MATCH($M196,'Device Refrigerant Leakage'!$B$2:$B$42,0)),"")</f>
        <v/>
      </c>
      <c r="CS196" s="145" t="str">
        <f>IF($I196&lt;&gt;"",INDEX('Device Refrigerant Leakage'!$D$2:$D$42,MATCH($M196,'Device Refrigerant Leakage'!$B$2:$B$42,0))*CP196/2204.62*CO196,"")</f>
        <v/>
      </c>
      <c r="CT196" s="145" t="str">
        <f>IF($I196&lt;&gt;"",J196*(INDEX('Device Refrigerant Leakage'!$D$2:$D$42,MATCH($M196,'Device Refrigerant Leakage'!$B$2:$B$42,0))-(INDEX('Device Refrigerant Leakage'!$D$2:$D$42,MATCH($M196,'Device Refrigerant Leakage'!$B$2:$B$42,0)))*CR196*CP196)*CQ196/2204.62*CO196,"")</f>
        <v/>
      </c>
      <c r="CU196" s="135" t="str">
        <f>IF($I196&lt;&gt;"",J196*IF(W196&lt;&gt;"AR",(CS196*K196)+CT196,(CS196*AB196)+CT196*(AB196/INDEX('Device Refrigerant Leakage'!$C$2:$C$42,MATCH($M196,'Device Refrigerant Leakage'!$B$2:$B$42,0)))),"")</f>
        <v/>
      </c>
      <c r="CW196" s="135" t="str">
        <f>IF($I196&lt;&gt;"",IF(S196="User Specified",V196,INDEX('Refrigerant GWPs'!$G$2:$G$156,MATCH(S196,'Refrigerant GWPs'!$A$2:$A$157,0))),"")</f>
        <v/>
      </c>
      <c r="CX196" s="138" t="str">
        <f>IF($I196&lt;&gt;"",INDEX('Device Refrigerant Leakage'!$E$2:$E$42,MATCH($Q196,'Device Refrigerant Leakage'!$B$2:$B$42,0)),"")</f>
        <v/>
      </c>
      <c r="CY196" s="138" t="str">
        <f>IF($I196&lt;&gt;"",INDEX('Device Refrigerant Leakage'!$F$2:$F$42,MATCH($Q196,'Device Refrigerant Leakage'!$B$2:$B$42,0)),"")</f>
        <v/>
      </c>
      <c r="CZ196" s="145" t="str">
        <f>IF($I196&lt;&gt;"",INDEX('Device Refrigerant Leakage'!$G$2:$G$42,MATCH($Q196,'Device Refrigerant Leakage'!$B$2:$B$42,0)),"")</f>
        <v/>
      </c>
      <c r="DA196" s="145" t="str">
        <f>IF($I196&lt;&gt;"",J196*INDEX('Device Refrigerant Leakage'!$D$2:$D$42,MATCH($Q196,'Device Refrigerant Leakage'!$B$2:$B$42,0))*CX196/2204.62*CW196,"")</f>
        <v/>
      </c>
      <c r="DB196" s="145" t="str">
        <f>IF($I196&lt;&gt;"",J196*(INDEX('Device Refrigerant Leakage'!$D$2:$D$42,MATCH($Q196,'Device Refrigerant Leakage'!$B$2:$B$42,0))-(INDEX('Device Refrigerant Leakage'!$D$2:$D$42,MATCH($Q196,'Device Refrigerant Leakage'!$B$2:$B$42,0)))*CZ196*CX196)*CY196/2204.62*CW196,"")</f>
        <v/>
      </c>
      <c r="DC196" s="135" t="str">
        <f t="shared" si="244"/>
        <v/>
      </c>
      <c r="DE196" s="146" t="str">
        <f>IF(W196&lt;&gt;"AR","",IF(Y196="User Specified", AA196, INDEX('Refrigerant GWPs'!$G$2:$G$154,MATCH(Y196,'Refrigerant GWPs'!$A$2:$A$154,0))))</f>
        <v/>
      </c>
      <c r="DF196" s="146" t="str">
        <f>IF(W196&lt;&gt;"AR","",INDEX('Device Refrigerant Leakage'!$E$2:$E$42,MATCH(X196,'Device Refrigerant Leakage'!$B$2:$B$42,0)))</f>
        <v/>
      </c>
      <c r="DG196" s="146" t="str">
        <f>IF(W196&lt;&gt;"AR","",INDEX('Device Refrigerant Leakage'!$F$2:$F$42,MATCH(X196,'Device Refrigerant Leakage'!$B$2:$B$42,0)))</f>
        <v/>
      </c>
      <c r="DH196" s="146" t="str">
        <f>IF(W196&lt;&gt;"AR","",INDEX('Device Refrigerant Leakage'!$G$2:$G$42,MATCH(X196,'Device Refrigerant Leakage'!$B$2:$B$42,0)))</f>
        <v/>
      </c>
      <c r="DI196" s="146" t="str">
        <f>IF(W196&lt;&gt;"AR","",J196*INDEX('Device Refrigerant Leakage'!$D$2:$D$42,MATCH(X196,'Device Refrigerant Leakage'!$B$2:$B$42,0))*DF196/2204.62*DE196)</f>
        <v/>
      </c>
      <c r="DJ196" s="146" t="str">
        <f>IF(W196&lt;&gt;"AR","",J196*(INDEX('Device Refrigerant Leakage'!$D$2:$D$42,MATCH(X196,'Device Refrigerant Leakage'!$B$2:$B$42,0))-(INDEX('Device Refrigerant Leakage'!$D$2:$D$42,MATCH(X196,'Device Refrigerant Leakage'!$B$2:$B$42,0)))*DH196*DF196)*DG196/2204.62*DE196)</f>
        <v/>
      </c>
      <c r="DK196" s="146" t="str">
        <f>IF(W196&lt;&gt;"AR","",DI196*(K196-AB196)+'Fuel Sub Calcs-Deemed'!DJ196*((K196-AB196)/INDEX('Device Refrigerant Leakage'!$C$2:$C$42,MATCH('Fuel Sub Calcs-Deemed'!X196,'Device Refrigerant Leakage'!$B$2:$B$42,0))))</f>
        <v/>
      </c>
      <c r="DM196" s="56">
        <v>182</v>
      </c>
      <c r="DN196" s="67" t="e">
        <f t="shared" si="224"/>
        <v>#N/A</v>
      </c>
      <c r="DO196" s="45" t="e">
        <f t="shared" si="225"/>
        <v>#N/A</v>
      </c>
      <c r="DP196" s="67" t="e">
        <f t="shared" si="226"/>
        <v>#N/A</v>
      </c>
      <c r="DQ196" s="45" t="e">
        <f t="shared" si="227"/>
        <v>#N/A</v>
      </c>
      <c r="DR196" s="69" t="e">
        <f t="shared" si="228"/>
        <v>#N/A</v>
      </c>
      <c r="DS196" s="34"/>
      <c r="DT196" s="67" t="e">
        <f>((BX196*CJ196)+IF($W196=MAT_AR,(BZ196*CL196),0))*(1+Reference!$E$50+Reference!$E$51)</f>
        <v>#N/A</v>
      </c>
      <c r="DU196" s="67">
        <f>((BY196*CK196)+IF($W196=MAT_AR,(CA196*CM196),0))*(1+Reference!$G$50+Reference!$G$51)</f>
        <v>0</v>
      </c>
      <c r="DV196" s="67" t="e">
        <f t="shared" si="229"/>
        <v>#VALUE!</v>
      </c>
      <c r="DX196" s="56">
        <v>182</v>
      </c>
      <c r="DY196" s="67">
        <f t="shared" si="230"/>
        <v>0</v>
      </c>
      <c r="DZ196" s="45" t="e">
        <f>VLOOKUP($R196,Dropdown!$C$3:$D$4,2,FALSE)</f>
        <v>#N/A</v>
      </c>
      <c r="EA196" s="68">
        <f t="shared" si="231"/>
        <v>0</v>
      </c>
      <c r="EB196" s="68" t="str">
        <f t="shared" si="232"/>
        <v>N/A</v>
      </c>
      <c r="EC196" s="68">
        <f t="shared" si="233"/>
        <v>0</v>
      </c>
      <c r="ED196" s="68" t="str">
        <f t="shared" si="280"/>
        <v>N/A</v>
      </c>
      <c r="EF196" s="56">
        <v>182</v>
      </c>
      <c r="EG196" s="46">
        <f t="shared" si="235"/>
        <v>0</v>
      </c>
      <c r="EH196" s="68" t="e">
        <f t="shared" si="236"/>
        <v>#N/A</v>
      </c>
      <c r="EI196" s="68" t="e">
        <f t="shared" si="237"/>
        <v>#N/A</v>
      </c>
      <c r="EJ196" s="68" t="e">
        <f t="shared" si="238"/>
        <v>#N/A</v>
      </c>
      <c r="EK196" s="68" t="e">
        <f t="shared" si="239"/>
        <v>#N/A</v>
      </c>
      <c r="EL196" s="46">
        <f t="shared" si="240"/>
        <v>0</v>
      </c>
      <c r="EM196" s="46">
        <f t="shared" si="241"/>
        <v>0</v>
      </c>
    </row>
    <row r="197" spans="1:143">
      <c r="A197" s="89"/>
      <c r="B197" s="89"/>
      <c r="C197" s="89"/>
      <c r="D197" s="89"/>
      <c r="E197" s="89"/>
      <c r="F197" s="89"/>
      <c r="G197" s="34"/>
      <c r="H197" s="56">
        <f t="shared" si="242"/>
        <v>183</v>
      </c>
      <c r="I197" s="165"/>
      <c r="J197" s="163"/>
      <c r="K197" s="163"/>
      <c r="L197" s="164"/>
      <c r="M197" s="155"/>
      <c r="N197" s="155"/>
      <c r="O197" s="144"/>
      <c r="P197" s="159" t="str">
        <f>IFERROR(IF(O197&lt;&gt;"User Specified",IF(O197&lt;&gt;"", INDEX('Refrigerant GWPs'!$G$2:$G$154,MATCH(O197,'Refrigerant GWPs'!$A$2:$A$154,0)),""),U197),0)</f>
        <v/>
      </c>
      <c r="Q197" s="155"/>
      <c r="R197" s="155"/>
      <c r="S197" s="144"/>
      <c r="T197" s="159" t="str">
        <f>IF(S197&lt;&gt;"User Specified",IF(AND(S197&lt;&gt;"User Specified",S197&lt;&gt;""), INDEX('Refrigerant GWPs'!$G$2:$G$154,MATCH(S197,'Refrigerant GWPs'!$A$2:$A$154,0)),""),V197)</f>
        <v/>
      </c>
      <c r="U197" s="144"/>
      <c r="V197" s="144"/>
      <c r="W197" s="155"/>
      <c r="X197" s="155"/>
      <c r="Y197" s="144"/>
      <c r="Z197" s="159" t="str">
        <f>IF(AND(Y197&lt;&gt;"User Specified",Y197&lt;&gt;""), INDEX('Refrigerant GWPs'!$G$2:$G$154,MATCH(Y197,'Refrigerant GWPs'!$A$2:$A$154,0)),"")</f>
        <v/>
      </c>
      <c r="AA197" s="155"/>
      <c r="AB197" s="156"/>
      <c r="AC197" s="66"/>
      <c r="AD197" s="66"/>
      <c r="AE197" s="66"/>
      <c r="AF197" s="66"/>
      <c r="AG197" s="66"/>
      <c r="AH197" s="66"/>
      <c r="AI197" s="34"/>
      <c r="AJ197" s="88">
        <f t="shared" si="200"/>
        <v>0</v>
      </c>
      <c r="AK197" s="88">
        <f t="shared" si="201"/>
        <v>0</v>
      </c>
      <c r="AL197" s="88">
        <v>0</v>
      </c>
      <c r="AM197" s="88">
        <v>0</v>
      </c>
      <c r="AN197" s="81" t="str">
        <f t="shared" si="243"/>
        <v/>
      </c>
      <c r="AO197" s="88">
        <f t="shared" si="202"/>
        <v>0</v>
      </c>
      <c r="AP197" s="88">
        <f t="shared" si="203"/>
        <v>0</v>
      </c>
      <c r="AQ197" s="81" t="str">
        <f t="shared" si="204"/>
        <v/>
      </c>
      <c r="AS197" s="41" t="b">
        <f t="shared" si="205"/>
        <v>1</v>
      </c>
      <c r="AT197" s="38">
        <f t="shared" si="206"/>
        <v>0</v>
      </c>
      <c r="AU197" s="60">
        <f t="shared" si="207"/>
        <v>0</v>
      </c>
      <c r="AV197" s="41">
        <f t="shared" si="208"/>
        <v>0</v>
      </c>
      <c r="AW197" s="41" t="b">
        <f t="shared" si="209"/>
        <v>0</v>
      </c>
      <c r="AX197" t="str">
        <f t="shared" si="210"/>
        <v>+00</v>
      </c>
      <c r="AY197" t="str">
        <f t="shared" si="211"/>
        <v>+00</v>
      </c>
      <c r="BA197" s="47" t="b">
        <f t="shared" si="245"/>
        <v>1</v>
      </c>
      <c r="BB197" s="42" t="b">
        <f t="shared" si="246"/>
        <v>1</v>
      </c>
      <c r="BC197" s="42" t="b">
        <f t="shared" si="247"/>
        <v>0</v>
      </c>
      <c r="BD197" s="42" t="b">
        <f t="shared" si="248"/>
        <v>0</v>
      </c>
      <c r="BE197" s="70">
        <f t="shared" si="249"/>
        <v>0</v>
      </c>
      <c r="BF197" s="70">
        <f t="shared" si="250"/>
        <v>0</v>
      </c>
      <c r="BG197" s="34"/>
      <c r="BI197" s="47" t="b">
        <f t="shared" si="251"/>
        <v>1</v>
      </c>
      <c r="BJ197" s="47" t="b">
        <f t="shared" si="252"/>
        <v>1</v>
      </c>
      <c r="BK197" s="42" t="b">
        <f t="shared" si="253"/>
        <v>0</v>
      </c>
      <c r="BL197" s="42" t="b">
        <f t="shared" si="254"/>
        <v>0</v>
      </c>
      <c r="BM197" s="42">
        <f t="shared" si="255"/>
        <v>0</v>
      </c>
      <c r="BN197" s="42">
        <f t="shared" si="256"/>
        <v>0</v>
      </c>
      <c r="BP197" t="e">
        <f t="shared" si="257"/>
        <v>#N/A</v>
      </c>
      <c r="BQ197" t="e">
        <f t="shared" si="258"/>
        <v>#N/A</v>
      </c>
      <c r="BR197" t="e">
        <f t="shared" si="259"/>
        <v>#N/A</v>
      </c>
      <c r="BT197" s="60">
        <f t="shared" si="268"/>
        <v>0</v>
      </c>
      <c r="BU197" s="60">
        <f t="shared" si="269"/>
        <v>0</v>
      </c>
      <c r="BV197" s="60">
        <f t="shared" si="270"/>
        <v>0</v>
      </c>
      <c r="BW197" s="60">
        <f t="shared" si="271"/>
        <v>0</v>
      </c>
      <c r="BX197" s="60">
        <f t="shared" si="260"/>
        <v>0</v>
      </c>
      <c r="BY197" s="60">
        <f t="shared" si="261"/>
        <v>0</v>
      </c>
      <c r="BZ197" s="60">
        <f t="shared" si="262"/>
        <v>0</v>
      </c>
      <c r="CA197" s="60">
        <f t="shared" si="263"/>
        <v>0</v>
      </c>
      <c r="CB197" s="60" t="e">
        <f t="shared" si="272"/>
        <v>#N/A</v>
      </c>
      <c r="CC197" s="60">
        <f t="shared" si="273"/>
        <v>100000</v>
      </c>
      <c r="CD197" s="60" t="e">
        <f t="shared" si="274"/>
        <v>#N/A</v>
      </c>
      <c r="CE197" s="60">
        <f t="shared" si="275"/>
        <v>100000</v>
      </c>
      <c r="CF197" s="83" t="e">
        <f t="shared" si="264"/>
        <v>#N/A</v>
      </c>
      <c r="CG197" s="83">
        <f t="shared" si="265"/>
        <v>0</v>
      </c>
      <c r="CH197" s="83" t="e">
        <f t="shared" si="266"/>
        <v>#N/A</v>
      </c>
      <c r="CI197" s="83">
        <f t="shared" si="267"/>
        <v>0</v>
      </c>
      <c r="CJ197" s="86" t="e">
        <f t="shared" si="276"/>
        <v>#N/A</v>
      </c>
      <c r="CK197" s="82">
        <f t="shared" si="277"/>
        <v>5.3070370403969858E-3</v>
      </c>
      <c r="CL197" s="82" t="e">
        <f t="shared" si="278"/>
        <v>#N/A</v>
      </c>
      <c r="CM197" s="82">
        <f t="shared" si="279"/>
        <v>5.3070370403969858E-3</v>
      </c>
      <c r="CO197" s="149" t="str">
        <f>IF($I197&lt;&gt;"",IF(O197="User Specified",U197,INDEX('Refrigerant GWPs'!$G$2:$G$156,MATCH(O197,'Refrigerant GWPs'!$A$2:$A$156,0))),"")</f>
        <v/>
      </c>
      <c r="CP197" s="138" t="str">
        <f>IF($I197&lt;&gt;"",INDEX('Device Refrigerant Leakage'!$E$2:$E$42,MATCH($M197,'Device Refrigerant Leakage'!$B$2:$B$42,0)),"")</f>
        <v/>
      </c>
      <c r="CQ197" s="138" t="str">
        <f>IF($I197&lt;&gt;"",INDEX('Device Refrigerant Leakage'!$F$2:$F$42,MATCH($M197,'Device Refrigerant Leakage'!$B$2:$B$42,0)),"")</f>
        <v/>
      </c>
      <c r="CR197" s="145" t="str">
        <f>IF($I197&lt;&gt;"",INDEX('Device Refrigerant Leakage'!$G$2:$G$42,MATCH($M197,'Device Refrigerant Leakage'!$B$2:$B$42,0)),"")</f>
        <v/>
      </c>
      <c r="CS197" s="145" t="str">
        <f>IF($I197&lt;&gt;"",INDEX('Device Refrigerant Leakage'!$D$2:$D$42,MATCH($M197,'Device Refrigerant Leakage'!$B$2:$B$42,0))*CP197/2204.62*CO197,"")</f>
        <v/>
      </c>
      <c r="CT197" s="145" t="str">
        <f>IF($I197&lt;&gt;"",J197*(INDEX('Device Refrigerant Leakage'!$D$2:$D$42,MATCH($M197,'Device Refrigerant Leakage'!$B$2:$B$42,0))-(INDEX('Device Refrigerant Leakage'!$D$2:$D$42,MATCH($M197,'Device Refrigerant Leakage'!$B$2:$B$42,0)))*CR197*CP197)*CQ197/2204.62*CO197,"")</f>
        <v/>
      </c>
      <c r="CU197" s="135" t="str">
        <f>IF($I197&lt;&gt;"",J197*IF(W197&lt;&gt;"AR",(CS197*K197)+CT197,(CS197*AB197)+CT197*(AB197/INDEX('Device Refrigerant Leakage'!$C$2:$C$42,MATCH($M197,'Device Refrigerant Leakage'!$B$2:$B$42,0)))),"")</f>
        <v/>
      </c>
      <c r="CW197" s="135" t="str">
        <f>IF($I197&lt;&gt;"",IF(S197="User Specified",V197,INDEX('Refrigerant GWPs'!$G$2:$G$156,MATCH(S197,'Refrigerant GWPs'!$A$2:$A$157,0))),"")</f>
        <v/>
      </c>
      <c r="CX197" s="138" t="str">
        <f>IF($I197&lt;&gt;"",INDEX('Device Refrigerant Leakage'!$E$2:$E$42,MATCH($Q197,'Device Refrigerant Leakage'!$B$2:$B$42,0)),"")</f>
        <v/>
      </c>
      <c r="CY197" s="138" t="str">
        <f>IF($I197&lt;&gt;"",INDEX('Device Refrigerant Leakage'!$F$2:$F$42,MATCH($Q197,'Device Refrigerant Leakage'!$B$2:$B$42,0)),"")</f>
        <v/>
      </c>
      <c r="CZ197" s="145" t="str">
        <f>IF($I197&lt;&gt;"",INDEX('Device Refrigerant Leakage'!$G$2:$G$42,MATCH($Q197,'Device Refrigerant Leakage'!$B$2:$B$42,0)),"")</f>
        <v/>
      </c>
      <c r="DA197" s="145" t="str">
        <f>IF($I197&lt;&gt;"",J197*INDEX('Device Refrigerant Leakage'!$D$2:$D$42,MATCH($Q197,'Device Refrigerant Leakage'!$B$2:$B$42,0))*CX197/2204.62*CW197,"")</f>
        <v/>
      </c>
      <c r="DB197" s="145" t="str">
        <f>IF($I197&lt;&gt;"",J197*(INDEX('Device Refrigerant Leakage'!$D$2:$D$42,MATCH($Q197,'Device Refrigerant Leakage'!$B$2:$B$42,0))-(INDEX('Device Refrigerant Leakage'!$D$2:$D$42,MATCH($Q197,'Device Refrigerant Leakage'!$B$2:$B$42,0)))*CZ197*CX197)*CY197/2204.62*CW197,"")</f>
        <v/>
      </c>
      <c r="DC197" s="135" t="str">
        <f t="shared" si="244"/>
        <v/>
      </c>
      <c r="DE197" s="146" t="str">
        <f>IF(W197&lt;&gt;"AR","",IF(Y197="User Specified", AA197, INDEX('Refrigerant GWPs'!$G$2:$G$154,MATCH(Y197,'Refrigerant GWPs'!$A$2:$A$154,0))))</f>
        <v/>
      </c>
      <c r="DF197" s="146" t="str">
        <f>IF(W197&lt;&gt;"AR","",INDEX('Device Refrigerant Leakage'!$E$2:$E$42,MATCH(X197,'Device Refrigerant Leakage'!$B$2:$B$42,0)))</f>
        <v/>
      </c>
      <c r="DG197" s="146" t="str">
        <f>IF(W197&lt;&gt;"AR","",INDEX('Device Refrigerant Leakage'!$F$2:$F$42,MATCH(X197,'Device Refrigerant Leakage'!$B$2:$B$42,0)))</f>
        <v/>
      </c>
      <c r="DH197" s="146" t="str">
        <f>IF(W197&lt;&gt;"AR","",INDEX('Device Refrigerant Leakage'!$G$2:$G$42,MATCH(X197,'Device Refrigerant Leakage'!$B$2:$B$42,0)))</f>
        <v/>
      </c>
      <c r="DI197" s="146" t="str">
        <f>IF(W197&lt;&gt;"AR","",J197*INDEX('Device Refrigerant Leakage'!$D$2:$D$42,MATCH(X197,'Device Refrigerant Leakage'!$B$2:$B$42,0))*DF197/2204.62*DE197)</f>
        <v/>
      </c>
      <c r="DJ197" s="146" t="str">
        <f>IF(W197&lt;&gt;"AR","",J197*(INDEX('Device Refrigerant Leakage'!$D$2:$D$42,MATCH(X197,'Device Refrigerant Leakage'!$B$2:$B$42,0))-(INDEX('Device Refrigerant Leakage'!$D$2:$D$42,MATCH(X197,'Device Refrigerant Leakage'!$B$2:$B$42,0)))*DH197*DF197)*DG197/2204.62*DE197)</f>
        <v/>
      </c>
      <c r="DK197" s="146" t="str">
        <f>IF(W197&lt;&gt;"AR","",DI197*(K197-AB197)+'Fuel Sub Calcs-Deemed'!DJ197*((K197-AB197)/INDEX('Device Refrigerant Leakage'!$C$2:$C$42,MATCH('Fuel Sub Calcs-Deemed'!X197,'Device Refrigerant Leakage'!$B$2:$B$42,0))))</f>
        <v/>
      </c>
      <c r="DM197" s="56">
        <v>183</v>
      </c>
      <c r="DN197" s="67" t="e">
        <f t="shared" si="224"/>
        <v>#N/A</v>
      </c>
      <c r="DO197" s="45" t="e">
        <f t="shared" si="225"/>
        <v>#N/A</v>
      </c>
      <c r="DP197" s="67" t="e">
        <f t="shared" si="226"/>
        <v>#N/A</v>
      </c>
      <c r="DQ197" s="45" t="e">
        <f t="shared" si="227"/>
        <v>#N/A</v>
      </c>
      <c r="DR197" s="69" t="e">
        <f t="shared" si="228"/>
        <v>#N/A</v>
      </c>
      <c r="DS197" s="34"/>
      <c r="DT197" s="67" t="e">
        <f>((BX197*CJ197)+IF($W197=MAT_AR,(BZ197*CL197),0))*(1+Reference!$E$50+Reference!$E$51)</f>
        <v>#N/A</v>
      </c>
      <c r="DU197" s="67">
        <f>((BY197*CK197)+IF($W197=MAT_AR,(CA197*CM197),0))*(1+Reference!$G$50+Reference!$G$51)</f>
        <v>0</v>
      </c>
      <c r="DV197" s="67" t="e">
        <f t="shared" si="229"/>
        <v>#VALUE!</v>
      </c>
      <c r="DX197" s="56">
        <v>183</v>
      </c>
      <c r="DY197" s="67">
        <f t="shared" si="230"/>
        <v>0</v>
      </c>
      <c r="DZ197" s="45" t="e">
        <f>VLOOKUP($R197,Dropdown!$C$3:$D$4,2,FALSE)</f>
        <v>#N/A</v>
      </c>
      <c r="EA197" s="68">
        <f t="shared" si="231"/>
        <v>0</v>
      </c>
      <c r="EB197" s="68" t="str">
        <f t="shared" si="232"/>
        <v>N/A</v>
      </c>
      <c r="EC197" s="68">
        <f t="shared" si="233"/>
        <v>0</v>
      </c>
      <c r="ED197" s="68" t="str">
        <f t="shared" si="280"/>
        <v>N/A</v>
      </c>
      <c r="EF197" s="56">
        <v>183</v>
      </c>
      <c r="EG197" s="46">
        <f t="shared" si="235"/>
        <v>0</v>
      </c>
      <c r="EH197" s="68" t="e">
        <f t="shared" si="236"/>
        <v>#N/A</v>
      </c>
      <c r="EI197" s="68" t="e">
        <f t="shared" si="237"/>
        <v>#N/A</v>
      </c>
      <c r="EJ197" s="68" t="e">
        <f t="shared" si="238"/>
        <v>#N/A</v>
      </c>
      <c r="EK197" s="68" t="e">
        <f t="shared" si="239"/>
        <v>#N/A</v>
      </c>
      <c r="EL197" s="46">
        <f t="shared" si="240"/>
        <v>0</v>
      </c>
      <c r="EM197" s="46">
        <f t="shared" si="241"/>
        <v>0</v>
      </c>
    </row>
    <row r="198" spans="1:143">
      <c r="A198" s="89"/>
      <c r="B198" s="89"/>
      <c r="C198" s="89"/>
      <c r="D198" s="89"/>
      <c r="E198" s="89"/>
      <c r="F198" s="89"/>
      <c r="G198" s="34"/>
      <c r="H198" s="56">
        <f t="shared" si="242"/>
        <v>184</v>
      </c>
      <c r="I198" s="165"/>
      <c r="J198" s="163"/>
      <c r="K198" s="163"/>
      <c r="L198" s="164"/>
      <c r="M198" s="155"/>
      <c r="N198" s="155"/>
      <c r="O198" s="144"/>
      <c r="P198" s="159" t="str">
        <f>IFERROR(IF(O198&lt;&gt;"User Specified",IF(O198&lt;&gt;"", INDEX('Refrigerant GWPs'!$G$2:$G$154,MATCH(O198,'Refrigerant GWPs'!$A$2:$A$154,0)),""),U198),0)</f>
        <v/>
      </c>
      <c r="Q198" s="155"/>
      <c r="R198" s="155"/>
      <c r="S198" s="144"/>
      <c r="T198" s="159" t="str">
        <f>IF(S198&lt;&gt;"User Specified",IF(AND(S198&lt;&gt;"User Specified",S198&lt;&gt;""), INDEX('Refrigerant GWPs'!$G$2:$G$154,MATCH(S198,'Refrigerant GWPs'!$A$2:$A$154,0)),""),V198)</f>
        <v/>
      </c>
      <c r="U198" s="144"/>
      <c r="V198" s="144"/>
      <c r="W198" s="155"/>
      <c r="X198" s="155"/>
      <c r="Y198" s="144"/>
      <c r="Z198" s="159" t="str">
        <f>IF(AND(Y198&lt;&gt;"User Specified",Y198&lt;&gt;""), INDEX('Refrigerant GWPs'!$G$2:$G$154,MATCH(Y198,'Refrigerant GWPs'!$A$2:$A$154,0)),"")</f>
        <v/>
      </c>
      <c r="AA198" s="155"/>
      <c r="AB198" s="156"/>
      <c r="AC198" s="66"/>
      <c r="AD198" s="66"/>
      <c r="AE198" s="66"/>
      <c r="AF198" s="66"/>
      <c r="AG198" s="66"/>
      <c r="AH198" s="66"/>
      <c r="AI198" s="34"/>
      <c r="AJ198" s="88">
        <f t="shared" si="200"/>
        <v>0</v>
      </c>
      <c r="AK198" s="88">
        <f t="shared" si="201"/>
        <v>0</v>
      </c>
      <c r="AL198" s="88">
        <v>0</v>
      </c>
      <c r="AM198" s="88">
        <v>0</v>
      </c>
      <c r="AN198" s="81" t="str">
        <f t="shared" si="243"/>
        <v/>
      </c>
      <c r="AO198" s="88">
        <f t="shared" si="202"/>
        <v>0</v>
      </c>
      <c r="AP198" s="88">
        <f t="shared" si="203"/>
        <v>0</v>
      </c>
      <c r="AQ198" s="81" t="str">
        <f t="shared" si="204"/>
        <v/>
      </c>
      <c r="AS198" s="41" t="b">
        <f t="shared" si="205"/>
        <v>1</v>
      </c>
      <c r="AT198" s="38">
        <f t="shared" si="206"/>
        <v>0</v>
      </c>
      <c r="AU198" s="60">
        <f t="shared" si="207"/>
        <v>0</v>
      </c>
      <c r="AV198" s="41">
        <f t="shared" si="208"/>
        <v>0</v>
      </c>
      <c r="AW198" s="41" t="b">
        <f t="shared" si="209"/>
        <v>0</v>
      </c>
      <c r="AX198" t="str">
        <f t="shared" si="210"/>
        <v>+00</v>
      </c>
      <c r="AY198" t="str">
        <f t="shared" si="211"/>
        <v>+00</v>
      </c>
      <c r="BA198" s="47" t="b">
        <f t="shared" si="245"/>
        <v>1</v>
      </c>
      <c r="BB198" s="42" t="b">
        <f t="shared" si="246"/>
        <v>1</v>
      </c>
      <c r="BC198" s="42" t="b">
        <f t="shared" si="247"/>
        <v>0</v>
      </c>
      <c r="BD198" s="42" t="b">
        <f t="shared" si="248"/>
        <v>0</v>
      </c>
      <c r="BE198" s="70">
        <f t="shared" si="249"/>
        <v>0</v>
      </c>
      <c r="BF198" s="70">
        <f t="shared" si="250"/>
        <v>0</v>
      </c>
      <c r="BG198" s="34"/>
      <c r="BI198" s="47" t="b">
        <f t="shared" si="251"/>
        <v>1</v>
      </c>
      <c r="BJ198" s="47" t="b">
        <f t="shared" si="252"/>
        <v>1</v>
      </c>
      <c r="BK198" s="42" t="b">
        <f t="shared" si="253"/>
        <v>0</v>
      </c>
      <c r="BL198" s="42" t="b">
        <f t="shared" si="254"/>
        <v>0</v>
      </c>
      <c r="BM198" s="42">
        <f t="shared" si="255"/>
        <v>0</v>
      </c>
      <c r="BN198" s="42">
        <f t="shared" si="256"/>
        <v>0</v>
      </c>
      <c r="BP198" t="e">
        <f t="shared" si="257"/>
        <v>#N/A</v>
      </c>
      <c r="BQ198" t="e">
        <f t="shared" si="258"/>
        <v>#N/A</v>
      </c>
      <c r="BR198" t="e">
        <f t="shared" si="259"/>
        <v>#N/A</v>
      </c>
      <c r="BT198" s="60">
        <f t="shared" si="268"/>
        <v>0</v>
      </c>
      <c r="BU198" s="60">
        <f t="shared" si="269"/>
        <v>0</v>
      </c>
      <c r="BV198" s="60">
        <f t="shared" si="270"/>
        <v>0</v>
      </c>
      <c r="BW198" s="60">
        <f t="shared" si="271"/>
        <v>0</v>
      </c>
      <c r="BX198" s="60">
        <f t="shared" si="260"/>
        <v>0</v>
      </c>
      <c r="BY198" s="60">
        <f t="shared" si="261"/>
        <v>0</v>
      </c>
      <c r="BZ198" s="60">
        <f t="shared" si="262"/>
        <v>0</v>
      </c>
      <c r="CA198" s="60">
        <f t="shared" si="263"/>
        <v>0</v>
      </c>
      <c r="CB198" s="60" t="e">
        <f t="shared" si="272"/>
        <v>#N/A</v>
      </c>
      <c r="CC198" s="60">
        <f t="shared" si="273"/>
        <v>100000</v>
      </c>
      <c r="CD198" s="60" t="e">
        <f t="shared" si="274"/>
        <v>#N/A</v>
      </c>
      <c r="CE198" s="60">
        <f t="shared" si="275"/>
        <v>100000</v>
      </c>
      <c r="CF198" s="83" t="e">
        <f t="shared" si="264"/>
        <v>#N/A</v>
      </c>
      <c r="CG198" s="83">
        <f t="shared" si="265"/>
        <v>0</v>
      </c>
      <c r="CH198" s="83" t="e">
        <f t="shared" si="266"/>
        <v>#N/A</v>
      </c>
      <c r="CI198" s="83">
        <f t="shared" si="267"/>
        <v>0</v>
      </c>
      <c r="CJ198" s="86" t="e">
        <f t="shared" si="276"/>
        <v>#N/A</v>
      </c>
      <c r="CK198" s="82">
        <f t="shared" si="277"/>
        <v>5.3070370403969858E-3</v>
      </c>
      <c r="CL198" s="82" t="e">
        <f t="shared" si="278"/>
        <v>#N/A</v>
      </c>
      <c r="CM198" s="82">
        <f t="shared" si="279"/>
        <v>5.3070370403969858E-3</v>
      </c>
      <c r="CO198" s="149" t="str">
        <f>IF($I198&lt;&gt;"",IF(O198="User Specified",U198,INDEX('Refrigerant GWPs'!$G$2:$G$156,MATCH(O198,'Refrigerant GWPs'!$A$2:$A$156,0))),"")</f>
        <v/>
      </c>
      <c r="CP198" s="138" t="str">
        <f>IF($I198&lt;&gt;"",INDEX('Device Refrigerant Leakage'!$E$2:$E$42,MATCH($M198,'Device Refrigerant Leakage'!$B$2:$B$42,0)),"")</f>
        <v/>
      </c>
      <c r="CQ198" s="138" t="str">
        <f>IF($I198&lt;&gt;"",INDEX('Device Refrigerant Leakage'!$F$2:$F$42,MATCH($M198,'Device Refrigerant Leakage'!$B$2:$B$42,0)),"")</f>
        <v/>
      </c>
      <c r="CR198" s="145" t="str">
        <f>IF($I198&lt;&gt;"",INDEX('Device Refrigerant Leakage'!$G$2:$G$42,MATCH($M198,'Device Refrigerant Leakage'!$B$2:$B$42,0)),"")</f>
        <v/>
      </c>
      <c r="CS198" s="145" t="str">
        <f>IF($I198&lt;&gt;"",INDEX('Device Refrigerant Leakage'!$D$2:$D$42,MATCH($M198,'Device Refrigerant Leakage'!$B$2:$B$42,0))*CP198/2204.62*CO198,"")</f>
        <v/>
      </c>
      <c r="CT198" s="145" t="str">
        <f>IF($I198&lt;&gt;"",J198*(INDEX('Device Refrigerant Leakage'!$D$2:$D$42,MATCH($M198,'Device Refrigerant Leakage'!$B$2:$B$42,0))-(INDEX('Device Refrigerant Leakage'!$D$2:$D$42,MATCH($M198,'Device Refrigerant Leakage'!$B$2:$B$42,0)))*CR198*CP198)*CQ198/2204.62*CO198,"")</f>
        <v/>
      </c>
      <c r="CU198" s="135" t="str">
        <f>IF($I198&lt;&gt;"",J198*IF(W198&lt;&gt;"AR",(CS198*K198)+CT198,(CS198*AB198)+CT198*(AB198/INDEX('Device Refrigerant Leakage'!$C$2:$C$42,MATCH($M198,'Device Refrigerant Leakage'!$B$2:$B$42,0)))),"")</f>
        <v/>
      </c>
      <c r="CW198" s="135" t="str">
        <f>IF($I198&lt;&gt;"",IF(S198="User Specified",V198,INDEX('Refrigerant GWPs'!$G$2:$G$156,MATCH(S198,'Refrigerant GWPs'!$A$2:$A$157,0))),"")</f>
        <v/>
      </c>
      <c r="CX198" s="138" t="str">
        <f>IF($I198&lt;&gt;"",INDEX('Device Refrigerant Leakage'!$E$2:$E$42,MATCH($Q198,'Device Refrigerant Leakage'!$B$2:$B$42,0)),"")</f>
        <v/>
      </c>
      <c r="CY198" s="138" t="str">
        <f>IF($I198&lt;&gt;"",INDEX('Device Refrigerant Leakage'!$F$2:$F$42,MATCH($Q198,'Device Refrigerant Leakage'!$B$2:$B$42,0)),"")</f>
        <v/>
      </c>
      <c r="CZ198" s="145" t="str">
        <f>IF($I198&lt;&gt;"",INDEX('Device Refrigerant Leakage'!$G$2:$G$42,MATCH($Q198,'Device Refrigerant Leakage'!$B$2:$B$42,0)),"")</f>
        <v/>
      </c>
      <c r="DA198" s="145" t="str">
        <f>IF($I198&lt;&gt;"",J198*INDEX('Device Refrigerant Leakage'!$D$2:$D$42,MATCH($Q198,'Device Refrigerant Leakage'!$B$2:$B$42,0))*CX198/2204.62*CW198,"")</f>
        <v/>
      </c>
      <c r="DB198" s="145" t="str">
        <f>IF($I198&lt;&gt;"",J198*(INDEX('Device Refrigerant Leakage'!$D$2:$D$42,MATCH($Q198,'Device Refrigerant Leakage'!$B$2:$B$42,0))-(INDEX('Device Refrigerant Leakage'!$D$2:$D$42,MATCH($Q198,'Device Refrigerant Leakage'!$B$2:$B$42,0)))*CZ198*CX198)*CY198/2204.62*CW198,"")</f>
        <v/>
      </c>
      <c r="DC198" s="135" t="str">
        <f t="shared" si="244"/>
        <v/>
      </c>
      <c r="DE198" s="146" t="str">
        <f>IF(W198&lt;&gt;"AR","",IF(Y198="User Specified", AA198, INDEX('Refrigerant GWPs'!$G$2:$G$154,MATCH(Y198,'Refrigerant GWPs'!$A$2:$A$154,0))))</f>
        <v/>
      </c>
      <c r="DF198" s="146" t="str">
        <f>IF(W198&lt;&gt;"AR","",INDEX('Device Refrigerant Leakage'!$E$2:$E$42,MATCH(X198,'Device Refrigerant Leakage'!$B$2:$B$42,0)))</f>
        <v/>
      </c>
      <c r="DG198" s="146" t="str">
        <f>IF(W198&lt;&gt;"AR","",INDEX('Device Refrigerant Leakage'!$F$2:$F$42,MATCH(X198,'Device Refrigerant Leakage'!$B$2:$B$42,0)))</f>
        <v/>
      </c>
      <c r="DH198" s="146" t="str">
        <f>IF(W198&lt;&gt;"AR","",INDEX('Device Refrigerant Leakage'!$G$2:$G$42,MATCH(X198,'Device Refrigerant Leakage'!$B$2:$B$42,0)))</f>
        <v/>
      </c>
      <c r="DI198" s="146" t="str">
        <f>IF(W198&lt;&gt;"AR","",J198*INDEX('Device Refrigerant Leakage'!$D$2:$D$42,MATCH(X198,'Device Refrigerant Leakage'!$B$2:$B$42,0))*DF198/2204.62*DE198)</f>
        <v/>
      </c>
      <c r="DJ198" s="146" t="str">
        <f>IF(W198&lt;&gt;"AR","",J198*(INDEX('Device Refrigerant Leakage'!$D$2:$D$42,MATCH(X198,'Device Refrigerant Leakage'!$B$2:$B$42,0))-(INDEX('Device Refrigerant Leakage'!$D$2:$D$42,MATCH(X198,'Device Refrigerant Leakage'!$B$2:$B$42,0)))*DH198*DF198)*DG198/2204.62*DE198)</f>
        <v/>
      </c>
      <c r="DK198" s="146" t="str">
        <f>IF(W198&lt;&gt;"AR","",DI198*(K198-AB198)+'Fuel Sub Calcs-Deemed'!DJ198*((K198-AB198)/INDEX('Device Refrigerant Leakage'!$C$2:$C$42,MATCH('Fuel Sub Calcs-Deemed'!X198,'Device Refrigerant Leakage'!$B$2:$B$42,0))))</f>
        <v/>
      </c>
      <c r="DM198" s="56">
        <v>184</v>
      </c>
      <c r="DN198" s="67" t="e">
        <f t="shared" si="224"/>
        <v>#N/A</v>
      </c>
      <c r="DO198" s="45" t="e">
        <f t="shared" si="225"/>
        <v>#N/A</v>
      </c>
      <c r="DP198" s="67" t="e">
        <f t="shared" si="226"/>
        <v>#N/A</v>
      </c>
      <c r="DQ198" s="45" t="e">
        <f t="shared" si="227"/>
        <v>#N/A</v>
      </c>
      <c r="DR198" s="69" t="e">
        <f t="shared" si="228"/>
        <v>#N/A</v>
      </c>
      <c r="DS198" s="34"/>
      <c r="DT198" s="67" t="e">
        <f>((BX198*CJ198)+IF($W198=MAT_AR,(BZ198*CL198),0))*(1+Reference!$E$50+Reference!$E$51)</f>
        <v>#N/A</v>
      </c>
      <c r="DU198" s="67">
        <f>((BY198*CK198)+IF($W198=MAT_AR,(CA198*CM198),0))*(1+Reference!$G$50+Reference!$G$51)</f>
        <v>0</v>
      </c>
      <c r="DV198" s="67" t="e">
        <f t="shared" si="229"/>
        <v>#VALUE!</v>
      </c>
      <c r="DX198" s="56">
        <v>184</v>
      </c>
      <c r="DY198" s="67">
        <f t="shared" si="230"/>
        <v>0</v>
      </c>
      <c r="DZ198" s="45" t="e">
        <f>VLOOKUP($R198,Dropdown!$C$3:$D$4,2,FALSE)</f>
        <v>#N/A</v>
      </c>
      <c r="EA198" s="68">
        <f t="shared" si="231"/>
        <v>0</v>
      </c>
      <c r="EB198" s="68" t="str">
        <f t="shared" si="232"/>
        <v>N/A</v>
      </c>
      <c r="EC198" s="68">
        <f t="shared" si="233"/>
        <v>0</v>
      </c>
      <c r="ED198" s="68" t="str">
        <f t="shared" si="280"/>
        <v>N/A</v>
      </c>
      <c r="EF198" s="56">
        <v>184</v>
      </c>
      <c r="EG198" s="46">
        <f t="shared" si="235"/>
        <v>0</v>
      </c>
      <c r="EH198" s="68" t="e">
        <f t="shared" si="236"/>
        <v>#N/A</v>
      </c>
      <c r="EI198" s="68" t="e">
        <f t="shared" si="237"/>
        <v>#N/A</v>
      </c>
      <c r="EJ198" s="68" t="e">
        <f t="shared" si="238"/>
        <v>#N/A</v>
      </c>
      <c r="EK198" s="68" t="e">
        <f t="shared" si="239"/>
        <v>#N/A</v>
      </c>
      <c r="EL198" s="46">
        <f t="shared" si="240"/>
        <v>0</v>
      </c>
      <c r="EM198" s="46">
        <f t="shared" si="241"/>
        <v>0</v>
      </c>
    </row>
    <row r="199" spans="1:143">
      <c r="A199" s="89"/>
      <c r="B199" s="89"/>
      <c r="C199" s="89"/>
      <c r="D199" s="89"/>
      <c r="E199" s="89"/>
      <c r="F199" s="89"/>
      <c r="G199" s="34"/>
      <c r="H199" s="56">
        <f t="shared" si="242"/>
        <v>185</v>
      </c>
      <c r="I199" s="165"/>
      <c r="J199" s="163"/>
      <c r="K199" s="163"/>
      <c r="L199" s="164"/>
      <c r="M199" s="155"/>
      <c r="N199" s="155"/>
      <c r="O199" s="144"/>
      <c r="P199" s="159" t="str">
        <f>IFERROR(IF(O199&lt;&gt;"User Specified",IF(O199&lt;&gt;"", INDEX('Refrigerant GWPs'!$G$2:$G$154,MATCH(O199,'Refrigerant GWPs'!$A$2:$A$154,0)),""),U199),0)</f>
        <v/>
      </c>
      <c r="Q199" s="155"/>
      <c r="R199" s="155"/>
      <c r="S199" s="144"/>
      <c r="T199" s="159" t="str">
        <f>IF(S199&lt;&gt;"User Specified",IF(AND(S199&lt;&gt;"User Specified",S199&lt;&gt;""), INDEX('Refrigerant GWPs'!$G$2:$G$154,MATCH(S199,'Refrigerant GWPs'!$A$2:$A$154,0)),""),V199)</f>
        <v/>
      </c>
      <c r="U199" s="144"/>
      <c r="V199" s="144"/>
      <c r="W199" s="155"/>
      <c r="X199" s="155"/>
      <c r="Y199" s="144"/>
      <c r="Z199" s="159" t="str">
        <f>IF(AND(Y199&lt;&gt;"User Specified",Y199&lt;&gt;""), INDEX('Refrigerant GWPs'!$G$2:$G$154,MATCH(Y199,'Refrigerant GWPs'!$A$2:$A$154,0)),"")</f>
        <v/>
      </c>
      <c r="AA199" s="155"/>
      <c r="AB199" s="156"/>
      <c r="AC199" s="66"/>
      <c r="AD199" s="66"/>
      <c r="AE199" s="66"/>
      <c r="AF199" s="66"/>
      <c r="AG199" s="66"/>
      <c r="AH199" s="66"/>
      <c r="AI199" s="34"/>
      <c r="AJ199" s="88">
        <f t="shared" si="200"/>
        <v>0</v>
      </c>
      <c r="AK199" s="88">
        <f t="shared" si="201"/>
        <v>0</v>
      </c>
      <c r="AL199" s="88">
        <v>0</v>
      </c>
      <c r="AM199" s="88">
        <v>0</v>
      </c>
      <c r="AN199" s="81" t="str">
        <f t="shared" si="243"/>
        <v/>
      </c>
      <c r="AO199" s="88">
        <f t="shared" si="202"/>
        <v>0</v>
      </c>
      <c r="AP199" s="88">
        <f t="shared" si="203"/>
        <v>0</v>
      </c>
      <c r="AQ199" s="81" t="str">
        <f t="shared" si="204"/>
        <v/>
      </c>
      <c r="AS199" s="41" t="b">
        <f t="shared" si="205"/>
        <v>1</v>
      </c>
      <c r="AT199" s="38">
        <f t="shared" si="206"/>
        <v>0</v>
      </c>
      <c r="AU199" s="60">
        <f t="shared" si="207"/>
        <v>0</v>
      </c>
      <c r="AV199" s="41">
        <f t="shared" si="208"/>
        <v>0</v>
      </c>
      <c r="AW199" s="41" t="b">
        <f t="shared" si="209"/>
        <v>0</v>
      </c>
      <c r="AX199" t="str">
        <f t="shared" si="210"/>
        <v>+00</v>
      </c>
      <c r="AY199" t="str">
        <f t="shared" si="211"/>
        <v>+00</v>
      </c>
      <c r="BA199" s="47" t="b">
        <f t="shared" si="245"/>
        <v>1</v>
      </c>
      <c r="BB199" s="42" t="b">
        <f t="shared" si="246"/>
        <v>1</v>
      </c>
      <c r="BC199" s="42" t="b">
        <f t="shared" si="247"/>
        <v>0</v>
      </c>
      <c r="BD199" s="42" t="b">
        <f t="shared" si="248"/>
        <v>0</v>
      </c>
      <c r="BE199" s="70">
        <f t="shared" si="249"/>
        <v>0</v>
      </c>
      <c r="BF199" s="70">
        <f t="shared" si="250"/>
        <v>0</v>
      </c>
      <c r="BG199" s="34"/>
      <c r="BI199" s="47" t="b">
        <f t="shared" si="251"/>
        <v>1</v>
      </c>
      <c r="BJ199" s="47" t="b">
        <f t="shared" si="252"/>
        <v>1</v>
      </c>
      <c r="BK199" s="42" t="b">
        <f t="shared" si="253"/>
        <v>0</v>
      </c>
      <c r="BL199" s="42" t="b">
        <f t="shared" si="254"/>
        <v>0</v>
      </c>
      <c r="BM199" s="42">
        <f t="shared" si="255"/>
        <v>0</v>
      </c>
      <c r="BN199" s="42">
        <f t="shared" si="256"/>
        <v>0</v>
      </c>
      <c r="BP199" t="e">
        <f t="shared" si="257"/>
        <v>#N/A</v>
      </c>
      <c r="BQ199" t="e">
        <f t="shared" si="258"/>
        <v>#N/A</v>
      </c>
      <c r="BR199" t="e">
        <f t="shared" si="259"/>
        <v>#N/A</v>
      </c>
      <c r="BT199" s="60">
        <f t="shared" si="268"/>
        <v>0</v>
      </c>
      <c r="BU199" s="60">
        <f t="shared" si="269"/>
        <v>0</v>
      </c>
      <c r="BV199" s="60">
        <f t="shared" si="270"/>
        <v>0</v>
      </c>
      <c r="BW199" s="60">
        <f t="shared" si="271"/>
        <v>0</v>
      </c>
      <c r="BX199" s="60">
        <f t="shared" si="260"/>
        <v>0</v>
      </c>
      <c r="BY199" s="60">
        <f t="shared" si="261"/>
        <v>0</v>
      </c>
      <c r="BZ199" s="60">
        <f t="shared" si="262"/>
        <v>0</v>
      </c>
      <c r="CA199" s="60">
        <f t="shared" si="263"/>
        <v>0</v>
      </c>
      <c r="CB199" s="60" t="e">
        <f t="shared" si="272"/>
        <v>#N/A</v>
      </c>
      <c r="CC199" s="60">
        <f t="shared" si="273"/>
        <v>100000</v>
      </c>
      <c r="CD199" s="60" t="e">
        <f t="shared" si="274"/>
        <v>#N/A</v>
      </c>
      <c r="CE199" s="60">
        <f t="shared" si="275"/>
        <v>100000</v>
      </c>
      <c r="CF199" s="83" t="e">
        <f t="shared" si="264"/>
        <v>#N/A</v>
      </c>
      <c r="CG199" s="83">
        <f t="shared" si="265"/>
        <v>0</v>
      </c>
      <c r="CH199" s="83" t="e">
        <f t="shared" si="266"/>
        <v>#N/A</v>
      </c>
      <c r="CI199" s="83">
        <f t="shared" si="267"/>
        <v>0</v>
      </c>
      <c r="CJ199" s="86" t="e">
        <f t="shared" si="276"/>
        <v>#N/A</v>
      </c>
      <c r="CK199" s="82">
        <f t="shared" si="277"/>
        <v>5.3070370403969858E-3</v>
      </c>
      <c r="CL199" s="82" t="e">
        <f t="shared" si="278"/>
        <v>#N/A</v>
      </c>
      <c r="CM199" s="82">
        <f t="shared" si="279"/>
        <v>5.3070370403969858E-3</v>
      </c>
      <c r="CO199" s="149" t="str">
        <f>IF($I199&lt;&gt;"",IF(O199="User Specified",U199,INDEX('Refrigerant GWPs'!$G$2:$G$156,MATCH(O199,'Refrigerant GWPs'!$A$2:$A$156,0))),"")</f>
        <v/>
      </c>
      <c r="CP199" s="138" t="str">
        <f>IF($I199&lt;&gt;"",INDEX('Device Refrigerant Leakage'!$E$2:$E$42,MATCH($M199,'Device Refrigerant Leakage'!$B$2:$B$42,0)),"")</f>
        <v/>
      </c>
      <c r="CQ199" s="138" t="str">
        <f>IF($I199&lt;&gt;"",INDEX('Device Refrigerant Leakage'!$F$2:$F$42,MATCH($M199,'Device Refrigerant Leakage'!$B$2:$B$42,0)),"")</f>
        <v/>
      </c>
      <c r="CR199" s="145" t="str">
        <f>IF($I199&lt;&gt;"",INDEX('Device Refrigerant Leakage'!$G$2:$G$42,MATCH($M199,'Device Refrigerant Leakage'!$B$2:$B$42,0)),"")</f>
        <v/>
      </c>
      <c r="CS199" s="145" t="str">
        <f>IF($I199&lt;&gt;"",INDEX('Device Refrigerant Leakage'!$D$2:$D$42,MATCH($M199,'Device Refrigerant Leakage'!$B$2:$B$42,0))*CP199/2204.62*CO199,"")</f>
        <v/>
      </c>
      <c r="CT199" s="145" t="str">
        <f>IF($I199&lt;&gt;"",J199*(INDEX('Device Refrigerant Leakage'!$D$2:$D$42,MATCH($M199,'Device Refrigerant Leakage'!$B$2:$B$42,0))-(INDEX('Device Refrigerant Leakage'!$D$2:$D$42,MATCH($M199,'Device Refrigerant Leakage'!$B$2:$B$42,0)))*CR199*CP199)*CQ199/2204.62*CO199,"")</f>
        <v/>
      </c>
      <c r="CU199" s="135" t="str">
        <f>IF($I199&lt;&gt;"",J199*IF(W199&lt;&gt;"AR",(CS199*K199)+CT199,(CS199*AB199)+CT199*(AB199/INDEX('Device Refrigerant Leakage'!$C$2:$C$42,MATCH($M199,'Device Refrigerant Leakage'!$B$2:$B$42,0)))),"")</f>
        <v/>
      </c>
      <c r="CW199" s="135" t="str">
        <f>IF($I199&lt;&gt;"",IF(S199="User Specified",V199,INDEX('Refrigerant GWPs'!$G$2:$G$156,MATCH(S199,'Refrigerant GWPs'!$A$2:$A$157,0))),"")</f>
        <v/>
      </c>
      <c r="CX199" s="138" t="str">
        <f>IF($I199&lt;&gt;"",INDEX('Device Refrigerant Leakage'!$E$2:$E$42,MATCH($Q199,'Device Refrigerant Leakage'!$B$2:$B$42,0)),"")</f>
        <v/>
      </c>
      <c r="CY199" s="138" t="str">
        <f>IF($I199&lt;&gt;"",INDEX('Device Refrigerant Leakage'!$F$2:$F$42,MATCH($Q199,'Device Refrigerant Leakage'!$B$2:$B$42,0)),"")</f>
        <v/>
      </c>
      <c r="CZ199" s="145" t="str">
        <f>IF($I199&lt;&gt;"",INDEX('Device Refrigerant Leakage'!$G$2:$G$42,MATCH($Q199,'Device Refrigerant Leakage'!$B$2:$B$42,0)),"")</f>
        <v/>
      </c>
      <c r="DA199" s="145" t="str">
        <f>IF($I199&lt;&gt;"",J199*INDEX('Device Refrigerant Leakage'!$D$2:$D$42,MATCH($Q199,'Device Refrigerant Leakage'!$B$2:$B$42,0))*CX199/2204.62*CW199,"")</f>
        <v/>
      </c>
      <c r="DB199" s="145" t="str">
        <f>IF($I199&lt;&gt;"",J199*(INDEX('Device Refrigerant Leakage'!$D$2:$D$42,MATCH($Q199,'Device Refrigerant Leakage'!$B$2:$B$42,0))-(INDEX('Device Refrigerant Leakage'!$D$2:$D$42,MATCH($Q199,'Device Refrigerant Leakage'!$B$2:$B$42,0)))*CZ199*CX199)*CY199/2204.62*CW199,"")</f>
        <v/>
      </c>
      <c r="DC199" s="135" t="str">
        <f t="shared" si="244"/>
        <v/>
      </c>
      <c r="DE199" s="146" t="str">
        <f>IF(W199&lt;&gt;"AR","",IF(Y199="User Specified", AA199, INDEX('Refrigerant GWPs'!$G$2:$G$154,MATCH(Y199,'Refrigerant GWPs'!$A$2:$A$154,0))))</f>
        <v/>
      </c>
      <c r="DF199" s="146" t="str">
        <f>IF(W199&lt;&gt;"AR","",INDEX('Device Refrigerant Leakage'!$E$2:$E$42,MATCH(X199,'Device Refrigerant Leakage'!$B$2:$B$42,0)))</f>
        <v/>
      </c>
      <c r="DG199" s="146" t="str">
        <f>IF(W199&lt;&gt;"AR","",INDEX('Device Refrigerant Leakage'!$F$2:$F$42,MATCH(X199,'Device Refrigerant Leakage'!$B$2:$B$42,0)))</f>
        <v/>
      </c>
      <c r="DH199" s="146" t="str">
        <f>IF(W199&lt;&gt;"AR","",INDEX('Device Refrigerant Leakage'!$G$2:$G$42,MATCH(X199,'Device Refrigerant Leakage'!$B$2:$B$42,0)))</f>
        <v/>
      </c>
      <c r="DI199" s="146" t="str">
        <f>IF(W199&lt;&gt;"AR","",J199*INDEX('Device Refrigerant Leakage'!$D$2:$D$42,MATCH(X199,'Device Refrigerant Leakage'!$B$2:$B$42,0))*DF199/2204.62*DE199)</f>
        <v/>
      </c>
      <c r="DJ199" s="146" t="str">
        <f>IF(W199&lt;&gt;"AR","",J199*(INDEX('Device Refrigerant Leakage'!$D$2:$D$42,MATCH(X199,'Device Refrigerant Leakage'!$B$2:$B$42,0))-(INDEX('Device Refrigerant Leakage'!$D$2:$D$42,MATCH(X199,'Device Refrigerant Leakage'!$B$2:$B$42,0)))*DH199*DF199)*DG199/2204.62*DE199)</f>
        <v/>
      </c>
      <c r="DK199" s="146" t="str">
        <f>IF(W199&lt;&gt;"AR","",DI199*(K199-AB199)+'Fuel Sub Calcs-Deemed'!DJ199*((K199-AB199)/INDEX('Device Refrigerant Leakage'!$C$2:$C$42,MATCH('Fuel Sub Calcs-Deemed'!X199,'Device Refrigerant Leakage'!$B$2:$B$42,0))))</f>
        <v/>
      </c>
      <c r="DM199" s="56">
        <v>185</v>
      </c>
      <c r="DN199" s="67" t="e">
        <f t="shared" si="224"/>
        <v>#N/A</v>
      </c>
      <c r="DO199" s="45" t="e">
        <f t="shared" si="225"/>
        <v>#N/A</v>
      </c>
      <c r="DP199" s="67" t="e">
        <f t="shared" si="226"/>
        <v>#N/A</v>
      </c>
      <c r="DQ199" s="45" t="e">
        <f t="shared" si="227"/>
        <v>#N/A</v>
      </c>
      <c r="DR199" s="69" t="e">
        <f t="shared" si="228"/>
        <v>#N/A</v>
      </c>
      <c r="DS199" s="34"/>
      <c r="DT199" s="67" t="e">
        <f>((BX199*CJ199)+IF($W199=MAT_AR,(BZ199*CL199),0))*(1+Reference!$E$50+Reference!$E$51)</f>
        <v>#N/A</v>
      </c>
      <c r="DU199" s="67">
        <f>((BY199*CK199)+IF($W199=MAT_AR,(CA199*CM199),0))*(1+Reference!$G$50+Reference!$G$51)</f>
        <v>0</v>
      </c>
      <c r="DV199" s="67" t="e">
        <f t="shared" si="229"/>
        <v>#VALUE!</v>
      </c>
      <c r="DX199" s="56">
        <v>185</v>
      </c>
      <c r="DY199" s="67">
        <f t="shared" si="230"/>
        <v>0</v>
      </c>
      <c r="DZ199" s="45" t="e">
        <f>VLOOKUP($R199,Dropdown!$C$3:$D$4,2,FALSE)</f>
        <v>#N/A</v>
      </c>
      <c r="EA199" s="68">
        <f t="shared" si="231"/>
        <v>0</v>
      </c>
      <c r="EB199" s="68" t="str">
        <f t="shared" si="232"/>
        <v>N/A</v>
      </c>
      <c r="EC199" s="68">
        <f t="shared" si="233"/>
        <v>0</v>
      </c>
      <c r="ED199" s="68" t="str">
        <f t="shared" si="280"/>
        <v>N/A</v>
      </c>
      <c r="EF199" s="56">
        <v>185</v>
      </c>
      <c r="EG199" s="46">
        <f t="shared" si="235"/>
        <v>0</v>
      </c>
      <c r="EH199" s="68" t="e">
        <f t="shared" si="236"/>
        <v>#N/A</v>
      </c>
      <c r="EI199" s="68" t="e">
        <f t="shared" si="237"/>
        <v>#N/A</v>
      </c>
      <c r="EJ199" s="68" t="e">
        <f t="shared" si="238"/>
        <v>#N/A</v>
      </c>
      <c r="EK199" s="68" t="e">
        <f t="shared" si="239"/>
        <v>#N/A</v>
      </c>
      <c r="EL199" s="46">
        <f t="shared" si="240"/>
        <v>0</v>
      </c>
      <c r="EM199" s="46">
        <f t="shared" si="241"/>
        <v>0</v>
      </c>
    </row>
    <row r="200" spans="1:143">
      <c r="A200" s="89"/>
      <c r="B200" s="89"/>
      <c r="C200" s="89"/>
      <c r="D200" s="89"/>
      <c r="E200" s="89"/>
      <c r="F200" s="89"/>
      <c r="G200" s="34"/>
      <c r="H200" s="56">
        <f t="shared" si="242"/>
        <v>186</v>
      </c>
      <c r="I200" s="165"/>
      <c r="J200" s="163"/>
      <c r="K200" s="163"/>
      <c r="L200" s="164"/>
      <c r="M200" s="155"/>
      <c r="N200" s="155"/>
      <c r="O200" s="144"/>
      <c r="P200" s="159" t="str">
        <f>IFERROR(IF(O200&lt;&gt;"User Specified",IF(O200&lt;&gt;"", INDEX('Refrigerant GWPs'!$G$2:$G$154,MATCH(O200,'Refrigerant GWPs'!$A$2:$A$154,0)),""),U200),0)</f>
        <v/>
      </c>
      <c r="Q200" s="155"/>
      <c r="R200" s="155"/>
      <c r="S200" s="144"/>
      <c r="T200" s="159" t="str">
        <f>IF(S200&lt;&gt;"User Specified",IF(AND(S200&lt;&gt;"User Specified",S200&lt;&gt;""), INDEX('Refrigerant GWPs'!$G$2:$G$154,MATCH(S200,'Refrigerant GWPs'!$A$2:$A$154,0)),""),V200)</f>
        <v/>
      </c>
      <c r="U200" s="144"/>
      <c r="V200" s="144"/>
      <c r="W200" s="155"/>
      <c r="X200" s="155"/>
      <c r="Y200" s="144"/>
      <c r="Z200" s="159" t="str">
        <f>IF(AND(Y200&lt;&gt;"User Specified",Y200&lt;&gt;""), INDEX('Refrigerant GWPs'!$G$2:$G$154,MATCH(Y200,'Refrigerant GWPs'!$A$2:$A$154,0)),"")</f>
        <v/>
      </c>
      <c r="AA200" s="155"/>
      <c r="AB200" s="156"/>
      <c r="AC200" s="66"/>
      <c r="AD200" s="66"/>
      <c r="AE200" s="66"/>
      <c r="AF200" s="66"/>
      <c r="AG200" s="66"/>
      <c r="AH200" s="66"/>
      <c r="AI200" s="34"/>
      <c r="AJ200" s="88">
        <f t="shared" si="200"/>
        <v>0</v>
      </c>
      <c r="AK200" s="88">
        <f t="shared" si="201"/>
        <v>0</v>
      </c>
      <c r="AL200" s="88">
        <v>0</v>
      </c>
      <c r="AM200" s="88">
        <v>0</v>
      </c>
      <c r="AN200" s="81" t="str">
        <f t="shared" si="243"/>
        <v/>
      </c>
      <c r="AO200" s="88">
        <f t="shared" si="202"/>
        <v>0</v>
      </c>
      <c r="AP200" s="88">
        <f t="shared" si="203"/>
        <v>0</v>
      </c>
      <c r="AQ200" s="81" t="str">
        <f t="shared" si="204"/>
        <v/>
      </c>
      <c r="AS200" s="41" t="b">
        <f t="shared" si="205"/>
        <v>1</v>
      </c>
      <c r="AT200" s="38">
        <f t="shared" si="206"/>
        <v>0</v>
      </c>
      <c r="AU200" s="60">
        <f t="shared" si="207"/>
        <v>0</v>
      </c>
      <c r="AV200" s="41">
        <f t="shared" si="208"/>
        <v>0</v>
      </c>
      <c r="AW200" s="41" t="b">
        <f t="shared" si="209"/>
        <v>0</v>
      </c>
      <c r="AX200" t="str">
        <f t="shared" si="210"/>
        <v>+00</v>
      </c>
      <c r="AY200" t="str">
        <f t="shared" si="211"/>
        <v>+00</v>
      </c>
      <c r="BA200" s="47" t="b">
        <f t="shared" si="245"/>
        <v>1</v>
      </c>
      <c r="BB200" s="42" t="b">
        <f t="shared" si="246"/>
        <v>1</v>
      </c>
      <c r="BC200" s="42" t="b">
        <f t="shared" si="247"/>
        <v>0</v>
      </c>
      <c r="BD200" s="42" t="b">
        <f t="shared" si="248"/>
        <v>0</v>
      </c>
      <c r="BE200" s="70">
        <f t="shared" si="249"/>
        <v>0</v>
      </c>
      <c r="BF200" s="70">
        <f t="shared" si="250"/>
        <v>0</v>
      </c>
      <c r="BG200" s="34"/>
      <c r="BI200" s="47" t="b">
        <f t="shared" si="251"/>
        <v>1</v>
      </c>
      <c r="BJ200" s="47" t="b">
        <f t="shared" si="252"/>
        <v>1</v>
      </c>
      <c r="BK200" s="42" t="b">
        <f t="shared" si="253"/>
        <v>0</v>
      </c>
      <c r="BL200" s="42" t="b">
        <f t="shared" si="254"/>
        <v>0</v>
      </c>
      <c r="BM200" s="42">
        <f t="shared" si="255"/>
        <v>0</v>
      </c>
      <c r="BN200" s="42">
        <f t="shared" si="256"/>
        <v>0</v>
      </c>
      <c r="BP200" t="e">
        <f t="shared" si="257"/>
        <v>#N/A</v>
      </c>
      <c r="BQ200" t="e">
        <f t="shared" si="258"/>
        <v>#N/A</v>
      </c>
      <c r="BR200" t="e">
        <f t="shared" si="259"/>
        <v>#N/A</v>
      </c>
      <c r="BT200" s="60">
        <f t="shared" si="268"/>
        <v>0</v>
      </c>
      <c r="BU200" s="60">
        <f t="shared" si="269"/>
        <v>0</v>
      </c>
      <c r="BV200" s="60">
        <f t="shared" si="270"/>
        <v>0</v>
      </c>
      <c r="BW200" s="60">
        <f t="shared" si="271"/>
        <v>0</v>
      </c>
      <c r="BX200" s="60">
        <f t="shared" si="260"/>
        <v>0</v>
      </c>
      <c r="BY200" s="60">
        <f t="shared" si="261"/>
        <v>0</v>
      </c>
      <c r="BZ200" s="60">
        <f t="shared" si="262"/>
        <v>0</v>
      </c>
      <c r="CA200" s="60">
        <f t="shared" si="263"/>
        <v>0</v>
      </c>
      <c r="CB200" s="60" t="e">
        <f t="shared" si="272"/>
        <v>#N/A</v>
      </c>
      <c r="CC200" s="60">
        <f t="shared" si="273"/>
        <v>100000</v>
      </c>
      <c r="CD200" s="60" t="e">
        <f t="shared" si="274"/>
        <v>#N/A</v>
      </c>
      <c r="CE200" s="60">
        <f t="shared" si="275"/>
        <v>100000</v>
      </c>
      <c r="CF200" s="83" t="e">
        <f t="shared" si="264"/>
        <v>#N/A</v>
      </c>
      <c r="CG200" s="83">
        <f t="shared" si="265"/>
        <v>0</v>
      </c>
      <c r="CH200" s="83" t="e">
        <f t="shared" si="266"/>
        <v>#N/A</v>
      </c>
      <c r="CI200" s="83">
        <f t="shared" si="267"/>
        <v>0</v>
      </c>
      <c r="CJ200" s="86" t="e">
        <f t="shared" si="276"/>
        <v>#N/A</v>
      </c>
      <c r="CK200" s="82">
        <f t="shared" si="277"/>
        <v>5.3070370403969858E-3</v>
      </c>
      <c r="CL200" s="82" t="e">
        <f t="shared" si="278"/>
        <v>#N/A</v>
      </c>
      <c r="CM200" s="82">
        <f t="shared" si="279"/>
        <v>5.3070370403969858E-3</v>
      </c>
      <c r="CO200" s="149" t="str">
        <f>IF($I200&lt;&gt;"",IF(O200="User Specified",U200,INDEX('Refrigerant GWPs'!$G$2:$G$156,MATCH(O200,'Refrigerant GWPs'!$A$2:$A$156,0))),"")</f>
        <v/>
      </c>
      <c r="CP200" s="138" t="str">
        <f>IF($I200&lt;&gt;"",INDEX('Device Refrigerant Leakage'!$E$2:$E$42,MATCH($M200,'Device Refrigerant Leakage'!$B$2:$B$42,0)),"")</f>
        <v/>
      </c>
      <c r="CQ200" s="138" t="str">
        <f>IF($I200&lt;&gt;"",INDEX('Device Refrigerant Leakage'!$F$2:$F$42,MATCH($M200,'Device Refrigerant Leakage'!$B$2:$B$42,0)),"")</f>
        <v/>
      </c>
      <c r="CR200" s="145" t="str">
        <f>IF($I200&lt;&gt;"",INDEX('Device Refrigerant Leakage'!$G$2:$G$42,MATCH($M200,'Device Refrigerant Leakage'!$B$2:$B$42,0)),"")</f>
        <v/>
      </c>
      <c r="CS200" s="145" t="str">
        <f>IF($I200&lt;&gt;"",INDEX('Device Refrigerant Leakage'!$D$2:$D$42,MATCH($M200,'Device Refrigerant Leakage'!$B$2:$B$42,0))*CP200/2204.62*CO200,"")</f>
        <v/>
      </c>
      <c r="CT200" s="145" t="str">
        <f>IF($I200&lt;&gt;"",J200*(INDEX('Device Refrigerant Leakage'!$D$2:$D$42,MATCH($M200,'Device Refrigerant Leakage'!$B$2:$B$42,0))-(INDEX('Device Refrigerant Leakage'!$D$2:$D$42,MATCH($M200,'Device Refrigerant Leakage'!$B$2:$B$42,0)))*CR200*CP200)*CQ200/2204.62*CO200,"")</f>
        <v/>
      </c>
      <c r="CU200" s="135" t="str">
        <f>IF($I200&lt;&gt;"",J200*IF(W200&lt;&gt;"AR",(CS200*K200)+CT200,(CS200*AB200)+CT200*(AB200/INDEX('Device Refrigerant Leakage'!$C$2:$C$42,MATCH($M200,'Device Refrigerant Leakage'!$B$2:$B$42,0)))),"")</f>
        <v/>
      </c>
      <c r="CW200" s="135" t="str">
        <f>IF($I200&lt;&gt;"",IF(S200="User Specified",V200,INDEX('Refrigerant GWPs'!$G$2:$G$156,MATCH(S200,'Refrigerant GWPs'!$A$2:$A$157,0))),"")</f>
        <v/>
      </c>
      <c r="CX200" s="138" t="str">
        <f>IF($I200&lt;&gt;"",INDEX('Device Refrigerant Leakage'!$E$2:$E$42,MATCH($Q200,'Device Refrigerant Leakage'!$B$2:$B$42,0)),"")</f>
        <v/>
      </c>
      <c r="CY200" s="138" t="str">
        <f>IF($I200&lt;&gt;"",INDEX('Device Refrigerant Leakage'!$F$2:$F$42,MATCH($Q200,'Device Refrigerant Leakage'!$B$2:$B$42,0)),"")</f>
        <v/>
      </c>
      <c r="CZ200" s="145" t="str">
        <f>IF($I200&lt;&gt;"",INDEX('Device Refrigerant Leakage'!$G$2:$G$42,MATCH($Q200,'Device Refrigerant Leakage'!$B$2:$B$42,0)),"")</f>
        <v/>
      </c>
      <c r="DA200" s="145" t="str">
        <f>IF($I200&lt;&gt;"",J200*INDEX('Device Refrigerant Leakage'!$D$2:$D$42,MATCH($Q200,'Device Refrigerant Leakage'!$B$2:$B$42,0))*CX200/2204.62*CW200,"")</f>
        <v/>
      </c>
      <c r="DB200" s="145" t="str">
        <f>IF($I200&lt;&gt;"",J200*(INDEX('Device Refrigerant Leakage'!$D$2:$D$42,MATCH($Q200,'Device Refrigerant Leakage'!$B$2:$B$42,0))-(INDEX('Device Refrigerant Leakage'!$D$2:$D$42,MATCH($Q200,'Device Refrigerant Leakage'!$B$2:$B$42,0)))*CZ200*CX200)*CY200/2204.62*CW200,"")</f>
        <v/>
      </c>
      <c r="DC200" s="135" t="str">
        <f t="shared" si="244"/>
        <v/>
      </c>
      <c r="DE200" s="146" t="str">
        <f>IF(W200&lt;&gt;"AR","",IF(Y200="User Specified", AA200, INDEX('Refrigerant GWPs'!$G$2:$G$154,MATCH(Y200,'Refrigerant GWPs'!$A$2:$A$154,0))))</f>
        <v/>
      </c>
      <c r="DF200" s="146" t="str">
        <f>IF(W200&lt;&gt;"AR","",INDEX('Device Refrigerant Leakage'!$E$2:$E$42,MATCH(X200,'Device Refrigerant Leakage'!$B$2:$B$42,0)))</f>
        <v/>
      </c>
      <c r="DG200" s="146" t="str">
        <f>IF(W200&lt;&gt;"AR","",INDEX('Device Refrigerant Leakage'!$F$2:$F$42,MATCH(X200,'Device Refrigerant Leakage'!$B$2:$B$42,0)))</f>
        <v/>
      </c>
      <c r="DH200" s="146" t="str">
        <f>IF(W200&lt;&gt;"AR","",INDEX('Device Refrigerant Leakage'!$G$2:$G$42,MATCH(X200,'Device Refrigerant Leakage'!$B$2:$B$42,0)))</f>
        <v/>
      </c>
      <c r="DI200" s="146" t="str">
        <f>IF(W200&lt;&gt;"AR","",J200*INDEX('Device Refrigerant Leakage'!$D$2:$D$42,MATCH(X200,'Device Refrigerant Leakage'!$B$2:$B$42,0))*DF200/2204.62*DE200)</f>
        <v/>
      </c>
      <c r="DJ200" s="146" t="str">
        <f>IF(W200&lt;&gt;"AR","",J200*(INDEX('Device Refrigerant Leakage'!$D$2:$D$42,MATCH(X200,'Device Refrigerant Leakage'!$B$2:$B$42,0))-(INDEX('Device Refrigerant Leakage'!$D$2:$D$42,MATCH(X200,'Device Refrigerant Leakage'!$B$2:$B$42,0)))*DH200*DF200)*DG200/2204.62*DE200)</f>
        <v/>
      </c>
      <c r="DK200" s="146" t="str">
        <f>IF(W200&lt;&gt;"AR","",DI200*(K200-AB200)+'Fuel Sub Calcs-Deemed'!DJ200*((K200-AB200)/INDEX('Device Refrigerant Leakage'!$C$2:$C$42,MATCH('Fuel Sub Calcs-Deemed'!X200,'Device Refrigerant Leakage'!$B$2:$B$42,0))))</f>
        <v/>
      </c>
      <c r="DM200" s="56">
        <v>186</v>
      </c>
      <c r="DN200" s="67" t="e">
        <f t="shared" si="224"/>
        <v>#N/A</v>
      </c>
      <c r="DO200" s="45" t="e">
        <f t="shared" si="225"/>
        <v>#N/A</v>
      </c>
      <c r="DP200" s="67" t="e">
        <f t="shared" si="226"/>
        <v>#N/A</v>
      </c>
      <c r="DQ200" s="45" t="e">
        <f t="shared" si="227"/>
        <v>#N/A</v>
      </c>
      <c r="DR200" s="69" t="e">
        <f t="shared" si="228"/>
        <v>#N/A</v>
      </c>
      <c r="DS200" s="34"/>
      <c r="DT200" s="67" t="e">
        <f>((BX200*CJ200)+IF($W200=MAT_AR,(BZ200*CL200),0))*(1+Reference!$E$50+Reference!$E$51)</f>
        <v>#N/A</v>
      </c>
      <c r="DU200" s="67">
        <f>((BY200*CK200)+IF($W200=MAT_AR,(CA200*CM200),0))*(1+Reference!$G$50+Reference!$G$51)</f>
        <v>0</v>
      </c>
      <c r="DV200" s="67" t="e">
        <f t="shared" si="229"/>
        <v>#VALUE!</v>
      </c>
      <c r="DX200" s="56">
        <v>186</v>
      </c>
      <c r="DY200" s="67">
        <f t="shared" si="230"/>
        <v>0</v>
      </c>
      <c r="DZ200" s="45" t="e">
        <f>VLOOKUP($R200,Dropdown!$C$3:$D$4,2,FALSE)</f>
        <v>#N/A</v>
      </c>
      <c r="EA200" s="68">
        <f t="shared" si="231"/>
        <v>0</v>
      </c>
      <c r="EB200" s="68" t="str">
        <f t="shared" si="232"/>
        <v>N/A</v>
      </c>
      <c r="EC200" s="68">
        <f t="shared" si="233"/>
        <v>0</v>
      </c>
      <c r="ED200" s="68" t="str">
        <f t="shared" si="280"/>
        <v>N/A</v>
      </c>
      <c r="EF200" s="56">
        <v>186</v>
      </c>
      <c r="EG200" s="46">
        <f t="shared" si="235"/>
        <v>0</v>
      </c>
      <c r="EH200" s="68" t="e">
        <f t="shared" si="236"/>
        <v>#N/A</v>
      </c>
      <c r="EI200" s="68" t="e">
        <f t="shared" si="237"/>
        <v>#N/A</v>
      </c>
      <c r="EJ200" s="68" t="e">
        <f t="shared" si="238"/>
        <v>#N/A</v>
      </c>
      <c r="EK200" s="68" t="e">
        <f t="shared" si="239"/>
        <v>#N/A</v>
      </c>
      <c r="EL200" s="46">
        <f t="shared" si="240"/>
        <v>0</v>
      </c>
      <c r="EM200" s="46">
        <f t="shared" si="241"/>
        <v>0</v>
      </c>
    </row>
    <row r="201" spans="1:143">
      <c r="A201" s="89"/>
      <c r="B201" s="89"/>
      <c r="C201" s="89"/>
      <c r="D201" s="89"/>
      <c r="E201" s="89"/>
      <c r="F201" s="89"/>
      <c r="G201" s="34"/>
      <c r="H201" s="56">
        <f t="shared" si="242"/>
        <v>187</v>
      </c>
      <c r="I201" s="165"/>
      <c r="J201" s="163"/>
      <c r="K201" s="163"/>
      <c r="L201" s="164"/>
      <c r="M201" s="155"/>
      <c r="N201" s="155"/>
      <c r="O201" s="144"/>
      <c r="P201" s="159" t="str">
        <f>IFERROR(IF(O201&lt;&gt;"User Specified",IF(O201&lt;&gt;"", INDEX('Refrigerant GWPs'!$G$2:$G$154,MATCH(O201,'Refrigerant GWPs'!$A$2:$A$154,0)),""),U201),0)</f>
        <v/>
      </c>
      <c r="Q201" s="155"/>
      <c r="R201" s="155"/>
      <c r="S201" s="144"/>
      <c r="T201" s="159" t="str">
        <f>IF(S201&lt;&gt;"User Specified",IF(AND(S201&lt;&gt;"User Specified",S201&lt;&gt;""), INDEX('Refrigerant GWPs'!$G$2:$G$154,MATCH(S201,'Refrigerant GWPs'!$A$2:$A$154,0)),""),V201)</f>
        <v/>
      </c>
      <c r="U201" s="144"/>
      <c r="V201" s="144"/>
      <c r="W201" s="155"/>
      <c r="X201" s="155"/>
      <c r="Y201" s="144"/>
      <c r="Z201" s="159" t="str">
        <f>IF(AND(Y201&lt;&gt;"User Specified",Y201&lt;&gt;""), INDEX('Refrigerant GWPs'!$G$2:$G$154,MATCH(Y201,'Refrigerant GWPs'!$A$2:$A$154,0)),"")</f>
        <v/>
      </c>
      <c r="AA201" s="155"/>
      <c r="AB201" s="156"/>
      <c r="AC201" s="66"/>
      <c r="AD201" s="66"/>
      <c r="AE201" s="66"/>
      <c r="AF201" s="66"/>
      <c r="AG201" s="66"/>
      <c r="AH201" s="66"/>
      <c r="AI201" s="34"/>
      <c r="AJ201" s="88">
        <f t="shared" si="200"/>
        <v>0</v>
      </c>
      <c r="AK201" s="88">
        <f t="shared" si="201"/>
        <v>0</v>
      </c>
      <c r="AL201" s="88">
        <v>0</v>
      </c>
      <c r="AM201" s="88">
        <v>0</v>
      </c>
      <c r="AN201" s="81" t="str">
        <f t="shared" si="243"/>
        <v/>
      </c>
      <c r="AO201" s="88">
        <f t="shared" si="202"/>
        <v>0</v>
      </c>
      <c r="AP201" s="88">
        <f t="shared" si="203"/>
        <v>0</v>
      </c>
      <c r="AQ201" s="81" t="str">
        <f t="shared" si="204"/>
        <v/>
      </c>
      <c r="AS201" s="41" t="b">
        <f t="shared" si="205"/>
        <v>1</v>
      </c>
      <c r="AT201" s="38">
        <f t="shared" si="206"/>
        <v>0</v>
      </c>
      <c r="AU201" s="60">
        <f t="shared" si="207"/>
        <v>0</v>
      </c>
      <c r="AV201" s="41">
        <f t="shared" si="208"/>
        <v>0</v>
      </c>
      <c r="AW201" s="41" t="b">
        <f t="shared" si="209"/>
        <v>0</v>
      </c>
      <c r="AX201" t="str">
        <f t="shared" si="210"/>
        <v>+00</v>
      </c>
      <c r="AY201" t="str">
        <f t="shared" si="211"/>
        <v>+00</v>
      </c>
      <c r="BA201" s="47" t="b">
        <f t="shared" ref="BA201:BA214" si="281">NOT(OR(ISBLANK(AJ201),ISBLANK(AL201)))</f>
        <v>1</v>
      </c>
      <c r="BB201" s="42" t="b">
        <f t="shared" ref="BB201:BB214" si="282">NOT(OR(ISBLANK(AK201),ISBLANK(AM201)))</f>
        <v>1</v>
      </c>
      <c r="BC201" s="42" t="b">
        <f t="shared" ref="BC201:BC214" si="283">AND(NOT(BA201))</f>
        <v>0</v>
      </c>
      <c r="BD201" s="42" t="b">
        <f t="shared" ref="BD201:BD214" si="284">AND(NOT(BB201))</f>
        <v>0</v>
      </c>
      <c r="BE201" s="70">
        <f t="shared" ref="BE201:BE214" si="285">AJ201-AL201</f>
        <v>0</v>
      </c>
      <c r="BF201" s="70">
        <f t="shared" ref="BF201:BF214" si="286">AK201-AM201</f>
        <v>0</v>
      </c>
      <c r="BG201" s="34"/>
      <c r="BI201" s="47" t="b">
        <f t="shared" ref="BI201:BI214" si="287">NOT(OR(ISBLANK(AL201),ISBLANK(AO201)))</f>
        <v>1</v>
      </c>
      <c r="BJ201" s="47" t="b">
        <f t="shared" ref="BJ201:BJ214" si="288">NOT(OR(ISBLANK(AM201),ISBLANK(AP201)))</f>
        <v>1</v>
      </c>
      <c r="BK201" s="42" t="b">
        <f t="shared" ref="BK201:BK214" si="289">AND(NOT(BI201))</f>
        <v>0</v>
      </c>
      <c r="BL201" s="42" t="b">
        <f t="shared" ref="BL201:BL214" si="290">AND(NOT(BJ201))</f>
        <v>0</v>
      </c>
      <c r="BM201" s="42">
        <f t="shared" ref="BM201:BM214" si="291">IF(NOT(OR(ISBLANK(AO201),ISBLANK(AL201))),AO201-AL201,0)</f>
        <v>0</v>
      </c>
      <c r="BN201" s="42">
        <f t="shared" ref="BN201:BN214" si="292">IF(NOT(OR(ISBLANK(AP201),ISBLANK(AM201))),AP201-AM201,0)</f>
        <v>0</v>
      </c>
      <c r="BP201" t="e">
        <f t="shared" ref="BP201:BP214" si="293">(DN201&gt;=0)</f>
        <v>#N/A</v>
      </c>
      <c r="BQ201" t="e">
        <f t="shared" ref="BQ201:BQ214" si="294">(DP201&gt;=0)</f>
        <v>#N/A</v>
      </c>
      <c r="BR201" t="e">
        <f t="shared" ref="BR201:BR214" si="295">AND(BP201,BQ201)</f>
        <v>#N/A</v>
      </c>
      <c r="BT201" s="60">
        <f t="shared" si="268"/>
        <v>0</v>
      </c>
      <c r="BU201" s="60">
        <f t="shared" si="269"/>
        <v>0</v>
      </c>
      <c r="BV201" s="60">
        <f t="shared" si="270"/>
        <v>0</v>
      </c>
      <c r="BW201" s="60">
        <f t="shared" si="271"/>
        <v>0</v>
      </c>
      <c r="BX201" s="60">
        <f t="shared" ref="BX201:BX214" si="296">$AT201*BT201</f>
        <v>0</v>
      </c>
      <c r="BY201" s="60">
        <f t="shared" ref="BY201:BY214" si="297">$AT201*BU201</f>
        <v>0</v>
      </c>
      <c r="BZ201" s="60">
        <f t="shared" ref="BZ201:BZ214" si="298">$AU201*BV201</f>
        <v>0</v>
      </c>
      <c r="CA201" s="60">
        <f t="shared" ref="CA201:CA214" si="299">$AU201*BW201</f>
        <v>0</v>
      </c>
      <c r="CB201" s="60" t="e">
        <f t="shared" si="272"/>
        <v>#N/A</v>
      </c>
      <c r="CC201" s="60">
        <f t="shared" si="273"/>
        <v>100000</v>
      </c>
      <c r="CD201" s="60" t="e">
        <f t="shared" si="274"/>
        <v>#N/A</v>
      </c>
      <c r="CE201" s="60">
        <f t="shared" si="275"/>
        <v>100000</v>
      </c>
      <c r="CF201" s="83" t="e">
        <f t="shared" ref="CF201:CF214" si="300">$AT201*CB201/1000000</f>
        <v>#N/A</v>
      </c>
      <c r="CG201" s="83">
        <f t="shared" ref="CG201:CG214" si="301">$AT201*CC201/1000000</f>
        <v>0</v>
      </c>
      <c r="CH201" s="83" t="e">
        <f t="shared" ref="CH201:CH214" si="302">$AU201*CD201/1000000</f>
        <v>#N/A</v>
      </c>
      <c r="CI201" s="83">
        <f t="shared" ref="CI201:CI214" si="303">$AU201*CE201/1000000</f>
        <v>0</v>
      </c>
      <c r="CJ201" s="86" t="e">
        <f t="shared" si="276"/>
        <v>#N/A</v>
      </c>
      <c r="CK201" s="82">
        <f t="shared" si="277"/>
        <v>5.3070370403969858E-3</v>
      </c>
      <c r="CL201" s="82" t="e">
        <f t="shared" si="278"/>
        <v>#N/A</v>
      </c>
      <c r="CM201" s="82">
        <f t="shared" si="279"/>
        <v>5.3070370403969858E-3</v>
      </c>
      <c r="CO201" s="149" t="str">
        <f>IF($I201&lt;&gt;"",IF(O201="User Specified",U201,INDEX('Refrigerant GWPs'!$G$2:$G$156,MATCH(O201,'Refrigerant GWPs'!$A$2:$A$156,0))),"")</f>
        <v/>
      </c>
      <c r="CP201" s="138" t="str">
        <f>IF($I201&lt;&gt;"",INDEX('Device Refrigerant Leakage'!$E$2:$E$42,MATCH($M201,'Device Refrigerant Leakage'!$B$2:$B$42,0)),"")</f>
        <v/>
      </c>
      <c r="CQ201" s="138" t="str">
        <f>IF($I201&lt;&gt;"",INDEX('Device Refrigerant Leakage'!$F$2:$F$42,MATCH($M201,'Device Refrigerant Leakage'!$B$2:$B$42,0)),"")</f>
        <v/>
      </c>
      <c r="CR201" s="145" t="str">
        <f>IF($I201&lt;&gt;"",INDEX('Device Refrigerant Leakage'!$G$2:$G$42,MATCH($M201,'Device Refrigerant Leakage'!$B$2:$B$42,0)),"")</f>
        <v/>
      </c>
      <c r="CS201" s="145" t="str">
        <f>IF($I201&lt;&gt;"",INDEX('Device Refrigerant Leakage'!$D$2:$D$42,MATCH($M201,'Device Refrigerant Leakage'!$B$2:$B$42,0))*CP201/2204.62*CO201,"")</f>
        <v/>
      </c>
      <c r="CT201" s="145" t="str">
        <f>IF($I201&lt;&gt;"",J201*(INDEX('Device Refrigerant Leakage'!$D$2:$D$42,MATCH($M201,'Device Refrigerant Leakage'!$B$2:$B$42,0))-(INDEX('Device Refrigerant Leakage'!$D$2:$D$42,MATCH($M201,'Device Refrigerant Leakage'!$B$2:$B$42,0)))*CR201*CP201)*CQ201/2204.62*CO201,"")</f>
        <v/>
      </c>
      <c r="CU201" s="135" t="str">
        <f>IF($I201&lt;&gt;"",J201*IF(W201&lt;&gt;"AR",(CS201*K201)+CT201,(CS201*AB201)+CT201*(AB201/INDEX('Device Refrigerant Leakage'!$C$2:$C$42,MATCH($M201,'Device Refrigerant Leakage'!$B$2:$B$42,0)))),"")</f>
        <v/>
      </c>
      <c r="CW201" s="135" t="str">
        <f>IF($I201&lt;&gt;"",IF(S201="User Specified",V201,INDEX('Refrigerant GWPs'!$G$2:$G$156,MATCH(S201,'Refrigerant GWPs'!$A$2:$A$157,0))),"")</f>
        <v/>
      </c>
      <c r="CX201" s="138" t="str">
        <f>IF($I201&lt;&gt;"",INDEX('Device Refrigerant Leakage'!$E$2:$E$42,MATCH($Q201,'Device Refrigerant Leakage'!$B$2:$B$42,0)),"")</f>
        <v/>
      </c>
      <c r="CY201" s="138" t="str">
        <f>IF($I201&lt;&gt;"",INDEX('Device Refrigerant Leakage'!$F$2:$F$42,MATCH($Q201,'Device Refrigerant Leakage'!$B$2:$B$42,0)),"")</f>
        <v/>
      </c>
      <c r="CZ201" s="145" t="str">
        <f>IF($I201&lt;&gt;"",INDEX('Device Refrigerant Leakage'!$G$2:$G$42,MATCH($Q201,'Device Refrigerant Leakage'!$B$2:$B$42,0)),"")</f>
        <v/>
      </c>
      <c r="DA201" s="145" t="str">
        <f>IF($I201&lt;&gt;"",J201*INDEX('Device Refrigerant Leakage'!$D$2:$D$42,MATCH($Q201,'Device Refrigerant Leakage'!$B$2:$B$42,0))*CX201/2204.62*CW201,"")</f>
        <v/>
      </c>
      <c r="DB201" s="145" t="str">
        <f>IF($I201&lt;&gt;"",J201*(INDEX('Device Refrigerant Leakage'!$D$2:$D$42,MATCH($Q201,'Device Refrigerant Leakage'!$B$2:$B$42,0))-(INDEX('Device Refrigerant Leakage'!$D$2:$D$42,MATCH($Q201,'Device Refrigerant Leakage'!$B$2:$B$42,0)))*CZ201*CX201)*CY201/2204.62*CW201,"")</f>
        <v/>
      </c>
      <c r="DC201" s="135" t="str">
        <f t="shared" si="244"/>
        <v/>
      </c>
      <c r="DE201" s="146" t="str">
        <f>IF(W201&lt;&gt;"AR","",IF(Y201="User Specified", AA201, INDEX('Refrigerant GWPs'!$G$2:$G$154,MATCH(Y201,'Refrigerant GWPs'!$A$2:$A$154,0))))</f>
        <v/>
      </c>
      <c r="DF201" s="146" t="str">
        <f>IF(W201&lt;&gt;"AR","",INDEX('Device Refrigerant Leakage'!$E$2:$E$42,MATCH(X201,'Device Refrigerant Leakage'!$B$2:$B$42,0)))</f>
        <v/>
      </c>
      <c r="DG201" s="146" t="str">
        <f>IF(W201&lt;&gt;"AR","",INDEX('Device Refrigerant Leakage'!$F$2:$F$42,MATCH(X201,'Device Refrigerant Leakage'!$B$2:$B$42,0)))</f>
        <v/>
      </c>
      <c r="DH201" s="146" t="str">
        <f>IF(W201&lt;&gt;"AR","",INDEX('Device Refrigerant Leakage'!$G$2:$G$42,MATCH(X201,'Device Refrigerant Leakage'!$B$2:$B$42,0)))</f>
        <v/>
      </c>
      <c r="DI201" s="146" t="str">
        <f>IF(W201&lt;&gt;"AR","",J201*INDEX('Device Refrigerant Leakage'!$D$2:$D$42,MATCH(X201,'Device Refrigerant Leakage'!$B$2:$B$42,0))*DF201/2204.62*DE201)</f>
        <v/>
      </c>
      <c r="DJ201" s="146" t="str">
        <f>IF(W201&lt;&gt;"AR","",J201*(INDEX('Device Refrigerant Leakage'!$D$2:$D$42,MATCH(X201,'Device Refrigerant Leakage'!$B$2:$B$42,0))-(INDEX('Device Refrigerant Leakage'!$D$2:$D$42,MATCH(X201,'Device Refrigerant Leakage'!$B$2:$B$42,0)))*DH201*DF201)*DG201/2204.62*DE201)</f>
        <v/>
      </c>
      <c r="DK201" s="146" t="str">
        <f>IF(W201&lt;&gt;"AR","",DI201*(K201-AB201)+'Fuel Sub Calcs-Deemed'!DJ201*((K201-AB201)/INDEX('Device Refrigerant Leakage'!$C$2:$C$42,MATCH('Fuel Sub Calcs-Deemed'!X201,'Device Refrigerant Leakage'!$B$2:$B$42,0))))</f>
        <v/>
      </c>
      <c r="DM201" s="56">
        <v>187</v>
      </c>
      <c r="DN201" s="67" t="e">
        <f t="shared" si="224"/>
        <v>#N/A</v>
      </c>
      <c r="DO201" s="45" t="e">
        <f t="shared" si="225"/>
        <v>#N/A</v>
      </c>
      <c r="DP201" s="67" t="e">
        <f t="shared" si="226"/>
        <v>#N/A</v>
      </c>
      <c r="DQ201" s="45" t="e">
        <f t="shared" si="227"/>
        <v>#N/A</v>
      </c>
      <c r="DR201" s="69" t="e">
        <f t="shared" si="228"/>
        <v>#N/A</v>
      </c>
      <c r="DS201" s="34"/>
      <c r="DT201" s="67" t="e">
        <f>((BX201*CJ201)+IF($W201=MAT_AR,(BZ201*CL201),0))*(1+Reference!$E$50+Reference!$E$51)</f>
        <v>#N/A</v>
      </c>
      <c r="DU201" s="67">
        <f>((BY201*CK201)+IF($W201=MAT_AR,(CA201*CM201),0))*(1+Reference!$G$50+Reference!$G$51)</f>
        <v>0</v>
      </c>
      <c r="DV201" s="67" t="e">
        <f t="shared" si="229"/>
        <v>#VALUE!</v>
      </c>
      <c r="DX201" s="56">
        <v>187</v>
      </c>
      <c r="DY201" s="67">
        <f t="shared" si="230"/>
        <v>0</v>
      </c>
      <c r="DZ201" s="45" t="e">
        <f>VLOOKUP($R201,Dropdown!$C$3:$D$4,2,FALSE)</f>
        <v>#N/A</v>
      </c>
      <c r="EA201" s="68">
        <f t="shared" si="231"/>
        <v>0</v>
      </c>
      <c r="EB201" s="68" t="str">
        <f t="shared" si="232"/>
        <v>N/A</v>
      </c>
      <c r="EC201" s="68">
        <f t="shared" si="233"/>
        <v>0</v>
      </c>
      <c r="ED201" s="68" t="str">
        <f t="shared" si="280"/>
        <v>N/A</v>
      </c>
      <c r="EF201" s="56">
        <v>187</v>
      </c>
      <c r="EG201" s="46">
        <f t="shared" si="235"/>
        <v>0</v>
      </c>
      <c r="EH201" s="68" t="e">
        <f t="shared" si="236"/>
        <v>#N/A</v>
      </c>
      <c r="EI201" s="68" t="e">
        <f t="shared" si="237"/>
        <v>#N/A</v>
      </c>
      <c r="EJ201" s="68" t="e">
        <f t="shared" si="238"/>
        <v>#N/A</v>
      </c>
      <c r="EK201" s="68" t="e">
        <f t="shared" si="239"/>
        <v>#N/A</v>
      </c>
      <c r="EL201" s="46">
        <f t="shared" si="240"/>
        <v>0</v>
      </c>
      <c r="EM201" s="46">
        <f t="shared" si="241"/>
        <v>0</v>
      </c>
    </row>
    <row r="202" spans="1:143">
      <c r="A202" s="89"/>
      <c r="B202" s="89"/>
      <c r="C202" s="89"/>
      <c r="D202" s="89"/>
      <c r="E202" s="89"/>
      <c r="F202" s="89"/>
      <c r="G202" s="34"/>
      <c r="H202" s="56">
        <f t="shared" si="242"/>
        <v>188</v>
      </c>
      <c r="I202" s="165"/>
      <c r="J202" s="163"/>
      <c r="K202" s="163"/>
      <c r="L202" s="164"/>
      <c r="M202" s="155"/>
      <c r="N202" s="155"/>
      <c r="O202" s="144"/>
      <c r="P202" s="159" t="str">
        <f>IFERROR(IF(O202&lt;&gt;"User Specified",IF(O202&lt;&gt;"", INDEX('Refrigerant GWPs'!$G$2:$G$154,MATCH(O202,'Refrigerant GWPs'!$A$2:$A$154,0)),""),U202),0)</f>
        <v/>
      </c>
      <c r="Q202" s="155"/>
      <c r="R202" s="155"/>
      <c r="S202" s="144"/>
      <c r="T202" s="159" t="str">
        <f>IF(S202&lt;&gt;"User Specified",IF(AND(S202&lt;&gt;"User Specified",S202&lt;&gt;""), INDEX('Refrigerant GWPs'!$G$2:$G$154,MATCH(S202,'Refrigerant GWPs'!$A$2:$A$154,0)),""),V202)</f>
        <v/>
      </c>
      <c r="U202" s="144"/>
      <c r="V202" s="144"/>
      <c r="W202" s="155"/>
      <c r="X202" s="155"/>
      <c r="Y202" s="144"/>
      <c r="Z202" s="159" t="str">
        <f>IF(AND(Y202&lt;&gt;"User Specified",Y202&lt;&gt;""), INDEX('Refrigerant GWPs'!$G$2:$G$154,MATCH(Y202,'Refrigerant GWPs'!$A$2:$A$154,0)),"")</f>
        <v/>
      </c>
      <c r="AA202" s="155"/>
      <c r="AB202" s="156"/>
      <c r="AC202" s="66"/>
      <c r="AD202" s="66"/>
      <c r="AE202" s="66"/>
      <c r="AF202" s="66"/>
      <c r="AG202" s="66"/>
      <c r="AH202" s="66"/>
      <c r="AI202" s="34"/>
      <c r="AJ202" s="88">
        <f t="shared" si="200"/>
        <v>0</v>
      </c>
      <c r="AK202" s="88">
        <f t="shared" si="201"/>
        <v>0</v>
      </c>
      <c r="AL202" s="88">
        <v>0</v>
      </c>
      <c r="AM202" s="88">
        <v>0</v>
      </c>
      <c r="AN202" s="81" t="str">
        <f t="shared" si="243"/>
        <v/>
      </c>
      <c r="AO202" s="88">
        <f t="shared" si="202"/>
        <v>0</v>
      </c>
      <c r="AP202" s="88">
        <f t="shared" si="203"/>
        <v>0</v>
      </c>
      <c r="AQ202" s="81" t="str">
        <f t="shared" si="204"/>
        <v/>
      </c>
      <c r="AS202" s="41" t="b">
        <f t="shared" si="205"/>
        <v>1</v>
      </c>
      <c r="AT202" s="38">
        <f t="shared" si="206"/>
        <v>0</v>
      </c>
      <c r="AU202" s="60">
        <f t="shared" si="207"/>
        <v>0</v>
      </c>
      <c r="AV202" s="41">
        <f t="shared" si="208"/>
        <v>0</v>
      </c>
      <c r="AW202" s="41" t="b">
        <f t="shared" si="209"/>
        <v>0</v>
      </c>
      <c r="AX202" t="str">
        <f t="shared" si="210"/>
        <v>+00</v>
      </c>
      <c r="AY202" t="str">
        <f t="shared" si="211"/>
        <v>+00</v>
      </c>
      <c r="BA202" s="47" t="b">
        <f t="shared" si="281"/>
        <v>1</v>
      </c>
      <c r="BB202" s="42" t="b">
        <f t="shared" si="282"/>
        <v>1</v>
      </c>
      <c r="BC202" s="42" t="b">
        <f t="shared" si="283"/>
        <v>0</v>
      </c>
      <c r="BD202" s="42" t="b">
        <f t="shared" si="284"/>
        <v>0</v>
      </c>
      <c r="BE202" s="70">
        <f t="shared" si="285"/>
        <v>0</v>
      </c>
      <c r="BF202" s="70">
        <f t="shared" si="286"/>
        <v>0</v>
      </c>
      <c r="BG202" s="34"/>
      <c r="BI202" s="47" t="b">
        <f t="shared" si="287"/>
        <v>1</v>
      </c>
      <c r="BJ202" s="47" t="b">
        <f t="shared" si="288"/>
        <v>1</v>
      </c>
      <c r="BK202" s="42" t="b">
        <f t="shared" si="289"/>
        <v>0</v>
      </c>
      <c r="BL202" s="42" t="b">
        <f t="shared" si="290"/>
        <v>0</v>
      </c>
      <c r="BM202" s="42">
        <f t="shared" si="291"/>
        <v>0</v>
      </c>
      <c r="BN202" s="42">
        <f t="shared" si="292"/>
        <v>0</v>
      </c>
      <c r="BP202" t="e">
        <f t="shared" si="293"/>
        <v>#N/A</v>
      </c>
      <c r="BQ202" t="e">
        <f t="shared" si="294"/>
        <v>#N/A</v>
      </c>
      <c r="BR202" t="e">
        <f t="shared" si="295"/>
        <v>#N/A</v>
      </c>
      <c r="BT202" s="60">
        <f t="shared" si="268"/>
        <v>0</v>
      </c>
      <c r="BU202" s="60">
        <f t="shared" si="269"/>
        <v>0</v>
      </c>
      <c r="BV202" s="60">
        <f t="shared" si="270"/>
        <v>0</v>
      </c>
      <c r="BW202" s="60">
        <f t="shared" si="271"/>
        <v>0</v>
      </c>
      <c r="BX202" s="60">
        <f t="shared" si="296"/>
        <v>0</v>
      </c>
      <c r="BY202" s="60">
        <f t="shared" si="297"/>
        <v>0</v>
      </c>
      <c r="BZ202" s="60">
        <f t="shared" si="298"/>
        <v>0</v>
      </c>
      <c r="CA202" s="60">
        <f t="shared" si="299"/>
        <v>0</v>
      </c>
      <c r="CB202" s="60" t="e">
        <f t="shared" si="272"/>
        <v>#N/A</v>
      </c>
      <c r="CC202" s="60">
        <f t="shared" si="273"/>
        <v>100000</v>
      </c>
      <c r="CD202" s="60" t="e">
        <f t="shared" si="274"/>
        <v>#N/A</v>
      </c>
      <c r="CE202" s="60">
        <f t="shared" si="275"/>
        <v>100000</v>
      </c>
      <c r="CF202" s="83" t="e">
        <f t="shared" si="300"/>
        <v>#N/A</v>
      </c>
      <c r="CG202" s="83">
        <f t="shared" si="301"/>
        <v>0</v>
      </c>
      <c r="CH202" s="83" t="e">
        <f t="shared" si="302"/>
        <v>#N/A</v>
      </c>
      <c r="CI202" s="83">
        <f t="shared" si="303"/>
        <v>0</v>
      </c>
      <c r="CJ202" s="86" t="e">
        <f t="shared" si="276"/>
        <v>#N/A</v>
      </c>
      <c r="CK202" s="82">
        <f t="shared" si="277"/>
        <v>5.3070370403969858E-3</v>
      </c>
      <c r="CL202" s="82" t="e">
        <f t="shared" si="278"/>
        <v>#N/A</v>
      </c>
      <c r="CM202" s="82">
        <f t="shared" si="279"/>
        <v>5.3070370403969858E-3</v>
      </c>
      <c r="CO202" s="149" t="str">
        <f>IF($I202&lt;&gt;"",IF(O202="User Specified",U202,INDEX('Refrigerant GWPs'!$G$2:$G$156,MATCH(O202,'Refrigerant GWPs'!$A$2:$A$156,0))),"")</f>
        <v/>
      </c>
      <c r="CP202" s="138" t="str">
        <f>IF($I202&lt;&gt;"",INDEX('Device Refrigerant Leakage'!$E$2:$E$42,MATCH($M202,'Device Refrigerant Leakage'!$B$2:$B$42,0)),"")</f>
        <v/>
      </c>
      <c r="CQ202" s="138" t="str">
        <f>IF($I202&lt;&gt;"",INDEX('Device Refrigerant Leakage'!$F$2:$F$42,MATCH($M202,'Device Refrigerant Leakage'!$B$2:$B$42,0)),"")</f>
        <v/>
      </c>
      <c r="CR202" s="145" t="str">
        <f>IF($I202&lt;&gt;"",INDEX('Device Refrigerant Leakage'!$G$2:$G$42,MATCH($M202,'Device Refrigerant Leakage'!$B$2:$B$42,0)),"")</f>
        <v/>
      </c>
      <c r="CS202" s="145" t="str">
        <f>IF($I202&lt;&gt;"",INDEX('Device Refrigerant Leakage'!$D$2:$D$42,MATCH($M202,'Device Refrigerant Leakage'!$B$2:$B$42,0))*CP202/2204.62*CO202,"")</f>
        <v/>
      </c>
      <c r="CT202" s="145" t="str">
        <f>IF($I202&lt;&gt;"",J202*(INDEX('Device Refrigerant Leakage'!$D$2:$D$42,MATCH($M202,'Device Refrigerant Leakage'!$B$2:$B$42,0))-(INDEX('Device Refrigerant Leakage'!$D$2:$D$42,MATCH($M202,'Device Refrigerant Leakage'!$B$2:$B$42,0)))*CR202*CP202)*CQ202/2204.62*CO202,"")</f>
        <v/>
      </c>
      <c r="CU202" s="135" t="str">
        <f>IF($I202&lt;&gt;"",J202*IF(W202&lt;&gt;"AR",(CS202*K202)+CT202,(CS202*AB202)+CT202*(AB202/INDEX('Device Refrigerant Leakage'!$C$2:$C$42,MATCH($M202,'Device Refrigerant Leakage'!$B$2:$B$42,0)))),"")</f>
        <v/>
      </c>
      <c r="CW202" s="135" t="str">
        <f>IF($I202&lt;&gt;"",IF(S202="User Specified",V202,INDEX('Refrigerant GWPs'!$G$2:$G$156,MATCH(S202,'Refrigerant GWPs'!$A$2:$A$157,0))),"")</f>
        <v/>
      </c>
      <c r="CX202" s="138" t="str">
        <f>IF($I202&lt;&gt;"",INDEX('Device Refrigerant Leakage'!$E$2:$E$42,MATCH($Q202,'Device Refrigerant Leakage'!$B$2:$B$42,0)),"")</f>
        <v/>
      </c>
      <c r="CY202" s="138" t="str">
        <f>IF($I202&lt;&gt;"",INDEX('Device Refrigerant Leakage'!$F$2:$F$42,MATCH($Q202,'Device Refrigerant Leakage'!$B$2:$B$42,0)),"")</f>
        <v/>
      </c>
      <c r="CZ202" s="145" t="str">
        <f>IF($I202&lt;&gt;"",INDEX('Device Refrigerant Leakage'!$G$2:$G$42,MATCH($Q202,'Device Refrigerant Leakage'!$B$2:$B$42,0)),"")</f>
        <v/>
      </c>
      <c r="DA202" s="145" t="str">
        <f>IF($I202&lt;&gt;"",J202*INDEX('Device Refrigerant Leakage'!$D$2:$D$42,MATCH($Q202,'Device Refrigerant Leakage'!$B$2:$B$42,0))*CX202/2204.62*CW202,"")</f>
        <v/>
      </c>
      <c r="DB202" s="145" t="str">
        <f>IF($I202&lt;&gt;"",J202*(INDEX('Device Refrigerant Leakage'!$D$2:$D$42,MATCH($Q202,'Device Refrigerant Leakage'!$B$2:$B$42,0))-(INDEX('Device Refrigerant Leakage'!$D$2:$D$42,MATCH($Q202,'Device Refrigerant Leakage'!$B$2:$B$42,0)))*CZ202*CX202)*CY202/2204.62*CW202,"")</f>
        <v/>
      </c>
      <c r="DC202" s="135" t="str">
        <f t="shared" si="244"/>
        <v/>
      </c>
      <c r="DE202" s="146" t="str">
        <f>IF(W202&lt;&gt;"AR","",IF(Y202="User Specified", AA202, INDEX('Refrigerant GWPs'!$G$2:$G$154,MATCH(Y202,'Refrigerant GWPs'!$A$2:$A$154,0))))</f>
        <v/>
      </c>
      <c r="DF202" s="146" t="str">
        <f>IF(W202&lt;&gt;"AR","",INDEX('Device Refrigerant Leakage'!$E$2:$E$42,MATCH(X202,'Device Refrigerant Leakage'!$B$2:$B$42,0)))</f>
        <v/>
      </c>
      <c r="DG202" s="146" t="str">
        <f>IF(W202&lt;&gt;"AR","",INDEX('Device Refrigerant Leakage'!$F$2:$F$42,MATCH(X202,'Device Refrigerant Leakage'!$B$2:$B$42,0)))</f>
        <v/>
      </c>
      <c r="DH202" s="146" t="str">
        <f>IF(W202&lt;&gt;"AR","",INDEX('Device Refrigerant Leakage'!$G$2:$G$42,MATCH(X202,'Device Refrigerant Leakage'!$B$2:$B$42,0)))</f>
        <v/>
      </c>
      <c r="DI202" s="146" t="str">
        <f>IF(W202&lt;&gt;"AR","",J202*INDEX('Device Refrigerant Leakage'!$D$2:$D$42,MATCH(X202,'Device Refrigerant Leakage'!$B$2:$B$42,0))*DF202/2204.62*DE202)</f>
        <v/>
      </c>
      <c r="DJ202" s="146" t="str">
        <f>IF(W202&lt;&gt;"AR","",J202*(INDEX('Device Refrigerant Leakage'!$D$2:$D$42,MATCH(X202,'Device Refrigerant Leakage'!$B$2:$B$42,0))-(INDEX('Device Refrigerant Leakage'!$D$2:$D$42,MATCH(X202,'Device Refrigerant Leakage'!$B$2:$B$42,0)))*DH202*DF202)*DG202/2204.62*DE202)</f>
        <v/>
      </c>
      <c r="DK202" s="146" t="str">
        <f>IF(W202&lt;&gt;"AR","",DI202*(K202-AB202)+'Fuel Sub Calcs-Deemed'!DJ202*((K202-AB202)/INDEX('Device Refrigerant Leakage'!$C$2:$C$42,MATCH('Fuel Sub Calcs-Deemed'!X202,'Device Refrigerant Leakage'!$B$2:$B$42,0))))</f>
        <v/>
      </c>
      <c r="DM202" s="56">
        <v>188</v>
      </c>
      <c r="DN202" s="67" t="e">
        <f t="shared" si="224"/>
        <v>#N/A</v>
      </c>
      <c r="DO202" s="45" t="e">
        <f t="shared" si="225"/>
        <v>#N/A</v>
      </c>
      <c r="DP202" s="67" t="e">
        <f t="shared" si="226"/>
        <v>#N/A</v>
      </c>
      <c r="DQ202" s="45" t="e">
        <f t="shared" si="227"/>
        <v>#N/A</v>
      </c>
      <c r="DR202" s="69" t="e">
        <f t="shared" si="228"/>
        <v>#N/A</v>
      </c>
      <c r="DS202" s="34"/>
      <c r="DT202" s="67" t="e">
        <f>((BX202*CJ202)+IF($W202=MAT_AR,(BZ202*CL202),0))*(1+Reference!$E$50+Reference!$E$51)</f>
        <v>#N/A</v>
      </c>
      <c r="DU202" s="67">
        <f>((BY202*CK202)+IF($W202=MAT_AR,(CA202*CM202),0))*(1+Reference!$G$50+Reference!$G$51)</f>
        <v>0</v>
      </c>
      <c r="DV202" s="67" t="e">
        <f t="shared" si="229"/>
        <v>#VALUE!</v>
      </c>
      <c r="DX202" s="56">
        <v>188</v>
      </c>
      <c r="DY202" s="67">
        <f t="shared" si="230"/>
        <v>0</v>
      </c>
      <c r="DZ202" s="45" t="e">
        <f>VLOOKUP($R202,Dropdown!$C$3:$D$4,2,FALSE)</f>
        <v>#N/A</v>
      </c>
      <c r="EA202" s="68">
        <f t="shared" si="231"/>
        <v>0</v>
      </c>
      <c r="EB202" s="68" t="str">
        <f t="shared" si="232"/>
        <v>N/A</v>
      </c>
      <c r="EC202" s="68">
        <f t="shared" si="233"/>
        <v>0</v>
      </c>
      <c r="ED202" s="68" t="str">
        <f t="shared" si="280"/>
        <v>N/A</v>
      </c>
      <c r="EF202" s="56">
        <v>188</v>
      </c>
      <c r="EG202" s="46">
        <f t="shared" si="235"/>
        <v>0</v>
      </c>
      <c r="EH202" s="68" t="e">
        <f t="shared" si="236"/>
        <v>#N/A</v>
      </c>
      <c r="EI202" s="68" t="e">
        <f t="shared" si="237"/>
        <v>#N/A</v>
      </c>
      <c r="EJ202" s="68" t="e">
        <f t="shared" si="238"/>
        <v>#N/A</v>
      </c>
      <c r="EK202" s="68" t="e">
        <f t="shared" si="239"/>
        <v>#N/A</v>
      </c>
      <c r="EL202" s="46">
        <f t="shared" si="240"/>
        <v>0</v>
      </c>
      <c r="EM202" s="46">
        <f t="shared" si="241"/>
        <v>0</v>
      </c>
    </row>
    <row r="203" spans="1:143">
      <c r="A203" s="89"/>
      <c r="B203" s="89"/>
      <c r="C203" s="89"/>
      <c r="D203" s="89"/>
      <c r="E203" s="89"/>
      <c r="F203" s="89"/>
      <c r="G203" s="34"/>
      <c r="H203" s="56">
        <f t="shared" si="242"/>
        <v>189</v>
      </c>
      <c r="I203" s="165"/>
      <c r="J203" s="163"/>
      <c r="K203" s="163"/>
      <c r="L203" s="164"/>
      <c r="M203" s="155"/>
      <c r="N203" s="155"/>
      <c r="O203" s="144"/>
      <c r="P203" s="159" t="str">
        <f>IFERROR(IF(O203&lt;&gt;"User Specified",IF(O203&lt;&gt;"", INDEX('Refrigerant GWPs'!$G$2:$G$154,MATCH(O203,'Refrigerant GWPs'!$A$2:$A$154,0)),""),U203),0)</f>
        <v/>
      </c>
      <c r="Q203" s="155"/>
      <c r="R203" s="155"/>
      <c r="S203" s="144"/>
      <c r="T203" s="159" t="str">
        <f>IF(S203&lt;&gt;"User Specified",IF(AND(S203&lt;&gt;"User Specified",S203&lt;&gt;""), INDEX('Refrigerant GWPs'!$G$2:$G$154,MATCH(S203,'Refrigerant GWPs'!$A$2:$A$154,0)),""),V203)</f>
        <v/>
      </c>
      <c r="U203" s="144"/>
      <c r="V203" s="144"/>
      <c r="W203" s="155"/>
      <c r="X203" s="155"/>
      <c r="Y203" s="144"/>
      <c r="Z203" s="159" t="str">
        <f>IF(AND(Y203&lt;&gt;"User Specified",Y203&lt;&gt;""), INDEX('Refrigerant GWPs'!$G$2:$G$154,MATCH(Y203,'Refrigerant GWPs'!$A$2:$A$154,0)),"")</f>
        <v/>
      </c>
      <c r="AA203" s="155"/>
      <c r="AB203" s="156"/>
      <c r="AC203" s="66"/>
      <c r="AD203" s="66"/>
      <c r="AE203" s="66"/>
      <c r="AF203" s="66"/>
      <c r="AG203" s="66"/>
      <c r="AH203" s="66"/>
      <c r="AI203" s="34"/>
      <c r="AJ203" s="88">
        <f t="shared" si="200"/>
        <v>0</v>
      </c>
      <c r="AK203" s="88">
        <f t="shared" si="201"/>
        <v>0</v>
      </c>
      <c r="AL203" s="88">
        <v>0</v>
      </c>
      <c r="AM203" s="88">
        <v>0</v>
      </c>
      <c r="AN203" s="81" t="str">
        <f t="shared" si="243"/>
        <v/>
      </c>
      <c r="AO203" s="88">
        <f t="shared" si="202"/>
        <v>0</v>
      </c>
      <c r="AP203" s="88">
        <f t="shared" si="203"/>
        <v>0</v>
      </c>
      <c r="AQ203" s="81" t="str">
        <f t="shared" si="204"/>
        <v/>
      </c>
      <c r="AS203" s="41" t="b">
        <f t="shared" si="205"/>
        <v>1</v>
      </c>
      <c r="AT203" s="38">
        <f t="shared" si="206"/>
        <v>0</v>
      </c>
      <c r="AU203" s="60">
        <f t="shared" si="207"/>
        <v>0</v>
      </c>
      <c r="AV203" s="41">
        <f t="shared" si="208"/>
        <v>0</v>
      </c>
      <c r="AW203" s="41" t="b">
        <f t="shared" si="209"/>
        <v>0</v>
      </c>
      <c r="AX203" t="str">
        <f t="shared" si="210"/>
        <v>+00</v>
      </c>
      <c r="AY203" t="str">
        <f t="shared" si="211"/>
        <v>+00</v>
      </c>
      <c r="BA203" s="47" t="b">
        <f t="shared" si="281"/>
        <v>1</v>
      </c>
      <c r="BB203" s="42" t="b">
        <f t="shared" si="282"/>
        <v>1</v>
      </c>
      <c r="BC203" s="42" t="b">
        <f t="shared" si="283"/>
        <v>0</v>
      </c>
      <c r="BD203" s="42" t="b">
        <f t="shared" si="284"/>
        <v>0</v>
      </c>
      <c r="BE203" s="70">
        <f t="shared" si="285"/>
        <v>0</v>
      </c>
      <c r="BF203" s="70">
        <f t="shared" si="286"/>
        <v>0</v>
      </c>
      <c r="BG203" s="34"/>
      <c r="BI203" s="47" t="b">
        <f t="shared" si="287"/>
        <v>1</v>
      </c>
      <c r="BJ203" s="47" t="b">
        <f t="shared" si="288"/>
        <v>1</v>
      </c>
      <c r="BK203" s="42" t="b">
        <f t="shared" si="289"/>
        <v>0</v>
      </c>
      <c r="BL203" s="42" t="b">
        <f t="shared" si="290"/>
        <v>0</v>
      </c>
      <c r="BM203" s="42">
        <f t="shared" si="291"/>
        <v>0</v>
      </c>
      <c r="BN203" s="42">
        <f t="shared" si="292"/>
        <v>0</v>
      </c>
      <c r="BP203" t="e">
        <f t="shared" si="293"/>
        <v>#N/A</v>
      </c>
      <c r="BQ203" t="e">
        <f t="shared" si="294"/>
        <v>#N/A</v>
      </c>
      <c r="BR203" t="e">
        <f t="shared" si="295"/>
        <v>#N/A</v>
      </c>
      <c r="BT203" s="60">
        <f t="shared" si="268"/>
        <v>0</v>
      </c>
      <c r="BU203" s="60">
        <f t="shared" si="269"/>
        <v>0</v>
      </c>
      <c r="BV203" s="60">
        <f t="shared" si="270"/>
        <v>0</v>
      </c>
      <c r="BW203" s="60">
        <f t="shared" si="271"/>
        <v>0</v>
      </c>
      <c r="BX203" s="60">
        <f t="shared" si="296"/>
        <v>0</v>
      </c>
      <c r="BY203" s="60">
        <f t="shared" si="297"/>
        <v>0</v>
      </c>
      <c r="BZ203" s="60">
        <f t="shared" si="298"/>
        <v>0</v>
      </c>
      <c r="CA203" s="60">
        <f t="shared" si="299"/>
        <v>0</v>
      </c>
      <c r="CB203" s="60" t="e">
        <f t="shared" si="272"/>
        <v>#N/A</v>
      </c>
      <c r="CC203" s="60">
        <f t="shared" si="273"/>
        <v>100000</v>
      </c>
      <c r="CD203" s="60" t="e">
        <f t="shared" si="274"/>
        <v>#N/A</v>
      </c>
      <c r="CE203" s="60">
        <f t="shared" si="275"/>
        <v>100000</v>
      </c>
      <c r="CF203" s="83" t="e">
        <f t="shared" si="300"/>
        <v>#N/A</v>
      </c>
      <c r="CG203" s="83">
        <f t="shared" si="301"/>
        <v>0</v>
      </c>
      <c r="CH203" s="83" t="e">
        <f t="shared" si="302"/>
        <v>#N/A</v>
      </c>
      <c r="CI203" s="83">
        <f t="shared" si="303"/>
        <v>0</v>
      </c>
      <c r="CJ203" s="86" t="e">
        <f t="shared" si="276"/>
        <v>#N/A</v>
      </c>
      <c r="CK203" s="82">
        <f t="shared" si="277"/>
        <v>5.3070370403969858E-3</v>
      </c>
      <c r="CL203" s="82" t="e">
        <f t="shared" si="278"/>
        <v>#N/A</v>
      </c>
      <c r="CM203" s="82">
        <f t="shared" si="279"/>
        <v>5.3070370403969858E-3</v>
      </c>
      <c r="CO203" s="149" t="str">
        <f>IF($I203&lt;&gt;"",IF(O203="User Specified",U203,INDEX('Refrigerant GWPs'!$G$2:$G$156,MATCH(O203,'Refrigerant GWPs'!$A$2:$A$156,0))),"")</f>
        <v/>
      </c>
      <c r="CP203" s="138" t="str">
        <f>IF($I203&lt;&gt;"",INDEX('Device Refrigerant Leakage'!$E$2:$E$42,MATCH($M203,'Device Refrigerant Leakage'!$B$2:$B$42,0)),"")</f>
        <v/>
      </c>
      <c r="CQ203" s="138" t="str">
        <f>IF($I203&lt;&gt;"",INDEX('Device Refrigerant Leakage'!$F$2:$F$42,MATCH($M203,'Device Refrigerant Leakage'!$B$2:$B$42,0)),"")</f>
        <v/>
      </c>
      <c r="CR203" s="145" t="str">
        <f>IF($I203&lt;&gt;"",INDEX('Device Refrigerant Leakage'!$G$2:$G$42,MATCH($M203,'Device Refrigerant Leakage'!$B$2:$B$42,0)),"")</f>
        <v/>
      </c>
      <c r="CS203" s="145" t="str">
        <f>IF($I203&lt;&gt;"",INDEX('Device Refrigerant Leakage'!$D$2:$D$42,MATCH($M203,'Device Refrigerant Leakage'!$B$2:$B$42,0))*CP203/2204.62*CO203,"")</f>
        <v/>
      </c>
      <c r="CT203" s="145" t="str">
        <f>IF($I203&lt;&gt;"",J203*(INDEX('Device Refrigerant Leakage'!$D$2:$D$42,MATCH($M203,'Device Refrigerant Leakage'!$B$2:$B$42,0))-(INDEX('Device Refrigerant Leakage'!$D$2:$D$42,MATCH($M203,'Device Refrigerant Leakage'!$B$2:$B$42,0)))*CR203*CP203)*CQ203/2204.62*CO203,"")</f>
        <v/>
      </c>
      <c r="CU203" s="135" t="str">
        <f>IF($I203&lt;&gt;"",J203*IF(W203&lt;&gt;"AR",(CS203*K203)+CT203,(CS203*AB203)+CT203*(AB203/INDEX('Device Refrigerant Leakage'!$C$2:$C$42,MATCH($M203,'Device Refrigerant Leakage'!$B$2:$B$42,0)))),"")</f>
        <v/>
      </c>
      <c r="CW203" s="135" t="str">
        <f>IF($I203&lt;&gt;"",IF(S203="User Specified",V203,INDEX('Refrigerant GWPs'!$G$2:$G$156,MATCH(S203,'Refrigerant GWPs'!$A$2:$A$157,0))),"")</f>
        <v/>
      </c>
      <c r="CX203" s="138" t="str">
        <f>IF($I203&lt;&gt;"",INDEX('Device Refrigerant Leakage'!$E$2:$E$42,MATCH($Q203,'Device Refrigerant Leakage'!$B$2:$B$42,0)),"")</f>
        <v/>
      </c>
      <c r="CY203" s="138" t="str">
        <f>IF($I203&lt;&gt;"",INDEX('Device Refrigerant Leakage'!$F$2:$F$42,MATCH($Q203,'Device Refrigerant Leakage'!$B$2:$B$42,0)),"")</f>
        <v/>
      </c>
      <c r="CZ203" s="145" t="str">
        <f>IF($I203&lt;&gt;"",INDEX('Device Refrigerant Leakage'!$G$2:$G$42,MATCH($Q203,'Device Refrigerant Leakage'!$B$2:$B$42,0)),"")</f>
        <v/>
      </c>
      <c r="DA203" s="145" t="str">
        <f>IF($I203&lt;&gt;"",J203*INDEX('Device Refrigerant Leakage'!$D$2:$D$42,MATCH($Q203,'Device Refrigerant Leakage'!$B$2:$B$42,0))*CX203/2204.62*CW203,"")</f>
        <v/>
      </c>
      <c r="DB203" s="145" t="str">
        <f>IF($I203&lt;&gt;"",J203*(INDEX('Device Refrigerant Leakage'!$D$2:$D$42,MATCH($Q203,'Device Refrigerant Leakage'!$B$2:$B$42,0))-(INDEX('Device Refrigerant Leakage'!$D$2:$D$42,MATCH($Q203,'Device Refrigerant Leakage'!$B$2:$B$42,0)))*CZ203*CX203)*CY203/2204.62*CW203,"")</f>
        <v/>
      </c>
      <c r="DC203" s="135" t="str">
        <f t="shared" si="244"/>
        <v/>
      </c>
      <c r="DE203" s="146" t="str">
        <f>IF(W203&lt;&gt;"AR","",IF(Y203="User Specified", AA203, INDEX('Refrigerant GWPs'!$G$2:$G$154,MATCH(Y203,'Refrigerant GWPs'!$A$2:$A$154,0))))</f>
        <v/>
      </c>
      <c r="DF203" s="146" t="str">
        <f>IF(W203&lt;&gt;"AR","",INDEX('Device Refrigerant Leakage'!$E$2:$E$42,MATCH(X203,'Device Refrigerant Leakage'!$B$2:$B$42,0)))</f>
        <v/>
      </c>
      <c r="DG203" s="146" t="str">
        <f>IF(W203&lt;&gt;"AR","",INDEX('Device Refrigerant Leakage'!$F$2:$F$42,MATCH(X203,'Device Refrigerant Leakage'!$B$2:$B$42,0)))</f>
        <v/>
      </c>
      <c r="DH203" s="146" t="str">
        <f>IF(W203&lt;&gt;"AR","",INDEX('Device Refrigerant Leakage'!$G$2:$G$42,MATCH(X203,'Device Refrigerant Leakage'!$B$2:$B$42,0)))</f>
        <v/>
      </c>
      <c r="DI203" s="146" t="str">
        <f>IF(W203&lt;&gt;"AR","",J203*INDEX('Device Refrigerant Leakage'!$D$2:$D$42,MATCH(X203,'Device Refrigerant Leakage'!$B$2:$B$42,0))*DF203/2204.62*DE203)</f>
        <v/>
      </c>
      <c r="DJ203" s="146" t="str">
        <f>IF(W203&lt;&gt;"AR","",J203*(INDEX('Device Refrigerant Leakage'!$D$2:$D$42,MATCH(X203,'Device Refrigerant Leakage'!$B$2:$B$42,0))-(INDEX('Device Refrigerant Leakage'!$D$2:$D$42,MATCH(X203,'Device Refrigerant Leakage'!$B$2:$B$42,0)))*DH203*DF203)*DG203/2204.62*DE203)</f>
        <v/>
      </c>
      <c r="DK203" s="146" t="str">
        <f>IF(W203&lt;&gt;"AR","",DI203*(K203-AB203)+'Fuel Sub Calcs-Deemed'!DJ203*((K203-AB203)/INDEX('Device Refrigerant Leakage'!$C$2:$C$42,MATCH('Fuel Sub Calcs-Deemed'!X203,'Device Refrigerant Leakage'!$B$2:$B$42,0))))</f>
        <v/>
      </c>
      <c r="DM203" s="56">
        <v>189</v>
      </c>
      <c r="DN203" s="67" t="e">
        <f t="shared" si="224"/>
        <v>#N/A</v>
      </c>
      <c r="DO203" s="45" t="e">
        <f t="shared" si="225"/>
        <v>#N/A</v>
      </c>
      <c r="DP203" s="67" t="e">
        <f t="shared" si="226"/>
        <v>#N/A</v>
      </c>
      <c r="DQ203" s="45" t="e">
        <f t="shared" si="227"/>
        <v>#N/A</v>
      </c>
      <c r="DR203" s="69" t="e">
        <f t="shared" si="228"/>
        <v>#N/A</v>
      </c>
      <c r="DS203" s="34"/>
      <c r="DT203" s="67" t="e">
        <f>((BX203*CJ203)+IF($W203=MAT_AR,(BZ203*CL203),0))*(1+Reference!$E$50+Reference!$E$51)</f>
        <v>#N/A</v>
      </c>
      <c r="DU203" s="67">
        <f>((BY203*CK203)+IF($W203=MAT_AR,(CA203*CM203),0))*(1+Reference!$G$50+Reference!$G$51)</f>
        <v>0</v>
      </c>
      <c r="DV203" s="67" t="e">
        <f t="shared" si="229"/>
        <v>#VALUE!</v>
      </c>
      <c r="DX203" s="56">
        <v>189</v>
      </c>
      <c r="DY203" s="67">
        <f t="shared" si="230"/>
        <v>0</v>
      </c>
      <c r="DZ203" s="45" t="e">
        <f>VLOOKUP($R203,Dropdown!$C$3:$D$4,2,FALSE)</f>
        <v>#N/A</v>
      </c>
      <c r="EA203" s="68">
        <f t="shared" si="231"/>
        <v>0</v>
      </c>
      <c r="EB203" s="68" t="str">
        <f t="shared" si="232"/>
        <v>N/A</v>
      </c>
      <c r="EC203" s="68">
        <f t="shared" si="233"/>
        <v>0</v>
      </c>
      <c r="ED203" s="68" t="str">
        <f t="shared" si="280"/>
        <v>N/A</v>
      </c>
      <c r="EF203" s="56">
        <v>189</v>
      </c>
      <c r="EG203" s="46">
        <f t="shared" si="235"/>
        <v>0</v>
      </c>
      <c r="EH203" s="68" t="e">
        <f t="shared" si="236"/>
        <v>#N/A</v>
      </c>
      <c r="EI203" s="68" t="e">
        <f t="shared" si="237"/>
        <v>#N/A</v>
      </c>
      <c r="EJ203" s="68" t="e">
        <f t="shared" si="238"/>
        <v>#N/A</v>
      </c>
      <c r="EK203" s="68" t="e">
        <f t="shared" si="239"/>
        <v>#N/A</v>
      </c>
      <c r="EL203" s="46">
        <f t="shared" si="240"/>
        <v>0</v>
      </c>
      <c r="EM203" s="46">
        <f t="shared" si="241"/>
        <v>0</v>
      </c>
    </row>
    <row r="204" spans="1:143">
      <c r="A204" s="89"/>
      <c r="B204" s="89"/>
      <c r="C204" s="89"/>
      <c r="D204" s="89"/>
      <c r="E204" s="89"/>
      <c r="F204" s="89"/>
      <c r="G204" s="34"/>
      <c r="H204" s="56">
        <f t="shared" si="242"/>
        <v>190</v>
      </c>
      <c r="I204" s="165"/>
      <c r="J204" s="163"/>
      <c r="K204" s="163"/>
      <c r="L204" s="164"/>
      <c r="M204" s="155"/>
      <c r="N204" s="155"/>
      <c r="O204" s="144"/>
      <c r="P204" s="159" t="str">
        <f>IFERROR(IF(O204&lt;&gt;"User Specified",IF(O204&lt;&gt;"", INDEX('Refrigerant GWPs'!$G$2:$G$154,MATCH(O204,'Refrigerant GWPs'!$A$2:$A$154,0)),""),U204),0)</f>
        <v/>
      </c>
      <c r="Q204" s="155"/>
      <c r="R204" s="155"/>
      <c r="S204" s="144"/>
      <c r="T204" s="159" t="str">
        <f>IF(S204&lt;&gt;"User Specified",IF(AND(S204&lt;&gt;"User Specified",S204&lt;&gt;""), INDEX('Refrigerant GWPs'!$G$2:$G$154,MATCH(S204,'Refrigerant GWPs'!$A$2:$A$154,0)),""),V204)</f>
        <v/>
      </c>
      <c r="U204" s="144"/>
      <c r="V204" s="144"/>
      <c r="W204" s="155"/>
      <c r="X204" s="155"/>
      <c r="Y204" s="144"/>
      <c r="Z204" s="159" t="str">
        <f>IF(AND(Y204&lt;&gt;"User Specified",Y204&lt;&gt;""), INDEX('Refrigerant GWPs'!$G$2:$G$154,MATCH(Y204,'Refrigerant GWPs'!$A$2:$A$154,0)),"")</f>
        <v/>
      </c>
      <c r="AA204" s="155"/>
      <c r="AB204" s="156"/>
      <c r="AC204" s="66"/>
      <c r="AD204" s="66"/>
      <c r="AE204" s="66"/>
      <c r="AF204" s="66"/>
      <c r="AG204" s="66"/>
      <c r="AH204" s="66"/>
      <c r="AI204" s="34"/>
      <c r="AJ204" s="88">
        <f t="shared" si="200"/>
        <v>0</v>
      </c>
      <c r="AK204" s="88">
        <f t="shared" si="201"/>
        <v>0</v>
      </c>
      <c r="AL204" s="88">
        <v>0</v>
      </c>
      <c r="AM204" s="88">
        <v>0</v>
      </c>
      <c r="AN204" s="81" t="str">
        <f t="shared" si="243"/>
        <v/>
      </c>
      <c r="AO204" s="88">
        <f t="shared" si="202"/>
        <v>0</v>
      </c>
      <c r="AP204" s="88">
        <f t="shared" si="203"/>
        <v>0</v>
      </c>
      <c r="AQ204" s="81" t="str">
        <f t="shared" si="204"/>
        <v/>
      </c>
      <c r="AS204" s="41" t="b">
        <f t="shared" si="205"/>
        <v>1</v>
      </c>
      <c r="AT204" s="38">
        <f t="shared" si="206"/>
        <v>0</v>
      </c>
      <c r="AU204" s="60">
        <f t="shared" si="207"/>
        <v>0</v>
      </c>
      <c r="AV204" s="41">
        <f t="shared" si="208"/>
        <v>0</v>
      </c>
      <c r="AW204" s="41" t="b">
        <f t="shared" si="209"/>
        <v>0</v>
      </c>
      <c r="AX204" t="str">
        <f t="shared" si="210"/>
        <v>+00</v>
      </c>
      <c r="AY204" t="str">
        <f t="shared" si="211"/>
        <v>+00</v>
      </c>
      <c r="BA204" s="47" t="b">
        <f t="shared" si="281"/>
        <v>1</v>
      </c>
      <c r="BB204" s="42" t="b">
        <f t="shared" si="282"/>
        <v>1</v>
      </c>
      <c r="BC204" s="42" t="b">
        <f t="shared" si="283"/>
        <v>0</v>
      </c>
      <c r="BD204" s="42" t="b">
        <f t="shared" si="284"/>
        <v>0</v>
      </c>
      <c r="BE204" s="70">
        <f t="shared" si="285"/>
        <v>0</v>
      </c>
      <c r="BF204" s="70">
        <f t="shared" si="286"/>
        <v>0</v>
      </c>
      <c r="BG204" s="34"/>
      <c r="BI204" s="47" t="b">
        <f t="shared" si="287"/>
        <v>1</v>
      </c>
      <c r="BJ204" s="47" t="b">
        <f t="shared" si="288"/>
        <v>1</v>
      </c>
      <c r="BK204" s="42" t="b">
        <f t="shared" si="289"/>
        <v>0</v>
      </c>
      <c r="BL204" s="42" t="b">
        <f t="shared" si="290"/>
        <v>0</v>
      </c>
      <c r="BM204" s="42">
        <f t="shared" si="291"/>
        <v>0</v>
      </c>
      <c r="BN204" s="42">
        <f t="shared" si="292"/>
        <v>0</v>
      </c>
      <c r="BP204" t="e">
        <f t="shared" si="293"/>
        <v>#N/A</v>
      </c>
      <c r="BQ204" t="e">
        <f t="shared" si="294"/>
        <v>#N/A</v>
      </c>
      <c r="BR204" t="e">
        <f t="shared" si="295"/>
        <v>#N/A</v>
      </c>
      <c r="BT204" s="60">
        <f t="shared" si="268"/>
        <v>0</v>
      </c>
      <c r="BU204" s="60">
        <f t="shared" si="269"/>
        <v>0</v>
      </c>
      <c r="BV204" s="60">
        <f t="shared" si="270"/>
        <v>0</v>
      </c>
      <c r="BW204" s="60">
        <f t="shared" si="271"/>
        <v>0</v>
      </c>
      <c r="BX204" s="60">
        <f t="shared" si="296"/>
        <v>0</v>
      </c>
      <c r="BY204" s="60">
        <f t="shared" si="297"/>
        <v>0</v>
      </c>
      <c r="BZ204" s="60">
        <f t="shared" si="298"/>
        <v>0</v>
      </c>
      <c r="CA204" s="60">
        <f t="shared" si="299"/>
        <v>0</v>
      </c>
      <c r="CB204" s="60" t="e">
        <f t="shared" si="272"/>
        <v>#N/A</v>
      </c>
      <c r="CC204" s="60">
        <f t="shared" si="273"/>
        <v>100000</v>
      </c>
      <c r="CD204" s="60" t="e">
        <f t="shared" si="274"/>
        <v>#N/A</v>
      </c>
      <c r="CE204" s="60">
        <f t="shared" si="275"/>
        <v>100000</v>
      </c>
      <c r="CF204" s="83" t="e">
        <f t="shared" si="300"/>
        <v>#N/A</v>
      </c>
      <c r="CG204" s="83">
        <f t="shared" si="301"/>
        <v>0</v>
      </c>
      <c r="CH204" s="83" t="e">
        <f t="shared" si="302"/>
        <v>#N/A</v>
      </c>
      <c r="CI204" s="83">
        <f t="shared" si="303"/>
        <v>0</v>
      </c>
      <c r="CJ204" s="86" t="e">
        <f t="shared" si="276"/>
        <v>#N/A</v>
      </c>
      <c r="CK204" s="82">
        <f t="shared" si="277"/>
        <v>5.3070370403969858E-3</v>
      </c>
      <c r="CL204" s="82" t="e">
        <f t="shared" si="278"/>
        <v>#N/A</v>
      </c>
      <c r="CM204" s="82">
        <f t="shared" si="279"/>
        <v>5.3070370403969858E-3</v>
      </c>
      <c r="CO204" s="149" t="str">
        <f>IF($I204&lt;&gt;"",IF(O204="User Specified",U204,INDEX('Refrigerant GWPs'!$G$2:$G$156,MATCH(O204,'Refrigerant GWPs'!$A$2:$A$156,0))),"")</f>
        <v/>
      </c>
      <c r="CP204" s="138" t="str">
        <f>IF($I204&lt;&gt;"",INDEX('Device Refrigerant Leakage'!$E$2:$E$42,MATCH($M204,'Device Refrigerant Leakage'!$B$2:$B$42,0)),"")</f>
        <v/>
      </c>
      <c r="CQ204" s="138" t="str">
        <f>IF($I204&lt;&gt;"",INDEX('Device Refrigerant Leakage'!$F$2:$F$42,MATCH($M204,'Device Refrigerant Leakage'!$B$2:$B$42,0)),"")</f>
        <v/>
      </c>
      <c r="CR204" s="145" t="str">
        <f>IF($I204&lt;&gt;"",INDEX('Device Refrigerant Leakage'!$G$2:$G$42,MATCH($M204,'Device Refrigerant Leakage'!$B$2:$B$42,0)),"")</f>
        <v/>
      </c>
      <c r="CS204" s="145" t="str">
        <f>IF($I204&lt;&gt;"",INDEX('Device Refrigerant Leakage'!$D$2:$D$42,MATCH($M204,'Device Refrigerant Leakage'!$B$2:$B$42,0))*CP204/2204.62*CO204,"")</f>
        <v/>
      </c>
      <c r="CT204" s="145" t="str">
        <f>IF($I204&lt;&gt;"",J204*(INDEX('Device Refrigerant Leakage'!$D$2:$D$42,MATCH($M204,'Device Refrigerant Leakage'!$B$2:$B$42,0))-(INDEX('Device Refrigerant Leakage'!$D$2:$D$42,MATCH($M204,'Device Refrigerant Leakage'!$B$2:$B$42,0)))*CR204*CP204)*CQ204/2204.62*CO204,"")</f>
        <v/>
      </c>
      <c r="CU204" s="135" t="str">
        <f>IF($I204&lt;&gt;"",J204*IF(W204&lt;&gt;"AR",(CS204*K204)+CT204,(CS204*AB204)+CT204*(AB204/INDEX('Device Refrigerant Leakage'!$C$2:$C$42,MATCH($M204,'Device Refrigerant Leakage'!$B$2:$B$42,0)))),"")</f>
        <v/>
      </c>
      <c r="CW204" s="135" t="str">
        <f>IF($I204&lt;&gt;"",IF(S204="User Specified",V204,INDEX('Refrigerant GWPs'!$G$2:$G$156,MATCH(S204,'Refrigerant GWPs'!$A$2:$A$157,0))),"")</f>
        <v/>
      </c>
      <c r="CX204" s="138" t="str">
        <f>IF($I204&lt;&gt;"",INDEX('Device Refrigerant Leakage'!$E$2:$E$42,MATCH($Q204,'Device Refrigerant Leakage'!$B$2:$B$42,0)),"")</f>
        <v/>
      </c>
      <c r="CY204" s="138" t="str">
        <f>IF($I204&lt;&gt;"",INDEX('Device Refrigerant Leakage'!$F$2:$F$42,MATCH($Q204,'Device Refrigerant Leakage'!$B$2:$B$42,0)),"")</f>
        <v/>
      </c>
      <c r="CZ204" s="145" t="str">
        <f>IF($I204&lt;&gt;"",INDEX('Device Refrigerant Leakage'!$G$2:$G$42,MATCH($Q204,'Device Refrigerant Leakage'!$B$2:$B$42,0)),"")</f>
        <v/>
      </c>
      <c r="DA204" s="145" t="str">
        <f>IF($I204&lt;&gt;"",J204*INDEX('Device Refrigerant Leakage'!$D$2:$D$42,MATCH($Q204,'Device Refrigerant Leakage'!$B$2:$B$42,0))*CX204/2204.62*CW204,"")</f>
        <v/>
      </c>
      <c r="DB204" s="145" t="str">
        <f>IF($I204&lt;&gt;"",J204*(INDEX('Device Refrigerant Leakage'!$D$2:$D$42,MATCH($Q204,'Device Refrigerant Leakage'!$B$2:$B$42,0))-(INDEX('Device Refrigerant Leakage'!$D$2:$D$42,MATCH($Q204,'Device Refrigerant Leakage'!$B$2:$B$42,0)))*CZ204*CX204)*CY204/2204.62*CW204,"")</f>
        <v/>
      </c>
      <c r="DC204" s="135" t="str">
        <f t="shared" si="244"/>
        <v/>
      </c>
      <c r="DE204" s="146" t="str">
        <f>IF(W204&lt;&gt;"AR","",IF(Y204="User Specified", AA204, INDEX('Refrigerant GWPs'!$G$2:$G$154,MATCH(Y204,'Refrigerant GWPs'!$A$2:$A$154,0))))</f>
        <v/>
      </c>
      <c r="DF204" s="146" t="str">
        <f>IF(W204&lt;&gt;"AR","",INDEX('Device Refrigerant Leakage'!$E$2:$E$42,MATCH(X204,'Device Refrigerant Leakage'!$B$2:$B$42,0)))</f>
        <v/>
      </c>
      <c r="DG204" s="146" t="str">
        <f>IF(W204&lt;&gt;"AR","",INDEX('Device Refrigerant Leakage'!$F$2:$F$42,MATCH(X204,'Device Refrigerant Leakage'!$B$2:$B$42,0)))</f>
        <v/>
      </c>
      <c r="DH204" s="146" t="str">
        <f>IF(W204&lt;&gt;"AR","",INDEX('Device Refrigerant Leakage'!$G$2:$G$42,MATCH(X204,'Device Refrigerant Leakage'!$B$2:$B$42,0)))</f>
        <v/>
      </c>
      <c r="DI204" s="146" t="str">
        <f>IF(W204&lt;&gt;"AR","",J204*INDEX('Device Refrigerant Leakage'!$D$2:$D$42,MATCH(X204,'Device Refrigerant Leakage'!$B$2:$B$42,0))*DF204/2204.62*DE204)</f>
        <v/>
      </c>
      <c r="DJ204" s="146" t="str">
        <f>IF(W204&lt;&gt;"AR","",J204*(INDEX('Device Refrigerant Leakage'!$D$2:$D$42,MATCH(X204,'Device Refrigerant Leakage'!$B$2:$B$42,0))-(INDEX('Device Refrigerant Leakage'!$D$2:$D$42,MATCH(X204,'Device Refrigerant Leakage'!$B$2:$B$42,0)))*DH204*DF204)*DG204/2204.62*DE204)</f>
        <v/>
      </c>
      <c r="DK204" s="146" t="str">
        <f>IF(W204&lt;&gt;"AR","",DI204*(K204-AB204)+'Fuel Sub Calcs-Deemed'!DJ204*((K204-AB204)/INDEX('Device Refrigerant Leakage'!$C$2:$C$42,MATCH('Fuel Sub Calcs-Deemed'!X204,'Device Refrigerant Leakage'!$B$2:$B$42,0))))</f>
        <v/>
      </c>
      <c r="DM204" s="56">
        <v>190</v>
      </c>
      <c r="DN204" s="67" t="e">
        <f t="shared" si="224"/>
        <v>#N/A</v>
      </c>
      <c r="DO204" s="45" t="e">
        <f t="shared" si="225"/>
        <v>#N/A</v>
      </c>
      <c r="DP204" s="67" t="e">
        <f t="shared" si="226"/>
        <v>#N/A</v>
      </c>
      <c r="DQ204" s="45" t="e">
        <f t="shared" si="227"/>
        <v>#N/A</v>
      </c>
      <c r="DR204" s="69" t="e">
        <f t="shared" si="228"/>
        <v>#N/A</v>
      </c>
      <c r="DS204" s="34"/>
      <c r="DT204" s="67" t="e">
        <f>((BX204*CJ204)+IF($W204=MAT_AR,(BZ204*CL204),0))*(1+Reference!$E$50+Reference!$E$51)</f>
        <v>#N/A</v>
      </c>
      <c r="DU204" s="67">
        <f>((BY204*CK204)+IF($W204=MAT_AR,(CA204*CM204),0))*(1+Reference!$G$50+Reference!$G$51)</f>
        <v>0</v>
      </c>
      <c r="DV204" s="67" t="e">
        <f t="shared" si="229"/>
        <v>#VALUE!</v>
      </c>
      <c r="DX204" s="56">
        <v>190</v>
      </c>
      <c r="DY204" s="67">
        <f t="shared" si="230"/>
        <v>0</v>
      </c>
      <c r="DZ204" s="45" t="e">
        <f>VLOOKUP($R204,Dropdown!$C$3:$D$4,2,FALSE)</f>
        <v>#N/A</v>
      </c>
      <c r="EA204" s="68">
        <f t="shared" si="231"/>
        <v>0</v>
      </c>
      <c r="EB204" s="68" t="str">
        <f t="shared" si="232"/>
        <v>N/A</v>
      </c>
      <c r="EC204" s="68">
        <f t="shared" si="233"/>
        <v>0</v>
      </c>
      <c r="ED204" s="68" t="str">
        <f t="shared" si="280"/>
        <v>N/A</v>
      </c>
      <c r="EF204" s="56">
        <v>190</v>
      </c>
      <c r="EG204" s="46">
        <f t="shared" si="235"/>
        <v>0</v>
      </c>
      <c r="EH204" s="68" t="e">
        <f t="shared" si="236"/>
        <v>#N/A</v>
      </c>
      <c r="EI204" s="68" t="e">
        <f t="shared" si="237"/>
        <v>#N/A</v>
      </c>
      <c r="EJ204" s="68" t="e">
        <f t="shared" si="238"/>
        <v>#N/A</v>
      </c>
      <c r="EK204" s="68" t="e">
        <f t="shared" si="239"/>
        <v>#N/A</v>
      </c>
      <c r="EL204" s="46">
        <f t="shared" si="240"/>
        <v>0</v>
      </c>
      <c r="EM204" s="46">
        <f t="shared" si="241"/>
        <v>0</v>
      </c>
    </row>
    <row r="205" spans="1:143">
      <c r="A205" s="89"/>
      <c r="B205" s="89"/>
      <c r="C205" s="89"/>
      <c r="D205" s="89"/>
      <c r="E205" s="89"/>
      <c r="F205" s="89"/>
      <c r="G205" s="34"/>
      <c r="H205" s="56">
        <f t="shared" si="242"/>
        <v>191</v>
      </c>
      <c r="I205" s="165"/>
      <c r="J205" s="163"/>
      <c r="K205" s="163"/>
      <c r="L205" s="164"/>
      <c r="M205" s="155"/>
      <c r="N205" s="155"/>
      <c r="O205" s="144"/>
      <c r="P205" s="159" t="str">
        <f>IFERROR(IF(O205&lt;&gt;"User Specified",IF(O205&lt;&gt;"", INDEX('Refrigerant GWPs'!$G$2:$G$154,MATCH(O205,'Refrigerant GWPs'!$A$2:$A$154,0)),""),U205),0)</f>
        <v/>
      </c>
      <c r="Q205" s="155"/>
      <c r="R205" s="155"/>
      <c r="S205" s="144"/>
      <c r="T205" s="159" t="str">
        <f>IF(S205&lt;&gt;"User Specified",IF(AND(S205&lt;&gt;"User Specified",S205&lt;&gt;""), INDEX('Refrigerant GWPs'!$G$2:$G$154,MATCH(S205,'Refrigerant GWPs'!$A$2:$A$154,0)),""),V205)</f>
        <v/>
      </c>
      <c r="U205" s="144"/>
      <c r="V205" s="144"/>
      <c r="W205" s="155"/>
      <c r="X205" s="155"/>
      <c r="Y205" s="144"/>
      <c r="Z205" s="159" t="str">
        <f>IF(AND(Y205&lt;&gt;"User Specified",Y205&lt;&gt;""), INDEX('Refrigerant GWPs'!$G$2:$G$154,MATCH(Y205,'Refrigerant GWPs'!$A$2:$A$154,0)),"")</f>
        <v/>
      </c>
      <c r="AA205" s="155"/>
      <c r="AB205" s="156"/>
      <c r="AC205" s="66"/>
      <c r="AD205" s="66"/>
      <c r="AE205" s="66"/>
      <c r="AF205" s="66"/>
      <c r="AG205" s="66"/>
      <c r="AH205" s="66"/>
      <c r="AI205" s="34"/>
      <c r="AJ205" s="88">
        <f t="shared" si="200"/>
        <v>0</v>
      </c>
      <c r="AK205" s="88">
        <f t="shared" si="201"/>
        <v>0</v>
      </c>
      <c r="AL205" s="88">
        <v>0</v>
      </c>
      <c r="AM205" s="88">
        <v>0</v>
      </c>
      <c r="AN205" s="81" t="str">
        <f t="shared" si="243"/>
        <v/>
      </c>
      <c r="AO205" s="88">
        <f t="shared" si="202"/>
        <v>0</v>
      </c>
      <c r="AP205" s="88">
        <f t="shared" si="203"/>
        <v>0</v>
      </c>
      <c r="AQ205" s="81" t="str">
        <f t="shared" si="204"/>
        <v/>
      </c>
      <c r="AS205" s="41" t="b">
        <f t="shared" si="205"/>
        <v>1</v>
      </c>
      <c r="AT205" s="38">
        <f t="shared" si="206"/>
        <v>0</v>
      </c>
      <c r="AU205" s="60">
        <f t="shared" si="207"/>
        <v>0</v>
      </c>
      <c r="AV205" s="41">
        <f t="shared" si="208"/>
        <v>0</v>
      </c>
      <c r="AW205" s="41" t="b">
        <f t="shared" si="209"/>
        <v>0</v>
      </c>
      <c r="AX205" t="str">
        <f t="shared" si="210"/>
        <v>+00</v>
      </c>
      <c r="AY205" t="str">
        <f t="shared" si="211"/>
        <v>+00</v>
      </c>
      <c r="BA205" s="47" t="b">
        <f t="shared" si="281"/>
        <v>1</v>
      </c>
      <c r="BB205" s="42" t="b">
        <f t="shared" si="282"/>
        <v>1</v>
      </c>
      <c r="BC205" s="42" t="b">
        <f t="shared" si="283"/>
        <v>0</v>
      </c>
      <c r="BD205" s="42" t="b">
        <f t="shared" si="284"/>
        <v>0</v>
      </c>
      <c r="BE205" s="70">
        <f t="shared" si="285"/>
        <v>0</v>
      </c>
      <c r="BF205" s="70">
        <f t="shared" si="286"/>
        <v>0</v>
      </c>
      <c r="BG205" s="34"/>
      <c r="BI205" s="47" t="b">
        <f t="shared" si="287"/>
        <v>1</v>
      </c>
      <c r="BJ205" s="47" t="b">
        <f t="shared" si="288"/>
        <v>1</v>
      </c>
      <c r="BK205" s="42" t="b">
        <f t="shared" si="289"/>
        <v>0</v>
      </c>
      <c r="BL205" s="42" t="b">
        <f t="shared" si="290"/>
        <v>0</v>
      </c>
      <c r="BM205" s="42">
        <f t="shared" si="291"/>
        <v>0</v>
      </c>
      <c r="BN205" s="42">
        <f t="shared" si="292"/>
        <v>0</v>
      </c>
      <c r="BP205" t="e">
        <f t="shared" si="293"/>
        <v>#N/A</v>
      </c>
      <c r="BQ205" t="e">
        <f t="shared" si="294"/>
        <v>#N/A</v>
      </c>
      <c r="BR205" t="e">
        <f t="shared" si="295"/>
        <v>#N/A</v>
      </c>
      <c r="BT205" s="60">
        <f t="shared" si="268"/>
        <v>0</v>
      </c>
      <c r="BU205" s="60">
        <f t="shared" si="269"/>
        <v>0</v>
      </c>
      <c r="BV205" s="60">
        <f t="shared" si="270"/>
        <v>0</v>
      </c>
      <c r="BW205" s="60">
        <f t="shared" si="271"/>
        <v>0</v>
      </c>
      <c r="BX205" s="60">
        <f t="shared" si="296"/>
        <v>0</v>
      </c>
      <c r="BY205" s="60">
        <f t="shared" si="297"/>
        <v>0</v>
      </c>
      <c r="BZ205" s="60">
        <f t="shared" si="298"/>
        <v>0</v>
      </c>
      <c r="CA205" s="60">
        <f t="shared" si="299"/>
        <v>0</v>
      </c>
      <c r="CB205" s="60" t="e">
        <f t="shared" si="272"/>
        <v>#N/A</v>
      </c>
      <c r="CC205" s="60">
        <f t="shared" si="273"/>
        <v>100000</v>
      </c>
      <c r="CD205" s="60" t="e">
        <f t="shared" si="274"/>
        <v>#N/A</v>
      </c>
      <c r="CE205" s="60">
        <f t="shared" si="275"/>
        <v>100000</v>
      </c>
      <c r="CF205" s="83" t="e">
        <f t="shared" si="300"/>
        <v>#N/A</v>
      </c>
      <c r="CG205" s="83">
        <f t="shared" si="301"/>
        <v>0</v>
      </c>
      <c r="CH205" s="83" t="e">
        <f t="shared" si="302"/>
        <v>#N/A</v>
      </c>
      <c r="CI205" s="83">
        <f t="shared" si="303"/>
        <v>0</v>
      </c>
      <c r="CJ205" s="86" t="e">
        <f t="shared" si="276"/>
        <v>#N/A</v>
      </c>
      <c r="CK205" s="82">
        <f t="shared" si="277"/>
        <v>5.3070370403969858E-3</v>
      </c>
      <c r="CL205" s="82" t="e">
        <f t="shared" si="278"/>
        <v>#N/A</v>
      </c>
      <c r="CM205" s="82">
        <f t="shared" si="279"/>
        <v>5.3070370403969858E-3</v>
      </c>
      <c r="CO205" s="149" t="str">
        <f>IF($I205&lt;&gt;"",IF(O205="User Specified",U205,INDEX('Refrigerant GWPs'!$G$2:$G$156,MATCH(O205,'Refrigerant GWPs'!$A$2:$A$156,0))),"")</f>
        <v/>
      </c>
      <c r="CP205" s="138" t="str">
        <f>IF($I205&lt;&gt;"",INDEX('Device Refrigerant Leakage'!$E$2:$E$42,MATCH($M205,'Device Refrigerant Leakage'!$B$2:$B$42,0)),"")</f>
        <v/>
      </c>
      <c r="CQ205" s="138" t="str">
        <f>IF($I205&lt;&gt;"",INDEX('Device Refrigerant Leakage'!$F$2:$F$42,MATCH($M205,'Device Refrigerant Leakage'!$B$2:$B$42,0)),"")</f>
        <v/>
      </c>
      <c r="CR205" s="145" t="str">
        <f>IF($I205&lt;&gt;"",INDEX('Device Refrigerant Leakage'!$G$2:$G$42,MATCH($M205,'Device Refrigerant Leakage'!$B$2:$B$42,0)),"")</f>
        <v/>
      </c>
      <c r="CS205" s="145" t="str">
        <f>IF($I205&lt;&gt;"",INDEX('Device Refrigerant Leakage'!$D$2:$D$42,MATCH($M205,'Device Refrigerant Leakage'!$B$2:$B$42,0))*CP205/2204.62*CO205,"")</f>
        <v/>
      </c>
      <c r="CT205" s="145" t="str">
        <f>IF($I205&lt;&gt;"",J205*(INDEX('Device Refrigerant Leakage'!$D$2:$D$42,MATCH($M205,'Device Refrigerant Leakage'!$B$2:$B$42,0))-(INDEX('Device Refrigerant Leakage'!$D$2:$D$42,MATCH($M205,'Device Refrigerant Leakage'!$B$2:$B$42,0)))*CR205*CP205)*CQ205/2204.62*CO205,"")</f>
        <v/>
      </c>
      <c r="CU205" s="135" t="str">
        <f>IF($I205&lt;&gt;"",J205*IF(W205&lt;&gt;"AR",(CS205*K205)+CT205,(CS205*AB205)+CT205*(AB205/INDEX('Device Refrigerant Leakage'!$C$2:$C$42,MATCH($M205,'Device Refrigerant Leakage'!$B$2:$B$42,0)))),"")</f>
        <v/>
      </c>
      <c r="CW205" s="135" t="str">
        <f>IF($I205&lt;&gt;"",IF(S205="User Specified",V205,INDEX('Refrigerant GWPs'!$G$2:$G$156,MATCH(S205,'Refrigerant GWPs'!$A$2:$A$157,0))),"")</f>
        <v/>
      </c>
      <c r="CX205" s="138" t="str">
        <f>IF($I205&lt;&gt;"",INDEX('Device Refrigerant Leakage'!$E$2:$E$42,MATCH($Q205,'Device Refrigerant Leakage'!$B$2:$B$42,0)),"")</f>
        <v/>
      </c>
      <c r="CY205" s="138" t="str">
        <f>IF($I205&lt;&gt;"",INDEX('Device Refrigerant Leakage'!$F$2:$F$42,MATCH($Q205,'Device Refrigerant Leakage'!$B$2:$B$42,0)),"")</f>
        <v/>
      </c>
      <c r="CZ205" s="145" t="str">
        <f>IF($I205&lt;&gt;"",INDEX('Device Refrigerant Leakage'!$G$2:$G$42,MATCH($Q205,'Device Refrigerant Leakage'!$B$2:$B$42,0)),"")</f>
        <v/>
      </c>
      <c r="DA205" s="145" t="str">
        <f>IF($I205&lt;&gt;"",J205*INDEX('Device Refrigerant Leakage'!$D$2:$D$42,MATCH($Q205,'Device Refrigerant Leakage'!$B$2:$B$42,0))*CX205/2204.62*CW205,"")</f>
        <v/>
      </c>
      <c r="DB205" s="145" t="str">
        <f>IF($I205&lt;&gt;"",J205*(INDEX('Device Refrigerant Leakage'!$D$2:$D$42,MATCH($Q205,'Device Refrigerant Leakage'!$B$2:$B$42,0))-(INDEX('Device Refrigerant Leakage'!$D$2:$D$42,MATCH($Q205,'Device Refrigerant Leakage'!$B$2:$B$42,0)))*CZ205*CX205)*CY205/2204.62*CW205,"")</f>
        <v/>
      </c>
      <c r="DC205" s="135" t="str">
        <f t="shared" si="244"/>
        <v/>
      </c>
      <c r="DE205" s="146" t="str">
        <f>IF(W205&lt;&gt;"AR","",IF(Y205="User Specified", AA205, INDEX('Refrigerant GWPs'!$G$2:$G$154,MATCH(Y205,'Refrigerant GWPs'!$A$2:$A$154,0))))</f>
        <v/>
      </c>
      <c r="DF205" s="146" t="str">
        <f>IF(W205&lt;&gt;"AR","",INDEX('Device Refrigerant Leakage'!$E$2:$E$42,MATCH(X205,'Device Refrigerant Leakage'!$B$2:$B$42,0)))</f>
        <v/>
      </c>
      <c r="DG205" s="146" t="str">
        <f>IF(W205&lt;&gt;"AR","",INDEX('Device Refrigerant Leakage'!$F$2:$F$42,MATCH(X205,'Device Refrigerant Leakage'!$B$2:$B$42,0)))</f>
        <v/>
      </c>
      <c r="DH205" s="146" t="str">
        <f>IF(W205&lt;&gt;"AR","",INDEX('Device Refrigerant Leakage'!$G$2:$G$42,MATCH(X205,'Device Refrigerant Leakage'!$B$2:$B$42,0)))</f>
        <v/>
      </c>
      <c r="DI205" s="146" t="str">
        <f>IF(W205&lt;&gt;"AR","",J205*INDEX('Device Refrigerant Leakage'!$D$2:$D$42,MATCH(X205,'Device Refrigerant Leakage'!$B$2:$B$42,0))*DF205/2204.62*DE205)</f>
        <v/>
      </c>
      <c r="DJ205" s="146" t="str">
        <f>IF(W205&lt;&gt;"AR","",J205*(INDEX('Device Refrigerant Leakage'!$D$2:$D$42,MATCH(X205,'Device Refrigerant Leakage'!$B$2:$B$42,0))-(INDEX('Device Refrigerant Leakage'!$D$2:$D$42,MATCH(X205,'Device Refrigerant Leakage'!$B$2:$B$42,0)))*DH205*DF205)*DG205/2204.62*DE205)</f>
        <v/>
      </c>
      <c r="DK205" s="146" t="str">
        <f>IF(W205&lt;&gt;"AR","",DI205*(K205-AB205)+'Fuel Sub Calcs-Deemed'!DJ205*((K205-AB205)/INDEX('Device Refrigerant Leakage'!$C$2:$C$42,MATCH('Fuel Sub Calcs-Deemed'!X205,'Device Refrigerant Leakage'!$B$2:$B$42,0))))</f>
        <v/>
      </c>
      <c r="DM205" s="56">
        <v>191</v>
      </c>
      <c r="DN205" s="67" t="e">
        <f t="shared" si="224"/>
        <v>#N/A</v>
      </c>
      <c r="DO205" s="45" t="e">
        <f t="shared" si="225"/>
        <v>#N/A</v>
      </c>
      <c r="DP205" s="67" t="e">
        <f t="shared" si="226"/>
        <v>#N/A</v>
      </c>
      <c r="DQ205" s="45" t="e">
        <f t="shared" si="227"/>
        <v>#N/A</v>
      </c>
      <c r="DR205" s="69" t="e">
        <f t="shared" si="228"/>
        <v>#N/A</v>
      </c>
      <c r="DS205" s="34"/>
      <c r="DT205" s="67" t="e">
        <f>((BX205*CJ205)+IF($W205=MAT_AR,(BZ205*CL205),0))*(1+Reference!$E$50+Reference!$E$51)</f>
        <v>#N/A</v>
      </c>
      <c r="DU205" s="67">
        <f>((BY205*CK205)+IF($W205=MAT_AR,(CA205*CM205),0))*(1+Reference!$G$50+Reference!$G$51)</f>
        <v>0</v>
      </c>
      <c r="DV205" s="67" t="e">
        <f t="shared" si="229"/>
        <v>#VALUE!</v>
      </c>
      <c r="DX205" s="56">
        <v>191</v>
      </c>
      <c r="DY205" s="67">
        <f t="shared" si="230"/>
        <v>0</v>
      </c>
      <c r="DZ205" s="45" t="e">
        <f>VLOOKUP($R205,Dropdown!$C$3:$D$4,2,FALSE)</f>
        <v>#N/A</v>
      </c>
      <c r="EA205" s="68">
        <f t="shared" si="231"/>
        <v>0</v>
      </c>
      <c r="EB205" s="68" t="str">
        <f t="shared" si="232"/>
        <v>N/A</v>
      </c>
      <c r="EC205" s="68">
        <f t="shared" si="233"/>
        <v>0</v>
      </c>
      <c r="ED205" s="68" t="str">
        <f t="shared" si="280"/>
        <v>N/A</v>
      </c>
      <c r="EF205" s="56">
        <v>191</v>
      </c>
      <c r="EG205" s="46">
        <f t="shared" si="235"/>
        <v>0</v>
      </c>
      <c r="EH205" s="68" t="e">
        <f t="shared" si="236"/>
        <v>#N/A</v>
      </c>
      <c r="EI205" s="68" t="e">
        <f t="shared" si="237"/>
        <v>#N/A</v>
      </c>
      <c r="EJ205" s="68" t="e">
        <f t="shared" si="238"/>
        <v>#N/A</v>
      </c>
      <c r="EK205" s="68" t="e">
        <f t="shared" si="239"/>
        <v>#N/A</v>
      </c>
      <c r="EL205" s="46">
        <f t="shared" si="240"/>
        <v>0</v>
      </c>
      <c r="EM205" s="46">
        <f t="shared" si="241"/>
        <v>0</v>
      </c>
    </row>
    <row r="206" spans="1:143">
      <c r="A206" s="89"/>
      <c r="B206" s="89"/>
      <c r="C206" s="89"/>
      <c r="D206" s="89"/>
      <c r="E206" s="89"/>
      <c r="F206" s="89"/>
      <c r="G206" s="34"/>
      <c r="H206" s="56">
        <f t="shared" si="242"/>
        <v>192</v>
      </c>
      <c r="I206" s="165"/>
      <c r="J206" s="163"/>
      <c r="K206" s="163"/>
      <c r="L206" s="164"/>
      <c r="M206" s="155"/>
      <c r="N206" s="155"/>
      <c r="O206" s="144"/>
      <c r="P206" s="159" t="str">
        <f>IFERROR(IF(O206&lt;&gt;"User Specified",IF(O206&lt;&gt;"", INDEX('Refrigerant GWPs'!$G$2:$G$154,MATCH(O206,'Refrigerant GWPs'!$A$2:$A$154,0)),""),U206),0)</f>
        <v/>
      </c>
      <c r="Q206" s="155"/>
      <c r="R206" s="155"/>
      <c r="S206" s="144"/>
      <c r="T206" s="159" t="str">
        <f>IF(S206&lt;&gt;"User Specified",IF(AND(S206&lt;&gt;"User Specified",S206&lt;&gt;""), INDEX('Refrigerant GWPs'!$G$2:$G$154,MATCH(S206,'Refrigerant GWPs'!$A$2:$A$154,0)),""),V206)</f>
        <v/>
      </c>
      <c r="U206" s="144"/>
      <c r="V206" s="144"/>
      <c r="W206" s="155"/>
      <c r="X206" s="155"/>
      <c r="Y206" s="144"/>
      <c r="Z206" s="159" t="str">
        <f>IF(AND(Y206&lt;&gt;"User Specified",Y206&lt;&gt;""), INDEX('Refrigerant GWPs'!$G$2:$G$154,MATCH(Y206,'Refrigerant GWPs'!$A$2:$A$154,0)),"")</f>
        <v/>
      </c>
      <c r="AA206" s="155"/>
      <c r="AB206" s="156"/>
      <c r="AC206" s="66"/>
      <c r="AD206" s="66"/>
      <c r="AE206" s="66"/>
      <c r="AF206" s="66"/>
      <c r="AG206" s="66"/>
      <c r="AH206" s="66"/>
      <c r="AI206" s="34"/>
      <c r="AJ206" s="88">
        <f t="shared" si="200"/>
        <v>0</v>
      </c>
      <c r="AK206" s="88">
        <f t="shared" si="201"/>
        <v>0</v>
      </c>
      <c r="AL206" s="88">
        <v>0</v>
      </c>
      <c r="AM206" s="88">
        <v>0</v>
      </c>
      <c r="AN206" s="81" t="str">
        <f t="shared" si="243"/>
        <v/>
      </c>
      <c r="AO206" s="88">
        <f t="shared" si="202"/>
        <v>0</v>
      </c>
      <c r="AP206" s="88">
        <f t="shared" si="203"/>
        <v>0</v>
      </c>
      <c r="AQ206" s="81" t="str">
        <f t="shared" si="204"/>
        <v/>
      </c>
      <c r="AS206" s="41" t="b">
        <f t="shared" si="205"/>
        <v>1</v>
      </c>
      <c r="AT206" s="38">
        <f t="shared" si="206"/>
        <v>0</v>
      </c>
      <c r="AU206" s="60">
        <f t="shared" si="207"/>
        <v>0</v>
      </c>
      <c r="AV206" s="41">
        <f t="shared" si="208"/>
        <v>0</v>
      </c>
      <c r="AW206" s="41" t="b">
        <f t="shared" si="209"/>
        <v>0</v>
      </c>
      <c r="AX206" t="str">
        <f t="shared" si="210"/>
        <v>+00</v>
      </c>
      <c r="AY206" t="str">
        <f t="shared" si="211"/>
        <v>+00</v>
      </c>
      <c r="BA206" s="47" t="b">
        <f t="shared" si="281"/>
        <v>1</v>
      </c>
      <c r="BB206" s="42" t="b">
        <f t="shared" si="282"/>
        <v>1</v>
      </c>
      <c r="BC206" s="42" t="b">
        <f t="shared" si="283"/>
        <v>0</v>
      </c>
      <c r="BD206" s="42" t="b">
        <f t="shared" si="284"/>
        <v>0</v>
      </c>
      <c r="BE206" s="70">
        <f t="shared" si="285"/>
        <v>0</v>
      </c>
      <c r="BF206" s="70">
        <f t="shared" si="286"/>
        <v>0</v>
      </c>
      <c r="BG206" s="34"/>
      <c r="BI206" s="47" t="b">
        <f t="shared" si="287"/>
        <v>1</v>
      </c>
      <c r="BJ206" s="47" t="b">
        <f t="shared" si="288"/>
        <v>1</v>
      </c>
      <c r="BK206" s="42" t="b">
        <f t="shared" si="289"/>
        <v>0</v>
      </c>
      <c r="BL206" s="42" t="b">
        <f t="shared" si="290"/>
        <v>0</v>
      </c>
      <c r="BM206" s="42">
        <f t="shared" si="291"/>
        <v>0</v>
      </c>
      <c r="BN206" s="42">
        <f t="shared" si="292"/>
        <v>0</v>
      </c>
      <c r="BP206" t="e">
        <f t="shared" si="293"/>
        <v>#N/A</v>
      </c>
      <c r="BQ206" t="e">
        <f t="shared" si="294"/>
        <v>#N/A</v>
      </c>
      <c r="BR206" t="e">
        <f t="shared" si="295"/>
        <v>#N/A</v>
      </c>
      <c r="BT206" s="60">
        <f t="shared" si="268"/>
        <v>0</v>
      </c>
      <c r="BU206" s="60">
        <f t="shared" si="269"/>
        <v>0</v>
      </c>
      <c r="BV206" s="60">
        <f t="shared" si="270"/>
        <v>0</v>
      </c>
      <c r="BW206" s="60">
        <f t="shared" si="271"/>
        <v>0</v>
      </c>
      <c r="BX206" s="60">
        <f t="shared" si="296"/>
        <v>0</v>
      </c>
      <c r="BY206" s="60">
        <f t="shared" si="297"/>
        <v>0</v>
      </c>
      <c r="BZ206" s="60">
        <f t="shared" si="298"/>
        <v>0</v>
      </c>
      <c r="CA206" s="60">
        <f t="shared" si="299"/>
        <v>0</v>
      </c>
      <c r="CB206" s="60" t="e">
        <f t="shared" si="272"/>
        <v>#N/A</v>
      </c>
      <c r="CC206" s="60">
        <f t="shared" si="273"/>
        <v>100000</v>
      </c>
      <c r="CD206" s="60" t="e">
        <f t="shared" si="274"/>
        <v>#N/A</v>
      </c>
      <c r="CE206" s="60">
        <f t="shared" si="275"/>
        <v>100000</v>
      </c>
      <c r="CF206" s="83" t="e">
        <f t="shared" si="300"/>
        <v>#N/A</v>
      </c>
      <c r="CG206" s="83">
        <f t="shared" si="301"/>
        <v>0</v>
      </c>
      <c r="CH206" s="83" t="e">
        <f t="shared" si="302"/>
        <v>#N/A</v>
      </c>
      <c r="CI206" s="83">
        <f t="shared" si="303"/>
        <v>0</v>
      </c>
      <c r="CJ206" s="86" t="e">
        <f t="shared" si="276"/>
        <v>#N/A</v>
      </c>
      <c r="CK206" s="82">
        <f t="shared" si="277"/>
        <v>5.3070370403969858E-3</v>
      </c>
      <c r="CL206" s="82" t="e">
        <f t="shared" si="278"/>
        <v>#N/A</v>
      </c>
      <c r="CM206" s="82">
        <f t="shared" si="279"/>
        <v>5.3070370403969858E-3</v>
      </c>
      <c r="CO206" s="149" t="str">
        <f>IF($I206&lt;&gt;"",IF(O206="User Specified",U206,INDEX('Refrigerant GWPs'!$G$2:$G$156,MATCH(O206,'Refrigerant GWPs'!$A$2:$A$156,0))),"")</f>
        <v/>
      </c>
      <c r="CP206" s="138" t="str">
        <f>IF($I206&lt;&gt;"",INDEX('Device Refrigerant Leakage'!$E$2:$E$42,MATCH($M206,'Device Refrigerant Leakage'!$B$2:$B$42,0)),"")</f>
        <v/>
      </c>
      <c r="CQ206" s="138" t="str">
        <f>IF($I206&lt;&gt;"",INDEX('Device Refrigerant Leakage'!$F$2:$F$42,MATCH($M206,'Device Refrigerant Leakage'!$B$2:$B$42,0)),"")</f>
        <v/>
      </c>
      <c r="CR206" s="145" t="str">
        <f>IF($I206&lt;&gt;"",INDEX('Device Refrigerant Leakage'!$G$2:$G$42,MATCH($M206,'Device Refrigerant Leakage'!$B$2:$B$42,0)),"")</f>
        <v/>
      </c>
      <c r="CS206" s="145" t="str">
        <f>IF($I206&lt;&gt;"",INDEX('Device Refrigerant Leakage'!$D$2:$D$42,MATCH($M206,'Device Refrigerant Leakage'!$B$2:$B$42,0))*CP206/2204.62*CO206,"")</f>
        <v/>
      </c>
      <c r="CT206" s="145" t="str">
        <f>IF($I206&lt;&gt;"",J206*(INDEX('Device Refrigerant Leakage'!$D$2:$D$42,MATCH($M206,'Device Refrigerant Leakage'!$B$2:$B$42,0))-(INDEX('Device Refrigerant Leakage'!$D$2:$D$42,MATCH($M206,'Device Refrigerant Leakage'!$B$2:$B$42,0)))*CR206*CP206)*CQ206/2204.62*CO206,"")</f>
        <v/>
      </c>
      <c r="CU206" s="135" t="str">
        <f>IF($I206&lt;&gt;"",J206*IF(W206&lt;&gt;"AR",(CS206*K206)+CT206,(CS206*AB206)+CT206*(AB206/INDEX('Device Refrigerant Leakage'!$C$2:$C$42,MATCH($M206,'Device Refrigerant Leakage'!$B$2:$B$42,0)))),"")</f>
        <v/>
      </c>
      <c r="CW206" s="135" t="str">
        <f>IF($I206&lt;&gt;"",IF(S206="User Specified",V206,INDEX('Refrigerant GWPs'!$G$2:$G$156,MATCH(S206,'Refrigerant GWPs'!$A$2:$A$157,0))),"")</f>
        <v/>
      </c>
      <c r="CX206" s="138" t="str">
        <f>IF($I206&lt;&gt;"",INDEX('Device Refrigerant Leakage'!$E$2:$E$42,MATCH($Q206,'Device Refrigerant Leakage'!$B$2:$B$42,0)),"")</f>
        <v/>
      </c>
      <c r="CY206" s="138" t="str">
        <f>IF($I206&lt;&gt;"",INDEX('Device Refrigerant Leakage'!$F$2:$F$42,MATCH($Q206,'Device Refrigerant Leakage'!$B$2:$B$42,0)),"")</f>
        <v/>
      </c>
      <c r="CZ206" s="145" t="str">
        <f>IF($I206&lt;&gt;"",INDEX('Device Refrigerant Leakage'!$G$2:$G$42,MATCH($Q206,'Device Refrigerant Leakage'!$B$2:$B$42,0)),"")</f>
        <v/>
      </c>
      <c r="DA206" s="145" t="str">
        <f>IF($I206&lt;&gt;"",J206*INDEX('Device Refrigerant Leakage'!$D$2:$D$42,MATCH($Q206,'Device Refrigerant Leakage'!$B$2:$B$42,0))*CX206/2204.62*CW206,"")</f>
        <v/>
      </c>
      <c r="DB206" s="145" t="str">
        <f>IF($I206&lt;&gt;"",J206*(INDEX('Device Refrigerant Leakage'!$D$2:$D$42,MATCH($Q206,'Device Refrigerant Leakage'!$B$2:$B$42,0))-(INDEX('Device Refrigerant Leakage'!$D$2:$D$42,MATCH($Q206,'Device Refrigerant Leakage'!$B$2:$B$42,0)))*CZ206*CX206)*CY206/2204.62*CW206,"")</f>
        <v/>
      </c>
      <c r="DC206" s="135" t="str">
        <f t="shared" si="244"/>
        <v/>
      </c>
      <c r="DE206" s="146" t="str">
        <f>IF(W206&lt;&gt;"AR","",IF(Y206="User Specified", AA206, INDEX('Refrigerant GWPs'!$G$2:$G$154,MATCH(Y206,'Refrigerant GWPs'!$A$2:$A$154,0))))</f>
        <v/>
      </c>
      <c r="DF206" s="146" t="str">
        <f>IF(W206&lt;&gt;"AR","",INDEX('Device Refrigerant Leakage'!$E$2:$E$42,MATCH(X206,'Device Refrigerant Leakage'!$B$2:$B$42,0)))</f>
        <v/>
      </c>
      <c r="DG206" s="146" t="str">
        <f>IF(W206&lt;&gt;"AR","",INDEX('Device Refrigerant Leakage'!$F$2:$F$42,MATCH(X206,'Device Refrigerant Leakage'!$B$2:$B$42,0)))</f>
        <v/>
      </c>
      <c r="DH206" s="146" t="str">
        <f>IF(W206&lt;&gt;"AR","",INDEX('Device Refrigerant Leakage'!$G$2:$G$42,MATCH(X206,'Device Refrigerant Leakage'!$B$2:$B$42,0)))</f>
        <v/>
      </c>
      <c r="DI206" s="146" t="str">
        <f>IF(W206&lt;&gt;"AR","",J206*INDEX('Device Refrigerant Leakage'!$D$2:$D$42,MATCH(X206,'Device Refrigerant Leakage'!$B$2:$B$42,0))*DF206/2204.62*DE206)</f>
        <v/>
      </c>
      <c r="DJ206" s="146" t="str">
        <f>IF(W206&lt;&gt;"AR","",J206*(INDEX('Device Refrigerant Leakage'!$D$2:$D$42,MATCH(X206,'Device Refrigerant Leakage'!$B$2:$B$42,0))-(INDEX('Device Refrigerant Leakage'!$D$2:$D$42,MATCH(X206,'Device Refrigerant Leakage'!$B$2:$B$42,0)))*DH206*DF206)*DG206/2204.62*DE206)</f>
        <v/>
      </c>
      <c r="DK206" s="146" t="str">
        <f>IF(W206&lt;&gt;"AR","",DI206*(K206-AB206)+'Fuel Sub Calcs-Deemed'!DJ206*((K206-AB206)/INDEX('Device Refrigerant Leakage'!$C$2:$C$42,MATCH('Fuel Sub Calcs-Deemed'!X206,'Device Refrigerant Leakage'!$B$2:$B$42,0))))</f>
        <v/>
      </c>
      <c r="DM206" s="56">
        <v>192</v>
      </c>
      <c r="DN206" s="67" t="e">
        <f t="shared" si="224"/>
        <v>#N/A</v>
      </c>
      <c r="DO206" s="45" t="e">
        <f t="shared" si="225"/>
        <v>#N/A</v>
      </c>
      <c r="DP206" s="67" t="e">
        <f t="shared" si="226"/>
        <v>#N/A</v>
      </c>
      <c r="DQ206" s="45" t="e">
        <f t="shared" si="227"/>
        <v>#N/A</v>
      </c>
      <c r="DR206" s="69" t="e">
        <f t="shared" si="228"/>
        <v>#N/A</v>
      </c>
      <c r="DS206" s="34"/>
      <c r="DT206" s="67" t="e">
        <f>((BX206*CJ206)+IF($W206=MAT_AR,(BZ206*CL206),0))*(1+Reference!$E$50+Reference!$E$51)</f>
        <v>#N/A</v>
      </c>
      <c r="DU206" s="67">
        <f>((BY206*CK206)+IF($W206=MAT_AR,(CA206*CM206),0))*(1+Reference!$G$50+Reference!$G$51)</f>
        <v>0</v>
      </c>
      <c r="DV206" s="67" t="e">
        <f t="shared" si="229"/>
        <v>#VALUE!</v>
      </c>
      <c r="DX206" s="56">
        <v>192</v>
      </c>
      <c r="DY206" s="67">
        <f t="shared" si="230"/>
        <v>0</v>
      </c>
      <c r="DZ206" s="45" t="e">
        <f>VLOOKUP($R206,Dropdown!$C$3:$D$4,2,FALSE)</f>
        <v>#N/A</v>
      </c>
      <c r="EA206" s="68">
        <f t="shared" si="231"/>
        <v>0</v>
      </c>
      <c r="EB206" s="68" t="str">
        <f t="shared" si="232"/>
        <v>N/A</v>
      </c>
      <c r="EC206" s="68">
        <f t="shared" si="233"/>
        <v>0</v>
      </c>
      <c r="ED206" s="68" t="str">
        <f t="shared" si="280"/>
        <v>N/A</v>
      </c>
      <c r="EF206" s="56">
        <v>192</v>
      </c>
      <c r="EG206" s="46">
        <f t="shared" si="235"/>
        <v>0</v>
      </c>
      <c r="EH206" s="68" t="e">
        <f t="shared" si="236"/>
        <v>#N/A</v>
      </c>
      <c r="EI206" s="68" t="e">
        <f t="shared" si="237"/>
        <v>#N/A</v>
      </c>
      <c r="EJ206" s="68" t="e">
        <f t="shared" si="238"/>
        <v>#N/A</v>
      </c>
      <c r="EK206" s="68" t="e">
        <f t="shared" si="239"/>
        <v>#N/A</v>
      </c>
      <c r="EL206" s="46">
        <f t="shared" si="240"/>
        <v>0</v>
      </c>
      <c r="EM206" s="46">
        <f t="shared" si="241"/>
        <v>0</v>
      </c>
    </row>
    <row r="207" spans="1:143">
      <c r="A207" s="89"/>
      <c r="B207" s="89"/>
      <c r="C207" s="89"/>
      <c r="D207" s="89"/>
      <c r="E207" s="89"/>
      <c r="F207" s="89"/>
      <c r="G207" s="34"/>
      <c r="H207" s="56">
        <f t="shared" si="242"/>
        <v>193</v>
      </c>
      <c r="I207" s="165"/>
      <c r="J207" s="163"/>
      <c r="K207" s="163"/>
      <c r="L207" s="164"/>
      <c r="M207" s="155"/>
      <c r="N207" s="155"/>
      <c r="O207" s="144"/>
      <c r="P207" s="159" t="str">
        <f>IFERROR(IF(O207&lt;&gt;"User Specified",IF(O207&lt;&gt;"", INDEX('Refrigerant GWPs'!$G$2:$G$154,MATCH(O207,'Refrigerant GWPs'!$A$2:$A$154,0)),""),U207),0)</f>
        <v/>
      </c>
      <c r="Q207" s="155"/>
      <c r="R207" s="155"/>
      <c r="S207" s="144"/>
      <c r="T207" s="159" t="str">
        <f>IF(S207&lt;&gt;"User Specified",IF(AND(S207&lt;&gt;"User Specified",S207&lt;&gt;""), INDEX('Refrigerant GWPs'!$G$2:$G$154,MATCH(S207,'Refrigerant GWPs'!$A$2:$A$154,0)),""),V207)</f>
        <v/>
      </c>
      <c r="U207" s="144"/>
      <c r="V207" s="144"/>
      <c r="W207" s="155"/>
      <c r="X207" s="155"/>
      <c r="Y207" s="144"/>
      <c r="Z207" s="159" t="str">
        <f>IF(AND(Y207&lt;&gt;"User Specified",Y207&lt;&gt;""), INDEX('Refrigerant GWPs'!$G$2:$G$154,MATCH(Y207,'Refrigerant GWPs'!$A$2:$A$154,0)),"")</f>
        <v/>
      </c>
      <c r="AA207" s="155"/>
      <c r="AB207" s="156"/>
      <c r="AC207" s="66"/>
      <c r="AD207" s="66"/>
      <c r="AE207" s="66"/>
      <c r="AF207" s="66"/>
      <c r="AG207" s="66"/>
      <c r="AH207" s="66"/>
      <c r="AI207" s="34"/>
      <c r="AJ207" s="88">
        <f t="shared" ref="AJ207:AJ270" si="304">IF($W207=MAT_AR,AC207,AF207)</f>
        <v>0</v>
      </c>
      <c r="AK207" s="88">
        <f t="shared" ref="AK207:AK270" si="305">IF($W207=MAT_AR,AE207,AH207)</f>
        <v>0</v>
      </c>
      <c r="AL207" s="88">
        <v>0</v>
      </c>
      <c r="AM207" s="88">
        <v>0</v>
      </c>
      <c r="AN207" s="81" t="str">
        <f t="shared" si="243"/>
        <v/>
      </c>
      <c r="AO207" s="88">
        <f t="shared" ref="AO207:AO270" si="306">IF($W207=MAT_AR,AF207,0)</f>
        <v>0</v>
      </c>
      <c r="AP207" s="88">
        <f t="shared" ref="AP207:AP270" si="307">IF($W207=MAT_AR,AH207,0)</f>
        <v>0</v>
      </c>
      <c r="AQ207" s="81" t="str">
        <f t="shared" ref="AQ207:AQ270" si="308">IF(AND(W207=MAT_AR,OR(BK207:BL207)),"Warning: Need to enter baseline and measure consumption","")</f>
        <v/>
      </c>
      <c r="AS207" s="41" t="b">
        <f t="shared" ref="AS207:AS270" si="309">NOT(W207=MAT_AR)</f>
        <v>1</v>
      </c>
      <c r="AT207" s="38">
        <f t="shared" ref="AT207:AT270" si="310">IF(W207=MAT_AR,AB207,K207)</f>
        <v>0</v>
      </c>
      <c r="AU207" s="60">
        <f t="shared" ref="AU207:AU270" si="311">K207-AT207</f>
        <v>0</v>
      </c>
      <c r="AV207" s="41">
        <f t="shared" ref="AV207:AV270" si="312">IF(W207=MAT_AR,AB207,0)</f>
        <v>0</v>
      </c>
      <c r="AW207" s="41" t="b">
        <f t="shared" ref="AW207:AW270" si="313">AND(NOT(ISBLANK(I207)),NOT(ISBLANK(J207)),NOT(ISBLANK(K207)),NOT(ISBLANK(L207)),NOT(ISBLANK(N207)),NOT(ISBLANK(R207)),NOT(OR(BC207:BD207)),NOT(ISBLANK(W207)))</f>
        <v>0</v>
      </c>
      <c r="AX207" t="str">
        <f t="shared" ref="AX207:AX270" si="314">$L207&amp;"+"&amp;TEXT(ROUND($AT207,0),"00")</f>
        <v>+00</v>
      </c>
      <c r="AY207" t="str">
        <f t="shared" ref="AY207:AY270" si="315">TEXT(ROUND($L207+$AT207,0),"#")&amp;"+"&amp;TEXT(ROUND($AU207,0),"00")</f>
        <v>+00</v>
      </c>
      <c r="BA207" s="47" t="b">
        <f t="shared" si="281"/>
        <v>1</v>
      </c>
      <c r="BB207" s="42" t="b">
        <f t="shared" si="282"/>
        <v>1</v>
      </c>
      <c r="BC207" s="42" t="b">
        <f t="shared" si="283"/>
        <v>0</v>
      </c>
      <c r="BD207" s="42" t="b">
        <f t="shared" si="284"/>
        <v>0</v>
      </c>
      <c r="BE207" s="70">
        <f t="shared" si="285"/>
        <v>0</v>
      </c>
      <c r="BF207" s="70">
        <f t="shared" si="286"/>
        <v>0</v>
      </c>
      <c r="BG207" s="34"/>
      <c r="BI207" s="47" t="b">
        <f t="shared" si="287"/>
        <v>1</v>
      </c>
      <c r="BJ207" s="47" t="b">
        <f t="shared" si="288"/>
        <v>1</v>
      </c>
      <c r="BK207" s="42" t="b">
        <f t="shared" si="289"/>
        <v>0</v>
      </c>
      <c r="BL207" s="42" t="b">
        <f t="shared" si="290"/>
        <v>0</v>
      </c>
      <c r="BM207" s="42">
        <f t="shared" si="291"/>
        <v>0</v>
      </c>
      <c r="BN207" s="42">
        <f t="shared" si="292"/>
        <v>0</v>
      </c>
      <c r="BP207" t="e">
        <f t="shared" si="293"/>
        <v>#N/A</v>
      </c>
      <c r="BQ207" t="e">
        <f t="shared" si="294"/>
        <v>#N/A</v>
      </c>
      <c r="BR207" t="e">
        <f t="shared" si="295"/>
        <v>#N/A</v>
      </c>
      <c r="BT207" s="60">
        <f t="shared" ref="BT207:BT214" si="316">$J207*BE207</f>
        <v>0</v>
      </c>
      <c r="BU207" s="60">
        <f t="shared" ref="BU207:BU214" si="317">$J207*BF207</f>
        <v>0</v>
      </c>
      <c r="BV207" s="60">
        <f t="shared" ref="BV207:BV214" si="318">$J207*BM207</f>
        <v>0</v>
      </c>
      <c r="BW207" s="60">
        <f t="shared" ref="BW207:BW214" si="319">$J207*BN207</f>
        <v>0</v>
      </c>
      <c r="BX207" s="60">
        <f t="shared" si="296"/>
        <v>0</v>
      </c>
      <c r="BY207" s="60">
        <f t="shared" si="297"/>
        <v>0</v>
      </c>
      <c r="BZ207" s="60">
        <f t="shared" si="298"/>
        <v>0</v>
      </c>
      <c r="CA207" s="60">
        <f t="shared" si="299"/>
        <v>0</v>
      </c>
      <c r="CB207" s="60" t="e">
        <f t="shared" ref="CB207:CB270" si="320">INDEX(AFL_Source_Energy_Btu_per_kWh,MATCH($AX207,AFL_IndexB,0))</f>
        <v>#N/A</v>
      </c>
      <c r="CC207" s="60">
        <f t="shared" ref="CC207:CC270" si="321">Btu_therm</f>
        <v>100000</v>
      </c>
      <c r="CD207" s="60" t="e">
        <f t="shared" ref="CD207:CD270" si="322">INDEX(AFL_Source_Energy_Btu_per_kWh,MATCH($AY207,AFL_IndexB,0))</f>
        <v>#N/A</v>
      </c>
      <c r="CE207" s="60">
        <f t="shared" ref="CE207:CE270" si="323">Btu_therm</f>
        <v>100000</v>
      </c>
      <c r="CF207" s="83" t="e">
        <f t="shared" si="300"/>
        <v>#N/A</v>
      </c>
      <c r="CG207" s="83">
        <f t="shared" si="301"/>
        <v>0</v>
      </c>
      <c r="CH207" s="83" t="e">
        <f t="shared" si="302"/>
        <v>#N/A</v>
      </c>
      <c r="CI207" s="83">
        <f t="shared" si="303"/>
        <v>0</v>
      </c>
      <c r="CJ207" s="86" t="e">
        <f t="shared" ref="CJ207:CJ270" si="324">INDEX(AFL_Emissions_Intensity_metric_tonnes_per_MWh,MATCH($AX207,AFL_IndexB,0))/1000</f>
        <v>#N/A</v>
      </c>
      <c r="CK207" s="82">
        <f t="shared" ref="CK207:CK270" si="325">NG_metric_tonne_CO2_therm</f>
        <v>5.3070370403969858E-3</v>
      </c>
      <c r="CL207" s="82" t="e">
        <f t="shared" ref="CL207:CL270" si="326">INDEX(AFL_Emissions_Intensity_metric_tonnes_per_MWh,MATCH($AY207,AFL_IndexB,0))/1000</f>
        <v>#N/A</v>
      </c>
      <c r="CM207" s="82">
        <f t="shared" ref="CM207:CM270" si="327">NG_metric_tonne_CO2_therm</f>
        <v>5.3070370403969858E-3</v>
      </c>
      <c r="CO207" s="149" t="str">
        <f>IF($I207&lt;&gt;"",IF(O207="User Specified",U207,INDEX('Refrigerant GWPs'!$G$2:$G$156,MATCH(O207,'Refrigerant GWPs'!$A$2:$A$156,0))),"")</f>
        <v/>
      </c>
      <c r="CP207" s="138" t="str">
        <f>IF($I207&lt;&gt;"",INDEX('Device Refrigerant Leakage'!$E$2:$E$42,MATCH($M207,'Device Refrigerant Leakage'!$B$2:$B$42,0)),"")</f>
        <v/>
      </c>
      <c r="CQ207" s="138" t="str">
        <f>IF($I207&lt;&gt;"",INDEX('Device Refrigerant Leakage'!$F$2:$F$42,MATCH($M207,'Device Refrigerant Leakage'!$B$2:$B$42,0)),"")</f>
        <v/>
      </c>
      <c r="CR207" s="145" t="str">
        <f>IF($I207&lt;&gt;"",INDEX('Device Refrigerant Leakage'!$G$2:$G$42,MATCH($M207,'Device Refrigerant Leakage'!$B$2:$B$42,0)),"")</f>
        <v/>
      </c>
      <c r="CS207" s="145" t="str">
        <f>IF($I207&lt;&gt;"",INDEX('Device Refrigerant Leakage'!$D$2:$D$42,MATCH($M207,'Device Refrigerant Leakage'!$B$2:$B$42,0))*CP207/2204.62*CO207,"")</f>
        <v/>
      </c>
      <c r="CT207" s="145" t="str">
        <f>IF($I207&lt;&gt;"",J207*(INDEX('Device Refrigerant Leakage'!$D$2:$D$42,MATCH($M207,'Device Refrigerant Leakage'!$B$2:$B$42,0))-(INDEX('Device Refrigerant Leakage'!$D$2:$D$42,MATCH($M207,'Device Refrigerant Leakage'!$B$2:$B$42,0)))*CR207*CP207)*CQ207/2204.62*CO207,"")</f>
        <v/>
      </c>
      <c r="CU207" s="135" t="str">
        <f>IF($I207&lt;&gt;"",J207*IF(W207&lt;&gt;"AR",(CS207*K207)+CT207,(CS207*AB207)+CT207*(AB207/INDEX('Device Refrigerant Leakage'!$C$2:$C$42,MATCH($M207,'Device Refrigerant Leakage'!$B$2:$B$42,0)))),"")</f>
        <v/>
      </c>
      <c r="CW207" s="135" t="str">
        <f>IF($I207&lt;&gt;"",IF(S207="User Specified",V207,INDEX('Refrigerant GWPs'!$G$2:$G$156,MATCH(S207,'Refrigerant GWPs'!$A$2:$A$157,0))),"")</f>
        <v/>
      </c>
      <c r="CX207" s="138" t="str">
        <f>IF($I207&lt;&gt;"",INDEX('Device Refrigerant Leakage'!$E$2:$E$42,MATCH($Q207,'Device Refrigerant Leakage'!$B$2:$B$42,0)),"")</f>
        <v/>
      </c>
      <c r="CY207" s="138" t="str">
        <f>IF($I207&lt;&gt;"",INDEX('Device Refrigerant Leakage'!$F$2:$F$42,MATCH($Q207,'Device Refrigerant Leakage'!$B$2:$B$42,0)),"")</f>
        <v/>
      </c>
      <c r="CZ207" s="145" t="str">
        <f>IF($I207&lt;&gt;"",INDEX('Device Refrigerant Leakage'!$G$2:$G$42,MATCH($Q207,'Device Refrigerant Leakage'!$B$2:$B$42,0)),"")</f>
        <v/>
      </c>
      <c r="DA207" s="145" t="str">
        <f>IF($I207&lt;&gt;"",J207*INDEX('Device Refrigerant Leakage'!$D$2:$D$42,MATCH($Q207,'Device Refrigerant Leakage'!$B$2:$B$42,0))*CX207/2204.62*CW207,"")</f>
        <v/>
      </c>
      <c r="DB207" s="145" t="str">
        <f>IF($I207&lt;&gt;"",J207*(INDEX('Device Refrigerant Leakage'!$D$2:$D$42,MATCH($Q207,'Device Refrigerant Leakage'!$B$2:$B$42,0))-(INDEX('Device Refrigerant Leakage'!$D$2:$D$42,MATCH($Q207,'Device Refrigerant Leakage'!$B$2:$B$42,0)))*CZ207*CX207)*CY207/2204.62*CW207,"")</f>
        <v/>
      </c>
      <c r="DC207" s="135" t="str">
        <f t="shared" si="244"/>
        <v/>
      </c>
      <c r="DE207" s="146" t="str">
        <f>IF(W207&lt;&gt;"AR","",IF(Y207="User Specified", AA207, INDEX('Refrigerant GWPs'!$G$2:$G$154,MATCH(Y207,'Refrigerant GWPs'!$A$2:$A$154,0))))</f>
        <v/>
      </c>
      <c r="DF207" s="146" t="str">
        <f>IF(W207&lt;&gt;"AR","",INDEX('Device Refrigerant Leakage'!$E$2:$E$42,MATCH(X207,'Device Refrigerant Leakage'!$B$2:$B$42,0)))</f>
        <v/>
      </c>
      <c r="DG207" s="146" t="str">
        <f>IF(W207&lt;&gt;"AR","",INDEX('Device Refrigerant Leakage'!$F$2:$F$42,MATCH(X207,'Device Refrigerant Leakage'!$B$2:$B$42,0)))</f>
        <v/>
      </c>
      <c r="DH207" s="146" t="str">
        <f>IF(W207&lt;&gt;"AR","",INDEX('Device Refrigerant Leakage'!$G$2:$G$42,MATCH(X207,'Device Refrigerant Leakage'!$B$2:$B$42,0)))</f>
        <v/>
      </c>
      <c r="DI207" s="146" t="str">
        <f>IF(W207&lt;&gt;"AR","",J207*INDEX('Device Refrigerant Leakage'!$D$2:$D$42,MATCH(X207,'Device Refrigerant Leakage'!$B$2:$B$42,0))*DF207/2204.62*DE207)</f>
        <v/>
      </c>
      <c r="DJ207" s="146" t="str">
        <f>IF(W207&lt;&gt;"AR","",J207*(INDEX('Device Refrigerant Leakage'!$D$2:$D$42,MATCH(X207,'Device Refrigerant Leakage'!$B$2:$B$42,0))-(INDEX('Device Refrigerant Leakage'!$D$2:$D$42,MATCH(X207,'Device Refrigerant Leakage'!$B$2:$B$42,0)))*DH207*DF207)*DG207/2204.62*DE207)</f>
        <v/>
      </c>
      <c r="DK207" s="146" t="str">
        <f>IF(W207&lt;&gt;"AR","",DI207*(K207-AB207)+'Fuel Sub Calcs-Deemed'!DJ207*((K207-AB207)/INDEX('Device Refrigerant Leakage'!$C$2:$C$42,MATCH('Fuel Sub Calcs-Deemed'!X207,'Device Refrigerant Leakage'!$B$2:$B$42,0))))</f>
        <v/>
      </c>
      <c r="DM207" s="56">
        <v>193</v>
      </c>
      <c r="DN207" s="67" t="e">
        <f t="shared" ref="DN207:DN270" si="328">(CB207*BX207+BY207*CE207)/10^6+IF($W207=MAT_AR,(BZ207*CD207+CA207*CE207)/10^6,0)</f>
        <v>#N/A</v>
      </c>
      <c r="DO207" s="45" t="e">
        <f t="shared" ref="DO207:DO270" si="329">IF(BP207,"PASS","FAIL")</f>
        <v>#N/A</v>
      </c>
      <c r="DP207" s="67" t="e">
        <f t="shared" ref="DP207:DP270" si="330">(DT207+DU207+DV207)</f>
        <v>#N/A</v>
      </c>
      <c r="DQ207" s="45" t="e">
        <f t="shared" ref="DQ207:DQ270" si="331">IF(BQ207,"PASS","FAIL")</f>
        <v>#N/A</v>
      </c>
      <c r="DR207" s="69" t="e">
        <f t="shared" ref="DR207:DR270" si="332">IF(BR207,"Eligible","Not eligible")</f>
        <v>#N/A</v>
      </c>
      <c r="DS207" s="34"/>
      <c r="DT207" s="67" t="e">
        <f>((BX207*CJ207)+IF($W207=MAT_AR,(BZ207*CL207),0))*(1+Reference!$E$50+Reference!$E$51)</f>
        <v>#N/A</v>
      </c>
      <c r="DU207" s="67">
        <f>((BY207*CK207)+IF($W207=MAT_AR,(CA207*CM207),0))*(1+Reference!$G$50+Reference!$G$51)</f>
        <v>0</v>
      </c>
      <c r="DV207" s="67" t="e">
        <f t="shared" ref="DV207:DV270" si="333">IF(W207="NR",CU207-DC207,(CU207+DK207)-DC207)</f>
        <v>#VALUE!</v>
      </c>
      <c r="DX207" s="56">
        <v>193</v>
      </c>
      <c r="DY207" s="67">
        <f t="shared" ref="DY207:DY270" si="334">(Btu_per_kWh*BT207+Btu_therm*BU207)/10^6</f>
        <v>0</v>
      </c>
      <c r="DZ207" s="45" t="e">
        <f>VLOOKUP($R207,Dropdown!$C$3:$D$4,2,FALSE)</f>
        <v>#N/A</v>
      </c>
      <c r="EA207" s="68">
        <f t="shared" ref="EA207:EA270" si="335">IF($R207=fuel_electricity,$DY207*10^6/Btu_per_kWh,0)</f>
        <v>0</v>
      </c>
      <c r="EB207" s="68" t="str">
        <f t="shared" ref="EB207:EB270" si="336">IF($R207=fuel_natural_gas,$DY207/MMBtu_per_therm,"N/A")</f>
        <v>N/A</v>
      </c>
      <c r="EC207" s="68">
        <f t="shared" ref="EC207:EC270" si="337">IF($R207=fuel_electricity,"N/A",AJ207)</f>
        <v>0</v>
      </c>
      <c r="ED207" s="68" t="str">
        <f t="shared" ref="ED207:ED214" si="338">IF($R207=fuel_electricity,DY207*10^6/Btu_therm,"N/A")</f>
        <v>N/A</v>
      </c>
      <c r="EF207" s="56">
        <v>193</v>
      </c>
      <c r="EG207" s="46">
        <f t="shared" ref="EG207:EG270" si="339">J207</f>
        <v>0</v>
      </c>
      <c r="EH207" s="68" t="e">
        <f t="shared" ref="EH207:EH270" si="340">IF($BR207,BE207,0)</f>
        <v>#N/A</v>
      </c>
      <c r="EI207" s="68" t="e">
        <f t="shared" ref="EI207:EI270" si="341">IF($BR207,BF207,0)</f>
        <v>#N/A</v>
      </c>
      <c r="EJ207" s="68" t="e">
        <f t="shared" ref="EJ207:EJ270" si="342">IF($BR207,BM207,0)</f>
        <v>#N/A</v>
      </c>
      <c r="EK207" s="68" t="e">
        <f t="shared" ref="EK207:EK270" si="343">IF($BR207,BN207,0)</f>
        <v>#N/A</v>
      </c>
      <c r="EL207" s="46">
        <f t="shared" ref="EL207:EL270" si="344">K207</f>
        <v>0</v>
      </c>
      <c r="EM207" s="46">
        <f t="shared" ref="EM207:EM270" si="345">AV207</f>
        <v>0</v>
      </c>
    </row>
    <row r="208" spans="1:143">
      <c r="A208" s="89"/>
      <c r="B208" s="89"/>
      <c r="C208" s="89"/>
      <c r="D208" s="89"/>
      <c r="E208" s="89"/>
      <c r="F208" s="89"/>
      <c r="G208" s="34"/>
      <c r="H208" s="56">
        <f t="shared" ref="H208:H271" si="346">ROW($H208)-ROW($H$14)</f>
        <v>194</v>
      </c>
      <c r="I208" s="165"/>
      <c r="J208" s="163"/>
      <c r="K208" s="163"/>
      <c r="L208" s="164"/>
      <c r="M208" s="155"/>
      <c r="N208" s="155"/>
      <c r="O208" s="144"/>
      <c r="P208" s="159" t="str">
        <f>IFERROR(IF(O208&lt;&gt;"User Specified",IF(O208&lt;&gt;"", INDEX('Refrigerant GWPs'!$G$2:$G$154,MATCH(O208,'Refrigerant GWPs'!$A$2:$A$154,0)),""),U208),0)</f>
        <v/>
      </c>
      <c r="Q208" s="155"/>
      <c r="R208" s="155"/>
      <c r="S208" s="144"/>
      <c r="T208" s="159" t="str">
        <f>IF(S208&lt;&gt;"User Specified",IF(AND(S208&lt;&gt;"User Specified",S208&lt;&gt;""), INDEX('Refrigerant GWPs'!$G$2:$G$154,MATCH(S208,'Refrigerant GWPs'!$A$2:$A$154,0)),""),V208)</f>
        <v/>
      </c>
      <c r="U208" s="144"/>
      <c r="V208" s="144"/>
      <c r="W208" s="155"/>
      <c r="X208" s="155"/>
      <c r="Y208" s="144"/>
      <c r="Z208" s="159" t="str">
        <f>IF(AND(Y208&lt;&gt;"User Specified",Y208&lt;&gt;""), INDEX('Refrigerant GWPs'!$G$2:$G$154,MATCH(Y208,'Refrigerant GWPs'!$A$2:$A$154,0)),"")</f>
        <v/>
      </c>
      <c r="AA208" s="155"/>
      <c r="AB208" s="156"/>
      <c r="AC208" s="66"/>
      <c r="AD208" s="66"/>
      <c r="AE208" s="66"/>
      <c r="AF208" s="66"/>
      <c r="AG208" s="66"/>
      <c r="AH208" s="66"/>
      <c r="AI208" s="34"/>
      <c r="AJ208" s="88">
        <f t="shared" si="304"/>
        <v>0</v>
      </c>
      <c r="AK208" s="88">
        <f t="shared" si="305"/>
        <v>0</v>
      </c>
      <c r="AL208" s="88">
        <v>0</v>
      </c>
      <c r="AM208" s="88">
        <v>0</v>
      </c>
      <c r="AN208" s="81" t="str">
        <f t="shared" ref="AN208:AN214" si="347">IF(OR(BC208:BD208),"Warning: Need to enter baseline and measure consumption","")</f>
        <v/>
      </c>
      <c r="AO208" s="88">
        <f t="shared" si="306"/>
        <v>0</v>
      </c>
      <c r="AP208" s="88">
        <f t="shared" si="307"/>
        <v>0</v>
      </c>
      <c r="AQ208" s="81" t="str">
        <f t="shared" si="308"/>
        <v/>
      </c>
      <c r="AS208" s="41" t="b">
        <f t="shared" si="309"/>
        <v>1</v>
      </c>
      <c r="AT208" s="38">
        <f t="shared" si="310"/>
        <v>0</v>
      </c>
      <c r="AU208" s="60">
        <f t="shared" si="311"/>
        <v>0</v>
      </c>
      <c r="AV208" s="41">
        <f t="shared" si="312"/>
        <v>0</v>
      </c>
      <c r="AW208" s="41" t="b">
        <f t="shared" si="313"/>
        <v>0</v>
      </c>
      <c r="AX208" t="str">
        <f t="shared" si="314"/>
        <v>+00</v>
      </c>
      <c r="AY208" t="str">
        <f t="shared" si="315"/>
        <v>+00</v>
      </c>
      <c r="BA208" s="47" t="b">
        <f t="shared" si="281"/>
        <v>1</v>
      </c>
      <c r="BB208" s="42" t="b">
        <f t="shared" si="282"/>
        <v>1</v>
      </c>
      <c r="BC208" s="42" t="b">
        <f t="shared" si="283"/>
        <v>0</v>
      </c>
      <c r="BD208" s="42" t="b">
        <f t="shared" si="284"/>
        <v>0</v>
      </c>
      <c r="BE208" s="70">
        <f t="shared" si="285"/>
        <v>0</v>
      </c>
      <c r="BF208" s="70">
        <f t="shared" si="286"/>
        <v>0</v>
      </c>
      <c r="BG208" s="34"/>
      <c r="BI208" s="47" t="b">
        <f t="shared" si="287"/>
        <v>1</v>
      </c>
      <c r="BJ208" s="47" t="b">
        <f t="shared" si="288"/>
        <v>1</v>
      </c>
      <c r="BK208" s="42" t="b">
        <f t="shared" si="289"/>
        <v>0</v>
      </c>
      <c r="BL208" s="42" t="b">
        <f t="shared" si="290"/>
        <v>0</v>
      </c>
      <c r="BM208" s="42">
        <f t="shared" si="291"/>
        <v>0</v>
      </c>
      <c r="BN208" s="42">
        <f t="shared" si="292"/>
        <v>0</v>
      </c>
      <c r="BP208" t="e">
        <f t="shared" si="293"/>
        <v>#N/A</v>
      </c>
      <c r="BQ208" t="e">
        <f t="shared" si="294"/>
        <v>#N/A</v>
      </c>
      <c r="BR208" t="e">
        <f t="shared" si="295"/>
        <v>#N/A</v>
      </c>
      <c r="BT208" s="60">
        <f t="shared" si="316"/>
        <v>0</v>
      </c>
      <c r="BU208" s="60">
        <f t="shared" si="317"/>
        <v>0</v>
      </c>
      <c r="BV208" s="60">
        <f t="shared" si="318"/>
        <v>0</v>
      </c>
      <c r="BW208" s="60">
        <f t="shared" si="319"/>
        <v>0</v>
      </c>
      <c r="BX208" s="60">
        <f t="shared" si="296"/>
        <v>0</v>
      </c>
      <c r="BY208" s="60">
        <f t="shared" si="297"/>
        <v>0</v>
      </c>
      <c r="BZ208" s="60">
        <f t="shared" si="298"/>
        <v>0</v>
      </c>
      <c r="CA208" s="60">
        <f t="shared" si="299"/>
        <v>0</v>
      </c>
      <c r="CB208" s="60" t="e">
        <f t="shared" si="320"/>
        <v>#N/A</v>
      </c>
      <c r="CC208" s="60">
        <f t="shared" si="321"/>
        <v>100000</v>
      </c>
      <c r="CD208" s="60" t="e">
        <f t="shared" si="322"/>
        <v>#N/A</v>
      </c>
      <c r="CE208" s="60">
        <f t="shared" si="323"/>
        <v>100000</v>
      </c>
      <c r="CF208" s="83" t="e">
        <f t="shared" si="300"/>
        <v>#N/A</v>
      </c>
      <c r="CG208" s="83">
        <f t="shared" si="301"/>
        <v>0</v>
      </c>
      <c r="CH208" s="83" t="e">
        <f t="shared" si="302"/>
        <v>#N/A</v>
      </c>
      <c r="CI208" s="83">
        <f t="shared" si="303"/>
        <v>0</v>
      </c>
      <c r="CJ208" s="86" t="e">
        <f t="shared" si="324"/>
        <v>#N/A</v>
      </c>
      <c r="CK208" s="82">
        <f t="shared" si="325"/>
        <v>5.3070370403969858E-3</v>
      </c>
      <c r="CL208" s="82" t="e">
        <f t="shared" si="326"/>
        <v>#N/A</v>
      </c>
      <c r="CM208" s="82">
        <f t="shared" si="327"/>
        <v>5.3070370403969858E-3</v>
      </c>
      <c r="CO208" s="149" t="str">
        <f>IF($I208&lt;&gt;"",IF(O208="User Specified",U208,INDEX('Refrigerant GWPs'!$G$2:$G$156,MATCH(O208,'Refrigerant GWPs'!$A$2:$A$156,0))),"")</f>
        <v/>
      </c>
      <c r="CP208" s="138" t="str">
        <f>IF($I208&lt;&gt;"",INDEX('Device Refrigerant Leakage'!$E$2:$E$42,MATCH($M208,'Device Refrigerant Leakage'!$B$2:$B$42,0)),"")</f>
        <v/>
      </c>
      <c r="CQ208" s="138" t="str">
        <f>IF($I208&lt;&gt;"",INDEX('Device Refrigerant Leakage'!$F$2:$F$42,MATCH($M208,'Device Refrigerant Leakage'!$B$2:$B$42,0)),"")</f>
        <v/>
      </c>
      <c r="CR208" s="145" t="str">
        <f>IF($I208&lt;&gt;"",INDEX('Device Refrigerant Leakage'!$G$2:$G$42,MATCH($M208,'Device Refrigerant Leakage'!$B$2:$B$42,0)),"")</f>
        <v/>
      </c>
      <c r="CS208" s="145" t="str">
        <f>IF($I208&lt;&gt;"",INDEX('Device Refrigerant Leakage'!$D$2:$D$42,MATCH($M208,'Device Refrigerant Leakage'!$B$2:$B$42,0))*CP208/2204.62*CO208,"")</f>
        <v/>
      </c>
      <c r="CT208" s="145" t="str">
        <f>IF($I208&lt;&gt;"",J208*(INDEX('Device Refrigerant Leakage'!$D$2:$D$42,MATCH($M208,'Device Refrigerant Leakage'!$B$2:$B$42,0))-(INDEX('Device Refrigerant Leakage'!$D$2:$D$42,MATCH($M208,'Device Refrigerant Leakage'!$B$2:$B$42,0)))*CR208*CP208)*CQ208/2204.62*CO208,"")</f>
        <v/>
      </c>
      <c r="CU208" s="135" t="str">
        <f>IF($I208&lt;&gt;"",J208*IF(W208&lt;&gt;"AR",(CS208*K208)+CT208,(CS208*AB208)+CT208*(AB208/INDEX('Device Refrigerant Leakage'!$C$2:$C$42,MATCH($M208,'Device Refrigerant Leakage'!$B$2:$B$42,0)))),"")</f>
        <v/>
      </c>
      <c r="CW208" s="135" t="str">
        <f>IF($I208&lt;&gt;"",IF(S208="User Specified",V208,INDEX('Refrigerant GWPs'!$G$2:$G$156,MATCH(S208,'Refrigerant GWPs'!$A$2:$A$157,0))),"")</f>
        <v/>
      </c>
      <c r="CX208" s="138" t="str">
        <f>IF($I208&lt;&gt;"",INDEX('Device Refrigerant Leakage'!$E$2:$E$42,MATCH($Q208,'Device Refrigerant Leakage'!$B$2:$B$42,0)),"")</f>
        <v/>
      </c>
      <c r="CY208" s="138" t="str">
        <f>IF($I208&lt;&gt;"",INDEX('Device Refrigerant Leakage'!$F$2:$F$42,MATCH($Q208,'Device Refrigerant Leakage'!$B$2:$B$42,0)),"")</f>
        <v/>
      </c>
      <c r="CZ208" s="145" t="str">
        <f>IF($I208&lt;&gt;"",INDEX('Device Refrigerant Leakage'!$G$2:$G$42,MATCH($Q208,'Device Refrigerant Leakage'!$B$2:$B$42,0)),"")</f>
        <v/>
      </c>
      <c r="DA208" s="145" t="str">
        <f>IF($I208&lt;&gt;"",J208*INDEX('Device Refrigerant Leakage'!$D$2:$D$42,MATCH($Q208,'Device Refrigerant Leakage'!$B$2:$B$42,0))*CX208/2204.62*CW208,"")</f>
        <v/>
      </c>
      <c r="DB208" s="145" t="str">
        <f>IF($I208&lt;&gt;"",J208*(INDEX('Device Refrigerant Leakage'!$D$2:$D$42,MATCH($Q208,'Device Refrigerant Leakage'!$B$2:$B$42,0))-(INDEX('Device Refrigerant Leakage'!$D$2:$D$42,MATCH($Q208,'Device Refrigerant Leakage'!$B$2:$B$42,0)))*CZ208*CX208)*CY208/2204.62*CW208,"")</f>
        <v/>
      </c>
      <c r="DC208" s="135" t="str">
        <f t="shared" ref="DC208:DC271" si="348">IF($I208&lt;&gt;"",(DA208*K208)+DB208,"")</f>
        <v/>
      </c>
      <c r="DE208" s="146" t="str">
        <f>IF(W208&lt;&gt;"AR","",IF(Y208="User Specified", AA208, INDEX('Refrigerant GWPs'!$G$2:$G$154,MATCH(Y208,'Refrigerant GWPs'!$A$2:$A$154,0))))</f>
        <v/>
      </c>
      <c r="DF208" s="146" t="str">
        <f>IF(W208&lt;&gt;"AR","",INDEX('Device Refrigerant Leakage'!$E$2:$E$42,MATCH(X208,'Device Refrigerant Leakage'!$B$2:$B$42,0)))</f>
        <v/>
      </c>
      <c r="DG208" s="146" t="str">
        <f>IF(W208&lt;&gt;"AR","",INDEX('Device Refrigerant Leakage'!$F$2:$F$42,MATCH(X208,'Device Refrigerant Leakage'!$B$2:$B$42,0)))</f>
        <v/>
      </c>
      <c r="DH208" s="146" t="str">
        <f>IF(W208&lt;&gt;"AR","",INDEX('Device Refrigerant Leakage'!$G$2:$G$42,MATCH(X208,'Device Refrigerant Leakage'!$B$2:$B$42,0)))</f>
        <v/>
      </c>
      <c r="DI208" s="146" t="str">
        <f>IF(W208&lt;&gt;"AR","",J208*INDEX('Device Refrigerant Leakage'!$D$2:$D$42,MATCH(X208,'Device Refrigerant Leakage'!$B$2:$B$42,0))*DF208/2204.62*DE208)</f>
        <v/>
      </c>
      <c r="DJ208" s="146" t="str">
        <f>IF(W208&lt;&gt;"AR","",J208*(INDEX('Device Refrigerant Leakage'!$D$2:$D$42,MATCH(X208,'Device Refrigerant Leakage'!$B$2:$B$42,0))-(INDEX('Device Refrigerant Leakage'!$D$2:$D$42,MATCH(X208,'Device Refrigerant Leakage'!$B$2:$B$42,0)))*DH208*DF208)*DG208/2204.62*DE208)</f>
        <v/>
      </c>
      <c r="DK208" s="146" t="str">
        <f>IF(W208&lt;&gt;"AR","",DI208*(K208-AB208)+'Fuel Sub Calcs-Deemed'!DJ208*((K208-AB208)/INDEX('Device Refrigerant Leakage'!$C$2:$C$42,MATCH('Fuel Sub Calcs-Deemed'!X208,'Device Refrigerant Leakage'!$B$2:$B$42,0))))</f>
        <v/>
      </c>
      <c r="DM208" s="56">
        <v>194</v>
      </c>
      <c r="DN208" s="67" t="e">
        <f t="shared" si="328"/>
        <v>#N/A</v>
      </c>
      <c r="DO208" s="45" t="e">
        <f t="shared" si="329"/>
        <v>#N/A</v>
      </c>
      <c r="DP208" s="67" t="e">
        <f t="shared" si="330"/>
        <v>#N/A</v>
      </c>
      <c r="DQ208" s="45" t="e">
        <f t="shared" si="331"/>
        <v>#N/A</v>
      </c>
      <c r="DR208" s="69" t="e">
        <f t="shared" si="332"/>
        <v>#N/A</v>
      </c>
      <c r="DS208" s="34"/>
      <c r="DT208" s="67" t="e">
        <f>((BX208*CJ208)+IF($W208=MAT_AR,(BZ208*CL208),0))*(1+Reference!$E$50+Reference!$E$51)</f>
        <v>#N/A</v>
      </c>
      <c r="DU208" s="67">
        <f>((BY208*CK208)+IF($W208=MAT_AR,(CA208*CM208),0))*(1+Reference!$G$50+Reference!$G$51)</f>
        <v>0</v>
      </c>
      <c r="DV208" s="67" t="e">
        <f t="shared" si="333"/>
        <v>#VALUE!</v>
      </c>
      <c r="DX208" s="56">
        <v>194</v>
      </c>
      <c r="DY208" s="67">
        <f t="shared" si="334"/>
        <v>0</v>
      </c>
      <c r="DZ208" s="45" t="e">
        <f>VLOOKUP($R208,Dropdown!$C$3:$D$4,2,FALSE)</f>
        <v>#N/A</v>
      </c>
      <c r="EA208" s="68">
        <f t="shared" si="335"/>
        <v>0</v>
      </c>
      <c r="EB208" s="68" t="str">
        <f t="shared" si="336"/>
        <v>N/A</v>
      </c>
      <c r="EC208" s="68">
        <f t="shared" si="337"/>
        <v>0</v>
      </c>
      <c r="ED208" s="68" t="str">
        <f t="shared" si="338"/>
        <v>N/A</v>
      </c>
      <c r="EF208" s="56">
        <v>194</v>
      </c>
      <c r="EG208" s="46">
        <f t="shared" si="339"/>
        <v>0</v>
      </c>
      <c r="EH208" s="68" t="e">
        <f t="shared" si="340"/>
        <v>#N/A</v>
      </c>
      <c r="EI208" s="68" t="e">
        <f t="shared" si="341"/>
        <v>#N/A</v>
      </c>
      <c r="EJ208" s="68" t="e">
        <f t="shared" si="342"/>
        <v>#N/A</v>
      </c>
      <c r="EK208" s="68" t="e">
        <f t="shared" si="343"/>
        <v>#N/A</v>
      </c>
      <c r="EL208" s="46">
        <f t="shared" si="344"/>
        <v>0</v>
      </c>
      <c r="EM208" s="46">
        <f t="shared" si="345"/>
        <v>0</v>
      </c>
    </row>
    <row r="209" spans="1:143">
      <c r="A209" s="89"/>
      <c r="B209" s="89"/>
      <c r="C209" s="89"/>
      <c r="D209" s="89"/>
      <c r="E209" s="89"/>
      <c r="F209" s="89"/>
      <c r="G209" s="34"/>
      <c r="H209" s="56">
        <f t="shared" si="346"/>
        <v>195</v>
      </c>
      <c r="I209" s="165"/>
      <c r="J209" s="163"/>
      <c r="K209" s="163"/>
      <c r="L209" s="164"/>
      <c r="M209" s="155"/>
      <c r="N209" s="155"/>
      <c r="O209" s="144"/>
      <c r="P209" s="159" t="str">
        <f>IFERROR(IF(O209&lt;&gt;"User Specified",IF(O209&lt;&gt;"", INDEX('Refrigerant GWPs'!$G$2:$G$154,MATCH(O209,'Refrigerant GWPs'!$A$2:$A$154,0)),""),U209),0)</f>
        <v/>
      </c>
      <c r="Q209" s="155"/>
      <c r="R209" s="155"/>
      <c r="S209" s="144"/>
      <c r="T209" s="159" t="str">
        <f>IF(S209&lt;&gt;"User Specified",IF(AND(S209&lt;&gt;"User Specified",S209&lt;&gt;""), INDEX('Refrigerant GWPs'!$G$2:$G$154,MATCH(S209,'Refrigerant GWPs'!$A$2:$A$154,0)),""),V209)</f>
        <v/>
      </c>
      <c r="U209" s="144"/>
      <c r="V209" s="144"/>
      <c r="W209" s="155"/>
      <c r="X209" s="155"/>
      <c r="Y209" s="144"/>
      <c r="Z209" s="159" t="str">
        <f>IF(AND(Y209&lt;&gt;"User Specified",Y209&lt;&gt;""), INDEX('Refrigerant GWPs'!$G$2:$G$154,MATCH(Y209,'Refrigerant GWPs'!$A$2:$A$154,0)),"")</f>
        <v/>
      </c>
      <c r="AA209" s="155"/>
      <c r="AB209" s="156"/>
      <c r="AC209" s="66"/>
      <c r="AD209" s="66"/>
      <c r="AE209" s="66"/>
      <c r="AF209" s="66"/>
      <c r="AG209" s="66"/>
      <c r="AH209" s="66"/>
      <c r="AI209" s="34"/>
      <c r="AJ209" s="88">
        <f t="shared" si="304"/>
        <v>0</v>
      </c>
      <c r="AK209" s="88">
        <f t="shared" si="305"/>
        <v>0</v>
      </c>
      <c r="AL209" s="88">
        <v>0</v>
      </c>
      <c r="AM209" s="88">
        <v>0</v>
      </c>
      <c r="AN209" s="81" t="str">
        <f t="shared" si="347"/>
        <v/>
      </c>
      <c r="AO209" s="88">
        <f t="shared" si="306"/>
        <v>0</v>
      </c>
      <c r="AP209" s="88">
        <f t="shared" si="307"/>
        <v>0</v>
      </c>
      <c r="AQ209" s="81" t="str">
        <f t="shared" si="308"/>
        <v/>
      </c>
      <c r="AS209" s="41" t="b">
        <f t="shared" si="309"/>
        <v>1</v>
      </c>
      <c r="AT209" s="38">
        <f t="shared" si="310"/>
        <v>0</v>
      </c>
      <c r="AU209" s="60">
        <f t="shared" si="311"/>
        <v>0</v>
      </c>
      <c r="AV209" s="41">
        <f t="shared" si="312"/>
        <v>0</v>
      </c>
      <c r="AW209" s="41" t="b">
        <f t="shared" si="313"/>
        <v>0</v>
      </c>
      <c r="AX209" t="str">
        <f t="shared" si="314"/>
        <v>+00</v>
      </c>
      <c r="AY209" t="str">
        <f t="shared" si="315"/>
        <v>+00</v>
      </c>
      <c r="BA209" s="47" t="b">
        <f t="shared" si="281"/>
        <v>1</v>
      </c>
      <c r="BB209" s="42" t="b">
        <f t="shared" si="282"/>
        <v>1</v>
      </c>
      <c r="BC209" s="42" t="b">
        <f t="shared" si="283"/>
        <v>0</v>
      </c>
      <c r="BD209" s="42" t="b">
        <f t="shared" si="284"/>
        <v>0</v>
      </c>
      <c r="BE209" s="70">
        <f t="shared" si="285"/>
        <v>0</v>
      </c>
      <c r="BF209" s="70">
        <f t="shared" si="286"/>
        <v>0</v>
      </c>
      <c r="BG209" s="34"/>
      <c r="BI209" s="47" t="b">
        <f t="shared" si="287"/>
        <v>1</v>
      </c>
      <c r="BJ209" s="47" t="b">
        <f t="shared" si="288"/>
        <v>1</v>
      </c>
      <c r="BK209" s="42" t="b">
        <f t="shared" si="289"/>
        <v>0</v>
      </c>
      <c r="BL209" s="42" t="b">
        <f t="shared" si="290"/>
        <v>0</v>
      </c>
      <c r="BM209" s="42">
        <f t="shared" si="291"/>
        <v>0</v>
      </c>
      <c r="BN209" s="42">
        <f t="shared" si="292"/>
        <v>0</v>
      </c>
      <c r="BP209" t="e">
        <f t="shared" si="293"/>
        <v>#N/A</v>
      </c>
      <c r="BQ209" t="e">
        <f t="shared" si="294"/>
        <v>#N/A</v>
      </c>
      <c r="BR209" t="e">
        <f t="shared" si="295"/>
        <v>#N/A</v>
      </c>
      <c r="BT209" s="60">
        <f t="shared" si="316"/>
        <v>0</v>
      </c>
      <c r="BU209" s="60">
        <f t="shared" si="317"/>
        <v>0</v>
      </c>
      <c r="BV209" s="60">
        <f t="shared" si="318"/>
        <v>0</v>
      </c>
      <c r="BW209" s="60">
        <f t="shared" si="319"/>
        <v>0</v>
      </c>
      <c r="BX209" s="60">
        <f t="shared" si="296"/>
        <v>0</v>
      </c>
      <c r="BY209" s="60">
        <f t="shared" si="297"/>
        <v>0</v>
      </c>
      <c r="BZ209" s="60">
        <f t="shared" si="298"/>
        <v>0</v>
      </c>
      <c r="CA209" s="60">
        <f t="shared" si="299"/>
        <v>0</v>
      </c>
      <c r="CB209" s="60" t="e">
        <f t="shared" si="320"/>
        <v>#N/A</v>
      </c>
      <c r="CC209" s="60">
        <f t="shared" si="321"/>
        <v>100000</v>
      </c>
      <c r="CD209" s="60" t="e">
        <f t="shared" si="322"/>
        <v>#N/A</v>
      </c>
      <c r="CE209" s="60">
        <f t="shared" si="323"/>
        <v>100000</v>
      </c>
      <c r="CF209" s="83" t="e">
        <f t="shared" si="300"/>
        <v>#N/A</v>
      </c>
      <c r="CG209" s="83">
        <f t="shared" si="301"/>
        <v>0</v>
      </c>
      <c r="CH209" s="83" t="e">
        <f t="shared" si="302"/>
        <v>#N/A</v>
      </c>
      <c r="CI209" s="83">
        <f t="shared" si="303"/>
        <v>0</v>
      </c>
      <c r="CJ209" s="86" t="e">
        <f t="shared" si="324"/>
        <v>#N/A</v>
      </c>
      <c r="CK209" s="82">
        <f t="shared" si="325"/>
        <v>5.3070370403969858E-3</v>
      </c>
      <c r="CL209" s="82" t="e">
        <f t="shared" si="326"/>
        <v>#N/A</v>
      </c>
      <c r="CM209" s="82">
        <f t="shared" si="327"/>
        <v>5.3070370403969858E-3</v>
      </c>
      <c r="CO209" s="149" t="str">
        <f>IF($I209&lt;&gt;"",IF(O209="User Specified",U209,INDEX('Refrigerant GWPs'!$G$2:$G$156,MATCH(O209,'Refrigerant GWPs'!$A$2:$A$156,0))),"")</f>
        <v/>
      </c>
      <c r="CP209" s="138" t="str">
        <f>IF($I209&lt;&gt;"",INDEX('Device Refrigerant Leakage'!$E$2:$E$42,MATCH($M209,'Device Refrigerant Leakage'!$B$2:$B$42,0)),"")</f>
        <v/>
      </c>
      <c r="CQ209" s="138" t="str">
        <f>IF($I209&lt;&gt;"",INDEX('Device Refrigerant Leakage'!$F$2:$F$42,MATCH($M209,'Device Refrigerant Leakage'!$B$2:$B$42,0)),"")</f>
        <v/>
      </c>
      <c r="CR209" s="145" t="str">
        <f>IF($I209&lt;&gt;"",INDEX('Device Refrigerant Leakage'!$G$2:$G$42,MATCH($M209,'Device Refrigerant Leakage'!$B$2:$B$42,0)),"")</f>
        <v/>
      </c>
      <c r="CS209" s="145" t="str">
        <f>IF($I209&lt;&gt;"",INDEX('Device Refrigerant Leakage'!$D$2:$D$42,MATCH($M209,'Device Refrigerant Leakage'!$B$2:$B$42,0))*CP209/2204.62*CO209,"")</f>
        <v/>
      </c>
      <c r="CT209" s="145" t="str">
        <f>IF($I209&lt;&gt;"",J209*(INDEX('Device Refrigerant Leakage'!$D$2:$D$42,MATCH($M209,'Device Refrigerant Leakage'!$B$2:$B$42,0))-(INDEX('Device Refrigerant Leakage'!$D$2:$D$42,MATCH($M209,'Device Refrigerant Leakage'!$B$2:$B$42,0)))*CR209*CP209)*CQ209/2204.62*CO209,"")</f>
        <v/>
      </c>
      <c r="CU209" s="135" t="str">
        <f>IF($I209&lt;&gt;"",J209*IF(W209&lt;&gt;"AR",(CS209*K209)+CT209,(CS209*AB209)+CT209*(AB209/INDEX('Device Refrigerant Leakage'!$C$2:$C$42,MATCH($M209,'Device Refrigerant Leakage'!$B$2:$B$42,0)))),"")</f>
        <v/>
      </c>
      <c r="CW209" s="135" t="str">
        <f>IF($I209&lt;&gt;"",IF(S209="User Specified",V209,INDEX('Refrigerant GWPs'!$G$2:$G$156,MATCH(S209,'Refrigerant GWPs'!$A$2:$A$157,0))),"")</f>
        <v/>
      </c>
      <c r="CX209" s="138" t="str">
        <f>IF($I209&lt;&gt;"",INDEX('Device Refrigerant Leakage'!$E$2:$E$42,MATCH($Q209,'Device Refrigerant Leakage'!$B$2:$B$42,0)),"")</f>
        <v/>
      </c>
      <c r="CY209" s="138" t="str">
        <f>IF($I209&lt;&gt;"",INDEX('Device Refrigerant Leakage'!$F$2:$F$42,MATCH($Q209,'Device Refrigerant Leakage'!$B$2:$B$42,0)),"")</f>
        <v/>
      </c>
      <c r="CZ209" s="145" t="str">
        <f>IF($I209&lt;&gt;"",INDEX('Device Refrigerant Leakage'!$G$2:$G$42,MATCH($Q209,'Device Refrigerant Leakage'!$B$2:$B$42,0)),"")</f>
        <v/>
      </c>
      <c r="DA209" s="145" t="str">
        <f>IF($I209&lt;&gt;"",J209*INDEX('Device Refrigerant Leakage'!$D$2:$D$42,MATCH($Q209,'Device Refrigerant Leakage'!$B$2:$B$42,0))*CX209/2204.62*CW209,"")</f>
        <v/>
      </c>
      <c r="DB209" s="145" t="str">
        <f>IF($I209&lt;&gt;"",J209*(INDEX('Device Refrigerant Leakage'!$D$2:$D$42,MATCH($Q209,'Device Refrigerant Leakage'!$B$2:$B$42,0))-(INDEX('Device Refrigerant Leakage'!$D$2:$D$42,MATCH($Q209,'Device Refrigerant Leakage'!$B$2:$B$42,0)))*CZ209*CX209)*CY209/2204.62*CW209,"")</f>
        <v/>
      </c>
      <c r="DC209" s="135" t="str">
        <f t="shared" si="348"/>
        <v/>
      </c>
      <c r="DE209" s="146" t="str">
        <f>IF(W209&lt;&gt;"AR","",IF(Y209="User Specified", AA209, INDEX('Refrigerant GWPs'!$G$2:$G$154,MATCH(Y209,'Refrigerant GWPs'!$A$2:$A$154,0))))</f>
        <v/>
      </c>
      <c r="DF209" s="146" t="str">
        <f>IF(W209&lt;&gt;"AR","",INDEX('Device Refrigerant Leakage'!$E$2:$E$42,MATCH(X209,'Device Refrigerant Leakage'!$B$2:$B$42,0)))</f>
        <v/>
      </c>
      <c r="DG209" s="146" t="str">
        <f>IF(W209&lt;&gt;"AR","",INDEX('Device Refrigerant Leakage'!$F$2:$F$42,MATCH(X209,'Device Refrigerant Leakage'!$B$2:$B$42,0)))</f>
        <v/>
      </c>
      <c r="DH209" s="146" t="str">
        <f>IF(W209&lt;&gt;"AR","",INDEX('Device Refrigerant Leakage'!$G$2:$G$42,MATCH(X209,'Device Refrigerant Leakage'!$B$2:$B$42,0)))</f>
        <v/>
      </c>
      <c r="DI209" s="146" t="str">
        <f>IF(W209&lt;&gt;"AR","",J209*INDEX('Device Refrigerant Leakage'!$D$2:$D$42,MATCH(X209,'Device Refrigerant Leakage'!$B$2:$B$42,0))*DF209/2204.62*DE209)</f>
        <v/>
      </c>
      <c r="DJ209" s="146" t="str">
        <f>IF(W209&lt;&gt;"AR","",J209*(INDEX('Device Refrigerant Leakage'!$D$2:$D$42,MATCH(X209,'Device Refrigerant Leakage'!$B$2:$B$42,0))-(INDEX('Device Refrigerant Leakage'!$D$2:$D$42,MATCH(X209,'Device Refrigerant Leakage'!$B$2:$B$42,0)))*DH209*DF209)*DG209/2204.62*DE209)</f>
        <v/>
      </c>
      <c r="DK209" s="146" t="str">
        <f>IF(W209&lt;&gt;"AR","",DI209*(K209-AB209)+'Fuel Sub Calcs-Deemed'!DJ209*((K209-AB209)/INDEX('Device Refrigerant Leakage'!$C$2:$C$42,MATCH('Fuel Sub Calcs-Deemed'!X209,'Device Refrigerant Leakage'!$B$2:$B$42,0))))</f>
        <v/>
      </c>
      <c r="DM209" s="56">
        <v>195</v>
      </c>
      <c r="DN209" s="67" t="e">
        <f t="shared" si="328"/>
        <v>#N/A</v>
      </c>
      <c r="DO209" s="45" t="e">
        <f t="shared" si="329"/>
        <v>#N/A</v>
      </c>
      <c r="DP209" s="67" t="e">
        <f t="shared" si="330"/>
        <v>#N/A</v>
      </c>
      <c r="DQ209" s="45" t="e">
        <f t="shared" si="331"/>
        <v>#N/A</v>
      </c>
      <c r="DR209" s="69" t="e">
        <f t="shared" si="332"/>
        <v>#N/A</v>
      </c>
      <c r="DS209" s="34"/>
      <c r="DT209" s="67" t="e">
        <f>((BX209*CJ209)+IF($W209=MAT_AR,(BZ209*CL209),0))*(1+Reference!$E$50+Reference!$E$51)</f>
        <v>#N/A</v>
      </c>
      <c r="DU209" s="67">
        <f>((BY209*CK209)+IF($W209=MAT_AR,(CA209*CM209),0))*(1+Reference!$G$50+Reference!$G$51)</f>
        <v>0</v>
      </c>
      <c r="DV209" s="67" t="e">
        <f t="shared" si="333"/>
        <v>#VALUE!</v>
      </c>
      <c r="DX209" s="56">
        <v>195</v>
      </c>
      <c r="DY209" s="67">
        <f t="shared" si="334"/>
        <v>0</v>
      </c>
      <c r="DZ209" s="45" t="e">
        <f>VLOOKUP($R209,Dropdown!$C$3:$D$4,2,FALSE)</f>
        <v>#N/A</v>
      </c>
      <c r="EA209" s="68">
        <f t="shared" si="335"/>
        <v>0</v>
      </c>
      <c r="EB209" s="68" t="str">
        <f t="shared" si="336"/>
        <v>N/A</v>
      </c>
      <c r="EC209" s="68">
        <f t="shared" si="337"/>
        <v>0</v>
      </c>
      <c r="ED209" s="68" t="str">
        <f t="shared" si="338"/>
        <v>N/A</v>
      </c>
      <c r="EF209" s="56">
        <v>195</v>
      </c>
      <c r="EG209" s="46">
        <f t="shared" si="339"/>
        <v>0</v>
      </c>
      <c r="EH209" s="68" t="e">
        <f t="shared" si="340"/>
        <v>#N/A</v>
      </c>
      <c r="EI209" s="68" t="e">
        <f t="shared" si="341"/>
        <v>#N/A</v>
      </c>
      <c r="EJ209" s="68" t="e">
        <f t="shared" si="342"/>
        <v>#N/A</v>
      </c>
      <c r="EK209" s="68" t="e">
        <f t="shared" si="343"/>
        <v>#N/A</v>
      </c>
      <c r="EL209" s="46">
        <f t="shared" si="344"/>
        <v>0</v>
      </c>
      <c r="EM209" s="46">
        <f t="shared" si="345"/>
        <v>0</v>
      </c>
    </row>
    <row r="210" spans="1:143">
      <c r="A210" s="89"/>
      <c r="B210" s="89"/>
      <c r="C210" s="89"/>
      <c r="D210" s="89"/>
      <c r="E210" s="89"/>
      <c r="F210" s="89"/>
      <c r="G210" s="34"/>
      <c r="H210" s="56">
        <f t="shared" si="346"/>
        <v>196</v>
      </c>
      <c r="I210" s="165"/>
      <c r="J210" s="163"/>
      <c r="K210" s="163"/>
      <c r="L210" s="164"/>
      <c r="M210" s="155"/>
      <c r="N210" s="155"/>
      <c r="O210" s="144"/>
      <c r="P210" s="159" t="str">
        <f>IFERROR(IF(O210&lt;&gt;"User Specified",IF(O210&lt;&gt;"", INDEX('Refrigerant GWPs'!$G$2:$G$154,MATCH(O210,'Refrigerant GWPs'!$A$2:$A$154,0)),""),U210),0)</f>
        <v/>
      </c>
      <c r="Q210" s="155"/>
      <c r="R210" s="155"/>
      <c r="S210" s="144"/>
      <c r="T210" s="159" t="str">
        <f>IF(S210&lt;&gt;"User Specified",IF(AND(S210&lt;&gt;"User Specified",S210&lt;&gt;""), INDEX('Refrigerant GWPs'!$G$2:$G$154,MATCH(S210,'Refrigerant GWPs'!$A$2:$A$154,0)),""),V210)</f>
        <v/>
      </c>
      <c r="U210" s="144"/>
      <c r="V210" s="144"/>
      <c r="W210" s="155"/>
      <c r="X210" s="155"/>
      <c r="Y210" s="144"/>
      <c r="Z210" s="159" t="str">
        <f>IF(AND(Y210&lt;&gt;"User Specified",Y210&lt;&gt;""), INDEX('Refrigerant GWPs'!$G$2:$G$154,MATCH(Y210,'Refrigerant GWPs'!$A$2:$A$154,0)),"")</f>
        <v/>
      </c>
      <c r="AA210" s="155"/>
      <c r="AB210" s="156"/>
      <c r="AC210" s="66"/>
      <c r="AD210" s="66"/>
      <c r="AE210" s="66"/>
      <c r="AF210" s="66"/>
      <c r="AG210" s="66"/>
      <c r="AH210" s="66"/>
      <c r="AI210" s="34"/>
      <c r="AJ210" s="88">
        <f t="shared" si="304"/>
        <v>0</v>
      </c>
      <c r="AK210" s="88">
        <f t="shared" si="305"/>
        <v>0</v>
      </c>
      <c r="AL210" s="88">
        <v>0</v>
      </c>
      <c r="AM210" s="88">
        <v>0</v>
      </c>
      <c r="AN210" s="81" t="str">
        <f t="shared" si="347"/>
        <v/>
      </c>
      <c r="AO210" s="88">
        <f t="shared" si="306"/>
        <v>0</v>
      </c>
      <c r="AP210" s="88">
        <f t="shared" si="307"/>
        <v>0</v>
      </c>
      <c r="AQ210" s="81" t="str">
        <f t="shared" si="308"/>
        <v/>
      </c>
      <c r="AS210" s="41" t="b">
        <f t="shared" si="309"/>
        <v>1</v>
      </c>
      <c r="AT210" s="38">
        <f t="shared" si="310"/>
        <v>0</v>
      </c>
      <c r="AU210" s="60">
        <f t="shared" si="311"/>
        <v>0</v>
      </c>
      <c r="AV210" s="41">
        <f t="shared" si="312"/>
        <v>0</v>
      </c>
      <c r="AW210" s="41" t="b">
        <f t="shared" si="313"/>
        <v>0</v>
      </c>
      <c r="AX210" t="str">
        <f t="shared" si="314"/>
        <v>+00</v>
      </c>
      <c r="AY210" t="str">
        <f t="shared" si="315"/>
        <v>+00</v>
      </c>
      <c r="BA210" s="47" t="b">
        <f t="shared" si="281"/>
        <v>1</v>
      </c>
      <c r="BB210" s="42" t="b">
        <f t="shared" si="282"/>
        <v>1</v>
      </c>
      <c r="BC210" s="42" t="b">
        <f t="shared" si="283"/>
        <v>0</v>
      </c>
      <c r="BD210" s="42" t="b">
        <f t="shared" si="284"/>
        <v>0</v>
      </c>
      <c r="BE210" s="70">
        <f t="shared" si="285"/>
        <v>0</v>
      </c>
      <c r="BF210" s="70">
        <f t="shared" si="286"/>
        <v>0</v>
      </c>
      <c r="BG210" s="34"/>
      <c r="BI210" s="47" t="b">
        <f t="shared" si="287"/>
        <v>1</v>
      </c>
      <c r="BJ210" s="47" t="b">
        <f t="shared" si="288"/>
        <v>1</v>
      </c>
      <c r="BK210" s="42" t="b">
        <f t="shared" si="289"/>
        <v>0</v>
      </c>
      <c r="BL210" s="42" t="b">
        <f t="shared" si="290"/>
        <v>0</v>
      </c>
      <c r="BM210" s="42">
        <f t="shared" si="291"/>
        <v>0</v>
      </c>
      <c r="BN210" s="42">
        <f t="shared" si="292"/>
        <v>0</v>
      </c>
      <c r="BP210" t="e">
        <f t="shared" si="293"/>
        <v>#N/A</v>
      </c>
      <c r="BQ210" t="e">
        <f t="shared" si="294"/>
        <v>#N/A</v>
      </c>
      <c r="BR210" t="e">
        <f t="shared" si="295"/>
        <v>#N/A</v>
      </c>
      <c r="BT210" s="60">
        <f t="shared" si="316"/>
        <v>0</v>
      </c>
      <c r="BU210" s="60">
        <f t="shared" si="317"/>
        <v>0</v>
      </c>
      <c r="BV210" s="60">
        <f t="shared" si="318"/>
        <v>0</v>
      </c>
      <c r="BW210" s="60">
        <f t="shared" si="319"/>
        <v>0</v>
      </c>
      <c r="BX210" s="60">
        <f t="shared" si="296"/>
        <v>0</v>
      </c>
      <c r="BY210" s="60">
        <f t="shared" si="297"/>
        <v>0</v>
      </c>
      <c r="BZ210" s="60">
        <f t="shared" si="298"/>
        <v>0</v>
      </c>
      <c r="CA210" s="60">
        <f t="shared" si="299"/>
        <v>0</v>
      </c>
      <c r="CB210" s="60" t="e">
        <f t="shared" si="320"/>
        <v>#N/A</v>
      </c>
      <c r="CC210" s="60">
        <f t="shared" si="321"/>
        <v>100000</v>
      </c>
      <c r="CD210" s="60" t="e">
        <f t="shared" si="322"/>
        <v>#N/A</v>
      </c>
      <c r="CE210" s="60">
        <f t="shared" si="323"/>
        <v>100000</v>
      </c>
      <c r="CF210" s="83" t="e">
        <f t="shared" si="300"/>
        <v>#N/A</v>
      </c>
      <c r="CG210" s="83">
        <f t="shared" si="301"/>
        <v>0</v>
      </c>
      <c r="CH210" s="83" t="e">
        <f t="shared" si="302"/>
        <v>#N/A</v>
      </c>
      <c r="CI210" s="83">
        <f t="shared" si="303"/>
        <v>0</v>
      </c>
      <c r="CJ210" s="86" t="e">
        <f t="shared" si="324"/>
        <v>#N/A</v>
      </c>
      <c r="CK210" s="82">
        <f t="shared" si="325"/>
        <v>5.3070370403969858E-3</v>
      </c>
      <c r="CL210" s="82" t="e">
        <f t="shared" si="326"/>
        <v>#N/A</v>
      </c>
      <c r="CM210" s="82">
        <f t="shared" si="327"/>
        <v>5.3070370403969858E-3</v>
      </c>
      <c r="CO210" s="149" t="str">
        <f>IF($I210&lt;&gt;"",IF(O210="User Specified",U210,INDEX('Refrigerant GWPs'!$G$2:$G$156,MATCH(O210,'Refrigerant GWPs'!$A$2:$A$156,0))),"")</f>
        <v/>
      </c>
      <c r="CP210" s="138" t="str">
        <f>IF($I210&lt;&gt;"",INDEX('Device Refrigerant Leakage'!$E$2:$E$42,MATCH($M210,'Device Refrigerant Leakage'!$B$2:$B$42,0)),"")</f>
        <v/>
      </c>
      <c r="CQ210" s="138" t="str">
        <f>IF($I210&lt;&gt;"",INDEX('Device Refrigerant Leakage'!$F$2:$F$42,MATCH($M210,'Device Refrigerant Leakage'!$B$2:$B$42,0)),"")</f>
        <v/>
      </c>
      <c r="CR210" s="145" t="str">
        <f>IF($I210&lt;&gt;"",INDEX('Device Refrigerant Leakage'!$G$2:$G$42,MATCH($M210,'Device Refrigerant Leakage'!$B$2:$B$42,0)),"")</f>
        <v/>
      </c>
      <c r="CS210" s="145" t="str">
        <f>IF($I210&lt;&gt;"",INDEX('Device Refrigerant Leakage'!$D$2:$D$42,MATCH($M210,'Device Refrigerant Leakage'!$B$2:$B$42,0))*CP210/2204.62*CO210,"")</f>
        <v/>
      </c>
      <c r="CT210" s="145" t="str">
        <f>IF($I210&lt;&gt;"",J210*(INDEX('Device Refrigerant Leakage'!$D$2:$D$42,MATCH($M210,'Device Refrigerant Leakage'!$B$2:$B$42,0))-(INDEX('Device Refrigerant Leakage'!$D$2:$D$42,MATCH($M210,'Device Refrigerant Leakage'!$B$2:$B$42,0)))*CR210*CP210)*CQ210/2204.62*CO210,"")</f>
        <v/>
      </c>
      <c r="CU210" s="135" t="str">
        <f>IF($I210&lt;&gt;"",J210*IF(W210&lt;&gt;"AR",(CS210*K210)+CT210,(CS210*AB210)+CT210*(AB210/INDEX('Device Refrigerant Leakage'!$C$2:$C$42,MATCH($M210,'Device Refrigerant Leakage'!$B$2:$B$42,0)))),"")</f>
        <v/>
      </c>
      <c r="CW210" s="135" t="str">
        <f>IF($I210&lt;&gt;"",IF(S210="User Specified",V210,INDEX('Refrigerant GWPs'!$G$2:$G$156,MATCH(S210,'Refrigerant GWPs'!$A$2:$A$157,0))),"")</f>
        <v/>
      </c>
      <c r="CX210" s="138" t="str">
        <f>IF($I210&lt;&gt;"",INDEX('Device Refrigerant Leakage'!$E$2:$E$42,MATCH($Q210,'Device Refrigerant Leakage'!$B$2:$B$42,0)),"")</f>
        <v/>
      </c>
      <c r="CY210" s="138" t="str">
        <f>IF($I210&lt;&gt;"",INDEX('Device Refrigerant Leakage'!$F$2:$F$42,MATCH($Q210,'Device Refrigerant Leakage'!$B$2:$B$42,0)),"")</f>
        <v/>
      </c>
      <c r="CZ210" s="145" t="str">
        <f>IF($I210&lt;&gt;"",INDEX('Device Refrigerant Leakage'!$G$2:$G$42,MATCH($Q210,'Device Refrigerant Leakage'!$B$2:$B$42,0)),"")</f>
        <v/>
      </c>
      <c r="DA210" s="145" t="str">
        <f>IF($I210&lt;&gt;"",J210*INDEX('Device Refrigerant Leakage'!$D$2:$D$42,MATCH($Q210,'Device Refrigerant Leakage'!$B$2:$B$42,0))*CX210/2204.62*CW210,"")</f>
        <v/>
      </c>
      <c r="DB210" s="145" t="str">
        <f>IF($I210&lt;&gt;"",J210*(INDEX('Device Refrigerant Leakage'!$D$2:$D$42,MATCH($Q210,'Device Refrigerant Leakage'!$B$2:$B$42,0))-(INDEX('Device Refrigerant Leakage'!$D$2:$D$42,MATCH($Q210,'Device Refrigerant Leakage'!$B$2:$B$42,0)))*CZ210*CX210)*CY210/2204.62*CW210,"")</f>
        <v/>
      </c>
      <c r="DC210" s="135" t="str">
        <f t="shared" si="348"/>
        <v/>
      </c>
      <c r="DE210" s="146" t="str">
        <f>IF(W210&lt;&gt;"AR","",IF(Y210="User Specified", AA210, INDEX('Refrigerant GWPs'!$G$2:$G$154,MATCH(Y210,'Refrigerant GWPs'!$A$2:$A$154,0))))</f>
        <v/>
      </c>
      <c r="DF210" s="146" t="str">
        <f>IF(W210&lt;&gt;"AR","",INDEX('Device Refrigerant Leakage'!$E$2:$E$42,MATCH(X210,'Device Refrigerant Leakage'!$B$2:$B$42,0)))</f>
        <v/>
      </c>
      <c r="DG210" s="146" t="str">
        <f>IF(W210&lt;&gt;"AR","",INDEX('Device Refrigerant Leakage'!$F$2:$F$42,MATCH(X210,'Device Refrigerant Leakage'!$B$2:$B$42,0)))</f>
        <v/>
      </c>
      <c r="DH210" s="146" t="str">
        <f>IF(W210&lt;&gt;"AR","",INDEX('Device Refrigerant Leakage'!$G$2:$G$42,MATCH(X210,'Device Refrigerant Leakage'!$B$2:$B$42,0)))</f>
        <v/>
      </c>
      <c r="DI210" s="146" t="str">
        <f>IF(W210&lt;&gt;"AR","",J210*INDEX('Device Refrigerant Leakage'!$D$2:$D$42,MATCH(X210,'Device Refrigerant Leakage'!$B$2:$B$42,0))*DF210/2204.62*DE210)</f>
        <v/>
      </c>
      <c r="DJ210" s="146" t="str">
        <f>IF(W210&lt;&gt;"AR","",J210*(INDEX('Device Refrigerant Leakage'!$D$2:$D$42,MATCH(X210,'Device Refrigerant Leakage'!$B$2:$B$42,0))-(INDEX('Device Refrigerant Leakage'!$D$2:$D$42,MATCH(X210,'Device Refrigerant Leakage'!$B$2:$B$42,0)))*DH210*DF210)*DG210/2204.62*DE210)</f>
        <v/>
      </c>
      <c r="DK210" s="146" t="str">
        <f>IF(W210&lt;&gt;"AR","",DI210*(K210-AB210)+'Fuel Sub Calcs-Deemed'!DJ210*((K210-AB210)/INDEX('Device Refrigerant Leakage'!$C$2:$C$42,MATCH('Fuel Sub Calcs-Deemed'!X210,'Device Refrigerant Leakage'!$B$2:$B$42,0))))</f>
        <v/>
      </c>
      <c r="DM210" s="56">
        <v>196</v>
      </c>
      <c r="DN210" s="67" t="e">
        <f t="shared" si="328"/>
        <v>#N/A</v>
      </c>
      <c r="DO210" s="45" t="e">
        <f t="shared" si="329"/>
        <v>#N/A</v>
      </c>
      <c r="DP210" s="67" t="e">
        <f t="shared" si="330"/>
        <v>#N/A</v>
      </c>
      <c r="DQ210" s="45" t="e">
        <f t="shared" si="331"/>
        <v>#N/A</v>
      </c>
      <c r="DR210" s="69" t="e">
        <f t="shared" si="332"/>
        <v>#N/A</v>
      </c>
      <c r="DS210" s="34"/>
      <c r="DT210" s="67" t="e">
        <f>((BX210*CJ210)+IF($W210=MAT_AR,(BZ210*CL210),0))*(1+Reference!$E$50+Reference!$E$51)</f>
        <v>#N/A</v>
      </c>
      <c r="DU210" s="67">
        <f>((BY210*CK210)+IF($W210=MAT_AR,(CA210*CM210),0))*(1+Reference!$G$50+Reference!$G$51)</f>
        <v>0</v>
      </c>
      <c r="DV210" s="67" t="e">
        <f t="shared" si="333"/>
        <v>#VALUE!</v>
      </c>
      <c r="DX210" s="56">
        <v>196</v>
      </c>
      <c r="DY210" s="67">
        <f t="shared" si="334"/>
        <v>0</v>
      </c>
      <c r="DZ210" s="45" t="e">
        <f>VLOOKUP($R210,Dropdown!$C$3:$D$4,2,FALSE)</f>
        <v>#N/A</v>
      </c>
      <c r="EA210" s="68">
        <f t="shared" si="335"/>
        <v>0</v>
      </c>
      <c r="EB210" s="68" t="str">
        <f t="shared" si="336"/>
        <v>N/A</v>
      </c>
      <c r="EC210" s="68">
        <f t="shared" si="337"/>
        <v>0</v>
      </c>
      <c r="ED210" s="68" t="str">
        <f t="shared" si="338"/>
        <v>N/A</v>
      </c>
      <c r="EF210" s="56">
        <v>196</v>
      </c>
      <c r="EG210" s="46">
        <f t="shared" si="339"/>
        <v>0</v>
      </c>
      <c r="EH210" s="68" t="e">
        <f t="shared" si="340"/>
        <v>#N/A</v>
      </c>
      <c r="EI210" s="68" t="e">
        <f t="shared" si="341"/>
        <v>#N/A</v>
      </c>
      <c r="EJ210" s="68" t="e">
        <f t="shared" si="342"/>
        <v>#N/A</v>
      </c>
      <c r="EK210" s="68" t="e">
        <f t="shared" si="343"/>
        <v>#N/A</v>
      </c>
      <c r="EL210" s="46">
        <f t="shared" si="344"/>
        <v>0</v>
      </c>
      <c r="EM210" s="46">
        <f t="shared" si="345"/>
        <v>0</v>
      </c>
    </row>
    <row r="211" spans="1:143">
      <c r="A211" s="89"/>
      <c r="B211" s="89"/>
      <c r="C211" s="89"/>
      <c r="D211" s="89"/>
      <c r="E211" s="89"/>
      <c r="F211" s="89"/>
      <c r="G211" s="34"/>
      <c r="H211" s="56">
        <f t="shared" si="346"/>
        <v>197</v>
      </c>
      <c r="I211" s="165"/>
      <c r="J211" s="163"/>
      <c r="K211" s="163"/>
      <c r="L211" s="164"/>
      <c r="M211" s="155"/>
      <c r="N211" s="155"/>
      <c r="O211" s="144"/>
      <c r="P211" s="159" t="str">
        <f>IFERROR(IF(O211&lt;&gt;"User Specified",IF(O211&lt;&gt;"", INDEX('Refrigerant GWPs'!$G$2:$G$154,MATCH(O211,'Refrigerant GWPs'!$A$2:$A$154,0)),""),U211),0)</f>
        <v/>
      </c>
      <c r="Q211" s="155"/>
      <c r="R211" s="155"/>
      <c r="S211" s="144"/>
      <c r="T211" s="159" t="str">
        <f>IF(S211&lt;&gt;"User Specified",IF(AND(S211&lt;&gt;"User Specified",S211&lt;&gt;""), INDEX('Refrigerant GWPs'!$G$2:$G$154,MATCH(S211,'Refrigerant GWPs'!$A$2:$A$154,0)),""),V211)</f>
        <v/>
      </c>
      <c r="U211" s="144"/>
      <c r="V211" s="144"/>
      <c r="W211" s="155"/>
      <c r="X211" s="155"/>
      <c r="Y211" s="144"/>
      <c r="Z211" s="159" t="str">
        <f>IF(AND(Y211&lt;&gt;"User Specified",Y211&lt;&gt;""), INDEX('Refrigerant GWPs'!$G$2:$G$154,MATCH(Y211,'Refrigerant GWPs'!$A$2:$A$154,0)),"")</f>
        <v/>
      </c>
      <c r="AA211" s="155"/>
      <c r="AB211" s="156"/>
      <c r="AC211" s="66"/>
      <c r="AD211" s="66"/>
      <c r="AE211" s="66"/>
      <c r="AF211" s="66"/>
      <c r="AG211" s="66"/>
      <c r="AH211" s="66"/>
      <c r="AI211" s="34"/>
      <c r="AJ211" s="88">
        <f t="shared" si="304"/>
        <v>0</v>
      </c>
      <c r="AK211" s="88">
        <f t="shared" si="305"/>
        <v>0</v>
      </c>
      <c r="AL211" s="88">
        <v>0</v>
      </c>
      <c r="AM211" s="88">
        <v>0</v>
      </c>
      <c r="AN211" s="81" t="str">
        <f t="shared" si="347"/>
        <v/>
      </c>
      <c r="AO211" s="88">
        <f t="shared" si="306"/>
        <v>0</v>
      </c>
      <c r="AP211" s="88">
        <f t="shared" si="307"/>
        <v>0</v>
      </c>
      <c r="AQ211" s="81" t="str">
        <f t="shared" si="308"/>
        <v/>
      </c>
      <c r="AS211" s="41" t="b">
        <f t="shared" si="309"/>
        <v>1</v>
      </c>
      <c r="AT211" s="38">
        <f t="shared" si="310"/>
        <v>0</v>
      </c>
      <c r="AU211" s="60">
        <f t="shared" si="311"/>
        <v>0</v>
      </c>
      <c r="AV211" s="41">
        <f t="shared" si="312"/>
        <v>0</v>
      </c>
      <c r="AW211" s="41" t="b">
        <f t="shared" si="313"/>
        <v>0</v>
      </c>
      <c r="AX211" t="str">
        <f t="shared" si="314"/>
        <v>+00</v>
      </c>
      <c r="AY211" t="str">
        <f t="shared" si="315"/>
        <v>+00</v>
      </c>
      <c r="BA211" s="47" t="b">
        <f t="shared" si="281"/>
        <v>1</v>
      </c>
      <c r="BB211" s="42" t="b">
        <f t="shared" si="282"/>
        <v>1</v>
      </c>
      <c r="BC211" s="42" t="b">
        <f t="shared" si="283"/>
        <v>0</v>
      </c>
      <c r="BD211" s="42" t="b">
        <f t="shared" si="284"/>
        <v>0</v>
      </c>
      <c r="BE211" s="70">
        <f t="shared" si="285"/>
        <v>0</v>
      </c>
      <c r="BF211" s="70">
        <f t="shared" si="286"/>
        <v>0</v>
      </c>
      <c r="BG211" s="34"/>
      <c r="BI211" s="47" t="b">
        <f t="shared" si="287"/>
        <v>1</v>
      </c>
      <c r="BJ211" s="47" t="b">
        <f t="shared" si="288"/>
        <v>1</v>
      </c>
      <c r="BK211" s="42" t="b">
        <f t="shared" si="289"/>
        <v>0</v>
      </c>
      <c r="BL211" s="42" t="b">
        <f t="shared" si="290"/>
        <v>0</v>
      </c>
      <c r="BM211" s="42">
        <f t="shared" si="291"/>
        <v>0</v>
      </c>
      <c r="BN211" s="42">
        <f t="shared" si="292"/>
        <v>0</v>
      </c>
      <c r="BP211" t="e">
        <f t="shared" si="293"/>
        <v>#N/A</v>
      </c>
      <c r="BQ211" t="e">
        <f t="shared" si="294"/>
        <v>#N/A</v>
      </c>
      <c r="BR211" t="e">
        <f t="shared" si="295"/>
        <v>#N/A</v>
      </c>
      <c r="BT211" s="60">
        <f t="shared" si="316"/>
        <v>0</v>
      </c>
      <c r="BU211" s="60">
        <f t="shared" si="317"/>
        <v>0</v>
      </c>
      <c r="BV211" s="60">
        <f t="shared" si="318"/>
        <v>0</v>
      </c>
      <c r="BW211" s="60">
        <f t="shared" si="319"/>
        <v>0</v>
      </c>
      <c r="BX211" s="60">
        <f t="shared" si="296"/>
        <v>0</v>
      </c>
      <c r="BY211" s="60">
        <f t="shared" si="297"/>
        <v>0</v>
      </c>
      <c r="BZ211" s="60">
        <f t="shared" si="298"/>
        <v>0</v>
      </c>
      <c r="CA211" s="60">
        <f t="shared" si="299"/>
        <v>0</v>
      </c>
      <c r="CB211" s="60" t="e">
        <f t="shared" si="320"/>
        <v>#N/A</v>
      </c>
      <c r="CC211" s="60">
        <f t="shared" si="321"/>
        <v>100000</v>
      </c>
      <c r="CD211" s="60" t="e">
        <f t="shared" si="322"/>
        <v>#N/A</v>
      </c>
      <c r="CE211" s="60">
        <f t="shared" si="323"/>
        <v>100000</v>
      </c>
      <c r="CF211" s="83" t="e">
        <f t="shared" si="300"/>
        <v>#N/A</v>
      </c>
      <c r="CG211" s="83">
        <f t="shared" si="301"/>
        <v>0</v>
      </c>
      <c r="CH211" s="83" t="e">
        <f t="shared" si="302"/>
        <v>#N/A</v>
      </c>
      <c r="CI211" s="83">
        <f t="shared" si="303"/>
        <v>0</v>
      </c>
      <c r="CJ211" s="86" t="e">
        <f t="shared" si="324"/>
        <v>#N/A</v>
      </c>
      <c r="CK211" s="82">
        <f t="shared" si="325"/>
        <v>5.3070370403969858E-3</v>
      </c>
      <c r="CL211" s="82" t="e">
        <f t="shared" si="326"/>
        <v>#N/A</v>
      </c>
      <c r="CM211" s="82">
        <f t="shared" si="327"/>
        <v>5.3070370403969858E-3</v>
      </c>
      <c r="CO211" s="149" t="str">
        <f>IF($I211&lt;&gt;"",IF(O211="User Specified",U211,INDEX('Refrigerant GWPs'!$G$2:$G$156,MATCH(O211,'Refrigerant GWPs'!$A$2:$A$156,0))),"")</f>
        <v/>
      </c>
      <c r="CP211" s="138" t="str">
        <f>IF($I211&lt;&gt;"",INDEX('Device Refrigerant Leakage'!$E$2:$E$42,MATCH($M211,'Device Refrigerant Leakage'!$B$2:$B$42,0)),"")</f>
        <v/>
      </c>
      <c r="CQ211" s="138" t="str">
        <f>IF($I211&lt;&gt;"",INDEX('Device Refrigerant Leakage'!$F$2:$F$42,MATCH($M211,'Device Refrigerant Leakage'!$B$2:$B$42,0)),"")</f>
        <v/>
      </c>
      <c r="CR211" s="145" t="str">
        <f>IF($I211&lt;&gt;"",INDEX('Device Refrigerant Leakage'!$G$2:$G$42,MATCH($M211,'Device Refrigerant Leakage'!$B$2:$B$42,0)),"")</f>
        <v/>
      </c>
      <c r="CS211" s="145" t="str">
        <f>IF($I211&lt;&gt;"",INDEX('Device Refrigerant Leakage'!$D$2:$D$42,MATCH($M211,'Device Refrigerant Leakage'!$B$2:$B$42,0))*CP211/2204.62*CO211,"")</f>
        <v/>
      </c>
      <c r="CT211" s="145" t="str">
        <f>IF($I211&lt;&gt;"",J211*(INDEX('Device Refrigerant Leakage'!$D$2:$D$42,MATCH($M211,'Device Refrigerant Leakage'!$B$2:$B$42,0))-(INDEX('Device Refrigerant Leakage'!$D$2:$D$42,MATCH($M211,'Device Refrigerant Leakage'!$B$2:$B$42,0)))*CR211*CP211)*CQ211/2204.62*CO211,"")</f>
        <v/>
      </c>
      <c r="CU211" s="135" t="str">
        <f>IF($I211&lt;&gt;"",J211*IF(W211&lt;&gt;"AR",(CS211*K211)+CT211,(CS211*AB211)+CT211*(AB211/INDEX('Device Refrigerant Leakage'!$C$2:$C$42,MATCH($M211,'Device Refrigerant Leakage'!$B$2:$B$42,0)))),"")</f>
        <v/>
      </c>
      <c r="CW211" s="135" t="str">
        <f>IF($I211&lt;&gt;"",IF(S211="User Specified",V211,INDEX('Refrigerant GWPs'!$G$2:$G$156,MATCH(S211,'Refrigerant GWPs'!$A$2:$A$157,0))),"")</f>
        <v/>
      </c>
      <c r="CX211" s="138" t="str">
        <f>IF($I211&lt;&gt;"",INDEX('Device Refrigerant Leakage'!$E$2:$E$42,MATCH($Q211,'Device Refrigerant Leakage'!$B$2:$B$42,0)),"")</f>
        <v/>
      </c>
      <c r="CY211" s="138" t="str">
        <f>IF($I211&lt;&gt;"",INDEX('Device Refrigerant Leakage'!$F$2:$F$42,MATCH($Q211,'Device Refrigerant Leakage'!$B$2:$B$42,0)),"")</f>
        <v/>
      </c>
      <c r="CZ211" s="145" t="str">
        <f>IF($I211&lt;&gt;"",INDEX('Device Refrigerant Leakage'!$G$2:$G$42,MATCH($Q211,'Device Refrigerant Leakage'!$B$2:$B$42,0)),"")</f>
        <v/>
      </c>
      <c r="DA211" s="145" t="str">
        <f>IF($I211&lt;&gt;"",J211*INDEX('Device Refrigerant Leakage'!$D$2:$D$42,MATCH($Q211,'Device Refrigerant Leakage'!$B$2:$B$42,0))*CX211/2204.62*CW211,"")</f>
        <v/>
      </c>
      <c r="DB211" s="145" t="str">
        <f>IF($I211&lt;&gt;"",J211*(INDEX('Device Refrigerant Leakage'!$D$2:$D$42,MATCH($Q211,'Device Refrigerant Leakage'!$B$2:$B$42,0))-(INDEX('Device Refrigerant Leakage'!$D$2:$D$42,MATCH($Q211,'Device Refrigerant Leakage'!$B$2:$B$42,0)))*CZ211*CX211)*CY211/2204.62*CW211,"")</f>
        <v/>
      </c>
      <c r="DC211" s="135" t="str">
        <f t="shared" si="348"/>
        <v/>
      </c>
      <c r="DE211" s="146" t="str">
        <f>IF(W211&lt;&gt;"AR","",IF(Y211="User Specified", AA211, INDEX('Refrigerant GWPs'!$G$2:$G$154,MATCH(Y211,'Refrigerant GWPs'!$A$2:$A$154,0))))</f>
        <v/>
      </c>
      <c r="DF211" s="146" t="str">
        <f>IF(W211&lt;&gt;"AR","",INDEX('Device Refrigerant Leakage'!$E$2:$E$42,MATCH(X211,'Device Refrigerant Leakage'!$B$2:$B$42,0)))</f>
        <v/>
      </c>
      <c r="DG211" s="146" t="str">
        <f>IF(W211&lt;&gt;"AR","",INDEX('Device Refrigerant Leakage'!$F$2:$F$42,MATCH(X211,'Device Refrigerant Leakage'!$B$2:$B$42,0)))</f>
        <v/>
      </c>
      <c r="DH211" s="146" t="str">
        <f>IF(W211&lt;&gt;"AR","",INDEX('Device Refrigerant Leakage'!$G$2:$G$42,MATCH(X211,'Device Refrigerant Leakage'!$B$2:$B$42,0)))</f>
        <v/>
      </c>
      <c r="DI211" s="146" t="str">
        <f>IF(W211&lt;&gt;"AR","",J211*INDEX('Device Refrigerant Leakage'!$D$2:$D$42,MATCH(X211,'Device Refrigerant Leakage'!$B$2:$B$42,0))*DF211/2204.62*DE211)</f>
        <v/>
      </c>
      <c r="DJ211" s="146" t="str">
        <f>IF(W211&lt;&gt;"AR","",J211*(INDEX('Device Refrigerant Leakage'!$D$2:$D$42,MATCH(X211,'Device Refrigerant Leakage'!$B$2:$B$42,0))-(INDEX('Device Refrigerant Leakage'!$D$2:$D$42,MATCH(X211,'Device Refrigerant Leakage'!$B$2:$B$42,0)))*DH211*DF211)*DG211/2204.62*DE211)</f>
        <v/>
      </c>
      <c r="DK211" s="146" t="str">
        <f>IF(W211&lt;&gt;"AR","",DI211*(K211-AB211)+'Fuel Sub Calcs-Deemed'!DJ211*((K211-AB211)/INDEX('Device Refrigerant Leakage'!$C$2:$C$42,MATCH('Fuel Sub Calcs-Deemed'!X211,'Device Refrigerant Leakage'!$B$2:$B$42,0))))</f>
        <v/>
      </c>
      <c r="DM211" s="56">
        <v>197</v>
      </c>
      <c r="DN211" s="67" t="e">
        <f t="shared" si="328"/>
        <v>#N/A</v>
      </c>
      <c r="DO211" s="45" t="e">
        <f t="shared" si="329"/>
        <v>#N/A</v>
      </c>
      <c r="DP211" s="67" t="e">
        <f t="shared" si="330"/>
        <v>#N/A</v>
      </c>
      <c r="DQ211" s="45" t="e">
        <f t="shared" si="331"/>
        <v>#N/A</v>
      </c>
      <c r="DR211" s="69" t="e">
        <f t="shared" si="332"/>
        <v>#N/A</v>
      </c>
      <c r="DS211" s="34"/>
      <c r="DT211" s="67" t="e">
        <f>((BX211*CJ211)+IF($W211=MAT_AR,(BZ211*CL211),0))*(1+Reference!$E$50+Reference!$E$51)</f>
        <v>#N/A</v>
      </c>
      <c r="DU211" s="67">
        <f>((BY211*CK211)+IF($W211=MAT_AR,(CA211*CM211),0))*(1+Reference!$G$50+Reference!$G$51)</f>
        <v>0</v>
      </c>
      <c r="DV211" s="67" t="e">
        <f t="shared" si="333"/>
        <v>#VALUE!</v>
      </c>
      <c r="DX211" s="56">
        <v>197</v>
      </c>
      <c r="DY211" s="67">
        <f t="shared" si="334"/>
        <v>0</v>
      </c>
      <c r="DZ211" s="45" t="e">
        <f>VLOOKUP($R211,Dropdown!$C$3:$D$4,2,FALSE)</f>
        <v>#N/A</v>
      </c>
      <c r="EA211" s="68">
        <f t="shared" si="335"/>
        <v>0</v>
      </c>
      <c r="EB211" s="68" t="str">
        <f t="shared" si="336"/>
        <v>N/A</v>
      </c>
      <c r="EC211" s="68">
        <f t="shared" si="337"/>
        <v>0</v>
      </c>
      <c r="ED211" s="68" t="str">
        <f t="shared" si="338"/>
        <v>N/A</v>
      </c>
      <c r="EF211" s="56">
        <v>197</v>
      </c>
      <c r="EG211" s="46">
        <f t="shared" si="339"/>
        <v>0</v>
      </c>
      <c r="EH211" s="68" t="e">
        <f t="shared" si="340"/>
        <v>#N/A</v>
      </c>
      <c r="EI211" s="68" t="e">
        <f t="shared" si="341"/>
        <v>#N/A</v>
      </c>
      <c r="EJ211" s="68" t="e">
        <f t="shared" si="342"/>
        <v>#N/A</v>
      </c>
      <c r="EK211" s="68" t="e">
        <f t="shared" si="343"/>
        <v>#N/A</v>
      </c>
      <c r="EL211" s="46">
        <f t="shared" si="344"/>
        <v>0</v>
      </c>
      <c r="EM211" s="46">
        <f t="shared" si="345"/>
        <v>0</v>
      </c>
    </row>
    <row r="212" spans="1:143">
      <c r="A212" s="89"/>
      <c r="B212" s="89"/>
      <c r="C212" s="89"/>
      <c r="D212" s="89"/>
      <c r="E212" s="89"/>
      <c r="F212" s="89"/>
      <c r="G212" s="34"/>
      <c r="H212" s="56">
        <f t="shared" si="346"/>
        <v>198</v>
      </c>
      <c r="I212" s="165"/>
      <c r="J212" s="163"/>
      <c r="K212" s="163"/>
      <c r="L212" s="164"/>
      <c r="M212" s="155"/>
      <c r="N212" s="155"/>
      <c r="O212" s="144"/>
      <c r="P212" s="159" t="str">
        <f>IFERROR(IF(O212&lt;&gt;"User Specified",IF(O212&lt;&gt;"", INDEX('Refrigerant GWPs'!$G$2:$G$154,MATCH(O212,'Refrigerant GWPs'!$A$2:$A$154,0)),""),U212),0)</f>
        <v/>
      </c>
      <c r="Q212" s="155"/>
      <c r="R212" s="155"/>
      <c r="S212" s="144"/>
      <c r="T212" s="159" t="str">
        <f>IF(S212&lt;&gt;"User Specified",IF(AND(S212&lt;&gt;"User Specified",S212&lt;&gt;""), INDEX('Refrigerant GWPs'!$G$2:$G$154,MATCH(S212,'Refrigerant GWPs'!$A$2:$A$154,0)),""),V212)</f>
        <v/>
      </c>
      <c r="U212" s="144"/>
      <c r="V212" s="144"/>
      <c r="W212" s="155"/>
      <c r="X212" s="155"/>
      <c r="Y212" s="144"/>
      <c r="Z212" s="159" t="str">
        <f>IF(AND(Y212&lt;&gt;"User Specified",Y212&lt;&gt;""), INDEX('Refrigerant GWPs'!$G$2:$G$154,MATCH(Y212,'Refrigerant GWPs'!$A$2:$A$154,0)),"")</f>
        <v/>
      </c>
      <c r="AA212" s="155"/>
      <c r="AB212" s="156"/>
      <c r="AC212" s="66"/>
      <c r="AD212" s="66"/>
      <c r="AE212" s="66"/>
      <c r="AF212" s="66"/>
      <c r="AG212" s="66"/>
      <c r="AH212" s="66"/>
      <c r="AI212" s="34"/>
      <c r="AJ212" s="88">
        <f t="shared" si="304"/>
        <v>0</v>
      </c>
      <c r="AK212" s="88">
        <f t="shared" si="305"/>
        <v>0</v>
      </c>
      <c r="AL212" s="88">
        <v>0</v>
      </c>
      <c r="AM212" s="88">
        <v>0</v>
      </c>
      <c r="AN212" s="81" t="str">
        <f t="shared" si="347"/>
        <v/>
      </c>
      <c r="AO212" s="88">
        <f t="shared" si="306"/>
        <v>0</v>
      </c>
      <c r="AP212" s="88">
        <f t="shared" si="307"/>
        <v>0</v>
      </c>
      <c r="AQ212" s="81" t="str">
        <f t="shared" si="308"/>
        <v/>
      </c>
      <c r="AS212" s="41" t="b">
        <f t="shared" si="309"/>
        <v>1</v>
      </c>
      <c r="AT212" s="38">
        <f t="shared" si="310"/>
        <v>0</v>
      </c>
      <c r="AU212" s="60">
        <f t="shared" si="311"/>
        <v>0</v>
      </c>
      <c r="AV212" s="41">
        <f t="shared" si="312"/>
        <v>0</v>
      </c>
      <c r="AW212" s="41" t="b">
        <f t="shared" si="313"/>
        <v>0</v>
      </c>
      <c r="AX212" t="str">
        <f t="shared" si="314"/>
        <v>+00</v>
      </c>
      <c r="AY212" t="str">
        <f t="shared" si="315"/>
        <v>+00</v>
      </c>
      <c r="BA212" s="47" t="b">
        <f t="shared" si="281"/>
        <v>1</v>
      </c>
      <c r="BB212" s="42" t="b">
        <f t="shared" si="282"/>
        <v>1</v>
      </c>
      <c r="BC212" s="42" t="b">
        <f t="shared" si="283"/>
        <v>0</v>
      </c>
      <c r="BD212" s="42" t="b">
        <f t="shared" si="284"/>
        <v>0</v>
      </c>
      <c r="BE212" s="70">
        <f t="shared" si="285"/>
        <v>0</v>
      </c>
      <c r="BF212" s="70">
        <f t="shared" si="286"/>
        <v>0</v>
      </c>
      <c r="BG212" s="34"/>
      <c r="BI212" s="47" t="b">
        <f t="shared" si="287"/>
        <v>1</v>
      </c>
      <c r="BJ212" s="47" t="b">
        <f t="shared" si="288"/>
        <v>1</v>
      </c>
      <c r="BK212" s="42" t="b">
        <f t="shared" si="289"/>
        <v>0</v>
      </c>
      <c r="BL212" s="42" t="b">
        <f t="shared" si="290"/>
        <v>0</v>
      </c>
      <c r="BM212" s="42">
        <f t="shared" si="291"/>
        <v>0</v>
      </c>
      <c r="BN212" s="42">
        <f t="shared" si="292"/>
        <v>0</v>
      </c>
      <c r="BP212" t="e">
        <f t="shared" si="293"/>
        <v>#N/A</v>
      </c>
      <c r="BQ212" t="e">
        <f t="shared" si="294"/>
        <v>#N/A</v>
      </c>
      <c r="BR212" t="e">
        <f t="shared" si="295"/>
        <v>#N/A</v>
      </c>
      <c r="BT212" s="60">
        <f t="shared" si="316"/>
        <v>0</v>
      </c>
      <c r="BU212" s="60">
        <f t="shared" si="317"/>
        <v>0</v>
      </c>
      <c r="BV212" s="60">
        <f t="shared" si="318"/>
        <v>0</v>
      </c>
      <c r="BW212" s="60">
        <f t="shared" si="319"/>
        <v>0</v>
      </c>
      <c r="BX212" s="60">
        <f t="shared" si="296"/>
        <v>0</v>
      </c>
      <c r="BY212" s="60">
        <f t="shared" si="297"/>
        <v>0</v>
      </c>
      <c r="BZ212" s="60">
        <f t="shared" si="298"/>
        <v>0</v>
      </c>
      <c r="CA212" s="60">
        <f t="shared" si="299"/>
        <v>0</v>
      </c>
      <c r="CB212" s="60" t="e">
        <f t="shared" si="320"/>
        <v>#N/A</v>
      </c>
      <c r="CC212" s="60">
        <f t="shared" si="321"/>
        <v>100000</v>
      </c>
      <c r="CD212" s="60" t="e">
        <f t="shared" si="322"/>
        <v>#N/A</v>
      </c>
      <c r="CE212" s="60">
        <f t="shared" si="323"/>
        <v>100000</v>
      </c>
      <c r="CF212" s="83" t="e">
        <f t="shared" si="300"/>
        <v>#N/A</v>
      </c>
      <c r="CG212" s="83">
        <f t="shared" si="301"/>
        <v>0</v>
      </c>
      <c r="CH212" s="83" t="e">
        <f t="shared" si="302"/>
        <v>#N/A</v>
      </c>
      <c r="CI212" s="83">
        <f t="shared" si="303"/>
        <v>0</v>
      </c>
      <c r="CJ212" s="86" t="e">
        <f t="shared" si="324"/>
        <v>#N/A</v>
      </c>
      <c r="CK212" s="82">
        <f t="shared" si="325"/>
        <v>5.3070370403969858E-3</v>
      </c>
      <c r="CL212" s="82" t="e">
        <f t="shared" si="326"/>
        <v>#N/A</v>
      </c>
      <c r="CM212" s="82">
        <f t="shared" si="327"/>
        <v>5.3070370403969858E-3</v>
      </c>
      <c r="CO212" s="149" t="str">
        <f>IF($I212&lt;&gt;"",IF(O212="User Specified",U212,INDEX('Refrigerant GWPs'!$G$2:$G$156,MATCH(O212,'Refrigerant GWPs'!$A$2:$A$156,0))),"")</f>
        <v/>
      </c>
      <c r="CP212" s="138" t="str">
        <f>IF($I212&lt;&gt;"",INDEX('Device Refrigerant Leakage'!$E$2:$E$42,MATCH($M212,'Device Refrigerant Leakage'!$B$2:$B$42,0)),"")</f>
        <v/>
      </c>
      <c r="CQ212" s="138" t="str">
        <f>IF($I212&lt;&gt;"",INDEX('Device Refrigerant Leakage'!$F$2:$F$42,MATCH($M212,'Device Refrigerant Leakage'!$B$2:$B$42,0)),"")</f>
        <v/>
      </c>
      <c r="CR212" s="145" t="str">
        <f>IF($I212&lt;&gt;"",INDEX('Device Refrigerant Leakage'!$G$2:$G$42,MATCH($M212,'Device Refrigerant Leakage'!$B$2:$B$42,0)),"")</f>
        <v/>
      </c>
      <c r="CS212" s="145" t="str">
        <f>IF($I212&lt;&gt;"",INDEX('Device Refrigerant Leakage'!$D$2:$D$42,MATCH($M212,'Device Refrigerant Leakage'!$B$2:$B$42,0))*CP212/2204.62*CO212,"")</f>
        <v/>
      </c>
      <c r="CT212" s="145" t="str">
        <f>IF($I212&lt;&gt;"",J212*(INDEX('Device Refrigerant Leakage'!$D$2:$D$42,MATCH($M212,'Device Refrigerant Leakage'!$B$2:$B$42,0))-(INDEX('Device Refrigerant Leakage'!$D$2:$D$42,MATCH($M212,'Device Refrigerant Leakage'!$B$2:$B$42,0)))*CR212*CP212)*CQ212/2204.62*CO212,"")</f>
        <v/>
      </c>
      <c r="CU212" s="135" t="str">
        <f>IF($I212&lt;&gt;"",J212*IF(W212&lt;&gt;"AR",(CS212*K212)+CT212,(CS212*AB212)+CT212*(AB212/INDEX('Device Refrigerant Leakage'!$C$2:$C$42,MATCH($M212,'Device Refrigerant Leakage'!$B$2:$B$42,0)))),"")</f>
        <v/>
      </c>
      <c r="CW212" s="135" t="str">
        <f>IF($I212&lt;&gt;"",IF(S212="User Specified",V212,INDEX('Refrigerant GWPs'!$G$2:$G$156,MATCH(S212,'Refrigerant GWPs'!$A$2:$A$157,0))),"")</f>
        <v/>
      </c>
      <c r="CX212" s="138" t="str">
        <f>IF($I212&lt;&gt;"",INDEX('Device Refrigerant Leakage'!$E$2:$E$42,MATCH($Q212,'Device Refrigerant Leakage'!$B$2:$B$42,0)),"")</f>
        <v/>
      </c>
      <c r="CY212" s="138" t="str">
        <f>IF($I212&lt;&gt;"",INDEX('Device Refrigerant Leakage'!$F$2:$F$42,MATCH($Q212,'Device Refrigerant Leakage'!$B$2:$B$42,0)),"")</f>
        <v/>
      </c>
      <c r="CZ212" s="145" t="str">
        <f>IF($I212&lt;&gt;"",INDEX('Device Refrigerant Leakage'!$G$2:$G$42,MATCH($Q212,'Device Refrigerant Leakage'!$B$2:$B$42,0)),"")</f>
        <v/>
      </c>
      <c r="DA212" s="145" t="str">
        <f>IF($I212&lt;&gt;"",J212*INDEX('Device Refrigerant Leakage'!$D$2:$D$42,MATCH($Q212,'Device Refrigerant Leakage'!$B$2:$B$42,0))*CX212/2204.62*CW212,"")</f>
        <v/>
      </c>
      <c r="DB212" s="145" t="str">
        <f>IF($I212&lt;&gt;"",J212*(INDEX('Device Refrigerant Leakage'!$D$2:$D$42,MATCH($Q212,'Device Refrigerant Leakage'!$B$2:$B$42,0))-(INDEX('Device Refrigerant Leakage'!$D$2:$D$42,MATCH($Q212,'Device Refrigerant Leakage'!$B$2:$B$42,0)))*CZ212*CX212)*CY212/2204.62*CW212,"")</f>
        <v/>
      </c>
      <c r="DC212" s="135" t="str">
        <f t="shared" si="348"/>
        <v/>
      </c>
      <c r="DE212" s="146" t="str">
        <f>IF(W212&lt;&gt;"AR","",IF(Y212="User Specified", AA212, INDEX('Refrigerant GWPs'!$G$2:$G$154,MATCH(Y212,'Refrigerant GWPs'!$A$2:$A$154,0))))</f>
        <v/>
      </c>
      <c r="DF212" s="146" t="str">
        <f>IF(W212&lt;&gt;"AR","",INDEX('Device Refrigerant Leakage'!$E$2:$E$42,MATCH(X212,'Device Refrigerant Leakage'!$B$2:$B$42,0)))</f>
        <v/>
      </c>
      <c r="DG212" s="146" t="str">
        <f>IF(W212&lt;&gt;"AR","",INDEX('Device Refrigerant Leakage'!$F$2:$F$42,MATCH(X212,'Device Refrigerant Leakage'!$B$2:$B$42,0)))</f>
        <v/>
      </c>
      <c r="DH212" s="146" t="str">
        <f>IF(W212&lt;&gt;"AR","",INDEX('Device Refrigerant Leakage'!$G$2:$G$42,MATCH(X212,'Device Refrigerant Leakage'!$B$2:$B$42,0)))</f>
        <v/>
      </c>
      <c r="DI212" s="146" t="str">
        <f>IF(W212&lt;&gt;"AR","",J212*INDEX('Device Refrigerant Leakage'!$D$2:$D$42,MATCH(X212,'Device Refrigerant Leakage'!$B$2:$B$42,0))*DF212/2204.62*DE212)</f>
        <v/>
      </c>
      <c r="DJ212" s="146" t="str">
        <f>IF(W212&lt;&gt;"AR","",J212*(INDEX('Device Refrigerant Leakage'!$D$2:$D$42,MATCH(X212,'Device Refrigerant Leakage'!$B$2:$B$42,0))-(INDEX('Device Refrigerant Leakage'!$D$2:$D$42,MATCH(X212,'Device Refrigerant Leakage'!$B$2:$B$42,0)))*DH212*DF212)*DG212/2204.62*DE212)</f>
        <v/>
      </c>
      <c r="DK212" s="146" t="str">
        <f>IF(W212&lt;&gt;"AR","",DI212*(K212-AB212)+'Fuel Sub Calcs-Deemed'!DJ212*((K212-AB212)/INDEX('Device Refrigerant Leakage'!$C$2:$C$42,MATCH('Fuel Sub Calcs-Deemed'!X212,'Device Refrigerant Leakage'!$B$2:$B$42,0))))</f>
        <v/>
      </c>
      <c r="DM212" s="56">
        <v>198</v>
      </c>
      <c r="DN212" s="67" t="e">
        <f t="shared" si="328"/>
        <v>#N/A</v>
      </c>
      <c r="DO212" s="45" t="e">
        <f t="shared" si="329"/>
        <v>#N/A</v>
      </c>
      <c r="DP212" s="67" t="e">
        <f t="shared" si="330"/>
        <v>#N/A</v>
      </c>
      <c r="DQ212" s="45" t="e">
        <f t="shared" si="331"/>
        <v>#N/A</v>
      </c>
      <c r="DR212" s="69" t="e">
        <f t="shared" si="332"/>
        <v>#N/A</v>
      </c>
      <c r="DS212" s="34"/>
      <c r="DT212" s="67" t="e">
        <f>((BX212*CJ212)+IF($W212=MAT_AR,(BZ212*CL212),0))*(1+Reference!$E$50+Reference!$E$51)</f>
        <v>#N/A</v>
      </c>
      <c r="DU212" s="67">
        <f>((BY212*CK212)+IF($W212=MAT_AR,(CA212*CM212),0))*(1+Reference!$G$50+Reference!$G$51)</f>
        <v>0</v>
      </c>
      <c r="DV212" s="67" t="e">
        <f t="shared" si="333"/>
        <v>#VALUE!</v>
      </c>
      <c r="DX212" s="56">
        <v>198</v>
      </c>
      <c r="DY212" s="67">
        <f t="shared" si="334"/>
        <v>0</v>
      </c>
      <c r="DZ212" s="45" t="e">
        <f>VLOOKUP($R212,Dropdown!$C$3:$D$4,2,FALSE)</f>
        <v>#N/A</v>
      </c>
      <c r="EA212" s="68">
        <f t="shared" si="335"/>
        <v>0</v>
      </c>
      <c r="EB212" s="68" t="str">
        <f t="shared" si="336"/>
        <v>N/A</v>
      </c>
      <c r="EC212" s="68">
        <f t="shared" si="337"/>
        <v>0</v>
      </c>
      <c r="ED212" s="68" t="str">
        <f t="shared" si="338"/>
        <v>N/A</v>
      </c>
      <c r="EF212" s="56">
        <v>198</v>
      </c>
      <c r="EG212" s="46">
        <f t="shared" si="339"/>
        <v>0</v>
      </c>
      <c r="EH212" s="68" t="e">
        <f t="shared" si="340"/>
        <v>#N/A</v>
      </c>
      <c r="EI212" s="68" t="e">
        <f t="shared" si="341"/>
        <v>#N/A</v>
      </c>
      <c r="EJ212" s="68" t="e">
        <f t="shared" si="342"/>
        <v>#N/A</v>
      </c>
      <c r="EK212" s="68" t="e">
        <f t="shared" si="343"/>
        <v>#N/A</v>
      </c>
      <c r="EL212" s="46">
        <f t="shared" si="344"/>
        <v>0</v>
      </c>
      <c r="EM212" s="46">
        <f t="shared" si="345"/>
        <v>0</v>
      </c>
    </row>
    <row r="213" spans="1:143">
      <c r="A213" s="89"/>
      <c r="B213" s="89"/>
      <c r="C213" s="89"/>
      <c r="D213" s="89"/>
      <c r="E213" s="89"/>
      <c r="F213" s="89"/>
      <c r="G213" s="34"/>
      <c r="H213" s="56">
        <f t="shared" si="346"/>
        <v>199</v>
      </c>
      <c r="I213" s="165"/>
      <c r="J213" s="163"/>
      <c r="K213" s="163"/>
      <c r="L213" s="164"/>
      <c r="M213" s="155"/>
      <c r="N213" s="155"/>
      <c r="O213" s="144"/>
      <c r="P213" s="159" t="str">
        <f>IFERROR(IF(O213&lt;&gt;"User Specified",IF(O213&lt;&gt;"", INDEX('Refrigerant GWPs'!$G$2:$G$154,MATCH(O213,'Refrigerant GWPs'!$A$2:$A$154,0)),""),U213),0)</f>
        <v/>
      </c>
      <c r="Q213" s="155"/>
      <c r="R213" s="155"/>
      <c r="S213" s="144"/>
      <c r="T213" s="159" t="str">
        <f>IF(S213&lt;&gt;"User Specified",IF(AND(S213&lt;&gt;"User Specified",S213&lt;&gt;""), INDEX('Refrigerant GWPs'!$G$2:$G$154,MATCH(S213,'Refrigerant GWPs'!$A$2:$A$154,0)),""),V213)</f>
        <v/>
      </c>
      <c r="U213" s="144"/>
      <c r="V213" s="144"/>
      <c r="W213" s="155"/>
      <c r="X213" s="155"/>
      <c r="Y213" s="144"/>
      <c r="Z213" s="159" t="str">
        <f>IF(AND(Y213&lt;&gt;"User Specified",Y213&lt;&gt;""), INDEX('Refrigerant GWPs'!$G$2:$G$154,MATCH(Y213,'Refrigerant GWPs'!$A$2:$A$154,0)),"")</f>
        <v/>
      </c>
      <c r="AA213" s="155"/>
      <c r="AB213" s="156"/>
      <c r="AC213" s="66"/>
      <c r="AD213" s="66"/>
      <c r="AE213" s="66"/>
      <c r="AF213" s="66"/>
      <c r="AG213" s="66"/>
      <c r="AH213" s="66"/>
      <c r="AI213" s="34"/>
      <c r="AJ213" s="88">
        <f t="shared" si="304"/>
        <v>0</v>
      </c>
      <c r="AK213" s="88">
        <f t="shared" si="305"/>
        <v>0</v>
      </c>
      <c r="AL213" s="88">
        <v>0</v>
      </c>
      <c r="AM213" s="88">
        <v>0</v>
      </c>
      <c r="AN213" s="81" t="str">
        <f t="shared" si="347"/>
        <v/>
      </c>
      <c r="AO213" s="88">
        <f t="shared" si="306"/>
        <v>0</v>
      </c>
      <c r="AP213" s="88">
        <f t="shared" si="307"/>
        <v>0</v>
      </c>
      <c r="AQ213" s="81" t="str">
        <f t="shared" si="308"/>
        <v/>
      </c>
      <c r="AS213" s="41" t="b">
        <f t="shared" si="309"/>
        <v>1</v>
      </c>
      <c r="AT213" s="38">
        <f t="shared" si="310"/>
        <v>0</v>
      </c>
      <c r="AU213" s="60">
        <f t="shared" si="311"/>
        <v>0</v>
      </c>
      <c r="AV213" s="41">
        <f t="shared" si="312"/>
        <v>0</v>
      </c>
      <c r="AW213" s="41" t="b">
        <f t="shared" si="313"/>
        <v>0</v>
      </c>
      <c r="AX213" t="str">
        <f t="shared" si="314"/>
        <v>+00</v>
      </c>
      <c r="AY213" t="str">
        <f t="shared" si="315"/>
        <v>+00</v>
      </c>
      <c r="BA213" s="47" t="b">
        <f t="shared" si="281"/>
        <v>1</v>
      </c>
      <c r="BB213" s="42" t="b">
        <f t="shared" si="282"/>
        <v>1</v>
      </c>
      <c r="BC213" s="42" t="b">
        <f t="shared" si="283"/>
        <v>0</v>
      </c>
      <c r="BD213" s="42" t="b">
        <f t="shared" si="284"/>
        <v>0</v>
      </c>
      <c r="BE213" s="70">
        <f t="shared" si="285"/>
        <v>0</v>
      </c>
      <c r="BF213" s="70">
        <f t="shared" si="286"/>
        <v>0</v>
      </c>
      <c r="BG213" s="34"/>
      <c r="BI213" s="47" t="b">
        <f t="shared" si="287"/>
        <v>1</v>
      </c>
      <c r="BJ213" s="47" t="b">
        <f t="shared" si="288"/>
        <v>1</v>
      </c>
      <c r="BK213" s="42" t="b">
        <f t="shared" si="289"/>
        <v>0</v>
      </c>
      <c r="BL213" s="42" t="b">
        <f t="shared" si="290"/>
        <v>0</v>
      </c>
      <c r="BM213" s="42">
        <f t="shared" si="291"/>
        <v>0</v>
      </c>
      <c r="BN213" s="42">
        <f t="shared" si="292"/>
        <v>0</v>
      </c>
      <c r="BP213" t="e">
        <f t="shared" si="293"/>
        <v>#N/A</v>
      </c>
      <c r="BQ213" t="e">
        <f t="shared" si="294"/>
        <v>#N/A</v>
      </c>
      <c r="BR213" t="e">
        <f t="shared" si="295"/>
        <v>#N/A</v>
      </c>
      <c r="BT213" s="60">
        <f t="shared" si="316"/>
        <v>0</v>
      </c>
      <c r="BU213" s="60">
        <f t="shared" si="317"/>
        <v>0</v>
      </c>
      <c r="BV213" s="60">
        <f t="shared" si="318"/>
        <v>0</v>
      </c>
      <c r="BW213" s="60">
        <f t="shared" si="319"/>
        <v>0</v>
      </c>
      <c r="BX213" s="60">
        <f t="shared" si="296"/>
        <v>0</v>
      </c>
      <c r="BY213" s="60">
        <f t="shared" si="297"/>
        <v>0</v>
      </c>
      <c r="BZ213" s="60">
        <f t="shared" si="298"/>
        <v>0</v>
      </c>
      <c r="CA213" s="60">
        <f t="shared" si="299"/>
        <v>0</v>
      </c>
      <c r="CB213" s="60" t="e">
        <f t="shared" si="320"/>
        <v>#N/A</v>
      </c>
      <c r="CC213" s="60">
        <f t="shared" si="321"/>
        <v>100000</v>
      </c>
      <c r="CD213" s="60" t="e">
        <f t="shared" si="322"/>
        <v>#N/A</v>
      </c>
      <c r="CE213" s="60">
        <f t="shared" si="323"/>
        <v>100000</v>
      </c>
      <c r="CF213" s="83" t="e">
        <f t="shared" si="300"/>
        <v>#N/A</v>
      </c>
      <c r="CG213" s="83">
        <f t="shared" si="301"/>
        <v>0</v>
      </c>
      <c r="CH213" s="83" t="e">
        <f t="shared" si="302"/>
        <v>#N/A</v>
      </c>
      <c r="CI213" s="83">
        <f t="shared" si="303"/>
        <v>0</v>
      </c>
      <c r="CJ213" s="86" t="e">
        <f t="shared" si="324"/>
        <v>#N/A</v>
      </c>
      <c r="CK213" s="82">
        <f t="shared" si="325"/>
        <v>5.3070370403969858E-3</v>
      </c>
      <c r="CL213" s="82" t="e">
        <f t="shared" si="326"/>
        <v>#N/A</v>
      </c>
      <c r="CM213" s="82">
        <f t="shared" si="327"/>
        <v>5.3070370403969858E-3</v>
      </c>
      <c r="CO213" s="149" t="str">
        <f>IF($I213&lt;&gt;"",IF(O213="User Specified",U213,INDEX('Refrigerant GWPs'!$G$2:$G$156,MATCH(O213,'Refrigerant GWPs'!$A$2:$A$156,0))),"")</f>
        <v/>
      </c>
      <c r="CP213" s="138" t="str">
        <f>IF($I213&lt;&gt;"",INDEX('Device Refrigerant Leakage'!$E$2:$E$42,MATCH($M213,'Device Refrigerant Leakage'!$B$2:$B$42,0)),"")</f>
        <v/>
      </c>
      <c r="CQ213" s="138" t="str">
        <f>IF($I213&lt;&gt;"",INDEX('Device Refrigerant Leakage'!$F$2:$F$42,MATCH($M213,'Device Refrigerant Leakage'!$B$2:$B$42,0)),"")</f>
        <v/>
      </c>
      <c r="CR213" s="145" t="str">
        <f>IF($I213&lt;&gt;"",INDEX('Device Refrigerant Leakage'!$G$2:$G$42,MATCH($M213,'Device Refrigerant Leakage'!$B$2:$B$42,0)),"")</f>
        <v/>
      </c>
      <c r="CS213" s="145" t="str">
        <f>IF($I213&lt;&gt;"",INDEX('Device Refrigerant Leakage'!$D$2:$D$42,MATCH($M213,'Device Refrigerant Leakage'!$B$2:$B$42,0))*CP213/2204.62*CO213,"")</f>
        <v/>
      </c>
      <c r="CT213" s="145" t="str">
        <f>IF($I213&lt;&gt;"",J213*(INDEX('Device Refrigerant Leakage'!$D$2:$D$42,MATCH($M213,'Device Refrigerant Leakage'!$B$2:$B$42,0))-(INDEX('Device Refrigerant Leakage'!$D$2:$D$42,MATCH($M213,'Device Refrigerant Leakage'!$B$2:$B$42,0)))*CR213*CP213)*CQ213/2204.62*CO213,"")</f>
        <v/>
      </c>
      <c r="CU213" s="135" t="str">
        <f>IF($I213&lt;&gt;"",J213*IF(W213&lt;&gt;"AR",(CS213*K213)+CT213,(CS213*AB213)+CT213*(AB213/INDEX('Device Refrigerant Leakage'!$C$2:$C$42,MATCH($M213,'Device Refrigerant Leakage'!$B$2:$B$42,0)))),"")</f>
        <v/>
      </c>
      <c r="CW213" s="135" t="str">
        <f>IF($I213&lt;&gt;"",IF(S213="User Specified",V213,INDEX('Refrigerant GWPs'!$G$2:$G$156,MATCH(S213,'Refrigerant GWPs'!$A$2:$A$157,0))),"")</f>
        <v/>
      </c>
      <c r="CX213" s="138" t="str">
        <f>IF($I213&lt;&gt;"",INDEX('Device Refrigerant Leakage'!$E$2:$E$42,MATCH($Q213,'Device Refrigerant Leakage'!$B$2:$B$42,0)),"")</f>
        <v/>
      </c>
      <c r="CY213" s="138" t="str">
        <f>IF($I213&lt;&gt;"",INDEX('Device Refrigerant Leakage'!$F$2:$F$42,MATCH($Q213,'Device Refrigerant Leakage'!$B$2:$B$42,0)),"")</f>
        <v/>
      </c>
      <c r="CZ213" s="145" t="str">
        <f>IF($I213&lt;&gt;"",INDEX('Device Refrigerant Leakage'!$G$2:$G$42,MATCH($Q213,'Device Refrigerant Leakage'!$B$2:$B$42,0)),"")</f>
        <v/>
      </c>
      <c r="DA213" s="145" t="str">
        <f>IF($I213&lt;&gt;"",J213*INDEX('Device Refrigerant Leakage'!$D$2:$D$42,MATCH($Q213,'Device Refrigerant Leakage'!$B$2:$B$42,0))*CX213/2204.62*CW213,"")</f>
        <v/>
      </c>
      <c r="DB213" s="145" t="str">
        <f>IF($I213&lt;&gt;"",J213*(INDEX('Device Refrigerant Leakage'!$D$2:$D$42,MATCH($Q213,'Device Refrigerant Leakage'!$B$2:$B$42,0))-(INDEX('Device Refrigerant Leakage'!$D$2:$D$42,MATCH($Q213,'Device Refrigerant Leakage'!$B$2:$B$42,0)))*CZ213*CX213)*CY213/2204.62*CW213,"")</f>
        <v/>
      </c>
      <c r="DC213" s="135" t="str">
        <f t="shared" si="348"/>
        <v/>
      </c>
      <c r="DE213" s="146" t="str">
        <f>IF(W213&lt;&gt;"AR","",IF(Y213="User Specified", AA213, INDEX('Refrigerant GWPs'!$G$2:$G$154,MATCH(Y213,'Refrigerant GWPs'!$A$2:$A$154,0))))</f>
        <v/>
      </c>
      <c r="DF213" s="146" t="str">
        <f>IF(W213&lt;&gt;"AR","",INDEX('Device Refrigerant Leakage'!$E$2:$E$42,MATCH(X213,'Device Refrigerant Leakage'!$B$2:$B$42,0)))</f>
        <v/>
      </c>
      <c r="DG213" s="146" t="str">
        <f>IF(W213&lt;&gt;"AR","",INDEX('Device Refrigerant Leakage'!$F$2:$F$42,MATCH(X213,'Device Refrigerant Leakage'!$B$2:$B$42,0)))</f>
        <v/>
      </c>
      <c r="DH213" s="146" t="str">
        <f>IF(W213&lt;&gt;"AR","",INDEX('Device Refrigerant Leakage'!$G$2:$G$42,MATCH(X213,'Device Refrigerant Leakage'!$B$2:$B$42,0)))</f>
        <v/>
      </c>
      <c r="DI213" s="146" t="str">
        <f>IF(W213&lt;&gt;"AR","",J213*INDEX('Device Refrigerant Leakage'!$D$2:$D$42,MATCH(X213,'Device Refrigerant Leakage'!$B$2:$B$42,0))*DF213/2204.62*DE213)</f>
        <v/>
      </c>
      <c r="DJ213" s="146" t="str">
        <f>IF(W213&lt;&gt;"AR","",J213*(INDEX('Device Refrigerant Leakage'!$D$2:$D$42,MATCH(X213,'Device Refrigerant Leakage'!$B$2:$B$42,0))-(INDEX('Device Refrigerant Leakage'!$D$2:$D$42,MATCH(X213,'Device Refrigerant Leakage'!$B$2:$B$42,0)))*DH213*DF213)*DG213/2204.62*DE213)</f>
        <v/>
      </c>
      <c r="DK213" s="146" t="str">
        <f>IF(W213&lt;&gt;"AR","",DI213*(K213-AB213)+'Fuel Sub Calcs-Deemed'!DJ213*((K213-AB213)/INDEX('Device Refrigerant Leakage'!$C$2:$C$42,MATCH('Fuel Sub Calcs-Deemed'!X213,'Device Refrigerant Leakage'!$B$2:$B$42,0))))</f>
        <v/>
      </c>
      <c r="DM213" s="56">
        <v>199</v>
      </c>
      <c r="DN213" s="67" t="e">
        <f t="shared" si="328"/>
        <v>#N/A</v>
      </c>
      <c r="DO213" s="45" t="e">
        <f t="shared" si="329"/>
        <v>#N/A</v>
      </c>
      <c r="DP213" s="67" t="e">
        <f t="shared" si="330"/>
        <v>#N/A</v>
      </c>
      <c r="DQ213" s="45" t="e">
        <f t="shared" si="331"/>
        <v>#N/A</v>
      </c>
      <c r="DR213" s="69" t="e">
        <f t="shared" si="332"/>
        <v>#N/A</v>
      </c>
      <c r="DS213" s="34"/>
      <c r="DT213" s="67" t="e">
        <f>((BX213*CJ213)+IF($W213=MAT_AR,(BZ213*CL213),0))*(1+Reference!$E$50+Reference!$E$51)</f>
        <v>#N/A</v>
      </c>
      <c r="DU213" s="67">
        <f>((BY213*CK213)+IF($W213=MAT_AR,(CA213*CM213),0))*(1+Reference!$G$50+Reference!$G$51)</f>
        <v>0</v>
      </c>
      <c r="DV213" s="67" t="e">
        <f t="shared" si="333"/>
        <v>#VALUE!</v>
      </c>
      <c r="DX213" s="56">
        <v>199</v>
      </c>
      <c r="DY213" s="67">
        <f t="shared" si="334"/>
        <v>0</v>
      </c>
      <c r="DZ213" s="45" t="e">
        <f>VLOOKUP($R213,Dropdown!$C$3:$D$4,2,FALSE)</f>
        <v>#N/A</v>
      </c>
      <c r="EA213" s="68">
        <f t="shared" si="335"/>
        <v>0</v>
      </c>
      <c r="EB213" s="68" t="str">
        <f t="shared" si="336"/>
        <v>N/A</v>
      </c>
      <c r="EC213" s="68">
        <f t="shared" si="337"/>
        <v>0</v>
      </c>
      <c r="ED213" s="68" t="str">
        <f t="shared" si="338"/>
        <v>N/A</v>
      </c>
      <c r="EF213" s="56">
        <v>199</v>
      </c>
      <c r="EG213" s="46">
        <f t="shared" si="339"/>
        <v>0</v>
      </c>
      <c r="EH213" s="68" t="e">
        <f t="shared" si="340"/>
        <v>#N/A</v>
      </c>
      <c r="EI213" s="68" t="e">
        <f t="shared" si="341"/>
        <v>#N/A</v>
      </c>
      <c r="EJ213" s="68" t="e">
        <f t="shared" si="342"/>
        <v>#N/A</v>
      </c>
      <c r="EK213" s="68" t="e">
        <f t="shared" si="343"/>
        <v>#N/A</v>
      </c>
      <c r="EL213" s="46">
        <f t="shared" si="344"/>
        <v>0</v>
      </c>
      <c r="EM213" s="46">
        <f t="shared" si="345"/>
        <v>0</v>
      </c>
    </row>
    <row r="214" spans="1:143">
      <c r="A214" s="89"/>
      <c r="B214" s="89"/>
      <c r="C214" s="89"/>
      <c r="D214" s="89"/>
      <c r="E214" s="89"/>
      <c r="F214" s="89"/>
      <c r="G214" s="34"/>
      <c r="H214" s="56">
        <f t="shared" si="346"/>
        <v>200</v>
      </c>
      <c r="I214" s="165"/>
      <c r="J214" s="163"/>
      <c r="K214" s="163"/>
      <c r="L214" s="164"/>
      <c r="M214" s="155"/>
      <c r="N214" s="155"/>
      <c r="O214" s="144"/>
      <c r="P214" s="159" t="str">
        <f>IFERROR(IF(O214&lt;&gt;"User Specified",IF(O214&lt;&gt;"", INDEX('Refrigerant GWPs'!$G$2:$G$154,MATCH(O214,'Refrigerant GWPs'!$A$2:$A$154,0)),""),U214),0)</f>
        <v/>
      </c>
      <c r="Q214" s="155"/>
      <c r="R214" s="155"/>
      <c r="S214" s="144"/>
      <c r="T214" s="159" t="str">
        <f>IF(S214&lt;&gt;"User Specified",IF(AND(S214&lt;&gt;"User Specified",S214&lt;&gt;""), INDEX('Refrigerant GWPs'!$G$2:$G$154,MATCH(S214,'Refrigerant GWPs'!$A$2:$A$154,0)),""),V214)</f>
        <v/>
      </c>
      <c r="U214" s="144"/>
      <c r="V214" s="144"/>
      <c r="W214" s="155"/>
      <c r="X214" s="155"/>
      <c r="Y214" s="144"/>
      <c r="Z214" s="159" t="str">
        <f>IF(AND(Y214&lt;&gt;"User Specified",Y214&lt;&gt;""), INDEX('Refrigerant GWPs'!$G$2:$G$154,MATCH(Y214,'Refrigerant GWPs'!$A$2:$A$154,0)),"")</f>
        <v/>
      </c>
      <c r="AA214" s="155"/>
      <c r="AB214" s="156"/>
      <c r="AC214" s="66"/>
      <c r="AD214" s="66"/>
      <c r="AE214" s="66"/>
      <c r="AF214" s="66"/>
      <c r="AG214" s="66"/>
      <c r="AH214" s="66"/>
      <c r="AI214" s="34"/>
      <c r="AJ214" s="88">
        <f t="shared" si="304"/>
        <v>0</v>
      </c>
      <c r="AK214" s="88">
        <f t="shared" si="305"/>
        <v>0</v>
      </c>
      <c r="AL214" s="88">
        <v>0</v>
      </c>
      <c r="AM214" s="88">
        <v>0</v>
      </c>
      <c r="AN214" s="81" t="str">
        <f t="shared" si="347"/>
        <v/>
      </c>
      <c r="AO214" s="88">
        <f t="shared" si="306"/>
        <v>0</v>
      </c>
      <c r="AP214" s="88">
        <f t="shared" si="307"/>
        <v>0</v>
      </c>
      <c r="AQ214" s="81" t="str">
        <f t="shared" si="308"/>
        <v/>
      </c>
      <c r="AS214" s="41" t="b">
        <f t="shared" si="309"/>
        <v>1</v>
      </c>
      <c r="AT214" s="38">
        <f t="shared" si="310"/>
        <v>0</v>
      </c>
      <c r="AU214" s="60">
        <f t="shared" si="311"/>
        <v>0</v>
      </c>
      <c r="AV214" s="41">
        <f t="shared" si="312"/>
        <v>0</v>
      </c>
      <c r="AW214" s="41" t="b">
        <f t="shared" si="313"/>
        <v>0</v>
      </c>
      <c r="AX214" t="str">
        <f t="shared" si="314"/>
        <v>+00</v>
      </c>
      <c r="AY214" t="str">
        <f t="shared" si="315"/>
        <v>+00</v>
      </c>
      <c r="BA214" s="47" t="b">
        <f t="shared" si="281"/>
        <v>1</v>
      </c>
      <c r="BB214" s="42" t="b">
        <f t="shared" si="282"/>
        <v>1</v>
      </c>
      <c r="BC214" s="42" t="b">
        <f t="shared" si="283"/>
        <v>0</v>
      </c>
      <c r="BD214" s="42" t="b">
        <f t="shared" si="284"/>
        <v>0</v>
      </c>
      <c r="BE214" s="70">
        <f t="shared" si="285"/>
        <v>0</v>
      </c>
      <c r="BF214" s="70">
        <f t="shared" si="286"/>
        <v>0</v>
      </c>
      <c r="BG214" s="34"/>
      <c r="BI214" s="47" t="b">
        <f t="shared" si="287"/>
        <v>1</v>
      </c>
      <c r="BJ214" s="47" t="b">
        <f t="shared" si="288"/>
        <v>1</v>
      </c>
      <c r="BK214" s="42" t="b">
        <f t="shared" si="289"/>
        <v>0</v>
      </c>
      <c r="BL214" s="42" t="b">
        <f t="shared" si="290"/>
        <v>0</v>
      </c>
      <c r="BM214" s="42">
        <f t="shared" si="291"/>
        <v>0</v>
      </c>
      <c r="BN214" s="42">
        <f t="shared" si="292"/>
        <v>0</v>
      </c>
      <c r="BP214" t="e">
        <f t="shared" si="293"/>
        <v>#N/A</v>
      </c>
      <c r="BQ214" t="e">
        <f t="shared" si="294"/>
        <v>#N/A</v>
      </c>
      <c r="BR214" t="e">
        <f t="shared" si="295"/>
        <v>#N/A</v>
      </c>
      <c r="BT214" s="60">
        <f t="shared" si="316"/>
        <v>0</v>
      </c>
      <c r="BU214" s="60">
        <f t="shared" si="317"/>
        <v>0</v>
      </c>
      <c r="BV214" s="60">
        <f t="shared" si="318"/>
        <v>0</v>
      </c>
      <c r="BW214" s="60">
        <f t="shared" si="319"/>
        <v>0</v>
      </c>
      <c r="BX214" s="60">
        <f t="shared" si="296"/>
        <v>0</v>
      </c>
      <c r="BY214" s="60">
        <f t="shared" si="297"/>
        <v>0</v>
      </c>
      <c r="BZ214" s="60">
        <f t="shared" si="298"/>
        <v>0</v>
      </c>
      <c r="CA214" s="60">
        <f t="shared" si="299"/>
        <v>0</v>
      </c>
      <c r="CB214" s="60" t="e">
        <f t="shared" si="320"/>
        <v>#N/A</v>
      </c>
      <c r="CC214" s="60">
        <f t="shared" si="321"/>
        <v>100000</v>
      </c>
      <c r="CD214" s="60" t="e">
        <f t="shared" si="322"/>
        <v>#N/A</v>
      </c>
      <c r="CE214" s="60">
        <f t="shared" si="323"/>
        <v>100000</v>
      </c>
      <c r="CF214" s="83" t="e">
        <f t="shared" si="300"/>
        <v>#N/A</v>
      </c>
      <c r="CG214" s="83">
        <f t="shared" si="301"/>
        <v>0</v>
      </c>
      <c r="CH214" s="83" t="e">
        <f t="shared" si="302"/>
        <v>#N/A</v>
      </c>
      <c r="CI214" s="83">
        <f t="shared" si="303"/>
        <v>0</v>
      </c>
      <c r="CJ214" s="86" t="e">
        <f t="shared" si="324"/>
        <v>#N/A</v>
      </c>
      <c r="CK214" s="82">
        <f t="shared" si="325"/>
        <v>5.3070370403969858E-3</v>
      </c>
      <c r="CL214" s="82" t="e">
        <f t="shared" si="326"/>
        <v>#N/A</v>
      </c>
      <c r="CM214" s="82">
        <f t="shared" si="327"/>
        <v>5.3070370403969858E-3</v>
      </c>
      <c r="CO214" s="149" t="str">
        <f>IF($I214&lt;&gt;"",IF(O214="User Specified",U214,INDEX('Refrigerant GWPs'!$G$2:$G$156,MATCH(O214,'Refrigerant GWPs'!$A$2:$A$156,0))),"")</f>
        <v/>
      </c>
      <c r="CP214" s="138" t="str">
        <f>IF($I214&lt;&gt;"",INDEX('Device Refrigerant Leakage'!$E$2:$E$42,MATCH($M214,'Device Refrigerant Leakage'!$B$2:$B$42,0)),"")</f>
        <v/>
      </c>
      <c r="CQ214" s="138" t="str">
        <f>IF($I214&lt;&gt;"",INDEX('Device Refrigerant Leakage'!$F$2:$F$42,MATCH($M214,'Device Refrigerant Leakage'!$B$2:$B$42,0)),"")</f>
        <v/>
      </c>
      <c r="CR214" s="145" t="str">
        <f>IF($I214&lt;&gt;"",INDEX('Device Refrigerant Leakage'!$G$2:$G$42,MATCH($M214,'Device Refrigerant Leakage'!$B$2:$B$42,0)),"")</f>
        <v/>
      </c>
      <c r="CS214" s="145" t="str">
        <f>IF($I214&lt;&gt;"",INDEX('Device Refrigerant Leakage'!$D$2:$D$42,MATCH($M214,'Device Refrigerant Leakage'!$B$2:$B$42,0))*CP214/2204.62*CO214,"")</f>
        <v/>
      </c>
      <c r="CT214" s="145" t="str">
        <f>IF($I214&lt;&gt;"",J214*(INDEX('Device Refrigerant Leakage'!$D$2:$D$42,MATCH($M214,'Device Refrigerant Leakage'!$B$2:$B$42,0))-(INDEX('Device Refrigerant Leakage'!$D$2:$D$42,MATCH($M214,'Device Refrigerant Leakage'!$B$2:$B$42,0)))*CR214*CP214)*CQ214/2204.62*CO214,"")</f>
        <v/>
      </c>
      <c r="CU214" s="135" t="str">
        <f>IF($I214&lt;&gt;"",J214*IF(W214&lt;&gt;"AR",(CS214*K214)+CT214,(CS214*AB214)+CT214*(AB214/INDEX('Device Refrigerant Leakage'!$C$2:$C$42,MATCH($M214,'Device Refrigerant Leakage'!$B$2:$B$42,0)))),"")</f>
        <v/>
      </c>
      <c r="CW214" s="135" t="str">
        <f>IF($I214&lt;&gt;"",IF(S214="User Specified",V214,INDEX('Refrigerant GWPs'!$G$2:$G$156,MATCH(S214,'Refrigerant GWPs'!$A$2:$A$157,0))),"")</f>
        <v/>
      </c>
      <c r="CX214" s="138" t="str">
        <f>IF($I214&lt;&gt;"",INDEX('Device Refrigerant Leakage'!$E$2:$E$42,MATCH($Q214,'Device Refrigerant Leakage'!$B$2:$B$42,0)),"")</f>
        <v/>
      </c>
      <c r="CY214" s="138" t="str">
        <f>IF($I214&lt;&gt;"",INDEX('Device Refrigerant Leakage'!$F$2:$F$42,MATCH($Q214,'Device Refrigerant Leakage'!$B$2:$B$42,0)),"")</f>
        <v/>
      </c>
      <c r="CZ214" s="145" t="str">
        <f>IF($I214&lt;&gt;"",INDEX('Device Refrigerant Leakage'!$G$2:$G$42,MATCH($Q214,'Device Refrigerant Leakage'!$B$2:$B$42,0)),"")</f>
        <v/>
      </c>
      <c r="DA214" s="145" t="str">
        <f>IF($I214&lt;&gt;"",J214*INDEX('Device Refrigerant Leakage'!$D$2:$D$42,MATCH($Q214,'Device Refrigerant Leakage'!$B$2:$B$42,0))*CX214/2204.62*CW214,"")</f>
        <v/>
      </c>
      <c r="DB214" s="145" t="str">
        <f>IF($I214&lt;&gt;"",J214*(INDEX('Device Refrigerant Leakage'!$D$2:$D$42,MATCH($Q214,'Device Refrigerant Leakage'!$B$2:$B$42,0))-(INDEX('Device Refrigerant Leakage'!$D$2:$D$42,MATCH($Q214,'Device Refrigerant Leakage'!$B$2:$B$42,0)))*CZ214*CX214)*CY214/2204.62*CW214,"")</f>
        <v/>
      </c>
      <c r="DC214" s="135" t="str">
        <f t="shared" si="348"/>
        <v/>
      </c>
      <c r="DE214" s="146" t="str">
        <f>IF(W214&lt;&gt;"AR","",IF(Y214="User Specified", AA214, INDEX('Refrigerant GWPs'!$G$2:$G$154,MATCH(Y214,'Refrigerant GWPs'!$A$2:$A$154,0))))</f>
        <v/>
      </c>
      <c r="DF214" s="146" t="str">
        <f>IF(W214&lt;&gt;"AR","",INDEX('Device Refrigerant Leakage'!$E$2:$E$42,MATCH(X214,'Device Refrigerant Leakage'!$B$2:$B$42,0)))</f>
        <v/>
      </c>
      <c r="DG214" s="146" t="str">
        <f>IF(W214&lt;&gt;"AR","",INDEX('Device Refrigerant Leakage'!$F$2:$F$42,MATCH(X214,'Device Refrigerant Leakage'!$B$2:$B$42,0)))</f>
        <v/>
      </c>
      <c r="DH214" s="146" t="str">
        <f>IF(W214&lt;&gt;"AR","",INDEX('Device Refrigerant Leakage'!$G$2:$G$42,MATCH(X214,'Device Refrigerant Leakage'!$B$2:$B$42,0)))</f>
        <v/>
      </c>
      <c r="DI214" s="146" t="str">
        <f>IF(W214&lt;&gt;"AR","",J214*INDEX('Device Refrigerant Leakage'!$D$2:$D$42,MATCH(X214,'Device Refrigerant Leakage'!$B$2:$B$42,0))*DF214/2204.62*DE214)</f>
        <v/>
      </c>
      <c r="DJ214" s="146" t="str">
        <f>IF(W214&lt;&gt;"AR","",J214*(INDEX('Device Refrigerant Leakage'!$D$2:$D$42,MATCH(X214,'Device Refrigerant Leakage'!$B$2:$B$42,0))-(INDEX('Device Refrigerant Leakage'!$D$2:$D$42,MATCH(X214,'Device Refrigerant Leakage'!$B$2:$B$42,0)))*DH214*DF214)*DG214/2204.62*DE214)</f>
        <v/>
      </c>
      <c r="DK214" s="146" t="str">
        <f>IF(W214&lt;&gt;"AR","",DI214*(K214-AB214)+'Fuel Sub Calcs-Deemed'!DJ214*((K214-AB214)/INDEX('Device Refrigerant Leakage'!$C$2:$C$42,MATCH('Fuel Sub Calcs-Deemed'!X214,'Device Refrigerant Leakage'!$B$2:$B$42,0))))</f>
        <v/>
      </c>
      <c r="DM214" s="56">
        <v>200</v>
      </c>
      <c r="DN214" s="67" t="e">
        <f t="shared" si="328"/>
        <v>#N/A</v>
      </c>
      <c r="DO214" s="45" t="e">
        <f t="shared" si="329"/>
        <v>#N/A</v>
      </c>
      <c r="DP214" s="67" t="e">
        <f t="shared" si="330"/>
        <v>#N/A</v>
      </c>
      <c r="DQ214" s="45" t="e">
        <f t="shared" si="331"/>
        <v>#N/A</v>
      </c>
      <c r="DR214" s="69" t="e">
        <f t="shared" si="332"/>
        <v>#N/A</v>
      </c>
      <c r="DS214" s="34"/>
      <c r="DT214" s="67" t="e">
        <f>((BX214*CJ214)+IF($W214=MAT_AR,(BZ214*CL214),0))*(1+Reference!$E$50+Reference!$E$51)</f>
        <v>#N/A</v>
      </c>
      <c r="DU214" s="67">
        <f>((BY214*CK214)+IF($W214=MAT_AR,(CA214*CM214),0))*(1+Reference!$G$50+Reference!$G$51)</f>
        <v>0</v>
      </c>
      <c r="DV214" s="67" t="e">
        <f t="shared" si="333"/>
        <v>#VALUE!</v>
      </c>
      <c r="DX214" s="56">
        <v>200</v>
      </c>
      <c r="DY214" s="67">
        <f t="shared" si="334"/>
        <v>0</v>
      </c>
      <c r="DZ214" s="45" t="e">
        <f>VLOOKUP($R214,Dropdown!$C$3:$D$4,2,FALSE)</f>
        <v>#N/A</v>
      </c>
      <c r="EA214" s="68">
        <f t="shared" si="335"/>
        <v>0</v>
      </c>
      <c r="EB214" s="68" t="str">
        <f t="shared" si="336"/>
        <v>N/A</v>
      </c>
      <c r="EC214" s="68">
        <f t="shared" si="337"/>
        <v>0</v>
      </c>
      <c r="ED214" s="68" t="str">
        <f t="shared" si="338"/>
        <v>N/A</v>
      </c>
      <c r="EF214" s="56">
        <v>200</v>
      </c>
      <c r="EG214" s="46">
        <f t="shared" si="339"/>
        <v>0</v>
      </c>
      <c r="EH214" s="68" t="e">
        <f t="shared" si="340"/>
        <v>#N/A</v>
      </c>
      <c r="EI214" s="68" t="e">
        <f t="shared" si="341"/>
        <v>#N/A</v>
      </c>
      <c r="EJ214" s="68" t="e">
        <f t="shared" si="342"/>
        <v>#N/A</v>
      </c>
      <c r="EK214" s="68" t="e">
        <f t="shared" si="343"/>
        <v>#N/A</v>
      </c>
      <c r="EL214" s="46">
        <f t="shared" si="344"/>
        <v>0</v>
      </c>
      <c r="EM214" s="46">
        <f t="shared" si="345"/>
        <v>0</v>
      </c>
    </row>
    <row r="215" spans="1:143">
      <c r="A215" s="89"/>
      <c r="B215" s="89"/>
      <c r="C215" s="89"/>
      <c r="D215" s="89"/>
      <c r="E215" s="89"/>
      <c r="F215" s="89"/>
      <c r="G215" s="34"/>
      <c r="H215" s="56">
        <f t="shared" si="346"/>
        <v>201</v>
      </c>
      <c r="I215" s="165"/>
      <c r="J215" s="163"/>
      <c r="K215" s="163"/>
      <c r="L215" s="164"/>
      <c r="M215" s="155"/>
      <c r="N215" s="155"/>
      <c r="O215" s="144"/>
      <c r="P215" s="159" t="str">
        <f>IFERROR(IF(O215&lt;&gt;"User Specified",IF(O215&lt;&gt;"", INDEX('Refrigerant GWPs'!$G$2:$G$154,MATCH(O215,'Refrigerant GWPs'!$A$2:$A$154,0)),""),U215),0)</f>
        <v/>
      </c>
      <c r="Q215" s="155"/>
      <c r="R215" s="155"/>
      <c r="S215" s="144"/>
      <c r="T215" s="159" t="str">
        <f>IF(S215&lt;&gt;"User Specified",IF(AND(S215&lt;&gt;"User Specified",S215&lt;&gt;""), INDEX('Refrigerant GWPs'!$G$2:$G$154,MATCH(S215,'Refrigerant GWPs'!$A$2:$A$154,0)),""),V215)</f>
        <v/>
      </c>
      <c r="U215" s="144"/>
      <c r="V215" s="144"/>
      <c r="W215" s="155"/>
      <c r="X215" s="155"/>
      <c r="Y215" s="144"/>
      <c r="Z215" s="159" t="str">
        <f>IF(AND(Y215&lt;&gt;"User Specified",Y215&lt;&gt;""), INDEX('Refrigerant GWPs'!$G$2:$G$154,MATCH(Y215,'Refrigerant GWPs'!$A$2:$A$154,0)),"")</f>
        <v/>
      </c>
      <c r="AA215" s="155"/>
      <c r="AB215" s="156"/>
      <c r="AC215" s="66"/>
      <c r="AD215" s="66"/>
      <c r="AE215" s="66"/>
      <c r="AF215" s="66"/>
      <c r="AG215" s="66"/>
      <c r="AH215" s="66"/>
      <c r="AI215" s="34"/>
      <c r="AJ215" s="88">
        <f t="shared" si="304"/>
        <v>0</v>
      </c>
      <c r="AK215" s="88">
        <f t="shared" si="305"/>
        <v>0</v>
      </c>
      <c r="AL215" s="88">
        <v>0</v>
      </c>
      <c r="AM215" s="88">
        <v>0</v>
      </c>
      <c r="AN215" s="81" t="str">
        <f t="shared" ref="AN215:AN278" si="349">IF(OR(BC215:BD215),"Warning: Need to enter baseline and measure consumption","")</f>
        <v/>
      </c>
      <c r="AO215" s="88">
        <f t="shared" si="306"/>
        <v>0</v>
      </c>
      <c r="AP215" s="88">
        <f t="shared" si="307"/>
        <v>0</v>
      </c>
      <c r="AQ215" s="81" t="str">
        <f t="shared" si="308"/>
        <v/>
      </c>
      <c r="AS215" s="41" t="b">
        <f t="shared" si="309"/>
        <v>1</v>
      </c>
      <c r="AT215" s="38">
        <f t="shared" si="310"/>
        <v>0</v>
      </c>
      <c r="AU215" s="60">
        <f t="shared" si="311"/>
        <v>0</v>
      </c>
      <c r="AV215" s="41">
        <f t="shared" si="312"/>
        <v>0</v>
      </c>
      <c r="AW215" s="41" t="b">
        <f t="shared" si="313"/>
        <v>0</v>
      </c>
      <c r="AX215" t="str">
        <f t="shared" si="314"/>
        <v>+00</v>
      </c>
      <c r="AY215" t="str">
        <f t="shared" si="315"/>
        <v>+00</v>
      </c>
      <c r="BA215" s="47" t="b">
        <f t="shared" ref="BA215:BA278" si="350">NOT(OR(ISBLANK(AJ215),ISBLANK(AL215)))</f>
        <v>1</v>
      </c>
      <c r="BB215" s="42" t="b">
        <f t="shared" ref="BB215:BB278" si="351">NOT(OR(ISBLANK(AK215),ISBLANK(AM215)))</f>
        <v>1</v>
      </c>
      <c r="BC215" s="42" t="b">
        <f t="shared" ref="BC215:BC278" si="352">AND(NOT(BA215))</f>
        <v>0</v>
      </c>
      <c r="BD215" s="42" t="b">
        <f t="shared" ref="BD215:BD278" si="353">AND(NOT(BB215))</f>
        <v>0</v>
      </c>
      <c r="BE215" s="70">
        <f t="shared" ref="BE215:BE278" si="354">AJ215-AL215</f>
        <v>0</v>
      </c>
      <c r="BF215" s="70">
        <f t="shared" ref="BF215:BF278" si="355">AK215-AM215</f>
        <v>0</v>
      </c>
      <c r="BG215" s="34"/>
      <c r="BI215" s="47" t="b">
        <f t="shared" ref="BI215:BI278" si="356">NOT(OR(ISBLANK(AL215),ISBLANK(AO215)))</f>
        <v>1</v>
      </c>
      <c r="BJ215" s="47" t="b">
        <f t="shared" ref="BJ215:BJ278" si="357">NOT(OR(ISBLANK(AM215),ISBLANK(AP215)))</f>
        <v>1</v>
      </c>
      <c r="BK215" s="42" t="b">
        <f t="shared" ref="BK215:BK278" si="358">AND(NOT(BI215))</f>
        <v>0</v>
      </c>
      <c r="BL215" s="42" t="b">
        <f t="shared" ref="BL215:BL278" si="359">AND(NOT(BJ215))</f>
        <v>0</v>
      </c>
      <c r="BM215" s="42">
        <f t="shared" ref="BM215:BM278" si="360">IF(NOT(OR(ISBLANK(AO215),ISBLANK(AL215))),AO215-AL215,0)</f>
        <v>0</v>
      </c>
      <c r="BN215" s="42">
        <f t="shared" ref="BN215:BN278" si="361">IF(NOT(OR(ISBLANK(AP215),ISBLANK(AM215))),AP215-AM215,0)</f>
        <v>0</v>
      </c>
      <c r="BP215" t="e">
        <f t="shared" ref="BP215:BP278" si="362">(DN215&gt;=0)</f>
        <v>#N/A</v>
      </c>
      <c r="BQ215" t="e">
        <f t="shared" ref="BQ215:BQ278" si="363">(DP215&gt;=0)</f>
        <v>#N/A</v>
      </c>
      <c r="BR215" t="e">
        <f t="shared" ref="BR215:BR278" si="364">AND(BP215,BQ215)</f>
        <v>#N/A</v>
      </c>
      <c r="BT215" s="60">
        <f t="shared" ref="BT215:BT278" si="365">$J215*BE215</f>
        <v>0</v>
      </c>
      <c r="BU215" s="60">
        <f t="shared" ref="BU215:BU278" si="366">$J215*BF215</f>
        <v>0</v>
      </c>
      <c r="BV215" s="60">
        <f t="shared" ref="BV215:BV278" si="367">$J215*BM215</f>
        <v>0</v>
      </c>
      <c r="BW215" s="60">
        <f t="shared" ref="BW215:BW278" si="368">$J215*BN215</f>
        <v>0</v>
      </c>
      <c r="BX215" s="60">
        <f t="shared" ref="BX215:BX278" si="369">$AT215*BT215</f>
        <v>0</v>
      </c>
      <c r="BY215" s="60">
        <f t="shared" ref="BY215:BY278" si="370">$AT215*BU215</f>
        <v>0</v>
      </c>
      <c r="BZ215" s="60">
        <f t="shared" ref="BZ215:BZ278" si="371">$AU215*BV215</f>
        <v>0</v>
      </c>
      <c r="CA215" s="60">
        <f t="shared" ref="CA215:CA278" si="372">$AU215*BW215</f>
        <v>0</v>
      </c>
      <c r="CB215" s="60" t="e">
        <f t="shared" si="320"/>
        <v>#N/A</v>
      </c>
      <c r="CC215" s="60">
        <f t="shared" si="321"/>
        <v>100000</v>
      </c>
      <c r="CD215" s="60" t="e">
        <f t="shared" si="322"/>
        <v>#N/A</v>
      </c>
      <c r="CE215" s="60">
        <f t="shared" si="323"/>
        <v>100000</v>
      </c>
      <c r="CF215" s="83" t="e">
        <f t="shared" ref="CF215:CF278" si="373">$AT215*CB215/1000000</f>
        <v>#N/A</v>
      </c>
      <c r="CG215" s="83">
        <f t="shared" ref="CG215:CG278" si="374">$AT215*CC215/1000000</f>
        <v>0</v>
      </c>
      <c r="CH215" s="83" t="e">
        <f t="shared" ref="CH215:CH278" si="375">$AU215*CD215/1000000</f>
        <v>#N/A</v>
      </c>
      <c r="CI215" s="83">
        <f t="shared" ref="CI215:CI278" si="376">$AU215*CE215/1000000</f>
        <v>0</v>
      </c>
      <c r="CJ215" s="86" t="e">
        <f t="shared" si="324"/>
        <v>#N/A</v>
      </c>
      <c r="CK215" s="82">
        <f t="shared" si="325"/>
        <v>5.3070370403969858E-3</v>
      </c>
      <c r="CL215" s="82" t="e">
        <f t="shared" si="326"/>
        <v>#N/A</v>
      </c>
      <c r="CM215" s="82">
        <f t="shared" si="327"/>
        <v>5.3070370403969858E-3</v>
      </c>
      <c r="CO215" s="149" t="str">
        <f>IF($I215&lt;&gt;"",IF(O215="User Specified",U215,INDEX('Refrigerant GWPs'!$G$2:$G$156,MATCH(O215,'Refrigerant GWPs'!$A$2:$A$156,0))),"")</f>
        <v/>
      </c>
      <c r="CP215" s="138" t="str">
        <f>IF($I215&lt;&gt;"",INDEX('Device Refrigerant Leakage'!$E$2:$E$42,MATCH($M215,'Device Refrigerant Leakage'!$B$2:$B$42,0)),"")</f>
        <v/>
      </c>
      <c r="CQ215" s="138" t="str">
        <f>IF($I215&lt;&gt;"",INDEX('Device Refrigerant Leakage'!$F$2:$F$42,MATCH($M215,'Device Refrigerant Leakage'!$B$2:$B$42,0)),"")</f>
        <v/>
      </c>
      <c r="CR215" s="145" t="str">
        <f>IF($I215&lt;&gt;"",INDEX('Device Refrigerant Leakage'!$G$2:$G$42,MATCH($M215,'Device Refrigerant Leakage'!$B$2:$B$42,0)),"")</f>
        <v/>
      </c>
      <c r="CS215" s="145" t="str">
        <f>IF($I215&lt;&gt;"",INDEX('Device Refrigerant Leakage'!$D$2:$D$42,MATCH($M215,'Device Refrigerant Leakage'!$B$2:$B$42,0))*CP215/2204.62*CO215,"")</f>
        <v/>
      </c>
      <c r="CT215" s="145" t="str">
        <f>IF($I215&lt;&gt;"",J215*(INDEX('Device Refrigerant Leakage'!$D$2:$D$42,MATCH($M215,'Device Refrigerant Leakage'!$B$2:$B$42,0))-(INDEX('Device Refrigerant Leakage'!$D$2:$D$42,MATCH($M215,'Device Refrigerant Leakage'!$B$2:$B$42,0)))*CR215*CP215)*CQ215/2204.62*CO215,"")</f>
        <v/>
      </c>
      <c r="CU215" s="135" t="str">
        <f>IF($I215&lt;&gt;"",J215*IF(W215&lt;&gt;"AR",(CS215*K215)+CT215,(CS215*AB215)+CT215*(AB215/INDEX('Device Refrigerant Leakage'!$C$2:$C$42,MATCH($M215,'Device Refrigerant Leakage'!$B$2:$B$42,0)))),"")</f>
        <v/>
      </c>
      <c r="CW215" s="135" t="str">
        <f>IF($I215&lt;&gt;"",IF(S215="User Specified",V215,INDEX('Refrigerant GWPs'!$G$2:$G$156,MATCH(S215,'Refrigerant GWPs'!$A$2:$A$157,0))),"")</f>
        <v/>
      </c>
      <c r="CX215" s="138" t="str">
        <f>IF($I215&lt;&gt;"",INDEX('Device Refrigerant Leakage'!$E$2:$E$42,MATCH($Q215,'Device Refrigerant Leakage'!$B$2:$B$42,0)),"")</f>
        <v/>
      </c>
      <c r="CY215" s="138" t="str">
        <f>IF($I215&lt;&gt;"",INDEX('Device Refrigerant Leakage'!$F$2:$F$42,MATCH($Q215,'Device Refrigerant Leakage'!$B$2:$B$42,0)),"")</f>
        <v/>
      </c>
      <c r="CZ215" s="145" t="str">
        <f>IF($I215&lt;&gt;"",INDEX('Device Refrigerant Leakage'!$G$2:$G$42,MATCH($Q215,'Device Refrigerant Leakage'!$B$2:$B$42,0)),"")</f>
        <v/>
      </c>
      <c r="DA215" s="145" t="str">
        <f>IF($I215&lt;&gt;"",J215*INDEX('Device Refrigerant Leakage'!$D$2:$D$42,MATCH($Q215,'Device Refrigerant Leakage'!$B$2:$B$42,0))*CX215/2204.62*CW215,"")</f>
        <v/>
      </c>
      <c r="DB215" s="145" t="str">
        <f>IF($I215&lt;&gt;"",J215*(INDEX('Device Refrigerant Leakage'!$D$2:$D$42,MATCH($Q215,'Device Refrigerant Leakage'!$B$2:$B$42,0))-(INDEX('Device Refrigerant Leakage'!$D$2:$D$42,MATCH($Q215,'Device Refrigerant Leakage'!$B$2:$B$42,0)))*CZ215*CX215)*CY215/2204.62*CW215,"")</f>
        <v/>
      </c>
      <c r="DC215" s="135" t="str">
        <f t="shared" si="348"/>
        <v/>
      </c>
      <c r="DE215" s="146" t="str">
        <f>IF(W215&lt;&gt;"AR","",IF(Y215="User Specified", AA215, INDEX('Refrigerant GWPs'!$G$2:$G$154,MATCH(Y215,'Refrigerant GWPs'!$A$2:$A$154,0))))</f>
        <v/>
      </c>
      <c r="DF215" s="146" t="str">
        <f>IF(W215&lt;&gt;"AR","",INDEX('Device Refrigerant Leakage'!$E$2:$E$42,MATCH(X215,'Device Refrigerant Leakage'!$B$2:$B$42,0)))</f>
        <v/>
      </c>
      <c r="DG215" s="146" t="str">
        <f>IF(W215&lt;&gt;"AR","",INDEX('Device Refrigerant Leakage'!$F$2:$F$42,MATCH(X215,'Device Refrigerant Leakage'!$B$2:$B$42,0)))</f>
        <v/>
      </c>
      <c r="DH215" s="146" t="str">
        <f>IF(W215&lt;&gt;"AR","",INDEX('Device Refrigerant Leakage'!$G$2:$G$42,MATCH(X215,'Device Refrigerant Leakage'!$B$2:$B$42,0)))</f>
        <v/>
      </c>
      <c r="DI215" s="146" t="str">
        <f>IF(W215&lt;&gt;"AR","",J215*INDEX('Device Refrigerant Leakage'!$D$2:$D$42,MATCH(X215,'Device Refrigerant Leakage'!$B$2:$B$42,0))*DF215/2204.62*DE215)</f>
        <v/>
      </c>
      <c r="DJ215" s="146" t="str">
        <f>IF(W215&lt;&gt;"AR","",J215*(INDEX('Device Refrigerant Leakage'!$D$2:$D$42,MATCH(X215,'Device Refrigerant Leakage'!$B$2:$B$42,0))-(INDEX('Device Refrigerant Leakage'!$D$2:$D$42,MATCH(X215,'Device Refrigerant Leakage'!$B$2:$B$42,0)))*DH215*DF215)*DG215/2204.62*DE215)</f>
        <v/>
      </c>
      <c r="DK215" s="146" t="str">
        <f>IF(W215&lt;&gt;"AR","",DI215*(K215-AB215)+'Fuel Sub Calcs-Deemed'!DJ215*((K215-AB215)/INDEX('Device Refrigerant Leakage'!$C$2:$C$42,MATCH('Fuel Sub Calcs-Deemed'!X215,'Device Refrigerant Leakage'!$B$2:$B$42,0))))</f>
        <v/>
      </c>
      <c r="DM215" s="56">
        <v>201</v>
      </c>
      <c r="DN215" s="67" t="e">
        <f t="shared" si="328"/>
        <v>#N/A</v>
      </c>
      <c r="DO215" s="45" t="e">
        <f t="shared" si="329"/>
        <v>#N/A</v>
      </c>
      <c r="DP215" s="67" t="e">
        <f t="shared" si="330"/>
        <v>#N/A</v>
      </c>
      <c r="DQ215" s="45" t="e">
        <f t="shared" si="331"/>
        <v>#N/A</v>
      </c>
      <c r="DR215" s="69" t="e">
        <f t="shared" si="332"/>
        <v>#N/A</v>
      </c>
      <c r="DS215" s="34"/>
      <c r="DT215" s="67" t="e">
        <f>((BX215*CJ215)+IF($W215=MAT_AR,(BZ215*CL215),0))*(1+Reference!$E$50+Reference!$E$51)</f>
        <v>#N/A</v>
      </c>
      <c r="DU215" s="67">
        <f>((BY215*CK215)+IF($W215=MAT_AR,(CA215*CM215),0))*(1+Reference!$G$50+Reference!$G$51)</f>
        <v>0</v>
      </c>
      <c r="DV215" s="67" t="e">
        <f t="shared" si="333"/>
        <v>#VALUE!</v>
      </c>
      <c r="DX215" s="56">
        <v>201</v>
      </c>
      <c r="DY215" s="67">
        <f t="shared" si="334"/>
        <v>0</v>
      </c>
      <c r="DZ215" s="45" t="e">
        <f>VLOOKUP($R215,Dropdown!$C$3:$D$4,2,FALSE)</f>
        <v>#N/A</v>
      </c>
      <c r="EA215" s="68">
        <f t="shared" si="335"/>
        <v>0</v>
      </c>
      <c r="EB215" s="68" t="str">
        <f t="shared" si="336"/>
        <v>N/A</v>
      </c>
      <c r="EC215" s="68">
        <f t="shared" si="337"/>
        <v>0</v>
      </c>
      <c r="ED215" s="68" t="str">
        <f t="shared" ref="ED215:ED278" si="377">IF($R215=fuel_electricity,DY215*10^6/Btu_therm,"N/A")</f>
        <v>N/A</v>
      </c>
      <c r="EF215" s="56">
        <v>201</v>
      </c>
      <c r="EG215" s="46">
        <f t="shared" si="339"/>
        <v>0</v>
      </c>
      <c r="EH215" s="68" t="e">
        <f t="shared" si="340"/>
        <v>#N/A</v>
      </c>
      <c r="EI215" s="68" t="e">
        <f t="shared" si="341"/>
        <v>#N/A</v>
      </c>
      <c r="EJ215" s="68" t="e">
        <f t="shared" si="342"/>
        <v>#N/A</v>
      </c>
      <c r="EK215" s="68" t="e">
        <f t="shared" si="343"/>
        <v>#N/A</v>
      </c>
      <c r="EL215" s="46">
        <f t="shared" si="344"/>
        <v>0</v>
      </c>
      <c r="EM215" s="46">
        <f t="shared" si="345"/>
        <v>0</v>
      </c>
    </row>
    <row r="216" spans="1:143">
      <c r="A216" s="89"/>
      <c r="B216" s="89"/>
      <c r="C216" s="89"/>
      <c r="D216" s="89"/>
      <c r="E216" s="89"/>
      <c r="F216" s="89"/>
      <c r="G216" s="34"/>
      <c r="H216" s="56">
        <f t="shared" si="346"/>
        <v>202</v>
      </c>
      <c r="I216" s="165"/>
      <c r="J216" s="163"/>
      <c r="K216" s="163"/>
      <c r="L216" s="164"/>
      <c r="M216" s="155"/>
      <c r="N216" s="155"/>
      <c r="O216" s="144"/>
      <c r="P216" s="159" t="str">
        <f>IFERROR(IF(O216&lt;&gt;"User Specified",IF(O216&lt;&gt;"", INDEX('Refrigerant GWPs'!$G$2:$G$154,MATCH(O216,'Refrigerant GWPs'!$A$2:$A$154,0)),""),U216),0)</f>
        <v/>
      </c>
      <c r="Q216" s="155"/>
      <c r="R216" s="155"/>
      <c r="S216" s="144"/>
      <c r="T216" s="159" t="str">
        <f>IF(S216&lt;&gt;"User Specified",IF(AND(S216&lt;&gt;"User Specified",S216&lt;&gt;""), INDEX('Refrigerant GWPs'!$G$2:$G$154,MATCH(S216,'Refrigerant GWPs'!$A$2:$A$154,0)),""),V216)</f>
        <v/>
      </c>
      <c r="U216" s="144"/>
      <c r="V216" s="144"/>
      <c r="W216" s="155"/>
      <c r="X216" s="155"/>
      <c r="Y216" s="144"/>
      <c r="Z216" s="159" t="str">
        <f>IF(AND(Y216&lt;&gt;"User Specified",Y216&lt;&gt;""), INDEX('Refrigerant GWPs'!$G$2:$G$154,MATCH(Y216,'Refrigerant GWPs'!$A$2:$A$154,0)),"")</f>
        <v/>
      </c>
      <c r="AA216" s="155"/>
      <c r="AB216" s="156"/>
      <c r="AC216" s="66"/>
      <c r="AD216" s="66"/>
      <c r="AE216" s="66"/>
      <c r="AF216" s="66"/>
      <c r="AG216" s="66"/>
      <c r="AH216" s="66"/>
      <c r="AI216" s="34"/>
      <c r="AJ216" s="88">
        <f t="shared" si="304"/>
        <v>0</v>
      </c>
      <c r="AK216" s="88">
        <f t="shared" si="305"/>
        <v>0</v>
      </c>
      <c r="AL216" s="88">
        <v>0</v>
      </c>
      <c r="AM216" s="88">
        <v>0</v>
      </c>
      <c r="AN216" s="81" t="str">
        <f t="shared" si="349"/>
        <v/>
      </c>
      <c r="AO216" s="88">
        <f t="shared" si="306"/>
        <v>0</v>
      </c>
      <c r="AP216" s="88">
        <f t="shared" si="307"/>
        <v>0</v>
      </c>
      <c r="AQ216" s="81" t="str">
        <f t="shared" si="308"/>
        <v/>
      </c>
      <c r="AS216" s="41" t="b">
        <f t="shared" si="309"/>
        <v>1</v>
      </c>
      <c r="AT216" s="38">
        <f t="shared" si="310"/>
        <v>0</v>
      </c>
      <c r="AU216" s="60">
        <f t="shared" si="311"/>
        <v>0</v>
      </c>
      <c r="AV216" s="41">
        <f t="shared" si="312"/>
        <v>0</v>
      </c>
      <c r="AW216" s="41" t="b">
        <f t="shared" si="313"/>
        <v>0</v>
      </c>
      <c r="AX216" t="str">
        <f t="shared" si="314"/>
        <v>+00</v>
      </c>
      <c r="AY216" t="str">
        <f t="shared" si="315"/>
        <v>+00</v>
      </c>
      <c r="BA216" s="47" t="b">
        <f t="shared" si="350"/>
        <v>1</v>
      </c>
      <c r="BB216" s="42" t="b">
        <f t="shared" si="351"/>
        <v>1</v>
      </c>
      <c r="BC216" s="42" t="b">
        <f t="shared" si="352"/>
        <v>0</v>
      </c>
      <c r="BD216" s="42" t="b">
        <f t="shared" si="353"/>
        <v>0</v>
      </c>
      <c r="BE216" s="70">
        <f t="shared" si="354"/>
        <v>0</v>
      </c>
      <c r="BF216" s="70">
        <f t="shared" si="355"/>
        <v>0</v>
      </c>
      <c r="BG216" s="34"/>
      <c r="BI216" s="47" t="b">
        <f t="shared" si="356"/>
        <v>1</v>
      </c>
      <c r="BJ216" s="47" t="b">
        <f t="shared" si="357"/>
        <v>1</v>
      </c>
      <c r="BK216" s="42" t="b">
        <f t="shared" si="358"/>
        <v>0</v>
      </c>
      <c r="BL216" s="42" t="b">
        <f t="shared" si="359"/>
        <v>0</v>
      </c>
      <c r="BM216" s="42">
        <f t="shared" si="360"/>
        <v>0</v>
      </c>
      <c r="BN216" s="42">
        <f t="shared" si="361"/>
        <v>0</v>
      </c>
      <c r="BP216" t="e">
        <f t="shared" si="362"/>
        <v>#N/A</v>
      </c>
      <c r="BQ216" t="e">
        <f t="shared" si="363"/>
        <v>#N/A</v>
      </c>
      <c r="BR216" t="e">
        <f t="shared" si="364"/>
        <v>#N/A</v>
      </c>
      <c r="BT216" s="60">
        <f t="shared" si="365"/>
        <v>0</v>
      </c>
      <c r="BU216" s="60">
        <f t="shared" si="366"/>
        <v>0</v>
      </c>
      <c r="BV216" s="60">
        <f t="shared" si="367"/>
        <v>0</v>
      </c>
      <c r="BW216" s="60">
        <f t="shared" si="368"/>
        <v>0</v>
      </c>
      <c r="BX216" s="60">
        <f t="shared" si="369"/>
        <v>0</v>
      </c>
      <c r="BY216" s="60">
        <f t="shared" si="370"/>
        <v>0</v>
      </c>
      <c r="BZ216" s="60">
        <f t="shared" si="371"/>
        <v>0</v>
      </c>
      <c r="CA216" s="60">
        <f t="shared" si="372"/>
        <v>0</v>
      </c>
      <c r="CB216" s="60" t="e">
        <f t="shared" si="320"/>
        <v>#N/A</v>
      </c>
      <c r="CC216" s="60">
        <f t="shared" si="321"/>
        <v>100000</v>
      </c>
      <c r="CD216" s="60" t="e">
        <f t="shared" si="322"/>
        <v>#N/A</v>
      </c>
      <c r="CE216" s="60">
        <f t="shared" si="323"/>
        <v>100000</v>
      </c>
      <c r="CF216" s="83" t="e">
        <f t="shared" si="373"/>
        <v>#N/A</v>
      </c>
      <c r="CG216" s="83">
        <f t="shared" si="374"/>
        <v>0</v>
      </c>
      <c r="CH216" s="83" t="e">
        <f t="shared" si="375"/>
        <v>#N/A</v>
      </c>
      <c r="CI216" s="83">
        <f t="shared" si="376"/>
        <v>0</v>
      </c>
      <c r="CJ216" s="86" t="e">
        <f t="shared" si="324"/>
        <v>#N/A</v>
      </c>
      <c r="CK216" s="82">
        <f t="shared" si="325"/>
        <v>5.3070370403969858E-3</v>
      </c>
      <c r="CL216" s="82" t="e">
        <f t="shared" si="326"/>
        <v>#N/A</v>
      </c>
      <c r="CM216" s="82">
        <f t="shared" si="327"/>
        <v>5.3070370403969858E-3</v>
      </c>
      <c r="CO216" s="149" t="str">
        <f>IF($I216&lt;&gt;"",IF(O216="User Specified",U216,INDEX('Refrigerant GWPs'!$G$2:$G$156,MATCH(O216,'Refrigerant GWPs'!$A$2:$A$156,0))),"")</f>
        <v/>
      </c>
      <c r="CP216" s="138" t="str">
        <f>IF($I216&lt;&gt;"",INDEX('Device Refrigerant Leakage'!$E$2:$E$42,MATCH($M216,'Device Refrigerant Leakage'!$B$2:$B$42,0)),"")</f>
        <v/>
      </c>
      <c r="CQ216" s="138" t="str">
        <f>IF($I216&lt;&gt;"",INDEX('Device Refrigerant Leakage'!$F$2:$F$42,MATCH($M216,'Device Refrigerant Leakage'!$B$2:$B$42,0)),"")</f>
        <v/>
      </c>
      <c r="CR216" s="145" t="str">
        <f>IF($I216&lt;&gt;"",INDEX('Device Refrigerant Leakage'!$G$2:$G$42,MATCH($M216,'Device Refrigerant Leakage'!$B$2:$B$42,0)),"")</f>
        <v/>
      </c>
      <c r="CS216" s="145" t="str">
        <f>IF($I216&lt;&gt;"",INDEX('Device Refrigerant Leakage'!$D$2:$D$42,MATCH($M216,'Device Refrigerant Leakage'!$B$2:$B$42,0))*CP216/2204.62*CO216,"")</f>
        <v/>
      </c>
      <c r="CT216" s="145" t="str">
        <f>IF($I216&lt;&gt;"",J216*(INDEX('Device Refrigerant Leakage'!$D$2:$D$42,MATCH($M216,'Device Refrigerant Leakage'!$B$2:$B$42,0))-(INDEX('Device Refrigerant Leakage'!$D$2:$D$42,MATCH($M216,'Device Refrigerant Leakage'!$B$2:$B$42,0)))*CR216*CP216)*CQ216/2204.62*CO216,"")</f>
        <v/>
      </c>
      <c r="CU216" s="135" t="str">
        <f>IF($I216&lt;&gt;"",J216*IF(W216&lt;&gt;"AR",(CS216*K216)+CT216,(CS216*AB216)+CT216*(AB216/INDEX('Device Refrigerant Leakage'!$C$2:$C$42,MATCH($M216,'Device Refrigerant Leakage'!$B$2:$B$42,0)))),"")</f>
        <v/>
      </c>
      <c r="CW216" s="135" t="str">
        <f>IF($I216&lt;&gt;"",IF(S216="User Specified",V216,INDEX('Refrigerant GWPs'!$G$2:$G$156,MATCH(S216,'Refrigerant GWPs'!$A$2:$A$157,0))),"")</f>
        <v/>
      </c>
      <c r="CX216" s="138" t="str">
        <f>IF($I216&lt;&gt;"",INDEX('Device Refrigerant Leakage'!$E$2:$E$42,MATCH($Q216,'Device Refrigerant Leakage'!$B$2:$B$42,0)),"")</f>
        <v/>
      </c>
      <c r="CY216" s="138" t="str">
        <f>IF($I216&lt;&gt;"",INDEX('Device Refrigerant Leakage'!$F$2:$F$42,MATCH($Q216,'Device Refrigerant Leakage'!$B$2:$B$42,0)),"")</f>
        <v/>
      </c>
      <c r="CZ216" s="145" t="str">
        <f>IF($I216&lt;&gt;"",INDEX('Device Refrigerant Leakage'!$G$2:$G$42,MATCH($Q216,'Device Refrigerant Leakage'!$B$2:$B$42,0)),"")</f>
        <v/>
      </c>
      <c r="DA216" s="145" t="str">
        <f>IF($I216&lt;&gt;"",J216*INDEX('Device Refrigerant Leakage'!$D$2:$D$42,MATCH($Q216,'Device Refrigerant Leakage'!$B$2:$B$42,0))*CX216/2204.62*CW216,"")</f>
        <v/>
      </c>
      <c r="DB216" s="145" t="str">
        <f>IF($I216&lt;&gt;"",J216*(INDEX('Device Refrigerant Leakage'!$D$2:$D$42,MATCH($Q216,'Device Refrigerant Leakage'!$B$2:$B$42,0))-(INDEX('Device Refrigerant Leakage'!$D$2:$D$42,MATCH($Q216,'Device Refrigerant Leakage'!$B$2:$B$42,0)))*CZ216*CX216)*CY216/2204.62*CW216,"")</f>
        <v/>
      </c>
      <c r="DC216" s="135" t="str">
        <f t="shared" si="348"/>
        <v/>
      </c>
      <c r="DE216" s="146" t="str">
        <f>IF(W216&lt;&gt;"AR","",IF(Y216="User Specified", AA216, INDEX('Refrigerant GWPs'!$G$2:$G$154,MATCH(Y216,'Refrigerant GWPs'!$A$2:$A$154,0))))</f>
        <v/>
      </c>
      <c r="DF216" s="146" t="str">
        <f>IF(W216&lt;&gt;"AR","",INDEX('Device Refrigerant Leakage'!$E$2:$E$42,MATCH(X216,'Device Refrigerant Leakage'!$B$2:$B$42,0)))</f>
        <v/>
      </c>
      <c r="DG216" s="146" t="str">
        <f>IF(W216&lt;&gt;"AR","",INDEX('Device Refrigerant Leakage'!$F$2:$F$42,MATCH(X216,'Device Refrigerant Leakage'!$B$2:$B$42,0)))</f>
        <v/>
      </c>
      <c r="DH216" s="146" t="str">
        <f>IF(W216&lt;&gt;"AR","",INDEX('Device Refrigerant Leakage'!$G$2:$G$42,MATCH(X216,'Device Refrigerant Leakage'!$B$2:$B$42,0)))</f>
        <v/>
      </c>
      <c r="DI216" s="146" t="str">
        <f>IF(W216&lt;&gt;"AR","",J216*INDEX('Device Refrigerant Leakage'!$D$2:$D$42,MATCH(X216,'Device Refrigerant Leakage'!$B$2:$B$42,0))*DF216/2204.62*DE216)</f>
        <v/>
      </c>
      <c r="DJ216" s="146" t="str">
        <f>IF(W216&lt;&gt;"AR","",J216*(INDEX('Device Refrigerant Leakage'!$D$2:$D$42,MATCH(X216,'Device Refrigerant Leakage'!$B$2:$B$42,0))-(INDEX('Device Refrigerant Leakage'!$D$2:$D$42,MATCH(X216,'Device Refrigerant Leakage'!$B$2:$B$42,0)))*DH216*DF216)*DG216/2204.62*DE216)</f>
        <v/>
      </c>
      <c r="DK216" s="146" t="str">
        <f>IF(W216&lt;&gt;"AR","",DI216*(K216-AB216)+'Fuel Sub Calcs-Deemed'!DJ216*((K216-AB216)/INDEX('Device Refrigerant Leakage'!$C$2:$C$42,MATCH('Fuel Sub Calcs-Deemed'!X216,'Device Refrigerant Leakage'!$B$2:$B$42,0))))</f>
        <v/>
      </c>
      <c r="DM216" s="56">
        <v>202</v>
      </c>
      <c r="DN216" s="67" t="e">
        <f t="shared" si="328"/>
        <v>#N/A</v>
      </c>
      <c r="DO216" s="45" t="e">
        <f t="shared" si="329"/>
        <v>#N/A</v>
      </c>
      <c r="DP216" s="67" t="e">
        <f t="shared" si="330"/>
        <v>#N/A</v>
      </c>
      <c r="DQ216" s="45" t="e">
        <f t="shared" si="331"/>
        <v>#N/A</v>
      </c>
      <c r="DR216" s="69" t="e">
        <f t="shared" si="332"/>
        <v>#N/A</v>
      </c>
      <c r="DS216" s="34"/>
      <c r="DT216" s="67" t="e">
        <f>((BX216*CJ216)+IF($W216=MAT_AR,(BZ216*CL216),0))*(1+Reference!$E$50+Reference!$E$51)</f>
        <v>#N/A</v>
      </c>
      <c r="DU216" s="67">
        <f>((BY216*CK216)+IF($W216=MAT_AR,(CA216*CM216),0))*(1+Reference!$G$50+Reference!$G$51)</f>
        <v>0</v>
      </c>
      <c r="DV216" s="67" t="e">
        <f t="shared" si="333"/>
        <v>#VALUE!</v>
      </c>
      <c r="DX216" s="56">
        <v>202</v>
      </c>
      <c r="DY216" s="67">
        <f t="shared" si="334"/>
        <v>0</v>
      </c>
      <c r="DZ216" s="45" t="e">
        <f>VLOOKUP($R216,Dropdown!$C$3:$D$4,2,FALSE)</f>
        <v>#N/A</v>
      </c>
      <c r="EA216" s="68">
        <f t="shared" si="335"/>
        <v>0</v>
      </c>
      <c r="EB216" s="68" t="str">
        <f t="shared" si="336"/>
        <v>N/A</v>
      </c>
      <c r="EC216" s="68">
        <f t="shared" si="337"/>
        <v>0</v>
      </c>
      <c r="ED216" s="68" t="str">
        <f t="shared" si="377"/>
        <v>N/A</v>
      </c>
      <c r="EF216" s="56">
        <v>202</v>
      </c>
      <c r="EG216" s="46">
        <f t="shared" si="339"/>
        <v>0</v>
      </c>
      <c r="EH216" s="68" t="e">
        <f t="shared" si="340"/>
        <v>#N/A</v>
      </c>
      <c r="EI216" s="68" t="e">
        <f t="shared" si="341"/>
        <v>#N/A</v>
      </c>
      <c r="EJ216" s="68" t="e">
        <f t="shared" si="342"/>
        <v>#N/A</v>
      </c>
      <c r="EK216" s="68" t="e">
        <f t="shared" si="343"/>
        <v>#N/A</v>
      </c>
      <c r="EL216" s="46">
        <f t="shared" si="344"/>
        <v>0</v>
      </c>
      <c r="EM216" s="46">
        <f t="shared" si="345"/>
        <v>0</v>
      </c>
    </row>
    <row r="217" spans="1:143">
      <c r="A217" s="89"/>
      <c r="B217" s="89"/>
      <c r="C217" s="89"/>
      <c r="D217" s="89"/>
      <c r="E217" s="89"/>
      <c r="F217" s="89"/>
      <c r="G217" s="34"/>
      <c r="H217" s="56">
        <f t="shared" si="346"/>
        <v>203</v>
      </c>
      <c r="I217" s="165"/>
      <c r="J217" s="163"/>
      <c r="K217" s="163"/>
      <c r="L217" s="164"/>
      <c r="M217" s="155"/>
      <c r="N217" s="155"/>
      <c r="O217" s="144"/>
      <c r="P217" s="159" t="str">
        <f>IFERROR(IF(O217&lt;&gt;"User Specified",IF(O217&lt;&gt;"", INDEX('Refrigerant GWPs'!$G$2:$G$154,MATCH(O217,'Refrigerant GWPs'!$A$2:$A$154,0)),""),U217),0)</f>
        <v/>
      </c>
      <c r="Q217" s="155"/>
      <c r="R217" s="155"/>
      <c r="S217" s="144"/>
      <c r="T217" s="159" t="str">
        <f>IF(S217&lt;&gt;"User Specified",IF(AND(S217&lt;&gt;"User Specified",S217&lt;&gt;""), INDEX('Refrigerant GWPs'!$G$2:$G$154,MATCH(S217,'Refrigerant GWPs'!$A$2:$A$154,0)),""),V217)</f>
        <v/>
      </c>
      <c r="U217" s="144"/>
      <c r="V217" s="144"/>
      <c r="W217" s="155"/>
      <c r="X217" s="155"/>
      <c r="Y217" s="144"/>
      <c r="Z217" s="159" t="str">
        <f>IF(AND(Y217&lt;&gt;"User Specified",Y217&lt;&gt;""), INDEX('Refrigerant GWPs'!$G$2:$G$154,MATCH(Y217,'Refrigerant GWPs'!$A$2:$A$154,0)),"")</f>
        <v/>
      </c>
      <c r="AA217" s="155"/>
      <c r="AB217" s="156"/>
      <c r="AC217" s="66"/>
      <c r="AD217" s="66"/>
      <c r="AE217" s="66"/>
      <c r="AF217" s="66"/>
      <c r="AG217" s="66"/>
      <c r="AH217" s="66"/>
      <c r="AI217" s="34"/>
      <c r="AJ217" s="88">
        <f t="shared" si="304"/>
        <v>0</v>
      </c>
      <c r="AK217" s="88">
        <f t="shared" si="305"/>
        <v>0</v>
      </c>
      <c r="AL217" s="88">
        <v>0</v>
      </c>
      <c r="AM217" s="88">
        <v>0</v>
      </c>
      <c r="AN217" s="81" t="str">
        <f t="shared" si="349"/>
        <v/>
      </c>
      <c r="AO217" s="88">
        <f t="shared" si="306"/>
        <v>0</v>
      </c>
      <c r="AP217" s="88">
        <f t="shared" si="307"/>
        <v>0</v>
      </c>
      <c r="AQ217" s="81" t="str">
        <f t="shared" si="308"/>
        <v/>
      </c>
      <c r="AS217" s="41" t="b">
        <f t="shared" si="309"/>
        <v>1</v>
      </c>
      <c r="AT217" s="38">
        <f t="shared" si="310"/>
        <v>0</v>
      </c>
      <c r="AU217" s="60">
        <f t="shared" si="311"/>
        <v>0</v>
      </c>
      <c r="AV217" s="41">
        <f t="shared" si="312"/>
        <v>0</v>
      </c>
      <c r="AW217" s="41" t="b">
        <f t="shared" si="313"/>
        <v>0</v>
      </c>
      <c r="AX217" t="str">
        <f t="shared" si="314"/>
        <v>+00</v>
      </c>
      <c r="AY217" t="str">
        <f t="shared" si="315"/>
        <v>+00</v>
      </c>
      <c r="BA217" s="47" t="b">
        <f t="shared" si="350"/>
        <v>1</v>
      </c>
      <c r="BB217" s="42" t="b">
        <f t="shared" si="351"/>
        <v>1</v>
      </c>
      <c r="BC217" s="42" t="b">
        <f t="shared" si="352"/>
        <v>0</v>
      </c>
      <c r="BD217" s="42" t="b">
        <f t="shared" si="353"/>
        <v>0</v>
      </c>
      <c r="BE217" s="70">
        <f t="shared" si="354"/>
        <v>0</v>
      </c>
      <c r="BF217" s="70">
        <f t="shared" si="355"/>
        <v>0</v>
      </c>
      <c r="BG217" s="34"/>
      <c r="BI217" s="47" t="b">
        <f t="shared" si="356"/>
        <v>1</v>
      </c>
      <c r="BJ217" s="47" t="b">
        <f t="shared" si="357"/>
        <v>1</v>
      </c>
      <c r="BK217" s="42" t="b">
        <f t="shared" si="358"/>
        <v>0</v>
      </c>
      <c r="BL217" s="42" t="b">
        <f t="shared" si="359"/>
        <v>0</v>
      </c>
      <c r="BM217" s="42">
        <f t="shared" si="360"/>
        <v>0</v>
      </c>
      <c r="BN217" s="42">
        <f t="shared" si="361"/>
        <v>0</v>
      </c>
      <c r="BP217" t="e">
        <f t="shared" si="362"/>
        <v>#N/A</v>
      </c>
      <c r="BQ217" t="e">
        <f t="shared" si="363"/>
        <v>#N/A</v>
      </c>
      <c r="BR217" t="e">
        <f t="shared" si="364"/>
        <v>#N/A</v>
      </c>
      <c r="BT217" s="60">
        <f t="shared" si="365"/>
        <v>0</v>
      </c>
      <c r="BU217" s="60">
        <f t="shared" si="366"/>
        <v>0</v>
      </c>
      <c r="BV217" s="60">
        <f t="shared" si="367"/>
        <v>0</v>
      </c>
      <c r="BW217" s="60">
        <f t="shared" si="368"/>
        <v>0</v>
      </c>
      <c r="BX217" s="60">
        <f t="shared" si="369"/>
        <v>0</v>
      </c>
      <c r="BY217" s="60">
        <f t="shared" si="370"/>
        <v>0</v>
      </c>
      <c r="BZ217" s="60">
        <f t="shared" si="371"/>
        <v>0</v>
      </c>
      <c r="CA217" s="60">
        <f t="shared" si="372"/>
        <v>0</v>
      </c>
      <c r="CB217" s="60" t="e">
        <f t="shared" si="320"/>
        <v>#N/A</v>
      </c>
      <c r="CC217" s="60">
        <f t="shared" si="321"/>
        <v>100000</v>
      </c>
      <c r="CD217" s="60" t="e">
        <f t="shared" si="322"/>
        <v>#N/A</v>
      </c>
      <c r="CE217" s="60">
        <f t="shared" si="323"/>
        <v>100000</v>
      </c>
      <c r="CF217" s="83" t="e">
        <f t="shared" si="373"/>
        <v>#N/A</v>
      </c>
      <c r="CG217" s="83">
        <f t="shared" si="374"/>
        <v>0</v>
      </c>
      <c r="CH217" s="83" t="e">
        <f t="shared" si="375"/>
        <v>#N/A</v>
      </c>
      <c r="CI217" s="83">
        <f t="shared" si="376"/>
        <v>0</v>
      </c>
      <c r="CJ217" s="86" t="e">
        <f t="shared" si="324"/>
        <v>#N/A</v>
      </c>
      <c r="CK217" s="82">
        <f t="shared" si="325"/>
        <v>5.3070370403969858E-3</v>
      </c>
      <c r="CL217" s="82" t="e">
        <f t="shared" si="326"/>
        <v>#N/A</v>
      </c>
      <c r="CM217" s="82">
        <f t="shared" si="327"/>
        <v>5.3070370403969858E-3</v>
      </c>
      <c r="CO217" s="149" t="str">
        <f>IF($I217&lt;&gt;"",IF(O217="User Specified",U217,INDEX('Refrigerant GWPs'!$G$2:$G$156,MATCH(O217,'Refrigerant GWPs'!$A$2:$A$156,0))),"")</f>
        <v/>
      </c>
      <c r="CP217" s="138" t="str">
        <f>IF($I217&lt;&gt;"",INDEX('Device Refrigerant Leakage'!$E$2:$E$42,MATCH($M217,'Device Refrigerant Leakage'!$B$2:$B$42,0)),"")</f>
        <v/>
      </c>
      <c r="CQ217" s="138" t="str">
        <f>IF($I217&lt;&gt;"",INDEX('Device Refrigerant Leakage'!$F$2:$F$42,MATCH($M217,'Device Refrigerant Leakage'!$B$2:$B$42,0)),"")</f>
        <v/>
      </c>
      <c r="CR217" s="145" t="str">
        <f>IF($I217&lt;&gt;"",INDEX('Device Refrigerant Leakage'!$G$2:$G$42,MATCH($M217,'Device Refrigerant Leakage'!$B$2:$B$42,0)),"")</f>
        <v/>
      </c>
      <c r="CS217" s="145" t="str">
        <f>IF($I217&lt;&gt;"",INDEX('Device Refrigerant Leakage'!$D$2:$D$42,MATCH($M217,'Device Refrigerant Leakage'!$B$2:$B$42,0))*CP217/2204.62*CO217,"")</f>
        <v/>
      </c>
      <c r="CT217" s="145" t="str">
        <f>IF($I217&lt;&gt;"",J217*(INDEX('Device Refrigerant Leakage'!$D$2:$D$42,MATCH($M217,'Device Refrigerant Leakage'!$B$2:$B$42,0))-(INDEX('Device Refrigerant Leakage'!$D$2:$D$42,MATCH($M217,'Device Refrigerant Leakage'!$B$2:$B$42,0)))*CR217*CP217)*CQ217/2204.62*CO217,"")</f>
        <v/>
      </c>
      <c r="CU217" s="135" t="str">
        <f>IF($I217&lt;&gt;"",J217*IF(W217&lt;&gt;"AR",(CS217*K217)+CT217,(CS217*AB217)+CT217*(AB217/INDEX('Device Refrigerant Leakage'!$C$2:$C$42,MATCH($M217,'Device Refrigerant Leakage'!$B$2:$B$42,0)))),"")</f>
        <v/>
      </c>
      <c r="CW217" s="135" t="str">
        <f>IF($I217&lt;&gt;"",IF(S217="User Specified",V217,INDEX('Refrigerant GWPs'!$G$2:$G$156,MATCH(S217,'Refrigerant GWPs'!$A$2:$A$157,0))),"")</f>
        <v/>
      </c>
      <c r="CX217" s="138" t="str">
        <f>IF($I217&lt;&gt;"",INDEX('Device Refrigerant Leakage'!$E$2:$E$42,MATCH($Q217,'Device Refrigerant Leakage'!$B$2:$B$42,0)),"")</f>
        <v/>
      </c>
      <c r="CY217" s="138" t="str">
        <f>IF($I217&lt;&gt;"",INDEX('Device Refrigerant Leakage'!$F$2:$F$42,MATCH($Q217,'Device Refrigerant Leakage'!$B$2:$B$42,0)),"")</f>
        <v/>
      </c>
      <c r="CZ217" s="145" t="str">
        <f>IF($I217&lt;&gt;"",INDEX('Device Refrigerant Leakage'!$G$2:$G$42,MATCH($Q217,'Device Refrigerant Leakage'!$B$2:$B$42,0)),"")</f>
        <v/>
      </c>
      <c r="DA217" s="145" t="str">
        <f>IF($I217&lt;&gt;"",J217*INDEX('Device Refrigerant Leakage'!$D$2:$D$42,MATCH($Q217,'Device Refrigerant Leakage'!$B$2:$B$42,0))*CX217/2204.62*CW217,"")</f>
        <v/>
      </c>
      <c r="DB217" s="145" t="str">
        <f>IF($I217&lt;&gt;"",J217*(INDEX('Device Refrigerant Leakage'!$D$2:$D$42,MATCH($Q217,'Device Refrigerant Leakage'!$B$2:$B$42,0))-(INDEX('Device Refrigerant Leakage'!$D$2:$D$42,MATCH($Q217,'Device Refrigerant Leakage'!$B$2:$B$42,0)))*CZ217*CX217)*CY217/2204.62*CW217,"")</f>
        <v/>
      </c>
      <c r="DC217" s="135" t="str">
        <f t="shared" si="348"/>
        <v/>
      </c>
      <c r="DE217" s="146" t="str">
        <f>IF(W217&lt;&gt;"AR","",IF(Y217="User Specified", AA217, INDEX('Refrigerant GWPs'!$G$2:$G$154,MATCH(Y217,'Refrigerant GWPs'!$A$2:$A$154,0))))</f>
        <v/>
      </c>
      <c r="DF217" s="146" t="str">
        <f>IF(W217&lt;&gt;"AR","",INDEX('Device Refrigerant Leakage'!$E$2:$E$42,MATCH(X217,'Device Refrigerant Leakage'!$B$2:$B$42,0)))</f>
        <v/>
      </c>
      <c r="DG217" s="146" t="str">
        <f>IF(W217&lt;&gt;"AR","",INDEX('Device Refrigerant Leakage'!$F$2:$F$42,MATCH(X217,'Device Refrigerant Leakage'!$B$2:$B$42,0)))</f>
        <v/>
      </c>
      <c r="DH217" s="146" t="str">
        <f>IF(W217&lt;&gt;"AR","",INDEX('Device Refrigerant Leakage'!$G$2:$G$42,MATCH(X217,'Device Refrigerant Leakage'!$B$2:$B$42,0)))</f>
        <v/>
      </c>
      <c r="DI217" s="146" t="str">
        <f>IF(W217&lt;&gt;"AR","",J217*INDEX('Device Refrigerant Leakage'!$D$2:$D$42,MATCH(X217,'Device Refrigerant Leakage'!$B$2:$B$42,0))*DF217/2204.62*DE217)</f>
        <v/>
      </c>
      <c r="DJ217" s="146" t="str">
        <f>IF(W217&lt;&gt;"AR","",J217*(INDEX('Device Refrigerant Leakage'!$D$2:$D$42,MATCH(X217,'Device Refrigerant Leakage'!$B$2:$B$42,0))-(INDEX('Device Refrigerant Leakage'!$D$2:$D$42,MATCH(X217,'Device Refrigerant Leakage'!$B$2:$B$42,0)))*DH217*DF217)*DG217/2204.62*DE217)</f>
        <v/>
      </c>
      <c r="DK217" s="146" t="str">
        <f>IF(W217&lt;&gt;"AR","",DI217*(K217-AB217)+'Fuel Sub Calcs-Deemed'!DJ217*((K217-AB217)/INDEX('Device Refrigerant Leakage'!$C$2:$C$42,MATCH('Fuel Sub Calcs-Deemed'!X217,'Device Refrigerant Leakage'!$B$2:$B$42,0))))</f>
        <v/>
      </c>
      <c r="DM217" s="56">
        <v>203</v>
      </c>
      <c r="DN217" s="67" t="e">
        <f t="shared" si="328"/>
        <v>#N/A</v>
      </c>
      <c r="DO217" s="45" t="e">
        <f t="shared" si="329"/>
        <v>#N/A</v>
      </c>
      <c r="DP217" s="67" t="e">
        <f t="shared" si="330"/>
        <v>#N/A</v>
      </c>
      <c r="DQ217" s="45" t="e">
        <f t="shared" si="331"/>
        <v>#N/A</v>
      </c>
      <c r="DR217" s="69" t="e">
        <f t="shared" si="332"/>
        <v>#N/A</v>
      </c>
      <c r="DS217" s="34"/>
      <c r="DT217" s="67" t="e">
        <f>((BX217*CJ217)+IF($W217=MAT_AR,(BZ217*CL217),0))*(1+Reference!$E$50+Reference!$E$51)</f>
        <v>#N/A</v>
      </c>
      <c r="DU217" s="67">
        <f>((BY217*CK217)+IF($W217=MAT_AR,(CA217*CM217),0))*(1+Reference!$G$50+Reference!$G$51)</f>
        <v>0</v>
      </c>
      <c r="DV217" s="67" t="e">
        <f t="shared" si="333"/>
        <v>#VALUE!</v>
      </c>
      <c r="DX217" s="56">
        <v>203</v>
      </c>
      <c r="DY217" s="67">
        <f t="shared" si="334"/>
        <v>0</v>
      </c>
      <c r="DZ217" s="45" t="e">
        <f>VLOOKUP($R217,Dropdown!$C$3:$D$4,2,FALSE)</f>
        <v>#N/A</v>
      </c>
      <c r="EA217" s="68">
        <f t="shared" si="335"/>
        <v>0</v>
      </c>
      <c r="EB217" s="68" t="str">
        <f t="shared" si="336"/>
        <v>N/A</v>
      </c>
      <c r="EC217" s="68">
        <f t="shared" si="337"/>
        <v>0</v>
      </c>
      <c r="ED217" s="68" t="str">
        <f t="shared" si="377"/>
        <v>N/A</v>
      </c>
      <c r="EF217" s="56">
        <v>203</v>
      </c>
      <c r="EG217" s="46">
        <f t="shared" si="339"/>
        <v>0</v>
      </c>
      <c r="EH217" s="68" t="e">
        <f t="shared" si="340"/>
        <v>#N/A</v>
      </c>
      <c r="EI217" s="68" t="e">
        <f t="shared" si="341"/>
        <v>#N/A</v>
      </c>
      <c r="EJ217" s="68" t="e">
        <f t="shared" si="342"/>
        <v>#N/A</v>
      </c>
      <c r="EK217" s="68" t="e">
        <f t="shared" si="343"/>
        <v>#N/A</v>
      </c>
      <c r="EL217" s="46">
        <f t="shared" si="344"/>
        <v>0</v>
      </c>
      <c r="EM217" s="46">
        <f t="shared" si="345"/>
        <v>0</v>
      </c>
    </row>
    <row r="218" spans="1:143">
      <c r="A218" s="89"/>
      <c r="B218" s="89"/>
      <c r="C218" s="89"/>
      <c r="D218" s="89"/>
      <c r="E218" s="89"/>
      <c r="F218" s="89"/>
      <c r="G218" s="34"/>
      <c r="H218" s="56">
        <f t="shared" si="346"/>
        <v>204</v>
      </c>
      <c r="I218" s="165"/>
      <c r="J218" s="163"/>
      <c r="K218" s="163"/>
      <c r="L218" s="164"/>
      <c r="M218" s="155"/>
      <c r="N218" s="155"/>
      <c r="O218" s="144"/>
      <c r="P218" s="159" t="str">
        <f>IFERROR(IF(O218&lt;&gt;"User Specified",IF(O218&lt;&gt;"", INDEX('Refrigerant GWPs'!$G$2:$G$154,MATCH(O218,'Refrigerant GWPs'!$A$2:$A$154,0)),""),U218),0)</f>
        <v/>
      </c>
      <c r="Q218" s="155"/>
      <c r="R218" s="155"/>
      <c r="S218" s="144"/>
      <c r="T218" s="159" t="str">
        <f>IF(S218&lt;&gt;"User Specified",IF(AND(S218&lt;&gt;"User Specified",S218&lt;&gt;""), INDEX('Refrigerant GWPs'!$G$2:$G$154,MATCH(S218,'Refrigerant GWPs'!$A$2:$A$154,0)),""),V218)</f>
        <v/>
      </c>
      <c r="U218" s="144"/>
      <c r="V218" s="144"/>
      <c r="W218" s="155"/>
      <c r="X218" s="155"/>
      <c r="Y218" s="144"/>
      <c r="Z218" s="159" t="str">
        <f>IF(AND(Y218&lt;&gt;"User Specified",Y218&lt;&gt;""), INDEX('Refrigerant GWPs'!$G$2:$G$154,MATCH(Y218,'Refrigerant GWPs'!$A$2:$A$154,0)),"")</f>
        <v/>
      </c>
      <c r="AA218" s="155"/>
      <c r="AB218" s="156"/>
      <c r="AC218" s="66"/>
      <c r="AD218" s="66"/>
      <c r="AE218" s="66"/>
      <c r="AF218" s="66"/>
      <c r="AG218" s="66"/>
      <c r="AH218" s="66"/>
      <c r="AI218" s="34"/>
      <c r="AJ218" s="88">
        <f t="shared" si="304"/>
        <v>0</v>
      </c>
      <c r="AK218" s="88">
        <f t="shared" si="305"/>
        <v>0</v>
      </c>
      <c r="AL218" s="88">
        <v>0</v>
      </c>
      <c r="AM218" s="88">
        <v>0</v>
      </c>
      <c r="AN218" s="81" t="str">
        <f t="shared" si="349"/>
        <v/>
      </c>
      <c r="AO218" s="88">
        <f t="shared" si="306"/>
        <v>0</v>
      </c>
      <c r="AP218" s="88">
        <f t="shared" si="307"/>
        <v>0</v>
      </c>
      <c r="AQ218" s="81" t="str">
        <f t="shared" si="308"/>
        <v/>
      </c>
      <c r="AS218" s="41" t="b">
        <f t="shared" si="309"/>
        <v>1</v>
      </c>
      <c r="AT218" s="38">
        <f t="shared" si="310"/>
        <v>0</v>
      </c>
      <c r="AU218" s="60">
        <f t="shared" si="311"/>
        <v>0</v>
      </c>
      <c r="AV218" s="41">
        <f t="shared" si="312"/>
        <v>0</v>
      </c>
      <c r="AW218" s="41" t="b">
        <f t="shared" si="313"/>
        <v>0</v>
      </c>
      <c r="AX218" t="str">
        <f t="shared" si="314"/>
        <v>+00</v>
      </c>
      <c r="AY218" t="str">
        <f t="shared" si="315"/>
        <v>+00</v>
      </c>
      <c r="BA218" s="47" t="b">
        <f t="shared" si="350"/>
        <v>1</v>
      </c>
      <c r="BB218" s="42" t="b">
        <f t="shared" si="351"/>
        <v>1</v>
      </c>
      <c r="BC218" s="42" t="b">
        <f t="shared" si="352"/>
        <v>0</v>
      </c>
      <c r="BD218" s="42" t="b">
        <f t="shared" si="353"/>
        <v>0</v>
      </c>
      <c r="BE218" s="70">
        <f t="shared" si="354"/>
        <v>0</v>
      </c>
      <c r="BF218" s="70">
        <f t="shared" si="355"/>
        <v>0</v>
      </c>
      <c r="BG218" s="34"/>
      <c r="BI218" s="47" t="b">
        <f t="shared" si="356"/>
        <v>1</v>
      </c>
      <c r="BJ218" s="47" t="b">
        <f t="shared" si="357"/>
        <v>1</v>
      </c>
      <c r="BK218" s="42" t="b">
        <f t="shared" si="358"/>
        <v>0</v>
      </c>
      <c r="BL218" s="42" t="b">
        <f t="shared" si="359"/>
        <v>0</v>
      </c>
      <c r="BM218" s="42">
        <f t="shared" si="360"/>
        <v>0</v>
      </c>
      <c r="BN218" s="42">
        <f t="shared" si="361"/>
        <v>0</v>
      </c>
      <c r="BP218" t="e">
        <f t="shared" si="362"/>
        <v>#N/A</v>
      </c>
      <c r="BQ218" t="e">
        <f t="shared" si="363"/>
        <v>#N/A</v>
      </c>
      <c r="BR218" t="e">
        <f t="shared" si="364"/>
        <v>#N/A</v>
      </c>
      <c r="BT218" s="60">
        <f t="shared" si="365"/>
        <v>0</v>
      </c>
      <c r="BU218" s="60">
        <f t="shared" si="366"/>
        <v>0</v>
      </c>
      <c r="BV218" s="60">
        <f t="shared" si="367"/>
        <v>0</v>
      </c>
      <c r="BW218" s="60">
        <f t="shared" si="368"/>
        <v>0</v>
      </c>
      <c r="BX218" s="60">
        <f t="shared" si="369"/>
        <v>0</v>
      </c>
      <c r="BY218" s="60">
        <f t="shared" si="370"/>
        <v>0</v>
      </c>
      <c r="BZ218" s="60">
        <f t="shared" si="371"/>
        <v>0</v>
      </c>
      <c r="CA218" s="60">
        <f t="shared" si="372"/>
        <v>0</v>
      </c>
      <c r="CB218" s="60" t="e">
        <f t="shared" si="320"/>
        <v>#N/A</v>
      </c>
      <c r="CC218" s="60">
        <f t="shared" si="321"/>
        <v>100000</v>
      </c>
      <c r="CD218" s="60" t="e">
        <f t="shared" si="322"/>
        <v>#N/A</v>
      </c>
      <c r="CE218" s="60">
        <f t="shared" si="323"/>
        <v>100000</v>
      </c>
      <c r="CF218" s="83" t="e">
        <f t="shared" si="373"/>
        <v>#N/A</v>
      </c>
      <c r="CG218" s="83">
        <f t="shared" si="374"/>
        <v>0</v>
      </c>
      <c r="CH218" s="83" t="e">
        <f t="shared" si="375"/>
        <v>#N/A</v>
      </c>
      <c r="CI218" s="83">
        <f t="shared" si="376"/>
        <v>0</v>
      </c>
      <c r="CJ218" s="86" t="e">
        <f t="shared" si="324"/>
        <v>#N/A</v>
      </c>
      <c r="CK218" s="82">
        <f t="shared" si="325"/>
        <v>5.3070370403969858E-3</v>
      </c>
      <c r="CL218" s="82" t="e">
        <f t="shared" si="326"/>
        <v>#N/A</v>
      </c>
      <c r="CM218" s="82">
        <f t="shared" si="327"/>
        <v>5.3070370403969858E-3</v>
      </c>
      <c r="CO218" s="149" t="str">
        <f>IF($I218&lt;&gt;"",IF(O218="User Specified",U218,INDEX('Refrigerant GWPs'!$G$2:$G$156,MATCH(O218,'Refrigerant GWPs'!$A$2:$A$156,0))),"")</f>
        <v/>
      </c>
      <c r="CP218" s="138" t="str">
        <f>IF($I218&lt;&gt;"",INDEX('Device Refrigerant Leakage'!$E$2:$E$42,MATCH($M218,'Device Refrigerant Leakage'!$B$2:$B$42,0)),"")</f>
        <v/>
      </c>
      <c r="CQ218" s="138" t="str">
        <f>IF($I218&lt;&gt;"",INDEX('Device Refrigerant Leakage'!$F$2:$F$42,MATCH($M218,'Device Refrigerant Leakage'!$B$2:$B$42,0)),"")</f>
        <v/>
      </c>
      <c r="CR218" s="145" t="str">
        <f>IF($I218&lt;&gt;"",INDEX('Device Refrigerant Leakage'!$G$2:$G$42,MATCH($M218,'Device Refrigerant Leakage'!$B$2:$B$42,0)),"")</f>
        <v/>
      </c>
      <c r="CS218" s="145" t="str">
        <f>IF($I218&lt;&gt;"",INDEX('Device Refrigerant Leakage'!$D$2:$D$42,MATCH($M218,'Device Refrigerant Leakage'!$B$2:$B$42,0))*CP218/2204.62*CO218,"")</f>
        <v/>
      </c>
      <c r="CT218" s="145" t="str">
        <f>IF($I218&lt;&gt;"",J218*(INDEX('Device Refrigerant Leakage'!$D$2:$D$42,MATCH($M218,'Device Refrigerant Leakage'!$B$2:$B$42,0))-(INDEX('Device Refrigerant Leakage'!$D$2:$D$42,MATCH($M218,'Device Refrigerant Leakage'!$B$2:$B$42,0)))*CR218*CP218)*CQ218/2204.62*CO218,"")</f>
        <v/>
      </c>
      <c r="CU218" s="135" t="str">
        <f>IF($I218&lt;&gt;"",J218*IF(W218&lt;&gt;"AR",(CS218*K218)+CT218,(CS218*AB218)+CT218*(AB218/INDEX('Device Refrigerant Leakage'!$C$2:$C$42,MATCH($M218,'Device Refrigerant Leakage'!$B$2:$B$42,0)))),"")</f>
        <v/>
      </c>
      <c r="CW218" s="135" t="str">
        <f>IF($I218&lt;&gt;"",IF(S218="User Specified",V218,INDEX('Refrigerant GWPs'!$G$2:$G$156,MATCH(S218,'Refrigerant GWPs'!$A$2:$A$157,0))),"")</f>
        <v/>
      </c>
      <c r="CX218" s="138" t="str">
        <f>IF($I218&lt;&gt;"",INDEX('Device Refrigerant Leakage'!$E$2:$E$42,MATCH($Q218,'Device Refrigerant Leakage'!$B$2:$B$42,0)),"")</f>
        <v/>
      </c>
      <c r="CY218" s="138" t="str">
        <f>IF($I218&lt;&gt;"",INDEX('Device Refrigerant Leakage'!$F$2:$F$42,MATCH($Q218,'Device Refrigerant Leakage'!$B$2:$B$42,0)),"")</f>
        <v/>
      </c>
      <c r="CZ218" s="145" t="str">
        <f>IF($I218&lt;&gt;"",INDEX('Device Refrigerant Leakage'!$G$2:$G$42,MATCH($Q218,'Device Refrigerant Leakage'!$B$2:$B$42,0)),"")</f>
        <v/>
      </c>
      <c r="DA218" s="145" t="str">
        <f>IF($I218&lt;&gt;"",J218*INDEX('Device Refrigerant Leakage'!$D$2:$D$42,MATCH($Q218,'Device Refrigerant Leakage'!$B$2:$B$42,0))*CX218/2204.62*CW218,"")</f>
        <v/>
      </c>
      <c r="DB218" s="145" t="str">
        <f>IF($I218&lt;&gt;"",J218*(INDEX('Device Refrigerant Leakage'!$D$2:$D$42,MATCH($Q218,'Device Refrigerant Leakage'!$B$2:$B$42,0))-(INDEX('Device Refrigerant Leakage'!$D$2:$D$42,MATCH($Q218,'Device Refrigerant Leakage'!$B$2:$B$42,0)))*CZ218*CX218)*CY218/2204.62*CW218,"")</f>
        <v/>
      </c>
      <c r="DC218" s="135" t="str">
        <f t="shared" si="348"/>
        <v/>
      </c>
      <c r="DE218" s="146" t="str">
        <f>IF(W218&lt;&gt;"AR","",IF(Y218="User Specified", AA218, INDEX('Refrigerant GWPs'!$G$2:$G$154,MATCH(Y218,'Refrigerant GWPs'!$A$2:$A$154,0))))</f>
        <v/>
      </c>
      <c r="DF218" s="146" t="str">
        <f>IF(W218&lt;&gt;"AR","",INDEX('Device Refrigerant Leakage'!$E$2:$E$42,MATCH(X218,'Device Refrigerant Leakage'!$B$2:$B$42,0)))</f>
        <v/>
      </c>
      <c r="DG218" s="146" t="str">
        <f>IF(W218&lt;&gt;"AR","",INDEX('Device Refrigerant Leakage'!$F$2:$F$42,MATCH(X218,'Device Refrigerant Leakage'!$B$2:$B$42,0)))</f>
        <v/>
      </c>
      <c r="DH218" s="146" t="str">
        <f>IF(W218&lt;&gt;"AR","",INDEX('Device Refrigerant Leakage'!$G$2:$G$42,MATCH(X218,'Device Refrigerant Leakage'!$B$2:$B$42,0)))</f>
        <v/>
      </c>
      <c r="DI218" s="146" t="str">
        <f>IF(W218&lt;&gt;"AR","",J218*INDEX('Device Refrigerant Leakage'!$D$2:$D$42,MATCH(X218,'Device Refrigerant Leakage'!$B$2:$B$42,0))*DF218/2204.62*DE218)</f>
        <v/>
      </c>
      <c r="DJ218" s="146" t="str">
        <f>IF(W218&lt;&gt;"AR","",J218*(INDEX('Device Refrigerant Leakage'!$D$2:$D$42,MATCH(X218,'Device Refrigerant Leakage'!$B$2:$B$42,0))-(INDEX('Device Refrigerant Leakage'!$D$2:$D$42,MATCH(X218,'Device Refrigerant Leakage'!$B$2:$B$42,0)))*DH218*DF218)*DG218/2204.62*DE218)</f>
        <v/>
      </c>
      <c r="DK218" s="146" t="str">
        <f>IF(W218&lt;&gt;"AR","",DI218*(K218-AB218)+'Fuel Sub Calcs-Deemed'!DJ218*((K218-AB218)/INDEX('Device Refrigerant Leakage'!$C$2:$C$42,MATCH('Fuel Sub Calcs-Deemed'!X218,'Device Refrigerant Leakage'!$B$2:$B$42,0))))</f>
        <v/>
      </c>
      <c r="DM218" s="56">
        <v>204</v>
      </c>
      <c r="DN218" s="67" t="e">
        <f t="shared" si="328"/>
        <v>#N/A</v>
      </c>
      <c r="DO218" s="45" t="e">
        <f t="shared" si="329"/>
        <v>#N/A</v>
      </c>
      <c r="DP218" s="67" t="e">
        <f t="shared" si="330"/>
        <v>#N/A</v>
      </c>
      <c r="DQ218" s="45" t="e">
        <f t="shared" si="331"/>
        <v>#N/A</v>
      </c>
      <c r="DR218" s="69" t="e">
        <f t="shared" si="332"/>
        <v>#N/A</v>
      </c>
      <c r="DS218" s="34"/>
      <c r="DT218" s="67" t="e">
        <f>((BX218*CJ218)+IF($W218=MAT_AR,(BZ218*CL218),0))*(1+Reference!$E$50+Reference!$E$51)</f>
        <v>#N/A</v>
      </c>
      <c r="DU218" s="67">
        <f>((BY218*CK218)+IF($W218=MAT_AR,(CA218*CM218),0))*(1+Reference!$G$50+Reference!$G$51)</f>
        <v>0</v>
      </c>
      <c r="DV218" s="67" t="e">
        <f t="shared" si="333"/>
        <v>#VALUE!</v>
      </c>
      <c r="DX218" s="56">
        <v>204</v>
      </c>
      <c r="DY218" s="67">
        <f t="shared" si="334"/>
        <v>0</v>
      </c>
      <c r="DZ218" s="45" t="e">
        <f>VLOOKUP($R218,Dropdown!$C$3:$D$4,2,FALSE)</f>
        <v>#N/A</v>
      </c>
      <c r="EA218" s="68">
        <f t="shared" si="335"/>
        <v>0</v>
      </c>
      <c r="EB218" s="68" t="str">
        <f t="shared" si="336"/>
        <v>N/A</v>
      </c>
      <c r="EC218" s="68">
        <f t="shared" si="337"/>
        <v>0</v>
      </c>
      <c r="ED218" s="68" t="str">
        <f t="shared" si="377"/>
        <v>N/A</v>
      </c>
      <c r="EF218" s="56">
        <v>204</v>
      </c>
      <c r="EG218" s="46">
        <f t="shared" si="339"/>
        <v>0</v>
      </c>
      <c r="EH218" s="68" t="e">
        <f t="shared" si="340"/>
        <v>#N/A</v>
      </c>
      <c r="EI218" s="68" t="e">
        <f t="shared" si="341"/>
        <v>#N/A</v>
      </c>
      <c r="EJ218" s="68" t="e">
        <f t="shared" si="342"/>
        <v>#N/A</v>
      </c>
      <c r="EK218" s="68" t="e">
        <f t="shared" si="343"/>
        <v>#N/A</v>
      </c>
      <c r="EL218" s="46">
        <f t="shared" si="344"/>
        <v>0</v>
      </c>
      <c r="EM218" s="46">
        <f t="shared" si="345"/>
        <v>0</v>
      </c>
    </row>
    <row r="219" spans="1:143">
      <c r="A219" s="89"/>
      <c r="B219" s="89"/>
      <c r="C219" s="89"/>
      <c r="D219" s="89"/>
      <c r="E219" s="89"/>
      <c r="F219" s="89"/>
      <c r="G219" s="34"/>
      <c r="H219" s="56">
        <f t="shared" si="346"/>
        <v>205</v>
      </c>
      <c r="I219" s="165"/>
      <c r="J219" s="163"/>
      <c r="K219" s="163"/>
      <c r="L219" s="164"/>
      <c r="M219" s="155"/>
      <c r="N219" s="155"/>
      <c r="O219" s="144"/>
      <c r="P219" s="159" t="str">
        <f>IFERROR(IF(O219&lt;&gt;"User Specified",IF(O219&lt;&gt;"", INDEX('Refrigerant GWPs'!$G$2:$G$154,MATCH(O219,'Refrigerant GWPs'!$A$2:$A$154,0)),""),U219),0)</f>
        <v/>
      </c>
      <c r="Q219" s="155"/>
      <c r="R219" s="155"/>
      <c r="S219" s="144"/>
      <c r="T219" s="159" t="str">
        <f>IF(S219&lt;&gt;"User Specified",IF(AND(S219&lt;&gt;"User Specified",S219&lt;&gt;""), INDEX('Refrigerant GWPs'!$G$2:$G$154,MATCH(S219,'Refrigerant GWPs'!$A$2:$A$154,0)),""),V219)</f>
        <v/>
      </c>
      <c r="U219" s="144"/>
      <c r="V219" s="144"/>
      <c r="W219" s="155"/>
      <c r="X219" s="155"/>
      <c r="Y219" s="144"/>
      <c r="Z219" s="159" t="str">
        <f>IF(AND(Y219&lt;&gt;"User Specified",Y219&lt;&gt;""), INDEX('Refrigerant GWPs'!$G$2:$G$154,MATCH(Y219,'Refrigerant GWPs'!$A$2:$A$154,0)),"")</f>
        <v/>
      </c>
      <c r="AA219" s="155"/>
      <c r="AB219" s="156"/>
      <c r="AC219" s="66"/>
      <c r="AD219" s="66"/>
      <c r="AE219" s="66"/>
      <c r="AF219" s="66"/>
      <c r="AG219" s="66"/>
      <c r="AH219" s="66"/>
      <c r="AI219" s="34"/>
      <c r="AJ219" s="88">
        <f t="shared" si="304"/>
        <v>0</v>
      </c>
      <c r="AK219" s="88">
        <f t="shared" si="305"/>
        <v>0</v>
      </c>
      <c r="AL219" s="88">
        <v>0</v>
      </c>
      <c r="AM219" s="88">
        <v>0</v>
      </c>
      <c r="AN219" s="81" t="str">
        <f t="shared" si="349"/>
        <v/>
      </c>
      <c r="AO219" s="88">
        <f t="shared" si="306"/>
        <v>0</v>
      </c>
      <c r="AP219" s="88">
        <f t="shared" si="307"/>
        <v>0</v>
      </c>
      <c r="AQ219" s="81" t="str">
        <f t="shared" si="308"/>
        <v/>
      </c>
      <c r="AS219" s="41" t="b">
        <f t="shared" si="309"/>
        <v>1</v>
      </c>
      <c r="AT219" s="38">
        <f t="shared" si="310"/>
        <v>0</v>
      </c>
      <c r="AU219" s="60">
        <f t="shared" si="311"/>
        <v>0</v>
      </c>
      <c r="AV219" s="41">
        <f t="shared" si="312"/>
        <v>0</v>
      </c>
      <c r="AW219" s="41" t="b">
        <f t="shared" si="313"/>
        <v>0</v>
      </c>
      <c r="AX219" t="str">
        <f t="shared" si="314"/>
        <v>+00</v>
      </c>
      <c r="AY219" t="str">
        <f t="shared" si="315"/>
        <v>+00</v>
      </c>
      <c r="BA219" s="47" t="b">
        <f t="shared" si="350"/>
        <v>1</v>
      </c>
      <c r="BB219" s="42" t="b">
        <f t="shared" si="351"/>
        <v>1</v>
      </c>
      <c r="BC219" s="42" t="b">
        <f t="shared" si="352"/>
        <v>0</v>
      </c>
      <c r="BD219" s="42" t="b">
        <f t="shared" si="353"/>
        <v>0</v>
      </c>
      <c r="BE219" s="70">
        <f t="shared" si="354"/>
        <v>0</v>
      </c>
      <c r="BF219" s="70">
        <f t="shared" si="355"/>
        <v>0</v>
      </c>
      <c r="BG219" s="34"/>
      <c r="BI219" s="47" t="b">
        <f t="shared" si="356"/>
        <v>1</v>
      </c>
      <c r="BJ219" s="47" t="b">
        <f t="shared" si="357"/>
        <v>1</v>
      </c>
      <c r="BK219" s="42" t="b">
        <f t="shared" si="358"/>
        <v>0</v>
      </c>
      <c r="BL219" s="42" t="b">
        <f t="shared" si="359"/>
        <v>0</v>
      </c>
      <c r="BM219" s="42">
        <f t="shared" si="360"/>
        <v>0</v>
      </c>
      <c r="BN219" s="42">
        <f t="shared" si="361"/>
        <v>0</v>
      </c>
      <c r="BP219" t="e">
        <f t="shared" si="362"/>
        <v>#N/A</v>
      </c>
      <c r="BQ219" t="e">
        <f t="shared" si="363"/>
        <v>#N/A</v>
      </c>
      <c r="BR219" t="e">
        <f t="shared" si="364"/>
        <v>#N/A</v>
      </c>
      <c r="BT219" s="60">
        <f t="shared" si="365"/>
        <v>0</v>
      </c>
      <c r="BU219" s="60">
        <f t="shared" si="366"/>
        <v>0</v>
      </c>
      <c r="BV219" s="60">
        <f t="shared" si="367"/>
        <v>0</v>
      </c>
      <c r="BW219" s="60">
        <f t="shared" si="368"/>
        <v>0</v>
      </c>
      <c r="BX219" s="60">
        <f t="shared" si="369"/>
        <v>0</v>
      </c>
      <c r="BY219" s="60">
        <f t="shared" si="370"/>
        <v>0</v>
      </c>
      <c r="BZ219" s="60">
        <f t="shared" si="371"/>
        <v>0</v>
      </c>
      <c r="CA219" s="60">
        <f t="shared" si="372"/>
        <v>0</v>
      </c>
      <c r="CB219" s="60" t="e">
        <f t="shared" si="320"/>
        <v>#N/A</v>
      </c>
      <c r="CC219" s="60">
        <f t="shared" si="321"/>
        <v>100000</v>
      </c>
      <c r="CD219" s="60" t="e">
        <f t="shared" si="322"/>
        <v>#N/A</v>
      </c>
      <c r="CE219" s="60">
        <f t="shared" si="323"/>
        <v>100000</v>
      </c>
      <c r="CF219" s="83" t="e">
        <f t="shared" si="373"/>
        <v>#N/A</v>
      </c>
      <c r="CG219" s="83">
        <f t="shared" si="374"/>
        <v>0</v>
      </c>
      <c r="CH219" s="83" t="e">
        <f t="shared" si="375"/>
        <v>#N/A</v>
      </c>
      <c r="CI219" s="83">
        <f t="shared" si="376"/>
        <v>0</v>
      </c>
      <c r="CJ219" s="86" t="e">
        <f t="shared" si="324"/>
        <v>#N/A</v>
      </c>
      <c r="CK219" s="82">
        <f t="shared" si="325"/>
        <v>5.3070370403969858E-3</v>
      </c>
      <c r="CL219" s="82" t="e">
        <f t="shared" si="326"/>
        <v>#N/A</v>
      </c>
      <c r="CM219" s="82">
        <f t="shared" si="327"/>
        <v>5.3070370403969858E-3</v>
      </c>
      <c r="CO219" s="149" t="str">
        <f>IF($I219&lt;&gt;"",IF(O219="User Specified",U219,INDEX('Refrigerant GWPs'!$G$2:$G$156,MATCH(O219,'Refrigerant GWPs'!$A$2:$A$156,0))),"")</f>
        <v/>
      </c>
      <c r="CP219" s="138" t="str">
        <f>IF($I219&lt;&gt;"",INDEX('Device Refrigerant Leakage'!$E$2:$E$42,MATCH($M219,'Device Refrigerant Leakage'!$B$2:$B$42,0)),"")</f>
        <v/>
      </c>
      <c r="CQ219" s="138" t="str">
        <f>IF($I219&lt;&gt;"",INDEX('Device Refrigerant Leakage'!$F$2:$F$42,MATCH($M219,'Device Refrigerant Leakage'!$B$2:$B$42,0)),"")</f>
        <v/>
      </c>
      <c r="CR219" s="145" t="str">
        <f>IF($I219&lt;&gt;"",INDEX('Device Refrigerant Leakage'!$G$2:$G$42,MATCH($M219,'Device Refrigerant Leakage'!$B$2:$B$42,0)),"")</f>
        <v/>
      </c>
      <c r="CS219" s="145" t="str">
        <f>IF($I219&lt;&gt;"",INDEX('Device Refrigerant Leakage'!$D$2:$D$42,MATCH($M219,'Device Refrigerant Leakage'!$B$2:$B$42,0))*CP219/2204.62*CO219,"")</f>
        <v/>
      </c>
      <c r="CT219" s="145" t="str">
        <f>IF($I219&lt;&gt;"",J219*(INDEX('Device Refrigerant Leakage'!$D$2:$D$42,MATCH($M219,'Device Refrigerant Leakage'!$B$2:$B$42,0))-(INDEX('Device Refrigerant Leakage'!$D$2:$D$42,MATCH($M219,'Device Refrigerant Leakage'!$B$2:$B$42,0)))*CR219*CP219)*CQ219/2204.62*CO219,"")</f>
        <v/>
      </c>
      <c r="CU219" s="135" t="str">
        <f>IF($I219&lt;&gt;"",J219*IF(W219&lt;&gt;"AR",(CS219*K219)+CT219,(CS219*AB219)+CT219*(AB219/INDEX('Device Refrigerant Leakage'!$C$2:$C$42,MATCH($M219,'Device Refrigerant Leakage'!$B$2:$B$42,0)))),"")</f>
        <v/>
      </c>
      <c r="CW219" s="135" t="str">
        <f>IF($I219&lt;&gt;"",IF(S219="User Specified",V219,INDEX('Refrigerant GWPs'!$G$2:$G$156,MATCH(S219,'Refrigerant GWPs'!$A$2:$A$157,0))),"")</f>
        <v/>
      </c>
      <c r="CX219" s="138" t="str">
        <f>IF($I219&lt;&gt;"",INDEX('Device Refrigerant Leakage'!$E$2:$E$42,MATCH($Q219,'Device Refrigerant Leakage'!$B$2:$B$42,0)),"")</f>
        <v/>
      </c>
      <c r="CY219" s="138" t="str">
        <f>IF($I219&lt;&gt;"",INDEX('Device Refrigerant Leakage'!$F$2:$F$42,MATCH($Q219,'Device Refrigerant Leakage'!$B$2:$B$42,0)),"")</f>
        <v/>
      </c>
      <c r="CZ219" s="145" t="str">
        <f>IF($I219&lt;&gt;"",INDEX('Device Refrigerant Leakage'!$G$2:$G$42,MATCH($Q219,'Device Refrigerant Leakage'!$B$2:$B$42,0)),"")</f>
        <v/>
      </c>
      <c r="DA219" s="145" t="str">
        <f>IF($I219&lt;&gt;"",J219*INDEX('Device Refrigerant Leakage'!$D$2:$D$42,MATCH($Q219,'Device Refrigerant Leakage'!$B$2:$B$42,0))*CX219/2204.62*CW219,"")</f>
        <v/>
      </c>
      <c r="DB219" s="145" t="str">
        <f>IF($I219&lt;&gt;"",J219*(INDEX('Device Refrigerant Leakage'!$D$2:$D$42,MATCH($Q219,'Device Refrigerant Leakage'!$B$2:$B$42,0))-(INDEX('Device Refrigerant Leakage'!$D$2:$D$42,MATCH($Q219,'Device Refrigerant Leakage'!$B$2:$B$42,0)))*CZ219*CX219)*CY219/2204.62*CW219,"")</f>
        <v/>
      </c>
      <c r="DC219" s="135" t="str">
        <f t="shared" si="348"/>
        <v/>
      </c>
      <c r="DE219" s="146" t="str">
        <f>IF(W219&lt;&gt;"AR","",IF(Y219="User Specified", AA219, INDEX('Refrigerant GWPs'!$G$2:$G$154,MATCH(Y219,'Refrigerant GWPs'!$A$2:$A$154,0))))</f>
        <v/>
      </c>
      <c r="DF219" s="146" t="str">
        <f>IF(W219&lt;&gt;"AR","",INDEX('Device Refrigerant Leakage'!$E$2:$E$42,MATCH(X219,'Device Refrigerant Leakage'!$B$2:$B$42,0)))</f>
        <v/>
      </c>
      <c r="DG219" s="146" t="str">
        <f>IF(W219&lt;&gt;"AR","",INDEX('Device Refrigerant Leakage'!$F$2:$F$42,MATCH(X219,'Device Refrigerant Leakage'!$B$2:$B$42,0)))</f>
        <v/>
      </c>
      <c r="DH219" s="146" t="str">
        <f>IF(W219&lt;&gt;"AR","",INDEX('Device Refrigerant Leakage'!$G$2:$G$42,MATCH(X219,'Device Refrigerant Leakage'!$B$2:$B$42,0)))</f>
        <v/>
      </c>
      <c r="DI219" s="146" t="str">
        <f>IF(W219&lt;&gt;"AR","",J219*INDEX('Device Refrigerant Leakage'!$D$2:$D$42,MATCH(X219,'Device Refrigerant Leakage'!$B$2:$B$42,0))*DF219/2204.62*DE219)</f>
        <v/>
      </c>
      <c r="DJ219" s="146" t="str">
        <f>IF(W219&lt;&gt;"AR","",J219*(INDEX('Device Refrigerant Leakage'!$D$2:$D$42,MATCH(X219,'Device Refrigerant Leakage'!$B$2:$B$42,0))-(INDEX('Device Refrigerant Leakage'!$D$2:$D$42,MATCH(X219,'Device Refrigerant Leakage'!$B$2:$B$42,0)))*DH219*DF219)*DG219/2204.62*DE219)</f>
        <v/>
      </c>
      <c r="DK219" s="146" t="str">
        <f>IF(W219&lt;&gt;"AR","",DI219*(K219-AB219)+'Fuel Sub Calcs-Deemed'!DJ219*((K219-AB219)/INDEX('Device Refrigerant Leakage'!$C$2:$C$42,MATCH('Fuel Sub Calcs-Deemed'!X219,'Device Refrigerant Leakage'!$B$2:$B$42,0))))</f>
        <v/>
      </c>
      <c r="DM219" s="56">
        <v>205</v>
      </c>
      <c r="DN219" s="67" t="e">
        <f t="shared" si="328"/>
        <v>#N/A</v>
      </c>
      <c r="DO219" s="45" t="e">
        <f t="shared" si="329"/>
        <v>#N/A</v>
      </c>
      <c r="DP219" s="67" t="e">
        <f t="shared" si="330"/>
        <v>#N/A</v>
      </c>
      <c r="DQ219" s="45" t="e">
        <f t="shared" si="331"/>
        <v>#N/A</v>
      </c>
      <c r="DR219" s="69" t="e">
        <f t="shared" si="332"/>
        <v>#N/A</v>
      </c>
      <c r="DS219" s="34"/>
      <c r="DT219" s="67" t="e">
        <f>((BX219*CJ219)+IF($W219=MAT_AR,(BZ219*CL219),0))*(1+Reference!$E$50+Reference!$E$51)</f>
        <v>#N/A</v>
      </c>
      <c r="DU219" s="67">
        <f>((BY219*CK219)+IF($W219=MAT_AR,(CA219*CM219),0))*(1+Reference!$G$50+Reference!$G$51)</f>
        <v>0</v>
      </c>
      <c r="DV219" s="67" t="e">
        <f t="shared" si="333"/>
        <v>#VALUE!</v>
      </c>
      <c r="DX219" s="56">
        <v>205</v>
      </c>
      <c r="DY219" s="67">
        <f t="shared" si="334"/>
        <v>0</v>
      </c>
      <c r="DZ219" s="45" t="e">
        <f>VLOOKUP($R219,Dropdown!$C$3:$D$4,2,FALSE)</f>
        <v>#N/A</v>
      </c>
      <c r="EA219" s="68">
        <f t="shared" si="335"/>
        <v>0</v>
      </c>
      <c r="EB219" s="68" t="str">
        <f t="shared" si="336"/>
        <v>N/A</v>
      </c>
      <c r="EC219" s="68">
        <f t="shared" si="337"/>
        <v>0</v>
      </c>
      <c r="ED219" s="68" t="str">
        <f t="shared" si="377"/>
        <v>N/A</v>
      </c>
      <c r="EF219" s="56">
        <v>205</v>
      </c>
      <c r="EG219" s="46">
        <f t="shared" si="339"/>
        <v>0</v>
      </c>
      <c r="EH219" s="68" t="e">
        <f t="shared" si="340"/>
        <v>#N/A</v>
      </c>
      <c r="EI219" s="68" t="e">
        <f t="shared" si="341"/>
        <v>#N/A</v>
      </c>
      <c r="EJ219" s="68" t="e">
        <f t="shared" si="342"/>
        <v>#N/A</v>
      </c>
      <c r="EK219" s="68" t="e">
        <f t="shared" si="343"/>
        <v>#N/A</v>
      </c>
      <c r="EL219" s="46">
        <f t="shared" si="344"/>
        <v>0</v>
      </c>
      <c r="EM219" s="46">
        <f t="shared" si="345"/>
        <v>0</v>
      </c>
    </row>
    <row r="220" spans="1:143">
      <c r="A220" s="89"/>
      <c r="B220" s="89"/>
      <c r="C220" s="89"/>
      <c r="D220" s="89"/>
      <c r="E220" s="89"/>
      <c r="F220" s="89"/>
      <c r="G220" s="34"/>
      <c r="H220" s="56">
        <f t="shared" si="346"/>
        <v>206</v>
      </c>
      <c r="I220" s="165"/>
      <c r="J220" s="163"/>
      <c r="K220" s="163"/>
      <c r="L220" s="164"/>
      <c r="M220" s="155"/>
      <c r="N220" s="155"/>
      <c r="O220" s="144"/>
      <c r="P220" s="159" t="str">
        <f>IFERROR(IF(O220&lt;&gt;"User Specified",IF(O220&lt;&gt;"", INDEX('Refrigerant GWPs'!$G$2:$G$154,MATCH(O220,'Refrigerant GWPs'!$A$2:$A$154,0)),""),U220),0)</f>
        <v/>
      </c>
      <c r="Q220" s="155"/>
      <c r="R220" s="155"/>
      <c r="S220" s="144"/>
      <c r="T220" s="159" t="str">
        <f>IF(S220&lt;&gt;"User Specified",IF(AND(S220&lt;&gt;"User Specified",S220&lt;&gt;""), INDEX('Refrigerant GWPs'!$G$2:$G$154,MATCH(S220,'Refrigerant GWPs'!$A$2:$A$154,0)),""),V220)</f>
        <v/>
      </c>
      <c r="U220" s="144"/>
      <c r="V220" s="144"/>
      <c r="W220" s="155"/>
      <c r="X220" s="155"/>
      <c r="Y220" s="144"/>
      <c r="Z220" s="159" t="str">
        <f>IF(AND(Y220&lt;&gt;"User Specified",Y220&lt;&gt;""), INDEX('Refrigerant GWPs'!$G$2:$G$154,MATCH(Y220,'Refrigerant GWPs'!$A$2:$A$154,0)),"")</f>
        <v/>
      </c>
      <c r="AA220" s="155"/>
      <c r="AB220" s="156"/>
      <c r="AC220" s="66"/>
      <c r="AD220" s="66"/>
      <c r="AE220" s="66"/>
      <c r="AF220" s="66"/>
      <c r="AG220" s="66"/>
      <c r="AH220" s="66"/>
      <c r="AI220" s="34"/>
      <c r="AJ220" s="88">
        <f t="shared" si="304"/>
        <v>0</v>
      </c>
      <c r="AK220" s="88">
        <f t="shared" si="305"/>
        <v>0</v>
      </c>
      <c r="AL220" s="88">
        <v>0</v>
      </c>
      <c r="AM220" s="88">
        <v>0</v>
      </c>
      <c r="AN220" s="81" t="str">
        <f t="shared" si="349"/>
        <v/>
      </c>
      <c r="AO220" s="88">
        <f t="shared" si="306"/>
        <v>0</v>
      </c>
      <c r="AP220" s="88">
        <f t="shared" si="307"/>
        <v>0</v>
      </c>
      <c r="AQ220" s="81" t="str">
        <f t="shared" si="308"/>
        <v/>
      </c>
      <c r="AS220" s="41" t="b">
        <f t="shared" si="309"/>
        <v>1</v>
      </c>
      <c r="AT220" s="38">
        <f t="shared" si="310"/>
        <v>0</v>
      </c>
      <c r="AU220" s="60">
        <f t="shared" si="311"/>
        <v>0</v>
      </c>
      <c r="AV220" s="41">
        <f t="shared" si="312"/>
        <v>0</v>
      </c>
      <c r="AW220" s="41" t="b">
        <f t="shared" si="313"/>
        <v>0</v>
      </c>
      <c r="AX220" t="str">
        <f t="shared" si="314"/>
        <v>+00</v>
      </c>
      <c r="AY220" t="str">
        <f t="shared" si="315"/>
        <v>+00</v>
      </c>
      <c r="BA220" s="47" t="b">
        <f t="shared" si="350"/>
        <v>1</v>
      </c>
      <c r="BB220" s="42" t="b">
        <f t="shared" si="351"/>
        <v>1</v>
      </c>
      <c r="BC220" s="42" t="b">
        <f t="shared" si="352"/>
        <v>0</v>
      </c>
      <c r="BD220" s="42" t="b">
        <f t="shared" si="353"/>
        <v>0</v>
      </c>
      <c r="BE220" s="70">
        <f t="shared" si="354"/>
        <v>0</v>
      </c>
      <c r="BF220" s="70">
        <f t="shared" si="355"/>
        <v>0</v>
      </c>
      <c r="BG220" s="34"/>
      <c r="BI220" s="47" t="b">
        <f t="shared" si="356"/>
        <v>1</v>
      </c>
      <c r="BJ220" s="47" t="b">
        <f t="shared" si="357"/>
        <v>1</v>
      </c>
      <c r="BK220" s="42" t="b">
        <f t="shared" si="358"/>
        <v>0</v>
      </c>
      <c r="BL220" s="42" t="b">
        <f t="shared" si="359"/>
        <v>0</v>
      </c>
      <c r="BM220" s="42">
        <f t="shared" si="360"/>
        <v>0</v>
      </c>
      <c r="BN220" s="42">
        <f t="shared" si="361"/>
        <v>0</v>
      </c>
      <c r="BP220" t="e">
        <f t="shared" si="362"/>
        <v>#N/A</v>
      </c>
      <c r="BQ220" t="e">
        <f t="shared" si="363"/>
        <v>#N/A</v>
      </c>
      <c r="BR220" t="e">
        <f t="shared" si="364"/>
        <v>#N/A</v>
      </c>
      <c r="BT220" s="60">
        <f t="shared" si="365"/>
        <v>0</v>
      </c>
      <c r="BU220" s="60">
        <f t="shared" si="366"/>
        <v>0</v>
      </c>
      <c r="BV220" s="60">
        <f t="shared" si="367"/>
        <v>0</v>
      </c>
      <c r="BW220" s="60">
        <f t="shared" si="368"/>
        <v>0</v>
      </c>
      <c r="BX220" s="60">
        <f t="shared" si="369"/>
        <v>0</v>
      </c>
      <c r="BY220" s="60">
        <f t="shared" si="370"/>
        <v>0</v>
      </c>
      <c r="BZ220" s="60">
        <f t="shared" si="371"/>
        <v>0</v>
      </c>
      <c r="CA220" s="60">
        <f t="shared" si="372"/>
        <v>0</v>
      </c>
      <c r="CB220" s="60" t="e">
        <f t="shared" si="320"/>
        <v>#N/A</v>
      </c>
      <c r="CC220" s="60">
        <f t="shared" si="321"/>
        <v>100000</v>
      </c>
      <c r="CD220" s="60" t="e">
        <f t="shared" si="322"/>
        <v>#N/A</v>
      </c>
      <c r="CE220" s="60">
        <f t="shared" si="323"/>
        <v>100000</v>
      </c>
      <c r="CF220" s="83" t="e">
        <f t="shared" si="373"/>
        <v>#N/A</v>
      </c>
      <c r="CG220" s="83">
        <f t="shared" si="374"/>
        <v>0</v>
      </c>
      <c r="CH220" s="83" t="e">
        <f t="shared" si="375"/>
        <v>#N/A</v>
      </c>
      <c r="CI220" s="83">
        <f t="shared" si="376"/>
        <v>0</v>
      </c>
      <c r="CJ220" s="86" t="e">
        <f t="shared" si="324"/>
        <v>#N/A</v>
      </c>
      <c r="CK220" s="82">
        <f t="shared" si="325"/>
        <v>5.3070370403969858E-3</v>
      </c>
      <c r="CL220" s="82" t="e">
        <f t="shared" si="326"/>
        <v>#N/A</v>
      </c>
      <c r="CM220" s="82">
        <f t="shared" si="327"/>
        <v>5.3070370403969858E-3</v>
      </c>
      <c r="CO220" s="149" t="str">
        <f>IF($I220&lt;&gt;"",IF(O220="User Specified",U220,INDEX('Refrigerant GWPs'!$G$2:$G$156,MATCH(O220,'Refrigerant GWPs'!$A$2:$A$156,0))),"")</f>
        <v/>
      </c>
      <c r="CP220" s="138" t="str">
        <f>IF($I220&lt;&gt;"",INDEX('Device Refrigerant Leakage'!$E$2:$E$42,MATCH($M220,'Device Refrigerant Leakage'!$B$2:$B$42,0)),"")</f>
        <v/>
      </c>
      <c r="CQ220" s="138" t="str">
        <f>IF($I220&lt;&gt;"",INDEX('Device Refrigerant Leakage'!$F$2:$F$42,MATCH($M220,'Device Refrigerant Leakage'!$B$2:$B$42,0)),"")</f>
        <v/>
      </c>
      <c r="CR220" s="145" t="str">
        <f>IF($I220&lt;&gt;"",INDEX('Device Refrigerant Leakage'!$G$2:$G$42,MATCH($M220,'Device Refrigerant Leakage'!$B$2:$B$42,0)),"")</f>
        <v/>
      </c>
      <c r="CS220" s="145" t="str">
        <f>IF($I220&lt;&gt;"",INDEX('Device Refrigerant Leakage'!$D$2:$D$42,MATCH($M220,'Device Refrigerant Leakage'!$B$2:$B$42,0))*CP220/2204.62*CO220,"")</f>
        <v/>
      </c>
      <c r="CT220" s="145" t="str">
        <f>IF($I220&lt;&gt;"",J220*(INDEX('Device Refrigerant Leakage'!$D$2:$D$42,MATCH($M220,'Device Refrigerant Leakage'!$B$2:$B$42,0))-(INDEX('Device Refrigerant Leakage'!$D$2:$D$42,MATCH($M220,'Device Refrigerant Leakage'!$B$2:$B$42,0)))*CR220*CP220)*CQ220/2204.62*CO220,"")</f>
        <v/>
      </c>
      <c r="CU220" s="135" t="str">
        <f>IF($I220&lt;&gt;"",J220*IF(W220&lt;&gt;"AR",(CS220*K220)+CT220,(CS220*AB220)+CT220*(AB220/INDEX('Device Refrigerant Leakage'!$C$2:$C$42,MATCH($M220,'Device Refrigerant Leakage'!$B$2:$B$42,0)))),"")</f>
        <v/>
      </c>
      <c r="CW220" s="135" t="str">
        <f>IF($I220&lt;&gt;"",IF(S220="User Specified",V220,INDEX('Refrigerant GWPs'!$G$2:$G$156,MATCH(S220,'Refrigerant GWPs'!$A$2:$A$157,0))),"")</f>
        <v/>
      </c>
      <c r="CX220" s="138" t="str">
        <f>IF($I220&lt;&gt;"",INDEX('Device Refrigerant Leakage'!$E$2:$E$42,MATCH($Q220,'Device Refrigerant Leakage'!$B$2:$B$42,0)),"")</f>
        <v/>
      </c>
      <c r="CY220" s="138" t="str">
        <f>IF($I220&lt;&gt;"",INDEX('Device Refrigerant Leakage'!$F$2:$F$42,MATCH($Q220,'Device Refrigerant Leakage'!$B$2:$B$42,0)),"")</f>
        <v/>
      </c>
      <c r="CZ220" s="145" t="str">
        <f>IF($I220&lt;&gt;"",INDEX('Device Refrigerant Leakage'!$G$2:$G$42,MATCH($Q220,'Device Refrigerant Leakage'!$B$2:$B$42,0)),"")</f>
        <v/>
      </c>
      <c r="DA220" s="145" t="str">
        <f>IF($I220&lt;&gt;"",J220*INDEX('Device Refrigerant Leakage'!$D$2:$D$42,MATCH($Q220,'Device Refrigerant Leakage'!$B$2:$B$42,0))*CX220/2204.62*CW220,"")</f>
        <v/>
      </c>
      <c r="DB220" s="145" t="str">
        <f>IF($I220&lt;&gt;"",J220*(INDEX('Device Refrigerant Leakage'!$D$2:$D$42,MATCH($Q220,'Device Refrigerant Leakage'!$B$2:$B$42,0))-(INDEX('Device Refrigerant Leakage'!$D$2:$D$42,MATCH($Q220,'Device Refrigerant Leakage'!$B$2:$B$42,0)))*CZ220*CX220)*CY220/2204.62*CW220,"")</f>
        <v/>
      </c>
      <c r="DC220" s="135" t="str">
        <f t="shared" si="348"/>
        <v/>
      </c>
      <c r="DE220" s="146" t="str">
        <f>IF(W220&lt;&gt;"AR","",IF(Y220="User Specified", AA220, INDEX('Refrigerant GWPs'!$G$2:$G$154,MATCH(Y220,'Refrigerant GWPs'!$A$2:$A$154,0))))</f>
        <v/>
      </c>
      <c r="DF220" s="146" t="str">
        <f>IF(W220&lt;&gt;"AR","",INDEX('Device Refrigerant Leakage'!$E$2:$E$42,MATCH(X220,'Device Refrigerant Leakage'!$B$2:$B$42,0)))</f>
        <v/>
      </c>
      <c r="DG220" s="146" t="str">
        <f>IF(W220&lt;&gt;"AR","",INDEX('Device Refrigerant Leakage'!$F$2:$F$42,MATCH(X220,'Device Refrigerant Leakage'!$B$2:$B$42,0)))</f>
        <v/>
      </c>
      <c r="DH220" s="146" t="str">
        <f>IF(W220&lt;&gt;"AR","",INDEX('Device Refrigerant Leakage'!$G$2:$G$42,MATCH(X220,'Device Refrigerant Leakage'!$B$2:$B$42,0)))</f>
        <v/>
      </c>
      <c r="DI220" s="146" t="str">
        <f>IF(W220&lt;&gt;"AR","",J220*INDEX('Device Refrigerant Leakage'!$D$2:$D$42,MATCH(X220,'Device Refrigerant Leakage'!$B$2:$B$42,0))*DF220/2204.62*DE220)</f>
        <v/>
      </c>
      <c r="DJ220" s="146" t="str">
        <f>IF(W220&lt;&gt;"AR","",J220*(INDEX('Device Refrigerant Leakage'!$D$2:$D$42,MATCH(X220,'Device Refrigerant Leakage'!$B$2:$B$42,0))-(INDEX('Device Refrigerant Leakage'!$D$2:$D$42,MATCH(X220,'Device Refrigerant Leakage'!$B$2:$B$42,0)))*DH220*DF220)*DG220/2204.62*DE220)</f>
        <v/>
      </c>
      <c r="DK220" s="146" t="str">
        <f>IF(W220&lt;&gt;"AR","",DI220*(K220-AB220)+'Fuel Sub Calcs-Deemed'!DJ220*((K220-AB220)/INDEX('Device Refrigerant Leakage'!$C$2:$C$42,MATCH('Fuel Sub Calcs-Deemed'!X220,'Device Refrigerant Leakage'!$B$2:$B$42,0))))</f>
        <v/>
      </c>
      <c r="DM220" s="56">
        <v>206</v>
      </c>
      <c r="DN220" s="67" t="e">
        <f t="shared" si="328"/>
        <v>#N/A</v>
      </c>
      <c r="DO220" s="45" t="e">
        <f t="shared" si="329"/>
        <v>#N/A</v>
      </c>
      <c r="DP220" s="67" t="e">
        <f t="shared" si="330"/>
        <v>#N/A</v>
      </c>
      <c r="DQ220" s="45" t="e">
        <f t="shared" si="331"/>
        <v>#N/A</v>
      </c>
      <c r="DR220" s="69" t="e">
        <f t="shared" si="332"/>
        <v>#N/A</v>
      </c>
      <c r="DS220" s="34"/>
      <c r="DT220" s="67" t="e">
        <f>((BX220*CJ220)+IF($W220=MAT_AR,(BZ220*CL220),0))*(1+Reference!$E$50+Reference!$E$51)</f>
        <v>#N/A</v>
      </c>
      <c r="DU220" s="67">
        <f>((BY220*CK220)+IF($W220=MAT_AR,(CA220*CM220),0))*(1+Reference!$G$50+Reference!$G$51)</f>
        <v>0</v>
      </c>
      <c r="DV220" s="67" t="e">
        <f t="shared" si="333"/>
        <v>#VALUE!</v>
      </c>
      <c r="DX220" s="56">
        <v>206</v>
      </c>
      <c r="DY220" s="67">
        <f t="shared" si="334"/>
        <v>0</v>
      </c>
      <c r="DZ220" s="45" t="e">
        <f>VLOOKUP($R220,Dropdown!$C$3:$D$4,2,FALSE)</f>
        <v>#N/A</v>
      </c>
      <c r="EA220" s="68">
        <f t="shared" si="335"/>
        <v>0</v>
      </c>
      <c r="EB220" s="68" t="str">
        <f t="shared" si="336"/>
        <v>N/A</v>
      </c>
      <c r="EC220" s="68">
        <f t="shared" si="337"/>
        <v>0</v>
      </c>
      <c r="ED220" s="68" t="str">
        <f t="shared" si="377"/>
        <v>N/A</v>
      </c>
      <c r="EF220" s="56">
        <v>206</v>
      </c>
      <c r="EG220" s="46">
        <f t="shared" si="339"/>
        <v>0</v>
      </c>
      <c r="EH220" s="68" t="e">
        <f t="shared" si="340"/>
        <v>#N/A</v>
      </c>
      <c r="EI220" s="68" t="e">
        <f t="shared" si="341"/>
        <v>#N/A</v>
      </c>
      <c r="EJ220" s="68" t="e">
        <f t="shared" si="342"/>
        <v>#N/A</v>
      </c>
      <c r="EK220" s="68" t="e">
        <f t="shared" si="343"/>
        <v>#N/A</v>
      </c>
      <c r="EL220" s="46">
        <f t="shared" si="344"/>
        <v>0</v>
      </c>
      <c r="EM220" s="46">
        <f t="shared" si="345"/>
        <v>0</v>
      </c>
    </row>
    <row r="221" spans="1:143">
      <c r="A221" s="89"/>
      <c r="B221" s="89"/>
      <c r="C221" s="89"/>
      <c r="D221" s="89"/>
      <c r="E221" s="89"/>
      <c r="F221" s="89"/>
      <c r="G221" s="34"/>
      <c r="H221" s="56">
        <f t="shared" si="346"/>
        <v>207</v>
      </c>
      <c r="I221" s="165"/>
      <c r="J221" s="163"/>
      <c r="K221" s="163"/>
      <c r="L221" s="164"/>
      <c r="M221" s="155"/>
      <c r="N221" s="155"/>
      <c r="O221" s="144"/>
      <c r="P221" s="159" t="str">
        <f>IFERROR(IF(O221&lt;&gt;"User Specified",IF(O221&lt;&gt;"", INDEX('Refrigerant GWPs'!$G$2:$G$154,MATCH(O221,'Refrigerant GWPs'!$A$2:$A$154,0)),""),U221),0)</f>
        <v/>
      </c>
      <c r="Q221" s="155"/>
      <c r="R221" s="155"/>
      <c r="S221" s="144"/>
      <c r="T221" s="159" t="str">
        <f>IF(S221&lt;&gt;"User Specified",IF(AND(S221&lt;&gt;"User Specified",S221&lt;&gt;""), INDEX('Refrigerant GWPs'!$G$2:$G$154,MATCH(S221,'Refrigerant GWPs'!$A$2:$A$154,0)),""),V221)</f>
        <v/>
      </c>
      <c r="U221" s="144"/>
      <c r="V221" s="144"/>
      <c r="W221" s="155"/>
      <c r="X221" s="155"/>
      <c r="Y221" s="144"/>
      <c r="Z221" s="159" t="str">
        <f>IF(AND(Y221&lt;&gt;"User Specified",Y221&lt;&gt;""), INDEX('Refrigerant GWPs'!$G$2:$G$154,MATCH(Y221,'Refrigerant GWPs'!$A$2:$A$154,0)),"")</f>
        <v/>
      </c>
      <c r="AA221" s="155"/>
      <c r="AB221" s="156"/>
      <c r="AC221" s="66"/>
      <c r="AD221" s="66"/>
      <c r="AE221" s="66"/>
      <c r="AF221" s="66"/>
      <c r="AG221" s="66"/>
      <c r="AH221" s="66"/>
      <c r="AI221" s="34"/>
      <c r="AJ221" s="88">
        <f t="shared" si="304"/>
        <v>0</v>
      </c>
      <c r="AK221" s="88">
        <f t="shared" si="305"/>
        <v>0</v>
      </c>
      <c r="AL221" s="88">
        <v>0</v>
      </c>
      <c r="AM221" s="88">
        <v>0</v>
      </c>
      <c r="AN221" s="81" t="str">
        <f t="shared" si="349"/>
        <v/>
      </c>
      <c r="AO221" s="88">
        <f t="shared" si="306"/>
        <v>0</v>
      </c>
      <c r="AP221" s="88">
        <f t="shared" si="307"/>
        <v>0</v>
      </c>
      <c r="AQ221" s="81" t="str">
        <f t="shared" si="308"/>
        <v/>
      </c>
      <c r="AS221" s="41" t="b">
        <f t="shared" si="309"/>
        <v>1</v>
      </c>
      <c r="AT221" s="38">
        <f t="shared" si="310"/>
        <v>0</v>
      </c>
      <c r="AU221" s="60">
        <f t="shared" si="311"/>
        <v>0</v>
      </c>
      <c r="AV221" s="41">
        <f t="shared" si="312"/>
        <v>0</v>
      </c>
      <c r="AW221" s="41" t="b">
        <f t="shared" si="313"/>
        <v>0</v>
      </c>
      <c r="AX221" t="str">
        <f t="shared" si="314"/>
        <v>+00</v>
      </c>
      <c r="AY221" t="str">
        <f t="shared" si="315"/>
        <v>+00</v>
      </c>
      <c r="BA221" s="47" t="b">
        <f t="shared" si="350"/>
        <v>1</v>
      </c>
      <c r="BB221" s="42" t="b">
        <f t="shared" si="351"/>
        <v>1</v>
      </c>
      <c r="BC221" s="42" t="b">
        <f t="shared" si="352"/>
        <v>0</v>
      </c>
      <c r="BD221" s="42" t="b">
        <f t="shared" si="353"/>
        <v>0</v>
      </c>
      <c r="BE221" s="70">
        <f t="shared" si="354"/>
        <v>0</v>
      </c>
      <c r="BF221" s="70">
        <f t="shared" si="355"/>
        <v>0</v>
      </c>
      <c r="BG221" s="34"/>
      <c r="BI221" s="47" t="b">
        <f t="shared" si="356"/>
        <v>1</v>
      </c>
      <c r="BJ221" s="47" t="b">
        <f t="shared" si="357"/>
        <v>1</v>
      </c>
      <c r="BK221" s="42" t="b">
        <f t="shared" si="358"/>
        <v>0</v>
      </c>
      <c r="BL221" s="42" t="b">
        <f t="shared" si="359"/>
        <v>0</v>
      </c>
      <c r="BM221" s="42">
        <f t="shared" si="360"/>
        <v>0</v>
      </c>
      <c r="BN221" s="42">
        <f t="shared" si="361"/>
        <v>0</v>
      </c>
      <c r="BP221" t="e">
        <f t="shared" si="362"/>
        <v>#N/A</v>
      </c>
      <c r="BQ221" t="e">
        <f t="shared" si="363"/>
        <v>#N/A</v>
      </c>
      <c r="BR221" t="e">
        <f t="shared" si="364"/>
        <v>#N/A</v>
      </c>
      <c r="BT221" s="60">
        <f t="shared" si="365"/>
        <v>0</v>
      </c>
      <c r="BU221" s="60">
        <f t="shared" si="366"/>
        <v>0</v>
      </c>
      <c r="BV221" s="60">
        <f t="shared" si="367"/>
        <v>0</v>
      </c>
      <c r="BW221" s="60">
        <f t="shared" si="368"/>
        <v>0</v>
      </c>
      <c r="BX221" s="60">
        <f t="shared" si="369"/>
        <v>0</v>
      </c>
      <c r="BY221" s="60">
        <f t="shared" si="370"/>
        <v>0</v>
      </c>
      <c r="BZ221" s="60">
        <f t="shared" si="371"/>
        <v>0</v>
      </c>
      <c r="CA221" s="60">
        <f t="shared" si="372"/>
        <v>0</v>
      </c>
      <c r="CB221" s="60" t="e">
        <f t="shared" si="320"/>
        <v>#N/A</v>
      </c>
      <c r="CC221" s="60">
        <f t="shared" si="321"/>
        <v>100000</v>
      </c>
      <c r="CD221" s="60" t="e">
        <f t="shared" si="322"/>
        <v>#N/A</v>
      </c>
      <c r="CE221" s="60">
        <f t="shared" si="323"/>
        <v>100000</v>
      </c>
      <c r="CF221" s="83" t="e">
        <f t="shared" si="373"/>
        <v>#N/A</v>
      </c>
      <c r="CG221" s="83">
        <f t="shared" si="374"/>
        <v>0</v>
      </c>
      <c r="CH221" s="83" t="e">
        <f t="shared" si="375"/>
        <v>#N/A</v>
      </c>
      <c r="CI221" s="83">
        <f t="shared" si="376"/>
        <v>0</v>
      </c>
      <c r="CJ221" s="86" t="e">
        <f t="shared" si="324"/>
        <v>#N/A</v>
      </c>
      <c r="CK221" s="82">
        <f t="shared" si="325"/>
        <v>5.3070370403969858E-3</v>
      </c>
      <c r="CL221" s="82" t="e">
        <f t="shared" si="326"/>
        <v>#N/A</v>
      </c>
      <c r="CM221" s="82">
        <f t="shared" si="327"/>
        <v>5.3070370403969858E-3</v>
      </c>
      <c r="CO221" s="149" t="str">
        <f>IF($I221&lt;&gt;"",IF(O221="User Specified",U221,INDEX('Refrigerant GWPs'!$G$2:$G$156,MATCH(O221,'Refrigerant GWPs'!$A$2:$A$156,0))),"")</f>
        <v/>
      </c>
      <c r="CP221" s="138" t="str">
        <f>IF($I221&lt;&gt;"",INDEX('Device Refrigerant Leakage'!$E$2:$E$42,MATCH($M221,'Device Refrigerant Leakage'!$B$2:$B$42,0)),"")</f>
        <v/>
      </c>
      <c r="CQ221" s="138" t="str">
        <f>IF($I221&lt;&gt;"",INDEX('Device Refrigerant Leakage'!$F$2:$F$42,MATCH($M221,'Device Refrigerant Leakage'!$B$2:$B$42,0)),"")</f>
        <v/>
      </c>
      <c r="CR221" s="145" t="str">
        <f>IF($I221&lt;&gt;"",INDEX('Device Refrigerant Leakage'!$G$2:$G$42,MATCH($M221,'Device Refrigerant Leakage'!$B$2:$B$42,0)),"")</f>
        <v/>
      </c>
      <c r="CS221" s="145" t="str">
        <f>IF($I221&lt;&gt;"",INDEX('Device Refrigerant Leakage'!$D$2:$D$42,MATCH($M221,'Device Refrigerant Leakage'!$B$2:$B$42,0))*CP221/2204.62*CO221,"")</f>
        <v/>
      </c>
      <c r="CT221" s="145" t="str">
        <f>IF($I221&lt;&gt;"",J221*(INDEX('Device Refrigerant Leakage'!$D$2:$D$42,MATCH($M221,'Device Refrigerant Leakage'!$B$2:$B$42,0))-(INDEX('Device Refrigerant Leakage'!$D$2:$D$42,MATCH($M221,'Device Refrigerant Leakage'!$B$2:$B$42,0)))*CR221*CP221)*CQ221/2204.62*CO221,"")</f>
        <v/>
      </c>
      <c r="CU221" s="135" t="str">
        <f>IF($I221&lt;&gt;"",J221*IF(W221&lt;&gt;"AR",(CS221*K221)+CT221,(CS221*AB221)+CT221*(AB221/INDEX('Device Refrigerant Leakage'!$C$2:$C$42,MATCH($M221,'Device Refrigerant Leakage'!$B$2:$B$42,0)))),"")</f>
        <v/>
      </c>
      <c r="CW221" s="135" t="str">
        <f>IF($I221&lt;&gt;"",IF(S221="User Specified",V221,INDEX('Refrigerant GWPs'!$G$2:$G$156,MATCH(S221,'Refrigerant GWPs'!$A$2:$A$157,0))),"")</f>
        <v/>
      </c>
      <c r="CX221" s="138" t="str">
        <f>IF($I221&lt;&gt;"",INDEX('Device Refrigerant Leakage'!$E$2:$E$42,MATCH($Q221,'Device Refrigerant Leakage'!$B$2:$B$42,0)),"")</f>
        <v/>
      </c>
      <c r="CY221" s="138" t="str">
        <f>IF($I221&lt;&gt;"",INDEX('Device Refrigerant Leakage'!$F$2:$F$42,MATCH($Q221,'Device Refrigerant Leakage'!$B$2:$B$42,0)),"")</f>
        <v/>
      </c>
      <c r="CZ221" s="145" t="str">
        <f>IF($I221&lt;&gt;"",INDEX('Device Refrigerant Leakage'!$G$2:$G$42,MATCH($Q221,'Device Refrigerant Leakage'!$B$2:$B$42,0)),"")</f>
        <v/>
      </c>
      <c r="DA221" s="145" t="str">
        <f>IF($I221&lt;&gt;"",J221*INDEX('Device Refrigerant Leakage'!$D$2:$D$42,MATCH($Q221,'Device Refrigerant Leakage'!$B$2:$B$42,0))*CX221/2204.62*CW221,"")</f>
        <v/>
      </c>
      <c r="DB221" s="145" t="str">
        <f>IF($I221&lt;&gt;"",J221*(INDEX('Device Refrigerant Leakage'!$D$2:$D$42,MATCH($Q221,'Device Refrigerant Leakage'!$B$2:$B$42,0))-(INDEX('Device Refrigerant Leakage'!$D$2:$D$42,MATCH($Q221,'Device Refrigerant Leakage'!$B$2:$B$42,0)))*CZ221*CX221)*CY221/2204.62*CW221,"")</f>
        <v/>
      </c>
      <c r="DC221" s="135" t="str">
        <f t="shared" si="348"/>
        <v/>
      </c>
      <c r="DE221" s="146" t="str">
        <f>IF(W221&lt;&gt;"AR","",IF(Y221="User Specified", AA221, INDEX('Refrigerant GWPs'!$G$2:$G$154,MATCH(Y221,'Refrigerant GWPs'!$A$2:$A$154,0))))</f>
        <v/>
      </c>
      <c r="DF221" s="146" t="str">
        <f>IF(W221&lt;&gt;"AR","",INDEX('Device Refrigerant Leakage'!$E$2:$E$42,MATCH(X221,'Device Refrigerant Leakage'!$B$2:$B$42,0)))</f>
        <v/>
      </c>
      <c r="DG221" s="146" t="str">
        <f>IF(W221&lt;&gt;"AR","",INDEX('Device Refrigerant Leakage'!$F$2:$F$42,MATCH(X221,'Device Refrigerant Leakage'!$B$2:$B$42,0)))</f>
        <v/>
      </c>
      <c r="DH221" s="146" t="str">
        <f>IF(W221&lt;&gt;"AR","",INDEX('Device Refrigerant Leakage'!$G$2:$G$42,MATCH(X221,'Device Refrigerant Leakage'!$B$2:$B$42,0)))</f>
        <v/>
      </c>
      <c r="DI221" s="146" t="str">
        <f>IF(W221&lt;&gt;"AR","",J221*INDEX('Device Refrigerant Leakage'!$D$2:$D$42,MATCH(X221,'Device Refrigerant Leakage'!$B$2:$B$42,0))*DF221/2204.62*DE221)</f>
        <v/>
      </c>
      <c r="DJ221" s="146" t="str">
        <f>IF(W221&lt;&gt;"AR","",J221*(INDEX('Device Refrigerant Leakage'!$D$2:$D$42,MATCH(X221,'Device Refrigerant Leakage'!$B$2:$B$42,0))-(INDEX('Device Refrigerant Leakage'!$D$2:$D$42,MATCH(X221,'Device Refrigerant Leakage'!$B$2:$B$42,0)))*DH221*DF221)*DG221/2204.62*DE221)</f>
        <v/>
      </c>
      <c r="DK221" s="146" t="str">
        <f>IF(W221&lt;&gt;"AR","",DI221*(K221-AB221)+'Fuel Sub Calcs-Deemed'!DJ221*((K221-AB221)/INDEX('Device Refrigerant Leakage'!$C$2:$C$42,MATCH('Fuel Sub Calcs-Deemed'!X221,'Device Refrigerant Leakage'!$B$2:$B$42,0))))</f>
        <v/>
      </c>
      <c r="DM221" s="56">
        <v>207</v>
      </c>
      <c r="DN221" s="67" t="e">
        <f t="shared" si="328"/>
        <v>#N/A</v>
      </c>
      <c r="DO221" s="45" t="e">
        <f t="shared" si="329"/>
        <v>#N/A</v>
      </c>
      <c r="DP221" s="67" t="e">
        <f t="shared" si="330"/>
        <v>#N/A</v>
      </c>
      <c r="DQ221" s="45" t="e">
        <f t="shared" si="331"/>
        <v>#N/A</v>
      </c>
      <c r="DR221" s="69" t="e">
        <f t="shared" si="332"/>
        <v>#N/A</v>
      </c>
      <c r="DS221" s="34"/>
      <c r="DT221" s="67" t="e">
        <f>((BX221*CJ221)+IF($W221=MAT_AR,(BZ221*CL221),0))*(1+Reference!$E$50+Reference!$E$51)</f>
        <v>#N/A</v>
      </c>
      <c r="DU221" s="67">
        <f>((BY221*CK221)+IF($W221=MAT_AR,(CA221*CM221),0))*(1+Reference!$G$50+Reference!$G$51)</f>
        <v>0</v>
      </c>
      <c r="DV221" s="67" t="e">
        <f t="shared" si="333"/>
        <v>#VALUE!</v>
      </c>
      <c r="DX221" s="56">
        <v>207</v>
      </c>
      <c r="DY221" s="67">
        <f t="shared" si="334"/>
        <v>0</v>
      </c>
      <c r="DZ221" s="45" t="e">
        <f>VLOOKUP($R221,Dropdown!$C$3:$D$4,2,FALSE)</f>
        <v>#N/A</v>
      </c>
      <c r="EA221" s="68">
        <f t="shared" si="335"/>
        <v>0</v>
      </c>
      <c r="EB221" s="68" t="str">
        <f t="shared" si="336"/>
        <v>N/A</v>
      </c>
      <c r="EC221" s="68">
        <f t="shared" si="337"/>
        <v>0</v>
      </c>
      <c r="ED221" s="68" t="str">
        <f t="shared" si="377"/>
        <v>N/A</v>
      </c>
      <c r="EF221" s="56">
        <v>207</v>
      </c>
      <c r="EG221" s="46">
        <f t="shared" si="339"/>
        <v>0</v>
      </c>
      <c r="EH221" s="68" t="e">
        <f t="shared" si="340"/>
        <v>#N/A</v>
      </c>
      <c r="EI221" s="68" t="e">
        <f t="shared" si="341"/>
        <v>#N/A</v>
      </c>
      <c r="EJ221" s="68" t="e">
        <f t="shared" si="342"/>
        <v>#N/A</v>
      </c>
      <c r="EK221" s="68" t="e">
        <f t="shared" si="343"/>
        <v>#N/A</v>
      </c>
      <c r="EL221" s="46">
        <f t="shared" si="344"/>
        <v>0</v>
      </c>
      <c r="EM221" s="46">
        <f t="shared" si="345"/>
        <v>0</v>
      </c>
    </row>
    <row r="222" spans="1:143">
      <c r="A222" s="89"/>
      <c r="B222" s="89"/>
      <c r="C222" s="89"/>
      <c r="D222" s="89"/>
      <c r="E222" s="89"/>
      <c r="F222" s="89"/>
      <c r="G222" s="34"/>
      <c r="H222" s="56">
        <f t="shared" si="346"/>
        <v>208</v>
      </c>
      <c r="I222" s="165"/>
      <c r="J222" s="163"/>
      <c r="K222" s="163"/>
      <c r="L222" s="164"/>
      <c r="M222" s="155"/>
      <c r="N222" s="155"/>
      <c r="O222" s="144"/>
      <c r="P222" s="159" t="str">
        <f>IFERROR(IF(O222&lt;&gt;"User Specified",IF(O222&lt;&gt;"", INDEX('Refrigerant GWPs'!$G$2:$G$154,MATCH(O222,'Refrigerant GWPs'!$A$2:$A$154,0)),""),U222),0)</f>
        <v/>
      </c>
      <c r="Q222" s="155"/>
      <c r="R222" s="155"/>
      <c r="S222" s="144"/>
      <c r="T222" s="159" t="str">
        <f>IF(S222&lt;&gt;"User Specified",IF(AND(S222&lt;&gt;"User Specified",S222&lt;&gt;""), INDEX('Refrigerant GWPs'!$G$2:$G$154,MATCH(S222,'Refrigerant GWPs'!$A$2:$A$154,0)),""),V222)</f>
        <v/>
      </c>
      <c r="U222" s="144"/>
      <c r="V222" s="144"/>
      <c r="W222" s="155"/>
      <c r="X222" s="155"/>
      <c r="Y222" s="144"/>
      <c r="Z222" s="159" t="str">
        <f>IF(AND(Y222&lt;&gt;"User Specified",Y222&lt;&gt;""), INDEX('Refrigerant GWPs'!$G$2:$G$154,MATCH(Y222,'Refrigerant GWPs'!$A$2:$A$154,0)),"")</f>
        <v/>
      </c>
      <c r="AA222" s="155"/>
      <c r="AB222" s="156"/>
      <c r="AC222" s="66"/>
      <c r="AD222" s="66"/>
      <c r="AE222" s="66"/>
      <c r="AF222" s="66"/>
      <c r="AG222" s="66"/>
      <c r="AH222" s="66"/>
      <c r="AI222" s="34"/>
      <c r="AJ222" s="88">
        <f t="shared" si="304"/>
        <v>0</v>
      </c>
      <c r="AK222" s="88">
        <f t="shared" si="305"/>
        <v>0</v>
      </c>
      <c r="AL222" s="88">
        <v>0</v>
      </c>
      <c r="AM222" s="88">
        <v>0</v>
      </c>
      <c r="AN222" s="81" t="str">
        <f t="shared" si="349"/>
        <v/>
      </c>
      <c r="AO222" s="88">
        <f t="shared" si="306"/>
        <v>0</v>
      </c>
      <c r="AP222" s="88">
        <f t="shared" si="307"/>
        <v>0</v>
      </c>
      <c r="AQ222" s="81" t="str">
        <f t="shared" si="308"/>
        <v/>
      </c>
      <c r="AS222" s="41" t="b">
        <f t="shared" si="309"/>
        <v>1</v>
      </c>
      <c r="AT222" s="38">
        <f t="shared" si="310"/>
        <v>0</v>
      </c>
      <c r="AU222" s="60">
        <f t="shared" si="311"/>
        <v>0</v>
      </c>
      <c r="AV222" s="41">
        <f t="shared" si="312"/>
        <v>0</v>
      </c>
      <c r="AW222" s="41" t="b">
        <f t="shared" si="313"/>
        <v>0</v>
      </c>
      <c r="AX222" t="str">
        <f t="shared" si="314"/>
        <v>+00</v>
      </c>
      <c r="AY222" t="str">
        <f t="shared" si="315"/>
        <v>+00</v>
      </c>
      <c r="BA222" s="47" t="b">
        <f t="shared" si="350"/>
        <v>1</v>
      </c>
      <c r="BB222" s="42" t="b">
        <f t="shared" si="351"/>
        <v>1</v>
      </c>
      <c r="BC222" s="42" t="b">
        <f t="shared" si="352"/>
        <v>0</v>
      </c>
      <c r="BD222" s="42" t="b">
        <f t="shared" si="353"/>
        <v>0</v>
      </c>
      <c r="BE222" s="70">
        <f t="shared" si="354"/>
        <v>0</v>
      </c>
      <c r="BF222" s="70">
        <f t="shared" si="355"/>
        <v>0</v>
      </c>
      <c r="BG222" s="34"/>
      <c r="BI222" s="47" t="b">
        <f t="shared" si="356"/>
        <v>1</v>
      </c>
      <c r="BJ222" s="47" t="b">
        <f t="shared" si="357"/>
        <v>1</v>
      </c>
      <c r="BK222" s="42" t="b">
        <f t="shared" si="358"/>
        <v>0</v>
      </c>
      <c r="BL222" s="42" t="b">
        <f t="shared" si="359"/>
        <v>0</v>
      </c>
      <c r="BM222" s="42">
        <f t="shared" si="360"/>
        <v>0</v>
      </c>
      <c r="BN222" s="42">
        <f t="shared" si="361"/>
        <v>0</v>
      </c>
      <c r="BP222" t="e">
        <f t="shared" si="362"/>
        <v>#N/A</v>
      </c>
      <c r="BQ222" t="e">
        <f t="shared" si="363"/>
        <v>#N/A</v>
      </c>
      <c r="BR222" t="e">
        <f t="shared" si="364"/>
        <v>#N/A</v>
      </c>
      <c r="BT222" s="60">
        <f t="shared" si="365"/>
        <v>0</v>
      </c>
      <c r="BU222" s="60">
        <f t="shared" si="366"/>
        <v>0</v>
      </c>
      <c r="BV222" s="60">
        <f t="shared" si="367"/>
        <v>0</v>
      </c>
      <c r="BW222" s="60">
        <f t="shared" si="368"/>
        <v>0</v>
      </c>
      <c r="BX222" s="60">
        <f t="shared" si="369"/>
        <v>0</v>
      </c>
      <c r="BY222" s="60">
        <f t="shared" si="370"/>
        <v>0</v>
      </c>
      <c r="BZ222" s="60">
        <f t="shared" si="371"/>
        <v>0</v>
      </c>
      <c r="CA222" s="60">
        <f t="shared" si="372"/>
        <v>0</v>
      </c>
      <c r="CB222" s="60" t="e">
        <f t="shared" si="320"/>
        <v>#N/A</v>
      </c>
      <c r="CC222" s="60">
        <f t="shared" si="321"/>
        <v>100000</v>
      </c>
      <c r="CD222" s="60" t="e">
        <f t="shared" si="322"/>
        <v>#N/A</v>
      </c>
      <c r="CE222" s="60">
        <f t="shared" si="323"/>
        <v>100000</v>
      </c>
      <c r="CF222" s="83" t="e">
        <f t="shared" si="373"/>
        <v>#N/A</v>
      </c>
      <c r="CG222" s="83">
        <f t="shared" si="374"/>
        <v>0</v>
      </c>
      <c r="CH222" s="83" t="e">
        <f t="shared" si="375"/>
        <v>#N/A</v>
      </c>
      <c r="CI222" s="83">
        <f t="shared" si="376"/>
        <v>0</v>
      </c>
      <c r="CJ222" s="86" t="e">
        <f t="shared" si="324"/>
        <v>#N/A</v>
      </c>
      <c r="CK222" s="82">
        <f t="shared" si="325"/>
        <v>5.3070370403969858E-3</v>
      </c>
      <c r="CL222" s="82" t="e">
        <f t="shared" si="326"/>
        <v>#N/A</v>
      </c>
      <c r="CM222" s="82">
        <f t="shared" si="327"/>
        <v>5.3070370403969858E-3</v>
      </c>
      <c r="CO222" s="149" t="str">
        <f>IF($I222&lt;&gt;"",IF(O222="User Specified",U222,INDEX('Refrigerant GWPs'!$G$2:$G$156,MATCH(O222,'Refrigerant GWPs'!$A$2:$A$156,0))),"")</f>
        <v/>
      </c>
      <c r="CP222" s="138" t="str">
        <f>IF($I222&lt;&gt;"",INDEX('Device Refrigerant Leakage'!$E$2:$E$42,MATCH($M222,'Device Refrigerant Leakage'!$B$2:$B$42,0)),"")</f>
        <v/>
      </c>
      <c r="CQ222" s="138" t="str">
        <f>IF($I222&lt;&gt;"",INDEX('Device Refrigerant Leakage'!$F$2:$F$42,MATCH($M222,'Device Refrigerant Leakage'!$B$2:$B$42,0)),"")</f>
        <v/>
      </c>
      <c r="CR222" s="145" t="str">
        <f>IF($I222&lt;&gt;"",INDEX('Device Refrigerant Leakage'!$G$2:$G$42,MATCH($M222,'Device Refrigerant Leakage'!$B$2:$B$42,0)),"")</f>
        <v/>
      </c>
      <c r="CS222" s="145" t="str">
        <f>IF($I222&lt;&gt;"",INDEX('Device Refrigerant Leakage'!$D$2:$D$42,MATCH($M222,'Device Refrigerant Leakage'!$B$2:$B$42,0))*CP222/2204.62*CO222,"")</f>
        <v/>
      </c>
      <c r="CT222" s="145" t="str">
        <f>IF($I222&lt;&gt;"",J222*(INDEX('Device Refrigerant Leakage'!$D$2:$D$42,MATCH($M222,'Device Refrigerant Leakage'!$B$2:$B$42,0))-(INDEX('Device Refrigerant Leakage'!$D$2:$D$42,MATCH($M222,'Device Refrigerant Leakage'!$B$2:$B$42,0)))*CR222*CP222)*CQ222/2204.62*CO222,"")</f>
        <v/>
      </c>
      <c r="CU222" s="135" t="str">
        <f>IF($I222&lt;&gt;"",J222*IF(W222&lt;&gt;"AR",(CS222*K222)+CT222,(CS222*AB222)+CT222*(AB222/INDEX('Device Refrigerant Leakage'!$C$2:$C$42,MATCH($M222,'Device Refrigerant Leakage'!$B$2:$B$42,0)))),"")</f>
        <v/>
      </c>
      <c r="CW222" s="135" t="str">
        <f>IF($I222&lt;&gt;"",IF(S222="User Specified",V222,INDEX('Refrigerant GWPs'!$G$2:$G$156,MATCH(S222,'Refrigerant GWPs'!$A$2:$A$157,0))),"")</f>
        <v/>
      </c>
      <c r="CX222" s="138" t="str">
        <f>IF($I222&lt;&gt;"",INDEX('Device Refrigerant Leakage'!$E$2:$E$42,MATCH($Q222,'Device Refrigerant Leakage'!$B$2:$B$42,0)),"")</f>
        <v/>
      </c>
      <c r="CY222" s="138" t="str">
        <f>IF($I222&lt;&gt;"",INDEX('Device Refrigerant Leakage'!$F$2:$F$42,MATCH($Q222,'Device Refrigerant Leakage'!$B$2:$B$42,0)),"")</f>
        <v/>
      </c>
      <c r="CZ222" s="145" t="str">
        <f>IF($I222&lt;&gt;"",INDEX('Device Refrigerant Leakage'!$G$2:$G$42,MATCH($Q222,'Device Refrigerant Leakage'!$B$2:$B$42,0)),"")</f>
        <v/>
      </c>
      <c r="DA222" s="145" t="str">
        <f>IF($I222&lt;&gt;"",J222*INDEX('Device Refrigerant Leakage'!$D$2:$D$42,MATCH($Q222,'Device Refrigerant Leakage'!$B$2:$B$42,0))*CX222/2204.62*CW222,"")</f>
        <v/>
      </c>
      <c r="DB222" s="145" t="str">
        <f>IF($I222&lt;&gt;"",J222*(INDEX('Device Refrigerant Leakage'!$D$2:$D$42,MATCH($Q222,'Device Refrigerant Leakage'!$B$2:$B$42,0))-(INDEX('Device Refrigerant Leakage'!$D$2:$D$42,MATCH($Q222,'Device Refrigerant Leakage'!$B$2:$B$42,0)))*CZ222*CX222)*CY222/2204.62*CW222,"")</f>
        <v/>
      </c>
      <c r="DC222" s="135" t="str">
        <f t="shared" si="348"/>
        <v/>
      </c>
      <c r="DE222" s="146" t="str">
        <f>IF(W222&lt;&gt;"AR","",IF(Y222="User Specified", AA222, INDEX('Refrigerant GWPs'!$G$2:$G$154,MATCH(Y222,'Refrigerant GWPs'!$A$2:$A$154,0))))</f>
        <v/>
      </c>
      <c r="DF222" s="146" t="str">
        <f>IF(W222&lt;&gt;"AR","",INDEX('Device Refrigerant Leakage'!$E$2:$E$42,MATCH(X222,'Device Refrigerant Leakage'!$B$2:$B$42,0)))</f>
        <v/>
      </c>
      <c r="DG222" s="146" t="str">
        <f>IF(W222&lt;&gt;"AR","",INDEX('Device Refrigerant Leakage'!$F$2:$F$42,MATCH(X222,'Device Refrigerant Leakage'!$B$2:$B$42,0)))</f>
        <v/>
      </c>
      <c r="DH222" s="146" t="str">
        <f>IF(W222&lt;&gt;"AR","",INDEX('Device Refrigerant Leakage'!$G$2:$G$42,MATCH(X222,'Device Refrigerant Leakage'!$B$2:$B$42,0)))</f>
        <v/>
      </c>
      <c r="DI222" s="146" t="str">
        <f>IF(W222&lt;&gt;"AR","",J222*INDEX('Device Refrigerant Leakage'!$D$2:$D$42,MATCH(X222,'Device Refrigerant Leakage'!$B$2:$B$42,0))*DF222/2204.62*DE222)</f>
        <v/>
      </c>
      <c r="DJ222" s="146" t="str">
        <f>IF(W222&lt;&gt;"AR","",J222*(INDEX('Device Refrigerant Leakage'!$D$2:$D$42,MATCH(X222,'Device Refrigerant Leakage'!$B$2:$B$42,0))-(INDEX('Device Refrigerant Leakage'!$D$2:$D$42,MATCH(X222,'Device Refrigerant Leakage'!$B$2:$B$42,0)))*DH222*DF222)*DG222/2204.62*DE222)</f>
        <v/>
      </c>
      <c r="DK222" s="146" t="str">
        <f>IF(W222&lt;&gt;"AR","",DI222*(K222-AB222)+'Fuel Sub Calcs-Deemed'!DJ222*((K222-AB222)/INDEX('Device Refrigerant Leakage'!$C$2:$C$42,MATCH('Fuel Sub Calcs-Deemed'!X222,'Device Refrigerant Leakage'!$B$2:$B$42,0))))</f>
        <v/>
      </c>
      <c r="DM222" s="56">
        <v>208</v>
      </c>
      <c r="DN222" s="67" t="e">
        <f t="shared" si="328"/>
        <v>#N/A</v>
      </c>
      <c r="DO222" s="45" t="e">
        <f t="shared" si="329"/>
        <v>#N/A</v>
      </c>
      <c r="DP222" s="67" t="e">
        <f t="shared" si="330"/>
        <v>#N/A</v>
      </c>
      <c r="DQ222" s="45" t="e">
        <f t="shared" si="331"/>
        <v>#N/A</v>
      </c>
      <c r="DR222" s="69" t="e">
        <f t="shared" si="332"/>
        <v>#N/A</v>
      </c>
      <c r="DS222" s="34"/>
      <c r="DT222" s="67" t="e">
        <f>((BX222*CJ222)+IF($W222=MAT_AR,(BZ222*CL222),0))*(1+Reference!$E$50+Reference!$E$51)</f>
        <v>#N/A</v>
      </c>
      <c r="DU222" s="67">
        <f>((BY222*CK222)+IF($W222=MAT_AR,(CA222*CM222),0))*(1+Reference!$G$50+Reference!$G$51)</f>
        <v>0</v>
      </c>
      <c r="DV222" s="67" t="e">
        <f t="shared" si="333"/>
        <v>#VALUE!</v>
      </c>
      <c r="DX222" s="56">
        <v>208</v>
      </c>
      <c r="DY222" s="67">
        <f t="shared" si="334"/>
        <v>0</v>
      </c>
      <c r="DZ222" s="45" t="e">
        <f>VLOOKUP($R222,Dropdown!$C$3:$D$4,2,FALSE)</f>
        <v>#N/A</v>
      </c>
      <c r="EA222" s="68">
        <f t="shared" si="335"/>
        <v>0</v>
      </c>
      <c r="EB222" s="68" t="str">
        <f t="shared" si="336"/>
        <v>N/A</v>
      </c>
      <c r="EC222" s="68">
        <f t="shared" si="337"/>
        <v>0</v>
      </c>
      <c r="ED222" s="68" t="str">
        <f t="shared" si="377"/>
        <v>N/A</v>
      </c>
      <c r="EF222" s="56">
        <v>208</v>
      </c>
      <c r="EG222" s="46">
        <f t="shared" si="339"/>
        <v>0</v>
      </c>
      <c r="EH222" s="68" t="e">
        <f t="shared" si="340"/>
        <v>#N/A</v>
      </c>
      <c r="EI222" s="68" t="e">
        <f t="shared" si="341"/>
        <v>#N/A</v>
      </c>
      <c r="EJ222" s="68" t="e">
        <f t="shared" si="342"/>
        <v>#N/A</v>
      </c>
      <c r="EK222" s="68" t="e">
        <f t="shared" si="343"/>
        <v>#N/A</v>
      </c>
      <c r="EL222" s="46">
        <f t="shared" si="344"/>
        <v>0</v>
      </c>
      <c r="EM222" s="46">
        <f t="shared" si="345"/>
        <v>0</v>
      </c>
    </row>
    <row r="223" spans="1:143">
      <c r="A223" s="89"/>
      <c r="B223" s="89"/>
      <c r="C223" s="89"/>
      <c r="D223" s="89"/>
      <c r="E223" s="89"/>
      <c r="F223" s="89"/>
      <c r="G223" s="34"/>
      <c r="H223" s="56">
        <f t="shared" si="346"/>
        <v>209</v>
      </c>
      <c r="I223" s="165"/>
      <c r="J223" s="163"/>
      <c r="K223" s="163"/>
      <c r="L223" s="164"/>
      <c r="M223" s="155"/>
      <c r="N223" s="155"/>
      <c r="O223" s="144"/>
      <c r="P223" s="159" t="str">
        <f>IFERROR(IF(O223&lt;&gt;"User Specified",IF(O223&lt;&gt;"", INDEX('Refrigerant GWPs'!$G$2:$G$154,MATCH(O223,'Refrigerant GWPs'!$A$2:$A$154,0)),""),U223),0)</f>
        <v/>
      </c>
      <c r="Q223" s="155"/>
      <c r="R223" s="155"/>
      <c r="S223" s="144"/>
      <c r="T223" s="159" t="str">
        <f>IF(S223&lt;&gt;"User Specified",IF(AND(S223&lt;&gt;"User Specified",S223&lt;&gt;""), INDEX('Refrigerant GWPs'!$G$2:$G$154,MATCH(S223,'Refrigerant GWPs'!$A$2:$A$154,0)),""),V223)</f>
        <v/>
      </c>
      <c r="U223" s="144"/>
      <c r="V223" s="144"/>
      <c r="W223" s="155"/>
      <c r="X223" s="155"/>
      <c r="Y223" s="144"/>
      <c r="Z223" s="159" t="str">
        <f>IF(AND(Y223&lt;&gt;"User Specified",Y223&lt;&gt;""), INDEX('Refrigerant GWPs'!$G$2:$G$154,MATCH(Y223,'Refrigerant GWPs'!$A$2:$A$154,0)),"")</f>
        <v/>
      </c>
      <c r="AA223" s="155"/>
      <c r="AB223" s="156"/>
      <c r="AC223" s="66"/>
      <c r="AD223" s="66"/>
      <c r="AE223" s="66"/>
      <c r="AF223" s="66"/>
      <c r="AG223" s="66"/>
      <c r="AH223" s="66"/>
      <c r="AI223" s="34"/>
      <c r="AJ223" s="88">
        <f t="shared" si="304"/>
        <v>0</v>
      </c>
      <c r="AK223" s="88">
        <f t="shared" si="305"/>
        <v>0</v>
      </c>
      <c r="AL223" s="88">
        <v>0</v>
      </c>
      <c r="AM223" s="88">
        <v>0</v>
      </c>
      <c r="AN223" s="81" t="str">
        <f t="shared" si="349"/>
        <v/>
      </c>
      <c r="AO223" s="88">
        <f t="shared" si="306"/>
        <v>0</v>
      </c>
      <c r="AP223" s="88">
        <f t="shared" si="307"/>
        <v>0</v>
      </c>
      <c r="AQ223" s="81" t="str">
        <f t="shared" si="308"/>
        <v/>
      </c>
      <c r="AS223" s="41" t="b">
        <f t="shared" si="309"/>
        <v>1</v>
      </c>
      <c r="AT223" s="38">
        <f t="shared" si="310"/>
        <v>0</v>
      </c>
      <c r="AU223" s="60">
        <f t="shared" si="311"/>
        <v>0</v>
      </c>
      <c r="AV223" s="41">
        <f t="shared" si="312"/>
        <v>0</v>
      </c>
      <c r="AW223" s="41" t="b">
        <f t="shared" si="313"/>
        <v>0</v>
      </c>
      <c r="AX223" t="str">
        <f t="shared" si="314"/>
        <v>+00</v>
      </c>
      <c r="AY223" t="str">
        <f t="shared" si="315"/>
        <v>+00</v>
      </c>
      <c r="BA223" s="47" t="b">
        <f t="shared" si="350"/>
        <v>1</v>
      </c>
      <c r="BB223" s="42" t="b">
        <f t="shared" si="351"/>
        <v>1</v>
      </c>
      <c r="BC223" s="42" t="b">
        <f t="shared" si="352"/>
        <v>0</v>
      </c>
      <c r="BD223" s="42" t="b">
        <f t="shared" si="353"/>
        <v>0</v>
      </c>
      <c r="BE223" s="70">
        <f t="shared" si="354"/>
        <v>0</v>
      </c>
      <c r="BF223" s="70">
        <f t="shared" si="355"/>
        <v>0</v>
      </c>
      <c r="BG223" s="34"/>
      <c r="BI223" s="47" t="b">
        <f t="shared" si="356"/>
        <v>1</v>
      </c>
      <c r="BJ223" s="47" t="b">
        <f t="shared" si="357"/>
        <v>1</v>
      </c>
      <c r="BK223" s="42" t="b">
        <f t="shared" si="358"/>
        <v>0</v>
      </c>
      <c r="BL223" s="42" t="b">
        <f t="shared" si="359"/>
        <v>0</v>
      </c>
      <c r="BM223" s="42">
        <f t="shared" si="360"/>
        <v>0</v>
      </c>
      <c r="BN223" s="42">
        <f t="shared" si="361"/>
        <v>0</v>
      </c>
      <c r="BP223" t="e">
        <f t="shared" si="362"/>
        <v>#N/A</v>
      </c>
      <c r="BQ223" t="e">
        <f t="shared" si="363"/>
        <v>#N/A</v>
      </c>
      <c r="BR223" t="e">
        <f t="shared" si="364"/>
        <v>#N/A</v>
      </c>
      <c r="BT223" s="60">
        <f t="shared" si="365"/>
        <v>0</v>
      </c>
      <c r="BU223" s="60">
        <f t="shared" si="366"/>
        <v>0</v>
      </c>
      <c r="BV223" s="60">
        <f t="shared" si="367"/>
        <v>0</v>
      </c>
      <c r="BW223" s="60">
        <f t="shared" si="368"/>
        <v>0</v>
      </c>
      <c r="BX223" s="60">
        <f t="shared" si="369"/>
        <v>0</v>
      </c>
      <c r="BY223" s="60">
        <f t="shared" si="370"/>
        <v>0</v>
      </c>
      <c r="BZ223" s="60">
        <f t="shared" si="371"/>
        <v>0</v>
      </c>
      <c r="CA223" s="60">
        <f t="shared" si="372"/>
        <v>0</v>
      </c>
      <c r="CB223" s="60" t="e">
        <f t="shared" si="320"/>
        <v>#N/A</v>
      </c>
      <c r="CC223" s="60">
        <f t="shared" si="321"/>
        <v>100000</v>
      </c>
      <c r="CD223" s="60" t="e">
        <f t="shared" si="322"/>
        <v>#N/A</v>
      </c>
      <c r="CE223" s="60">
        <f t="shared" si="323"/>
        <v>100000</v>
      </c>
      <c r="CF223" s="83" t="e">
        <f t="shared" si="373"/>
        <v>#N/A</v>
      </c>
      <c r="CG223" s="83">
        <f t="shared" si="374"/>
        <v>0</v>
      </c>
      <c r="CH223" s="83" t="e">
        <f t="shared" si="375"/>
        <v>#N/A</v>
      </c>
      <c r="CI223" s="83">
        <f t="shared" si="376"/>
        <v>0</v>
      </c>
      <c r="CJ223" s="86" t="e">
        <f t="shared" si="324"/>
        <v>#N/A</v>
      </c>
      <c r="CK223" s="82">
        <f t="shared" si="325"/>
        <v>5.3070370403969858E-3</v>
      </c>
      <c r="CL223" s="82" t="e">
        <f t="shared" si="326"/>
        <v>#N/A</v>
      </c>
      <c r="CM223" s="82">
        <f t="shared" si="327"/>
        <v>5.3070370403969858E-3</v>
      </c>
      <c r="CO223" s="149" t="str">
        <f>IF($I223&lt;&gt;"",IF(O223="User Specified",U223,INDEX('Refrigerant GWPs'!$G$2:$G$156,MATCH(O223,'Refrigerant GWPs'!$A$2:$A$156,0))),"")</f>
        <v/>
      </c>
      <c r="CP223" s="138" t="str">
        <f>IF($I223&lt;&gt;"",INDEX('Device Refrigerant Leakage'!$E$2:$E$42,MATCH($M223,'Device Refrigerant Leakage'!$B$2:$B$42,0)),"")</f>
        <v/>
      </c>
      <c r="CQ223" s="138" t="str">
        <f>IF($I223&lt;&gt;"",INDEX('Device Refrigerant Leakage'!$F$2:$F$42,MATCH($M223,'Device Refrigerant Leakage'!$B$2:$B$42,0)),"")</f>
        <v/>
      </c>
      <c r="CR223" s="145" t="str">
        <f>IF($I223&lt;&gt;"",INDEX('Device Refrigerant Leakage'!$G$2:$G$42,MATCH($M223,'Device Refrigerant Leakage'!$B$2:$B$42,0)),"")</f>
        <v/>
      </c>
      <c r="CS223" s="145" t="str">
        <f>IF($I223&lt;&gt;"",INDEX('Device Refrigerant Leakage'!$D$2:$D$42,MATCH($M223,'Device Refrigerant Leakage'!$B$2:$B$42,0))*CP223/2204.62*CO223,"")</f>
        <v/>
      </c>
      <c r="CT223" s="145" t="str">
        <f>IF($I223&lt;&gt;"",J223*(INDEX('Device Refrigerant Leakage'!$D$2:$D$42,MATCH($M223,'Device Refrigerant Leakage'!$B$2:$B$42,0))-(INDEX('Device Refrigerant Leakage'!$D$2:$D$42,MATCH($M223,'Device Refrigerant Leakage'!$B$2:$B$42,0)))*CR223*CP223)*CQ223/2204.62*CO223,"")</f>
        <v/>
      </c>
      <c r="CU223" s="135" t="str">
        <f>IF($I223&lt;&gt;"",J223*IF(W223&lt;&gt;"AR",(CS223*K223)+CT223,(CS223*AB223)+CT223*(AB223/INDEX('Device Refrigerant Leakage'!$C$2:$C$42,MATCH($M223,'Device Refrigerant Leakage'!$B$2:$B$42,0)))),"")</f>
        <v/>
      </c>
      <c r="CW223" s="135" t="str">
        <f>IF($I223&lt;&gt;"",IF(S223="User Specified",V223,INDEX('Refrigerant GWPs'!$G$2:$G$156,MATCH(S223,'Refrigerant GWPs'!$A$2:$A$157,0))),"")</f>
        <v/>
      </c>
      <c r="CX223" s="138" t="str">
        <f>IF($I223&lt;&gt;"",INDEX('Device Refrigerant Leakage'!$E$2:$E$42,MATCH($Q223,'Device Refrigerant Leakage'!$B$2:$B$42,0)),"")</f>
        <v/>
      </c>
      <c r="CY223" s="138" t="str">
        <f>IF($I223&lt;&gt;"",INDEX('Device Refrigerant Leakage'!$F$2:$F$42,MATCH($Q223,'Device Refrigerant Leakage'!$B$2:$B$42,0)),"")</f>
        <v/>
      </c>
      <c r="CZ223" s="145" t="str">
        <f>IF($I223&lt;&gt;"",INDEX('Device Refrigerant Leakage'!$G$2:$G$42,MATCH($Q223,'Device Refrigerant Leakage'!$B$2:$B$42,0)),"")</f>
        <v/>
      </c>
      <c r="DA223" s="145" t="str">
        <f>IF($I223&lt;&gt;"",J223*INDEX('Device Refrigerant Leakage'!$D$2:$D$42,MATCH($Q223,'Device Refrigerant Leakage'!$B$2:$B$42,0))*CX223/2204.62*CW223,"")</f>
        <v/>
      </c>
      <c r="DB223" s="145" t="str">
        <f>IF($I223&lt;&gt;"",J223*(INDEX('Device Refrigerant Leakage'!$D$2:$D$42,MATCH($Q223,'Device Refrigerant Leakage'!$B$2:$B$42,0))-(INDEX('Device Refrigerant Leakage'!$D$2:$D$42,MATCH($Q223,'Device Refrigerant Leakage'!$B$2:$B$42,0)))*CZ223*CX223)*CY223/2204.62*CW223,"")</f>
        <v/>
      </c>
      <c r="DC223" s="135" t="str">
        <f t="shared" si="348"/>
        <v/>
      </c>
      <c r="DE223" s="146" t="str">
        <f>IF(W223&lt;&gt;"AR","",IF(Y223="User Specified", AA223, INDEX('Refrigerant GWPs'!$G$2:$G$154,MATCH(Y223,'Refrigerant GWPs'!$A$2:$A$154,0))))</f>
        <v/>
      </c>
      <c r="DF223" s="146" t="str">
        <f>IF(W223&lt;&gt;"AR","",INDEX('Device Refrigerant Leakage'!$E$2:$E$42,MATCH(X223,'Device Refrigerant Leakage'!$B$2:$B$42,0)))</f>
        <v/>
      </c>
      <c r="DG223" s="146" t="str">
        <f>IF(W223&lt;&gt;"AR","",INDEX('Device Refrigerant Leakage'!$F$2:$F$42,MATCH(X223,'Device Refrigerant Leakage'!$B$2:$B$42,0)))</f>
        <v/>
      </c>
      <c r="DH223" s="146" t="str">
        <f>IF(W223&lt;&gt;"AR","",INDEX('Device Refrigerant Leakage'!$G$2:$G$42,MATCH(X223,'Device Refrigerant Leakage'!$B$2:$B$42,0)))</f>
        <v/>
      </c>
      <c r="DI223" s="146" t="str">
        <f>IF(W223&lt;&gt;"AR","",J223*INDEX('Device Refrigerant Leakage'!$D$2:$D$42,MATCH(X223,'Device Refrigerant Leakage'!$B$2:$B$42,0))*DF223/2204.62*DE223)</f>
        <v/>
      </c>
      <c r="DJ223" s="146" t="str">
        <f>IF(W223&lt;&gt;"AR","",J223*(INDEX('Device Refrigerant Leakage'!$D$2:$D$42,MATCH(X223,'Device Refrigerant Leakage'!$B$2:$B$42,0))-(INDEX('Device Refrigerant Leakage'!$D$2:$D$42,MATCH(X223,'Device Refrigerant Leakage'!$B$2:$B$42,0)))*DH223*DF223)*DG223/2204.62*DE223)</f>
        <v/>
      </c>
      <c r="DK223" s="146" t="str">
        <f>IF(W223&lt;&gt;"AR","",DI223*(K223-AB223)+'Fuel Sub Calcs-Deemed'!DJ223*((K223-AB223)/INDEX('Device Refrigerant Leakage'!$C$2:$C$42,MATCH('Fuel Sub Calcs-Deemed'!X223,'Device Refrigerant Leakage'!$B$2:$B$42,0))))</f>
        <v/>
      </c>
      <c r="DM223" s="56">
        <v>209</v>
      </c>
      <c r="DN223" s="67" t="e">
        <f t="shared" si="328"/>
        <v>#N/A</v>
      </c>
      <c r="DO223" s="45" t="e">
        <f t="shared" si="329"/>
        <v>#N/A</v>
      </c>
      <c r="DP223" s="67" t="e">
        <f t="shared" si="330"/>
        <v>#N/A</v>
      </c>
      <c r="DQ223" s="45" t="e">
        <f t="shared" si="331"/>
        <v>#N/A</v>
      </c>
      <c r="DR223" s="69" t="e">
        <f t="shared" si="332"/>
        <v>#N/A</v>
      </c>
      <c r="DS223" s="34"/>
      <c r="DT223" s="67" t="e">
        <f>((BX223*CJ223)+IF($W223=MAT_AR,(BZ223*CL223),0))*(1+Reference!$E$50+Reference!$E$51)</f>
        <v>#N/A</v>
      </c>
      <c r="DU223" s="67">
        <f>((BY223*CK223)+IF($W223=MAT_AR,(CA223*CM223),0))*(1+Reference!$G$50+Reference!$G$51)</f>
        <v>0</v>
      </c>
      <c r="DV223" s="67" t="e">
        <f t="shared" si="333"/>
        <v>#VALUE!</v>
      </c>
      <c r="DX223" s="56">
        <v>209</v>
      </c>
      <c r="DY223" s="67">
        <f t="shared" si="334"/>
        <v>0</v>
      </c>
      <c r="DZ223" s="45" t="e">
        <f>VLOOKUP($R223,Dropdown!$C$3:$D$4,2,FALSE)</f>
        <v>#N/A</v>
      </c>
      <c r="EA223" s="68">
        <f t="shared" si="335"/>
        <v>0</v>
      </c>
      <c r="EB223" s="68" t="str">
        <f t="shared" si="336"/>
        <v>N/A</v>
      </c>
      <c r="EC223" s="68">
        <f t="shared" si="337"/>
        <v>0</v>
      </c>
      <c r="ED223" s="68" t="str">
        <f t="shared" si="377"/>
        <v>N/A</v>
      </c>
      <c r="EF223" s="56">
        <v>209</v>
      </c>
      <c r="EG223" s="46">
        <f t="shared" si="339"/>
        <v>0</v>
      </c>
      <c r="EH223" s="68" t="e">
        <f t="shared" si="340"/>
        <v>#N/A</v>
      </c>
      <c r="EI223" s="68" t="e">
        <f t="shared" si="341"/>
        <v>#N/A</v>
      </c>
      <c r="EJ223" s="68" t="e">
        <f t="shared" si="342"/>
        <v>#N/A</v>
      </c>
      <c r="EK223" s="68" t="e">
        <f t="shared" si="343"/>
        <v>#N/A</v>
      </c>
      <c r="EL223" s="46">
        <f t="shared" si="344"/>
        <v>0</v>
      </c>
      <c r="EM223" s="46">
        <f t="shared" si="345"/>
        <v>0</v>
      </c>
    </row>
    <row r="224" spans="1:143">
      <c r="A224" s="89"/>
      <c r="B224" s="89"/>
      <c r="C224" s="89"/>
      <c r="D224" s="89"/>
      <c r="E224" s="89"/>
      <c r="F224" s="89"/>
      <c r="G224" s="34"/>
      <c r="H224" s="56">
        <f t="shared" si="346"/>
        <v>210</v>
      </c>
      <c r="I224" s="165"/>
      <c r="J224" s="163"/>
      <c r="K224" s="163"/>
      <c r="L224" s="164"/>
      <c r="M224" s="155"/>
      <c r="N224" s="155"/>
      <c r="O224" s="144"/>
      <c r="P224" s="159" t="str">
        <f>IFERROR(IF(O224&lt;&gt;"User Specified",IF(O224&lt;&gt;"", INDEX('Refrigerant GWPs'!$G$2:$G$154,MATCH(O224,'Refrigerant GWPs'!$A$2:$A$154,0)),""),U224),0)</f>
        <v/>
      </c>
      <c r="Q224" s="155"/>
      <c r="R224" s="155"/>
      <c r="S224" s="144"/>
      <c r="T224" s="159" t="str">
        <f>IF(S224&lt;&gt;"User Specified",IF(AND(S224&lt;&gt;"User Specified",S224&lt;&gt;""), INDEX('Refrigerant GWPs'!$G$2:$G$154,MATCH(S224,'Refrigerant GWPs'!$A$2:$A$154,0)),""),V224)</f>
        <v/>
      </c>
      <c r="U224" s="144"/>
      <c r="V224" s="144"/>
      <c r="W224" s="155"/>
      <c r="X224" s="155"/>
      <c r="Y224" s="144"/>
      <c r="Z224" s="159" t="str">
        <f>IF(AND(Y224&lt;&gt;"User Specified",Y224&lt;&gt;""), INDEX('Refrigerant GWPs'!$G$2:$G$154,MATCH(Y224,'Refrigerant GWPs'!$A$2:$A$154,0)),"")</f>
        <v/>
      </c>
      <c r="AA224" s="155"/>
      <c r="AB224" s="156"/>
      <c r="AC224" s="66"/>
      <c r="AD224" s="66"/>
      <c r="AE224" s="66"/>
      <c r="AF224" s="66"/>
      <c r="AG224" s="66"/>
      <c r="AH224" s="66"/>
      <c r="AI224" s="34"/>
      <c r="AJ224" s="88">
        <f t="shared" si="304"/>
        <v>0</v>
      </c>
      <c r="AK224" s="88">
        <f t="shared" si="305"/>
        <v>0</v>
      </c>
      <c r="AL224" s="88">
        <v>0</v>
      </c>
      <c r="AM224" s="88">
        <v>0</v>
      </c>
      <c r="AN224" s="81" t="str">
        <f t="shared" si="349"/>
        <v/>
      </c>
      <c r="AO224" s="88">
        <f t="shared" si="306"/>
        <v>0</v>
      </c>
      <c r="AP224" s="88">
        <f t="shared" si="307"/>
        <v>0</v>
      </c>
      <c r="AQ224" s="81" t="str">
        <f t="shared" si="308"/>
        <v/>
      </c>
      <c r="AS224" s="41" t="b">
        <f t="shared" si="309"/>
        <v>1</v>
      </c>
      <c r="AT224" s="38">
        <f t="shared" si="310"/>
        <v>0</v>
      </c>
      <c r="AU224" s="60">
        <f t="shared" si="311"/>
        <v>0</v>
      </c>
      <c r="AV224" s="41">
        <f t="shared" si="312"/>
        <v>0</v>
      </c>
      <c r="AW224" s="41" t="b">
        <f t="shared" si="313"/>
        <v>0</v>
      </c>
      <c r="AX224" t="str">
        <f t="shared" si="314"/>
        <v>+00</v>
      </c>
      <c r="AY224" t="str">
        <f t="shared" si="315"/>
        <v>+00</v>
      </c>
      <c r="BA224" s="47" t="b">
        <f t="shared" si="350"/>
        <v>1</v>
      </c>
      <c r="BB224" s="42" t="b">
        <f t="shared" si="351"/>
        <v>1</v>
      </c>
      <c r="BC224" s="42" t="b">
        <f t="shared" si="352"/>
        <v>0</v>
      </c>
      <c r="BD224" s="42" t="b">
        <f t="shared" si="353"/>
        <v>0</v>
      </c>
      <c r="BE224" s="70">
        <f t="shared" si="354"/>
        <v>0</v>
      </c>
      <c r="BF224" s="70">
        <f t="shared" si="355"/>
        <v>0</v>
      </c>
      <c r="BG224" s="34"/>
      <c r="BI224" s="47" t="b">
        <f t="shared" si="356"/>
        <v>1</v>
      </c>
      <c r="BJ224" s="47" t="b">
        <f t="shared" si="357"/>
        <v>1</v>
      </c>
      <c r="BK224" s="42" t="b">
        <f t="shared" si="358"/>
        <v>0</v>
      </c>
      <c r="BL224" s="42" t="b">
        <f t="shared" si="359"/>
        <v>0</v>
      </c>
      <c r="BM224" s="42">
        <f t="shared" si="360"/>
        <v>0</v>
      </c>
      <c r="BN224" s="42">
        <f t="shared" si="361"/>
        <v>0</v>
      </c>
      <c r="BP224" t="e">
        <f t="shared" si="362"/>
        <v>#N/A</v>
      </c>
      <c r="BQ224" t="e">
        <f t="shared" si="363"/>
        <v>#N/A</v>
      </c>
      <c r="BR224" t="e">
        <f t="shared" si="364"/>
        <v>#N/A</v>
      </c>
      <c r="BT224" s="60">
        <f t="shared" si="365"/>
        <v>0</v>
      </c>
      <c r="BU224" s="60">
        <f t="shared" si="366"/>
        <v>0</v>
      </c>
      <c r="BV224" s="60">
        <f t="shared" si="367"/>
        <v>0</v>
      </c>
      <c r="BW224" s="60">
        <f t="shared" si="368"/>
        <v>0</v>
      </c>
      <c r="BX224" s="60">
        <f t="shared" si="369"/>
        <v>0</v>
      </c>
      <c r="BY224" s="60">
        <f t="shared" si="370"/>
        <v>0</v>
      </c>
      <c r="BZ224" s="60">
        <f t="shared" si="371"/>
        <v>0</v>
      </c>
      <c r="CA224" s="60">
        <f t="shared" si="372"/>
        <v>0</v>
      </c>
      <c r="CB224" s="60" t="e">
        <f t="shared" si="320"/>
        <v>#N/A</v>
      </c>
      <c r="CC224" s="60">
        <f t="shared" si="321"/>
        <v>100000</v>
      </c>
      <c r="CD224" s="60" t="e">
        <f t="shared" si="322"/>
        <v>#N/A</v>
      </c>
      <c r="CE224" s="60">
        <f t="shared" si="323"/>
        <v>100000</v>
      </c>
      <c r="CF224" s="83" t="e">
        <f t="shared" si="373"/>
        <v>#N/A</v>
      </c>
      <c r="CG224" s="83">
        <f t="shared" si="374"/>
        <v>0</v>
      </c>
      <c r="CH224" s="83" t="e">
        <f t="shared" si="375"/>
        <v>#N/A</v>
      </c>
      <c r="CI224" s="83">
        <f t="shared" si="376"/>
        <v>0</v>
      </c>
      <c r="CJ224" s="86" t="e">
        <f t="shared" si="324"/>
        <v>#N/A</v>
      </c>
      <c r="CK224" s="82">
        <f t="shared" si="325"/>
        <v>5.3070370403969858E-3</v>
      </c>
      <c r="CL224" s="82" t="e">
        <f t="shared" si="326"/>
        <v>#N/A</v>
      </c>
      <c r="CM224" s="82">
        <f t="shared" si="327"/>
        <v>5.3070370403969858E-3</v>
      </c>
      <c r="CO224" s="149" t="str">
        <f>IF($I224&lt;&gt;"",IF(O224="User Specified",U224,INDEX('Refrigerant GWPs'!$G$2:$G$156,MATCH(O224,'Refrigerant GWPs'!$A$2:$A$156,0))),"")</f>
        <v/>
      </c>
      <c r="CP224" s="138" t="str">
        <f>IF($I224&lt;&gt;"",INDEX('Device Refrigerant Leakage'!$E$2:$E$42,MATCH($M224,'Device Refrigerant Leakage'!$B$2:$B$42,0)),"")</f>
        <v/>
      </c>
      <c r="CQ224" s="138" t="str">
        <f>IF($I224&lt;&gt;"",INDEX('Device Refrigerant Leakage'!$F$2:$F$42,MATCH($M224,'Device Refrigerant Leakage'!$B$2:$B$42,0)),"")</f>
        <v/>
      </c>
      <c r="CR224" s="145" t="str">
        <f>IF($I224&lt;&gt;"",INDEX('Device Refrigerant Leakage'!$G$2:$G$42,MATCH($M224,'Device Refrigerant Leakage'!$B$2:$B$42,0)),"")</f>
        <v/>
      </c>
      <c r="CS224" s="145" t="str">
        <f>IF($I224&lt;&gt;"",INDEX('Device Refrigerant Leakage'!$D$2:$D$42,MATCH($M224,'Device Refrigerant Leakage'!$B$2:$B$42,0))*CP224/2204.62*CO224,"")</f>
        <v/>
      </c>
      <c r="CT224" s="145" t="str">
        <f>IF($I224&lt;&gt;"",J224*(INDEX('Device Refrigerant Leakage'!$D$2:$D$42,MATCH($M224,'Device Refrigerant Leakage'!$B$2:$B$42,0))-(INDEX('Device Refrigerant Leakage'!$D$2:$D$42,MATCH($M224,'Device Refrigerant Leakage'!$B$2:$B$42,0)))*CR224*CP224)*CQ224/2204.62*CO224,"")</f>
        <v/>
      </c>
      <c r="CU224" s="135" t="str">
        <f>IF($I224&lt;&gt;"",J224*IF(W224&lt;&gt;"AR",(CS224*K224)+CT224,(CS224*AB224)+CT224*(AB224/INDEX('Device Refrigerant Leakage'!$C$2:$C$42,MATCH($M224,'Device Refrigerant Leakage'!$B$2:$B$42,0)))),"")</f>
        <v/>
      </c>
      <c r="CW224" s="135" t="str">
        <f>IF($I224&lt;&gt;"",IF(S224="User Specified",V224,INDEX('Refrigerant GWPs'!$G$2:$G$156,MATCH(S224,'Refrigerant GWPs'!$A$2:$A$157,0))),"")</f>
        <v/>
      </c>
      <c r="CX224" s="138" t="str">
        <f>IF($I224&lt;&gt;"",INDEX('Device Refrigerant Leakage'!$E$2:$E$42,MATCH($Q224,'Device Refrigerant Leakage'!$B$2:$B$42,0)),"")</f>
        <v/>
      </c>
      <c r="CY224" s="138" t="str">
        <f>IF($I224&lt;&gt;"",INDEX('Device Refrigerant Leakage'!$F$2:$F$42,MATCH($Q224,'Device Refrigerant Leakage'!$B$2:$B$42,0)),"")</f>
        <v/>
      </c>
      <c r="CZ224" s="145" t="str">
        <f>IF($I224&lt;&gt;"",INDEX('Device Refrigerant Leakage'!$G$2:$G$42,MATCH($Q224,'Device Refrigerant Leakage'!$B$2:$B$42,0)),"")</f>
        <v/>
      </c>
      <c r="DA224" s="145" t="str">
        <f>IF($I224&lt;&gt;"",J224*INDEX('Device Refrigerant Leakage'!$D$2:$D$42,MATCH($Q224,'Device Refrigerant Leakage'!$B$2:$B$42,0))*CX224/2204.62*CW224,"")</f>
        <v/>
      </c>
      <c r="DB224" s="145" t="str">
        <f>IF($I224&lt;&gt;"",J224*(INDEX('Device Refrigerant Leakage'!$D$2:$D$42,MATCH($Q224,'Device Refrigerant Leakage'!$B$2:$B$42,0))-(INDEX('Device Refrigerant Leakage'!$D$2:$D$42,MATCH($Q224,'Device Refrigerant Leakage'!$B$2:$B$42,0)))*CZ224*CX224)*CY224/2204.62*CW224,"")</f>
        <v/>
      </c>
      <c r="DC224" s="135" t="str">
        <f t="shared" si="348"/>
        <v/>
      </c>
      <c r="DE224" s="146" t="str">
        <f>IF(W224&lt;&gt;"AR","",IF(Y224="User Specified", AA224, INDEX('Refrigerant GWPs'!$G$2:$G$154,MATCH(Y224,'Refrigerant GWPs'!$A$2:$A$154,0))))</f>
        <v/>
      </c>
      <c r="DF224" s="146" t="str">
        <f>IF(W224&lt;&gt;"AR","",INDEX('Device Refrigerant Leakage'!$E$2:$E$42,MATCH(X224,'Device Refrigerant Leakage'!$B$2:$B$42,0)))</f>
        <v/>
      </c>
      <c r="DG224" s="146" t="str">
        <f>IF(W224&lt;&gt;"AR","",INDEX('Device Refrigerant Leakage'!$F$2:$F$42,MATCH(X224,'Device Refrigerant Leakage'!$B$2:$B$42,0)))</f>
        <v/>
      </c>
      <c r="DH224" s="146" t="str">
        <f>IF(W224&lt;&gt;"AR","",INDEX('Device Refrigerant Leakage'!$G$2:$G$42,MATCH(X224,'Device Refrigerant Leakage'!$B$2:$B$42,0)))</f>
        <v/>
      </c>
      <c r="DI224" s="146" t="str">
        <f>IF(W224&lt;&gt;"AR","",J224*INDEX('Device Refrigerant Leakage'!$D$2:$D$42,MATCH(X224,'Device Refrigerant Leakage'!$B$2:$B$42,0))*DF224/2204.62*DE224)</f>
        <v/>
      </c>
      <c r="DJ224" s="146" t="str">
        <f>IF(W224&lt;&gt;"AR","",J224*(INDEX('Device Refrigerant Leakage'!$D$2:$D$42,MATCH(X224,'Device Refrigerant Leakage'!$B$2:$B$42,0))-(INDEX('Device Refrigerant Leakage'!$D$2:$D$42,MATCH(X224,'Device Refrigerant Leakage'!$B$2:$B$42,0)))*DH224*DF224)*DG224/2204.62*DE224)</f>
        <v/>
      </c>
      <c r="DK224" s="146" t="str">
        <f>IF(W224&lt;&gt;"AR","",DI224*(K224-AB224)+'Fuel Sub Calcs-Deemed'!DJ224*((K224-AB224)/INDEX('Device Refrigerant Leakage'!$C$2:$C$42,MATCH('Fuel Sub Calcs-Deemed'!X224,'Device Refrigerant Leakage'!$B$2:$B$42,0))))</f>
        <v/>
      </c>
      <c r="DM224" s="56">
        <v>210</v>
      </c>
      <c r="DN224" s="67" t="e">
        <f t="shared" si="328"/>
        <v>#N/A</v>
      </c>
      <c r="DO224" s="45" t="e">
        <f t="shared" si="329"/>
        <v>#N/A</v>
      </c>
      <c r="DP224" s="67" t="e">
        <f t="shared" si="330"/>
        <v>#N/A</v>
      </c>
      <c r="DQ224" s="45" t="e">
        <f t="shared" si="331"/>
        <v>#N/A</v>
      </c>
      <c r="DR224" s="69" t="e">
        <f t="shared" si="332"/>
        <v>#N/A</v>
      </c>
      <c r="DS224" s="34"/>
      <c r="DT224" s="67" t="e">
        <f>((BX224*CJ224)+IF($W224=MAT_AR,(BZ224*CL224),0))*(1+Reference!$E$50+Reference!$E$51)</f>
        <v>#N/A</v>
      </c>
      <c r="DU224" s="67">
        <f>((BY224*CK224)+IF($W224=MAT_AR,(CA224*CM224),0))*(1+Reference!$G$50+Reference!$G$51)</f>
        <v>0</v>
      </c>
      <c r="DV224" s="67" t="e">
        <f t="shared" si="333"/>
        <v>#VALUE!</v>
      </c>
      <c r="DX224" s="56">
        <v>210</v>
      </c>
      <c r="DY224" s="67">
        <f t="shared" si="334"/>
        <v>0</v>
      </c>
      <c r="DZ224" s="45" t="e">
        <f>VLOOKUP($R224,Dropdown!$C$3:$D$4,2,FALSE)</f>
        <v>#N/A</v>
      </c>
      <c r="EA224" s="68">
        <f t="shared" si="335"/>
        <v>0</v>
      </c>
      <c r="EB224" s="68" t="str">
        <f t="shared" si="336"/>
        <v>N/A</v>
      </c>
      <c r="EC224" s="68">
        <f t="shared" si="337"/>
        <v>0</v>
      </c>
      <c r="ED224" s="68" t="str">
        <f t="shared" si="377"/>
        <v>N/A</v>
      </c>
      <c r="EF224" s="56">
        <v>210</v>
      </c>
      <c r="EG224" s="46">
        <f t="shared" si="339"/>
        <v>0</v>
      </c>
      <c r="EH224" s="68" t="e">
        <f t="shared" si="340"/>
        <v>#N/A</v>
      </c>
      <c r="EI224" s="68" t="e">
        <f t="shared" si="341"/>
        <v>#N/A</v>
      </c>
      <c r="EJ224" s="68" t="e">
        <f t="shared" si="342"/>
        <v>#N/A</v>
      </c>
      <c r="EK224" s="68" t="e">
        <f t="shared" si="343"/>
        <v>#N/A</v>
      </c>
      <c r="EL224" s="46">
        <f t="shared" si="344"/>
        <v>0</v>
      </c>
      <c r="EM224" s="46">
        <f t="shared" si="345"/>
        <v>0</v>
      </c>
    </row>
    <row r="225" spans="1:143">
      <c r="A225" s="89"/>
      <c r="B225" s="89"/>
      <c r="C225" s="89"/>
      <c r="D225" s="89"/>
      <c r="E225" s="89"/>
      <c r="F225" s="89"/>
      <c r="G225" s="34"/>
      <c r="H225" s="56">
        <f t="shared" si="346"/>
        <v>211</v>
      </c>
      <c r="I225" s="165"/>
      <c r="J225" s="163"/>
      <c r="K225" s="163"/>
      <c r="L225" s="164"/>
      <c r="M225" s="155"/>
      <c r="N225" s="155"/>
      <c r="O225" s="144"/>
      <c r="P225" s="159" t="str">
        <f>IFERROR(IF(O225&lt;&gt;"User Specified",IF(O225&lt;&gt;"", INDEX('Refrigerant GWPs'!$G$2:$G$154,MATCH(O225,'Refrigerant GWPs'!$A$2:$A$154,0)),""),U225),0)</f>
        <v/>
      </c>
      <c r="Q225" s="155"/>
      <c r="R225" s="155"/>
      <c r="S225" s="144"/>
      <c r="T225" s="159" t="str">
        <f>IF(S225&lt;&gt;"User Specified",IF(AND(S225&lt;&gt;"User Specified",S225&lt;&gt;""), INDEX('Refrigerant GWPs'!$G$2:$G$154,MATCH(S225,'Refrigerant GWPs'!$A$2:$A$154,0)),""),V225)</f>
        <v/>
      </c>
      <c r="U225" s="144"/>
      <c r="V225" s="144"/>
      <c r="W225" s="155"/>
      <c r="X225" s="155"/>
      <c r="Y225" s="144"/>
      <c r="Z225" s="159" t="str">
        <f>IF(AND(Y225&lt;&gt;"User Specified",Y225&lt;&gt;""), INDEX('Refrigerant GWPs'!$G$2:$G$154,MATCH(Y225,'Refrigerant GWPs'!$A$2:$A$154,0)),"")</f>
        <v/>
      </c>
      <c r="AA225" s="155"/>
      <c r="AB225" s="156"/>
      <c r="AC225" s="66"/>
      <c r="AD225" s="66"/>
      <c r="AE225" s="66"/>
      <c r="AF225" s="66"/>
      <c r="AG225" s="66"/>
      <c r="AH225" s="66"/>
      <c r="AI225" s="34"/>
      <c r="AJ225" s="88">
        <f t="shared" si="304"/>
        <v>0</v>
      </c>
      <c r="AK225" s="88">
        <f t="shared" si="305"/>
        <v>0</v>
      </c>
      <c r="AL225" s="88">
        <v>0</v>
      </c>
      <c r="AM225" s="88">
        <v>0</v>
      </c>
      <c r="AN225" s="81" t="str">
        <f t="shared" si="349"/>
        <v/>
      </c>
      <c r="AO225" s="88">
        <f t="shared" si="306"/>
        <v>0</v>
      </c>
      <c r="AP225" s="88">
        <f t="shared" si="307"/>
        <v>0</v>
      </c>
      <c r="AQ225" s="81" t="str">
        <f t="shared" si="308"/>
        <v/>
      </c>
      <c r="AS225" s="41" t="b">
        <f t="shared" si="309"/>
        <v>1</v>
      </c>
      <c r="AT225" s="38">
        <f t="shared" si="310"/>
        <v>0</v>
      </c>
      <c r="AU225" s="60">
        <f t="shared" si="311"/>
        <v>0</v>
      </c>
      <c r="AV225" s="41">
        <f t="shared" si="312"/>
        <v>0</v>
      </c>
      <c r="AW225" s="41" t="b">
        <f t="shared" si="313"/>
        <v>0</v>
      </c>
      <c r="AX225" t="str">
        <f t="shared" si="314"/>
        <v>+00</v>
      </c>
      <c r="AY225" t="str">
        <f t="shared" si="315"/>
        <v>+00</v>
      </c>
      <c r="BA225" s="47" t="b">
        <f t="shared" si="350"/>
        <v>1</v>
      </c>
      <c r="BB225" s="42" t="b">
        <f t="shared" si="351"/>
        <v>1</v>
      </c>
      <c r="BC225" s="42" t="b">
        <f t="shared" si="352"/>
        <v>0</v>
      </c>
      <c r="BD225" s="42" t="b">
        <f t="shared" si="353"/>
        <v>0</v>
      </c>
      <c r="BE225" s="70">
        <f t="shared" si="354"/>
        <v>0</v>
      </c>
      <c r="BF225" s="70">
        <f t="shared" si="355"/>
        <v>0</v>
      </c>
      <c r="BG225" s="34"/>
      <c r="BI225" s="47" t="b">
        <f t="shared" si="356"/>
        <v>1</v>
      </c>
      <c r="BJ225" s="47" t="b">
        <f t="shared" si="357"/>
        <v>1</v>
      </c>
      <c r="BK225" s="42" t="b">
        <f t="shared" si="358"/>
        <v>0</v>
      </c>
      <c r="BL225" s="42" t="b">
        <f t="shared" si="359"/>
        <v>0</v>
      </c>
      <c r="BM225" s="42">
        <f t="shared" si="360"/>
        <v>0</v>
      </c>
      <c r="BN225" s="42">
        <f t="shared" si="361"/>
        <v>0</v>
      </c>
      <c r="BP225" t="e">
        <f t="shared" si="362"/>
        <v>#N/A</v>
      </c>
      <c r="BQ225" t="e">
        <f t="shared" si="363"/>
        <v>#N/A</v>
      </c>
      <c r="BR225" t="e">
        <f t="shared" si="364"/>
        <v>#N/A</v>
      </c>
      <c r="BT225" s="60">
        <f t="shared" si="365"/>
        <v>0</v>
      </c>
      <c r="BU225" s="60">
        <f t="shared" si="366"/>
        <v>0</v>
      </c>
      <c r="BV225" s="60">
        <f t="shared" si="367"/>
        <v>0</v>
      </c>
      <c r="BW225" s="60">
        <f t="shared" si="368"/>
        <v>0</v>
      </c>
      <c r="BX225" s="60">
        <f t="shared" si="369"/>
        <v>0</v>
      </c>
      <c r="BY225" s="60">
        <f t="shared" si="370"/>
        <v>0</v>
      </c>
      <c r="BZ225" s="60">
        <f t="shared" si="371"/>
        <v>0</v>
      </c>
      <c r="CA225" s="60">
        <f t="shared" si="372"/>
        <v>0</v>
      </c>
      <c r="CB225" s="60" t="e">
        <f t="shared" si="320"/>
        <v>#N/A</v>
      </c>
      <c r="CC225" s="60">
        <f t="shared" si="321"/>
        <v>100000</v>
      </c>
      <c r="CD225" s="60" t="e">
        <f t="shared" si="322"/>
        <v>#N/A</v>
      </c>
      <c r="CE225" s="60">
        <f t="shared" si="323"/>
        <v>100000</v>
      </c>
      <c r="CF225" s="83" t="e">
        <f t="shared" si="373"/>
        <v>#N/A</v>
      </c>
      <c r="CG225" s="83">
        <f t="shared" si="374"/>
        <v>0</v>
      </c>
      <c r="CH225" s="83" t="e">
        <f t="shared" si="375"/>
        <v>#N/A</v>
      </c>
      <c r="CI225" s="83">
        <f t="shared" si="376"/>
        <v>0</v>
      </c>
      <c r="CJ225" s="86" t="e">
        <f t="shared" si="324"/>
        <v>#N/A</v>
      </c>
      <c r="CK225" s="82">
        <f t="shared" si="325"/>
        <v>5.3070370403969858E-3</v>
      </c>
      <c r="CL225" s="82" t="e">
        <f t="shared" si="326"/>
        <v>#N/A</v>
      </c>
      <c r="CM225" s="82">
        <f t="shared" si="327"/>
        <v>5.3070370403969858E-3</v>
      </c>
      <c r="CO225" s="149" t="str">
        <f>IF($I225&lt;&gt;"",IF(O225="User Specified",U225,INDEX('Refrigerant GWPs'!$G$2:$G$156,MATCH(O225,'Refrigerant GWPs'!$A$2:$A$156,0))),"")</f>
        <v/>
      </c>
      <c r="CP225" s="138" t="str">
        <f>IF($I225&lt;&gt;"",INDEX('Device Refrigerant Leakage'!$E$2:$E$42,MATCH($M225,'Device Refrigerant Leakage'!$B$2:$B$42,0)),"")</f>
        <v/>
      </c>
      <c r="CQ225" s="138" t="str">
        <f>IF($I225&lt;&gt;"",INDEX('Device Refrigerant Leakage'!$F$2:$F$42,MATCH($M225,'Device Refrigerant Leakage'!$B$2:$B$42,0)),"")</f>
        <v/>
      </c>
      <c r="CR225" s="145" t="str">
        <f>IF($I225&lt;&gt;"",INDEX('Device Refrigerant Leakage'!$G$2:$G$42,MATCH($M225,'Device Refrigerant Leakage'!$B$2:$B$42,0)),"")</f>
        <v/>
      </c>
      <c r="CS225" s="145" t="str">
        <f>IF($I225&lt;&gt;"",INDEX('Device Refrigerant Leakage'!$D$2:$D$42,MATCH($M225,'Device Refrigerant Leakage'!$B$2:$B$42,0))*CP225/2204.62*CO225,"")</f>
        <v/>
      </c>
      <c r="CT225" s="145" t="str">
        <f>IF($I225&lt;&gt;"",J225*(INDEX('Device Refrigerant Leakage'!$D$2:$D$42,MATCH($M225,'Device Refrigerant Leakage'!$B$2:$B$42,0))-(INDEX('Device Refrigerant Leakage'!$D$2:$D$42,MATCH($M225,'Device Refrigerant Leakage'!$B$2:$B$42,0)))*CR225*CP225)*CQ225/2204.62*CO225,"")</f>
        <v/>
      </c>
      <c r="CU225" s="135" t="str">
        <f>IF($I225&lt;&gt;"",J225*IF(W225&lt;&gt;"AR",(CS225*K225)+CT225,(CS225*AB225)+CT225*(AB225/INDEX('Device Refrigerant Leakage'!$C$2:$C$42,MATCH($M225,'Device Refrigerant Leakage'!$B$2:$B$42,0)))),"")</f>
        <v/>
      </c>
      <c r="CW225" s="135" t="str">
        <f>IF($I225&lt;&gt;"",IF(S225="User Specified",V225,INDEX('Refrigerant GWPs'!$G$2:$G$156,MATCH(S225,'Refrigerant GWPs'!$A$2:$A$157,0))),"")</f>
        <v/>
      </c>
      <c r="CX225" s="138" t="str">
        <f>IF($I225&lt;&gt;"",INDEX('Device Refrigerant Leakage'!$E$2:$E$42,MATCH($Q225,'Device Refrigerant Leakage'!$B$2:$B$42,0)),"")</f>
        <v/>
      </c>
      <c r="CY225" s="138" t="str">
        <f>IF($I225&lt;&gt;"",INDEX('Device Refrigerant Leakage'!$F$2:$F$42,MATCH($Q225,'Device Refrigerant Leakage'!$B$2:$B$42,0)),"")</f>
        <v/>
      </c>
      <c r="CZ225" s="145" t="str">
        <f>IF($I225&lt;&gt;"",INDEX('Device Refrigerant Leakage'!$G$2:$G$42,MATCH($Q225,'Device Refrigerant Leakage'!$B$2:$B$42,0)),"")</f>
        <v/>
      </c>
      <c r="DA225" s="145" t="str">
        <f>IF($I225&lt;&gt;"",J225*INDEX('Device Refrigerant Leakage'!$D$2:$D$42,MATCH($Q225,'Device Refrigerant Leakage'!$B$2:$B$42,0))*CX225/2204.62*CW225,"")</f>
        <v/>
      </c>
      <c r="DB225" s="145" t="str">
        <f>IF($I225&lt;&gt;"",J225*(INDEX('Device Refrigerant Leakage'!$D$2:$D$42,MATCH($Q225,'Device Refrigerant Leakage'!$B$2:$B$42,0))-(INDEX('Device Refrigerant Leakage'!$D$2:$D$42,MATCH($Q225,'Device Refrigerant Leakage'!$B$2:$B$42,0)))*CZ225*CX225)*CY225/2204.62*CW225,"")</f>
        <v/>
      </c>
      <c r="DC225" s="135" t="str">
        <f t="shared" si="348"/>
        <v/>
      </c>
      <c r="DE225" s="146" t="str">
        <f>IF(W225&lt;&gt;"AR","",IF(Y225="User Specified", AA225, INDEX('Refrigerant GWPs'!$G$2:$G$154,MATCH(Y225,'Refrigerant GWPs'!$A$2:$A$154,0))))</f>
        <v/>
      </c>
      <c r="DF225" s="146" t="str">
        <f>IF(W225&lt;&gt;"AR","",INDEX('Device Refrigerant Leakage'!$E$2:$E$42,MATCH(X225,'Device Refrigerant Leakage'!$B$2:$B$42,0)))</f>
        <v/>
      </c>
      <c r="DG225" s="146" t="str">
        <f>IF(W225&lt;&gt;"AR","",INDEX('Device Refrigerant Leakage'!$F$2:$F$42,MATCH(X225,'Device Refrigerant Leakage'!$B$2:$B$42,0)))</f>
        <v/>
      </c>
      <c r="DH225" s="146" t="str">
        <f>IF(W225&lt;&gt;"AR","",INDEX('Device Refrigerant Leakage'!$G$2:$G$42,MATCH(X225,'Device Refrigerant Leakage'!$B$2:$B$42,0)))</f>
        <v/>
      </c>
      <c r="DI225" s="146" t="str">
        <f>IF(W225&lt;&gt;"AR","",J225*INDEX('Device Refrigerant Leakage'!$D$2:$D$42,MATCH(X225,'Device Refrigerant Leakage'!$B$2:$B$42,0))*DF225/2204.62*DE225)</f>
        <v/>
      </c>
      <c r="DJ225" s="146" t="str">
        <f>IF(W225&lt;&gt;"AR","",J225*(INDEX('Device Refrigerant Leakage'!$D$2:$D$42,MATCH(X225,'Device Refrigerant Leakage'!$B$2:$B$42,0))-(INDEX('Device Refrigerant Leakage'!$D$2:$D$42,MATCH(X225,'Device Refrigerant Leakage'!$B$2:$B$42,0)))*DH225*DF225)*DG225/2204.62*DE225)</f>
        <v/>
      </c>
      <c r="DK225" s="146" t="str">
        <f>IF(W225&lt;&gt;"AR","",DI225*(K225-AB225)+'Fuel Sub Calcs-Deemed'!DJ225*((K225-AB225)/INDEX('Device Refrigerant Leakage'!$C$2:$C$42,MATCH('Fuel Sub Calcs-Deemed'!X225,'Device Refrigerant Leakage'!$B$2:$B$42,0))))</f>
        <v/>
      </c>
      <c r="DM225" s="56">
        <v>211</v>
      </c>
      <c r="DN225" s="67" t="e">
        <f t="shared" si="328"/>
        <v>#N/A</v>
      </c>
      <c r="DO225" s="45" t="e">
        <f t="shared" si="329"/>
        <v>#N/A</v>
      </c>
      <c r="DP225" s="67" t="e">
        <f t="shared" si="330"/>
        <v>#N/A</v>
      </c>
      <c r="DQ225" s="45" t="e">
        <f t="shared" si="331"/>
        <v>#N/A</v>
      </c>
      <c r="DR225" s="69" t="e">
        <f t="shared" si="332"/>
        <v>#N/A</v>
      </c>
      <c r="DS225" s="34"/>
      <c r="DT225" s="67" t="e">
        <f>((BX225*CJ225)+IF($W225=MAT_AR,(BZ225*CL225),0))*(1+Reference!$E$50+Reference!$E$51)</f>
        <v>#N/A</v>
      </c>
      <c r="DU225" s="67">
        <f>((BY225*CK225)+IF($W225=MAT_AR,(CA225*CM225),0))*(1+Reference!$G$50+Reference!$G$51)</f>
        <v>0</v>
      </c>
      <c r="DV225" s="67" t="e">
        <f t="shared" si="333"/>
        <v>#VALUE!</v>
      </c>
      <c r="DX225" s="56">
        <v>211</v>
      </c>
      <c r="DY225" s="67">
        <f t="shared" si="334"/>
        <v>0</v>
      </c>
      <c r="DZ225" s="45" t="e">
        <f>VLOOKUP($R225,Dropdown!$C$3:$D$4,2,FALSE)</f>
        <v>#N/A</v>
      </c>
      <c r="EA225" s="68">
        <f t="shared" si="335"/>
        <v>0</v>
      </c>
      <c r="EB225" s="68" t="str">
        <f t="shared" si="336"/>
        <v>N/A</v>
      </c>
      <c r="EC225" s="68">
        <f t="shared" si="337"/>
        <v>0</v>
      </c>
      <c r="ED225" s="68" t="str">
        <f t="shared" si="377"/>
        <v>N/A</v>
      </c>
      <c r="EF225" s="56">
        <v>211</v>
      </c>
      <c r="EG225" s="46">
        <f t="shared" si="339"/>
        <v>0</v>
      </c>
      <c r="EH225" s="68" t="e">
        <f t="shared" si="340"/>
        <v>#N/A</v>
      </c>
      <c r="EI225" s="68" t="e">
        <f t="shared" si="341"/>
        <v>#N/A</v>
      </c>
      <c r="EJ225" s="68" t="e">
        <f t="shared" si="342"/>
        <v>#N/A</v>
      </c>
      <c r="EK225" s="68" t="e">
        <f t="shared" si="343"/>
        <v>#N/A</v>
      </c>
      <c r="EL225" s="46">
        <f t="shared" si="344"/>
        <v>0</v>
      </c>
      <c r="EM225" s="46">
        <f t="shared" si="345"/>
        <v>0</v>
      </c>
    </row>
    <row r="226" spans="1:143">
      <c r="A226" s="89"/>
      <c r="B226" s="89"/>
      <c r="C226" s="89"/>
      <c r="D226" s="89"/>
      <c r="E226" s="89"/>
      <c r="F226" s="89"/>
      <c r="G226" s="34"/>
      <c r="H226" s="56">
        <f t="shared" si="346"/>
        <v>212</v>
      </c>
      <c r="I226" s="165"/>
      <c r="J226" s="163"/>
      <c r="K226" s="163"/>
      <c r="L226" s="164"/>
      <c r="M226" s="155"/>
      <c r="N226" s="155"/>
      <c r="O226" s="144"/>
      <c r="P226" s="159" t="str">
        <f>IFERROR(IF(O226&lt;&gt;"User Specified",IF(O226&lt;&gt;"", INDEX('Refrigerant GWPs'!$G$2:$G$154,MATCH(O226,'Refrigerant GWPs'!$A$2:$A$154,0)),""),U226),0)</f>
        <v/>
      </c>
      <c r="Q226" s="155"/>
      <c r="R226" s="155"/>
      <c r="S226" s="144"/>
      <c r="T226" s="159" t="str">
        <f>IF(S226&lt;&gt;"User Specified",IF(AND(S226&lt;&gt;"User Specified",S226&lt;&gt;""), INDEX('Refrigerant GWPs'!$G$2:$G$154,MATCH(S226,'Refrigerant GWPs'!$A$2:$A$154,0)),""),V226)</f>
        <v/>
      </c>
      <c r="U226" s="144"/>
      <c r="V226" s="144"/>
      <c r="W226" s="155"/>
      <c r="X226" s="155"/>
      <c r="Y226" s="144"/>
      <c r="Z226" s="159" t="str">
        <f>IF(AND(Y226&lt;&gt;"User Specified",Y226&lt;&gt;""), INDEX('Refrigerant GWPs'!$G$2:$G$154,MATCH(Y226,'Refrigerant GWPs'!$A$2:$A$154,0)),"")</f>
        <v/>
      </c>
      <c r="AA226" s="155"/>
      <c r="AB226" s="156"/>
      <c r="AC226" s="66"/>
      <c r="AD226" s="66"/>
      <c r="AE226" s="66"/>
      <c r="AF226" s="66"/>
      <c r="AG226" s="66"/>
      <c r="AH226" s="66"/>
      <c r="AI226" s="34"/>
      <c r="AJ226" s="88">
        <f t="shared" si="304"/>
        <v>0</v>
      </c>
      <c r="AK226" s="88">
        <f t="shared" si="305"/>
        <v>0</v>
      </c>
      <c r="AL226" s="88">
        <v>0</v>
      </c>
      <c r="AM226" s="88">
        <v>0</v>
      </c>
      <c r="AN226" s="81" t="str">
        <f t="shared" si="349"/>
        <v/>
      </c>
      <c r="AO226" s="88">
        <f t="shared" si="306"/>
        <v>0</v>
      </c>
      <c r="AP226" s="88">
        <f t="shared" si="307"/>
        <v>0</v>
      </c>
      <c r="AQ226" s="81" t="str">
        <f t="shared" si="308"/>
        <v/>
      </c>
      <c r="AS226" s="41" t="b">
        <f t="shared" si="309"/>
        <v>1</v>
      </c>
      <c r="AT226" s="38">
        <f t="shared" si="310"/>
        <v>0</v>
      </c>
      <c r="AU226" s="60">
        <f t="shared" si="311"/>
        <v>0</v>
      </c>
      <c r="AV226" s="41">
        <f t="shared" si="312"/>
        <v>0</v>
      </c>
      <c r="AW226" s="41" t="b">
        <f t="shared" si="313"/>
        <v>0</v>
      </c>
      <c r="AX226" t="str">
        <f t="shared" si="314"/>
        <v>+00</v>
      </c>
      <c r="AY226" t="str">
        <f t="shared" si="315"/>
        <v>+00</v>
      </c>
      <c r="BA226" s="47" t="b">
        <f t="shared" si="350"/>
        <v>1</v>
      </c>
      <c r="BB226" s="42" t="b">
        <f t="shared" si="351"/>
        <v>1</v>
      </c>
      <c r="BC226" s="42" t="b">
        <f t="shared" si="352"/>
        <v>0</v>
      </c>
      <c r="BD226" s="42" t="b">
        <f t="shared" si="353"/>
        <v>0</v>
      </c>
      <c r="BE226" s="70">
        <f t="shared" si="354"/>
        <v>0</v>
      </c>
      <c r="BF226" s="70">
        <f t="shared" si="355"/>
        <v>0</v>
      </c>
      <c r="BG226" s="34"/>
      <c r="BI226" s="47" t="b">
        <f t="shared" si="356"/>
        <v>1</v>
      </c>
      <c r="BJ226" s="47" t="b">
        <f t="shared" si="357"/>
        <v>1</v>
      </c>
      <c r="BK226" s="42" t="b">
        <f t="shared" si="358"/>
        <v>0</v>
      </c>
      <c r="BL226" s="42" t="b">
        <f t="shared" si="359"/>
        <v>0</v>
      </c>
      <c r="BM226" s="42">
        <f t="shared" si="360"/>
        <v>0</v>
      </c>
      <c r="BN226" s="42">
        <f t="shared" si="361"/>
        <v>0</v>
      </c>
      <c r="BP226" t="e">
        <f t="shared" si="362"/>
        <v>#N/A</v>
      </c>
      <c r="BQ226" t="e">
        <f t="shared" si="363"/>
        <v>#N/A</v>
      </c>
      <c r="BR226" t="e">
        <f t="shared" si="364"/>
        <v>#N/A</v>
      </c>
      <c r="BT226" s="60">
        <f t="shared" si="365"/>
        <v>0</v>
      </c>
      <c r="BU226" s="60">
        <f t="shared" si="366"/>
        <v>0</v>
      </c>
      <c r="BV226" s="60">
        <f t="shared" si="367"/>
        <v>0</v>
      </c>
      <c r="BW226" s="60">
        <f t="shared" si="368"/>
        <v>0</v>
      </c>
      <c r="BX226" s="60">
        <f t="shared" si="369"/>
        <v>0</v>
      </c>
      <c r="BY226" s="60">
        <f t="shared" si="370"/>
        <v>0</v>
      </c>
      <c r="BZ226" s="60">
        <f t="shared" si="371"/>
        <v>0</v>
      </c>
      <c r="CA226" s="60">
        <f t="shared" si="372"/>
        <v>0</v>
      </c>
      <c r="CB226" s="60" t="e">
        <f t="shared" si="320"/>
        <v>#N/A</v>
      </c>
      <c r="CC226" s="60">
        <f t="shared" si="321"/>
        <v>100000</v>
      </c>
      <c r="CD226" s="60" t="e">
        <f t="shared" si="322"/>
        <v>#N/A</v>
      </c>
      <c r="CE226" s="60">
        <f t="shared" si="323"/>
        <v>100000</v>
      </c>
      <c r="CF226" s="83" t="e">
        <f t="shared" si="373"/>
        <v>#N/A</v>
      </c>
      <c r="CG226" s="83">
        <f t="shared" si="374"/>
        <v>0</v>
      </c>
      <c r="CH226" s="83" t="e">
        <f t="shared" si="375"/>
        <v>#N/A</v>
      </c>
      <c r="CI226" s="83">
        <f t="shared" si="376"/>
        <v>0</v>
      </c>
      <c r="CJ226" s="86" t="e">
        <f t="shared" si="324"/>
        <v>#N/A</v>
      </c>
      <c r="CK226" s="82">
        <f t="shared" si="325"/>
        <v>5.3070370403969858E-3</v>
      </c>
      <c r="CL226" s="82" t="e">
        <f t="shared" si="326"/>
        <v>#N/A</v>
      </c>
      <c r="CM226" s="82">
        <f t="shared" si="327"/>
        <v>5.3070370403969858E-3</v>
      </c>
      <c r="CO226" s="149" t="str">
        <f>IF($I226&lt;&gt;"",IF(O226="User Specified",U226,INDEX('Refrigerant GWPs'!$G$2:$G$156,MATCH(O226,'Refrigerant GWPs'!$A$2:$A$156,0))),"")</f>
        <v/>
      </c>
      <c r="CP226" s="138" t="str">
        <f>IF($I226&lt;&gt;"",INDEX('Device Refrigerant Leakage'!$E$2:$E$42,MATCH($M226,'Device Refrigerant Leakage'!$B$2:$B$42,0)),"")</f>
        <v/>
      </c>
      <c r="CQ226" s="138" t="str">
        <f>IF($I226&lt;&gt;"",INDEX('Device Refrigerant Leakage'!$F$2:$F$42,MATCH($M226,'Device Refrigerant Leakage'!$B$2:$B$42,0)),"")</f>
        <v/>
      </c>
      <c r="CR226" s="145" t="str">
        <f>IF($I226&lt;&gt;"",INDEX('Device Refrigerant Leakage'!$G$2:$G$42,MATCH($M226,'Device Refrigerant Leakage'!$B$2:$B$42,0)),"")</f>
        <v/>
      </c>
      <c r="CS226" s="145" t="str">
        <f>IF($I226&lt;&gt;"",INDEX('Device Refrigerant Leakage'!$D$2:$D$42,MATCH($M226,'Device Refrigerant Leakage'!$B$2:$B$42,0))*CP226/2204.62*CO226,"")</f>
        <v/>
      </c>
      <c r="CT226" s="145" t="str">
        <f>IF($I226&lt;&gt;"",J226*(INDEX('Device Refrigerant Leakage'!$D$2:$D$42,MATCH($M226,'Device Refrigerant Leakage'!$B$2:$B$42,0))-(INDEX('Device Refrigerant Leakage'!$D$2:$D$42,MATCH($M226,'Device Refrigerant Leakage'!$B$2:$B$42,0)))*CR226*CP226)*CQ226/2204.62*CO226,"")</f>
        <v/>
      </c>
      <c r="CU226" s="135" t="str">
        <f>IF($I226&lt;&gt;"",J226*IF(W226&lt;&gt;"AR",(CS226*K226)+CT226,(CS226*AB226)+CT226*(AB226/INDEX('Device Refrigerant Leakage'!$C$2:$C$42,MATCH($M226,'Device Refrigerant Leakage'!$B$2:$B$42,0)))),"")</f>
        <v/>
      </c>
      <c r="CW226" s="135" t="str">
        <f>IF($I226&lt;&gt;"",IF(S226="User Specified",V226,INDEX('Refrigerant GWPs'!$G$2:$G$156,MATCH(S226,'Refrigerant GWPs'!$A$2:$A$157,0))),"")</f>
        <v/>
      </c>
      <c r="CX226" s="138" t="str">
        <f>IF($I226&lt;&gt;"",INDEX('Device Refrigerant Leakage'!$E$2:$E$42,MATCH($Q226,'Device Refrigerant Leakage'!$B$2:$B$42,0)),"")</f>
        <v/>
      </c>
      <c r="CY226" s="138" t="str">
        <f>IF($I226&lt;&gt;"",INDEX('Device Refrigerant Leakage'!$F$2:$F$42,MATCH($Q226,'Device Refrigerant Leakage'!$B$2:$B$42,0)),"")</f>
        <v/>
      </c>
      <c r="CZ226" s="145" t="str">
        <f>IF($I226&lt;&gt;"",INDEX('Device Refrigerant Leakage'!$G$2:$G$42,MATCH($Q226,'Device Refrigerant Leakage'!$B$2:$B$42,0)),"")</f>
        <v/>
      </c>
      <c r="DA226" s="145" t="str">
        <f>IF($I226&lt;&gt;"",J226*INDEX('Device Refrigerant Leakage'!$D$2:$D$42,MATCH($Q226,'Device Refrigerant Leakage'!$B$2:$B$42,0))*CX226/2204.62*CW226,"")</f>
        <v/>
      </c>
      <c r="DB226" s="145" t="str">
        <f>IF($I226&lt;&gt;"",J226*(INDEX('Device Refrigerant Leakage'!$D$2:$D$42,MATCH($Q226,'Device Refrigerant Leakage'!$B$2:$B$42,0))-(INDEX('Device Refrigerant Leakage'!$D$2:$D$42,MATCH($Q226,'Device Refrigerant Leakage'!$B$2:$B$42,0)))*CZ226*CX226)*CY226/2204.62*CW226,"")</f>
        <v/>
      </c>
      <c r="DC226" s="135" t="str">
        <f t="shared" si="348"/>
        <v/>
      </c>
      <c r="DE226" s="146" t="str">
        <f>IF(W226&lt;&gt;"AR","",IF(Y226="User Specified", AA226, INDEX('Refrigerant GWPs'!$G$2:$G$154,MATCH(Y226,'Refrigerant GWPs'!$A$2:$A$154,0))))</f>
        <v/>
      </c>
      <c r="DF226" s="146" t="str">
        <f>IF(W226&lt;&gt;"AR","",INDEX('Device Refrigerant Leakage'!$E$2:$E$42,MATCH(X226,'Device Refrigerant Leakage'!$B$2:$B$42,0)))</f>
        <v/>
      </c>
      <c r="DG226" s="146" t="str">
        <f>IF(W226&lt;&gt;"AR","",INDEX('Device Refrigerant Leakage'!$F$2:$F$42,MATCH(X226,'Device Refrigerant Leakage'!$B$2:$B$42,0)))</f>
        <v/>
      </c>
      <c r="DH226" s="146" t="str">
        <f>IF(W226&lt;&gt;"AR","",INDEX('Device Refrigerant Leakage'!$G$2:$G$42,MATCH(X226,'Device Refrigerant Leakage'!$B$2:$B$42,0)))</f>
        <v/>
      </c>
      <c r="DI226" s="146" t="str">
        <f>IF(W226&lt;&gt;"AR","",J226*INDEX('Device Refrigerant Leakage'!$D$2:$D$42,MATCH(X226,'Device Refrigerant Leakage'!$B$2:$B$42,0))*DF226/2204.62*DE226)</f>
        <v/>
      </c>
      <c r="DJ226" s="146" t="str">
        <f>IF(W226&lt;&gt;"AR","",J226*(INDEX('Device Refrigerant Leakage'!$D$2:$D$42,MATCH(X226,'Device Refrigerant Leakage'!$B$2:$B$42,0))-(INDEX('Device Refrigerant Leakage'!$D$2:$D$42,MATCH(X226,'Device Refrigerant Leakage'!$B$2:$B$42,0)))*DH226*DF226)*DG226/2204.62*DE226)</f>
        <v/>
      </c>
      <c r="DK226" s="146" t="str">
        <f>IF(W226&lt;&gt;"AR","",DI226*(K226-AB226)+'Fuel Sub Calcs-Deemed'!DJ226*((K226-AB226)/INDEX('Device Refrigerant Leakage'!$C$2:$C$42,MATCH('Fuel Sub Calcs-Deemed'!X226,'Device Refrigerant Leakage'!$B$2:$B$42,0))))</f>
        <v/>
      </c>
      <c r="DM226" s="56">
        <v>212</v>
      </c>
      <c r="DN226" s="67" t="e">
        <f t="shared" si="328"/>
        <v>#N/A</v>
      </c>
      <c r="DO226" s="45" t="e">
        <f t="shared" si="329"/>
        <v>#N/A</v>
      </c>
      <c r="DP226" s="67" t="e">
        <f t="shared" si="330"/>
        <v>#N/A</v>
      </c>
      <c r="DQ226" s="45" t="e">
        <f t="shared" si="331"/>
        <v>#N/A</v>
      </c>
      <c r="DR226" s="69" t="e">
        <f t="shared" si="332"/>
        <v>#N/A</v>
      </c>
      <c r="DS226" s="34"/>
      <c r="DT226" s="67" t="e">
        <f>((BX226*CJ226)+IF($W226=MAT_AR,(BZ226*CL226),0))*(1+Reference!$E$50+Reference!$E$51)</f>
        <v>#N/A</v>
      </c>
      <c r="DU226" s="67">
        <f>((BY226*CK226)+IF($W226=MAT_AR,(CA226*CM226),0))*(1+Reference!$G$50+Reference!$G$51)</f>
        <v>0</v>
      </c>
      <c r="DV226" s="67" t="e">
        <f t="shared" si="333"/>
        <v>#VALUE!</v>
      </c>
      <c r="DX226" s="56">
        <v>212</v>
      </c>
      <c r="DY226" s="67">
        <f t="shared" si="334"/>
        <v>0</v>
      </c>
      <c r="DZ226" s="45" t="e">
        <f>VLOOKUP($R226,Dropdown!$C$3:$D$4,2,FALSE)</f>
        <v>#N/A</v>
      </c>
      <c r="EA226" s="68">
        <f t="shared" si="335"/>
        <v>0</v>
      </c>
      <c r="EB226" s="68" t="str">
        <f t="shared" si="336"/>
        <v>N/A</v>
      </c>
      <c r="EC226" s="68">
        <f t="shared" si="337"/>
        <v>0</v>
      </c>
      <c r="ED226" s="68" t="str">
        <f t="shared" si="377"/>
        <v>N/A</v>
      </c>
      <c r="EF226" s="56">
        <v>212</v>
      </c>
      <c r="EG226" s="46">
        <f t="shared" si="339"/>
        <v>0</v>
      </c>
      <c r="EH226" s="68" t="e">
        <f t="shared" si="340"/>
        <v>#N/A</v>
      </c>
      <c r="EI226" s="68" t="e">
        <f t="shared" si="341"/>
        <v>#N/A</v>
      </c>
      <c r="EJ226" s="68" t="e">
        <f t="shared" si="342"/>
        <v>#N/A</v>
      </c>
      <c r="EK226" s="68" t="e">
        <f t="shared" si="343"/>
        <v>#N/A</v>
      </c>
      <c r="EL226" s="46">
        <f t="shared" si="344"/>
        <v>0</v>
      </c>
      <c r="EM226" s="46">
        <f t="shared" si="345"/>
        <v>0</v>
      </c>
    </row>
    <row r="227" spans="1:143">
      <c r="A227" s="89"/>
      <c r="B227" s="89"/>
      <c r="C227" s="89"/>
      <c r="D227" s="89"/>
      <c r="E227" s="89"/>
      <c r="F227" s="89"/>
      <c r="G227" s="34"/>
      <c r="H227" s="56">
        <f t="shared" si="346"/>
        <v>213</v>
      </c>
      <c r="I227" s="165"/>
      <c r="J227" s="163"/>
      <c r="K227" s="163"/>
      <c r="L227" s="164"/>
      <c r="M227" s="155"/>
      <c r="N227" s="155"/>
      <c r="O227" s="144"/>
      <c r="P227" s="159" t="str">
        <f>IFERROR(IF(O227&lt;&gt;"User Specified",IF(O227&lt;&gt;"", INDEX('Refrigerant GWPs'!$G$2:$G$154,MATCH(O227,'Refrigerant GWPs'!$A$2:$A$154,0)),""),U227),0)</f>
        <v/>
      </c>
      <c r="Q227" s="155"/>
      <c r="R227" s="155"/>
      <c r="S227" s="144"/>
      <c r="T227" s="159" t="str">
        <f>IF(S227&lt;&gt;"User Specified",IF(AND(S227&lt;&gt;"User Specified",S227&lt;&gt;""), INDEX('Refrigerant GWPs'!$G$2:$G$154,MATCH(S227,'Refrigerant GWPs'!$A$2:$A$154,0)),""),V227)</f>
        <v/>
      </c>
      <c r="U227" s="144"/>
      <c r="V227" s="144"/>
      <c r="W227" s="155"/>
      <c r="X227" s="155"/>
      <c r="Y227" s="144"/>
      <c r="Z227" s="159" t="str">
        <f>IF(AND(Y227&lt;&gt;"User Specified",Y227&lt;&gt;""), INDEX('Refrigerant GWPs'!$G$2:$G$154,MATCH(Y227,'Refrigerant GWPs'!$A$2:$A$154,0)),"")</f>
        <v/>
      </c>
      <c r="AA227" s="155"/>
      <c r="AB227" s="156"/>
      <c r="AC227" s="66"/>
      <c r="AD227" s="66"/>
      <c r="AE227" s="66"/>
      <c r="AF227" s="66"/>
      <c r="AG227" s="66"/>
      <c r="AH227" s="66"/>
      <c r="AI227" s="34"/>
      <c r="AJ227" s="88">
        <f t="shared" si="304"/>
        <v>0</v>
      </c>
      <c r="AK227" s="88">
        <f t="shared" si="305"/>
        <v>0</v>
      </c>
      <c r="AL227" s="88">
        <v>0</v>
      </c>
      <c r="AM227" s="88">
        <v>0</v>
      </c>
      <c r="AN227" s="81" t="str">
        <f t="shared" si="349"/>
        <v/>
      </c>
      <c r="AO227" s="88">
        <f t="shared" si="306"/>
        <v>0</v>
      </c>
      <c r="AP227" s="88">
        <f t="shared" si="307"/>
        <v>0</v>
      </c>
      <c r="AQ227" s="81" t="str">
        <f t="shared" si="308"/>
        <v/>
      </c>
      <c r="AS227" s="41" t="b">
        <f t="shared" si="309"/>
        <v>1</v>
      </c>
      <c r="AT227" s="38">
        <f t="shared" si="310"/>
        <v>0</v>
      </c>
      <c r="AU227" s="60">
        <f t="shared" si="311"/>
        <v>0</v>
      </c>
      <c r="AV227" s="41">
        <f t="shared" si="312"/>
        <v>0</v>
      </c>
      <c r="AW227" s="41" t="b">
        <f t="shared" si="313"/>
        <v>0</v>
      </c>
      <c r="AX227" t="str">
        <f t="shared" si="314"/>
        <v>+00</v>
      </c>
      <c r="AY227" t="str">
        <f t="shared" si="315"/>
        <v>+00</v>
      </c>
      <c r="BA227" s="47" t="b">
        <f t="shared" si="350"/>
        <v>1</v>
      </c>
      <c r="BB227" s="42" t="b">
        <f t="shared" si="351"/>
        <v>1</v>
      </c>
      <c r="BC227" s="42" t="b">
        <f t="shared" si="352"/>
        <v>0</v>
      </c>
      <c r="BD227" s="42" t="b">
        <f t="shared" si="353"/>
        <v>0</v>
      </c>
      <c r="BE227" s="70">
        <f t="shared" si="354"/>
        <v>0</v>
      </c>
      <c r="BF227" s="70">
        <f t="shared" si="355"/>
        <v>0</v>
      </c>
      <c r="BG227" s="34"/>
      <c r="BI227" s="47" t="b">
        <f t="shared" si="356"/>
        <v>1</v>
      </c>
      <c r="BJ227" s="47" t="b">
        <f t="shared" si="357"/>
        <v>1</v>
      </c>
      <c r="BK227" s="42" t="b">
        <f t="shared" si="358"/>
        <v>0</v>
      </c>
      <c r="BL227" s="42" t="b">
        <f t="shared" si="359"/>
        <v>0</v>
      </c>
      <c r="BM227" s="42">
        <f t="shared" si="360"/>
        <v>0</v>
      </c>
      <c r="BN227" s="42">
        <f t="shared" si="361"/>
        <v>0</v>
      </c>
      <c r="BP227" t="e">
        <f t="shared" si="362"/>
        <v>#N/A</v>
      </c>
      <c r="BQ227" t="e">
        <f t="shared" si="363"/>
        <v>#N/A</v>
      </c>
      <c r="BR227" t="e">
        <f t="shared" si="364"/>
        <v>#N/A</v>
      </c>
      <c r="BT227" s="60">
        <f t="shared" si="365"/>
        <v>0</v>
      </c>
      <c r="BU227" s="60">
        <f t="shared" si="366"/>
        <v>0</v>
      </c>
      <c r="BV227" s="60">
        <f t="shared" si="367"/>
        <v>0</v>
      </c>
      <c r="BW227" s="60">
        <f t="shared" si="368"/>
        <v>0</v>
      </c>
      <c r="BX227" s="60">
        <f t="shared" si="369"/>
        <v>0</v>
      </c>
      <c r="BY227" s="60">
        <f t="shared" si="370"/>
        <v>0</v>
      </c>
      <c r="BZ227" s="60">
        <f t="shared" si="371"/>
        <v>0</v>
      </c>
      <c r="CA227" s="60">
        <f t="shared" si="372"/>
        <v>0</v>
      </c>
      <c r="CB227" s="60" t="e">
        <f t="shared" si="320"/>
        <v>#N/A</v>
      </c>
      <c r="CC227" s="60">
        <f t="shared" si="321"/>
        <v>100000</v>
      </c>
      <c r="CD227" s="60" t="e">
        <f t="shared" si="322"/>
        <v>#N/A</v>
      </c>
      <c r="CE227" s="60">
        <f t="shared" si="323"/>
        <v>100000</v>
      </c>
      <c r="CF227" s="83" t="e">
        <f t="shared" si="373"/>
        <v>#N/A</v>
      </c>
      <c r="CG227" s="83">
        <f t="shared" si="374"/>
        <v>0</v>
      </c>
      <c r="CH227" s="83" t="e">
        <f t="shared" si="375"/>
        <v>#N/A</v>
      </c>
      <c r="CI227" s="83">
        <f t="shared" si="376"/>
        <v>0</v>
      </c>
      <c r="CJ227" s="86" t="e">
        <f t="shared" si="324"/>
        <v>#N/A</v>
      </c>
      <c r="CK227" s="82">
        <f t="shared" si="325"/>
        <v>5.3070370403969858E-3</v>
      </c>
      <c r="CL227" s="82" t="e">
        <f t="shared" si="326"/>
        <v>#N/A</v>
      </c>
      <c r="CM227" s="82">
        <f t="shared" si="327"/>
        <v>5.3070370403969858E-3</v>
      </c>
      <c r="CO227" s="149" t="str">
        <f>IF($I227&lt;&gt;"",IF(O227="User Specified",U227,INDEX('Refrigerant GWPs'!$G$2:$G$156,MATCH(O227,'Refrigerant GWPs'!$A$2:$A$156,0))),"")</f>
        <v/>
      </c>
      <c r="CP227" s="138" t="str">
        <f>IF($I227&lt;&gt;"",INDEX('Device Refrigerant Leakage'!$E$2:$E$42,MATCH($M227,'Device Refrigerant Leakage'!$B$2:$B$42,0)),"")</f>
        <v/>
      </c>
      <c r="CQ227" s="138" t="str">
        <f>IF($I227&lt;&gt;"",INDEX('Device Refrigerant Leakage'!$F$2:$F$42,MATCH($M227,'Device Refrigerant Leakage'!$B$2:$B$42,0)),"")</f>
        <v/>
      </c>
      <c r="CR227" s="145" t="str">
        <f>IF($I227&lt;&gt;"",INDEX('Device Refrigerant Leakage'!$G$2:$G$42,MATCH($M227,'Device Refrigerant Leakage'!$B$2:$B$42,0)),"")</f>
        <v/>
      </c>
      <c r="CS227" s="145" t="str">
        <f>IF($I227&lt;&gt;"",INDEX('Device Refrigerant Leakage'!$D$2:$D$42,MATCH($M227,'Device Refrigerant Leakage'!$B$2:$B$42,0))*CP227/2204.62*CO227,"")</f>
        <v/>
      </c>
      <c r="CT227" s="145" t="str">
        <f>IF($I227&lt;&gt;"",J227*(INDEX('Device Refrigerant Leakage'!$D$2:$D$42,MATCH($M227,'Device Refrigerant Leakage'!$B$2:$B$42,0))-(INDEX('Device Refrigerant Leakage'!$D$2:$D$42,MATCH($M227,'Device Refrigerant Leakage'!$B$2:$B$42,0)))*CR227*CP227)*CQ227/2204.62*CO227,"")</f>
        <v/>
      </c>
      <c r="CU227" s="135" t="str">
        <f>IF($I227&lt;&gt;"",J227*IF(W227&lt;&gt;"AR",(CS227*K227)+CT227,(CS227*AB227)+CT227*(AB227/INDEX('Device Refrigerant Leakage'!$C$2:$C$42,MATCH($M227,'Device Refrigerant Leakage'!$B$2:$B$42,0)))),"")</f>
        <v/>
      </c>
      <c r="CW227" s="135" t="str">
        <f>IF($I227&lt;&gt;"",IF(S227="User Specified",V227,INDEX('Refrigerant GWPs'!$G$2:$G$156,MATCH(S227,'Refrigerant GWPs'!$A$2:$A$157,0))),"")</f>
        <v/>
      </c>
      <c r="CX227" s="138" t="str">
        <f>IF($I227&lt;&gt;"",INDEX('Device Refrigerant Leakage'!$E$2:$E$42,MATCH($Q227,'Device Refrigerant Leakage'!$B$2:$B$42,0)),"")</f>
        <v/>
      </c>
      <c r="CY227" s="138" t="str">
        <f>IF($I227&lt;&gt;"",INDEX('Device Refrigerant Leakage'!$F$2:$F$42,MATCH($Q227,'Device Refrigerant Leakage'!$B$2:$B$42,0)),"")</f>
        <v/>
      </c>
      <c r="CZ227" s="145" t="str">
        <f>IF($I227&lt;&gt;"",INDEX('Device Refrigerant Leakage'!$G$2:$G$42,MATCH($Q227,'Device Refrigerant Leakage'!$B$2:$B$42,0)),"")</f>
        <v/>
      </c>
      <c r="DA227" s="145" t="str">
        <f>IF($I227&lt;&gt;"",J227*INDEX('Device Refrigerant Leakage'!$D$2:$D$42,MATCH($Q227,'Device Refrigerant Leakage'!$B$2:$B$42,0))*CX227/2204.62*CW227,"")</f>
        <v/>
      </c>
      <c r="DB227" s="145" t="str">
        <f>IF($I227&lt;&gt;"",J227*(INDEX('Device Refrigerant Leakage'!$D$2:$D$42,MATCH($Q227,'Device Refrigerant Leakage'!$B$2:$B$42,0))-(INDEX('Device Refrigerant Leakage'!$D$2:$D$42,MATCH($Q227,'Device Refrigerant Leakage'!$B$2:$B$42,0)))*CZ227*CX227)*CY227/2204.62*CW227,"")</f>
        <v/>
      </c>
      <c r="DC227" s="135" t="str">
        <f t="shared" si="348"/>
        <v/>
      </c>
      <c r="DE227" s="146" t="str">
        <f>IF(W227&lt;&gt;"AR","",IF(Y227="User Specified", AA227, INDEX('Refrigerant GWPs'!$G$2:$G$154,MATCH(Y227,'Refrigerant GWPs'!$A$2:$A$154,0))))</f>
        <v/>
      </c>
      <c r="DF227" s="146" t="str">
        <f>IF(W227&lt;&gt;"AR","",INDEX('Device Refrigerant Leakage'!$E$2:$E$42,MATCH(X227,'Device Refrigerant Leakage'!$B$2:$B$42,0)))</f>
        <v/>
      </c>
      <c r="DG227" s="146" t="str">
        <f>IF(W227&lt;&gt;"AR","",INDEX('Device Refrigerant Leakage'!$F$2:$F$42,MATCH(X227,'Device Refrigerant Leakage'!$B$2:$B$42,0)))</f>
        <v/>
      </c>
      <c r="DH227" s="146" t="str">
        <f>IF(W227&lt;&gt;"AR","",INDEX('Device Refrigerant Leakage'!$G$2:$G$42,MATCH(X227,'Device Refrigerant Leakage'!$B$2:$B$42,0)))</f>
        <v/>
      </c>
      <c r="DI227" s="146" t="str">
        <f>IF(W227&lt;&gt;"AR","",J227*INDEX('Device Refrigerant Leakage'!$D$2:$D$42,MATCH(X227,'Device Refrigerant Leakage'!$B$2:$B$42,0))*DF227/2204.62*DE227)</f>
        <v/>
      </c>
      <c r="DJ227" s="146" t="str">
        <f>IF(W227&lt;&gt;"AR","",J227*(INDEX('Device Refrigerant Leakage'!$D$2:$D$42,MATCH(X227,'Device Refrigerant Leakage'!$B$2:$B$42,0))-(INDEX('Device Refrigerant Leakage'!$D$2:$D$42,MATCH(X227,'Device Refrigerant Leakage'!$B$2:$B$42,0)))*DH227*DF227)*DG227/2204.62*DE227)</f>
        <v/>
      </c>
      <c r="DK227" s="146" t="str">
        <f>IF(W227&lt;&gt;"AR","",DI227*(K227-AB227)+'Fuel Sub Calcs-Deemed'!DJ227*((K227-AB227)/INDEX('Device Refrigerant Leakage'!$C$2:$C$42,MATCH('Fuel Sub Calcs-Deemed'!X227,'Device Refrigerant Leakage'!$B$2:$B$42,0))))</f>
        <v/>
      </c>
      <c r="DM227" s="56">
        <v>213</v>
      </c>
      <c r="DN227" s="67" t="e">
        <f t="shared" si="328"/>
        <v>#N/A</v>
      </c>
      <c r="DO227" s="45" t="e">
        <f t="shared" si="329"/>
        <v>#N/A</v>
      </c>
      <c r="DP227" s="67" t="e">
        <f t="shared" si="330"/>
        <v>#N/A</v>
      </c>
      <c r="DQ227" s="45" t="e">
        <f t="shared" si="331"/>
        <v>#N/A</v>
      </c>
      <c r="DR227" s="69" t="e">
        <f t="shared" si="332"/>
        <v>#N/A</v>
      </c>
      <c r="DS227" s="34"/>
      <c r="DT227" s="67" t="e">
        <f>((BX227*CJ227)+IF($W227=MAT_AR,(BZ227*CL227),0))*(1+Reference!$E$50+Reference!$E$51)</f>
        <v>#N/A</v>
      </c>
      <c r="DU227" s="67">
        <f>((BY227*CK227)+IF($W227=MAT_AR,(CA227*CM227),0))*(1+Reference!$G$50+Reference!$G$51)</f>
        <v>0</v>
      </c>
      <c r="DV227" s="67" t="e">
        <f t="shared" si="333"/>
        <v>#VALUE!</v>
      </c>
      <c r="DX227" s="56">
        <v>213</v>
      </c>
      <c r="DY227" s="67">
        <f t="shared" si="334"/>
        <v>0</v>
      </c>
      <c r="DZ227" s="45" t="e">
        <f>VLOOKUP($R227,Dropdown!$C$3:$D$4,2,FALSE)</f>
        <v>#N/A</v>
      </c>
      <c r="EA227" s="68">
        <f t="shared" si="335"/>
        <v>0</v>
      </c>
      <c r="EB227" s="68" t="str">
        <f t="shared" si="336"/>
        <v>N/A</v>
      </c>
      <c r="EC227" s="68">
        <f t="shared" si="337"/>
        <v>0</v>
      </c>
      <c r="ED227" s="68" t="str">
        <f t="shared" si="377"/>
        <v>N/A</v>
      </c>
      <c r="EF227" s="56">
        <v>213</v>
      </c>
      <c r="EG227" s="46">
        <f t="shared" si="339"/>
        <v>0</v>
      </c>
      <c r="EH227" s="68" t="e">
        <f t="shared" si="340"/>
        <v>#N/A</v>
      </c>
      <c r="EI227" s="68" t="e">
        <f t="shared" si="341"/>
        <v>#N/A</v>
      </c>
      <c r="EJ227" s="68" t="e">
        <f t="shared" si="342"/>
        <v>#N/A</v>
      </c>
      <c r="EK227" s="68" t="e">
        <f t="shared" si="343"/>
        <v>#N/A</v>
      </c>
      <c r="EL227" s="46">
        <f t="shared" si="344"/>
        <v>0</v>
      </c>
      <c r="EM227" s="46">
        <f t="shared" si="345"/>
        <v>0</v>
      </c>
    </row>
    <row r="228" spans="1:143">
      <c r="A228" s="89"/>
      <c r="B228" s="89"/>
      <c r="C228" s="89"/>
      <c r="D228" s="89"/>
      <c r="E228" s="89"/>
      <c r="F228" s="89"/>
      <c r="G228" s="34"/>
      <c r="H228" s="56">
        <f t="shared" si="346"/>
        <v>214</v>
      </c>
      <c r="I228" s="165"/>
      <c r="J228" s="163"/>
      <c r="K228" s="163"/>
      <c r="L228" s="164"/>
      <c r="M228" s="155"/>
      <c r="N228" s="155"/>
      <c r="O228" s="144"/>
      <c r="P228" s="159" t="str">
        <f>IFERROR(IF(O228&lt;&gt;"User Specified",IF(O228&lt;&gt;"", INDEX('Refrigerant GWPs'!$G$2:$G$154,MATCH(O228,'Refrigerant GWPs'!$A$2:$A$154,0)),""),U228),0)</f>
        <v/>
      </c>
      <c r="Q228" s="155"/>
      <c r="R228" s="155"/>
      <c r="S228" s="144"/>
      <c r="T228" s="159" t="str">
        <f>IF(S228&lt;&gt;"User Specified",IF(AND(S228&lt;&gt;"User Specified",S228&lt;&gt;""), INDEX('Refrigerant GWPs'!$G$2:$G$154,MATCH(S228,'Refrigerant GWPs'!$A$2:$A$154,0)),""),V228)</f>
        <v/>
      </c>
      <c r="U228" s="144"/>
      <c r="V228" s="144"/>
      <c r="W228" s="155"/>
      <c r="X228" s="155"/>
      <c r="Y228" s="144"/>
      <c r="Z228" s="159" t="str">
        <f>IF(AND(Y228&lt;&gt;"User Specified",Y228&lt;&gt;""), INDEX('Refrigerant GWPs'!$G$2:$G$154,MATCH(Y228,'Refrigerant GWPs'!$A$2:$A$154,0)),"")</f>
        <v/>
      </c>
      <c r="AA228" s="155"/>
      <c r="AB228" s="156"/>
      <c r="AC228" s="66"/>
      <c r="AD228" s="66"/>
      <c r="AE228" s="66"/>
      <c r="AF228" s="66"/>
      <c r="AG228" s="66"/>
      <c r="AH228" s="66"/>
      <c r="AI228" s="34"/>
      <c r="AJ228" s="88">
        <f t="shared" si="304"/>
        <v>0</v>
      </c>
      <c r="AK228" s="88">
        <f t="shared" si="305"/>
        <v>0</v>
      </c>
      <c r="AL228" s="88">
        <v>0</v>
      </c>
      <c r="AM228" s="88">
        <v>0</v>
      </c>
      <c r="AN228" s="81" t="str">
        <f t="shared" si="349"/>
        <v/>
      </c>
      <c r="AO228" s="88">
        <f t="shared" si="306"/>
        <v>0</v>
      </c>
      <c r="AP228" s="88">
        <f t="shared" si="307"/>
        <v>0</v>
      </c>
      <c r="AQ228" s="81" t="str">
        <f t="shared" si="308"/>
        <v/>
      </c>
      <c r="AS228" s="41" t="b">
        <f t="shared" si="309"/>
        <v>1</v>
      </c>
      <c r="AT228" s="38">
        <f t="shared" si="310"/>
        <v>0</v>
      </c>
      <c r="AU228" s="60">
        <f t="shared" si="311"/>
        <v>0</v>
      </c>
      <c r="AV228" s="41">
        <f t="shared" si="312"/>
        <v>0</v>
      </c>
      <c r="AW228" s="41" t="b">
        <f t="shared" si="313"/>
        <v>0</v>
      </c>
      <c r="AX228" t="str">
        <f t="shared" si="314"/>
        <v>+00</v>
      </c>
      <c r="AY228" t="str">
        <f t="shared" si="315"/>
        <v>+00</v>
      </c>
      <c r="BA228" s="47" t="b">
        <f t="shared" si="350"/>
        <v>1</v>
      </c>
      <c r="BB228" s="42" t="b">
        <f t="shared" si="351"/>
        <v>1</v>
      </c>
      <c r="BC228" s="42" t="b">
        <f t="shared" si="352"/>
        <v>0</v>
      </c>
      <c r="BD228" s="42" t="b">
        <f t="shared" si="353"/>
        <v>0</v>
      </c>
      <c r="BE228" s="70">
        <f t="shared" si="354"/>
        <v>0</v>
      </c>
      <c r="BF228" s="70">
        <f t="shared" si="355"/>
        <v>0</v>
      </c>
      <c r="BG228" s="34"/>
      <c r="BI228" s="47" t="b">
        <f t="shared" si="356"/>
        <v>1</v>
      </c>
      <c r="BJ228" s="47" t="b">
        <f t="shared" si="357"/>
        <v>1</v>
      </c>
      <c r="BK228" s="42" t="b">
        <f t="shared" si="358"/>
        <v>0</v>
      </c>
      <c r="BL228" s="42" t="b">
        <f t="shared" si="359"/>
        <v>0</v>
      </c>
      <c r="BM228" s="42">
        <f t="shared" si="360"/>
        <v>0</v>
      </c>
      <c r="BN228" s="42">
        <f t="shared" si="361"/>
        <v>0</v>
      </c>
      <c r="BP228" t="e">
        <f t="shared" si="362"/>
        <v>#N/A</v>
      </c>
      <c r="BQ228" t="e">
        <f t="shared" si="363"/>
        <v>#N/A</v>
      </c>
      <c r="BR228" t="e">
        <f t="shared" si="364"/>
        <v>#N/A</v>
      </c>
      <c r="BT228" s="60">
        <f t="shared" si="365"/>
        <v>0</v>
      </c>
      <c r="BU228" s="60">
        <f t="shared" si="366"/>
        <v>0</v>
      </c>
      <c r="BV228" s="60">
        <f t="shared" si="367"/>
        <v>0</v>
      </c>
      <c r="BW228" s="60">
        <f t="shared" si="368"/>
        <v>0</v>
      </c>
      <c r="BX228" s="60">
        <f t="shared" si="369"/>
        <v>0</v>
      </c>
      <c r="BY228" s="60">
        <f t="shared" si="370"/>
        <v>0</v>
      </c>
      <c r="BZ228" s="60">
        <f t="shared" si="371"/>
        <v>0</v>
      </c>
      <c r="CA228" s="60">
        <f t="shared" si="372"/>
        <v>0</v>
      </c>
      <c r="CB228" s="60" t="e">
        <f t="shared" si="320"/>
        <v>#N/A</v>
      </c>
      <c r="CC228" s="60">
        <f t="shared" si="321"/>
        <v>100000</v>
      </c>
      <c r="CD228" s="60" t="e">
        <f t="shared" si="322"/>
        <v>#N/A</v>
      </c>
      <c r="CE228" s="60">
        <f t="shared" si="323"/>
        <v>100000</v>
      </c>
      <c r="CF228" s="83" t="e">
        <f t="shared" si="373"/>
        <v>#N/A</v>
      </c>
      <c r="CG228" s="83">
        <f t="shared" si="374"/>
        <v>0</v>
      </c>
      <c r="CH228" s="83" t="e">
        <f t="shared" si="375"/>
        <v>#N/A</v>
      </c>
      <c r="CI228" s="83">
        <f t="shared" si="376"/>
        <v>0</v>
      </c>
      <c r="CJ228" s="86" t="e">
        <f t="shared" si="324"/>
        <v>#N/A</v>
      </c>
      <c r="CK228" s="82">
        <f t="shared" si="325"/>
        <v>5.3070370403969858E-3</v>
      </c>
      <c r="CL228" s="82" t="e">
        <f t="shared" si="326"/>
        <v>#N/A</v>
      </c>
      <c r="CM228" s="82">
        <f t="shared" si="327"/>
        <v>5.3070370403969858E-3</v>
      </c>
      <c r="CO228" s="149" t="str">
        <f>IF($I228&lt;&gt;"",IF(O228="User Specified",U228,INDEX('Refrigerant GWPs'!$G$2:$G$156,MATCH(O228,'Refrigerant GWPs'!$A$2:$A$156,0))),"")</f>
        <v/>
      </c>
      <c r="CP228" s="138" t="str">
        <f>IF($I228&lt;&gt;"",INDEX('Device Refrigerant Leakage'!$E$2:$E$42,MATCH($M228,'Device Refrigerant Leakage'!$B$2:$B$42,0)),"")</f>
        <v/>
      </c>
      <c r="CQ228" s="138" t="str">
        <f>IF($I228&lt;&gt;"",INDEX('Device Refrigerant Leakage'!$F$2:$F$42,MATCH($M228,'Device Refrigerant Leakage'!$B$2:$B$42,0)),"")</f>
        <v/>
      </c>
      <c r="CR228" s="145" t="str">
        <f>IF($I228&lt;&gt;"",INDEX('Device Refrigerant Leakage'!$G$2:$G$42,MATCH($M228,'Device Refrigerant Leakage'!$B$2:$B$42,0)),"")</f>
        <v/>
      </c>
      <c r="CS228" s="145" t="str">
        <f>IF($I228&lt;&gt;"",INDEX('Device Refrigerant Leakage'!$D$2:$D$42,MATCH($M228,'Device Refrigerant Leakage'!$B$2:$B$42,0))*CP228/2204.62*CO228,"")</f>
        <v/>
      </c>
      <c r="CT228" s="145" t="str">
        <f>IF($I228&lt;&gt;"",J228*(INDEX('Device Refrigerant Leakage'!$D$2:$D$42,MATCH($M228,'Device Refrigerant Leakage'!$B$2:$B$42,0))-(INDEX('Device Refrigerant Leakage'!$D$2:$D$42,MATCH($M228,'Device Refrigerant Leakage'!$B$2:$B$42,0)))*CR228*CP228)*CQ228/2204.62*CO228,"")</f>
        <v/>
      </c>
      <c r="CU228" s="135" t="str">
        <f>IF($I228&lt;&gt;"",J228*IF(W228&lt;&gt;"AR",(CS228*K228)+CT228,(CS228*AB228)+CT228*(AB228/INDEX('Device Refrigerant Leakage'!$C$2:$C$42,MATCH($M228,'Device Refrigerant Leakage'!$B$2:$B$42,0)))),"")</f>
        <v/>
      </c>
      <c r="CW228" s="135" t="str">
        <f>IF($I228&lt;&gt;"",IF(S228="User Specified",V228,INDEX('Refrigerant GWPs'!$G$2:$G$156,MATCH(S228,'Refrigerant GWPs'!$A$2:$A$157,0))),"")</f>
        <v/>
      </c>
      <c r="CX228" s="138" t="str">
        <f>IF($I228&lt;&gt;"",INDEX('Device Refrigerant Leakage'!$E$2:$E$42,MATCH($Q228,'Device Refrigerant Leakage'!$B$2:$B$42,0)),"")</f>
        <v/>
      </c>
      <c r="CY228" s="138" t="str">
        <f>IF($I228&lt;&gt;"",INDEX('Device Refrigerant Leakage'!$F$2:$F$42,MATCH($Q228,'Device Refrigerant Leakage'!$B$2:$B$42,0)),"")</f>
        <v/>
      </c>
      <c r="CZ228" s="145" t="str">
        <f>IF($I228&lt;&gt;"",INDEX('Device Refrigerant Leakage'!$G$2:$G$42,MATCH($Q228,'Device Refrigerant Leakage'!$B$2:$B$42,0)),"")</f>
        <v/>
      </c>
      <c r="DA228" s="145" t="str">
        <f>IF($I228&lt;&gt;"",J228*INDEX('Device Refrigerant Leakage'!$D$2:$D$42,MATCH($Q228,'Device Refrigerant Leakage'!$B$2:$B$42,0))*CX228/2204.62*CW228,"")</f>
        <v/>
      </c>
      <c r="DB228" s="145" t="str">
        <f>IF($I228&lt;&gt;"",J228*(INDEX('Device Refrigerant Leakage'!$D$2:$D$42,MATCH($Q228,'Device Refrigerant Leakage'!$B$2:$B$42,0))-(INDEX('Device Refrigerant Leakage'!$D$2:$D$42,MATCH($Q228,'Device Refrigerant Leakage'!$B$2:$B$42,0)))*CZ228*CX228)*CY228/2204.62*CW228,"")</f>
        <v/>
      </c>
      <c r="DC228" s="135" t="str">
        <f t="shared" si="348"/>
        <v/>
      </c>
      <c r="DE228" s="146" t="str">
        <f>IF(W228&lt;&gt;"AR","",IF(Y228="User Specified", AA228, INDEX('Refrigerant GWPs'!$G$2:$G$154,MATCH(Y228,'Refrigerant GWPs'!$A$2:$A$154,0))))</f>
        <v/>
      </c>
      <c r="DF228" s="146" t="str">
        <f>IF(W228&lt;&gt;"AR","",INDEX('Device Refrigerant Leakage'!$E$2:$E$42,MATCH(X228,'Device Refrigerant Leakage'!$B$2:$B$42,0)))</f>
        <v/>
      </c>
      <c r="DG228" s="146" t="str">
        <f>IF(W228&lt;&gt;"AR","",INDEX('Device Refrigerant Leakage'!$F$2:$F$42,MATCH(X228,'Device Refrigerant Leakage'!$B$2:$B$42,0)))</f>
        <v/>
      </c>
      <c r="DH228" s="146" t="str">
        <f>IF(W228&lt;&gt;"AR","",INDEX('Device Refrigerant Leakage'!$G$2:$G$42,MATCH(X228,'Device Refrigerant Leakage'!$B$2:$B$42,0)))</f>
        <v/>
      </c>
      <c r="DI228" s="146" t="str">
        <f>IF(W228&lt;&gt;"AR","",J228*INDEX('Device Refrigerant Leakage'!$D$2:$D$42,MATCH(X228,'Device Refrigerant Leakage'!$B$2:$B$42,0))*DF228/2204.62*DE228)</f>
        <v/>
      </c>
      <c r="DJ228" s="146" t="str">
        <f>IF(W228&lt;&gt;"AR","",J228*(INDEX('Device Refrigerant Leakage'!$D$2:$D$42,MATCH(X228,'Device Refrigerant Leakage'!$B$2:$B$42,0))-(INDEX('Device Refrigerant Leakage'!$D$2:$D$42,MATCH(X228,'Device Refrigerant Leakage'!$B$2:$B$42,0)))*DH228*DF228)*DG228/2204.62*DE228)</f>
        <v/>
      </c>
      <c r="DK228" s="146" t="str">
        <f>IF(W228&lt;&gt;"AR","",DI228*(K228-AB228)+'Fuel Sub Calcs-Deemed'!DJ228*((K228-AB228)/INDEX('Device Refrigerant Leakage'!$C$2:$C$42,MATCH('Fuel Sub Calcs-Deemed'!X228,'Device Refrigerant Leakage'!$B$2:$B$42,0))))</f>
        <v/>
      </c>
      <c r="DM228" s="56">
        <v>214</v>
      </c>
      <c r="DN228" s="67" t="e">
        <f t="shared" si="328"/>
        <v>#N/A</v>
      </c>
      <c r="DO228" s="45" t="e">
        <f t="shared" si="329"/>
        <v>#N/A</v>
      </c>
      <c r="DP228" s="67" t="e">
        <f t="shared" si="330"/>
        <v>#N/A</v>
      </c>
      <c r="DQ228" s="45" t="e">
        <f t="shared" si="331"/>
        <v>#N/A</v>
      </c>
      <c r="DR228" s="69" t="e">
        <f t="shared" si="332"/>
        <v>#N/A</v>
      </c>
      <c r="DS228" s="34"/>
      <c r="DT228" s="67" t="e">
        <f>((BX228*CJ228)+IF($W228=MAT_AR,(BZ228*CL228),0))*(1+Reference!$E$50+Reference!$E$51)</f>
        <v>#N/A</v>
      </c>
      <c r="DU228" s="67">
        <f>((BY228*CK228)+IF($W228=MAT_AR,(CA228*CM228),0))*(1+Reference!$G$50+Reference!$G$51)</f>
        <v>0</v>
      </c>
      <c r="DV228" s="67" t="e">
        <f t="shared" si="333"/>
        <v>#VALUE!</v>
      </c>
      <c r="DX228" s="56">
        <v>214</v>
      </c>
      <c r="DY228" s="67">
        <f t="shared" si="334"/>
        <v>0</v>
      </c>
      <c r="DZ228" s="45" t="e">
        <f>VLOOKUP($R228,Dropdown!$C$3:$D$4,2,FALSE)</f>
        <v>#N/A</v>
      </c>
      <c r="EA228" s="68">
        <f t="shared" si="335"/>
        <v>0</v>
      </c>
      <c r="EB228" s="68" t="str">
        <f t="shared" si="336"/>
        <v>N/A</v>
      </c>
      <c r="EC228" s="68">
        <f t="shared" si="337"/>
        <v>0</v>
      </c>
      <c r="ED228" s="68" t="str">
        <f t="shared" si="377"/>
        <v>N/A</v>
      </c>
      <c r="EF228" s="56">
        <v>214</v>
      </c>
      <c r="EG228" s="46">
        <f t="shared" si="339"/>
        <v>0</v>
      </c>
      <c r="EH228" s="68" t="e">
        <f t="shared" si="340"/>
        <v>#N/A</v>
      </c>
      <c r="EI228" s="68" t="e">
        <f t="shared" si="341"/>
        <v>#N/A</v>
      </c>
      <c r="EJ228" s="68" t="e">
        <f t="shared" si="342"/>
        <v>#N/A</v>
      </c>
      <c r="EK228" s="68" t="e">
        <f t="shared" si="343"/>
        <v>#N/A</v>
      </c>
      <c r="EL228" s="46">
        <f t="shared" si="344"/>
        <v>0</v>
      </c>
      <c r="EM228" s="46">
        <f t="shared" si="345"/>
        <v>0</v>
      </c>
    </row>
    <row r="229" spans="1:143">
      <c r="A229" s="89"/>
      <c r="B229" s="89"/>
      <c r="C229" s="89"/>
      <c r="D229" s="89"/>
      <c r="E229" s="89"/>
      <c r="F229" s="89"/>
      <c r="G229" s="34"/>
      <c r="H229" s="56">
        <f t="shared" si="346"/>
        <v>215</v>
      </c>
      <c r="I229" s="165"/>
      <c r="J229" s="163"/>
      <c r="K229" s="163"/>
      <c r="L229" s="164"/>
      <c r="M229" s="155"/>
      <c r="N229" s="155"/>
      <c r="O229" s="144"/>
      <c r="P229" s="159" t="str">
        <f>IFERROR(IF(O229&lt;&gt;"User Specified",IF(O229&lt;&gt;"", INDEX('Refrigerant GWPs'!$G$2:$G$154,MATCH(O229,'Refrigerant GWPs'!$A$2:$A$154,0)),""),U229),0)</f>
        <v/>
      </c>
      <c r="Q229" s="155"/>
      <c r="R229" s="155"/>
      <c r="S229" s="144"/>
      <c r="T229" s="159" t="str">
        <f>IF(S229&lt;&gt;"User Specified",IF(AND(S229&lt;&gt;"User Specified",S229&lt;&gt;""), INDEX('Refrigerant GWPs'!$G$2:$G$154,MATCH(S229,'Refrigerant GWPs'!$A$2:$A$154,0)),""),V229)</f>
        <v/>
      </c>
      <c r="U229" s="144"/>
      <c r="V229" s="144"/>
      <c r="W229" s="155"/>
      <c r="X229" s="155"/>
      <c r="Y229" s="144"/>
      <c r="Z229" s="159" t="str">
        <f>IF(AND(Y229&lt;&gt;"User Specified",Y229&lt;&gt;""), INDEX('Refrigerant GWPs'!$G$2:$G$154,MATCH(Y229,'Refrigerant GWPs'!$A$2:$A$154,0)),"")</f>
        <v/>
      </c>
      <c r="AA229" s="155"/>
      <c r="AB229" s="156"/>
      <c r="AC229" s="66"/>
      <c r="AD229" s="66"/>
      <c r="AE229" s="66"/>
      <c r="AF229" s="66"/>
      <c r="AG229" s="66"/>
      <c r="AH229" s="66"/>
      <c r="AI229" s="34"/>
      <c r="AJ229" s="88">
        <f t="shared" si="304"/>
        <v>0</v>
      </c>
      <c r="AK229" s="88">
        <f t="shared" si="305"/>
        <v>0</v>
      </c>
      <c r="AL229" s="88">
        <v>0</v>
      </c>
      <c r="AM229" s="88">
        <v>0</v>
      </c>
      <c r="AN229" s="81" t="str">
        <f t="shared" si="349"/>
        <v/>
      </c>
      <c r="AO229" s="88">
        <f t="shared" si="306"/>
        <v>0</v>
      </c>
      <c r="AP229" s="88">
        <f t="shared" si="307"/>
        <v>0</v>
      </c>
      <c r="AQ229" s="81" t="str">
        <f t="shared" si="308"/>
        <v/>
      </c>
      <c r="AS229" s="41" t="b">
        <f t="shared" si="309"/>
        <v>1</v>
      </c>
      <c r="AT229" s="38">
        <f t="shared" si="310"/>
        <v>0</v>
      </c>
      <c r="AU229" s="60">
        <f t="shared" si="311"/>
        <v>0</v>
      </c>
      <c r="AV229" s="41">
        <f t="shared" si="312"/>
        <v>0</v>
      </c>
      <c r="AW229" s="41" t="b">
        <f t="shared" si="313"/>
        <v>0</v>
      </c>
      <c r="AX229" t="str">
        <f t="shared" si="314"/>
        <v>+00</v>
      </c>
      <c r="AY229" t="str">
        <f t="shared" si="315"/>
        <v>+00</v>
      </c>
      <c r="BA229" s="47" t="b">
        <f t="shared" si="350"/>
        <v>1</v>
      </c>
      <c r="BB229" s="42" t="b">
        <f t="shared" si="351"/>
        <v>1</v>
      </c>
      <c r="BC229" s="42" t="b">
        <f t="shared" si="352"/>
        <v>0</v>
      </c>
      <c r="BD229" s="42" t="b">
        <f t="shared" si="353"/>
        <v>0</v>
      </c>
      <c r="BE229" s="70">
        <f t="shared" si="354"/>
        <v>0</v>
      </c>
      <c r="BF229" s="70">
        <f t="shared" si="355"/>
        <v>0</v>
      </c>
      <c r="BG229" s="34"/>
      <c r="BI229" s="47" t="b">
        <f t="shared" si="356"/>
        <v>1</v>
      </c>
      <c r="BJ229" s="47" t="b">
        <f t="shared" si="357"/>
        <v>1</v>
      </c>
      <c r="BK229" s="42" t="b">
        <f t="shared" si="358"/>
        <v>0</v>
      </c>
      <c r="BL229" s="42" t="b">
        <f t="shared" si="359"/>
        <v>0</v>
      </c>
      <c r="BM229" s="42">
        <f t="shared" si="360"/>
        <v>0</v>
      </c>
      <c r="BN229" s="42">
        <f t="shared" si="361"/>
        <v>0</v>
      </c>
      <c r="BP229" t="e">
        <f t="shared" si="362"/>
        <v>#N/A</v>
      </c>
      <c r="BQ229" t="e">
        <f t="shared" si="363"/>
        <v>#N/A</v>
      </c>
      <c r="BR229" t="e">
        <f t="shared" si="364"/>
        <v>#N/A</v>
      </c>
      <c r="BT229" s="60">
        <f t="shared" si="365"/>
        <v>0</v>
      </c>
      <c r="BU229" s="60">
        <f t="shared" si="366"/>
        <v>0</v>
      </c>
      <c r="BV229" s="60">
        <f t="shared" si="367"/>
        <v>0</v>
      </c>
      <c r="BW229" s="60">
        <f t="shared" si="368"/>
        <v>0</v>
      </c>
      <c r="BX229" s="60">
        <f t="shared" si="369"/>
        <v>0</v>
      </c>
      <c r="BY229" s="60">
        <f t="shared" si="370"/>
        <v>0</v>
      </c>
      <c r="BZ229" s="60">
        <f t="shared" si="371"/>
        <v>0</v>
      </c>
      <c r="CA229" s="60">
        <f t="shared" si="372"/>
        <v>0</v>
      </c>
      <c r="CB229" s="60" t="e">
        <f t="shared" si="320"/>
        <v>#N/A</v>
      </c>
      <c r="CC229" s="60">
        <f t="shared" si="321"/>
        <v>100000</v>
      </c>
      <c r="CD229" s="60" t="e">
        <f t="shared" si="322"/>
        <v>#N/A</v>
      </c>
      <c r="CE229" s="60">
        <f t="shared" si="323"/>
        <v>100000</v>
      </c>
      <c r="CF229" s="83" t="e">
        <f t="shared" si="373"/>
        <v>#N/A</v>
      </c>
      <c r="CG229" s="83">
        <f t="shared" si="374"/>
        <v>0</v>
      </c>
      <c r="CH229" s="83" t="e">
        <f t="shared" si="375"/>
        <v>#N/A</v>
      </c>
      <c r="CI229" s="83">
        <f t="shared" si="376"/>
        <v>0</v>
      </c>
      <c r="CJ229" s="86" t="e">
        <f t="shared" si="324"/>
        <v>#N/A</v>
      </c>
      <c r="CK229" s="82">
        <f t="shared" si="325"/>
        <v>5.3070370403969858E-3</v>
      </c>
      <c r="CL229" s="82" t="e">
        <f t="shared" si="326"/>
        <v>#N/A</v>
      </c>
      <c r="CM229" s="82">
        <f t="shared" si="327"/>
        <v>5.3070370403969858E-3</v>
      </c>
      <c r="CO229" s="149" t="str">
        <f>IF($I229&lt;&gt;"",IF(O229="User Specified",U229,INDEX('Refrigerant GWPs'!$G$2:$G$156,MATCH(O229,'Refrigerant GWPs'!$A$2:$A$156,0))),"")</f>
        <v/>
      </c>
      <c r="CP229" s="138" t="str">
        <f>IF($I229&lt;&gt;"",INDEX('Device Refrigerant Leakage'!$E$2:$E$42,MATCH($M229,'Device Refrigerant Leakage'!$B$2:$B$42,0)),"")</f>
        <v/>
      </c>
      <c r="CQ229" s="138" t="str">
        <f>IF($I229&lt;&gt;"",INDEX('Device Refrigerant Leakage'!$F$2:$F$42,MATCH($M229,'Device Refrigerant Leakage'!$B$2:$B$42,0)),"")</f>
        <v/>
      </c>
      <c r="CR229" s="145" t="str">
        <f>IF($I229&lt;&gt;"",INDEX('Device Refrigerant Leakage'!$G$2:$G$42,MATCH($M229,'Device Refrigerant Leakage'!$B$2:$B$42,0)),"")</f>
        <v/>
      </c>
      <c r="CS229" s="145" t="str">
        <f>IF($I229&lt;&gt;"",INDEX('Device Refrigerant Leakage'!$D$2:$D$42,MATCH($M229,'Device Refrigerant Leakage'!$B$2:$B$42,0))*CP229/2204.62*CO229,"")</f>
        <v/>
      </c>
      <c r="CT229" s="145" t="str">
        <f>IF($I229&lt;&gt;"",J229*(INDEX('Device Refrigerant Leakage'!$D$2:$D$42,MATCH($M229,'Device Refrigerant Leakage'!$B$2:$B$42,0))-(INDEX('Device Refrigerant Leakage'!$D$2:$D$42,MATCH($M229,'Device Refrigerant Leakage'!$B$2:$B$42,0)))*CR229*CP229)*CQ229/2204.62*CO229,"")</f>
        <v/>
      </c>
      <c r="CU229" s="135" t="str">
        <f>IF($I229&lt;&gt;"",J229*IF(W229&lt;&gt;"AR",(CS229*K229)+CT229,(CS229*AB229)+CT229*(AB229/INDEX('Device Refrigerant Leakage'!$C$2:$C$42,MATCH($M229,'Device Refrigerant Leakage'!$B$2:$B$42,0)))),"")</f>
        <v/>
      </c>
      <c r="CW229" s="135" t="str">
        <f>IF($I229&lt;&gt;"",IF(S229="User Specified",V229,INDEX('Refrigerant GWPs'!$G$2:$G$156,MATCH(S229,'Refrigerant GWPs'!$A$2:$A$157,0))),"")</f>
        <v/>
      </c>
      <c r="CX229" s="138" t="str">
        <f>IF($I229&lt;&gt;"",INDEX('Device Refrigerant Leakage'!$E$2:$E$42,MATCH($Q229,'Device Refrigerant Leakage'!$B$2:$B$42,0)),"")</f>
        <v/>
      </c>
      <c r="CY229" s="138" t="str">
        <f>IF($I229&lt;&gt;"",INDEX('Device Refrigerant Leakage'!$F$2:$F$42,MATCH($Q229,'Device Refrigerant Leakage'!$B$2:$B$42,0)),"")</f>
        <v/>
      </c>
      <c r="CZ229" s="145" t="str">
        <f>IF($I229&lt;&gt;"",INDEX('Device Refrigerant Leakage'!$G$2:$G$42,MATCH($Q229,'Device Refrigerant Leakage'!$B$2:$B$42,0)),"")</f>
        <v/>
      </c>
      <c r="DA229" s="145" t="str">
        <f>IF($I229&lt;&gt;"",J229*INDEX('Device Refrigerant Leakage'!$D$2:$D$42,MATCH($Q229,'Device Refrigerant Leakage'!$B$2:$B$42,0))*CX229/2204.62*CW229,"")</f>
        <v/>
      </c>
      <c r="DB229" s="145" t="str">
        <f>IF($I229&lt;&gt;"",J229*(INDEX('Device Refrigerant Leakage'!$D$2:$D$42,MATCH($Q229,'Device Refrigerant Leakage'!$B$2:$B$42,0))-(INDEX('Device Refrigerant Leakage'!$D$2:$D$42,MATCH($Q229,'Device Refrigerant Leakage'!$B$2:$B$42,0)))*CZ229*CX229)*CY229/2204.62*CW229,"")</f>
        <v/>
      </c>
      <c r="DC229" s="135" t="str">
        <f t="shared" si="348"/>
        <v/>
      </c>
      <c r="DE229" s="146" t="str">
        <f>IF(W229&lt;&gt;"AR","",IF(Y229="User Specified", AA229, INDEX('Refrigerant GWPs'!$G$2:$G$154,MATCH(Y229,'Refrigerant GWPs'!$A$2:$A$154,0))))</f>
        <v/>
      </c>
      <c r="DF229" s="146" t="str">
        <f>IF(W229&lt;&gt;"AR","",INDEX('Device Refrigerant Leakage'!$E$2:$E$42,MATCH(X229,'Device Refrigerant Leakage'!$B$2:$B$42,0)))</f>
        <v/>
      </c>
      <c r="DG229" s="146" t="str">
        <f>IF(W229&lt;&gt;"AR","",INDEX('Device Refrigerant Leakage'!$F$2:$F$42,MATCH(X229,'Device Refrigerant Leakage'!$B$2:$B$42,0)))</f>
        <v/>
      </c>
      <c r="DH229" s="146" t="str">
        <f>IF(W229&lt;&gt;"AR","",INDEX('Device Refrigerant Leakage'!$G$2:$G$42,MATCH(X229,'Device Refrigerant Leakage'!$B$2:$B$42,0)))</f>
        <v/>
      </c>
      <c r="DI229" s="146" t="str">
        <f>IF(W229&lt;&gt;"AR","",J229*INDEX('Device Refrigerant Leakage'!$D$2:$D$42,MATCH(X229,'Device Refrigerant Leakage'!$B$2:$B$42,0))*DF229/2204.62*DE229)</f>
        <v/>
      </c>
      <c r="DJ229" s="146" t="str">
        <f>IF(W229&lt;&gt;"AR","",J229*(INDEX('Device Refrigerant Leakage'!$D$2:$D$42,MATCH(X229,'Device Refrigerant Leakage'!$B$2:$B$42,0))-(INDEX('Device Refrigerant Leakage'!$D$2:$D$42,MATCH(X229,'Device Refrigerant Leakage'!$B$2:$B$42,0)))*DH229*DF229)*DG229/2204.62*DE229)</f>
        <v/>
      </c>
      <c r="DK229" s="146" t="str">
        <f>IF(W229&lt;&gt;"AR","",DI229*(K229-AB229)+'Fuel Sub Calcs-Deemed'!DJ229*((K229-AB229)/INDEX('Device Refrigerant Leakage'!$C$2:$C$42,MATCH('Fuel Sub Calcs-Deemed'!X229,'Device Refrigerant Leakage'!$B$2:$B$42,0))))</f>
        <v/>
      </c>
      <c r="DM229" s="56">
        <v>215</v>
      </c>
      <c r="DN229" s="67" t="e">
        <f t="shared" si="328"/>
        <v>#N/A</v>
      </c>
      <c r="DO229" s="45" t="e">
        <f t="shared" si="329"/>
        <v>#N/A</v>
      </c>
      <c r="DP229" s="67" t="e">
        <f t="shared" si="330"/>
        <v>#N/A</v>
      </c>
      <c r="DQ229" s="45" t="e">
        <f t="shared" si="331"/>
        <v>#N/A</v>
      </c>
      <c r="DR229" s="69" t="e">
        <f t="shared" si="332"/>
        <v>#N/A</v>
      </c>
      <c r="DS229" s="34"/>
      <c r="DT229" s="67" t="e">
        <f>((BX229*CJ229)+IF($W229=MAT_AR,(BZ229*CL229),0))*(1+Reference!$E$50+Reference!$E$51)</f>
        <v>#N/A</v>
      </c>
      <c r="DU229" s="67">
        <f>((BY229*CK229)+IF($W229=MAT_AR,(CA229*CM229),0))*(1+Reference!$G$50+Reference!$G$51)</f>
        <v>0</v>
      </c>
      <c r="DV229" s="67" t="e">
        <f t="shared" si="333"/>
        <v>#VALUE!</v>
      </c>
      <c r="DX229" s="56">
        <v>215</v>
      </c>
      <c r="DY229" s="67">
        <f t="shared" si="334"/>
        <v>0</v>
      </c>
      <c r="DZ229" s="45" t="e">
        <f>VLOOKUP($R229,Dropdown!$C$3:$D$4,2,FALSE)</f>
        <v>#N/A</v>
      </c>
      <c r="EA229" s="68">
        <f t="shared" si="335"/>
        <v>0</v>
      </c>
      <c r="EB229" s="68" t="str">
        <f t="shared" si="336"/>
        <v>N/A</v>
      </c>
      <c r="EC229" s="68">
        <f t="shared" si="337"/>
        <v>0</v>
      </c>
      <c r="ED229" s="68" t="str">
        <f t="shared" si="377"/>
        <v>N/A</v>
      </c>
      <c r="EF229" s="56">
        <v>215</v>
      </c>
      <c r="EG229" s="46">
        <f t="shared" si="339"/>
        <v>0</v>
      </c>
      <c r="EH229" s="68" t="e">
        <f t="shared" si="340"/>
        <v>#N/A</v>
      </c>
      <c r="EI229" s="68" t="e">
        <f t="shared" si="341"/>
        <v>#N/A</v>
      </c>
      <c r="EJ229" s="68" t="e">
        <f t="shared" si="342"/>
        <v>#N/A</v>
      </c>
      <c r="EK229" s="68" t="e">
        <f t="shared" si="343"/>
        <v>#N/A</v>
      </c>
      <c r="EL229" s="46">
        <f t="shared" si="344"/>
        <v>0</v>
      </c>
      <c r="EM229" s="46">
        <f t="shared" si="345"/>
        <v>0</v>
      </c>
    </row>
    <row r="230" spans="1:143">
      <c r="A230" s="89"/>
      <c r="B230" s="89"/>
      <c r="C230" s="89"/>
      <c r="D230" s="89"/>
      <c r="E230" s="89"/>
      <c r="F230" s="89"/>
      <c r="G230" s="34"/>
      <c r="H230" s="56">
        <f t="shared" si="346"/>
        <v>216</v>
      </c>
      <c r="I230" s="165"/>
      <c r="J230" s="163"/>
      <c r="K230" s="163"/>
      <c r="L230" s="164"/>
      <c r="M230" s="155"/>
      <c r="N230" s="155"/>
      <c r="O230" s="144"/>
      <c r="P230" s="159" t="str">
        <f>IFERROR(IF(O230&lt;&gt;"User Specified",IF(O230&lt;&gt;"", INDEX('Refrigerant GWPs'!$G$2:$G$154,MATCH(O230,'Refrigerant GWPs'!$A$2:$A$154,0)),""),U230),0)</f>
        <v/>
      </c>
      <c r="Q230" s="155"/>
      <c r="R230" s="155"/>
      <c r="S230" s="144"/>
      <c r="T230" s="159" t="str">
        <f>IF(S230&lt;&gt;"User Specified",IF(AND(S230&lt;&gt;"User Specified",S230&lt;&gt;""), INDEX('Refrigerant GWPs'!$G$2:$G$154,MATCH(S230,'Refrigerant GWPs'!$A$2:$A$154,0)),""),V230)</f>
        <v/>
      </c>
      <c r="U230" s="144"/>
      <c r="V230" s="144"/>
      <c r="W230" s="155"/>
      <c r="X230" s="155"/>
      <c r="Y230" s="144"/>
      <c r="Z230" s="159" t="str">
        <f>IF(AND(Y230&lt;&gt;"User Specified",Y230&lt;&gt;""), INDEX('Refrigerant GWPs'!$G$2:$G$154,MATCH(Y230,'Refrigerant GWPs'!$A$2:$A$154,0)),"")</f>
        <v/>
      </c>
      <c r="AA230" s="155"/>
      <c r="AB230" s="156"/>
      <c r="AC230" s="66"/>
      <c r="AD230" s="66"/>
      <c r="AE230" s="66"/>
      <c r="AF230" s="66"/>
      <c r="AG230" s="66"/>
      <c r="AH230" s="66"/>
      <c r="AI230" s="34"/>
      <c r="AJ230" s="88">
        <f t="shared" si="304"/>
        <v>0</v>
      </c>
      <c r="AK230" s="88">
        <f t="shared" si="305"/>
        <v>0</v>
      </c>
      <c r="AL230" s="88">
        <v>0</v>
      </c>
      <c r="AM230" s="88">
        <v>0</v>
      </c>
      <c r="AN230" s="81" t="str">
        <f t="shared" si="349"/>
        <v/>
      </c>
      <c r="AO230" s="88">
        <f t="shared" si="306"/>
        <v>0</v>
      </c>
      <c r="AP230" s="88">
        <f t="shared" si="307"/>
        <v>0</v>
      </c>
      <c r="AQ230" s="81" t="str">
        <f t="shared" si="308"/>
        <v/>
      </c>
      <c r="AS230" s="41" t="b">
        <f t="shared" si="309"/>
        <v>1</v>
      </c>
      <c r="AT230" s="38">
        <f t="shared" si="310"/>
        <v>0</v>
      </c>
      <c r="AU230" s="60">
        <f t="shared" si="311"/>
        <v>0</v>
      </c>
      <c r="AV230" s="41">
        <f t="shared" si="312"/>
        <v>0</v>
      </c>
      <c r="AW230" s="41" t="b">
        <f t="shared" si="313"/>
        <v>0</v>
      </c>
      <c r="AX230" t="str">
        <f t="shared" si="314"/>
        <v>+00</v>
      </c>
      <c r="AY230" t="str">
        <f t="shared" si="315"/>
        <v>+00</v>
      </c>
      <c r="BA230" s="47" t="b">
        <f t="shared" si="350"/>
        <v>1</v>
      </c>
      <c r="BB230" s="42" t="b">
        <f t="shared" si="351"/>
        <v>1</v>
      </c>
      <c r="BC230" s="42" t="b">
        <f t="shared" si="352"/>
        <v>0</v>
      </c>
      <c r="BD230" s="42" t="b">
        <f t="shared" si="353"/>
        <v>0</v>
      </c>
      <c r="BE230" s="70">
        <f t="shared" si="354"/>
        <v>0</v>
      </c>
      <c r="BF230" s="70">
        <f t="shared" si="355"/>
        <v>0</v>
      </c>
      <c r="BG230" s="34"/>
      <c r="BI230" s="47" t="b">
        <f t="shared" si="356"/>
        <v>1</v>
      </c>
      <c r="BJ230" s="47" t="b">
        <f t="shared" si="357"/>
        <v>1</v>
      </c>
      <c r="BK230" s="42" t="b">
        <f t="shared" si="358"/>
        <v>0</v>
      </c>
      <c r="BL230" s="42" t="b">
        <f t="shared" si="359"/>
        <v>0</v>
      </c>
      <c r="BM230" s="42">
        <f t="shared" si="360"/>
        <v>0</v>
      </c>
      <c r="BN230" s="42">
        <f t="shared" si="361"/>
        <v>0</v>
      </c>
      <c r="BP230" t="e">
        <f t="shared" si="362"/>
        <v>#N/A</v>
      </c>
      <c r="BQ230" t="e">
        <f t="shared" si="363"/>
        <v>#N/A</v>
      </c>
      <c r="BR230" t="e">
        <f t="shared" si="364"/>
        <v>#N/A</v>
      </c>
      <c r="BT230" s="60">
        <f t="shared" si="365"/>
        <v>0</v>
      </c>
      <c r="BU230" s="60">
        <f t="shared" si="366"/>
        <v>0</v>
      </c>
      <c r="BV230" s="60">
        <f t="shared" si="367"/>
        <v>0</v>
      </c>
      <c r="BW230" s="60">
        <f t="shared" si="368"/>
        <v>0</v>
      </c>
      <c r="BX230" s="60">
        <f t="shared" si="369"/>
        <v>0</v>
      </c>
      <c r="BY230" s="60">
        <f t="shared" si="370"/>
        <v>0</v>
      </c>
      <c r="BZ230" s="60">
        <f t="shared" si="371"/>
        <v>0</v>
      </c>
      <c r="CA230" s="60">
        <f t="shared" si="372"/>
        <v>0</v>
      </c>
      <c r="CB230" s="60" t="e">
        <f t="shared" si="320"/>
        <v>#N/A</v>
      </c>
      <c r="CC230" s="60">
        <f t="shared" si="321"/>
        <v>100000</v>
      </c>
      <c r="CD230" s="60" t="e">
        <f t="shared" si="322"/>
        <v>#N/A</v>
      </c>
      <c r="CE230" s="60">
        <f t="shared" si="323"/>
        <v>100000</v>
      </c>
      <c r="CF230" s="83" t="e">
        <f t="shared" si="373"/>
        <v>#N/A</v>
      </c>
      <c r="CG230" s="83">
        <f t="shared" si="374"/>
        <v>0</v>
      </c>
      <c r="CH230" s="83" t="e">
        <f t="shared" si="375"/>
        <v>#N/A</v>
      </c>
      <c r="CI230" s="83">
        <f t="shared" si="376"/>
        <v>0</v>
      </c>
      <c r="CJ230" s="86" t="e">
        <f t="shared" si="324"/>
        <v>#N/A</v>
      </c>
      <c r="CK230" s="82">
        <f t="shared" si="325"/>
        <v>5.3070370403969858E-3</v>
      </c>
      <c r="CL230" s="82" t="e">
        <f t="shared" si="326"/>
        <v>#N/A</v>
      </c>
      <c r="CM230" s="82">
        <f t="shared" si="327"/>
        <v>5.3070370403969858E-3</v>
      </c>
      <c r="CO230" s="149" t="str">
        <f>IF($I230&lt;&gt;"",IF(O230="User Specified",U230,INDEX('Refrigerant GWPs'!$G$2:$G$156,MATCH(O230,'Refrigerant GWPs'!$A$2:$A$156,0))),"")</f>
        <v/>
      </c>
      <c r="CP230" s="138" t="str">
        <f>IF($I230&lt;&gt;"",INDEX('Device Refrigerant Leakage'!$E$2:$E$42,MATCH($M230,'Device Refrigerant Leakage'!$B$2:$B$42,0)),"")</f>
        <v/>
      </c>
      <c r="CQ230" s="138" t="str">
        <f>IF($I230&lt;&gt;"",INDEX('Device Refrigerant Leakage'!$F$2:$F$42,MATCH($M230,'Device Refrigerant Leakage'!$B$2:$B$42,0)),"")</f>
        <v/>
      </c>
      <c r="CR230" s="145" t="str">
        <f>IF($I230&lt;&gt;"",INDEX('Device Refrigerant Leakage'!$G$2:$G$42,MATCH($M230,'Device Refrigerant Leakage'!$B$2:$B$42,0)),"")</f>
        <v/>
      </c>
      <c r="CS230" s="145" t="str">
        <f>IF($I230&lt;&gt;"",INDEX('Device Refrigerant Leakage'!$D$2:$D$42,MATCH($M230,'Device Refrigerant Leakage'!$B$2:$B$42,0))*CP230/2204.62*CO230,"")</f>
        <v/>
      </c>
      <c r="CT230" s="145" t="str">
        <f>IF($I230&lt;&gt;"",J230*(INDEX('Device Refrigerant Leakage'!$D$2:$D$42,MATCH($M230,'Device Refrigerant Leakage'!$B$2:$B$42,0))-(INDEX('Device Refrigerant Leakage'!$D$2:$D$42,MATCH($M230,'Device Refrigerant Leakage'!$B$2:$B$42,0)))*CR230*CP230)*CQ230/2204.62*CO230,"")</f>
        <v/>
      </c>
      <c r="CU230" s="135" t="str">
        <f>IF($I230&lt;&gt;"",J230*IF(W230&lt;&gt;"AR",(CS230*K230)+CT230,(CS230*AB230)+CT230*(AB230/INDEX('Device Refrigerant Leakage'!$C$2:$C$42,MATCH($M230,'Device Refrigerant Leakage'!$B$2:$B$42,0)))),"")</f>
        <v/>
      </c>
      <c r="CW230" s="135" t="str">
        <f>IF($I230&lt;&gt;"",IF(S230="User Specified",V230,INDEX('Refrigerant GWPs'!$G$2:$G$156,MATCH(S230,'Refrigerant GWPs'!$A$2:$A$157,0))),"")</f>
        <v/>
      </c>
      <c r="CX230" s="138" t="str">
        <f>IF($I230&lt;&gt;"",INDEX('Device Refrigerant Leakage'!$E$2:$E$42,MATCH($Q230,'Device Refrigerant Leakage'!$B$2:$B$42,0)),"")</f>
        <v/>
      </c>
      <c r="CY230" s="138" t="str">
        <f>IF($I230&lt;&gt;"",INDEX('Device Refrigerant Leakage'!$F$2:$F$42,MATCH($Q230,'Device Refrigerant Leakage'!$B$2:$B$42,0)),"")</f>
        <v/>
      </c>
      <c r="CZ230" s="145" t="str">
        <f>IF($I230&lt;&gt;"",INDEX('Device Refrigerant Leakage'!$G$2:$G$42,MATCH($Q230,'Device Refrigerant Leakage'!$B$2:$B$42,0)),"")</f>
        <v/>
      </c>
      <c r="DA230" s="145" t="str">
        <f>IF($I230&lt;&gt;"",J230*INDEX('Device Refrigerant Leakage'!$D$2:$D$42,MATCH($Q230,'Device Refrigerant Leakage'!$B$2:$B$42,0))*CX230/2204.62*CW230,"")</f>
        <v/>
      </c>
      <c r="DB230" s="145" t="str">
        <f>IF($I230&lt;&gt;"",J230*(INDEX('Device Refrigerant Leakage'!$D$2:$D$42,MATCH($Q230,'Device Refrigerant Leakage'!$B$2:$B$42,0))-(INDEX('Device Refrigerant Leakage'!$D$2:$D$42,MATCH($Q230,'Device Refrigerant Leakage'!$B$2:$B$42,0)))*CZ230*CX230)*CY230/2204.62*CW230,"")</f>
        <v/>
      </c>
      <c r="DC230" s="135" t="str">
        <f t="shared" si="348"/>
        <v/>
      </c>
      <c r="DE230" s="146" t="str">
        <f>IF(W230&lt;&gt;"AR","",IF(Y230="User Specified", AA230, INDEX('Refrigerant GWPs'!$G$2:$G$154,MATCH(Y230,'Refrigerant GWPs'!$A$2:$A$154,0))))</f>
        <v/>
      </c>
      <c r="DF230" s="146" t="str">
        <f>IF(W230&lt;&gt;"AR","",INDEX('Device Refrigerant Leakage'!$E$2:$E$42,MATCH(X230,'Device Refrigerant Leakage'!$B$2:$B$42,0)))</f>
        <v/>
      </c>
      <c r="DG230" s="146" t="str">
        <f>IF(W230&lt;&gt;"AR","",INDEX('Device Refrigerant Leakage'!$F$2:$F$42,MATCH(X230,'Device Refrigerant Leakage'!$B$2:$B$42,0)))</f>
        <v/>
      </c>
      <c r="DH230" s="146" t="str">
        <f>IF(W230&lt;&gt;"AR","",INDEX('Device Refrigerant Leakage'!$G$2:$G$42,MATCH(X230,'Device Refrigerant Leakage'!$B$2:$B$42,0)))</f>
        <v/>
      </c>
      <c r="DI230" s="146" t="str">
        <f>IF(W230&lt;&gt;"AR","",J230*INDEX('Device Refrigerant Leakage'!$D$2:$D$42,MATCH(X230,'Device Refrigerant Leakage'!$B$2:$B$42,0))*DF230/2204.62*DE230)</f>
        <v/>
      </c>
      <c r="DJ230" s="146" t="str">
        <f>IF(W230&lt;&gt;"AR","",J230*(INDEX('Device Refrigerant Leakage'!$D$2:$D$42,MATCH(X230,'Device Refrigerant Leakage'!$B$2:$B$42,0))-(INDEX('Device Refrigerant Leakage'!$D$2:$D$42,MATCH(X230,'Device Refrigerant Leakage'!$B$2:$B$42,0)))*DH230*DF230)*DG230/2204.62*DE230)</f>
        <v/>
      </c>
      <c r="DK230" s="146" t="str">
        <f>IF(W230&lt;&gt;"AR","",DI230*(K230-AB230)+'Fuel Sub Calcs-Deemed'!DJ230*((K230-AB230)/INDEX('Device Refrigerant Leakage'!$C$2:$C$42,MATCH('Fuel Sub Calcs-Deemed'!X230,'Device Refrigerant Leakage'!$B$2:$B$42,0))))</f>
        <v/>
      </c>
      <c r="DM230" s="56">
        <v>216</v>
      </c>
      <c r="DN230" s="67" t="e">
        <f t="shared" si="328"/>
        <v>#N/A</v>
      </c>
      <c r="DO230" s="45" t="e">
        <f t="shared" si="329"/>
        <v>#N/A</v>
      </c>
      <c r="DP230" s="67" t="e">
        <f t="shared" si="330"/>
        <v>#N/A</v>
      </c>
      <c r="DQ230" s="45" t="e">
        <f t="shared" si="331"/>
        <v>#N/A</v>
      </c>
      <c r="DR230" s="69" t="e">
        <f t="shared" si="332"/>
        <v>#N/A</v>
      </c>
      <c r="DS230" s="34"/>
      <c r="DT230" s="67" t="e">
        <f>((BX230*CJ230)+IF($W230=MAT_AR,(BZ230*CL230),0))*(1+Reference!$E$50+Reference!$E$51)</f>
        <v>#N/A</v>
      </c>
      <c r="DU230" s="67">
        <f>((BY230*CK230)+IF($W230=MAT_AR,(CA230*CM230),0))*(1+Reference!$G$50+Reference!$G$51)</f>
        <v>0</v>
      </c>
      <c r="DV230" s="67" t="e">
        <f t="shared" si="333"/>
        <v>#VALUE!</v>
      </c>
      <c r="DX230" s="56">
        <v>216</v>
      </c>
      <c r="DY230" s="67">
        <f t="shared" si="334"/>
        <v>0</v>
      </c>
      <c r="DZ230" s="45" t="e">
        <f>VLOOKUP($R230,Dropdown!$C$3:$D$4,2,FALSE)</f>
        <v>#N/A</v>
      </c>
      <c r="EA230" s="68">
        <f t="shared" si="335"/>
        <v>0</v>
      </c>
      <c r="EB230" s="68" t="str">
        <f t="shared" si="336"/>
        <v>N/A</v>
      </c>
      <c r="EC230" s="68">
        <f t="shared" si="337"/>
        <v>0</v>
      </c>
      <c r="ED230" s="68" t="str">
        <f t="shared" si="377"/>
        <v>N/A</v>
      </c>
      <c r="EF230" s="56">
        <v>216</v>
      </c>
      <c r="EG230" s="46">
        <f t="shared" si="339"/>
        <v>0</v>
      </c>
      <c r="EH230" s="68" t="e">
        <f t="shared" si="340"/>
        <v>#N/A</v>
      </c>
      <c r="EI230" s="68" t="e">
        <f t="shared" si="341"/>
        <v>#N/A</v>
      </c>
      <c r="EJ230" s="68" t="e">
        <f t="shared" si="342"/>
        <v>#N/A</v>
      </c>
      <c r="EK230" s="68" t="e">
        <f t="shared" si="343"/>
        <v>#N/A</v>
      </c>
      <c r="EL230" s="46">
        <f t="shared" si="344"/>
        <v>0</v>
      </c>
      <c r="EM230" s="46">
        <f t="shared" si="345"/>
        <v>0</v>
      </c>
    </row>
    <row r="231" spans="1:143">
      <c r="A231" s="89"/>
      <c r="B231" s="89"/>
      <c r="C231" s="89"/>
      <c r="D231" s="89"/>
      <c r="E231" s="89"/>
      <c r="F231" s="89"/>
      <c r="G231" s="34"/>
      <c r="H231" s="56">
        <f t="shared" si="346"/>
        <v>217</v>
      </c>
      <c r="I231" s="165"/>
      <c r="J231" s="163"/>
      <c r="K231" s="163"/>
      <c r="L231" s="164"/>
      <c r="M231" s="155"/>
      <c r="N231" s="155"/>
      <c r="O231" s="144"/>
      <c r="P231" s="159" t="str">
        <f>IFERROR(IF(O231&lt;&gt;"User Specified",IF(O231&lt;&gt;"", INDEX('Refrigerant GWPs'!$G$2:$G$154,MATCH(O231,'Refrigerant GWPs'!$A$2:$A$154,0)),""),U231),0)</f>
        <v/>
      </c>
      <c r="Q231" s="155"/>
      <c r="R231" s="155"/>
      <c r="S231" s="144"/>
      <c r="T231" s="159" t="str">
        <f>IF(S231&lt;&gt;"User Specified",IF(AND(S231&lt;&gt;"User Specified",S231&lt;&gt;""), INDEX('Refrigerant GWPs'!$G$2:$G$154,MATCH(S231,'Refrigerant GWPs'!$A$2:$A$154,0)),""),V231)</f>
        <v/>
      </c>
      <c r="U231" s="144"/>
      <c r="V231" s="144"/>
      <c r="W231" s="155"/>
      <c r="X231" s="155"/>
      <c r="Y231" s="144"/>
      <c r="Z231" s="159" t="str">
        <f>IF(AND(Y231&lt;&gt;"User Specified",Y231&lt;&gt;""), INDEX('Refrigerant GWPs'!$G$2:$G$154,MATCH(Y231,'Refrigerant GWPs'!$A$2:$A$154,0)),"")</f>
        <v/>
      </c>
      <c r="AA231" s="155"/>
      <c r="AB231" s="156"/>
      <c r="AC231" s="66"/>
      <c r="AD231" s="66"/>
      <c r="AE231" s="66"/>
      <c r="AF231" s="66"/>
      <c r="AG231" s="66"/>
      <c r="AH231" s="66"/>
      <c r="AI231" s="34"/>
      <c r="AJ231" s="88">
        <f t="shared" si="304"/>
        <v>0</v>
      </c>
      <c r="AK231" s="88">
        <f t="shared" si="305"/>
        <v>0</v>
      </c>
      <c r="AL231" s="88">
        <v>0</v>
      </c>
      <c r="AM231" s="88">
        <v>0</v>
      </c>
      <c r="AN231" s="81" t="str">
        <f t="shared" si="349"/>
        <v/>
      </c>
      <c r="AO231" s="88">
        <f t="shared" si="306"/>
        <v>0</v>
      </c>
      <c r="AP231" s="88">
        <f t="shared" si="307"/>
        <v>0</v>
      </c>
      <c r="AQ231" s="81" t="str">
        <f t="shared" si="308"/>
        <v/>
      </c>
      <c r="AS231" s="41" t="b">
        <f t="shared" si="309"/>
        <v>1</v>
      </c>
      <c r="AT231" s="38">
        <f t="shared" si="310"/>
        <v>0</v>
      </c>
      <c r="AU231" s="60">
        <f t="shared" si="311"/>
        <v>0</v>
      </c>
      <c r="AV231" s="41">
        <f t="shared" si="312"/>
        <v>0</v>
      </c>
      <c r="AW231" s="41" t="b">
        <f t="shared" si="313"/>
        <v>0</v>
      </c>
      <c r="AX231" t="str">
        <f t="shared" si="314"/>
        <v>+00</v>
      </c>
      <c r="AY231" t="str">
        <f t="shared" si="315"/>
        <v>+00</v>
      </c>
      <c r="BA231" s="47" t="b">
        <f t="shared" si="350"/>
        <v>1</v>
      </c>
      <c r="BB231" s="42" t="b">
        <f t="shared" si="351"/>
        <v>1</v>
      </c>
      <c r="BC231" s="42" t="b">
        <f t="shared" si="352"/>
        <v>0</v>
      </c>
      <c r="BD231" s="42" t="b">
        <f t="shared" si="353"/>
        <v>0</v>
      </c>
      <c r="BE231" s="70">
        <f t="shared" si="354"/>
        <v>0</v>
      </c>
      <c r="BF231" s="70">
        <f t="shared" si="355"/>
        <v>0</v>
      </c>
      <c r="BG231" s="34"/>
      <c r="BI231" s="47" t="b">
        <f t="shared" si="356"/>
        <v>1</v>
      </c>
      <c r="BJ231" s="47" t="b">
        <f t="shared" si="357"/>
        <v>1</v>
      </c>
      <c r="BK231" s="42" t="b">
        <f t="shared" si="358"/>
        <v>0</v>
      </c>
      <c r="BL231" s="42" t="b">
        <f t="shared" si="359"/>
        <v>0</v>
      </c>
      <c r="BM231" s="42">
        <f t="shared" si="360"/>
        <v>0</v>
      </c>
      <c r="BN231" s="42">
        <f t="shared" si="361"/>
        <v>0</v>
      </c>
      <c r="BP231" t="e">
        <f t="shared" si="362"/>
        <v>#N/A</v>
      </c>
      <c r="BQ231" t="e">
        <f t="shared" si="363"/>
        <v>#N/A</v>
      </c>
      <c r="BR231" t="e">
        <f t="shared" si="364"/>
        <v>#N/A</v>
      </c>
      <c r="BT231" s="60">
        <f t="shared" si="365"/>
        <v>0</v>
      </c>
      <c r="BU231" s="60">
        <f t="shared" si="366"/>
        <v>0</v>
      </c>
      <c r="BV231" s="60">
        <f t="shared" si="367"/>
        <v>0</v>
      </c>
      <c r="BW231" s="60">
        <f t="shared" si="368"/>
        <v>0</v>
      </c>
      <c r="BX231" s="60">
        <f t="shared" si="369"/>
        <v>0</v>
      </c>
      <c r="BY231" s="60">
        <f t="shared" si="370"/>
        <v>0</v>
      </c>
      <c r="BZ231" s="60">
        <f t="shared" si="371"/>
        <v>0</v>
      </c>
      <c r="CA231" s="60">
        <f t="shared" si="372"/>
        <v>0</v>
      </c>
      <c r="CB231" s="60" t="e">
        <f t="shared" si="320"/>
        <v>#N/A</v>
      </c>
      <c r="CC231" s="60">
        <f t="shared" si="321"/>
        <v>100000</v>
      </c>
      <c r="CD231" s="60" t="e">
        <f t="shared" si="322"/>
        <v>#N/A</v>
      </c>
      <c r="CE231" s="60">
        <f t="shared" si="323"/>
        <v>100000</v>
      </c>
      <c r="CF231" s="83" t="e">
        <f t="shared" si="373"/>
        <v>#N/A</v>
      </c>
      <c r="CG231" s="83">
        <f t="shared" si="374"/>
        <v>0</v>
      </c>
      <c r="CH231" s="83" t="e">
        <f t="shared" si="375"/>
        <v>#N/A</v>
      </c>
      <c r="CI231" s="83">
        <f t="shared" si="376"/>
        <v>0</v>
      </c>
      <c r="CJ231" s="86" t="e">
        <f t="shared" si="324"/>
        <v>#N/A</v>
      </c>
      <c r="CK231" s="82">
        <f t="shared" si="325"/>
        <v>5.3070370403969858E-3</v>
      </c>
      <c r="CL231" s="82" t="e">
        <f t="shared" si="326"/>
        <v>#N/A</v>
      </c>
      <c r="CM231" s="82">
        <f t="shared" si="327"/>
        <v>5.3070370403969858E-3</v>
      </c>
      <c r="CO231" s="149" t="str">
        <f>IF($I231&lt;&gt;"",IF(O231="User Specified",U231,INDEX('Refrigerant GWPs'!$G$2:$G$156,MATCH(O231,'Refrigerant GWPs'!$A$2:$A$156,0))),"")</f>
        <v/>
      </c>
      <c r="CP231" s="138" t="str">
        <f>IF($I231&lt;&gt;"",INDEX('Device Refrigerant Leakage'!$E$2:$E$42,MATCH($M231,'Device Refrigerant Leakage'!$B$2:$B$42,0)),"")</f>
        <v/>
      </c>
      <c r="CQ231" s="138" t="str">
        <f>IF($I231&lt;&gt;"",INDEX('Device Refrigerant Leakage'!$F$2:$F$42,MATCH($M231,'Device Refrigerant Leakage'!$B$2:$B$42,0)),"")</f>
        <v/>
      </c>
      <c r="CR231" s="145" t="str">
        <f>IF($I231&lt;&gt;"",INDEX('Device Refrigerant Leakage'!$G$2:$G$42,MATCH($M231,'Device Refrigerant Leakage'!$B$2:$B$42,0)),"")</f>
        <v/>
      </c>
      <c r="CS231" s="145" t="str">
        <f>IF($I231&lt;&gt;"",INDEX('Device Refrigerant Leakage'!$D$2:$D$42,MATCH($M231,'Device Refrigerant Leakage'!$B$2:$B$42,0))*CP231/2204.62*CO231,"")</f>
        <v/>
      </c>
      <c r="CT231" s="145" t="str">
        <f>IF($I231&lt;&gt;"",J231*(INDEX('Device Refrigerant Leakage'!$D$2:$D$42,MATCH($M231,'Device Refrigerant Leakage'!$B$2:$B$42,0))-(INDEX('Device Refrigerant Leakage'!$D$2:$D$42,MATCH($M231,'Device Refrigerant Leakage'!$B$2:$B$42,0)))*CR231*CP231)*CQ231/2204.62*CO231,"")</f>
        <v/>
      </c>
      <c r="CU231" s="135" t="str">
        <f>IF($I231&lt;&gt;"",J231*IF(W231&lt;&gt;"AR",(CS231*K231)+CT231,(CS231*AB231)+CT231*(AB231/INDEX('Device Refrigerant Leakage'!$C$2:$C$42,MATCH($M231,'Device Refrigerant Leakage'!$B$2:$B$42,0)))),"")</f>
        <v/>
      </c>
      <c r="CW231" s="135" t="str">
        <f>IF($I231&lt;&gt;"",IF(S231="User Specified",V231,INDEX('Refrigerant GWPs'!$G$2:$G$156,MATCH(S231,'Refrigerant GWPs'!$A$2:$A$157,0))),"")</f>
        <v/>
      </c>
      <c r="CX231" s="138" t="str">
        <f>IF($I231&lt;&gt;"",INDEX('Device Refrigerant Leakage'!$E$2:$E$42,MATCH($Q231,'Device Refrigerant Leakage'!$B$2:$B$42,0)),"")</f>
        <v/>
      </c>
      <c r="CY231" s="138" t="str">
        <f>IF($I231&lt;&gt;"",INDEX('Device Refrigerant Leakage'!$F$2:$F$42,MATCH($Q231,'Device Refrigerant Leakage'!$B$2:$B$42,0)),"")</f>
        <v/>
      </c>
      <c r="CZ231" s="145" t="str">
        <f>IF($I231&lt;&gt;"",INDEX('Device Refrigerant Leakage'!$G$2:$G$42,MATCH($Q231,'Device Refrigerant Leakage'!$B$2:$B$42,0)),"")</f>
        <v/>
      </c>
      <c r="DA231" s="145" t="str">
        <f>IF($I231&lt;&gt;"",J231*INDEX('Device Refrigerant Leakage'!$D$2:$D$42,MATCH($Q231,'Device Refrigerant Leakage'!$B$2:$B$42,0))*CX231/2204.62*CW231,"")</f>
        <v/>
      </c>
      <c r="DB231" s="145" t="str">
        <f>IF($I231&lt;&gt;"",J231*(INDEX('Device Refrigerant Leakage'!$D$2:$D$42,MATCH($Q231,'Device Refrigerant Leakage'!$B$2:$B$42,0))-(INDEX('Device Refrigerant Leakage'!$D$2:$D$42,MATCH($Q231,'Device Refrigerant Leakage'!$B$2:$B$42,0)))*CZ231*CX231)*CY231/2204.62*CW231,"")</f>
        <v/>
      </c>
      <c r="DC231" s="135" t="str">
        <f t="shared" si="348"/>
        <v/>
      </c>
      <c r="DE231" s="146" t="str">
        <f>IF(W231&lt;&gt;"AR","",IF(Y231="User Specified", AA231, INDEX('Refrigerant GWPs'!$G$2:$G$154,MATCH(Y231,'Refrigerant GWPs'!$A$2:$A$154,0))))</f>
        <v/>
      </c>
      <c r="DF231" s="146" t="str">
        <f>IF(W231&lt;&gt;"AR","",INDEX('Device Refrigerant Leakage'!$E$2:$E$42,MATCH(X231,'Device Refrigerant Leakage'!$B$2:$B$42,0)))</f>
        <v/>
      </c>
      <c r="DG231" s="146" t="str">
        <f>IF(W231&lt;&gt;"AR","",INDEX('Device Refrigerant Leakage'!$F$2:$F$42,MATCH(X231,'Device Refrigerant Leakage'!$B$2:$B$42,0)))</f>
        <v/>
      </c>
      <c r="DH231" s="146" t="str">
        <f>IF(W231&lt;&gt;"AR","",INDEX('Device Refrigerant Leakage'!$G$2:$G$42,MATCH(X231,'Device Refrigerant Leakage'!$B$2:$B$42,0)))</f>
        <v/>
      </c>
      <c r="DI231" s="146" t="str">
        <f>IF(W231&lt;&gt;"AR","",J231*INDEX('Device Refrigerant Leakage'!$D$2:$D$42,MATCH(X231,'Device Refrigerant Leakage'!$B$2:$B$42,0))*DF231/2204.62*DE231)</f>
        <v/>
      </c>
      <c r="DJ231" s="146" t="str">
        <f>IF(W231&lt;&gt;"AR","",J231*(INDEX('Device Refrigerant Leakage'!$D$2:$D$42,MATCH(X231,'Device Refrigerant Leakage'!$B$2:$B$42,0))-(INDEX('Device Refrigerant Leakage'!$D$2:$D$42,MATCH(X231,'Device Refrigerant Leakage'!$B$2:$B$42,0)))*DH231*DF231)*DG231/2204.62*DE231)</f>
        <v/>
      </c>
      <c r="DK231" s="146" t="str">
        <f>IF(W231&lt;&gt;"AR","",DI231*(K231-AB231)+'Fuel Sub Calcs-Deemed'!DJ231*((K231-AB231)/INDEX('Device Refrigerant Leakage'!$C$2:$C$42,MATCH('Fuel Sub Calcs-Deemed'!X231,'Device Refrigerant Leakage'!$B$2:$B$42,0))))</f>
        <v/>
      </c>
      <c r="DM231" s="56">
        <v>217</v>
      </c>
      <c r="DN231" s="67" t="e">
        <f t="shared" si="328"/>
        <v>#N/A</v>
      </c>
      <c r="DO231" s="45" t="e">
        <f t="shared" si="329"/>
        <v>#N/A</v>
      </c>
      <c r="DP231" s="67" t="e">
        <f t="shared" si="330"/>
        <v>#N/A</v>
      </c>
      <c r="DQ231" s="45" t="e">
        <f t="shared" si="331"/>
        <v>#N/A</v>
      </c>
      <c r="DR231" s="69" t="e">
        <f t="shared" si="332"/>
        <v>#N/A</v>
      </c>
      <c r="DS231" s="34"/>
      <c r="DT231" s="67" t="e">
        <f>((BX231*CJ231)+IF($W231=MAT_AR,(BZ231*CL231),0))*(1+Reference!$E$50+Reference!$E$51)</f>
        <v>#N/A</v>
      </c>
      <c r="DU231" s="67">
        <f>((BY231*CK231)+IF($W231=MAT_AR,(CA231*CM231),0))*(1+Reference!$G$50+Reference!$G$51)</f>
        <v>0</v>
      </c>
      <c r="DV231" s="67" t="e">
        <f t="shared" si="333"/>
        <v>#VALUE!</v>
      </c>
      <c r="DX231" s="56">
        <v>217</v>
      </c>
      <c r="DY231" s="67">
        <f t="shared" si="334"/>
        <v>0</v>
      </c>
      <c r="DZ231" s="45" t="e">
        <f>VLOOKUP($R231,Dropdown!$C$3:$D$4,2,FALSE)</f>
        <v>#N/A</v>
      </c>
      <c r="EA231" s="68">
        <f t="shared" si="335"/>
        <v>0</v>
      </c>
      <c r="EB231" s="68" t="str">
        <f t="shared" si="336"/>
        <v>N/A</v>
      </c>
      <c r="EC231" s="68">
        <f t="shared" si="337"/>
        <v>0</v>
      </c>
      <c r="ED231" s="68" t="str">
        <f t="shared" si="377"/>
        <v>N/A</v>
      </c>
      <c r="EF231" s="56">
        <v>217</v>
      </c>
      <c r="EG231" s="46">
        <f t="shared" si="339"/>
        <v>0</v>
      </c>
      <c r="EH231" s="68" t="e">
        <f t="shared" si="340"/>
        <v>#N/A</v>
      </c>
      <c r="EI231" s="68" t="e">
        <f t="shared" si="341"/>
        <v>#N/A</v>
      </c>
      <c r="EJ231" s="68" t="e">
        <f t="shared" si="342"/>
        <v>#N/A</v>
      </c>
      <c r="EK231" s="68" t="e">
        <f t="shared" si="343"/>
        <v>#N/A</v>
      </c>
      <c r="EL231" s="46">
        <f t="shared" si="344"/>
        <v>0</v>
      </c>
      <c r="EM231" s="46">
        <f t="shared" si="345"/>
        <v>0</v>
      </c>
    </row>
    <row r="232" spans="1:143">
      <c r="A232" s="89"/>
      <c r="B232" s="89"/>
      <c r="C232" s="89"/>
      <c r="D232" s="89"/>
      <c r="E232" s="89"/>
      <c r="F232" s="89"/>
      <c r="G232" s="34"/>
      <c r="H232" s="56">
        <f t="shared" si="346"/>
        <v>218</v>
      </c>
      <c r="I232" s="165"/>
      <c r="J232" s="163"/>
      <c r="K232" s="163"/>
      <c r="L232" s="164"/>
      <c r="M232" s="155"/>
      <c r="N232" s="155"/>
      <c r="O232" s="144"/>
      <c r="P232" s="159" t="str">
        <f>IFERROR(IF(O232&lt;&gt;"User Specified",IF(O232&lt;&gt;"", INDEX('Refrigerant GWPs'!$G$2:$G$154,MATCH(O232,'Refrigerant GWPs'!$A$2:$A$154,0)),""),U232),0)</f>
        <v/>
      </c>
      <c r="Q232" s="155"/>
      <c r="R232" s="155"/>
      <c r="S232" s="144"/>
      <c r="T232" s="159" t="str">
        <f>IF(S232&lt;&gt;"User Specified",IF(AND(S232&lt;&gt;"User Specified",S232&lt;&gt;""), INDEX('Refrigerant GWPs'!$G$2:$G$154,MATCH(S232,'Refrigerant GWPs'!$A$2:$A$154,0)),""),V232)</f>
        <v/>
      </c>
      <c r="U232" s="144"/>
      <c r="V232" s="144"/>
      <c r="W232" s="155"/>
      <c r="X232" s="155"/>
      <c r="Y232" s="144"/>
      <c r="Z232" s="159" t="str">
        <f>IF(AND(Y232&lt;&gt;"User Specified",Y232&lt;&gt;""), INDEX('Refrigerant GWPs'!$G$2:$G$154,MATCH(Y232,'Refrigerant GWPs'!$A$2:$A$154,0)),"")</f>
        <v/>
      </c>
      <c r="AA232" s="155"/>
      <c r="AB232" s="156"/>
      <c r="AC232" s="66"/>
      <c r="AD232" s="66"/>
      <c r="AE232" s="66"/>
      <c r="AF232" s="66"/>
      <c r="AG232" s="66"/>
      <c r="AH232" s="66"/>
      <c r="AI232" s="34"/>
      <c r="AJ232" s="88">
        <f t="shared" si="304"/>
        <v>0</v>
      </c>
      <c r="AK232" s="88">
        <f t="shared" si="305"/>
        <v>0</v>
      </c>
      <c r="AL232" s="88">
        <v>0</v>
      </c>
      <c r="AM232" s="88">
        <v>0</v>
      </c>
      <c r="AN232" s="81" t="str">
        <f t="shared" si="349"/>
        <v/>
      </c>
      <c r="AO232" s="88">
        <f t="shared" si="306"/>
        <v>0</v>
      </c>
      <c r="AP232" s="88">
        <f t="shared" si="307"/>
        <v>0</v>
      </c>
      <c r="AQ232" s="81" t="str">
        <f t="shared" si="308"/>
        <v/>
      </c>
      <c r="AS232" s="41" t="b">
        <f t="shared" si="309"/>
        <v>1</v>
      </c>
      <c r="AT232" s="38">
        <f t="shared" si="310"/>
        <v>0</v>
      </c>
      <c r="AU232" s="60">
        <f t="shared" si="311"/>
        <v>0</v>
      </c>
      <c r="AV232" s="41">
        <f t="shared" si="312"/>
        <v>0</v>
      </c>
      <c r="AW232" s="41" t="b">
        <f t="shared" si="313"/>
        <v>0</v>
      </c>
      <c r="AX232" t="str">
        <f t="shared" si="314"/>
        <v>+00</v>
      </c>
      <c r="AY232" t="str">
        <f t="shared" si="315"/>
        <v>+00</v>
      </c>
      <c r="BA232" s="47" t="b">
        <f t="shared" si="350"/>
        <v>1</v>
      </c>
      <c r="BB232" s="42" t="b">
        <f t="shared" si="351"/>
        <v>1</v>
      </c>
      <c r="BC232" s="42" t="b">
        <f t="shared" si="352"/>
        <v>0</v>
      </c>
      <c r="BD232" s="42" t="b">
        <f t="shared" si="353"/>
        <v>0</v>
      </c>
      <c r="BE232" s="70">
        <f t="shared" si="354"/>
        <v>0</v>
      </c>
      <c r="BF232" s="70">
        <f t="shared" si="355"/>
        <v>0</v>
      </c>
      <c r="BG232" s="34"/>
      <c r="BI232" s="47" t="b">
        <f t="shared" si="356"/>
        <v>1</v>
      </c>
      <c r="BJ232" s="47" t="b">
        <f t="shared" si="357"/>
        <v>1</v>
      </c>
      <c r="BK232" s="42" t="b">
        <f t="shared" si="358"/>
        <v>0</v>
      </c>
      <c r="BL232" s="42" t="b">
        <f t="shared" si="359"/>
        <v>0</v>
      </c>
      <c r="BM232" s="42">
        <f t="shared" si="360"/>
        <v>0</v>
      </c>
      <c r="BN232" s="42">
        <f t="shared" si="361"/>
        <v>0</v>
      </c>
      <c r="BP232" t="e">
        <f t="shared" si="362"/>
        <v>#N/A</v>
      </c>
      <c r="BQ232" t="e">
        <f t="shared" si="363"/>
        <v>#N/A</v>
      </c>
      <c r="BR232" t="e">
        <f t="shared" si="364"/>
        <v>#N/A</v>
      </c>
      <c r="BT232" s="60">
        <f t="shared" si="365"/>
        <v>0</v>
      </c>
      <c r="BU232" s="60">
        <f t="shared" si="366"/>
        <v>0</v>
      </c>
      <c r="BV232" s="60">
        <f t="shared" si="367"/>
        <v>0</v>
      </c>
      <c r="BW232" s="60">
        <f t="shared" si="368"/>
        <v>0</v>
      </c>
      <c r="BX232" s="60">
        <f t="shared" si="369"/>
        <v>0</v>
      </c>
      <c r="BY232" s="60">
        <f t="shared" si="370"/>
        <v>0</v>
      </c>
      <c r="BZ232" s="60">
        <f t="shared" si="371"/>
        <v>0</v>
      </c>
      <c r="CA232" s="60">
        <f t="shared" si="372"/>
        <v>0</v>
      </c>
      <c r="CB232" s="60" t="e">
        <f t="shared" si="320"/>
        <v>#N/A</v>
      </c>
      <c r="CC232" s="60">
        <f t="shared" si="321"/>
        <v>100000</v>
      </c>
      <c r="CD232" s="60" t="e">
        <f t="shared" si="322"/>
        <v>#N/A</v>
      </c>
      <c r="CE232" s="60">
        <f t="shared" si="323"/>
        <v>100000</v>
      </c>
      <c r="CF232" s="83" t="e">
        <f t="shared" si="373"/>
        <v>#N/A</v>
      </c>
      <c r="CG232" s="83">
        <f t="shared" si="374"/>
        <v>0</v>
      </c>
      <c r="CH232" s="83" t="e">
        <f t="shared" si="375"/>
        <v>#N/A</v>
      </c>
      <c r="CI232" s="83">
        <f t="shared" si="376"/>
        <v>0</v>
      </c>
      <c r="CJ232" s="86" t="e">
        <f t="shared" si="324"/>
        <v>#N/A</v>
      </c>
      <c r="CK232" s="82">
        <f t="shared" si="325"/>
        <v>5.3070370403969858E-3</v>
      </c>
      <c r="CL232" s="82" t="e">
        <f t="shared" si="326"/>
        <v>#N/A</v>
      </c>
      <c r="CM232" s="82">
        <f t="shared" si="327"/>
        <v>5.3070370403969858E-3</v>
      </c>
      <c r="CO232" s="149" t="str">
        <f>IF($I232&lt;&gt;"",IF(O232="User Specified",U232,INDEX('Refrigerant GWPs'!$G$2:$G$156,MATCH(O232,'Refrigerant GWPs'!$A$2:$A$156,0))),"")</f>
        <v/>
      </c>
      <c r="CP232" s="138" t="str">
        <f>IF($I232&lt;&gt;"",INDEX('Device Refrigerant Leakage'!$E$2:$E$42,MATCH($M232,'Device Refrigerant Leakage'!$B$2:$B$42,0)),"")</f>
        <v/>
      </c>
      <c r="CQ232" s="138" t="str">
        <f>IF($I232&lt;&gt;"",INDEX('Device Refrigerant Leakage'!$F$2:$F$42,MATCH($M232,'Device Refrigerant Leakage'!$B$2:$B$42,0)),"")</f>
        <v/>
      </c>
      <c r="CR232" s="145" t="str">
        <f>IF($I232&lt;&gt;"",INDEX('Device Refrigerant Leakage'!$G$2:$G$42,MATCH($M232,'Device Refrigerant Leakage'!$B$2:$B$42,0)),"")</f>
        <v/>
      </c>
      <c r="CS232" s="145" t="str">
        <f>IF($I232&lt;&gt;"",INDEX('Device Refrigerant Leakage'!$D$2:$D$42,MATCH($M232,'Device Refrigerant Leakage'!$B$2:$B$42,0))*CP232/2204.62*CO232,"")</f>
        <v/>
      </c>
      <c r="CT232" s="145" t="str">
        <f>IF($I232&lt;&gt;"",J232*(INDEX('Device Refrigerant Leakage'!$D$2:$D$42,MATCH($M232,'Device Refrigerant Leakage'!$B$2:$B$42,0))-(INDEX('Device Refrigerant Leakage'!$D$2:$D$42,MATCH($M232,'Device Refrigerant Leakage'!$B$2:$B$42,0)))*CR232*CP232)*CQ232/2204.62*CO232,"")</f>
        <v/>
      </c>
      <c r="CU232" s="135" t="str">
        <f>IF($I232&lt;&gt;"",J232*IF(W232&lt;&gt;"AR",(CS232*K232)+CT232,(CS232*AB232)+CT232*(AB232/INDEX('Device Refrigerant Leakage'!$C$2:$C$42,MATCH($M232,'Device Refrigerant Leakage'!$B$2:$B$42,0)))),"")</f>
        <v/>
      </c>
      <c r="CW232" s="135" t="str">
        <f>IF($I232&lt;&gt;"",IF(S232="User Specified",V232,INDEX('Refrigerant GWPs'!$G$2:$G$156,MATCH(S232,'Refrigerant GWPs'!$A$2:$A$157,0))),"")</f>
        <v/>
      </c>
      <c r="CX232" s="138" t="str">
        <f>IF($I232&lt;&gt;"",INDEX('Device Refrigerant Leakage'!$E$2:$E$42,MATCH($Q232,'Device Refrigerant Leakage'!$B$2:$B$42,0)),"")</f>
        <v/>
      </c>
      <c r="CY232" s="138" t="str">
        <f>IF($I232&lt;&gt;"",INDEX('Device Refrigerant Leakage'!$F$2:$F$42,MATCH($Q232,'Device Refrigerant Leakage'!$B$2:$B$42,0)),"")</f>
        <v/>
      </c>
      <c r="CZ232" s="145" t="str">
        <f>IF($I232&lt;&gt;"",INDEX('Device Refrigerant Leakage'!$G$2:$G$42,MATCH($Q232,'Device Refrigerant Leakage'!$B$2:$B$42,0)),"")</f>
        <v/>
      </c>
      <c r="DA232" s="145" t="str">
        <f>IF($I232&lt;&gt;"",J232*INDEX('Device Refrigerant Leakage'!$D$2:$D$42,MATCH($Q232,'Device Refrigerant Leakage'!$B$2:$B$42,0))*CX232/2204.62*CW232,"")</f>
        <v/>
      </c>
      <c r="DB232" s="145" t="str">
        <f>IF($I232&lt;&gt;"",J232*(INDEX('Device Refrigerant Leakage'!$D$2:$D$42,MATCH($Q232,'Device Refrigerant Leakage'!$B$2:$B$42,0))-(INDEX('Device Refrigerant Leakage'!$D$2:$D$42,MATCH($Q232,'Device Refrigerant Leakage'!$B$2:$B$42,0)))*CZ232*CX232)*CY232/2204.62*CW232,"")</f>
        <v/>
      </c>
      <c r="DC232" s="135" t="str">
        <f t="shared" si="348"/>
        <v/>
      </c>
      <c r="DE232" s="146" t="str">
        <f>IF(W232&lt;&gt;"AR","",IF(Y232="User Specified", AA232, INDEX('Refrigerant GWPs'!$G$2:$G$154,MATCH(Y232,'Refrigerant GWPs'!$A$2:$A$154,0))))</f>
        <v/>
      </c>
      <c r="DF232" s="146" t="str">
        <f>IF(W232&lt;&gt;"AR","",INDEX('Device Refrigerant Leakage'!$E$2:$E$42,MATCH(X232,'Device Refrigerant Leakage'!$B$2:$B$42,0)))</f>
        <v/>
      </c>
      <c r="DG232" s="146" t="str">
        <f>IF(W232&lt;&gt;"AR","",INDEX('Device Refrigerant Leakage'!$F$2:$F$42,MATCH(X232,'Device Refrigerant Leakage'!$B$2:$B$42,0)))</f>
        <v/>
      </c>
      <c r="DH232" s="146" t="str">
        <f>IF(W232&lt;&gt;"AR","",INDEX('Device Refrigerant Leakage'!$G$2:$G$42,MATCH(X232,'Device Refrigerant Leakage'!$B$2:$B$42,0)))</f>
        <v/>
      </c>
      <c r="DI232" s="146" t="str">
        <f>IF(W232&lt;&gt;"AR","",J232*INDEX('Device Refrigerant Leakage'!$D$2:$D$42,MATCH(X232,'Device Refrigerant Leakage'!$B$2:$B$42,0))*DF232/2204.62*DE232)</f>
        <v/>
      </c>
      <c r="DJ232" s="146" t="str">
        <f>IF(W232&lt;&gt;"AR","",J232*(INDEX('Device Refrigerant Leakage'!$D$2:$D$42,MATCH(X232,'Device Refrigerant Leakage'!$B$2:$B$42,0))-(INDEX('Device Refrigerant Leakage'!$D$2:$D$42,MATCH(X232,'Device Refrigerant Leakage'!$B$2:$B$42,0)))*DH232*DF232)*DG232/2204.62*DE232)</f>
        <v/>
      </c>
      <c r="DK232" s="146" t="str">
        <f>IF(W232&lt;&gt;"AR","",DI232*(K232-AB232)+'Fuel Sub Calcs-Deemed'!DJ232*((K232-AB232)/INDEX('Device Refrigerant Leakage'!$C$2:$C$42,MATCH('Fuel Sub Calcs-Deemed'!X232,'Device Refrigerant Leakage'!$B$2:$B$42,0))))</f>
        <v/>
      </c>
      <c r="DM232" s="56">
        <v>218</v>
      </c>
      <c r="DN232" s="67" t="e">
        <f t="shared" si="328"/>
        <v>#N/A</v>
      </c>
      <c r="DO232" s="45" t="e">
        <f t="shared" si="329"/>
        <v>#N/A</v>
      </c>
      <c r="DP232" s="67" t="e">
        <f t="shared" si="330"/>
        <v>#N/A</v>
      </c>
      <c r="DQ232" s="45" t="e">
        <f t="shared" si="331"/>
        <v>#N/A</v>
      </c>
      <c r="DR232" s="69" t="e">
        <f t="shared" si="332"/>
        <v>#N/A</v>
      </c>
      <c r="DS232" s="34"/>
      <c r="DT232" s="67" t="e">
        <f>((BX232*CJ232)+IF($W232=MAT_AR,(BZ232*CL232),0))*(1+Reference!$E$50+Reference!$E$51)</f>
        <v>#N/A</v>
      </c>
      <c r="DU232" s="67">
        <f>((BY232*CK232)+IF($W232=MAT_AR,(CA232*CM232),0))*(1+Reference!$G$50+Reference!$G$51)</f>
        <v>0</v>
      </c>
      <c r="DV232" s="67" t="e">
        <f t="shared" si="333"/>
        <v>#VALUE!</v>
      </c>
      <c r="DX232" s="56">
        <v>218</v>
      </c>
      <c r="DY232" s="67">
        <f t="shared" si="334"/>
        <v>0</v>
      </c>
      <c r="DZ232" s="45" t="e">
        <f>VLOOKUP($R232,Dropdown!$C$3:$D$4,2,FALSE)</f>
        <v>#N/A</v>
      </c>
      <c r="EA232" s="68">
        <f t="shared" si="335"/>
        <v>0</v>
      </c>
      <c r="EB232" s="68" t="str">
        <f t="shared" si="336"/>
        <v>N/A</v>
      </c>
      <c r="EC232" s="68">
        <f t="shared" si="337"/>
        <v>0</v>
      </c>
      <c r="ED232" s="68" t="str">
        <f t="shared" si="377"/>
        <v>N/A</v>
      </c>
      <c r="EF232" s="56">
        <v>218</v>
      </c>
      <c r="EG232" s="46">
        <f t="shared" si="339"/>
        <v>0</v>
      </c>
      <c r="EH232" s="68" t="e">
        <f t="shared" si="340"/>
        <v>#N/A</v>
      </c>
      <c r="EI232" s="68" t="e">
        <f t="shared" si="341"/>
        <v>#N/A</v>
      </c>
      <c r="EJ232" s="68" t="e">
        <f t="shared" si="342"/>
        <v>#N/A</v>
      </c>
      <c r="EK232" s="68" t="e">
        <f t="shared" si="343"/>
        <v>#N/A</v>
      </c>
      <c r="EL232" s="46">
        <f t="shared" si="344"/>
        <v>0</v>
      </c>
      <c r="EM232" s="46">
        <f t="shared" si="345"/>
        <v>0</v>
      </c>
    </row>
    <row r="233" spans="1:143">
      <c r="A233" s="89"/>
      <c r="B233" s="89"/>
      <c r="C233" s="89"/>
      <c r="D233" s="89"/>
      <c r="E233" s="89"/>
      <c r="F233" s="89"/>
      <c r="G233" s="34"/>
      <c r="H233" s="56">
        <f t="shared" si="346"/>
        <v>219</v>
      </c>
      <c r="I233" s="165"/>
      <c r="J233" s="163"/>
      <c r="K233" s="163"/>
      <c r="L233" s="164"/>
      <c r="M233" s="155"/>
      <c r="N233" s="155"/>
      <c r="O233" s="144"/>
      <c r="P233" s="159" t="str">
        <f>IFERROR(IF(O233&lt;&gt;"User Specified",IF(O233&lt;&gt;"", INDEX('Refrigerant GWPs'!$G$2:$G$154,MATCH(O233,'Refrigerant GWPs'!$A$2:$A$154,0)),""),U233),0)</f>
        <v/>
      </c>
      <c r="Q233" s="155"/>
      <c r="R233" s="155"/>
      <c r="S233" s="144"/>
      <c r="T233" s="159" t="str">
        <f>IF(S233&lt;&gt;"User Specified",IF(AND(S233&lt;&gt;"User Specified",S233&lt;&gt;""), INDEX('Refrigerant GWPs'!$G$2:$G$154,MATCH(S233,'Refrigerant GWPs'!$A$2:$A$154,0)),""),V233)</f>
        <v/>
      </c>
      <c r="U233" s="144"/>
      <c r="V233" s="144"/>
      <c r="W233" s="155"/>
      <c r="X233" s="155"/>
      <c r="Y233" s="144"/>
      <c r="Z233" s="159" t="str">
        <f>IF(AND(Y233&lt;&gt;"User Specified",Y233&lt;&gt;""), INDEX('Refrigerant GWPs'!$G$2:$G$154,MATCH(Y233,'Refrigerant GWPs'!$A$2:$A$154,0)),"")</f>
        <v/>
      </c>
      <c r="AA233" s="155"/>
      <c r="AB233" s="156"/>
      <c r="AC233" s="66"/>
      <c r="AD233" s="66"/>
      <c r="AE233" s="66"/>
      <c r="AF233" s="66"/>
      <c r="AG233" s="66"/>
      <c r="AH233" s="66"/>
      <c r="AI233" s="34"/>
      <c r="AJ233" s="88">
        <f t="shared" si="304"/>
        <v>0</v>
      </c>
      <c r="AK233" s="88">
        <f t="shared" si="305"/>
        <v>0</v>
      </c>
      <c r="AL233" s="88">
        <v>0</v>
      </c>
      <c r="AM233" s="88">
        <v>0</v>
      </c>
      <c r="AN233" s="81" t="str">
        <f t="shared" si="349"/>
        <v/>
      </c>
      <c r="AO233" s="88">
        <f t="shared" si="306"/>
        <v>0</v>
      </c>
      <c r="AP233" s="88">
        <f t="shared" si="307"/>
        <v>0</v>
      </c>
      <c r="AQ233" s="81" t="str">
        <f t="shared" si="308"/>
        <v/>
      </c>
      <c r="AS233" s="41" t="b">
        <f t="shared" si="309"/>
        <v>1</v>
      </c>
      <c r="AT233" s="38">
        <f t="shared" si="310"/>
        <v>0</v>
      </c>
      <c r="AU233" s="60">
        <f t="shared" si="311"/>
        <v>0</v>
      </c>
      <c r="AV233" s="41">
        <f t="shared" si="312"/>
        <v>0</v>
      </c>
      <c r="AW233" s="41" t="b">
        <f t="shared" si="313"/>
        <v>0</v>
      </c>
      <c r="AX233" t="str">
        <f t="shared" si="314"/>
        <v>+00</v>
      </c>
      <c r="AY233" t="str">
        <f t="shared" si="315"/>
        <v>+00</v>
      </c>
      <c r="BA233" s="47" t="b">
        <f t="shared" si="350"/>
        <v>1</v>
      </c>
      <c r="BB233" s="42" t="b">
        <f t="shared" si="351"/>
        <v>1</v>
      </c>
      <c r="BC233" s="42" t="b">
        <f t="shared" si="352"/>
        <v>0</v>
      </c>
      <c r="BD233" s="42" t="b">
        <f t="shared" si="353"/>
        <v>0</v>
      </c>
      <c r="BE233" s="70">
        <f t="shared" si="354"/>
        <v>0</v>
      </c>
      <c r="BF233" s="70">
        <f t="shared" si="355"/>
        <v>0</v>
      </c>
      <c r="BG233" s="34"/>
      <c r="BI233" s="47" t="b">
        <f t="shared" si="356"/>
        <v>1</v>
      </c>
      <c r="BJ233" s="47" t="b">
        <f t="shared" si="357"/>
        <v>1</v>
      </c>
      <c r="BK233" s="42" t="b">
        <f t="shared" si="358"/>
        <v>0</v>
      </c>
      <c r="BL233" s="42" t="b">
        <f t="shared" si="359"/>
        <v>0</v>
      </c>
      <c r="BM233" s="42">
        <f t="shared" si="360"/>
        <v>0</v>
      </c>
      <c r="BN233" s="42">
        <f t="shared" si="361"/>
        <v>0</v>
      </c>
      <c r="BP233" t="e">
        <f t="shared" si="362"/>
        <v>#N/A</v>
      </c>
      <c r="BQ233" t="e">
        <f t="shared" si="363"/>
        <v>#N/A</v>
      </c>
      <c r="BR233" t="e">
        <f t="shared" si="364"/>
        <v>#N/A</v>
      </c>
      <c r="BT233" s="60">
        <f t="shared" si="365"/>
        <v>0</v>
      </c>
      <c r="BU233" s="60">
        <f t="shared" si="366"/>
        <v>0</v>
      </c>
      <c r="BV233" s="60">
        <f t="shared" si="367"/>
        <v>0</v>
      </c>
      <c r="BW233" s="60">
        <f t="shared" si="368"/>
        <v>0</v>
      </c>
      <c r="BX233" s="60">
        <f t="shared" si="369"/>
        <v>0</v>
      </c>
      <c r="BY233" s="60">
        <f t="shared" si="370"/>
        <v>0</v>
      </c>
      <c r="BZ233" s="60">
        <f t="shared" si="371"/>
        <v>0</v>
      </c>
      <c r="CA233" s="60">
        <f t="shared" si="372"/>
        <v>0</v>
      </c>
      <c r="CB233" s="60" t="e">
        <f t="shared" si="320"/>
        <v>#N/A</v>
      </c>
      <c r="CC233" s="60">
        <f t="shared" si="321"/>
        <v>100000</v>
      </c>
      <c r="CD233" s="60" t="e">
        <f t="shared" si="322"/>
        <v>#N/A</v>
      </c>
      <c r="CE233" s="60">
        <f t="shared" si="323"/>
        <v>100000</v>
      </c>
      <c r="CF233" s="83" t="e">
        <f t="shared" si="373"/>
        <v>#N/A</v>
      </c>
      <c r="CG233" s="83">
        <f t="shared" si="374"/>
        <v>0</v>
      </c>
      <c r="CH233" s="83" t="e">
        <f t="shared" si="375"/>
        <v>#N/A</v>
      </c>
      <c r="CI233" s="83">
        <f t="shared" si="376"/>
        <v>0</v>
      </c>
      <c r="CJ233" s="86" t="e">
        <f t="shared" si="324"/>
        <v>#N/A</v>
      </c>
      <c r="CK233" s="82">
        <f t="shared" si="325"/>
        <v>5.3070370403969858E-3</v>
      </c>
      <c r="CL233" s="82" t="e">
        <f t="shared" si="326"/>
        <v>#N/A</v>
      </c>
      <c r="CM233" s="82">
        <f t="shared" si="327"/>
        <v>5.3070370403969858E-3</v>
      </c>
      <c r="CO233" s="149" t="str">
        <f>IF($I233&lt;&gt;"",IF(O233="User Specified",U233,INDEX('Refrigerant GWPs'!$G$2:$G$156,MATCH(O233,'Refrigerant GWPs'!$A$2:$A$156,0))),"")</f>
        <v/>
      </c>
      <c r="CP233" s="138" t="str">
        <f>IF($I233&lt;&gt;"",INDEX('Device Refrigerant Leakage'!$E$2:$E$42,MATCH($M233,'Device Refrigerant Leakage'!$B$2:$B$42,0)),"")</f>
        <v/>
      </c>
      <c r="CQ233" s="138" t="str">
        <f>IF($I233&lt;&gt;"",INDEX('Device Refrigerant Leakage'!$F$2:$F$42,MATCH($M233,'Device Refrigerant Leakage'!$B$2:$B$42,0)),"")</f>
        <v/>
      </c>
      <c r="CR233" s="145" t="str">
        <f>IF($I233&lt;&gt;"",INDEX('Device Refrigerant Leakage'!$G$2:$G$42,MATCH($M233,'Device Refrigerant Leakage'!$B$2:$B$42,0)),"")</f>
        <v/>
      </c>
      <c r="CS233" s="145" t="str">
        <f>IF($I233&lt;&gt;"",INDEX('Device Refrigerant Leakage'!$D$2:$D$42,MATCH($M233,'Device Refrigerant Leakage'!$B$2:$B$42,0))*CP233/2204.62*CO233,"")</f>
        <v/>
      </c>
      <c r="CT233" s="145" t="str">
        <f>IF($I233&lt;&gt;"",J233*(INDEX('Device Refrigerant Leakage'!$D$2:$D$42,MATCH($M233,'Device Refrigerant Leakage'!$B$2:$B$42,0))-(INDEX('Device Refrigerant Leakage'!$D$2:$D$42,MATCH($M233,'Device Refrigerant Leakage'!$B$2:$B$42,0)))*CR233*CP233)*CQ233/2204.62*CO233,"")</f>
        <v/>
      </c>
      <c r="CU233" s="135" t="str">
        <f>IF($I233&lt;&gt;"",J233*IF(W233&lt;&gt;"AR",(CS233*K233)+CT233,(CS233*AB233)+CT233*(AB233/INDEX('Device Refrigerant Leakage'!$C$2:$C$42,MATCH($M233,'Device Refrigerant Leakage'!$B$2:$B$42,0)))),"")</f>
        <v/>
      </c>
      <c r="CW233" s="135" t="str">
        <f>IF($I233&lt;&gt;"",IF(S233="User Specified",V233,INDEX('Refrigerant GWPs'!$G$2:$G$156,MATCH(S233,'Refrigerant GWPs'!$A$2:$A$157,0))),"")</f>
        <v/>
      </c>
      <c r="CX233" s="138" t="str">
        <f>IF($I233&lt;&gt;"",INDEX('Device Refrigerant Leakage'!$E$2:$E$42,MATCH($Q233,'Device Refrigerant Leakage'!$B$2:$B$42,0)),"")</f>
        <v/>
      </c>
      <c r="CY233" s="138" t="str">
        <f>IF($I233&lt;&gt;"",INDEX('Device Refrigerant Leakage'!$F$2:$F$42,MATCH($Q233,'Device Refrigerant Leakage'!$B$2:$B$42,0)),"")</f>
        <v/>
      </c>
      <c r="CZ233" s="145" t="str">
        <f>IF($I233&lt;&gt;"",INDEX('Device Refrigerant Leakage'!$G$2:$G$42,MATCH($Q233,'Device Refrigerant Leakage'!$B$2:$B$42,0)),"")</f>
        <v/>
      </c>
      <c r="DA233" s="145" t="str">
        <f>IF($I233&lt;&gt;"",J233*INDEX('Device Refrigerant Leakage'!$D$2:$D$42,MATCH($Q233,'Device Refrigerant Leakage'!$B$2:$B$42,0))*CX233/2204.62*CW233,"")</f>
        <v/>
      </c>
      <c r="DB233" s="145" t="str">
        <f>IF($I233&lt;&gt;"",J233*(INDEX('Device Refrigerant Leakage'!$D$2:$D$42,MATCH($Q233,'Device Refrigerant Leakage'!$B$2:$B$42,0))-(INDEX('Device Refrigerant Leakage'!$D$2:$D$42,MATCH($Q233,'Device Refrigerant Leakage'!$B$2:$B$42,0)))*CZ233*CX233)*CY233/2204.62*CW233,"")</f>
        <v/>
      </c>
      <c r="DC233" s="135" t="str">
        <f t="shared" si="348"/>
        <v/>
      </c>
      <c r="DE233" s="146" t="str">
        <f>IF(W233&lt;&gt;"AR","",IF(Y233="User Specified", AA233, INDEX('Refrigerant GWPs'!$G$2:$G$154,MATCH(Y233,'Refrigerant GWPs'!$A$2:$A$154,0))))</f>
        <v/>
      </c>
      <c r="DF233" s="146" t="str">
        <f>IF(W233&lt;&gt;"AR","",INDEX('Device Refrigerant Leakage'!$E$2:$E$42,MATCH(X233,'Device Refrigerant Leakage'!$B$2:$B$42,0)))</f>
        <v/>
      </c>
      <c r="DG233" s="146" t="str">
        <f>IF(W233&lt;&gt;"AR","",INDEX('Device Refrigerant Leakage'!$F$2:$F$42,MATCH(X233,'Device Refrigerant Leakage'!$B$2:$B$42,0)))</f>
        <v/>
      </c>
      <c r="DH233" s="146" t="str">
        <f>IF(W233&lt;&gt;"AR","",INDEX('Device Refrigerant Leakage'!$G$2:$G$42,MATCH(X233,'Device Refrigerant Leakage'!$B$2:$B$42,0)))</f>
        <v/>
      </c>
      <c r="DI233" s="146" t="str">
        <f>IF(W233&lt;&gt;"AR","",J233*INDEX('Device Refrigerant Leakage'!$D$2:$D$42,MATCH(X233,'Device Refrigerant Leakage'!$B$2:$B$42,0))*DF233/2204.62*DE233)</f>
        <v/>
      </c>
      <c r="DJ233" s="146" t="str">
        <f>IF(W233&lt;&gt;"AR","",J233*(INDEX('Device Refrigerant Leakage'!$D$2:$D$42,MATCH(X233,'Device Refrigerant Leakage'!$B$2:$B$42,0))-(INDEX('Device Refrigerant Leakage'!$D$2:$D$42,MATCH(X233,'Device Refrigerant Leakage'!$B$2:$B$42,0)))*DH233*DF233)*DG233/2204.62*DE233)</f>
        <v/>
      </c>
      <c r="DK233" s="146" t="str">
        <f>IF(W233&lt;&gt;"AR","",DI233*(K233-AB233)+'Fuel Sub Calcs-Deemed'!DJ233*((K233-AB233)/INDEX('Device Refrigerant Leakage'!$C$2:$C$42,MATCH('Fuel Sub Calcs-Deemed'!X233,'Device Refrigerant Leakage'!$B$2:$B$42,0))))</f>
        <v/>
      </c>
      <c r="DM233" s="56">
        <v>219</v>
      </c>
      <c r="DN233" s="67" t="e">
        <f t="shared" si="328"/>
        <v>#N/A</v>
      </c>
      <c r="DO233" s="45" t="e">
        <f t="shared" si="329"/>
        <v>#N/A</v>
      </c>
      <c r="DP233" s="67" t="e">
        <f t="shared" si="330"/>
        <v>#N/A</v>
      </c>
      <c r="DQ233" s="45" t="e">
        <f t="shared" si="331"/>
        <v>#N/A</v>
      </c>
      <c r="DR233" s="69" t="e">
        <f t="shared" si="332"/>
        <v>#N/A</v>
      </c>
      <c r="DS233" s="34"/>
      <c r="DT233" s="67" t="e">
        <f>((BX233*CJ233)+IF($W233=MAT_AR,(BZ233*CL233),0))*(1+Reference!$E$50+Reference!$E$51)</f>
        <v>#N/A</v>
      </c>
      <c r="DU233" s="67">
        <f>((BY233*CK233)+IF($W233=MAT_AR,(CA233*CM233),0))*(1+Reference!$G$50+Reference!$G$51)</f>
        <v>0</v>
      </c>
      <c r="DV233" s="67" t="e">
        <f t="shared" si="333"/>
        <v>#VALUE!</v>
      </c>
      <c r="DX233" s="56">
        <v>219</v>
      </c>
      <c r="DY233" s="67">
        <f t="shared" si="334"/>
        <v>0</v>
      </c>
      <c r="DZ233" s="45" t="e">
        <f>VLOOKUP($R233,Dropdown!$C$3:$D$4,2,FALSE)</f>
        <v>#N/A</v>
      </c>
      <c r="EA233" s="68">
        <f t="shared" si="335"/>
        <v>0</v>
      </c>
      <c r="EB233" s="68" t="str">
        <f t="shared" si="336"/>
        <v>N/A</v>
      </c>
      <c r="EC233" s="68">
        <f t="shared" si="337"/>
        <v>0</v>
      </c>
      <c r="ED233" s="68" t="str">
        <f t="shared" si="377"/>
        <v>N/A</v>
      </c>
      <c r="EF233" s="56">
        <v>219</v>
      </c>
      <c r="EG233" s="46">
        <f t="shared" si="339"/>
        <v>0</v>
      </c>
      <c r="EH233" s="68" t="e">
        <f t="shared" si="340"/>
        <v>#N/A</v>
      </c>
      <c r="EI233" s="68" t="e">
        <f t="shared" si="341"/>
        <v>#N/A</v>
      </c>
      <c r="EJ233" s="68" t="e">
        <f t="shared" si="342"/>
        <v>#N/A</v>
      </c>
      <c r="EK233" s="68" t="e">
        <f t="shared" si="343"/>
        <v>#N/A</v>
      </c>
      <c r="EL233" s="46">
        <f t="shared" si="344"/>
        <v>0</v>
      </c>
      <c r="EM233" s="46">
        <f t="shared" si="345"/>
        <v>0</v>
      </c>
    </row>
    <row r="234" spans="1:143">
      <c r="A234" s="89"/>
      <c r="B234" s="89"/>
      <c r="C234" s="89"/>
      <c r="D234" s="89"/>
      <c r="E234" s="89"/>
      <c r="F234" s="89"/>
      <c r="G234" s="34"/>
      <c r="H234" s="56">
        <f t="shared" si="346"/>
        <v>220</v>
      </c>
      <c r="I234" s="165"/>
      <c r="J234" s="163"/>
      <c r="K234" s="163"/>
      <c r="L234" s="164"/>
      <c r="M234" s="155"/>
      <c r="N234" s="155"/>
      <c r="O234" s="144"/>
      <c r="P234" s="159" t="str">
        <f>IFERROR(IF(O234&lt;&gt;"User Specified",IF(O234&lt;&gt;"", INDEX('Refrigerant GWPs'!$G$2:$G$154,MATCH(O234,'Refrigerant GWPs'!$A$2:$A$154,0)),""),U234),0)</f>
        <v/>
      </c>
      <c r="Q234" s="155"/>
      <c r="R234" s="155"/>
      <c r="S234" s="144"/>
      <c r="T234" s="159" t="str">
        <f>IF(S234&lt;&gt;"User Specified",IF(AND(S234&lt;&gt;"User Specified",S234&lt;&gt;""), INDEX('Refrigerant GWPs'!$G$2:$G$154,MATCH(S234,'Refrigerant GWPs'!$A$2:$A$154,0)),""),V234)</f>
        <v/>
      </c>
      <c r="U234" s="144"/>
      <c r="V234" s="144"/>
      <c r="W234" s="155"/>
      <c r="X234" s="155"/>
      <c r="Y234" s="144"/>
      <c r="Z234" s="159" t="str">
        <f>IF(AND(Y234&lt;&gt;"User Specified",Y234&lt;&gt;""), INDEX('Refrigerant GWPs'!$G$2:$G$154,MATCH(Y234,'Refrigerant GWPs'!$A$2:$A$154,0)),"")</f>
        <v/>
      </c>
      <c r="AA234" s="155"/>
      <c r="AB234" s="156"/>
      <c r="AC234" s="66"/>
      <c r="AD234" s="66"/>
      <c r="AE234" s="66"/>
      <c r="AF234" s="66"/>
      <c r="AG234" s="66"/>
      <c r="AH234" s="66"/>
      <c r="AI234" s="34"/>
      <c r="AJ234" s="88">
        <f t="shared" si="304"/>
        <v>0</v>
      </c>
      <c r="AK234" s="88">
        <f t="shared" si="305"/>
        <v>0</v>
      </c>
      <c r="AL234" s="88">
        <v>0</v>
      </c>
      <c r="AM234" s="88">
        <v>0</v>
      </c>
      <c r="AN234" s="81" t="str">
        <f t="shared" si="349"/>
        <v/>
      </c>
      <c r="AO234" s="88">
        <f t="shared" si="306"/>
        <v>0</v>
      </c>
      <c r="AP234" s="88">
        <f t="shared" si="307"/>
        <v>0</v>
      </c>
      <c r="AQ234" s="81" t="str">
        <f t="shared" si="308"/>
        <v/>
      </c>
      <c r="AS234" s="41" t="b">
        <f t="shared" si="309"/>
        <v>1</v>
      </c>
      <c r="AT234" s="38">
        <f t="shared" si="310"/>
        <v>0</v>
      </c>
      <c r="AU234" s="60">
        <f t="shared" si="311"/>
        <v>0</v>
      </c>
      <c r="AV234" s="41">
        <f t="shared" si="312"/>
        <v>0</v>
      </c>
      <c r="AW234" s="41" t="b">
        <f t="shared" si="313"/>
        <v>0</v>
      </c>
      <c r="AX234" t="str">
        <f t="shared" si="314"/>
        <v>+00</v>
      </c>
      <c r="AY234" t="str">
        <f t="shared" si="315"/>
        <v>+00</v>
      </c>
      <c r="BA234" s="47" t="b">
        <f t="shared" si="350"/>
        <v>1</v>
      </c>
      <c r="BB234" s="42" t="b">
        <f t="shared" si="351"/>
        <v>1</v>
      </c>
      <c r="BC234" s="42" t="b">
        <f t="shared" si="352"/>
        <v>0</v>
      </c>
      <c r="BD234" s="42" t="b">
        <f t="shared" si="353"/>
        <v>0</v>
      </c>
      <c r="BE234" s="70">
        <f t="shared" si="354"/>
        <v>0</v>
      </c>
      <c r="BF234" s="70">
        <f t="shared" si="355"/>
        <v>0</v>
      </c>
      <c r="BG234" s="34"/>
      <c r="BI234" s="47" t="b">
        <f t="shared" si="356"/>
        <v>1</v>
      </c>
      <c r="BJ234" s="47" t="b">
        <f t="shared" si="357"/>
        <v>1</v>
      </c>
      <c r="BK234" s="42" t="b">
        <f t="shared" si="358"/>
        <v>0</v>
      </c>
      <c r="BL234" s="42" t="b">
        <f t="shared" si="359"/>
        <v>0</v>
      </c>
      <c r="BM234" s="42">
        <f t="shared" si="360"/>
        <v>0</v>
      </c>
      <c r="BN234" s="42">
        <f t="shared" si="361"/>
        <v>0</v>
      </c>
      <c r="BP234" t="e">
        <f t="shared" si="362"/>
        <v>#N/A</v>
      </c>
      <c r="BQ234" t="e">
        <f t="shared" si="363"/>
        <v>#N/A</v>
      </c>
      <c r="BR234" t="e">
        <f t="shared" si="364"/>
        <v>#N/A</v>
      </c>
      <c r="BT234" s="60">
        <f t="shared" si="365"/>
        <v>0</v>
      </c>
      <c r="BU234" s="60">
        <f t="shared" si="366"/>
        <v>0</v>
      </c>
      <c r="BV234" s="60">
        <f t="shared" si="367"/>
        <v>0</v>
      </c>
      <c r="BW234" s="60">
        <f t="shared" si="368"/>
        <v>0</v>
      </c>
      <c r="BX234" s="60">
        <f t="shared" si="369"/>
        <v>0</v>
      </c>
      <c r="BY234" s="60">
        <f t="shared" si="370"/>
        <v>0</v>
      </c>
      <c r="BZ234" s="60">
        <f t="shared" si="371"/>
        <v>0</v>
      </c>
      <c r="CA234" s="60">
        <f t="shared" si="372"/>
        <v>0</v>
      </c>
      <c r="CB234" s="60" t="e">
        <f t="shared" si="320"/>
        <v>#N/A</v>
      </c>
      <c r="CC234" s="60">
        <f t="shared" si="321"/>
        <v>100000</v>
      </c>
      <c r="CD234" s="60" t="e">
        <f t="shared" si="322"/>
        <v>#N/A</v>
      </c>
      <c r="CE234" s="60">
        <f t="shared" si="323"/>
        <v>100000</v>
      </c>
      <c r="CF234" s="83" t="e">
        <f t="shared" si="373"/>
        <v>#N/A</v>
      </c>
      <c r="CG234" s="83">
        <f t="shared" si="374"/>
        <v>0</v>
      </c>
      <c r="CH234" s="83" t="e">
        <f t="shared" si="375"/>
        <v>#N/A</v>
      </c>
      <c r="CI234" s="83">
        <f t="shared" si="376"/>
        <v>0</v>
      </c>
      <c r="CJ234" s="86" t="e">
        <f t="shared" si="324"/>
        <v>#N/A</v>
      </c>
      <c r="CK234" s="82">
        <f t="shared" si="325"/>
        <v>5.3070370403969858E-3</v>
      </c>
      <c r="CL234" s="82" t="e">
        <f t="shared" si="326"/>
        <v>#N/A</v>
      </c>
      <c r="CM234" s="82">
        <f t="shared" si="327"/>
        <v>5.3070370403969858E-3</v>
      </c>
      <c r="CO234" s="149" t="str">
        <f>IF($I234&lt;&gt;"",IF(O234="User Specified",U234,INDEX('Refrigerant GWPs'!$G$2:$G$156,MATCH(O234,'Refrigerant GWPs'!$A$2:$A$156,0))),"")</f>
        <v/>
      </c>
      <c r="CP234" s="138" t="str">
        <f>IF($I234&lt;&gt;"",INDEX('Device Refrigerant Leakage'!$E$2:$E$42,MATCH($M234,'Device Refrigerant Leakage'!$B$2:$B$42,0)),"")</f>
        <v/>
      </c>
      <c r="CQ234" s="138" t="str">
        <f>IF($I234&lt;&gt;"",INDEX('Device Refrigerant Leakage'!$F$2:$F$42,MATCH($M234,'Device Refrigerant Leakage'!$B$2:$B$42,0)),"")</f>
        <v/>
      </c>
      <c r="CR234" s="145" t="str">
        <f>IF($I234&lt;&gt;"",INDEX('Device Refrigerant Leakage'!$G$2:$G$42,MATCH($M234,'Device Refrigerant Leakage'!$B$2:$B$42,0)),"")</f>
        <v/>
      </c>
      <c r="CS234" s="145" t="str">
        <f>IF($I234&lt;&gt;"",INDEX('Device Refrigerant Leakage'!$D$2:$D$42,MATCH($M234,'Device Refrigerant Leakage'!$B$2:$B$42,0))*CP234/2204.62*CO234,"")</f>
        <v/>
      </c>
      <c r="CT234" s="145" t="str">
        <f>IF($I234&lt;&gt;"",J234*(INDEX('Device Refrigerant Leakage'!$D$2:$D$42,MATCH($M234,'Device Refrigerant Leakage'!$B$2:$B$42,0))-(INDEX('Device Refrigerant Leakage'!$D$2:$D$42,MATCH($M234,'Device Refrigerant Leakage'!$B$2:$B$42,0)))*CR234*CP234)*CQ234/2204.62*CO234,"")</f>
        <v/>
      </c>
      <c r="CU234" s="135" t="str">
        <f>IF($I234&lt;&gt;"",J234*IF(W234&lt;&gt;"AR",(CS234*K234)+CT234,(CS234*AB234)+CT234*(AB234/INDEX('Device Refrigerant Leakage'!$C$2:$C$42,MATCH($M234,'Device Refrigerant Leakage'!$B$2:$B$42,0)))),"")</f>
        <v/>
      </c>
      <c r="CW234" s="135" t="str">
        <f>IF($I234&lt;&gt;"",IF(S234="User Specified",V234,INDEX('Refrigerant GWPs'!$G$2:$G$156,MATCH(S234,'Refrigerant GWPs'!$A$2:$A$157,0))),"")</f>
        <v/>
      </c>
      <c r="CX234" s="138" t="str">
        <f>IF($I234&lt;&gt;"",INDEX('Device Refrigerant Leakage'!$E$2:$E$42,MATCH($Q234,'Device Refrigerant Leakage'!$B$2:$B$42,0)),"")</f>
        <v/>
      </c>
      <c r="CY234" s="138" t="str">
        <f>IF($I234&lt;&gt;"",INDEX('Device Refrigerant Leakage'!$F$2:$F$42,MATCH($Q234,'Device Refrigerant Leakage'!$B$2:$B$42,0)),"")</f>
        <v/>
      </c>
      <c r="CZ234" s="145" t="str">
        <f>IF($I234&lt;&gt;"",INDEX('Device Refrigerant Leakage'!$G$2:$G$42,MATCH($Q234,'Device Refrigerant Leakage'!$B$2:$B$42,0)),"")</f>
        <v/>
      </c>
      <c r="DA234" s="145" t="str">
        <f>IF($I234&lt;&gt;"",J234*INDEX('Device Refrigerant Leakage'!$D$2:$D$42,MATCH($Q234,'Device Refrigerant Leakage'!$B$2:$B$42,0))*CX234/2204.62*CW234,"")</f>
        <v/>
      </c>
      <c r="DB234" s="145" t="str">
        <f>IF($I234&lt;&gt;"",J234*(INDEX('Device Refrigerant Leakage'!$D$2:$D$42,MATCH($Q234,'Device Refrigerant Leakage'!$B$2:$B$42,0))-(INDEX('Device Refrigerant Leakage'!$D$2:$D$42,MATCH($Q234,'Device Refrigerant Leakage'!$B$2:$B$42,0)))*CZ234*CX234)*CY234/2204.62*CW234,"")</f>
        <v/>
      </c>
      <c r="DC234" s="135" t="str">
        <f t="shared" si="348"/>
        <v/>
      </c>
      <c r="DE234" s="146" t="str">
        <f>IF(W234&lt;&gt;"AR","",IF(Y234="User Specified", AA234, INDEX('Refrigerant GWPs'!$G$2:$G$154,MATCH(Y234,'Refrigerant GWPs'!$A$2:$A$154,0))))</f>
        <v/>
      </c>
      <c r="DF234" s="146" t="str">
        <f>IF(W234&lt;&gt;"AR","",INDEX('Device Refrigerant Leakage'!$E$2:$E$42,MATCH(X234,'Device Refrigerant Leakage'!$B$2:$B$42,0)))</f>
        <v/>
      </c>
      <c r="DG234" s="146" t="str">
        <f>IF(W234&lt;&gt;"AR","",INDEX('Device Refrigerant Leakage'!$F$2:$F$42,MATCH(X234,'Device Refrigerant Leakage'!$B$2:$B$42,0)))</f>
        <v/>
      </c>
      <c r="DH234" s="146" t="str">
        <f>IF(W234&lt;&gt;"AR","",INDEX('Device Refrigerant Leakage'!$G$2:$G$42,MATCH(X234,'Device Refrigerant Leakage'!$B$2:$B$42,0)))</f>
        <v/>
      </c>
      <c r="DI234" s="146" t="str">
        <f>IF(W234&lt;&gt;"AR","",J234*INDEX('Device Refrigerant Leakage'!$D$2:$D$42,MATCH(X234,'Device Refrigerant Leakage'!$B$2:$B$42,0))*DF234/2204.62*DE234)</f>
        <v/>
      </c>
      <c r="DJ234" s="146" t="str">
        <f>IF(W234&lt;&gt;"AR","",J234*(INDEX('Device Refrigerant Leakage'!$D$2:$D$42,MATCH(X234,'Device Refrigerant Leakage'!$B$2:$B$42,0))-(INDEX('Device Refrigerant Leakage'!$D$2:$D$42,MATCH(X234,'Device Refrigerant Leakage'!$B$2:$B$42,0)))*DH234*DF234)*DG234/2204.62*DE234)</f>
        <v/>
      </c>
      <c r="DK234" s="146" t="str">
        <f>IF(W234&lt;&gt;"AR","",DI234*(K234-AB234)+'Fuel Sub Calcs-Deemed'!DJ234*((K234-AB234)/INDEX('Device Refrigerant Leakage'!$C$2:$C$42,MATCH('Fuel Sub Calcs-Deemed'!X234,'Device Refrigerant Leakage'!$B$2:$B$42,0))))</f>
        <v/>
      </c>
      <c r="DM234" s="56">
        <v>220</v>
      </c>
      <c r="DN234" s="67" t="e">
        <f t="shared" si="328"/>
        <v>#N/A</v>
      </c>
      <c r="DO234" s="45" t="e">
        <f t="shared" si="329"/>
        <v>#N/A</v>
      </c>
      <c r="DP234" s="67" t="e">
        <f t="shared" si="330"/>
        <v>#N/A</v>
      </c>
      <c r="DQ234" s="45" t="e">
        <f t="shared" si="331"/>
        <v>#N/A</v>
      </c>
      <c r="DR234" s="69" t="e">
        <f t="shared" si="332"/>
        <v>#N/A</v>
      </c>
      <c r="DS234" s="34"/>
      <c r="DT234" s="67" t="e">
        <f>((BX234*CJ234)+IF($W234=MAT_AR,(BZ234*CL234),0))*(1+Reference!$E$50+Reference!$E$51)</f>
        <v>#N/A</v>
      </c>
      <c r="DU234" s="67">
        <f>((BY234*CK234)+IF($W234=MAT_AR,(CA234*CM234),0))*(1+Reference!$G$50+Reference!$G$51)</f>
        <v>0</v>
      </c>
      <c r="DV234" s="67" t="e">
        <f t="shared" si="333"/>
        <v>#VALUE!</v>
      </c>
      <c r="DX234" s="56">
        <v>220</v>
      </c>
      <c r="DY234" s="67">
        <f t="shared" si="334"/>
        <v>0</v>
      </c>
      <c r="DZ234" s="45" t="e">
        <f>VLOOKUP($R234,Dropdown!$C$3:$D$4,2,FALSE)</f>
        <v>#N/A</v>
      </c>
      <c r="EA234" s="68">
        <f t="shared" si="335"/>
        <v>0</v>
      </c>
      <c r="EB234" s="68" t="str">
        <f t="shared" si="336"/>
        <v>N/A</v>
      </c>
      <c r="EC234" s="68">
        <f t="shared" si="337"/>
        <v>0</v>
      </c>
      <c r="ED234" s="68" t="str">
        <f t="shared" si="377"/>
        <v>N/A</v>
      </c>
      <c r="EF234" s="56">
        <v>220</v>
      </c>
      <c r="EG234" s="46">
        <f t="shared" si="339"/>
        <v>0</v>
      </c>
      <c r="EH234" s="68" t="e">
        <f t="shared" si="340"/>
        <v>#N/A</v>
      </c>
      <c r="EI234" s="68" t="e">
        <f t="shared" si="341"/>
        <v>#N/A</v>
      </c>
      <c r="EJ234" s="68" t="e">
        <f t="shared" si="342"/>
        <v>#N/A</v>
      </c>
      <c r="EK234" s="68" t="e">
        <f t="shared" si="343"/>
        <v>#N/A</v>
      </c>
      <c r="EL234" s="46">
        <f t="shared" si="344"/>
        <v>0</v>
      </c>
      <c r="EM234" s="46">
        <f t="shared" si="345"/>
        <v>0</v>
      </c>
    </row>
    <row r="235" spans="1:143">
      <c r="A235" s="89"/>
      <c r="B235" s="89"/>
      <c r="C235" s="89"/>
      <c r="D235" s="89"/>
      <c r="E235" s="89"/>
      <c r="F235" s="89"/>
      <c r="G235" s="34"/>
      <c r="H235" s="56">
        <f t="shared" si="346"/>
        <v>221</v>
      </c>
      <c r="I235" s="165"/>
      <c r="J235" s="163"/>
      <c r="K235" s="163"/>
      <c r="L235" s="164"/>
      <c r="M235" s="155"/>
      <c r="N235" s="155"/>
      <c r="O235" s="144"/>
      <c r="P235" s="159" t="str">
        <f>IFERROR(IF(O235&lt;&gt;"User Specified",IF(O235&lt;&gt;"", INDEX('Refrigerant GWPs'!$G$2:$G$154,MATCH(O235,'Refrigerant GWPs'!$A$2:$A$154,0)),""),U235),0)</f>
        <v/>
      </c>
      <c r="Q235" s="155"/>
      <c r="R235" s="155"/>
      <c r="S235" s="144"/>
      <c r="T235" s="159" t="str">
        <f>IF(S235&lt;&gt;"User Specified",IF(AND(S235&lt;&gt;"User Specified",S235&lt;&gt;""), INDEX('Refrigerant GWPs'!$G$2:$G$154,MATCH(S235,'Refrigerant GWPs'!$A$2:$A$154,0)),""),V235)</f>
        <v/>
      </c>
      <c r="U235" s="144"/>
      <c r="V235" s="144"/>
      <c r="W235" s="155"/>
      <c r="X235" s="155"/>
      <c r="Y235" s="144"/>
      <c r="Z235" s="159" t="str">
        <f>IF(AND(Y235&lt;&gt;"User Specified",Y235&lt;&gt;""), INDEX('Refrigerant GWPs'!$G$2:$G$154,MATCH(Y235,'Refrigerant GWPs'!$A$2:$A$154,0)),"")</f>
        <v/>
      </c>
      <c r="AA235" s="155"/>
      <c r="AB235" s="156"/>
      <c r="AC235" s="66"/>
      <c r="AD235" s="66"/>
      <c r="AE235" s="66"/>
      <c r="AF235" s="66"/>
      <c r="AG235" s="66"/>
      <c r="AH235" s="66"/>
      <c r="AI235" s="34"/>
      <c r="AJ235" s="88">
        <f t="shared" si="304"/>
        <v>0</v>
      </c>
      <c r="AK235" s="88">
        <f t="shared" si="305"/>
        <v>0</v>
      </c>
      <c r="AL235" s="88">
        <v>0</v>
      </c>
      <c r="AM235" s="88">
        <v>0</v>
      </c>
      <c r="AN235" s="81" t="str">
        <f t="shared" si="349"/>
        <v/>
      </c>
      <c r="AO235" s="88">
        <f t="shared" si="306"/>
        <v>0</v>
      </c>
      <c r="AP235" s="88">
        <f t="shared" si="307"/>
        <v>0</v>
      </c>
      <c r="AQ235" s="81" t="str">
        <f t="shared" si="308"/>
        <v/>
      </c>
      <c r="AS235" s="41" t="b">
        <f t="shared" si="309"/>
        <v>1</v>
      </c>
      <c r="AT235" s="38">
        <f t="shared" si="310"/>
        <v>0</v>
      </c>
      <c r="AU235" s="60">
        <f t="shared" si="311"/>
        <v>0</v>
      </c>
      <c r="AV235" s="41">
        <f t="shared" si="312"/>
        <v>0</v>
      </c>
      <c r="AW235" s="41" t="b">
        <f t="shared" si="313"/>
        <v>0</v>
      </c>
      <c r="AX235" t="str">
        <f t="shared" si="314"/>
        <v>+00</v>
      </c>
      <c r="AY235" t="str">
        <f t="shared" si="315"/>
        <v>+00</v>
      </c>
      <c r="BA235" s="47" t="b">
        <f t="shared" si="350"/>
        <v>1</v>
      </c>
      <c r="BB235" s="42" t="b">
        <f t="shared" si="351"/>
        <v>1</v>
      </c>
      <c r="BC235" s="42" t="b">
        <f t="shared" si="352"/>
        <v>0</v>
      </c>
      <c r="BD235" s="42" t="b">
        <f t="shared" si="353"/>
        <v>0</v>
      </c>
      <c r="BE235" s="70">
        <f t="shared" si="354"/>
        <v>0</v>
      </c>
      <c r="BF235" s="70">
        <f t="shared" si="355"/>
        <v>0</v>
      </c>
      <c r="BG235" s="34"/>
      <c r="BI235" s="47" t="b">
        <f t="shared" si="356"/>
        <v>1</v>
      </c>
      <c r="BJ235" s="47" t="b">
        <f t="shared" si="357"/>
        <v>1</v>
      </c>
      <c r="BK235" s="42" t="b">
        <f t="shared" si="358"/>
        <v>0</v>
      </c>
      <c r="BL235" s="42" t="b">
        <f t="shared" si="359"/>
        <v>0</v>
      </c>
      <c r="BM235" s="42">
        <f t="shared" si="360"/>
        <v>0</v>
      </c>
      <c r="BN235" s="42">
        <f t="shared" si="361"/>
        <v>0</v>
      </c>
      <c r="BP235" t="e">
        <f t="shared" si="362"/>
        <v>#N/A</v>
      </c>
      <c r="BQ235" t="e">
        <f t="shared" si="363"/>
        <v>#N/A</v>
      </c>
      <c r="BR235" t="e">
        <f t="shared" si="364"/>
        <v>#N/A</v>
      </c>
      <c r="BT235" s="60">
        <f t="shared" si="365"/>
        <v>0</v>
      </c>
      <c r="BU235" s="60">
        <f t="shared" si="366"/>
        <v>0</v>
      </c>
      <c r="BV235" s="60">
        <f t="shared" si="367"/>
        <v>0</v>
      </c>
      <c r="BW235" s="60">
        <f t="shared" si="368"/>
        <v>0</v>
      </c>
      <c r="BX235" s="60">
        <f t="shared" si="369"/>
        <v>0</v>
      </c>
      <c r="BY235" s="60">
        <f t="shared" si="370"/>
        <v>0</v>
      </c>
      <c r="BZ235" s="60">
        <f t="shared" si="371"/>
        <v>0</v>
      </c>
      <c r="CA235" s="60">
        <f t="shared" si="372"/>
        <v>0</v>
      </c>
      <c r="CB235" s="60" t="e">
        <f t="shared" si="320"/>
        <v>#N/A</v>
      </c>
      <c r="CC235" s="60">
        <f t="shared" si="321"/>
        <v>100000</v>
      </c>
      <c r="CD235" s="60" t="e">
        <f t="shared" si="322"/>
        <v>#N/A</v>
      </c>
      <c r="CE235" s="60">
        <f t="shared" si="323"/>
        <v>100000</v>
      </c>
      <c r="CF235" s="83" t="e">
        <f t="shared" si="373"/>
        <v>#N/A</v>
      </c>
      <c r="CG235" s="83">
        <f t="shared" si="374"/>
        <v>0</v>
      </c>
      <c r="CH235" s="83" t="e">
        <f t="shared" si="375"/>
        <v>#N/A</v>
      </c>
      <c r="CI235" s="83">
        <f t="shared" si="376"/>
        <v>0</v>
      </c>
      <c r="CJ235" s="86" t="e">
        <f t="shared" si="324"/>
        <v>#N/A</v>
      </c>
      <c r="CK235" s="82">
        <f t="shared" si="325"/>
        <v>5.3070370403969858E-3</v>
      </c>
      <c r="CL235" s="82" t="e">
        <f t="shared" si="326"/>
        <v>#N/A</v>
      </c>
      <c r="CM235" s="82">
        <f t="shared" si="327"/>
        <v>5.3070370403969858E-3</v>
      </c>
      <c r="CO235" s="149" t="str">
        <f>IF($I235&lt;&gt;"",IF(O235="User Specified",U235,INDEX('Refrigerant GWPs'!$G$2:$G$156,MATCH(O235,'Refrigerant GWPs'!$A$2:$A$156,0))),"")</f>
        <v/>
      </c>
      <c r="CP235" s="138" t="str">
        <f>IF($I235&lt;&gt;"",INDEX('Device Refrigerant Leakage'!$E$2:$E$42,MATCH($M235,'Device Refrigerant Leakage'!$B$2:$B$42,0)),"")</f>
        <v/>
      </c>
      <c r="CQ235" s="138" t="str">
        <f>IF($I235&lt;&gt;"",INDEX('Device Refrigerant Leakage'!$F$2:$F$42,MATCH($M235,'Device Refrigerant Leakage'!$B$2:$B$42,0)),"")</f>
        <v/>
      </c>
      <c r="CR235" s="145" t="str">
        <f>IF($I235&lt;&gt;"",INDEX('Device Refrigerant Leakage'!$G$2:$G$42,MATCH($M235,'Device Refrigerant Leakage'!$B$2:$B$42,0)),"")</f>
        <v/>
      </c>
      <c r="CS235" s="145" t="str">
        <f>IF($I235&lt;&gt;"",INDEX('Device Refrigerant Leakage'!$D$2:$D$42,MATCH($M235,'Device Refrigerant Leakage'!$B$2:$B$42,0))*CP235/2204.62*CO235,"")</f>
        <v/>
      </c>
      <c r="CT235" s="145" t="str">
        <f>IF($I235&lt;&gt;"",J235*(INDEX('Device Refrigerant Leakage'!$D$2:$D$42,MATCH($M235,'Device Refrigerant Leakage'!$B$2:$B$42,0))-(INDEX('Device Refrigerant Leakage'!$D$2:$D$42,MATCH($M235,'Device Refrigerant Leakage'!$B$2:$B$42,0)))*CR235*CP235)*CQ235/2204.62*CO235,"")</f>
        <v/>
      </c>
      <c r="CU235" s="135" t="str">
        <f>IF($I235&lt;&gt;"",J235*IF(W235&lt;&gt;"AR",(CS235*K235)+CT235,(CS235*AB235)+CT235*(AB235/INDEX('Device Refrigerant Leakage'!$C$2:$C$42,MATCH($M235,'Device Refrigerant Leakage'!$B$2:$B$42,0)))),"")</f>
        <v/>
      </c>
      <c r="CW235" s="135" t="str">
        <f>IF($I235&lt;&gt;"",IF(S235="User Specified",V235,INDEX('Refrigerant GWPs'!$G$2:$G$156,MATCH(S235,'Refrigerant GWPs'!$A$2:$A$157,0))),"")</f>
        <v/>
      </c>
      <c r="CX235" s="138" t="str">
        <f>IF($I235&lt;&gt;"",INDEX('Device Refrigerant Leakage'!$E$2:$E$42,MATCH($Q235,'Device Refrigerant Leakage'!$B$2:$B$42,0)),"")</f>
        <v/>
      </c>
      <c r="CY235" s="138" t="str">
        <f>IF($I235&lt;&gt;"",INDEX('Device Refrigerant Leakage'!$F$2:$F$42,MATCH($Q235,'Device Refrigerant Leakage'!$B$2:$B$42,0)),"")</f>
        <v/>
      </c>
      <c r="CZ235" s="145" t="str">
        <f>IF($I235&lt;&gt;"",INDEX('Device Refrigerant Leakage'!$G$2:$G$42,MATCH($Q235,'Device Refrigerant Leakage'!$B$2:$B$42,0)),"")</f>
        <v/>
      </c>
      <c r="DA235" s="145" t="str">
        <f>IF($I235&lt;&gt;"",J235*INDEX('Device Refrigerant Leakage'!$D$2:$D$42,MATCH($Q235,'Device Refrigerant Leakage'!$B$2:$B$42,0))*CX235/2204.62*CW235,"")</f>
        <v/>
      </c>
      <c r="DB235" s="145" t="str">
        <f>IF($I235&lt;&gt;"",J235*(INDEX('Device Refrigerant Leakage'!$D$2:$D$42,MATCH($Q235,'Device Refrigerant Leakage'!$B$2:$B$42,0))-(INDEX('Device Refrigerant Leakage'!$D$2:$D$42,MATCH($Q235,'Device Refrigerant Leakage'!$B$2:$B$42,0)))*CZ235*CX235)*CY235/2204.62*CW235,"")</f>
        <v/>
      </c>
      <c r="DC235" s="135" t="str">
        <f t="shared" si="348"/>
        <v/>
      </c>
      <c r="DE235" s="146" t="str">
        <f>IF(W235&lt;&gt;"AR","",IF(Y235="User Specified", AA235, INDEX('Refrigerant GWPs'!$G$2:$G$154,MATCH(Y235,'Refrigerant GWPs'!$A$2:$A$154,0))))</f>
        <v/>
      </c>
      <c r="DF235" s="146" t="str">
        <f>IF(W235&lt;&gt;"AR","",INDEX('Device Refrigerant Leakage'!$E$2:$E$42,MATCH(X235,'Device Refrigerant Leakage'!$B$2:$B$42,0)))</f>
        <v/>
      </c>
      <c r="DG235" s="146" t="str">
        <f>IF(W235&lt;&gt;"AR","",INDEX('Device Refrigerant Leakage'!$F$2:$F$42,MATCH(X235,'Device Refrigerant Leakage'!$B$2:$B$42,0)))</f>
        <v/>
      </c>
      <c r="DH235" s="146" t="str">
        <f>IF(W235&lt;&gt;"AR","",INDEX('Device Refrigerant Leakage'!$G$2:$G$42,MATCH(X235,'Device Refrigerant Leakage'!$B$2:$B$42,0)))</f>
        <v/>
      </c>
      <c r="DI235" s="146" t="str">
        <f>IF(W235&lt;&gt;"AR","",J235*INDEX('Device Refrigerant Leakage'!$D$2:$D$42,MATCH(X235,'Device Refrigerant Leakage'!$B$2:$B$42,0))*DF235/2204.62*DE235)</f>
        <v/>
      </c>
      <c r="DJ235" s="146" t="str">
        <f>IF(W235&lt;&gt;"AR","",J235*(INDEX('Device Refrigerant Leakage'!$D$2:$D$42,MATCH(X235,'Device Refrigerant Leakage'!$B$2:$B$42,0))-(INDEX('Device Refrigerant Leakage'!$D$2:$D$42,MATCH(X235,'Device Refrigerant Leakage'!$B$2:$B$42,0)))*DH235*DF235)*DG235/2204.62*DE235)</f>
        <v/>
      </c>
      <c r="DK235" s="146" t="str">
        <f>IF(W235&lt;&gt;"AR","",DI235*(K235-AB235)+'Fuel Sub Calcs-Deemed'!DJ235*((K235-AB235)/INDEX('Device Refrigerant Leakage'!$C$2:$C$42,MATCH('Fuel Sub Calcs-Deemed'!X235,'Device Refrigerant Leakage'!$B$2:$B$42,0))))</f>
        <v/>
      </c>
      <c r="DM235" s="56">
        <v>221</v>
      </c>
      <c r="DN235" s="67" t="e">
        <f t="shared" si="328"/>
        <v>#N/A</v>
      </c>
      <c r="DO235" s="45" t="e">
        <f t="shared" si="329"/>
        <v>#N/A</v>
      </c>
      <c r="DP235" s="67" t="e">
        <f t="shared" si="330"/>
        <v>#N/A</v>
      </c>
      <c r="DQ235" s="45" t="e">
        <f t="shared" si="331"/>
        <v>#N/A</v>
      </c>
      <c r="DR235" s="69" t="e">
        <f t="shared" si="332"/>
        <v>#N/A</v>
      </c>
      <c r="DS235" s="34"/>
      <c r="DT235" s="67" t="e">
        <f>((BX235*CJ235)+IF($W235=MAT_AR,(BZ235*CL235),0))*(1+Reference!$E$50+Reference!$E$51)</f>
        <v>#N/A</v>
      </c>
      <c r="DU235" s="67">
        <f>((BY235*CK235)+IF($W235=MAT_AR,(CA235*CM235),0))*(1+Reference!$G$50+Reference!$G$51)</f>
        <v>0</v>
      </c>
      <c r="DV235" s="67" t="e">
        <f t="shared" si="333"/>
        <v>#VALUE!</v>
      </c>
      <c r="DX235" s="56">
        <v>221</v>
      </c>
      <c r="DY235" s="67">
        <f t="shared" si="334"/>
        <v>0</v>
      </c>
      <c r="DZ235" s="45" t="e">
        <f>VLOOKUP($R235,Dropdown!$C$3:$D$4,2,FALSE)</f>
        <v>#N/A</v>
      </c>
      <c r="EA235" s="68">
        <f t="shared" si="335"/>
        <v>0</v>
      </c>
      <c r="EB235" s="68" t="str">
        <f t="shared" si="336"/>
        <v>N/A</v>
      </c>
      <c r="EC235" s="68">
        <f t="shared" si="337"/>
        <v>0</v>
      </c>
      <c r="ED235" s="68" t="str">
        <f t="shared" si="377"/>
        <v>N/A</v>
      </c>
      <c r="EF235" s="56">
        <v>221</v>
      </c>
      <c r="EG235" s="46">
        <f t="shared" si="339"/>
        <v>0</v>
      </c>
      <c r="EH235" s="68" t="e">
        <f t="shared" si="340"/>
        <v>#N/A</v>
      </c>
      <c r="EI235" s="68" t="e">
        <f t="shared" si="341"/>
        <v>#N/A</v>
      </c>
      <c r="EJ235" s="68" t="e">
        <f t="shared" si="342"/>
        <v>#N/A</v>
      </c>
      <c r="EK235" s="68" t="e">
        <f t="shared" si="343"/>
        <v>#N/A</v>
      </c>
      <c r="EL235" s="46">
        <f t="shared" si="344"/>
        <v>0</v>
      </c>
      <c r="EM235" s="46">
        <f t="shared" si="345"/>
        <v>0</v>
      </c>
    </row>
    <row r="236" spans="1:143">
      <c r="A236" s="89"/>
      <c r="B236" s="89"/>
      <c r="C236" s="89"/>
      <c r="D236" s="89"/>
      <c r="E236" s="89"/>
      <c r="F236" s="89"/>
      <c r="G236" s="34"/>
      <c r="H236" s="56">
        <f t="shared" si="346"/>
        <v>222</v>
      </c>
      <c r="I236" s="165"/>
      <c r="J236" s="163"/>
      <c r="K236" s="163"/>
      <c r="L236" s="164"/>
      <c r="M236" s="155"/>
      <c r="N236" s="155"/>
      <c r="O236" s="144"/>
      <c r="P236" s="159" t="str">
        <f>IFERROR(IF(O236&lt;&gt;"User Specified",IF(O236&lt;&gt;"", INDEX('Refrigerant GWPs'!$G$2:$G$154,MATCH(O236,'Refrigerant GWPs'!$A$2:$A$154,0)),""),U236),0)</f>
        <v/>
      </c>
      <c r="Q236" s="155"/>
      <c r="R236" s="155"/>
      <c r="S236" s="144"/>
      <c r="T236" s="159" t="str">
        <f>IF(S236&lt;&gt;"User Specified",IF(AND(S236&lt;&gt;"User Specified",S236&lt;&gt;""), INDEX('Refrigerant GWPs'!$G$2:$G$154,MATCH(S236,'Refrigerant GWPs'!$A$2:$A$154,0)),""),V236)</f>
        <v/>
      </c>
      <c r="U236" s="144"/>
      <c r="V236" s="144"/>
      <c r="W236" s="155"/>
      <c r="X236" s="155"/>
      <c r="Y236" s="144"/>
      <c r="Z236" s="159" t="str">
        <f>IF(AND(Y236&lt;&gt;"User Specified",Y236&lt;&gt;""), INDEX('Refrigerant GWPs'!$G$2:$G$154,MATCH(Y236,'Refrigerant GWPs'!$A$2:$A$154,0)),"")</f>
        <v/>
      </c>
      <c r="AA236" s="155"/>
      <c r="AB236" s="156"/>
      <c r="AC236" s="66"/>
      <c r="AD236" s="66"/>
      <c r="AE236" s="66"/>
      <c r="AF236" s="66"/>
      <c r="AG236" s="66"/>
      <c r="AH236" s="66"/>
      <c r="AI236" s="34"/>
      <c r="AJ236" s="88">
        <f t="shared" si="304"/>
        <v>0</v>
      </c>
      <c r="AK236" s="88">
        <f t="shared" si="305"/>
        <v>0</v>
      </c>
      <c r="AL236" s="88">
        <v>0</v>
      </c>
      <c r="AM236" s="88">
        <v>0</v>
      </c>
      <c r="AN236" s="81" t="str">
        <f t="shared" si="349"/>
        <v/>
      </c>
      <c r="AO236" s="88">
        <f t="shared" si="306"/>
        <v>0</v>
      </c>
      <c r="AP236" s="88">
        <f t="shared" si="307"/>
        <v>0</v>
      </c>
      <c r="AQ236" s="81" t="str">
        <f t="shared" si="308"/>
        <v/>
      </c>
      <c r="AS236" s="41" t="b">
        <f t="shared" si="309"/>
        <v>1</v>
      </c>
      <c r="AT236" s="38">
        <f t="shared" si="310"/>
        <v>0</v>
      </c>
      <c r="AU236" s="60">
        <f t="shared" si="311"/>
        <v>0</v>
      </c>
      <c r="AV236" s="41">
        <f t="shared" si="312"/>
        <v>0</v>
      </c>
      <c r="AW236" s="41" t="b">
        <f t="shared" si="313"/>
        <v>0</v>
      </c>
      <c r="AX236" t="str">
        <f t="shared" si="314"/>
        <v>+00</v>
      </c>
      <c r="AY236" t="str">
        <f t="shared" si="315"/>
        <v>+00</v>
      </c>
      <c r="BA236" s="47" t="b">
        <f t="shared" si="350"/>
        <v>1</v>
      </c>
      <c r="BB236" s="42" t="b">
        <f t="shared" si="351"/>
        <v>1</v>
      </c>
      <c r="BC236" s="42" t="b">
        <f t="shared" si="352"/>
        <v>0</v>
      </c>
      <c r="BD236" s="42" t="b">
        <f t="shared" si="353"/>
        <v>0</v>
      </c>
      <c r="BE236" s="70">
        <f t="shared" si="354"/>
        <v>0</v>
      </c>
      <c r="BF236" s="70">
        <f t="shared" si="355"/>
        <v>0</v>
      </c>
      <c r="BG236" s="34"/>
      <c r="BI236" s="47" t="b">
        <f t="shared" si="356"/>
        <v>1</v>
      </c>
      <c r="BJ236" s="47" t="b">
        <f t="shared" si="357"/>
        <v>1</v>
      </c>
      <c r="BK236" s="42" t="b">
        <f t="shared" si="358"/>
        <v>0</v>
      </c>
      <c r="BL236" s="42" t="b">
        <f t="shared" si="359"/>
        <v>0</v>
      </c>
      <c r="BM236" s="42">
        <f t="shared" si="360"/>
        <v>0</v>
      </c>
      <c r="BN236" s="42">
        <f t="shared" si="361"/>
        <v>0</v>
      </c>
      <c r="BP236" t="e">
        <f t="shared" si="362"/>
        <v>#N/A</v>
      </c>
      <c r="BQ236" t="e">
        <f t="shared" si="363"/>
        <v>#N/A</v>
      </c>
      <c r="BR236" t="e">
        <f t="shared" si="364"/>
        <v>#N/A</v>
      </c>
      <c r="BT236" s="60">
        <f t="shared" si="365"/>
        <v>0</v>
      </c>
      <c r="BU236" s="60">
        <f t="shared" si="366"/>
        <v>0</v>
      </c>
      <c r="BV236" s="60">
        <f t="shared" si="367"/>
        <v>0</v>
      </c>
      <c r="BW236" s="60">
        <f t="shared" si="368"/>
        <v>0</v>
      </c>
      <c r="BX236" s="60">
        <f t="shared" si="369"/>
        <v>0</v>
      </c>
      <c r="BY236" s="60">
        <f t="shared" si="370"/>
        <v>0</v>
      </c>
      <c r="BZ236" s="60">
        <f t="shared" si="371"/>
        <v>0</v>
      </c>
      <c r="CA236" s="60">
        <f t="shared" si="372"/>
        <v>0</v>
      </c>
      <c r="CB236" s="60" t="e">
        <f t="shared" si="320"/>
        <v>#N/A</v>
      </c>
      <c r="CC236" s="60">
        <f t="shared" si="321"/>
        <v>100000</v>
      </c>
      <c r="CD236" s="60" t="e">
        <f t="shared" si="322"/>
        <v>#N/A</v>
      </c>
      <c r="CE236" s="60">
        <f t="shared" si="323"/>
        <v>100000</v>
      </c>
      <c r="CF236" s="83" t="e">
        <f t="shared" si="373"/>
        <v>#N/A</v>
      </c>
      <c r="CG236" s="83">
        <f t="shared" si="374"/>
        <v>0</v>
      </c>
      <c r="CH236" s="83" t="e">
        <f t="shared" si="375"/>
        <v>#N/A</v>
      </c>
      <c r="CI236" s="83">
        <f t="shared" si="376"/>
        <v>0</v>
      </c>
      <c r="CJ236" s="86" t="e">
        <f t="shared" si="324"/>
        <v>#N/A</v>
      </c>
      <c r="CK236" s="82">
        <f t="shared" si="325"/>
        <v>5.3070370403969858E-3</v>
      </c>
      <c r="CL236" s="82" t="e">
        <f t="shared" si="326"/>
        <v>#N/A</v>
      </c>
      <c r="CM236" s="82">
        <f t="shared" si="327"/>
        <v>5.3070370403969858E-3</v>
      </c>
      <c r="CO236" s="149" t="str">
        <f>IF($I236&lt;&gt;"",IF(O236="User Specified",U236,INDEX('Refrigerant GWPs'!$G$2:$G$156,MATCH(O236,'Refrigerant GWPs'!$A$2:$A$156,0))),"")</f>
        <v/>
      </c>
      <c r="CP236" s="138" t="str">
        <f>IF($I236&lt;&gt;"",INDEX('Device Refrigerant Leakage'!$E$2:$E$42,MATCH($M236,'Device Refrigerant Leakage'!$B$2:$B$42,0)),"")</f>
        <v/>
      </c>
      <c r="CQ236" s="138" t="str">
        <f>IF($I236&lt;&gt;"",INDEX('Device Refrigerant Leakage'!$F$2:$F$42,MATCH($M236,'Device Refrigerant Leakage'!$B$2:$B$42,0)),"")</f>
        <v/>
      </c>
      <c r="CR236" s="145" t="str">
        <f>IF($I236&lt;&gt;"",INDEX('Device Refrigerant Leakage'!$G$2:$G$42,MATCH($M236,'Device Refrigerant Leakage'!$B$2:$B$42,0)),"")</f>
        <v/>
      </c>
      <c r="CS236" s="145" t="str">
        <f>IF($I236&lt;&gt;"",INDEX('Device Refrigerant Leakage'!$D$2:$D$42,MATCH($M236,'Device Refrigerant Leakage'!$B$2:$B$42,0))*CP236/2204.62*CO236,"")</f>
        <v/>
      </c>
      <c r="CT236" s="145" t="str">
        <f>IF($I236&lt;&gt;"",J236*(INDEX('Device Refrigerant Leakage'!$D$2:$D$42,MATCH($M236,'Device Refrigerant Leakage'!$B$2:$B$42,0))-(INDEX('Device Refrigerant Leakage'!$D$2:$D$42,MATCH($M236,'Device Refrigerant Leakage'!$B$2:$B$42,0)))*CR236*CP236)*CQ236/2204.62*CO236,"")</f>
        <v/>
      </c>
      <c r="CU236" s="135" t="str">
        <f>IF($I236&lt;&gt;"",J236*IF(W236&lt;&gt;"AR",(CS236*K236)+CT236,(CS236*AB236)+CT236*(AB236/INDEX('Device Refrigerant Leakage'!$C$2:$C$42,MATCH($M236,'Device Refrigerant Leakage'!$B$2:$B$42,0)))),"")</f>
        <v/>
      </c>
      <c r="CW236" s="135" t="str">
        <f>IF($I236&lt;&gt;"",IF(S236="User Specified",V236,INDEX('Refrigerant GWPs'!$G$2:$G$156,MATCH(S236,'Refrigerant GWPs'!$A$2:$A$157,0))),"")</f>
        <v/>
      </c>
      <c r="CX236" s="138" t="str">
        <f>IF($I236&lt;&gt;"",INDEX('Device Refrigerant Leakage'!$E$2:$E$42,MATCH($Q236,'Device Refrigerant Leakage'!$B$2:$B$42,0)),"")</f>
        <v/>
      </c>
      <c r="CY236" s="138" t="str">
        <f>IF($I236&lt;&gt;"",INDEX('Device Refrigerant Leakage'!$F$2:$F$42,MATCH($Q236,'Device Refrigerant Leakage'!$B$2:$B$42,0)),"")</f>
        <v/>
      </c>
      <c r="CZ236" s="145" t="str">
        <f>IF($I236&lt;&gt;"",INDEX('Device Refrigerant Leakage'!$G$2:$G$42,MATCH($Q236,'Device Refrigerant Leakage'!$B$2:$B$42,0)),"")</f>
        <v/>
      </c>
      <c r="DA236" s="145" t="str">
        <f>IF($I236&lt;&gt;"",J236*INDEX('Device Refrigerant Leakage'!$D$2:$D$42,MATCH($Q236,'Device Refrigerant Leakage'!$B$2:$B$42,0))*CX236/2204.62*CW236,"")</f>
        <v/>
      </c>
      <c r="DB236" s="145" t="str">
        <f>IF($I236&lt;&gt;"",J236*(INDEX('Device Refrigerant Leakage'!$D$2:$D$42,MATCH($Q236,'Device Refrigerant Leakage'!$B$2:$B$42,0))-(INDEX('Device Refrigerant Leakage'!$D$2:$D$42,MATCH($Q236,'Device Refrigerant Leakage'!$B$2:$B$42,0)))*CZ236*CX236)*CY236/2204.62*CW236,"")</f>
        <v/>
      </c>
      <c r="DC236" s="135" t="str">
        <f t="shared" si="348"/>
        <v/>
      </c>
      <c r="DE236" s="146" t="str">
        <f>IF(W236&lt;&gt;"AR","",IF(Y236="User Specified", AA236, INDEX('Refrigerant GWPs'!$G$2:$G$154,MATCH(Y236,'Refrigerant GWPs'!$A$2:$A$154,0))))</f>
        <v/>
      </c>
      <c r="DF236" s="146" t="str">
        <f>IF(W236&lt;&gt;"AR","",INDEX('Device Refrigerant Leakage'!$E$2:$E$42,MATCH(X236,'Device Refrigerant Leakage'!$B$2:$B$42,0)))</f>
        <v/>
      </c>
      <c r="DG236" s="146" t="str">
        <f>IF(W236&lt;&gt;"AR","",INDEX('Device Refrigerant Leakage'!$F$2:$F$42,MATCH(X236,'Device Refrigerant Leakage'!$B$2:$B$42,0)))</f>
        <v/>
      </c>
      <c r="DH236" s="146" t="str">
        <f>IF(W236&lt;&gt;"AR","",INDEX('Device Refrigerant Leakage'!$G$2:$G$42,MATCH(X236,'Device Refrigerant Leakage'!$B$2:$B$42,0)))</f>
        <v/>
      </c>
      <c r="DI236" s="146" t="str">
        <f>IF(W236&lt;&gt;"AR","",J236*INDEX('Device Refrigerant Leakage'!$D$2:$D$42,MATCH(X236,'Device Refrigerant Leakage'!$B$2:$B$42,0))*DF236/2204.62*DE236)</f>
        <v/>
      </c>
      <c r="DJ236" s="146" t="str">
        <f>IF(W236&lt;&gt;"AR","",J236*(INDEX('Device Refrigerant Leakage'!$D$2:$D$42,MATCH(X236,'Device Refrigerant Leakage'!$B$2:$B$42,0))-(INDEX('Device Refrigerant Leakage'!$D$2:$D$42,MATCH(X236,'Device Refrigerant Leakage'!$B$2:$B$42,0)))*DH236*DF236)*DG236/2204.62*DE236)</f>
        <v/>
      </c>
      <c r="DK236" s="146" t="str">
        <f>IF(W236&lt;&gt;"AR","",DI236*(K236-AB236)+'Fuel Sub Calcs-Deemed'!DJ236*((K236-AB236)/INDEX('Device Refrigerant Leakage'!$C$2:$C$42,MATCH('Fuel Sub Calcs-Deemed'!X236,'Device Refrigerant Leakage'!$B$2:$B$42,0))))</f>
        <v/>
      </c>
      <c r="DM236" s="56">
        <v>222</v>
      </c>
      <c r="DN236" s="67" t="e">
        <f t="shared" si="328"/>
        <v>#N/A</v>
      </c>
      <c r="DO236" s="45" t="e">
        <f t="shared" si="329"/>
        <v>#N/A</v>
      </c>
      <c r="DP236" s="67" t="e">
        <f t="shared" si="330"/>
        <v>#N/A</v>
      </c>
      <c r="DQ236" s="45" t="e">
        <f t="shared" si="331"/>
        <v>#N/A</v>
      </c>
      <c r="DR236" s="69" t="e">
        <f t="shared" si="332"/>
        <v>#N/A</v>
      </c>
      <c r="DS236" s="34"/>
      <c r="DT236" s="67" t="e">
        <f>((BX236*CJ236)+IF($W236=MAT_AR,(BZ236*CL236),0))*(1+Reference!$E$50+Reference!$E$51)</f>
        <v>#N/A</v>
      </c>
      <c r="DU236" s="67">
        <f>((BY236*CK236)+IF($W236=MAT_AR,(CA236*CM236),0))*(1+Reference!$G$50+Reference!$G$51)</f>
        <v>0</v>
      </c>
      <c r="DV236" s="67" t="e">
        <f t="shared" si="333"/>
        <v>#VALUE!</v>
      </c>
      <c r="DX236" s="56">
        <v>222</v>
      </c>
      <c r="DY236" s="67">
        <f t="shared" si="334"/>
        <v>0</v>
      </c>
      <c r="DZ236" s="45" t="e">
        <f>VLOOKUP($R236,Dropdown!$C$3:$D$4,2,FALSE)</f>
        <v>#N/A</v>
      </c>
      <c r="EA236" s="68">
        <f t="shared" si="335"/>
        <v>0</v>
      </c>
      <c r="EB236" s="68" t="str">
        <f t="shared" si="336"/>
        <v>N/A</v>
      </c>
      <c r="EC236" s="68">
        <f t="shared" si="337"/>
        <v>0</v>
      </c>
      <c r="ED236" s="68" t="str">
        <f t="shared" si="377"/>
        <v>N/A</v>
      </c>
      <c r="EF236" s="56">
        <v>222</v>
      </c>
      <c r="EG236" s="46">
        <f t="shared" si="339"/>
        <v>0</v>
      </c>
      <c r="EH236" s="68" t="e">
        <f t="shared" si="340"/>
        <v>#N/A</v>
      </c>
      <c r="EI236" s="68" t="e">
        <f t="shared" si="341"/>
        <v>#N/A</v>
      </c>
      <c r="EJ236" s="68" t="e">
        <f t="shared" si="342"/>
        <v>#N/A</v>
      </c>
      <c r="EK236" s="68" t="e">
        <f t="shared" si="343"/>
        <v>#N/A</v>
      </c>
      <c r="EL236" s="46">
        <f t="shared" si="344"/>
        <v>0</v>
      </c>
      <c r="EM236" s="46">
        <f t="shared" si="345"/>
        <v>0</v>
      </c>
    </row>
    <row r="237" spans="1:143">
      <c r="A237" s="89"/>
      <c r="B237" s="89"/>
      <c r="C237" s="89"/>
      <c r="D237" s="89"/>
      <c r="E237" s="89"/>
      <c r="F237" s="89"/>
      <c r="G237" s="34"/>
      <c r="H237" s="56">
        <f t="shared" si="346"/>
        <v>223</v>
      </c>
      <c r="I237" s="165"/>
      <c r="J237" s="163"/>
      <c r="K237" s="163"/>
      <c r="L237" s="164"/>
      <c r="M237" s="155"/>
      <c r="N237" s="155"/>
      <c r="O237" s="144"/>
      <c r="P237" s="159" t="str">
        <f>IFERROR(IF(O237&lt;&gt;"User Specified",IF(O237&lt;&gt;"", INDEX('Refrigerant GWPs'!$G$2:$G$154,MATCH(O237,'Refrigerant GWPs'!$A$2:$A$154,0)),""),U237),0)</f>
        <v/>
      </c>
      <c r="Q237" s="155"/>
      <c r="R237" s="155"/>
      <c r="S237" s="144"/>
      <c r="T237" s="159" t="str">
        <f>IF(S237&lt;&gt;"User Specified",IF(AND(S237&lt;&gt;"User Specified",S237&lt;&gt;""), INDEX('Refrigerant GWPs'!$G$2:$G$154,MATCH(S237,'Refrigerant GWPs'!$A$2:$A$154,0)),""),V237)</f>
        <v/>
      </c>
      <c r="U237" s="144"/>
      <c r="V237" s="144"/>
      <c r="W237" s="155"/>
      <c r="X237" s="155"/>
      <c r="Y237" s="144"/>
      <c r="Z237" s="159" t="str">
        <f>IF(AND(Y237&lt;&gt;"User Specified",Y237&lt;&gt;""), INDEX('Refrigerant GWPs'!$G$2:$G$154,MATCH(Y237,'Refrigerant GWPs'!$A$2:$A$154,0)),"")</f>
        <v/>
      </c>
      <c r="AA237" s="155"/>
      <c r="AB237" s="156"/>
      <c r="AC237" s="66"/>
      <c r="AD237" s="66"/>
      <c r="AE237" s="66"/>
      <c r="AF237" s="66"/>
      <c r="AG237" s="66"/>
      <c r="AH237" s="66"/>
      <c r="AI237" s="34"/>
      <c r="AJ237" s="88">
        <f t="shared" si="304"/>
        <v>0</v>
      </c>
      <c r="AK237" s="88">
        <f t="shared" si="305"/>
        <v>0</v>
      </c>
      <c r="AL237" s="88">
        <v>0</v>
      </c>
      <c r="AM237" s="88">
        <v>0</v>
      </c>
      <c r="AN237" s="81" t="str">
        <f t="shared" si="349"/>
        <v/>
      </c>
      <c r="AO237" s="88">
        <f t="shared" si="306"/>
        <v>0</v>
      </c>
      <c r="AP237" s="88">
        <f t="shared" si="307"/>
        <v>0</v>
      </c>
      <c r="AQ237" s="81" t="str">
        <f t="shared" si="308"/>
        <v/>
      </c>
      <c r="AS237" s="41" t="b">
        <f t="shared" si="309"/>
        <v>1</v>
      </c>
      <c r="AT237" s="38">
        <f t="shared" si="310"/>
        <v>0</v>
      </c>
      <c r="AU237" s="60">
        <f t="shared" si="311"/>
        <v>0</v>
      </c>
      <c r="AV237" s="41">
        <f t="shared" si="312"/>
        <v>0</v>
      </c>
      <c r="AW237" s="41" t="b">
        <f t="shared" si="313"/>
        <v>0</v>
      </c>
      <c r="AX237" t="str">
        <f t="shared" si="314"/>
        <v>+00</v>
      </c>
      <c r="AY237" t="str">
        <f t="shared" si="315"/>
        <v>+00</v>
      </c>
      <c r="BA237" s="47" t="b">
        <f t="shared" si="350"/>
        <v>1</v>
      </c>
      <c r="BB237" s="42" t="b">
        <f t="shared" si="351"/>
        <v>1</v>
      </c>
      <c r="BC237" s="42" t="b">
        <f t="shared" si="352"/>
        <v>0</v>
      </c>
      <c r="BD237" s="42" t="b">
        <f t="shared" si="353"/>
        <v>0</v>
      </c>
      <c r="BE237" s="70">
        <f t="shared" si="354"/>
        <v>0</v>
      </c>
      <c r="BF237" s="70">
        <f t="shared" si="355"/>
        <v>0</v>
      </c>
      <c r="BG237" s="34"/>
      <c r="BI237" s="47" t="b">
        <f t="shared" si="356"/>
        <v>1</v>
      </c>
      <c r="BJ237" s="47" t="b">
        <f t="shared" si="357"/>
        <v>1</v>
      </c>
      <c r="BK237" s="42" t="b">
        <f t="shared" si="358"/>
        <v>0</v>
      </c>
      <c r="BL237" s="42" t="b">
        <f t="shared" si="359"/>
        <v>0</v>
      </c>
      <c r="BM237" s="42">
        <f t="shared" si="360"/>
        <v>0</v>
      </c>
      <c r="BN237" s="42">
        <f t="shared" si="361"/>
        <v>0</v>
      </c>
      <c r="BP237" t="e">
        <f t="shared" si="362"/>
        <v>#N/A</v>
      </c>
      <c r="BQ237" t="e">
        <f t="shared" si="363"/>
        <v>#N/A</v>
      </c>
      <c r="BR237" t="e">
        <f t="shared" si="364"/>
        <v>#N/A</v>
      </c>
      <c r="BT237" s="60">
        <f t="shared" si="365"/>
        <v>0</v>
      </c>
      <c r="BU237" s="60">
        <f t="shared" si="366"/>
        <v>0</v>
      </c>
      <c r="BV237" s="60">
        <f t="shared" si="367"/>
        <v>0</v>
      </c>
      <c r="BW237" s="60">
        <f t="shared" si="368"/>
        <v>0</v>
      </c>
      <c r="BX237" s="60">
        <f t="shared" si="369"/>
        <v>0</v>
      </c>
      <c r="BY237" s="60">
        <f t="shared" si="370"/>
        <v>0</v>
      </c>
      <c r="BZ237" s="60">
        <f t="shared" si="371"/>
        <v>0</v>
      </c>
      <c r="CA237" s="60">
        <f t="shared" si="372"/>
        <v>0</v>
      </c>
      <c r="CB237" s="60" t="e">
        <f t="shared" si="320"/>
        <v>#N/A</v>
      </c>
      <c r="CC237" s="60">
        <f t="shared" si="321"/>
        <v>100000</v>
      </c>
      <c r="CD237" s="60" t="e">
        <f t="shared" si="322"/>
        <v>#N/A</v>
      </c>
      <c r="CE237" s="60">
        <f t="shared" si="323"/>
        <v>100000</v>
      </c>
      <c r="CF237" s="83" t="e">
        <f t="shared" si="373"/>
        <v>#N/A</v>
      </c>
      <c r="CG237" s="83">
        <f t="shared" si="374"/>
        <v>0</v>
      </c>
      <c r="CH237" s="83" t="e">
        <f t="shared" si="375"/>
        <v>#N/A</v>
      </c>
      <c r="CI237" s="83">
        <f t="shared" si="376"/>
        <v>0</v>
      </c>
      <c r="CJ237" s="86" t="e">
        <f t="shared" si="324"/>
        <v>#N/A</v>
      </c>
      <c r="CK237" s="82">
        <f t="shared" si="325"/>
        <v>5.3070370403969858E-3</v>
      </c>
      <c r="CL237" s="82" t="e">
        <f t="shared" si="326"/>
        <v>#N/A</v>
      </c>
      <c r="CM237" s="82">
        <f t="shared" si="327"/>
        <v>5.3070370403969858E-3</v>
      </c>
      <c r="CO237" s="149" t="str">
        <f>IF($I237&lt;&gt;"",IF(O237="User Specified",U237,INDEX('Refrigerant GWPs'!$G$2:$G$156,MATCH(O237,'Refrigerant GWPs'!$A$2:$A$156,0))),"")</f>
        <v/>
      </c>
      <c r="CP237" s="138" t="str">
        <f>IF($I237&lt;&gt;"",INDEX('Device Refrigerant Leakage'!$E$2:$E$42,MATCH($M237,'Device Refrigerant Leakage'!$B$2:$B$42,0)),"")</f>
        <v/>
      </c>
      <c r="CQ237" s="138" t="str">
        <f>IF($I237&lt;&gt;"",INDEX('Device Refrigerant Leakage'!$F$2:$F$42,MATCH($M237,'Device Refrigerant Leakage'!$B$2:$B$42,0)),"")</f>
        <v/>
      </c>
      <c r="CR237" s="145" t="str">
        <f>IF($I237&lt;&gt;"",INDEX('Device Refrigerant Leakage'!$G$2:$G$42,MATCH($M237,'Device Refrigerant Leakage'!$B$2:$B$42,0)),"")</f>
        <v/>
      </c>
      <c r="CS237" s="145" t="str">
        <f>IF($I237&lt;&gt;"",INDEX('Device Refrigerant Leakage'!$D$2:$D$42,MATCH($M237,'Device Refrigerant Leakage'!$B$2:$B$42,0))*CP237/2204.62*CO237,"")</f>
        <v/>
      </c>
      <c r="CT237" s="145" t="str">
        <f>IF($I237&lt;&gt;"",J237*(INDEX('Device Refrigerant Leakage'!$D$2:$D$42,MATCH($M237,'Device Refrigerant Leakage'!$B$2:$B$42,0))-(INDEX('Device Refrigerant Leakage'!$D$2:$D$42,MATCH($M237,'Device Refrigerant Leakage'!$B$2:$B$42,0)))*CR237*CP237)*CQ237/2204.62*CO237,"")</f>
        <v/>
      </c>
      <c r="CU237" s="135" t="str">
        <f>IF($I237&lt;&gt;"",J237*IF(W237&lt;&gt;"AR",(CS237*K237)+CT237,(CS237*AB237)+CT237*(AB237/INDEX('Device Refrigerant Leakage'!$C$2:$C$42,MATCH($M237,'Device Refrigerant Leakage'!$B$2:$B$42,0)))),"")</f>
        <v/>
      </c>
      <c r="CW237" s="135" t="str">
        <f>IF($I237&lt;&gt;"",IF(S237="User Specified",V237,INDEX('Refrigerant GWPs'!$G$2:$G$156,MATCH(S237,'Refrigerant GWPs'!$A$2:$A$157,0))),"")</f>
        <v/>
      </c>
      <c r="CX237" s="138" t="str">
        <f>IF($I237&lt;&gt;"",INDEX('Device Refrigerant Leakage'!$E$2:$E$42,MATCH($Q237,'Device Refrigerant Leakage'!$B$2:$B$42,0)),"")</f>
        <v/>
      </c>
      <c r="CY237" s="138" t="str">
        <f>IF($I237&lt;&gt;"",INDEX('Device Refrigerant Leakage'!$F$2:$F$42,MATCH($Q237,'Device Refrigerant Leakage'!$B$2:$B$42,0)),"")</f>
        <v/>
      </c>
      <c r="CZ237" s="145" t="str">
        <f>IF($I237&lt;&gt;"",INDEX('Device Refrigerant Leakage'!$G$2:$G$42,MATCH($Q237,'Device Refrigerant Leakage'!$B$2:$B$42,0)),"")</f>
        <v/>
      </c>
      <c r="DA237" s="145" t="str">
        <f>IF($I237&lt;&gt;"",J237*INDEX('Device Refrigerant Leakage'!$D$2:$D$42,MATCH($Q237,'Device Refrigerant Leakage'!$B$2:$B$42,0))*CX237/2204.62*CW237,"")</f>
        <v/>
      </c>
      <c r="DB237" s="145" t="str">
        <f>IF($I237&lt;&gt;"",J237*(INDEX('Device Refrigerant Leakage'!$D$2:$D$42,MATCH($Q237,'Device Refrigerant Leakage'!$B$2:$B$42,0))-(INDEX('Device Refrigerant Leakage'!$D$2:$D$42,MATCH($Q237,'Device Refrigerant Leakage'!$B$2:$B$42,0)))*CZ237*CX237)*CY237/2204.62*CW237,"")</f>
        <v/>
      </c>
      <c r="DC237" s="135" t="str">
        <f t="shared" si="348"/>
        <v/>
      </c>
      <c r="DE237" s="146" t="str">
        <f>IF(W237&lt;&gt;"AR","",IF(Y237="User Specified", AA237, INDEX('Refrigerant GWPs'!$G$2:$G$154,MATCH(Y237,'Refrigerant GWPs'!$A$2:$A$154,0))))</f>
        <v/>
      </c>
      <c r="DF237" s="146" t="str">
        <f>IF(W237&lt;&gt;"AR","",INDEX('Device Refrigerant Leakage'!$E$2:$E$42,MATCH(X237,'Device Refrigerant Leakage'!$B$2:$B$42,0)))</f>
        <v/>
      </c>
      <c r="DG237" s="146" t="str">
        <f>IF(W237&lt;&gt;"AR","",INDEX('Device Refrigerant Leakage'!$F$2:$F$42,MATCH(X237,'Device Refrigerant Leakage'!$B$2:$B$42,0)))</f>
        <v/>
      </c>
      <c r="DH237" s="146" t="str">
        <f>IF(W237&lt;&gt;"AR","",INDEX('Device Refrigerant Leakage'!$G$2:$G$42,MATCH(X237,'Device Refrigerant Leakage'!$B$2:$B$42,0)))</f>
        <v/>
      </c>
      <c r="DI237" s="146" t="str">
        <f>IF(W237&lt;&gt;"AR","",J237*INDEX('Device Refrigerant Leakage'!$D$2:$D$42,MATCH(X237,'Device Refrigerant Leakage'!$B$2:$B$42,0))*DF237/2204.62*DE237)</f>
        <v/>
      </c>
      <c r="DJ237" s="146" t="str">
        <f>IF(W237&lt;&gt;"AR","",J237*(INDEX('Device Refrigerant Leakage'!$D$2:$D$42,MATCH(X237,'Device Refrigerant Leakage'!$B$2:$B$42,0))-(INDEX('Device Refrigerant Leakage'!$D$2:$D$42,MATCH(X237,'Device Refrigerant Leakage'!$B$2:$B$42,0)))*DH237*DF237)*DG237/2204.62*DE237)</f>
        <v/>
      </c>
      <c r="DK237" s="146" t="str">
        <f>IF(W237&lt;&gt;"AR","",DI237*(K237-AB237)+'Fuel Sub Calcs-Deemed'!DJ237*((K237-AB237)/INDEX('Device Refrigerant Leakage'!$C$2:$C$42,MATCH('Fuel Sub Calcs-Deemed'!X237,'Device Refrigerant Leakage'!$B$2:$B$42,0))))</f>
        <v/>
      </c>
      <c r="DM237" s="56">
        <v>223</v>
      </c>
      <c r="DN237" s="67" t="e">
        <f t="shared" si="328"/>
        <v>#N/A</v>
      </c>
      <c r="DO237" s="45" t="e">
        <f t="shared" si="329"/>
        <v>#N/A</v>
      </c>
      <c r="DP237" s="67" t="e">
        <f t="shared" si="330"/>
        <v>#N/A</v>
      </c>
      <c r="DQ237" s="45" t="e">
        <f t="shared" si="331"/>
        <v>#N/A</v>
      </c>
      <c r="DR237" s="69" t="e">
        <f t="shared" si="332"/>
        <v>#N/A</v>
      </c>
      <c r="DS237" s="34"/>
      <c r="DT237" s="67" t="e">
        <f>((BX237*CJ237)+IF($W237=MAT_AR,(BZ237*CL237),0))*(1+Reference!$E$50+Reference!$E$51)</f>
        <v>#N/A</v>
      </c>
      <c r="DU237" s="67">
        <f>((BY237*CK237)+IF($W237=MAT_AR,(CA237*CM237),0))*(1+Reference!$G$50+Reference!$G$51)</f>
        <v>0</v>
      </c>
      <c r="DV237" s="67" t="e">
        <f t="shared" si="333"/>
        <v>#VALUE!</v>
      </c>
      <c r="DX237" s="56">
        <v>223</v>
      </c>
      <c r="DY237" s="67">
        <f t="shared" si="334"/>
        <v>0</v>
      </c>
      <c r="DZ237" s="45" t="e">
        <f>VLOOKUP($R237,Dropdown!$C$3:$D$4,2,FALSE)</f>
        <v>#N/A</v>
      </c>
      <c r="EA237" s="68">
        <f t="shared" si="335"/>
        <v>0</v>
      </c>
      <c r="EB237" s="68" t="str">
        <f t="shared" si="336"/>
        <v>N/A</v>
      </c>
      <c r="EC237" s="68">
        <f t="shared" si="337"/>
        <v>0</v>
      </c>
      <c r="ED237" s="68" t="str">
        <f t="shared" si="377"/>
        <v>N/A</v>
      </c>
      <c r="EF237" s="56">
        <v>223</v>
      </c>
      <c r="EG237" s="46">
        <f t="shared" si="339"/>
        <v>0</v>
      </c>
      <c r="EH237" s="68" t="e">
        <f t="shared" si="340"/>
        <v>#N/A</v>
      </c>
      <c r="EI237" s="68" t="e">
        <f t="shared" si="341"/>
        <v>#N/A</v>
      </c>
      <c r="EJ237" s="68" t="e">
        <f t="shared" si="342"/>
        <v>#N/A</v>
      </c>
      <c r="EK237" s="68" t="e">
        <f t="shared" si="343"/>
        <v>#N/A</v>
      </c>
      <c r="EL237" s="46">
        <f t="shared" si="344"/>
        <v>0</v>
      </c>
      <c r="EM237" s="46">
        <f t="shared" si="345"/>
        <v>0</v>
      </c>
    </row>
    <row r="238" spans="1:143">
      <c r="A238" s="89"/>
      <c r="B238" s="89"/>
      <c r="C238" s="89"/>
      <c r="D238" s="89"/>
      <c r="E238" s="89"/>
      <c r="F238" s="89"/>
      <c r="G238" s="34"/>
      <c r="H238" s="56">
        <f t="shared" si="346"/>
        <v>224</v>
      </c>
      <c r="I238" s="165"/>
      <c r="J238" s="163"/>
      <c r="K238" s="163"/>
      <c r="L238" s="164"/>
      <c r="M238" s="155"/>
      <c r="N238" s="155"/>
      <c r="O238" s="144"/>
      <c r="P238" s="159" t="str">
        <f>IFERROR(IF(O238&lt;&gt;"User Specified",IF(O238&lt;&gt;"", INDEX('Refrigerant GWPs'!$G$2:$G$154,MATCH(O238,'Refrigerant GWPs'!$A$2:$A$154,0)),""),U238),0)</f>
        <v/>
      </c>
      <c r="Q238" s="155"/>
      <c r="R238" s="155"/>
      <c r="S238" s="144"/>
      <c r="T238" s="159" t="str">
        <f>IF(S238&lt;&gt;"User Specified",IF(AND(S238&lt;&gt;"User Specified",S238&lt;&gt;""), INDEX('Refrigerant GWPs'!$G$2:$G$154,MATCH(S238,'Refrigerant GWPs'!$A$2:$A$154,0)),""),V238)</f>
        <v/>
      </c>
      <c r="U238" s="144"/>
      <c r="V238" s="144"/>
      <c r="W238" s="155"/>
      <c r="X238" s="155"/>
      <c r="Y238" s="144"/>
      <c r="Z238" s="159" t="str">
        <f>IF(AND(Y238&lt;&gt;"User Specified",Y238&lt;&gt;""), INDEX('Refrigerant GWPs'!$G$2:$G$154,MATCH(Y238,'Refrigerant GWPs'!$A$2:$A$154,0)),"")</f>
        <v/>
      </c>
      <c r="AA238" s="155"/>
      <c r="AB238" s="156"/>
      <c r="AC238" s="66"/>
      <c r="AD238" s="66"/>
      <c r="AE238" s="66"/>
      <c r="AF238" s="66"/>
      <c r="AG238" s="66"/>
      <c r="AH238" s="66"/>
      <c r="AI238" s="34"/>
      <c r="AJ238" s="88">
        <f t="shared" si="304"/>
        <v>0</v>
      </c>
      <c r="AK238" s="88">
        <f t="shared" si="305"/>
        <v>0</v>
      </c>
      <c r="AL238" s="88">
        <v>0</v>
      </c>
      <c r="AM238" s="88">
        <v>0</v>
      </c>
      <c r="AN238" s="81" t="str">
        <f t="shared" si="349"/>
        <v/>
      </c>
      <c r="AO238" s="88">
        <f t="shared" si="306"/>
        <v>0</v>
      </c>
      <c r="AP238" s="88">
        <f t="shared" si="307"/>
        <v>0</v>
      </c>
      <c r="AQ238" s="81" t="str">
        <f t="shared" si="308"/>
        <v/>
      </c>
      <c r="AS238" s="41" t="b">
        <f t="shared" si="309"/>
        <v>1</v>
      </c>
      <c r="AT238" s="38">
        <f t="shared" si="310"/>
        <v>0</v>
      </c>
      <c r="AU238" s="60">
        <f t="shared" si="311"/>
        <v>0</v>
      </c>
      <c r="AV238" s="41">
        <f t="shared" si="312"/>
        <v>0</v>
      </c>
      <c r="AW238" s="41" t="b">
        <f t="shared" si="313"/>
        <v>0</v>
      </c>
      <c r="AX238" t="str">
        <f t="shared" si="314"/>
        <v>+00</v>
      </c>
      <c r="AY238" t="str">
        <f t="shared" si="315"/>
        <v>+00</v>
      </c>
      <c r="BA238" s="47" t="b">
        <f t="shared" si="350"/>
        <v>1</v>
      </c>
      <c r="BB238" s="42" t="b">
        <f t="shared" si="351"/>
        <v>1</v>
      </c>
      <c r="BC238" s="42" t="b">
        <f t="shared" si="352"/>
        <v>0</v>
      </c>
      <c r="BD238" s="42" t="b">
        <f t="shared" si="353"/>
        <v>0</v>
      </c>
      <c r="BE238" s="70">
        <f t="shared" si="354"/>
        <v>0</v>
      </c>
      <c r="BF238" s="70">
        <f t="shared" si="355"/>
        <v>0</v>
      </c>
      <c r="BG238" s="34"/>
      <c r="BI238" s="47" t="b">
        <f t="shared" si="356"/>
        <v>1</v>
      </c>
      <c r="BJ238" s="47" t="b">
        <f t="shared" si="357"/>
        <v>1</v>
      </c>
      <c r="BK238" s="42" t="b">
        <f t="shared" si="358"/>
        <v>0</v>
      </c>
      <c r="BL238" s="42" t="b">
        <f t="shared" si="359"/>
        <v>0</v>
      </c>
      <c r="BM238" s="42">
        <f t="shared" si="360"/>
        <v>0</v>
      </c>
      <c r="BN238" s="42">
        <f t="shared" si="361"/>
        <v>0</v>
      </c>
      <c r="BP238" t="e">
        <f t="shared" si="362"/>
        <v>#N/A</v>
      </c>
      <c r="BQ238" t="e">
        <f t="shared" si="363"/>
        <v>#N/A</v>
      </c>
      <c r="BR238" t="e">
        <f t="shared" si="364"/>
        <v>#N/A</v>
      </c>
      <c r="BT238" s="60">
        <f t="shared" si="365"/>
        <v>0</v>
      </c>
      <c r="BU238" s="60">
        <f t="shared" si="366"/>
        <v>0</v>
      </c>
      <c r="BV238" s="60">
        <f t="shared" si="367"/>
        <v>0</v>
      </c>
      <c r="BW238" s="60">
        <f t="shared" si="368"/>
        <v>0</v>
      </c>
      <c r="BX238" s="60">
        <f t="shared" si="369"/>
        <v>0</v>
      </c>
      <c r="BY238" s="60">
        <f t="shared" si="370"/>
        <v>0</v>
      </c>
      <c r="BZ238" s="60">
        <f t="shared" si="371"/>
        <v>0</v>
      </c>
      <c r="CA238" s="60">
        <f t="shared" si="372"/>
        <v>0</v>
      </c>
      <c r="CB238" s="60" t="e">
        <f t="shared" si="320"/>
        <v>#N/A</v>
      </c>
      <c r="CC238" s="60">
        <f t="shared" si="321"/>
        <v>100000</v>
      </c>
      <c r="CD238" s="60" t="e">
        <f t="shared" si="322"/>
        <v>#N/A</v>
      </c>
      <c r="CE238" s="60">
        <f t="shared" si="323"/>
        <v>100000</v>
      </c>
      <c r="CF238" s="83" t="e">
        <f t="shared" si="373"/>
        <v>#N/A</v>
      </c>
      <c r="CG238" s="83">
        <f t="shared" si="374"/>
        <v>0</v>
      </c>
      <c r="CH238" s="83" t="e">
        <f t="shared" si="375"/>
        <v>#N/A</v>
      </c>
      <c r="CI238" s="83">
        <f t="shared" si="376"/>
        <v>0</v>
      </c>
      <c r="CJ238" s="86" t="e">
        <f t="shared" si="324"/>
        <v>#N/A</v>
      </c>
      <c r="CK238" s="82">
        <f t="shared" si="325"/>
        <v>5.3070370403969858E-3</v>
      </c>
      <c r="CL238" s="82" t="e">
        <f t="shared" si="326"/>
        <v>#N/A</v>
      </c>
      <c r="CM238" s="82">
        <f t="shared" si="327"/>
        <v>5.3070370403969858E-3</v>
      </c>
      <c r="CO238" s="149" t="str">
        <f>IF($I238&lt;&gt;"",IF(O238="User Specified",U238,INDEX('Refrigerant GWPs'!$G$2:$G$156,MATCH(O238,'Refrigerant GWPs'!$A$2:$A$156,0))),"")</f>
        <v/>
      </c>
      <c r="CP238" s="138" t="str">
        <f>IF($I238&lt;&gt;"",INDEX('Device Refrigerant Leakage'!$E$2:$E$42,MATCH($M238,'Device Refrigerant Leakage'!$B$2:$B$42,0)),"")</f>
        <v/>
      </c>
      <c r="CQ238" s="138" t="str">
        <f>IF($I238&lt;&gt;"",INDEX('Device Refrigerant Leakage'!$F$2:$F$42,MATCH($M238,'Device Refrigerant Leakage'!$B$2:$B$42,0)),"")</f>
        <v/>
      </c>
      <c r="CR238" s="145" t="str">
        <f>IF($I238&lt;&gt;"",INDEX('Device Refrigerant Leakage'!$G$2:$G$42,MATCH($M238,'Device Refrigerant Leakage'!$B$2:$B$42,0)),"")</f>
        <v/>
      </c>
      <c r="CS238" s="145" t="str">
        <f>IF($I238&lt;&gt;"",INDEX('Device Refrigerant Leakage'!$D$2:$D$42,MATCH($M238,'Device Refrigerant Leakage'!$B$2:$B$42,0))*CP238/2204.62*CO238,"")</f>
        <v/>
      </c>
      <c r="CT238" s="145" t="str">
        <f>IF($I238&lt;&gt;"",J238*(INDEX('Device Refrigerant Leakage'!$D$2:$D$42,MATCH($M238,'Device Refrigerant Leakage'!$B$2:$B$42,0))-(INDEX('Device Refrigerant Leakage'!$D$2:$D$42,MATCH($M238,'Device Refrigerant Leakage'!$B$2:$B$42,0)))*CR238*CP238)*CQ238/2204.62*CO238,"")</f>
        <v/>
      </c>
      <c r="CU238" s="135" t="str">
        <f>IF($I238&lt;&gt;"",J238*IF(W238&lt;&gt;"AR",(CS238*K238)+CT238,(CS238*AB238)+CT238*(AB238/INDEX('Device Refrigerant Leakage'!$C$2:$C$42,MATCH($M238,'Device Refrigerant Leakage'!$B$2:$B$42,0)))),"")</f>
        <v/>
      </c>
      <c r="CW238" s="135" t="str">
        <f>IF($I238&lt;&gt;"",IF(S238="User Specified",V238,INDEX('Refrigerant GWPs'!$G$2:$G$156,MATCH(S238,'Refrigerant GWPs'!$A$2:$A$157,0))),"")</f>
        <v/>
      </c>
      <c r="CX238" s="138" t="str">
        <f>IF($I238&lt;&gt;"",INDEX('Device Refrigerant Leakage'!$E$2:$E$42,MATCH($Q238,'Device Refrigerant Leakage'!$B$2:$B$42,0)),"")</f>
        <v/>
      </c>
      <c r="CY238" s="138" t="str">
        <f>IF($I238&lt;&gt;"",INDEX('Device Refrigerant Leakage'!$F$2:$F$42,MATCH($Q238,'Device Refrigerant Leakage'!$B$2:$B$42,0)),"")</f>
        <v/>
      </c>
      <c r="CZ238" s="145" t="str">
        <f>IF($I238&lt;&gt;"",INDEX('Device Refrigerant Leakage'!$G$2:$G$42,MATCH($Q238,'Device Refrigerant Leakage'!$B$2:$B$42,0)),"")</f>
        <v/>
      </c>
      <c r="DA238" s="145" t="str">
        <f>IF($I238&lt;&gt;"",J238*INDEX('Device Refrigerant Leakage'!$D$2:$D$42,MATCH($Q238,'Device Refrigerant Leakage'!$B$2:$B$42,0))*CX238/2204.62*CW238,"")</f>
        <v/>
      </c>
      <c r="DB238" s="145" t="str">
        <f>IF($I238&lt;&gt;"",J238*(INDEX('Device Refrigerant Leakage'!$D$2:$D$42,MATCH($Q238,'Device Refrigerant Leakage'!$B$2:$B$42,0))-(INDEX('Device Refrigerant Leakage'!$D$2:$D$42,MATCH($Q238,'Device Refrigerant Leakage'!$B$2:$B$42,0)))*CZ238*CX238)*CY238/2204.62*CW238,"")</f>
        <v/>
      </c>
      <c r="DC238" s="135" t="str">
        <f t="shared" si="348"/>
        <v/>
      </c>
      <c r="DE238" s="146" t="str">
        <f>IF(W238&lt;&gt;"AR","",IF(Y238="User Specified", AA238, INDEX('Refrigerant GWPs'!$G$2:$G$154,MATCH(Y238,'Refrigerant GWPs'!$A$2:$A$154,0))))</f>
        <v/>
      </c>
      <c r="DF238" s="146" t="str">
        <f>IF(W238&lt;&gt;"AR","",INDEX('Device Refrigerant Leakage'!$E$2:$E$42,MATCH(X238,'Device Refrigerant Leakage'!$B$2:$B$42,0)))</f>
        <v/>
      </c>
      <c r="DG238" s="146" t="str">
        <f>IF(W238&lt;&gt;"AR","",INDEX('Device Refrigerant Leakage'!$F$2:$F$42,MATCH(X238,'Device Refrigerant Leakage'!$B$2:$B$42,0)))</f>
        <v/>
      </c>
      <c r="DH238" s="146" t="str">
        <f>IF(W238&lt;&gt;"AR","",INDEX('Device Refrigerant Leakage'!$G$2:$G$42,MATCH(X238,'Device Refrigerant Leakage'!$B$2:$B$42,0)))</f>
        <v/>
      </c>
      <c r="DI238" s="146" t="str">
        <f>IF(W238&lt;&gt;"AR","",J238*INDEX('Device Refrigerant Leakage'!$D$2:$D$42,MATCH(X238,'Device Refrigerant Leakage'!$B$2:$B$42,0))*DF238/2204.62*DE238)</f>
        <v/>
      </c>
      <c r="DJ238" s="146" t="str">
        <f>IF(W238&lt;&gt;"AR","",J238*(INDEX('Device Refrigerant Leakage'!$D$2:$D$42,MATCH(X238,'Device Refrigerant Leakage'!$B$2:$B$42,0))-(INDEX('Device Refrigerant Leakage'!$D$2:$D$42,MATCH(X238,'Device Refrigerant Leakage'!$B$2:$B$42,0)))*DH238*DF238)*DG238/2204.62*DE238)</f>
        <v/>
      </c>
      <c r="DK238" s="146" t="str">
        <f>IF(W238&lt;&gt;"AR","",DI238*(K238-AB238)+'Fuel Sub Calcs-Deemed'!DJ238*((K238-AB238)/INDEX('Device Refrigerant Leakage'!$C$2:$C$42,MATCH('Fuel Sub Calcs-Deemed'!X238,'Device Refrigerant Leakage'!$B$2:$B$42,0))))</f>
        <v/>
      </c>
      <c r="DM238" s="56">
        <v>224</v>
      </c>
      <c r="DN238" s="67" t="e">
        <f t="shared" si="328"/>
        <v>#N/A</v>
      </c>
      <c r="DO238" s="45" t="e">
        <f t="shared" si="329"/>
        <v>#N/A</v>
      </c>
      <c r="DP238" s="67" t="e">
        <f t="shared" si="330"/>
        <v>#N/A</v>
      </c>
      <c r="DQ238" s="45" t="e">
        <f t="shared" si="331"/>
        <v>#N/A</v>
      </c>
      <c r="DR238" s="69" t="e">
        <f t="shared" si="332"/>
        <v>#N/A</v>
      </c>
      <c r="DS238" s="34"/>
      <c r="DT238" s="67" t="e">
        <f>((BX238*CJ238)+IF($W238=MAT_AR,(BZ238*CL238),0))*(1+Reference!$E$50+Reference!$E$51)</f>
        <v>#N/A</v>
      </c>
      <c r="DU238" s="67">
        <f>((BY238*CK238)+IF($W238=MAT_AR,(CA238*CM238),0))*(1+Reference!$G$50+Reference!$G$51)</f>
        <v>0</v>
      </c>
      <c r="DV238" s="67" t="e">
        <f t="shared" si="333"/>
        <v>#VALUE!</v>
      </c>
      <c r="DX238" s="56">
        <v>224</v>
      </c>
      <c r="DY238" s="67">
        <f t="shared" si="334"/>
        <v>0</v>
      </c>
      <c r="DZ238" s="45" t="e">
        <f>VLOOKUP($R238,Dropdown!$C$3:$D$4,2,FALSE)</f>
        <v>#N/A</v>
      </c>
      <c r="EA238" s="68">
        <f t="shared" si="335"/>
        <v>0</v>
      </c>
      <c r="EB238" s="68" t="str">
        <f t="shared" si="336"/>
        <v>N/A</v>
      </c>
      <c r="EC238" s="68">
        <f t="shared" si="337"/>
        <v>0</v>
      </c>
      <c r="ED238" s="68" t="str">
        <f t="shared" si="377"/>
        <v>N/A</v>
      </c>
      <c r="EF238" s="56">
        <v>224</v>
      </c>
      <c r="EG238" s="46">
        <f t="shared" si="339"/>
        <v>0</v>
      </c>
      <c r="EH238" s="68" t="e">
        <f t="shared" si="340"/>
        <v>#N/A</v>
      </c>
      <c r="EI238" s="68" t="e">
        <f t="shared" si="341"/>
        <v>#N/A</v>
      </c>
      <c r="EJ238" s="68" t="e">
        <f t="shared" si="342"/>
        <v>#N/A</v>
      </c>
      <c r="EK238" s="68" t="e">
        <f t="shared" si="343"/>
        <v>#N/A</v>
      </c>
      <c r="EL238" s="46">
        <f t="shared" si="344"/>
        <v>0</v>
      </c>
      <c r="EM238" s="46">
        <f t="shared" si="345"/>
        <v>0</v>
      </c>
    </row>
    <row r="239" spans="1:143">
      <c r="A239" s="89"/>
      <c r="B239" s="89"/>
      <c r="C239" s="89"/>
      <c r="D239" s="89"/>
      <c r="E239" s="89"/>
      <c r="F239" s="89"/>
      <c r="G239" s="34"/>
      <c r="H239" s="56">
        <f t="shared" si="346"/>
        <v>225</v>
      </c>
      <c r="I239" s="165"/>
      <c r="J239" s="163"/>
      <c r="K239" s="163"/>
      <c r="L239" s="164"/>
      <c r="M239" s="155"/>
      <c r="N239" s="155"/>
      <c r="O239" s="144"/>
      <c r="P239" s="159" t="str">
        <f>IFERROR(IF(O239&lt;&gt;"User Specified",IF(O239&lt;&gt;"", INDEX('Refrigerant GWPs'!$G$2:$G$154,MATCH(O239,'Refrigerant GWPs'!$A$2:$A$154,0)),""),U239),0)</f>
        <v/>
      </c>
      <c r="Q239" s="155"/>
      <c r="R239" s="155"/>
      <c r="S239" s="144"/>
      <c r="T239" s="159" t="str">
        <f>IF(S239&lt;&gt;"User Specified",IF(AND(S239&lt;&gt;"User Specified",S239&lt;&gt;""), INDEX('Refrigerant GWPs'!$G$2:$G$154,MATCH(S239,'Refrigerant GWPs'!$A$2:$A$154,0)),""),V239)</f>
        <v/>
      </c>
      <c r="U239" s="144"/>
      <c r="V239" s="144"/>
      <c r="W239" s="155"/>
      <c r="X239" s="155"/>
      <c r="Y239" s="144"/>
      <c r="Z239" s="159" t="str">
        <f>IF(AND(Y239&lt;&gt;"User Specified",Y239&lt;&gt;""), INDEX('Refrigerant GWPs'!$G$2:$G$154,MATCH(Y239,'Refrigerant GWPs'!$A$2:$A$154,0)),"")</f>
        <v/>
      </c>
      <c r="AA239" s="155"/>
      <c r="AB239" s="156"/>
      <c r="AC239" s="66"/>
      <c r="AD239" s="66"/>
      <c r="AE239" s="66"/>
      <c r="AF239" s="66"/>
      <c r="AG239" s="66"/>
      <c r="AH239" s="66"/>
      <c r="AI239" s="34"/>
      <c r="AJ239" s="88">
        <f t="shared" si="304"/>
        <v>0</v>
      </c>
      <c r="AK239" s="88">
        <f t="shared" si="305"/>
        <v>0</v>
      </c>
      <c r="AL239" s="88">
        <v>0</v>
      </c>
      <c r="AM239" s="88">
        <v>0</v>
      </c>
      <c r="AN239" s="81" t="str">
        <f t="shared" si="349"/>
        <v/>
      </c>
      <c r="AO239" s="88">
        <f t="shared" si="306"/>
        <v>0</v>
      </c>
      <c r="AP239" s="88">
        <f t="shared" si="307"/>
        <v>0</v>
      </c>
      <c r="AQ239" s="81" t="str">
        <f t="shared" si="308"/>
        <v/>
      </c>
      <c r="AS239" s="41" t="b">
        <f t="shared" si="309"/>
        <v>1</v>
      </c>
      <c r="AT239" s="38">
        <f t="shared" si="310"/>
        <v>0</v>
      </c>
      <c r="AU239" s="60">
        <f t="shared" si="311"/>
        <v>0</v>
      </c>
      <c r="AV239" s="41">
        <f t="shared" si="312"/>
        <v>0</v>
      </c>
      <c r="AW239" s="41" t="b">
        <f t="shared" si="313"/>
        <v>0</v>
      </c>
      <c r="AX239" t="str">
        <f t="shared" si="314"/>
        <v>+00</v>
      </c>
      <c r="AY239" t="str">
        <f t="shared" si="315"/>
        <v>+00</v>
      </c>
      <c r="BA239" s="47" t="b">
        <f t="shared" si="350"/>
        <v>1</v>
      </c>
      <c r="BB239" s="42" t="b">
        <f t="shared" si="351"/>
        <v>1</v>
      </c>
      <c r="BC239" s="42" t="b">
        <f t="shared" si="352"/>
        <v>0</v>
      </c>
      <c r="BD239" s="42" t="b">
        <f t="shared" si="353"/>
        <v>0</v>
      </c>
      <c r="BE239" s="70">
        <f t="shared" si="354"/>
        <v>0</v>
      </c>
      <c r="BF239" s="70">
        <f t="shared" si="355"/>
        <v>0</v>
      </c>
      <c r="BG239" s="34"/>
      <c r="BI239" s="47" t="b">
        <f t="shared" si="356"/>
        <v>1</v>
      </c>
      <c r="BJ239" s="47" t="b">
        <f t="shared" si="357"/>
        <v>1</v>
      </c>
      <c r="BK239" s="42" t="b">
        <f t="shared" si="358"/>
        <v>0</v>
      </c>
      <c r="BL239" s="42" t="b">
        <f t="shared" si="359"/>
        <v>0</v>
      </c>
      <c r="BM239" s="42">
        <f t="shared" si="360"/>
        <v>0</v>
      </c>
      <c r="BN239" s="42">
        <f t="shared" si="361"/>
        <v>0</v>
      </c>
      <c r="BP239" t="e">
        <f t="shared" si="362"/>
        <v>#N/A</v>
      </c>
      <c r="BQ239" t="e">
        <f t="shared" si="363"/>
        <v>#N/A</v>
      </c>
      <c r="BR239" t="e">
        <f t="shared" si="364"/>
        <v>#N/A</v>
      </c>
      <c r="BT239" s="60">
        <f t="shared" si="365"/>
        <v>0</v>
      </c>
      <c r="BU239" s="60">
        <f t="shared" si="366"/>
        <v>0</v>
      </c>
      <c r="BV239" s="60">
        <f t="shared" si="367"/>
        <v>0</v>
      </c>
      <c r="BW239" s="60">
        <f t="shared" si="368"/>
        <v>0</v>
      </c>
      <c r="BX239" s="60">
        <f t="shared" si="369"/>
        <v>0</v>
      </c>
      <c r="BY239" s="60">
        <f t="shared" si="370"/>
        <v>0</v>
      </c>
      <c r="BZ239" s="60">
        <f t="shared" si="371"/>
        <v>0</v>
      </c>
      <c r="CA239" s="60">
        <f t="shared" si="372"/>
        <v>0</v>
      </c>
      <c r="CB239" s="60" t="e">
        <f t="shared" si="320"/>
        <v>#N/A</v>
      </c>
      <c r="CC239" s="60">
        <f t="shared" si="321"/>
        <v>100000</v>
      </c>
      <c r="CD239" s="60" t="e">
        <f t="shared" si="322"/>
        <v>#N/A</v>
      </c>
      <c r="CE239" s="60">
        <f t="shared" si="323"/>
        <v>100000</v>
      </c>
      <c r="CF239" s="83" t="e">
        <f t="shared" si="373"/>
        <v>#N/A</v>
      </c>
      <c r="CG239" s="83">
        <f t="shared" si="374"/>
        <v>0</v>
      </c>
      <c r="CH239" s="83" t="e">
        <f t="shared" si="375"/>
        <v>#N/A</v>
      </c>
      <c r="CI239" s="83">
        <f t="shared" si="376"/>
        <v>0</v>
      </c>
      <c r="CJ239" s="86" t="e">
        <f t="shared" si="324"/>
        <v>#N/A</v>
      </c>
      <c r="CK239" s="82">
        <f t="shared" si="325"/>
        <v>5.3070370403969858E-3</v>
      </c>
      <c r="CL239" s="82" t="e">
        <f t="shared" si="326"/>
        <v>#N/A</v>
      </c>
      <c r="CM239" s="82">
        <f t="shared" si="327"/>
        <v>5.3070370403969858E-3</v>
      </c>
      <c r="CO239" s="149" t="str">
        <f>IF($I239&lt;&gt;"",IF(O239="User Specified",U239,INDEX('Refrigerant GWPs'!$G$2:$G$156,MATCH(O239,'Refrigerant GWPs'!$A$2:$A$156,0))),"")</f>
        <v/>
      </c>
      <c r="CP239" s="138" t="str">
        <f>IF($I239&lt;&gt;"",INDEX('Device Refrigerant Leakage'!$E$2:$E$42,MATCH($M239,'Device Refrigerant Leakage'!$B$2:$B$42,0)),"")</f>
        <v/>
      </c>
      <c r="CQ239" s="138" t="str">
        <f>IF($I239&lt;&gt;"",INDEX('Device Refrigerant Leakage'!$F$2:$F$42,MATCH($M239,'Device Refrigerant Leakage'!$B$2:$B$42,0)),"")</f>
        <v/>
      </c>
      <c r="CR239" s="145" t="str">
        <f>IF($I239&lt;&gt;"",INDEX('Device Refrigerant Leakage'!$G$2:$G$42,MATCH($M239,'Device Refrigerant Leakage'!$B$2:$B$42,0)),"")</f>
        <v/>
      </c>
      <c r="CS239" s="145" t="str">
        <f>IF($I239&lt;&gt;"",INDEX('Device Refrigerant Leakage'!$D$2:$D$42,MATCH($M239,'Device Refrigerant Leakage'!$B$2:$B$42,0))*CP239/2204.62*CO239,"")</f>
        <v/>
      </c>
      <c r="CT239" s="145" t="str">
        <f>IF($I239&lt;&gt;"",J239*(INDEX('Device Refrigerant Leakage'!$D$2:$D$42,MATCH($M239,'Device Refrigerant Leakage'!$B$2:$B$42,0))-(INDEX('Device Refrigerant Leakage'!$D$2:$D$42,MATCH($M239,'Device Refrigerant Leakage'!$B$2:$B$42,0)))*CR239*CP239)*CQ239/2204.62*CO239,"")</f>
        <v/>
      </c>
      <c r="CU239" s="135" t="str">
        <f>IF($I239&lt;&gt;"",J239*IF(W239&lt;&gt;"AR",(CS239*K239)+CT239,(CS239*AB239)+CT239*(AB239/INDEX('Device Refrigerant Leakage'!$C$2:$C$42,MATCH($M239,'Device Refrigerant Leakage'!$B$2:$B$42,0)))),"")</f>
        <v/>
      </c>
      <c r="CW239" s="135" t="str">
        <f>IF($I239&lt;&gt;"",IF(S239="User Specified",V239,INDEX('Refrigerant GWPs'!$G$2:$G$156,MATCH(S239,'Refrigerant GWPs'!$A$2:$A$157,0))),"")</f>
        <v/>
      </c>
      <c r="CX239" s="138" t="str">
        <f>IF($I239&lt;&gt;"",INDEX('Device Refrigerant Leakage'!$E$2:$E$42,MATCH($Q239,'Device Refrigerant Leakage'!$B$2:$B$42,0)),"")</f>
        <v/>
      </c>
      <c r="CY239" s="138" t="str">
        <f>IF($I239&lt;&gt;"",INDEX('Device Refrigerant Leakage'!$F$2:$F$42,MATCH($Q239,'Device Refrigerant Leakage'!$B$2:$B$42,0)),"")</f>
        <v/>
      </c>
      <c r="CZ239" s="145" t="str">
        <f>IF($I239&lt;&gt;"",INDEX('Device Refrigerant Leakage'!$G$2:$G$42,MATCH($Q239,'Device Refrigerant Leakage'!$B$2:$B$42,0)),"")</f>
        <v/>
      </c>
      <c r="DA239" s="145" t="str">
        <f>IF($I239&lt;&gt;"",J239*INDEX('Device Refrigerant Leakage'!$D$2:$D$42,MATCH($Q239,'Device Refrigerant Leakage'!$B$2:$B$42,0))*CX239/2204.62*CW239,"")</f>
        <v/>
      </c>
      <c r="DB239" s="145" t="str">
        <f>IF($I239&lt;&gt;"",J239*(INDEX('Device Refrigerant Leakage'!$D$2:$D$42,MATCH($Q239,'Device Refrigerant Leakage'!$B$2:$B$42,0))-(INDEX('Device Refrigerant Leakage'!$D$2:$D$42,MATCH($Q239,'Device Refrigerant Leakage'!$B$2:$B$42,0)))*CZ239*CX239)*CY239/2204.62*CW239,"")</f>
        <v/>
      </c>
      <c r="DC239" s="135" t="str">
        <f t="shared" si="348"/>
        <v/>
      </c>
      <c r="DE239" s="146" t="str">
        <f>IF(W239&lt;&gt;"AR","",IF(Y239="User Specified", AA239, INDEX('Refrigerant GWPs'!$G$2:$G$154,MATCH(Y239,'Refrigerant GWPs'!$A$2:$A$154,0))))</f>
        <v/>
      </c>
      <c r="DF239" s="146" t="str">
        <f>IF(W239&lt;&gt;"AR","",INDEX('Device Refrigerant Leakage'!$E$2:$E$42,MATCH(X239,'Device Refrigerant Leakage'!$B$2:$B$42,0)))</f>
        <v/>
      </c>
      <c r="DG239" s="146" t="str">
        <f>IF(W239&lt;&gt;"AR","",INDEX('Device Refrigerant Leakage'!$F$2:$F$42,MATCH(X239,'Device Refrigerant Leakage'!$B$2:$B$42,0)))</f>
        <v/>
      </c>
      <c r="DH239" s="146" t="str">
        <f>IF(W239&lt;&gt;"AR","",INDEX('Device Refrigerant Leakage'!$G$2:$G$42,MATCH(X239,'Device Refrigerant Leakage'!$B$2:$B$42,0)))</f>
        <v/>
      </c>
      <c r="DI239" s="146" t="str">
        <f>IF(W239&lt;&gt;"AR","",J239*INDEX('Device Refrigerant Leakage'!$D$2:$D$42,MATCH(X239,'Device Refrigerant Leakage'!$B$2:$B$42,0))*DF239/2204.62*DE239)</f>
        <v/>
      </c>
      <c r="DJ239" s="146" t="str">
        <f>IF(W239&lt;&gt;"AR","",J239*(INDEX('Device Refrigerant Leakage'!$D$2:$D$42,MATCH(X239,'Device Refrigerant Leakage'!$B$2:$B$42,0))-(INDEX('Device Refrigerant Leakage'!$D$2:$D$42,MATCH(X239,'Device Refrigerant Leakage'!$B$2:$B$42,0)))*DH239*DF239)*DG239/2204.62*DE239)</f>
        <v/>
      </c>
      <c r="DK239" s="146" t="str">
        <f>IF(W239&lt;&gt;"AR","",DI239*(K239-AB239)+'Fuel Sub Calcs-Deemed'!DJ239*((K239-AB239)/INDEX('Device Refrigerant Leakage'!$C$2:$C$42,MATCH('Fuel Sub Calcs-Deemed'!X239,'Device Refrigerant Leakage'!$B$2:$B$42,0))))</f>
        <v/>
      </c>
      <c r="DM239" s="56">
        <v>225</v>
      </c>
      <c r="DN239" s="67" t="e">
        <f t="shared" si="328"/>
        <v>#N/A</v>
      </c>
      <c r="DO239" s="45" t="e">
        <f t="shared" si="329"/>
        <v>#N/A</v>
      </c>
      <c r="DP239" s="67" t="e">
        <f t="shared" si="330"/>
        <v>#N/A</v>
      </c>
      <c r="DQ239" s="45" t="e">
        <f t="shared" si="331"/>
        <v>#N/A</v>
      </c>
      <c r="DR239" s="69" t="e">
        <f t="shared" si="332"/>
        <v>#N/A</v>
      </c>
      <c r="DS239" s="34"/>
      <c r="DT239" s="67" t="e">
        <f>((BX239*CJ239)+IF($W239=MAT_AR,(BZ239*CL239),0))*(1+Reference!$E$50+Reference!$E$51)</f>
        <v>#N/A</v>
      </c>
      <c r="DU239" s="67">
        <f>((BY239*CK239)+IF($W239=MAT_AR,(CA239*CM239),0))*(1+Reference!$G$50+Reference!$G$51)</f>
        <v>0</v>
      </c>
      <c r="DV239" s="67" t="e">
        <f t="shared" si="333"/>
        <v>#VALUE!</v>
      </c>
      <c r="DX239" s="56">
        <v>225</v>
      </c>
      <c r="DY239" s="67">
        <f t="shared" si="334"/>
        <v>0</v>
      </c>
      <c r="DZ239" s="45" t="e">
        <f>VLOOKUP($R239,Dropdown!$C$3:$D$4,2,FALSE)</f>
        <v>#N/A</v>
      </c>
      <c r="EA239" s="68">
        <f t="shared" si="335"/>
        <v>0</v>
      </c>
      <c r="EB239" s="68" t="str">
        <f t="shared" si="336"/>
        <v>N/A</v>
      </c>
      <c r="EC239" s="68">
        <f t="shared" si="337"/>
        <v>0</v>
      </c>
      <c r="ED239" s="68" t="str">
        <f t="shared" si="377"/>
        <v>N/A</v>
      </c>
      <c r="EF239" s="56">
        <v>225</v>
      </c>
      <c r="EG239" s="46">
        <f t="shared" si="339"/>
        <v>0</v>
      </c>
      <c r="EH239" s="68" t="e">
        <f t="shared" si="340"/>
        <v>#N/A</v>
      </c>
      <c r="EI239" s="68" t="e">
        <f t="shared" si="341"/>
        <v>#N/A</v>
      </c>
      <c r="EJ239" s="68" t="e">
        <f t="shared" si="342"/>
        <v>#N/A</v>
      </c>
      <c r="EK239" s="68" t="e">
        <f t="shared" si="343"/>
        <v>#N/A</v>
      </c>
      <c r="EL239" s="46">
        <f t="shared" si="344"/>
        <v>0</v>
      </c>
      <c r="EM239" s="46">
        <f t="shared" si="345"/>
        <v>0</v>
      </c>
    </row>
    <row r="240" spans="1:143">
      <c r="A240" s="89"/>
      <c r="B240" s="89"/>
      <c r="C240" s="89"/>
      <c r="D240" s="89"/>
      <c r="E240" s="89"/>
      <c r="F240" s="89"/>
      <c r="G240" s="34"/>
      <c r="H240" s="56">
        <f t="shared" si="346"/>
        <v>226</v>
      </c>
      <c r="I240" s="165"/>
      <c r="J240" s="163"/>
      <c r="K240" s="163"/>
      <c r="L240" s="164"/>
      <c r="M240" s="155"/>
      <c r="N240" s="155"/>
      <c r="O240" s="144"/>
      <c r="P240" s="159" t="str">
        <f>IFERROR(IF(O240&lt;&gt;"User Specified",IF(O240&lt;&gt;"", INDEX('Refrigerant GWPs'!$G$2:$G$154,MATCH(O240,'Refrigerant GWPs'!$A$2:$A$154,0)),""),U240),0)</f>
        <v/>
      </c>
      <c r="Q240" s="155"/>
      <c r="R240" s="155"/>
      <c r="S240" s="144"/>
      <c r="T240" s="159" t="str">
        <f>IF(S240&lt;&gt;"User Specified",IF(AND(S240&lt;&gt;"User Specified",S240&lt;&gt;""), INDEX('Refrigerant GWPs'!$G$2:$G$154,MATCH(S240,'Refrigerant GWPs'!$A$2:$A$154,0)),""),V240)</f>
        <v/>
      </c>
      <c r="U240" s="144"/>
      <c r="V240" s="144"/>
      <c r="W240" s="155"/>
      <c r="X240" s="155"/>
      <c r="Y240" s="144"/>
      <c r="Z240" s="159" t="str">
        <f>IF(AND(Y240&lt;&gt;"User Specified",Y240&lt;&gt;""), INDEX('Refrigerant GWPs'!$G$2:$G$154,MATCH(Y240,'Refrigerant GWPs'!$A$2:$A$154,0)),"")</f>
        <v/>
      </c>
      <c r="AA240" s="155"/>
      <c r="AB240" s="156"/>
      <c r="AC240" s="66"/>
      <c r="AD240" s="66"/>
      <c r="AE240" s="66"/>
      <c r="AF240" s="66"/>
      <c r="AG240" s="66"/>
      <c r="AH240" s="66"/>
      <c r="AI240" s="34"/>
      <c r="AJ240" s="88">
        <f t="shared" si="304"/>
        <v>0</v>
      </c>
      <c r="AK240" s="88">
        <f t="shared" si="305"/>
        <v>0</v>
      </c>
      <c r="AL240" s="88">
        <v>0</v>
      </c>
      <c r="AM240" s="88">
        <v>0</v>
      </c>
      <c r="AN240" s="81" t="str">
        <f t="shared" si="349"/>
        <v/>
      </c>
      <c r="AO240" s="88">
        <f t="shared" si="306"/>
        <v>0</v>
      </c>
      <c r="AP240" s="88">
        <f t="shared" si="307"/>
        <v>0</v>
      </c>
      <c r="AQ240" s="81" t="str">
        <f t="shared" si="308"/>
        <v/>
      </c>
      <c r="AS240" s="41" t="b">
        <f t="shared" si="309"/>
        <v>1</v>
      </c>
      <c r="AT240" s="38">
        <f t="shared" si="310"/>
        <v>0</v>
      </c>
      <c r="AU240" s="60">
        <f t="shared" si="311"/>
        <v>0</v>
      </c>
      <c r="AV240" s="41">
        <f t="shared" si="312"/>
        <v>0</v>
      </c>
      <c r="AW240" s="41" t="b">
        <f t="shared" si="313"/>
        <v>0</v>
      </c>
      <c r="AX240" t="str">
        <f t="shared" si="314"/>
        <v>+00</v>
      </c>
      <c r="AY240" t="str">
        <f t="shared" si="315"/>
        <v>+00</v>
      </c>
      <c r="BA240" s="47" t="b">
        <f t="shared" si="350"/>
        <v>1</v>
      </c>
      <c r="BB240" s="42" t="b">
        <f t="shared" si="351"/>
        <v>1</v>
      </c>
      <c r="BC240" s="42" t="b">
        <f t="shared" si="352"/>
        <v>0</v>
      </c>
      <c r="BD240" s="42" t="b">
        <f t="shared" si="353"/>
        <v>0</v>
      </c>
      <c r="BE240" s="70">
        <f t="shared" si="354"/>
        <v>0</v>
      </c>
      <c r="BF240" s="70">
        <f t="shared" si="355"/>
        <v>0</v>
      </c>
      <c r="BG240" s="34"/>
      <c r="BI240" s="47" t="b">
        <f t="shared" si="356"/>
        <v>1</v>
      </c>
      <c r="BJ240" s="47" t="b">
        <f t="shared" si="357"/>
        <v>1</v>
      </c>
      <c r="BK240" s="42" t="b">
        <f t="shared" si="358"/>
        <v>0</v>
      </c>
      <c r="BL240" s="42" t="b">
        <f t="shared" si="359"/>
        <v>0</v>
      </c>
      <c r="BM240" s="42">
        <f t="shared" si="360"/>
        <v>0</v>
      </c>
      <c r="BN240" s="42">
        <f t="shared" si="361"/>
        <v>0</v>
      </c>
      <c r="BP240" t="e">
        <f t="shared" si="362"/>
        <v>#N/A</v>
      </c>
      <c r="BQ240" t="e">
        <f t="shared" si="363"/>
        <v>#N/A</v>
      </c>
      <c r="BR240" t="e">
        <f t="shared" si="364"/>
        <v>#N/A</v>
      </c>
      <c r="BT240" s="60">
        <f t="shared" si="365"/>
        <v>0</v>
      </c>
      <c r="BU240" s="60">
        <f t="shared" si="366"/>
        <v>0</v>
      </c>
      <c r="BV240" s="60">
        <f t="shared" si="367"/>
        <v>0</v>
      </c>
      <c r="BW240" s="60">
        <f t="shared" si="368"/>
        <v>0</v>
      </c>
      <c r="BX240" s="60">
        <f t="shared" si="369"/>
        <v>0</v>
      </c>
      <c r="BY240" s="60">
        <f t="shared" si="370"/>
        <v>0</v>
      </c>
      <c r="BZ240" s="60">
        <f t="shared" si="371"/>
        <v>0</v>
      </c>
      <c r="CA240" s="60">
        <f t="shared" si="372"/>
        <v>0</v>
      </c>
      <c r="CB240" s="60" t="e">
        <f t="shared" si="320"/>
        <v>#N/A</v>
      </c>
      <c r="CC240" s="60">
        <f t="shared" si="321"/>
        <v>100000</v>
      </c>
      <c r="CD240" s="60" t="e">
        <f t="shared" si="322"/>
        <v>#N/A</v>
      </c>
      <c r="CE240" s="60">
        <f t="shared" si="323"/>
        <v>100000</v>
      </c>
      <c r="CF240" s="83" t="e">
        <f t="shared" si="373"/>
        <v>#N/A</v>
      </c>
      <c r="CG240" s="83">
        <f t="shared" si="374"/>
        <v>0</v>
      </c>
      <c r="CH240" s="83" t="e">
        <f t="shared" si="375"/>
        <v>#N/A</v>
      </c>
      <c r="CI240" s="83">
        <f t="shared" si="376"/>
        <v>0</v>
      </c>
      <c r="CJ240" s="86" t="e">
        <f t="shared" si="324"/>
        <v>#N/A</v>
      </c>
      <c r="CK240" s="82">
        <f t="shared" si="325"/>
        <v>5.3070370403969858E-3</v>
      </c>
      <c r="CL240" s="82" t="e">
        <f t="shared" si="326"/>
        <v>#N/A</v>
      </c>
      <c r="CM240" s="82">
        <f t="shared" si="327"/>
        <v>5.3070370403969858E-3</v>
      </c>
      <c r="CO240" s="149" t="str">
        <f>IF($I240&lt;&gt;"",IF(O240="User Specified",U240,INDEX('Refrigerant GWPs'!$G$2:$G$156,MATCH(O240,'Refrigerant GWPs'!$A$2:$A$156,0))),"")</f>
        <v/>
      </c>
      <c r="CP240" s="138" t="str">
        <f>IF($I240&lt;&gt;"",INDEX('Device Refrigerant Leakage'!$E$2:$E$42,MATCH($M240,'Device Refrigerant Leakage'!$B$2:$B$42,0)),"")</f>
        <v/>
      </c>
      <c r="CQ240" s="138" t="str">
        <f>IF($I240&lt;&gt;"",INDEX('Device Refrigerant Leakage'!$F$2:$F$42,MATCH($M240,'Device Refrigerant Leakage'!$B$2:$B$42,0)),"")</f>
        <v/>
      </c>
      <c r="CR240" s="145" t="str">
        <f>IF($I240&lt;&gt;"",INDEX('Device Refrigerant Leakage'!$G$2:$G$42,MATCH($M240,'Device Refrigerant Leakage'!$B$2:$B$42,0)),"")</f>
        <v/>
      </c>
      <c r="CS240" s="145" t="str">
        <f>IF($I240&lt;&gt;"",INDEX('Device Refrigerant Leakage'!$D$2:$D$42,MATCH($M240,'Device Refrigerant Leakage'!$B$2:$B$42,0))*CP240/2204.62*CO240,"")</f>
        <v/>
      </c>
      <c r="CT240" s="145" t="str">
        <f>IF($I240&lt;&gt;"",J240*(INDEX('Device Refrigerant Leakage'!$D$2:$D$42,MATCH($M240,'Device Refrigerant Leakage'!$B$2:$B$42,0))-(INDEX('Device Refrigerant Leakage'!$D$2:$D$42,MATCH($M240,'Device Refrigerant Leakage'!$B$2:$B$42,0)))*CR240*CP240)*CQ240/2204.62*CO240,"")</f>
        <v/>
      </c>
      <c r="CU240" s="135" t="str">
        <f>IF($I240&lt;&gt;"",J240*IF(W240&lt;&gt;"AR",(CS240*K240)+CT240,(CS240*AB240)+CT240*(AB240/INDEX('Device Refrigerant Leakage'!$C$2:$C$42,MATCH($M240,'Device Refrigerant Leakage'!$B$2:$B$42,0)))),"")</f>
        <v/>
      </c>
      <c r="CW240" s="135" t="str">
        <f>IF($I240&lt;&gt;"",IF(S240="User Specified",V240,INDEX('Refrigerant GWPs'!$G$2:$G$156,MATCH(S240,'Refrigerant GWPs'!$A$2:$A$157,0))),"")</f>
        <v/>
      </c>
      <c r="CX240" s="138" t="str">
        <f>IF($I240&lt;&gt;"",INDEX('Device Refrigerant Leakage'!$E$2:$E$42,MATCH($Q240,'Device Refrigerant Leakage'!$B$2:$B$42,0)),"")</f>
        <v/>
      </c>
      <c r="CY240" s="138" t="str">
        <f>IF($I240&lt;&gt;"",INDEX('Device Refrigerant Leakage'!$F$2:$F$42,MATCH($Q240,'Device Refrigerant Leakage'!$B$2:$B$42,0)),"")</f>
        <v/>
      </c>
      <c r="CZ240" s="145" t="str">
        <f>IF($I240&lt;&gt;"",INDEX('Device Refrigerant Leakage'!$G$2:$G$42,MATCH($Q240,'Device Refrigerant Leakage'!$B$2:$B$42,0)),"")</f>
        <v/>
      </c>
      <c r="DA240" s="145" t="str">
        <f>IF($I240&lt;&gt;"",J240*INDEX('Device Refrigerant Leakage'!$D$2:$D$42,MATCH($Q240,'Device Refrigerant Leakage'!$B$2:$B$42,0))*CX240/2204.62*CW240,"")</f>
        <v/>
      </c>
      <c r="DB240" s="145" t="str">
        <f>IF($I240&lt;&gt;"",J240*(INDEX('Device Refrigerant Leakage'!$D$2:$D$42,MATCH($Q240,'Device Refrigerant Leakage'!$B$2:$B$42,0))-(INDEX('Device Refrigerant Leakage'!$D$2:$D$42,MATCH($Q240,'Device Refrigerant Leakage'!$B$2:$B$42,0)))*CZ240*CX240)*CY240/2204.62*CW240,"")</f>
        <v/>
      </c>
      <c r="DC240" s="135" t="str">
        <f t="shared" si="348"/>
        <v/>
      </c>
      <c r="DE240" s="146" t="str">
        <f>IF(W240&lt;&gt;"AR","",IF(Y240="User Specified", AA240, INDEX('Refrigerant GWPs'!$G$2:$G$154,MATCH(Y240,'Refrigerant GWPs'!$A$2:$A$154,0))))</f>
        <v/>
      </c>
      <c r="DF240" s="146" t="str">
        <f>IF(W240&lt;&gt;"AR","",INDEX('Device Refrigerant Leakage'!$E$2:$E$42,MATCH(X240,'Device Refrigerant Leakage'!$B$2:$B$42,0)))</f>
        <v/>
      </c>
      <c r="DG240" s="146" t="str">
        <f>IF(W240&lt;&gt;"AR","",INDEX('Device Refrigerant Leakage'!$F$2:$F$42,MATCH(X240,'Device Refrigerant Leakage'!$B$2:$B$42,0)))</f>
        <v/>
      </c>
      <c r="DH240" s="146" t="str">
        <f>IF(W240&lt;&gt;"AR","",INDEX('Device Refrigerant Leakage'!$G$2:$G$42,MATCH(X240,'Device Refrigerant Leakage'!$B$2:$B$42,0)))</f>
        <v/>
      </c>
      <c r="DI240" s="146" t="str">
        <f>IF(W240&lt;&gt;"AR","",J240*INDEX('Device Refrigerant Leakage'!$D$2:$D$42,MATCH(X240,'Device Refrigerant Leakage'!$B$2:$B$42,0))*DF240/2204.62*DE240)</f>
        <v/>
      </c>
      <c r="DJ240" s="146" t="str">
        <f>IF(W240&lt;&gt;"AR","",J240*(INDEX('Device Refrigerant Leakage'!$D$2:$D$42,MATCH(X240,'Device Refrigerant Leakage'!$B$2:$B$42,0))-(INDEX('Device Refrigerant Leakage'!$D$2:$D$42,MATCH(X240,'Device Refrigerant Leakage'!$B$2:$B$42,0)))*DH240*DF240)*DG240/2204.62*DE240)</f>
        <v/>
      </c>
      <c r="DK240" s="146" t="str">
        <f>IF(W240&lt;&gt;"AR","",DI240*(K240-AB240)+'Fuel Sub Calcs-Deemed'!DJ240*((K240-AB240)/INDEX('Device Refrigerant Leakage'!$C$2:$C$42,MATCH('Fuel Sub Calcs-Deemed'!X240,'Device Refrigerant Leakage'!$B$2:$B$42,0))))</f>
        <v/>
      </c>
      <c r="DM240" s="56">
        <v>226</v>
      </c>
      <c r="DN240" s="67" t="e">
        <f t="shared" si="328"/>
        <v>#N/A</v>
      </c>
      <c r="DO240" s="45" t="e">
        <f t="shared" si="329"/>
        <v>#N/A</v>
      </c>
      <c r="DP240" s="67" t="e">
        <f t="shared" si="330"/>
        <v>#N/A</v>
      </c>
      <c r="DQ240" s="45" t="e">
        <f t="shared" si="331"/>
        <v>#N/A</v>
      </c>
      <c r="DR240" s="69" t="e">
        <f t="shared" si="332"/>
        <v>#N/A</v>
      </c>
      <c r="DS240" s="34"/>
      <c r="DT240" s="67" t="e">
        <f>((BX240*CJ240)+IF($W240=MAT_AR,(BZ240*CL240),0))*(1+Reference!$E$50+Reference!$E$51)</f>
        <v>#N/A</v>
      </c>
      <c r="DU240" s="67">
        <f>((BY240*CK240)+IF($W240=MAT_AR,(CA240*CM240),0))*(1+Reference!$G$50+Reference!$G$51)</f>
        <v>0</v>
      </c>
      <c r="DV240" s="67" t="e">
        <f t="shared" si="333"/>
        <v>#VALUE!</v>
      </c>
      <c r="DX240" s="56">
        <v>226</v>
      </c>
      <c r="DY240" s="67">
        <f t="shared" si="334"/>
        <v>0</v>
      </c>
      <c r="DZ240" s="45" t="e">
        <f>VLOOKUP($R240,Dropdown!$C$3:$D$4,2,FALSE)</f>
        <v>#N/A</v>
      </c>
      <c r="EA240" s="68">
        <f t="shared" si="335"/>
        <v>0</v>
      </c>
      <c r="EB240" s="68" t="str">
        <f t="shared" si="336"/>
        <v>N/A</v>
      </c>
      <c r="EC240" s="68">
        <f t="shared" si="337"/>
        <v>0</v>
      </c>
      <c r="ED240" s="68" t="str">
        <f t="shared" si="377"/>
        <v>N/A</v>
      </c>
      <c r="EF240" s="56">
        <v>226</v>
      </c>
      <c r="EG240" s="46">
        <f t="shared" si="339"/>
        <v>0</v>
      </c>
      <c r="EH240" s="68" t="e">
        <f t="shared" si="340"/>
        <v>#N/A</v>
      </c>
      <c r="EI240" s="68" t="e">
        <f t="shared" si="341"/>
        <v>#N/A</v>
      </c>
      <c r="EJ240" s="68" t="e">
        <f t="shared" si="342"/>
        <v>#N/A</v>
      </c>
      <c r="EK240" s="68" t="e">
        <f t="shared" si="343"/>
        <v>#N/A</v>
      </c>
      <c r="EL240" s="46">
        <f t="shared" si="344"/>
        <v>0</v>
      </c>
      <c r="EM240" s="46">
        <f t="shared" si="345"/>
        <v>0</v>
      </c>
    </row>
    <row r="241" spans="1:143">
      <c r="A241" s="89"/>
      <c r="B241" s="89"/>
      <c r="C241" s="89"/>
      <c r="D241" s="89"/>
      <c r="E241" s="89"/>
      <c r="F241" s="89"/>
      <c r="G241" s="34"/>
      <c r="H241" s="56">
        <f t="shared" si="346"/>
        <v>227</v>
      </c>
      <c r="I241" s="165"/>
      <c r="J241" s="163"/>
      <c r="K241" s="163"/>
      <c r="L241" s="164"/>
      <c r="M241" s="155"/>
      <c r="N241" s="155"/>
      <c r="O241" s="144"/>
      <c r="P241" s="159" t="str">
        <f>IFERROR(IF(O241&lt;&gt;"User Specified",IF(O241&lt;&gt;"", INDEX('Refrigerant GWPs'!$G$2:$G$154,MATCH(O241,'Refrigerant GWPs'!$A$2:$A$154,0)),""),U241),0)</f>
        <v/>
      </c>
      <c r="Q241" s="155"/>
      <c r="R241" s="155"/>
      <c r="S241" s="144"/>
      <c r="T241" s="159" t="str">
        <f>IF(S241&lt;&gt;"User Specified",IF(AND(S241&lt;&gt;"User Specified",S241&lt;&gt;""), INDEX('Refrigerant GWPs'!$G$2:$G$154,MATCH(S241,'Refrigerant GWPs'!$A$2:$A$154,0)),""),V241)</f>
        <v/>
      </c>
      <c r="U241" s="144"/>
      <c r="V241" s="144"/>
      <c r="W241" s="155"/>
      <c r="X241" s="155"/>
      <c r="Y241" s="144"/>
      <c r="Z241" s="159" t="str">
        <f>IF(AND(Y241&lt;&gt;"User Specified",Y241&lt;&gt;""), INDEX('Refrigerant GWPs'!$G$2:$G$154,MATCH(Y241,'Refrigerant GWPs'!$A$2:$A$154,0)),"")</f>
        <v/>
      </c>
      <c r="AA241" s="155"/>
      <c r="AB241" s="156"/>
      <c r="AC241" s="66"/>
      <c r="AD241" s="66"/>
      <c r="AE241" s="66"/>
      <c r="AF241" s="66"/>
      <c r="AG241" s="66"/>
      <c r="AH241" s="66"/>
      <c r="AI241" s="34"/>
      <c r="AJ241" s="88">
        <f t="shared" si="304"/>
        <v>0</v>
      </c>
      <c r="AK241" s="88">
        <f t="shared" si="305"/>
        <v>0</v>
      </c>
      <c r="AL241" s="88">
        <v>0</v>
      </c>
      <c r="AM241" s="88">
        <v>0</v>
      </c>
      <c r="AN241" s="81" t="str">
        <f t="shared" si="349"/>
        <v/>
      </c>
      <c r="AO241" s="88">
        <f t="shared" si="306"/>
        <v>0</v>
      </c>
      <c r="AP241" s="88">
        <f t="shared" si="307"/>
        <v>0</v>
      </c>
      <c r="AQ241" s="81" t="str">
        <f t="shared" si="308"/>
        <v/>
      </c>
      <c r="AS241" s="41" t="b">
        <f t="shared" si="309"/>
        <v>1</v>
      </c>
      <c r="AT241" s="38">
        <f t="shared" si="310"/>
        <v>0</v>
      </c>
      <c r="AU241" s="60">
        <f t="shared" si="311"/>
        <v>0</v>
      </c>
      <c r="AV241" s="41">
        <f t="shared" si="312"/>
        <v>0</v>
      </c>
      <c r="AW241" s="41" t="b">
        <f t="shared" si="313"/>
        <v>0</v>
      </c>
      <c r="AX241" t="str">
        <f t="shared" si="314"/>
        <v>+00</v>
      </c>
      <c r="AY241" t="str">
        <f t="shared" si="315"/>
        <v>+00</v>
      </c>
      <c r="BA241" s="47" t="b">
        <f t="shared" si="350"/>
        <v>1</v>
      </c>
      <c r="BB241" s="42" t="b">
        <f t="shared" si="351"/>
        <v>1</v>
      </c>
      <c r="BC241" s="42" t="b">
        <f t="shared" si="352"/>
        <v>0</v>
      </c>
      <c r="BD241" s="42" t="b">
        <f t="shared" si="353"/>
        <v>0</v>
      </c>
      <c r="BE241" s="70">
        <f t="shared" si="354"/>
        <v>0</v>
      </c>
      <c r="BF241" s="70">
        <f t="shared" si="355"/>
        <v>0</v>
      </c>
      <c r="BG241" s="34"/>
      <c r="BI241" s="47" t="b">
        <f t="shared" si="356"/>
        <v>1</v>
      </c>
      <c r="BJ241" s="47" t="b">
        <f t="shared" si="357"/>
        <v>1</v>
      </c>
      <c r="BK241" s="42" t="b">
        <f t="shared" si="358"/>
        <v>0</v>
      </c>
      <c r="BL241" s="42" t="b">
        <f t="shared" si="359"/>
        <v>0</v>
      </c>
      <c r="BM241" s="42">
        <f t="shared" si="360"/>
        <v>0</v>
      </c>
      <c r="BN241" s="42">
        <f t="shared" si="361"/>
        <v>0</v>
      </c>
      <c r="BP241" t="e">
        <f t="shared" si="362"/>
        <v>#N/A</v>
      </c>
      <c r="BQ241" t="e">
        <f t="shared" si="363"/>
        <v>#N/A</v>
      </c>
      <c r="BR241" t="e">
        <f t="shared" si="364"/>
        <v>#N/A</v>
      </c>
      <c r="BT241" s="60">
        <f t="shared" si="365"/>
        <v>0</v>
      </c>
      <c r="BU241" s="60">
        <f t="shared" si="366"/>
        <v>0</v>
      </c>
      <c r="BV241" s="60">
        <f t="shared" si="367"/>
        <v>0</v>
      </c>
      <c r="BW241" s="60">
        <f t="shared" si="368"/>
        <v>0</v>
      </c>
      <c r="BX241" s="60">
        <f t="shared" si="369"/>
        <v>0</v>
      </c>
      <c r="BY241" s="60">
        <f t="shared" si="370"/>
        <v>0</v>
      </c>
      <c r="BZ241" s="60">
        <f t="shared" si="371"/>
        <v>0</v>
      </c>
      <c r="CA241" s="60">
        <f t="shared" si="372"/>
        <v>0</v>
      </c>
      <c r="CB241" s="60" t="e">
        <f t="shared" si="320"/>
        <v>#N/A</v>
      </c>
      <c r="CC241" s="60">
        <f t="shared" si="321"/>
        <v>100000</v>
      </c>
      <c r="CD241" s="60" t="e">
        <f t="shared" si="322"/>
        <v>#N/A</v>
      </c>
      <c r="CE241" s="60">
        <f t="shared" si="323"/>
        <v>100000</v>
      </c>
      <c r="CF241" s="83" t="e">
        <f t="shared" si="373"/>
        <v>#N/A</v>
      </c>
      <c r="CG241" s="83">
        <f t="shared" si="374"/>
        <v>0</v>
      </c>
      <c r="CH241" s="83" t="e">
        <f t="shared" si="375"/>
        <v>#N/A</v>
      </c>
      <c r="CI241" s="83">
        <f t="shared" si="376"/>
        <v>0</v>
      </c>
      <c r="CJ241" s="86" t="e">
        <f t="shared" si="324"/>
        <v>#N/A</v>
      </c>
      <c r="CK241" s="82">
        <f t="shared" si="325"/>
        <v>5.3070370403969858E-3</v>
      </c>
      <c r="CL241" s="82" t="e">
        <f t="shared" si="326"/>
        <v>#N/A</v>
      </c>
      <c r="CM241" s="82">
        <f t="shared" si="327"/>
        <v>5.3070370403969858E-3</v>
      </c>
      <c r="CO241" s="149" t="str">
        <f>IF($I241&lt;&gt;"",IF(O241="User Specified",U241,INDEX('Refrigerant GWPs'!$G$2:$G$156,MATCH(O241,'Refrigerant GWPs'!$A$2:$A$156,0))),"")</f>
        <v/>
      </c>
      <c r="CP241" s="138" t="str">
        <f>IF($I241&lt;&gt;"",INDEX('Device Refrigerant Leakage'!$E$2:$E$42,MATCH($M241,'Device Refrigerant Leakage'!$B$2:$B$42,0)),"")</f>
        <v/>
      </c>
      <c r="CQ241" s="138" t="str">
        <f>IF($I241&lt;&gt;"",INDEX('Device Refrigerant Leakage'!$F$2:$F$42,MATCH($M241,'Device Refrigerant Leakage'!$B$2:$B$42,0)),"")</f>
        <v/>
      </c>
      <c r="CR241" s="145" t="str">
        <f>IF($I241&lt;&gt;"",INDEX('Device Refrigerant Leakage'!$G$2:$G$42,MATCH($M241,'Device Refrigerant Leakage'!$B$2:$B$42,0)),"")</f>
        <v/>
      </c>
      <c r="CS241" s="145" t="str">
        <f>IF($I241&lt;&gt;"",INDEX('Device Refrigerant Leakage'!$D$2:$D$42,MATCH($M241,'Device Refrigerant Leakage'!$B$2:$B$42,0))*CP241/2204.62*CO241,"")</f>
        <v/>
      </c>
      <c r="CT241" s="145" t="str">
        <f>IF($I241&lt;&gt;"",J241*(INDEX('Device Refrigerant Leakage'!$D$2:$D$42,MATCH($M241,'Device Refrigerant Leakage'!$B$2:$B$42,0))-(INDEX('Device Refrigerant Leakage'!$D$2:$D$42,MATCH($M241,'Device Refrigerant Leakage'!$B$2:$B$42,0)))*CR241*CP241)*CQ241/2204.62*CO241,"")</f>
        <v/>
      </c>
      <c r="CU241" s="135" t="str">
        <f>IF($I241&lt;&gt;"",J241*IF(W241&lt;&gt;"AR",(CS241*K241)+CT241,(CS241*AB241)+CT241*(AB241/INDEX('Device Refrigerant Leakage'!$C$2:$C$42,MATCH($M241,'Device Refrigerant Leakage'!$B$2:$B$42,0)))),"")</f>
        <v/>
      </c>
      <c r="CW241" s="135" t="str">
        <f>IF($I241&lt;&gt;"",IF(S241="User Specified",V241,INDEX('Refrigerant GWPs'!$G$2:$G$156,MATCH(S241,'Refrigerant GWPs'!$A$2:$A$157,0))),"")</f>
        <v/>
      </c>
      <c r="CX241" s="138" t="str">
        <f>IF($I241&lt;&gt;"",INDEX('Device Refrigerant Leakage'!$E$2:$E$42,MATCH($Q241,'Device Refrigerant Leakage'!$B$2:$B$42,0)),"")</f>
        <v/>
      </c>
      <c r="CY241" s="138" t="str">
        <f>IF($I241&lt;&gt;"",INDEX('Device Refrigerant Leakage'!$F$2:$F$42,MATCH($Q241,'Device Refrigerant Leakage'!$B$2:$B$42,0)),"")</f>
        <v/>
      </c>
      <c r="CZ241" s="145" t="str">
        <f>IF($I241&lt;&gt;"",INDEX('Device Refrigerant Leakage'!$G$2:$G$42,MATCH($Q241,'Device Refrigerant Leakage'!$B$2:$B$42,0)),"")</f>
        <v/>
      </c>
      <c r="DA241" s="145" t="str">
        <f>IF($I241&lt;&gt;"",J241*INDEX('Device Refrigerant Leakage'!$D$2:$D$42,MATCH($Q241,'Device Refrigerant Leakage'!$B$2:$B$42,0))*CX241/2204.62*CW241,"")</f>
        <v/>
      </c>
      <c r="DB241" s="145" t="str">
        <f>IF($I241&lt;&gt;"",J241*(INDEX('Device Refrigerant Leakage'!$D$2:$D$42,MATCH($Q241,'Device Refrigerant Leakage'!$B$2:$B$42,0))-(INDEX('Device Refrigerant Leakage'!$D$2:$D$42,MATCH($Q241,'Device Refrigerant Leakage'!$B$2:$B$42,0)))*CZ241*CX241)*CY241/2204.62*CW241,"")</f>
        <v/>
      </c>
      <c r="DC241" s="135" t="str">
        <f t="shared" si="348"/>
        <v/>
      </c>
      <c r="DE241" s="146" t="str">
        <f>IF(W241&lt;&gt;"AR","",IF(Y241="User Specified", AA241, INDEX('Refrigerant GWPs'!$G$2:$G$154,MATCH(Y241,'Refrigerant GWPs'!$A$2:$A$154,0))))</f>
        <v/>
      </c>
      <c r="DF241" s="146" t="str">
        <f>IF(W241&lt;&gt;"AR","",INDEX('Device Refrigerant Leakage'!$E$2:$E$42,MATCH(X241,'Device Refrigerant Leakage'!$B$2:$B$42,0)))</f>
        <v/>
      </c>
      <c r="DG241" s="146" t="str">
        <f>IF(W241&lt;&gt;"AR","",INDEX('Device Refrigerant Leakage'!$F$2:$F$42,MATCH(X241,'Device Refrigerant Leakage'!$B$2:$B$42,0)))</f>
        <v/>
      </c>
      <c r="DH241" s="146" t="str">
        <f>IF(W241&lt;&gt;"AR","",INDEX('Device Refrigerant Leakage'!$G$2:$G$42,MATCH(X241,'Device Refrigerant Leakage'!$B$2:$B$42,0)))</f>
        <v/>
      </c>
      <c r="DI241" s="146" t="str">
        <f>IF(W241&lt;&gt;"AR","",J241*INDEX('Device Refrigerant Leakage'!$D$2:$D$42,MATCH(X241,'Device Refrigerant Leakage'!$B$2:$B$42,0))*DF241/2204.62*DE241)</f>
        <v/>
      </c>
      <c r="DJ241" s="146" t="str">
        <f>IF(W241&lt;&gt;"AR","",J241*(INDEX('Device Refrigerant Leakage'!$D$2:$D$42,MATCH(X241,'Device Refrigerant Leakage'!$B$2:$B$42,0))-(INDEX('Device Refrigerant Leakage'!$D$2:$D$42,MATCH(X241,'Device Refrigerant Leakage'!$B$2:$B$42,0)))*DH241*DF241)*DG241/2204.62*DE241)</f>
        <v/>
      </c>
      <c r="DK241" s="146" t="str">
        <f>IF(W241&lt;&gt;"AR","",DI241*(K241-AB241)+'Fuel Sub Calcs-Deemed'!DJ241*((K241-AB241)/INDEX('Device Refrigerant Leakage'!$C$2:$C$42,MATCH('Fuel Sub Calcs-Deemed'!X241,'Device Refrigerant Leakage'!$B$2:$B$42,0))))</f>
        <v/>
      </c>
      <c r="DM241" s="56">
        <v>227</v>
      </c>
      <c r="DN241" s="67" t="e">
        <f t="shared" si="328"/>
        <v>#N/A</v>
      </c>
      <c r="DO241" s="45" t="e">
        <f t="shared" si="329"/>
        <v>#N/A</v>
      </c>
      <c r="DP241" s="67" t="e">
        <f t="shared" si="330"/>
        <v>#N/A</v>
      </c>
      <c r="DQ241" s="45" t="e">
        <f t="shared" si="331"/>
        <v>#N/A</v>
      </c>
      <c r="DR241" s="69" t="e">
        <f t="shared" si="332"/>
        <v>#N/A</v>
      </c>
      <c r="DS241" s="34"/>
      <c r="DT241" s="67" t="e">
        <f>((BX241*CJ241)+IF($W241=MAT_AR,(BZ241*CL241),0))*(1+Reference!$E$50+Reference!$E$51)</f>
        <v>#N/A</v>
      </c>
      <c r="DU241" s="67">
        <f>((BY241*CK241)+IF($W241=MAT_AR,(CA241*CM241),0))*(1+Reference!$G$50+Reference!$G$51)</f>
        <v>0</v>
      </c>
      <c r="DV241" s="67" t="e">
        <f t="shared" si="333"/>
        <v>#VALUE!</v>
      </c>
      <c r="DX241" s="56">
        <v>227</v>
      </c>
      <c r="DY241" s="67">
        <f t="shared" si="334"/>
        <v>0</v>
      </c>
      <c r="DZ241" s="45" t="e">
        <f>VLOOKUP($R241,Dropdown!$C$3:$D$4,2,FALSE)</f>
        <v>#N/A</v>
      </c>
      <c r="EA241" s="68">
        <f t="shared" si="335"/>
        <v>0</v>
      </c>
      <c r="EB241" s="68" t="str">
        <f t="shared" si="336"/>
        <v>N/A</v>
      </c>
      <c r="EC241" s="68">
        <f t="shared" si="337"/>
        <v>0</v>
      </c>
      <c r="ED241" s="68" t="str">
        <f t="shared" si="377"/>
        <v>N/A</v>
      </c>
      <c r="EF241" s="56">
        <v>227</v>
      </c>
      <c r="EG241" s="46">
        <f t="shared" si="339"/>
        <v>0</v>
      </c>
      <c r="EH241" s="68" t="e">
        <f t="shared" si="340"/>
        <v>#N/A</v>
      </c>
      <c r="EI241" s="68" t="e">
        <f t="shared" si="341"/>
        <v>#N/A</v>
      </c>
      <c r="EJ241" s="68" t="e">
        <f t="shared" si="342"/>
        <v>#N/A</v>
      </c>
      <c r="EK241" s="68" t="e">
        <f t="shared" si="343"/>
        <v>#N/A</v>
      </c>
      <c r="EL241" s="46">
        <f t="shared" si="344"/>
        <v>0</v>
      </c>
      <c r="EM241" s="46">
        <f t="shared" si="345"/>
        <v>0</v>
      </c>
    </row>
    <row r="242" spans="1:143">
      <c r="A242" s="89"/>
      <c r="B242" s="89"/>
      <c r="C242" s="89"/>
      <c r="D242" s="89"/>
      <c r="E242" s="89"/>
      <c r="F242" s="89"/>
      <c r="G242" s="34"/>
      <c r="H242" s="56">
        <f t="shared" si="346"/>
        <v>228</v>
      </c>
      <c r="I242" s="165"/>
      <c r="J242" s="163"/>
      <c r="K242" s="163"/>
      <c r="L242" s="164"/>
      <c r="M242" s="155"/>
      <c r="N242" s="155"/>
      <c r="O242" s="144"/>
      <c r="P242" s="159" t="str">
        <f>IFERROR(IF(O242&lt;&gt;"User Specified",IF(O242&lt;&gt;"", INDEX('Refrigerant GWPs'!$G$2:$G$154,MATCH(O242,'Refrigerant GWPs'!$A$2:$A$154,0)),""),U242),0)</f>
        <v/>
      </c>
      <c r="Q242" s="155"/>
      <c r="R242" s="155"/>
      <c r="S242" s="144"/>
      <c r="T242" s="159" t="str">
        <f>IF(S242&lt;&gt;"User Specified",IF(AND(S242&lt;&gt;"User Specified",S242&lt;&gt;""), INDEX('Refrigerant GWPs'!$G$2:$G$154,MATCH(S242,'Refrigerant GWPs'!$A$2:$A$154,0)),""),V242)</f>
        <v/>
      </c>
      <c r="U242" s="144"/>
      <c r="V242" s="144"/>
      <c r="W242" s="155"/>
      <c r="X242" s="155"/>
      <c r="Y242" s="144"/>
      <c r="Z242" s="159" t="str">
        <f>IF(AND(Y242&lt;&gt;"User Specified",Y242&lt;&gt;""), INDEX('Refrigerant GWPs'!$G$2:$G$154,MATCH(Y242,'Refrigerant GWPs'!$A$2:$A$154,0)),"")</f>
        <v/>
      </c>
      <c r="AA242" s="155"/>
      <c r="AB242" s="156"/>
      <c r="AC242" s="66"/>
      <c r="AD242" s="66"/>
      <c r="AE242" s="66"/>
      <c r="AF242" s="66"/>
      <c r="AG242" s="66"/>
      <c r="AH242" s="66"/>
      <c r="AI242" s="34"/>
      <c r="AJ242" s="88">
        <f t="shared" si="304"/>
        <v>0</v>
      </c>
      <c r="AK242" s="88">
        <f t="shared" si="305"/>
        <v>0</v>
      </c>
      <c r="AL242" s="88">
        <v>0</v>
      </c>
      <c r="AM242" s="88">
        <v>0</v>
      </c>
      <c r="AN242" s="81" t="str">
        <f t="shared" si="349"/>
        <v/>
      </c>
      <c r="AO242" s="88">
        <f t="shared" si="306"/>
        <v>0</v>
      </c>
      <c r="AP242" s="88">
        <f t="shared" si="307"/>
        <v>0</v>
      </c>
      <c r="AQ242" s="81" t="str">
        <f t="shared" si="308"/>
        <v/>
      </c>
      <c r="AS242" s="41" t="b">
        <f t="shared" si="309"/>
        <v>1</v>
      </c>
      <c r="AT242" s="38">
        <f t="shared" si="310"/>
        <v>0</v>
      </c>
      <c r="AU242" s="60">
        <f t="shared" si="311"/>
        <v>0</v>
      </c>
      <c r="AV242" s="41">
        <f t="shared" si="312"/>
        <v>0</v>
      </c>
      <c r="AW242" s="41" t="b">
        <f t="shared" si="313"/>
        <v>0</v>
      </c>
      <c r="AX242" t="str">
        <f t="shared" si="314"/>
        <v>+00</v>
      </c>
      <c r="AY242" t="str">
        <f t="shared" si="315"/>
        <v>+00</v>
      </c>
      <c r="BA242" s="47" t="b">
        <f t="shared" si="350"/>
        <v>1</v>
      </c>
      <c r="BB242" s="42" t="b">
        <f t="shared" si="351"/>
        <v>1</v>
      </c>
      <c r="BC242" s="42" t="b">
        <f t="shared" si="352"/>
        <v>0</v>
      </c>
      <c r="BD242" s="42" t="b">
        <f t="shared" si="353"/>
        <v>0</v>
      </c>
      <c r="BE242" s="70">
        <f t="shared" si="354"/>
        <v>0</v>
      </c>
      <c r="BF242" s="70">
        <f t="shared" si="355"/>
        <v>0</v>
      </c>
      <c r="BG242" s="34"/>
      <c r="BI242" s="47" t="b">
        <f t="shared" si="356"/>
        <v>1</v>
      </c>
      <c r="BJ242" s="47" t="b">
        <f t="shared" si="357"/>
        <v>1</v>
      </c>
      <c r="BK242" s="42" t="b">
        <f t="shared" si="358"/>
        <v>0</v>
      </c>
      <c r="BL242" s="42" t="b">
        <f t="shared" si="359"/>
        <v>0</v>
      </c>
      <c r="BM242" s="42">
        <f t="shared" si="360"/>
        <v>0</v>
      </c>
      <c r="BN242" s="42">
        <f t="shared" si="361"/>
        <v>0</v>
      </c>
      <c r="BP242" t="e">
        <f t="shared" si="362"/>
        <v>#N/A</v>
      </c>
      <c r="BQ242" t="e">
        <f t="shared" si="363"/>
        <v>#N/A</v>
      </c>
      <c r="BR242" t="e">
        <f t="shared" si="364"/>
        <v>#N/A</v>
      </c>
      <c r="BT242" s="60">
        <f t="shared" si="365"/>
        <v>0</v>
      </c>
      <c r="BU242" s="60">
        <f t="shared" si="366"/>
        <v>0</v>
      </c>
      <c r="BV242" s="60">
        <f t="shared" si="367"/>
        <v>0</v>
      </c>
      <c r="BW242" s="60">
        <f t="shared" si="368"/>
        <v>0</v>
      </c>
      <c r="BX242" s="60">
        <f t="shared" si="369"/>
        <v>0</v>
      </c>
      <c r="BY242" s="60">
        <f t="shared" si="370"/>
        <v>0</v>
      </c>
      <c r="BZ242" s="60">
        <f t="shared" si="371"/>
        <v>0</v>
      </c>
      <c r="CA242" s="60">
        <f t="shared" si="372"/>
        <v>0</v>
      </c>
      <c r="CB242" s="60" t="e">
        <f t="shared" si="320"/>
        <v>#N/A</v>
      </c>
      <c r="CC242" s="60">
        <f t="shared" si="321"/>
        <v>100000</v>
      </c>
      <c r="CD242" s="60" t="e">
        <f t="shared" si="322"/>
        <v>#N/A</v>
      </c>
      <c r="CE242" s="60">
        <f t="shared" si="323"/>
        <v>100000</v>
      </c>
      <c r="CF242" s="83" t="e">
        <f t="shared" si="373"/>
        <v>#N/A</v>
      </c>
      <c r="CG242" s="83">
        <f t="shared" si="374"/>
        <v>0</v>
      </c>
      <c r="CH242" s="83" t="e">
        <f t="shared" si="375"/>
        <v>#N/A</v>
      </c>
      <c r="CI242" s="83">
        <f t="shared" si="376"/>
        <v>0</v>
      </c>
      <c r="CJ242" s="86" t="e">
        <f t="shared" si="324"/>
        <v>#N/A</v>
      </c>
      <c r="CK242" s="82">
        <f t="shared" si="325"/>
        <v>5.3070370403969858E-3</v>
      </c>
      <c r="CL242" s="82" t="e">
        <f t="shared" si="326"/>
        <v>#N/A</v>
      </c>
      <c r="CM242" s="82">
        <f t="shared" si="327"/>
        <v>5.3070370403969858E-3</v>
      </c>
      <c r="CO242" s="149" t="str">
        <f>IF($I242&lt;&gt;"",IF(O242="User Specified",U242,INDEX('Refrigerant GWPs'!$G$2:$G$156,MATCH(O242,'Refrigerant GWPs'!$A$2:$A$156,0))),"")</f>
        <v/>
      </c>
      <c r="CP242" s="138" t="str">
        <f>IF($I242&lt;&gt;"",INDEX('Device Refrigerant Leakage'!$E$2:$E$42,MATCH($M242,'Device Refrigerant Leakage'!$B$2:$B$42,0)),"")</f>
        <v/>
      </c>
      <c r="CQ242" s="138" t="str">
        <f>IF($I242&lt;&gt;"",INDEX('Device Refrigerant Leakage'!$F$2:$F$42,MATCH($M242,'Device Refrigerant Leakage'!$B$2:$B$42,0)),"")</f>
        <v/>
      </c>
      <c r="CR242" s="145" t="str">
        <f>IF($I242&lt;&gt;"",INDEX('Device Refrigerant Leakage'!$G$2:$G$42,MATCH($M242,'Device Refrigerant Leakage'!$B$2:$B$42,0)),"")</f>
        <v/>
      </c>
      <c r="CS242" s="145" t="str">
        <f>IF($I242&lt;&gt;"",INDEX('Device Refrigerant Leakage'!$D$2:$D$42,MATCH($M242,'Device Refrigerant Leakage'!$B$2:$B$42,0))*CP242/2204.62*CO242,"")</f>
        <v/>
      </c>
      <c r="CT242" s="145" t="str">
        <f>IF($I242&lt;&gt;"",J242*(INDEX('Device Refrigerant Leakage'!$D$2:$D$42,MATCH($M242,'Device Refrigerant Leakage'!$B$2:$B$42,0))-(INDEX('Device Refrigerant Leakage'!$D$2:$D$42,MATCH($M242,'Device Refrigerant Leakage'!$B$2:$B$42,0)))*CR242*CP242)*CQ242/2204.62*CO242,"")</f>
        <v/>
      </c>
      <c r="CU242" s="135" t="str">
        <f>IF($I242&lt;&gt;"",J242*IF(W242&lt;&gt;"AR",(CS242*K242)+CT242,(CS242*AB242)+CT242*(AB242/INDEX('Device Refrigerant Leakage'!$C$2:$C$42,MATCH($M242,'Device Refrigerant Leakage'!$B$2:$B$42,0)))),"")</f>
        <v/>
      </c>
      <c r="CW242" s="135" t="str">
        <f>IF($I242&lt;&gt;"",IF(S242="User Specified",V242,INDEX('Refrigerant GWPs'!$G$2:$G$156,MATCH(S242,'Refrigerant GWPs'!$A$2:$A$157,0))),"")</f>
        <v/>
      </c>
      <c r="CX242" s="138" t="str">
        <f>IF($I242&lt;&gt;"",INDEX('Device Refrigerant Leakage'!$E$2:$E$42,MATCH($Q242,'Device Refrigerant Leakage'!$B$2:$B$42,0)),"")</f>
        <v/>
      </c>
      <c r="CY242" s="138" t="str">
        <f>IF($I242&lt;&gt;"",INDEX('Device Refrigerant Leakage'!$F$2:$F$42,MATCH($Q242,'Device Refrigerant Leakage'!$B$2:$B$42,0)),"")</f>
        <v/>
      </c>
      <c r="CZ242" s="145" t="str">
        <f>IF($I242&lt;&gt;"",INDEX('Device Refrigerant Leakage'!$G$2:$G$42,MATCH($Q242,'Device Refrigerant Leakage'!$B$2:$B$42,0)),"")</f>
        <v/>
      </c>
      <c r="DA242" s="145" t="str">
        <f>IF($I242&lt;&gt;"",J242*INDEX('Device Refrigerant Leakage'!$D$2:$D$42,MATCH($Q242,'Device Refrigerant Leakage'!$B$2:$B$42,0))*CX242/2204.62*CW242,"")</f>
        <v/>
      </c>
      <c r="DB242" s="145" t="str">
        <f>IF($I242&lt;&gt;"",J242*(INDEX('Device Refrigerant Leakage'!$D$2:$D$42,MATCH($Q242,'Device Refrigerant Leakage'!$B$2:$B$42,0))-(INDEX('Device Refrigerant Leakage'!$D$2:$D$42,MATCH($Q242,'Device Refrigerant Leakage'!$B$2:$B$42,0)))*CZ242*CX242)*CY242/2204.62*CW242,"")</f>
        <v/>
      </c>
      <c r="DC242" s="135" t="str">
        <f t="shared" si="348"/>
        <v/>
      </c>
      <c r="DE242" s="146" t="str">
        <f>IF(W242&lt;&gt;"AR","",IF(Y242="User Specified", AA242, INDEX('Refrigerant GWPs'!$G$2:$G$154,MATCH(Y242,'Refrigerant GWPs'!$A$2:$A$154,0))))</f>
        <v/>
      </c>
      <c r="DF242" s="146" t="str">
        <f>IF(W242&lt;&gt;"AR","",INDEX('Device Refrigerant Leakage'!$E$2:$E$42,MATCH(X242,'Device Refrigerant Leakage'!$B$2:$B$42,0)))</f>
        <v/>
      </c>
      <c r="DG242" s="146" t="str">
        <f>IF(W242&lt;&gt;"AR","",INDEX('Device Refrigerant Leakage'!$F$2:$F$42,MATCH(X242,'Device Refrigerant Leakage'!$B$2:$B$42,0)))</f>
        <v/>
      </c>
      <c r="DH242" s="146" t="str">
        <f>IF(W242&lt;&gt;"AR","",INDEX('Device Refrigerant Leakage'!$G$2:$G$42,MATCH(X242,'Device Refrigerant Leakage'!$B$2:$B$42,0)))</f>
        <v/>
      </c>
      <c r="DI242" s="146" t="str">
        <f>IF(W242&lt;&gt;"AR","",J242*INDEX('Device Refrigerant Leakage'!$D$2:$D$42,MATCH(X242,'Device Refrigerant Leakage'!$B$2:$B$42,0))*DF242/2204.62*DE242)</f>
        <v/>
      </c>
      <c r="DJ242" s="146" t="str">
        <f>IF(W242&lt;&gt;"AR","",J242*(INDEX('Device Refrigerant Leakage'!$D$2:$D$42,MATCH(X242,'Device Refrigerant Leakage'!$B$2:$B$42,0))-(INDEX('Device Refrigerant Leakage'!$D$2:$D$42,MATCH(X242,'Device Refrigerant Leakage'!$B$2:$B$42,0)))*DH242*DF242)*DG242/2204.62*DE242)</f>
        <v/>
      </c>
      <c r="DK242" s="146" t="str">
        <f>IF(W242&lt;&gt;"AR","",DI242*(K242-AB242)+'Fuel Sub Calcs-Deemed'!DJ242*((K242-AB242)/INDEX('Device Refrigerant Leakage'!$C$2:$C$42,MATCH('Fuel Sub Calcs-Deemed'!X242,'Device Refrigerant Leakage'!$B$2:$B$42,0))))</f>
        <v/>
      </c>
      <c r="DM242" s="56">
        <v>228</v>
      </c>
      <c r="DN242" s="67" t="e">
        <f t="shared" si="328"/>
        <v>#N/A</v>
      </c>
      <c r="DO242" s="45" t="e">
        <f t="shared" si="329"/>
        <v>#N/A</v>
      </c>
      <c r="DP242" s="67" t="e">
        <f t="shared" si="330"/>
        <v>#N/A</v>
      </c>
      <c r="DQ242" s="45" t="e">
        <f t="shared" si="331"/>
        <v>#N/A</v>
      </c>
      <c r="DR242" s="69" t="e">
        <f t="shared" si="332"/>
        <v>#N/A</v>
      </c>
      <c r="DS242" s="34"/>
      <c r="DT242" s="67" t="e">
        <f>((BX242*CJ242)+IF($W242=MAT_AR,(BZ242*CL242),0))*(1+Reference!$E$50+Reference!$E$51)</f>
        <v>#N/A</v>
      </c>
      <c r="DU242" s="67">
        <f>((BY242*CK242)+IF($W242=MAT_AR,(CA242*CM242),0))*(1+Reference!$G$50+Reference!$G$51)</f>
        <v>0</v>
      </c>
      <c r="DV242" s="67" t="e">
        <f t="shared" si="333"/>
        <v>#VALUE!</v>
      </c>
      <c r="DX242" s="56">
        <v>228</v>
      </c>
      <c r="DY242" s="67">
        <f t="shared" si="334"/>
        <v>0</v>
      </c>
      <c r="DZ242" s="45" t="e">
        <f>VLOOKUP($R242,Dropdown!$C$3:$D$4,2,FALSE)</f>
        <v>#N/A</v>
      </c>
      <c r="EA242" s="68">
        <f t="shared" si="335"/>
        <v>0</v>
      </c>
      <c r="EB242" s="68" t="str">
        <f t="shared" si="336"/>
        <v>N/A</v>
      </c>
      <c r="EC242" s="68">
        <f t="shared" si="337"/>
        <v>0</v>
      </c>
      <c r="ED242" s="68" t="str">
        <f t="shared" si="377"/>
        <v>N/A</v>
      </c>
      <c r="EF242" s="56">
        <v>228</v>
      </c>
      <c r="EG242" s="46">
        <f t="shared" si="339"/>
        <v>0</v>
      </c>
      <c r="EH242" s="68" t="e">
        <f t="shared" si="340"/>
        <v>#N/A</v>
      </c>
      <c r="EI242" s="68" t="e">
        <f t="shared" si="341"/>
        <v>#N/A</v>
      </c>
      <c r="EJ242" s="68" t="e">
        <f t="shared" si="342"/>
        <v>#N/A</v>
      </c>
      <c r="EK242" s="68" t="e">
        <f t="shared" si="343"/>
        <v>#N/A</v>
      </c>
      <c r="EL242" s="46">
        <f t="shared" si="344"/>
        <v>0</v>
      </c>
      <c r="EM242" s="46">
        <f t="shared" si="345"/>
        <v>0</v>
      </c>
    </row>
    <row r="243" spans="1:143">
      <c r="A243" s="89"/>
      <c r="B243" s="89"/>
      <c r="C243" s="89"/>
      <c r="D243" s="89"/>
      <c r="E243" s="89"/>
      <c r="F243" s="89"/>
      <c r="G243" s="34"/>
      <c r="H243" s="56">
        <f t="shared" si="346"/>
        <v>229</v>
      </c>
      <c r="I243" s="165"/>
      <c r="J243" s="163"/>
      <c r="K243" s="163"/>
      <c r="L243" s="164"/>
      <c r="M243" s="155"/>
      <c r="N243" s="155"/>
      <c r="O243" s="144"/>
      <c r="P243" s="159" t="str">
        <f>IFERROR(IF(O243&lt;&gt;"User Specified",IF(O243&lt;&gt;"", INDEX('Refrigerant GWPs'!$G$2:$G$154,MATCH(O243,'Refrigerant GWPs'!$A$2:$A$154,0)),""),U243),0)</f>
        <v/>
      </c>
      <c r="Q243" s="155"/>
      <c r="R243" s="155"/>
      <c r="S243" s="144"/>
      <c r="T243" s="159" t="str">
        <f>IF(S243&lt;&gt;"User Specified",IF(AND(S243&lt;&gt;"User Specified",S243&lt;&gt;""), INDEX('Refrigerant GWPs'!$G$2:$G$154,MATCH(S243,'Refrigerant GWPs'!$A$2:$A$154,0)),""),V243)</f>
        <v/>
      </c>
      <c r="U243" s="144"/>
      <c r="V243" s="144"/>
      <c r="W243" s="155"/>
      <c r="X243" s="155"/>
      <c r="Y243" s="144"/>
      <c r="Z243" s="159" t="str">
        <f>IF(AND(Y243&lt;&gt;"User Specified",Y243&lt;&gt;""), INDEX('Refrigerant GWPs'!$G$2:$G$154,MATCH(Y243,'Refrigerant GWPs'!$A$2:$A$154,0)),"")</f>
        <v/>
      </c>
      <c r="AA243" s="155"/>
      <c r="AB243" s="156"/>
      <c r="AC243" s="66"/>
      <c r="AD243" s="66"/>
      <c r="AE243" s="66"/>
      <c r="AF243" s="66"/>
      <c r="AG243" s="66"/>
      <c r="AH243" s="66"/>
      <c r="AI243" s="34"/>
      <c r="AJ243" s="88">
        <f t="shared" si="304"/>
        <v>0</v>
      </c>
      <c r="AK243" s="88">
        <f t="shared" si="305"/>
        <v>0</v>
      </c>
      <c r="AL243" s="88">
        <v>0</v>
      </c>
      <c r="AM243" s="88">
        <v>0</v>
      </c>
      <c r="AN243" s="81" t="str">
        <f t="shared" si="349"/>
        <v/>
      </c>
      <c r="AO243" s="88">
        <f t="shared" si="306"/>
        <v>0</v>
      </c>
      <c r="AP243" s="88">
        <f t="shared" si="307"/>
        <v>0</v>
      </c>
      <c r="AQ243" s="81" t="str">
        <f t="shared" si="308"/>
        <v/>
      </c>
      <c r="AS243" s="41" t="b">
        <f t="shared" si="309"/>
        <v>1</v>
      </c>
      <c r="AT243" s="38">
        <f t="shared" si="310"/>
        <v>0</v>
      </c>
      <c r="AU243" s="60">
        <f t="shared" si="311"/>
        <v>0</v>
      </c>
      <c r="AV243" s="41">
        <f t="shared" si="312"/>
        <v>0</v>
      </c>
      <c r="AW243" s="41" t="b">
        <f t="shared" si="313"/>
        <v>0</v>
      </c>
      <c r="AX243" t="str">
        <f t="shared" si="314"/>
        <v>+00</v>
      </c>
      <c r="AY243" t="str">
        <f t="shared" si="315"/>
        <v>+00</v>
      </c>
      <c r="BA243" s="47" t="b">
        <f t="shared" si="350"/>
        <v>1</v>
      </c>
      <c r="BB243" s="42" t="b">
        <f t="shared" si="351"/>
        <v>1</v>
      </c>
      <c r="BC243" s="42" t="b">
        <f t="shared" si="352"/>
        <v>0</v>
      </c>
      <c r="BD243" s="42" t="b">
        <f t="shared" si="353"/>
        <v>0</v>
      </c>
      <c r="BE243" s="70">
        <f t="shared" si="354"/>
        <v>0</v>
      </c>
      <c r="BF243" s="70">
        <f t="shared" si="355"/>
        <v>0</v>
      </c>
      <c r="BG243" s="34"/>
      <c r="BI243" s="47" t="b">
        <f t="shared" si="356"/>
        <v>1</v>
      </c>
      <c r="BJ243" s="47" t="b">
        <f t="shared" si="357"/>
        <v>1</v>
      </c>
      <c r="BK243" s="42" t="b">
        <f t="shared" si="358"/>
        <v>0</v>
      </c>
      <c r="BL243" s="42" t="b">
        <f t="shared" si="359"/>
        <v>0</v>
      </c>
      <c r="BM243" s="42">
        <f t="shared" si="360"/>
        <v>0</v>
      </c>
      <c r="BN243" s="42">
        <f t="shared" si="361"/>
        <v>0</v>
      </c>
      <c r="BP243" t="e">
        <f t="shared" si="362"/>
        <v>#N/A</v>
      </c>
      <c r="BQ243" t="e">
        <f t="shared" si="363"/>
        <v>#N/A</v>
      </c>
      <c r="BR243" t="e">
        <f t="shared" si="364"/>
        <v>#N/A</v>
      </c>
      <c r="BT243" s="60">
        <f t="shared" si="365"/>
        <v>0</v>
      </c>
      <c r="BU243" s="60">
        <f t="shared" si="366"/>
        <v>0</v>
      </c>
      <c r="BV243" s="60">
        <f t="shared" si="367"/>
        <v>0</v>
      </c>
      <c r="BW243" s="60">
        <f t="shared" si="368"/>
        <v>0</v>
      </c>
      <c r="BX243" s="60">
        <f t="shared" si="369"/>
        <v>0</v>
      </c>
      <c r="BY243" s="60">
        <f t="shared" si="370"/>
        <v>0</v>
      </c>
      <c r="BZ243" s="60">
        <f t="shared" si="371"/>
        <v>0</v>
      </c>
      <c r="CA243" s="60">
        <f t="shared" si="372"/>
        <v>0</v>
      </c>
      <c r="CB243" s="60" t="e">
        <f t="shared" si="320"/>
        <v>#N/A</v>
      </c>
      <c r="CC243" s="60">
        <f t="shared" si="321"/>
        <v>100000</v>
      </c>
      <c r="CD243" s="60" t="e">
        <f t="shared" si="322"/>
        <v>#N/A</v>
      </c>
      <c r="CE243" s="60">
        <f t="shared" si="323"/>
        <v>100000</v>
      </c>
      <c r="CF243" s="83" t="e">
        <f t="shared" si="373"/>
        <v>#N/A</v>
      </c>
      <c r="CG243" s="83">
        <f t="shared" si="374"/>
        <v>0</v>
      </c>
      <c r="CH243" s="83" t="e">
        <f t="shared" si="375"/>
        <v>#N/A</v>
      </c>
      <c r="CI243" s="83">
        <f t="shared" si="376"/>
        <v>0</v>
      </c>
      <c r="CJ243" s="86" t="e">
        <f t="shared" si="324"/>
        <v>#N/A</v>
      </c>
      <c r="CK243" s="82">
        <f t="shared" si="325"/>
        <v>5.3070370403969858E-3</v>
      </c>
      <c r="CL243" s="82" t="e">
        <f t="shared" si="326"/>
        <v>#N/A</v>
      </c>
      <c r="CM243" s="82">
        <f t="shared" si="327"/>
        <v>5.3070370403969858E-3</v>
      </c>
      <c r="CO243" s="149" t="str">
        <f>IF($I243&lt;&gt;"",IF(O243="User Specified",U243,INDEX('Refrigerant GWPs'!$G$2:$G$156,MATCH(O243,'Refrigerant GWPs'!$A$2:$A$156,0))),"")</f>
        <v/>
      </c>
      <c r="CP243" s="138" t="str">
        <f>IF($I243&lt;&gt;"",INDEX('Device Refrigerant Leakage'!$E$2:$E$42,MATCH($M243,'Device Refrigerant Leakage'!$B$2:$B$42,0)),"")</f>
        <v/>
      </c>
      <c r="CQ243" s="138" t="str">
        <f>IF($I243&lt;&gt;"",INDEX('Device Refrigerant Leakage'!$F$2:$F$42,MATCH($M243,'Device Refrigerant Leakage'!$B$2:$B$42,0)),"")</f>
        <v/>
      </c>
      <c r="CR243" s="145" t="str">
        <f>IF($I243&lt;&gt;"",INDEX('Device Refrigerant Leakage'!$G$2:$G$42,MATCH($M243,'Device Refrigerant Leakage'!$B$2:$B$42,0)),"")</f>
        <v/>
      </c>
      <c r="CS243" s="145" t="str">
        <f>IF($I243&lt;&gt;"",INDEX('Device Refrigerant Leakage'!$D$2:$D$42,MATCH($M243,'Device Refrigerant Leakage'!$B$2:$B$42,0))*CP243/2204.62*CO243,"")</f>
        <v/>
      </c>
      <c r="CT243" s="145" t="str">
        <f>IF($I243&lt;&gt;"",J243*(INDEX('Device Refrigerant Leakage'!$D$2:$D$42,MATCH($M243,'Device Refrigerant Leakage'!$B$2:$B$42,0))-(INDEX('Device Refrigerant Leakage'!$D$2:$D$42,MATCH($M243,'Device Refrigerant Leakage'!$B$2:$B$42,0)))*CR243*CP243)*CQ243/2204.62*CO243,"")</f>
        <v/>
      </c>
      <c r="CU243" s="135" t="str">
        <f>IF($I243&lt;&gt;"",J243*IF(W243&lt;&gt;"AR",(CS243*K243)+CT243,(CS243*AB243)+CT243*(AB243/INDEX('Device Refrigerant Leakage'!$C$2:$C$42,MATCH($M243,'Device Refrigerant Leakage'!$B$2:$B$42,0)))),"")</f>
        <v/>
      </c>
      <c r="CW243" s="135" t="str">
        <f>IF($I243&lt;&gt;"",IF(S243="User Specified",V243,INDEX('Refrigerant GWPs'!$G$2:$G$156,MATCH(S243,'Refrigerant GWPs'!$A$2:$A$157,0))),"")</f>
        <v/>
      </c>
      <c r="CX243" s="138" t="str">
        <f>IF($I243&lt;&gt;"",INDEX('Device Refrigerant Leakage'!$E$2:$E$42,MATCH($Q243,'Device Refrigerant Leakage'!$B$2:$B$42,0)),"")</f>
        <v/>
      </c>
      <c r="CY243" s="138" t="str">
        <f>IF($I243&lt;&gt;"",INDEX('Device Refrigerant Leakage'!$F$2:$F$42,MATCH($Q243,'Device Refrigerant Leakage'!$B$2:$B$42,0)),"")</f>
        <v/>
      </c>
      <c r="CZ243" s="145" t="str">
        <f>IF($I243&lt;&gt;"",INDEX('Device Refrigerant Leakage'!$G$2:$G$42,MATCH($Q243,'Device Refrigerant Leakage'!$B$2:$B$42,0)),"")</f>
        <v/>
      </c>
      <c r="DA243" s="145" t="str">
        <f>IF($I243&lt;&gt;"",J243*INDEX('Device Refrigerant Leakage'!$D$2:$D$42,MATCH($Q243,'Device Refrigerant Leakage'!$B$2:$B$42,0))*CX243/2204.62*CW243,"")</f>
        <v/>
      </c>
      <c r="DB243" s="145" t="str">
        <f>IF($I243&lt;&gt;"",J243*(INDEX('Device Refrigerant Leakage'!$D$2:$D$42,MATCH($Q243,'Device Refrigerant Leakage'!$B$2:$B$42,0))-(INDEX('Device Refrigerant Leakage'!$D$2:$D$42,MATCH($Q243,'Device Refrigerant Leakage'!$B$2:$B$42,0)))*CZ243*CX243)*CY243/2204.62*CW243,"")</f>
        <v/>
      </c>
      <c r="DC243" s="135" t="str">
        <f t="shared" si="348"/>
        <v/>
      </c>
      <c r="DE243" s="146" t="str">
        <f>IF(W243&lt;&gt;"AR","",IF(Y243="User Specified", AA243, INDEX('Refrigerant GWPs'!$G$2:$G$154,MATCH(Y243,'Refrigerant GWPs'!$A$2:$A$154,0))))</f>
        <v/>
      </c>
      <c r="DF243" s="146" t="str">
        <f>IF(W243&lt;&gt;"AR","",INDEX('Device Refrigerant Leakage'!$E$2:$E$42,MATCH(X243,'Device Refrigerant Leakage'!$B$2:$B$42,0)))</f>
        <v/>
      </c>
      <c r="DG243" s="146" t="str">
        <f>IF(W243&lt;&gt;"AR","",INDEX('Device Refrigerant Leakage'!$F$2:$F$42,MATCH(X243,'Device Refrigerant Leakage'!$B$2:$B$42,0)))</f>
        <v/>
      </c>
      <c r="DH243" s="146" t="str">
        <f>IF(W243&lt;&gt;"AR","",INDEX('Device Refrigerant Leakage'!$G$2:$G$42,MATCH(X243,'Device Refrigerant Leakage'!$B$2:$B$42,0)))</f>
        <v/>
      </c>
      <c r="DI243" s="146" t="str">
        <f>IF(W243&lt;&gt;"AR","",J243*INDEX('Device Refrigerant Leakage'!$D$2:$D$42,MATCH(X243,'Device Refrigerant Leakage'!$B$2:$B$42,0))*DF243/2204.62*DE243)</f>
        <v/>
      </c>
      <c r="DJ243" s="146" t="str">
        <f>IF(W243&lt;&gt;"AR","",J243*(INDEX('Device Refrigerant Leakage'!$D$2:$D$42,MATCH(X243,'Device Refrigerant Leakage'!$B$2:$B$42,0))-(INDEX('Device Refrigerant Leakage'!$D$2:$D$42,MATCH(X243,'Device Refrigerant Leakage'!$B$2:$B$42,0)))*DH243*DF243)*DG243/2204.62*DE243)</f>
        <v/>
      </c>
      <c r="DK243" s="146" t="str">
        <f>IF(W243&lt;&gt;"AR","",DI243*(K243-AB243)+'Fuel Sub Calcs-Deemed'!DJ243*((K243-AB243)/INDEX('Device Refrigerant Leakage'!$C$2:$C$42,MATCH('Fuel Sub Calcs-Deemed'!X243,'Device Refrigerant Leakage'!$B$2:$B$42,0))))</f>
        <v/>
      </c>
      <c r="DM243" s="56">
        <v>229</v>
      </c>
      <c r="DN243" s="67" t="e">
        <f t="shared" si="328"/>
        <v>#N/A</v>
      </c>
      <c r="DO243" s="45" t="e">
        <f t="shared" si="329"/>
        <v>#N/A</v>
      </c>
      <c r="DP243" s="67" t="e">
        <f t="shared" si="330"/>
        <v>#N/A</v>
      </c>
      <c r="DQ243" s="45" t="e">
        <f t="shared" si="331"/>
        <v>#N/A</v>
      </c>
      <c r="DR243" s="69" t="e">
        <f t="shared" si="332"/>
        <v>#N/A</v>
      </c>
      <c r="DS243" s="34"/>
      <c r="DT243" s="67" t="e">
        <f>((BX243*CJ243)+IF($W243=MAT_AR,(BZ243*CL243),0))*(1+Reference!$E$50+Reference!$E$51)</f>
        <v>#N/A</v>
      </c>
      <c r="DU243" s="67">
        <f>((BY243*CK243)+IF($W243=MAT_AR,(CA243*CM243),0))*(1+Reference!$G$50+Reference!$G$51)</f>
        <v>0</v>
      </c>
      <c r="DV243" s="67" t="e">
        <f t="shared" si="333"/>
        <v>#VALUE!</v>
      </c>
      <c r="DX243" s="56">
        <v>229</v>
      </c>
      <c r="DY243" s="67">
        <f t="shared" si="334"/>
        <v>0</v>
      </c>
      <c r="DZ243" s="45" t="e">
        <f>VLOOKUP($R243,Dropdown!$C$3:$D$4,2,FALSE)</f>
        <v>#N/A</v>
      </c>
      <c r="EA243" s="68">
        <f t="shared" si="335"/>
        <v>0</v>
      </c>
      <c r="EB243" s="68" t="str">
        <f t="shared" si="336"/>
        <v>N/A</v>
      </c>
      <c r="EC243" s="68">
        <f t="shared" si="337"/>
        <v>0</v>
      </c>
      <c r="ED243" s="68" t="str">
        <f t="shared" si="377"/>
        <v>N/A</v>
      </c>
      <c r="EF243" s="56">
        <v>229</v>
      </c>
      <c r="EG243" s="46">
        <f t="shared" si="339"/>
        <v>0</v>
      </c>
      <c r="EH243" s="68" t="e">
        <f t="shared" si="340"/>
        <v>#N/A</v>
      </c>
      <c r="EI243" s="68" t="e">
        <f t="shared" si="341"/>
        <v>#N/A</v>
      </c>
      <c r="EJ243" s="68" t="e">
        <f t="shared" si="342"/>
        <v>#N/A</v>
      </c>
      <c r="EK243" s="68" t="e">
        <f t="shared" si="343"/>
        <v>#N/A</v>
      </c>
      <c r="EL243" s="46">
        <f t="shared" si="344"/>
        <v>0</v>
      </c>
      <c r="EM243" s="46">
        <f t="shared" si="345"/>
        <v>0</v>
      </c>
    </row>
    <row r="244" spans="1:143">
      <c r="A244" s="89"/>
      <c r="B244" s="89"/>
      <c r="C244" s="89"/>
      <c r="D244" s="89"/>
      <c r="E244" s="89"/>
      <c r="F244" s="89"/>
      <c r="G244" s="34"/>
      <c r="H244" s="56">
        <f t="shared" si="346"/>
        <v>230</v>
      </c>
      <c r="I244" s="165"/>
      <c r="J244" s="163"/>
      <c r="K244" s="163"/>
      <c r="L244" s="164"/>
      <c r="M244" s="155"/>
      <c r="N244" s="155"/>
      <c r="O244" s="144"/>
      <c r="P244" s="159" t="str">
        <f>IFERROR(IF(O244&lt;&gt;"User Specified",IF(O244&lt;&gt;"", INDEX('Refrigerant GWPs'!$G$2:$G$154,MATCH(O244,'Refrigerant GWPs'!$A$2:$A$154,0)),""),U244),0)</f>
        <v/>
      </c>
      <c r="Q244" s="155"/>
      <c r="R244" s="155"/>
      <c r="S244" s="144"/>
      <c r="T244" s="159" t="str">
        <f>IF(S244&lt;&gt;"User Specified",IF(AND(S244&lt;&gt;"User Specified",S244&lt;&gt;""), INDEX('Refrigerant GWPs'!$G$2:$G$154,MATCH(S244,'Refrigerant GWPs'!$A$2:$A$154,0)),""),V244)</f>
        <v/>
      </c>
      <c r="U244" s="144"/>
      <c r="V244" s="144"/>
      <c r="W244" s="155"/>
      <c r="X244" s="155"/>
      <c r="Y244" s="144"/>
      <c r="Z244" s="159" t="str">
        <f>IF(AND(Y244&lt;&gt;"User Specified",Y244&lt;&gt;""), INDEX('Refrigerant GWPs'!$G$2:$G$154,MATCH(Y244,'Refrigerant GWPs'!$A$2:$A$154,0)),"")</f>
        <v/>
      </c>
      <c r="AA244" s="155"/>
      <c r="AB244" s="156"/>
      <c r="AC244" s="66"/>
      <c r="AD244" s="66"/>
      <c r="AE244" s="66"/>
      <c r="AF244" s="66"/>
      <c r="AG244" s="66"/>
      <c r="AH244" s="66"/>
      <c r="AI244" s="34"/>
      <c r="AJ244" s="88">
        <f t="shared" si="304"/>
        <v>0</v>
      </c>
      <c r="AK244" s="88">
        <f t="shared" si="305"/>
        <v>0</v>
      </c>
      <c r="AL244" s="88">
        <v>0</v>
      </c>
      <c r="AM244" s="88">
        <v>0</v>
      </c>
      <c r="AN244" s="81" t="str">
        <f t="shared" si="349"/>
        <v/>
      </c>
      <c r="AO244" s="88">
        <f t="shared" si="306"/>
        <v>0</v>
      </c>
      <c r="AP244" s="88">
        <f t="shared" si="307"/>
        <v>0</v>
      </c>
      <c r="AQ244" s="81" t="str">
        <f t="shared" si="308"/>
        <v/>
      </c>
      <c r="AS244" s="41" t="b">
        <f t="shared" si="309"/>
        <v>1</v>
      </c>
      <c r="AT244" s="38">
        <f t="shared" si="310"/>
        <v>0</v>
      </c>
      <c r="AU244" s="60">
        <f t="shared" si="311"/>
        <v>0</v>
      </c>
      <c r="AV244" s="41">
        <f t="shared" si="312"/>
        <v>0</v>
      </c>
      <c r="AW244" s="41" t="b">
        <f t="shared" si="313"/>
        <v>0</v>
      </c>
      <c r="AX244" t="str">
        <f t="shared" si="314"/>
        <v>+00</v>
      </c>
      <c r="AY244" t="str">
        <f t="shared" si="315"/>
        <v>+00</v>
      </c>
      <c r="BA244" s="47" t="b">
        <f t="shared" si="350"/>
        <v>1</v>
      </c>
      <c r="BB244" s="42" t="b">
        <f t="shared" si="351"/>
        <v>1</v>
      </c>
      <c r="BC244" s="42" t="b">
        <f t="shared" si="352"/>
        <v>0</v>
      </c>
      <c r="BD244" s="42" t="b">
        <f t="shared" si="353"/>
        <v>0</v>
      </c>
      <c r="BE244" s="70">
        <f t="shared" si="354"/>
        <v>0</v>
      </c>
      <c r="BF244" s="70">
        <f t="shared" si="355"/>
        <v>0</v>
      </c>
      <c r="BG244" s="34"/>
      <c r="BI244" s="47" t="b">
        <f t="shared" si="356"/>
        <v>1</v>
      </c>
      <c r="BJ244" s="47" t="b">
        <f t="shared" si="357"/>
        <v>1</v>
      </c>
      <c r="BK244" s="42" t="b">
        <f t="shared" si="358"/>
        <v>0</v>
      </c>
      <c r="BL244" s="42" t="b">
        <f t="shared" si="359"/>
        <v>0</v>
      </c>
      <c r="BM244" s="42">
        <f t="shared" si="360"/>
        <v>0</v>
      </c>
      <c r="BN244" s="42">
        <f t="shared" si="361"/>
        <v>0</v>
      </c>
      <c r="BP244" t="e">
        <f t="shared" si="362"/>
        <v>#N/A</v>
      </c>
      <c r="BQ244" t="e">
        <f t="shared" si="363"/>
        <v>#N/A</v>
      </c>
      <c r="BR244" t="e">
        <f t="shared" si="364"/>
        <v>#N/A</v>
      </c>
      <c r="BT244" s="60">
        <f t="shared" si="365"/>
        <v>0</v>
      </c>
      <c r="BU244" s="60">
        <f t="shared" si="366"/>
        <v>0</v>
      </c>
      <c r="BV244" s="60">
        <f t="shared" si="367"/>
        <v>0</v>
      </c>
      <c r="BW244" s="60">
        <f t="shared" si="368"/>
        <v>0</v>
      </c>
      <c r="BX244" s="60">
        <f t="shared" si="369"/>
        <v>0</v>
      </c>
      <c r="BY244" s="60">
        <f t="shared" si="370"/>
        <v>0</v>
      </c>
      <c r="BZ244" s="60">
        <f t="shared" si="371"/>
        <v>0</v>
      </c>
      <c r="CA244" s="60">
        <f t="shared" si="372"/>
        <v>0</v>
      </c>
      <c r="CB244" s="60" t="e">
        <f t="shared" si="320"/>
        <v>#N/A</v>
      </c>
      <c r="CC244" s="60">
        <f t="shared" si="321"/>
        <v>100000</v>
      </c>
      <c r="CD244" s="60" t="e">
        <f t="shared" si="322"/>
        <v>#N/A</v>
      </c>
      <c r="CE244" s="60">
        <f t="shared" si="323"/>
        <v>100000</v>
      </c>
      <c r="CF244" s="83" t="e">
        <f t="shared" si="373"/>
        <v>#N/A</v>
      </c>
      <c r="CG244" s="83">
        <f t="shared" si="374"/>
        <v>0</v>
      </c>
      <c r="CH244" s="83" t="e">
        <f t="shared" si="375"/>
        <v>#N/A</v>
      </c>
      <c r="CI244" s="83">
        <f t="shared" si="376"/>
        <v>0</v>
      </c>
      <c r="CJ244" s="86" t="e">
        <f t="shared" si="324"/>
        <v>#N/A</v>
      </c>
      <c r="CK244" s="82">
        <f t="shared" si="325"/>
        <v>5.3070370403969858E-3</v>
      </c>
      <c r="CL244" s="82" t="e">
        <f t="shared" si="326"/>
        <v>#N/A</v>
      </c>
      <c r="CM244" s="82">
        <f t="shared" si="327"/>
        <v>5.3070370403969858E-3</v>
      </c>
      <c r="CO244" s="149" t="str">
        <f>IF($I244&lt;&gt;"",IF(O244="User Specified",U244,INDEX('Refrigerant GWPs'!$G$2:$G$156,MATCH(O244,'Refrigerant GWPs'!$A$2:$A$156,0))),"")</f>
        <v/>
      </c>
      <c r="CP244" s="138" t="str">
        <f>IF($I244&lt;&gt;"",INDEX('Device Refrigerant Leakage'!$E$2:$E$42,MATCH($M244,'Device Refrigerant Leakage'!$B$2:$B$42,0)),"")</f>
        <v/>
      </c>
      <c r="CQ244" s="138" t="str">
        <f>IF($I244&lt;&gt;"",INDEX('Device Refrigerant Leakage'!$F$2:$F$42,MATCH($M244,'Device Refrigerant Leakage'!$B$2:$B$42,0)),"")</f>
        <v/>
      </c>
      <c r="CR244" s="145" t="str">
        <f>IF($I244&lt;&gt;"",INDEX('Device Refrigerant Leakage'!$G$2:$G$42,MATCH($M244,'Device Refrigerant Leakage'!$B$2:$B$42,0)),"")</f>
        <v/>
      </c>
      <c r="CS244" s="145" t="str">
        <f>IF($I244&lt;&gt;"",INDEX('Device Refrigerant Leakage'!$D$2:$D$42,MATCH($M244,'Device Refrigerant Leakage'!$B$2:$B$42,0))*CP244/2204.62*CO244,"")</f>
        <v/>
      </c>
      <c r="CT244" s="145" t="str">
        <f>IF($I244&lt;&gt;"",J244*(INDEX('Device Refrigerant Leakage'!$D$2:$D$42,MATCH($M244,'Device Refrigerant Leakage'!$B$2:$B$42,0))-(INDEX('Device Refrigerant Leakage'!$D$2:$D$42,MATCH($M244,'Device Refrigerant Leakage'!$B$2:$B$42,0)))*CR244*CP244)*CQ244/2204.62*CO244,"")</f>
        <v/>
      </c>
      <c r="CU244" s="135" t="str">
        <f>IF($I244&lt;&gt;"",J244*IF(W244&lt;&gt;"AR",(CS244*K244)+CT244,(CS244*AB244)+CT244*(AB244/INDEX('Device Refrigerant Leakage'!$C$2:$C$42,MATCH($M244,'Device Refrigerant Leakage'!$B$2:$B$42,0)))),"")</f>
        <v/>
      </c>
      <c r="CW244" s="135" t="str">
        <f>IF($I244&lt;&gt;"",IF(S244="User Specified",V244,INDEX('Refrigerant GWPs'!$G$2:$G$156,MATCH(S244,'Refrigerant GWPs'!$A$2:$A$157,0))),"")</f>
        <v/>
      </c>
      <c r="CX244" s="138" t="str">
        <f>IF($I244&lt;&gt;"",INDEX('Device Refrigerant Leakage'!$E$2:$E$42,MATCH($Q244,'Device Refrigerant Leakage'!$B$2:$B$42,0)),"")</f>
        <v/>
      </c>
      <c r="CY244" s="138" t="str">
        <f>IF($I244&lt;&gt;"",INDEX('Device Refrigerant Leakage'!$F$2:$F$42,MATCH($Q244,'Device Refrigerant Leakage'!$B$2:$B$42,0)),"")</f>
        <v/>
      </c>
      <c r="CZ244" s="145" t="str">
        <f>IF($I244&lt;&gt;"",INDEX('Device Refrigerant Leakage'!$G$2:$G$42,MATCH($Q244,'Device Refrigerant Leakage'!$B$2:$B$42,0)),"")</f>
        <v/>
      </c>
      <c r="DA244" s="145" t="str">
        <f>IF($I244&lt;&gt;"",J244*INDEX('Device Refrigerant Leakage'!$D$2:$D$42,MATCH($Q244,'Device Refrigerant Leakage'!$B$2:$B$42,0))*CX244/2204.62*CW244,"")</f>
        <v/>
      </c>
      <c r="DB244" s="145" t="str">
        <f>IF($I244&lt;&gt;"",J244*(INDEX('Device Refrigerant Leakage'!$D$2:$D$42,MATCH($Q244,'Device Refrigerant Leakage'!$B$2:$B$42,0))-(INDEX('Device Refrigerant Leakage'!$D$2:$D$42,MATCH($Q244,'Device Refrigerant Leakage'!$B$2:$B$42,0)))*CZ244*CX244)*CY244/2204.62*CW244,"")</f>
        <v/>
      </c>
      <c r="DC244" s="135" t="str">
        <f t="shared" si="348"/>
        <v/>
      </c>
      <c r="DE244" s="146" t="str">
        <f>IF(W244&lt;&gt;"AR","",IF(Y244="User Specified", AA244, INDEX('Refrigerant GWPs'!$G$2:$G$154,MATCH(Y244,'Refrigerant GWPs'!$A$2:$A$154,0))))</f>
        <v/>
      </c>
      <c r="DF244" s="146" t="str">
        <f>IF(W244&lt;&gt;"AR","",INDEX('Device Refrigerant Leakage'!$E$2:$E$42,MATCH(X244,'Device Refrigerant Leakage'!$B$2:$B$42,0)))</f>
        <v/>
      </c>
      <c r="DG244" s="146" t="str">
        <f>IF(W244&lt;&gt;"AR","",INDEX('Device Refrigerant Leakage'!$F$2:$F$42,MATCH(X244,'Device Refrigerant Leakage'!$B$2:$B$42,0)))</f>
        <v/>
      </c>
      <c r="DH244" s="146" t="str">
        <f>IF(W244&lt;&gt;"AR","",INDEX('Device Refrigerant Leakage'!$G$2:$G$42,MATCH(X244,'Device Refrigerant Leakage'!$B$2:$B$42,0)))</f>
        <v/>
      </c>
      <c r="DI244" s="146" t="str">
        <f>IF(W244&lt;&gt;"AR","",J244*INDEX('Device Refrigerant Leakage'!$D$2:$D$42,MATCH(X244,'Device Refrigerant Leakage'!$B$2:$B$42,0))*DF244/2204.62*DE244)</f>
        <v/>
      </c>
      <c r="DJ244" s="146" t="str">
        <f>IF(W244&lt;&gt;"AR","",J244*(INDEX('Device Refrigerant Leakage'!$D$2:$D$42,MATCH(X244,'Device Refrigerant Leakage'!$B$2:$B$42,0))-(INDEX('Device Refrigerant Leakage'!$D$2:$D$42,MATCH(X244,'Device Refrigerant Leakage'!$B$2:$B$42,0)))*DH244*DF244)*DG244/2204.62*DE244)</f>
        <v/>
      </c>
      <c r="DK244" s="146" t="str">
        <f>IF(W244&lt;&gt;"AR","",DI244*(K244-AB244)+'Fuel Sub Calcs-Deemed'!DJ244*((K244-AB244)/INDEX('Device Refrigerant Leakage'!$C$2:$C$42,MATCH('Fuel Sub Calcs-Deemed'!X244,'Device Refrigerant Leakage'!$B$2:$B$42,0))))</f>
        <v/>
      </c>
      <c r="DM244" s="56">
        <v>230</v>
      </c>
      <c r="DN244" s="67" t="e">
        <f t="shared" si="328"/>
        <v>#N/A</v>
      </c>
      <c r="DO244" s="45" t="e">
        <f t="shared" si="329"/>
        <v>#N/A</v>
      </c>
      <c r="DP244" s="67" t="e">
        <f t="shared" si="330"/>
        <v>#N/A</v>
      </c>
      <c r="DQ244" s="45" t="e">
        <f t="shared" si="331"/>
        <v>#N/A</v>
      </c>
      <c r="DR244" s="69" t="e">
        <f t="shared" si="332"/>
        <v>#N/A</v>
      </c>
      <c r="DS244" s="34"/>
      <c r="DT244" s="67" t="e">
        <f>((BX244*CJ244)+IF($W244=MAT_AR,(BZ244*CL244),0))*(1+Reference!$E$50+Reference!$E$51)</f>
        <v>#N/A</v>
      </c>
      <c r="DU244" s="67">
        <f>((BY244*CK244)+IF($W244=MAT_AR,(CA244*CM244),0))*(1+Reference!$G$50+Reference!$G$51)</f>
        <v>0</v>
      </c>
      <c r="DV244" s="67" t="e">
        <f t="shared" si="333"/>
        <v>#VALUE!</v>
      </c>
      <c r="DX244" s="56">
        <v>230</v>
      </c>
      <c r="DY244" s="67">
        <f t="shared" si="334"/>
        <v>0</v>
      </c>
      <c r="DZ244" s="45" t="e">
        <f>VLOOKUP($R244,Dropdown!$C$3:$D$4,2,FALSE)</f>
        <v>#N/A</v>
      </c>
      <c r="EA244" s="68">
        <f t="shared" si="335"/>
        <v>0</v>
      </c>
      <c r="EB244" s="68" t="str">
        <f t="shared" si="336"/>
        <v>N/A</v>
      </c>
      <c r="EC244" s="68">
        <f t="shared" si="337"/>
        <v>0</v>
      </c>
      <c r="ED244" s="68" t="str">
        <f t="shared" si="377"/>
        <v>N/A</v>
      </c>
      <c r="EF244" s="56">
        <v>230</v>
      </c>
      <c r="EG244" s="46">
        <f t="shared" si="339"/>
        <v>0</v>
      </c>
      <c r="EH244" s="68" t="e">
        <f t="shared" si="340"/>
        <v>#N/A</v>
      </c>
      <c r="EI244" s="68" t="e">
        <f t="shared" si="341"/>
        <v>#N/A</v>
      </c>
      <c r="EJ244" s="68" t="e">
        <f t="shared" si="342"/>
        <v>#N/A</v>
      </c>
      <c r="EK244" s="68" t="e">
        <f t="shared" si="343"/>
        <v>#N/A</v>
      </c>
      <c r="EL244" s="46">
        <f t="shared" si="344"/>
        <v>0</v>
      </c>
      <c r="EM244" s="46">
        <f t="shared" si="345"/>
        <v>0</v>
      </c>
    </row>
    <row r="245" spans="1:143">
      <c r="A245" s="89"/>
      <c r="B245" s="89"/>
      <c r="C245" s="89"/>
      <c r="D245" s="89"/>
      <c r="E245" s="89"/>
      <c r="F245" s="89"/>
      <c r="G245" s="34"/>
      <c r="H245" s="56">
        <f t="shared" si="346"/>
        <v>231</v>
      </c>
      <c r="I245" s="165"/>
      <c r="J245" s="163"/>
      <c r="K245" s="163"/>
      <c r="L245" s="164"/>
      <c r="M245" s="155"/>
      <c r="N245" s="155"/>
      <c r="O245" s="144"/>
      <c r="P245" s="159" t="str">
        <f>IFERROR(IF(O245&lt;&gt;"User Specified",IF(O245&lt;&gt;"", INDEX('Refrigerant GWPs'!$G$2:$G$154,MATCH(O245,'Refrigerant GWPs'!$A$2:$A$154,0)),""),U245),0)</f>
        <v/>
      </c>
      <c r="Q245" s="155"/>
      <c r="R245" s="155"/>
      <c r="S245" s="144"/>
      <c r="T245" s="159" t="str">
        <f>IF(S245&lt;&gt;"User Specified",IF(AND(S245&lt;&gt;"User Specified",S245&lt;&gt;""), INDEX('Refrigerant GWPs'!$G$2:$G$154,MATCH(S245,'Refrigerant GWPs'!$A$2:$A$154,0)),""),V245)</f>
        <v/>
      </c>
      <c r="U245" s="144"/>
      <c r="V245" s="144"/>
      <c r="W245" s="155"/>
      <c r="X245" s="155"/>
      <c r="Y245" s="144"/>
      <c r="Z245" s="159" t="str">
        <f>IF(AND(Y245&lt;&gt;"User Specified",Y245&lt;&gt;""), INDEX('Refrigerant GWPs'!$G$2:$G$154,MATCH(Y245,'Refrigerant GWPs'!$A$2:$A$154,0)),"")</f>
        <v/>
      </c>
      <c r="AA245" s="155"/>
      <c r="AB245" s="156"/>
      <c r="AC245" s="66"/>
      <c r="AD245" s="66"/>
      <c r="AE245" s="66"/>
      <c r="AF245" s="66"/>
      <c r="AG245" s="66"/>
      <c r="AH245" s="66"/>
      <c r="AI245" s="34"/>
      <c r="AJ245" s="88">
        <f t="shared" si="304"/>
        <v>0</v>
      </c>
      <c r="AK245" s="88">
        <f t="shared" si="305"/>
        <v>0</v>
      </c>
      <c r="AL245" s="88">
        <v>0</v>
      </c>
      <c r="AM245" s="88">
        <v>0</v>
      </c>
      <c r="AN245" s="81" t="str">
        <f t="shared" si="349"/>
        <v/>
      </c>
      <c r="AO245" s="88">
        <f t="shared" si="306"/>
        <v>0</v>
      </c>
      <c r="AP245" s="88">
        <f t="shared" si="307"/>
        <v>0</v>
      </c>
      <c r="AQ245" s="81" t="str">
        <f t="shared" si="308"/>
        <v/>
      </c>
      <c r="AS245" s="41" t="b">
        <f t="shared" si="309"/>
        <v>1</v>
      </c>
      <c r="AT245" s="38">
        <f t="shared" si="310"/>
        <v>0</v>
      </c>
      <c r="AU245" s="60">
        <f t="shared" si="311"/>
        <v>0</v>
      </c>
      <c r="AV245" s="41">
        <f t="shared" si="312"/>
        <v>0</v>
      </c>
      <c r="AW245" s="41" t="b">
        <f t="shared" si="313"/>
        <v>0</v>
      </c>
      <c r="AX245" t="str">
        <f t="shared" si="314"/>
        <v>+00</v>
      </c>
      <c r="AY245" t="str">
        <f t="shared" si="315"/>
        <v>+00</v>
      </c>
      <c r="BA245" s="47" t="b">
        <f t="shared" si="350"/>
        <v>1</v>
      </c>
      <c r="BB245" s="42" t="b">
        <f t="shared" si="351"/>
        <v>1</v>
      </c>
      <c r="BC245" s="42" t="b">
        <f t="shared" si="352"/>
        <v>0</v>
      </c>
      <c r="BD245" s="42" t="b">
        <f t="shared" si="353"/>
        <v>0</v>
      </c>
      <c r="BE245" s="70">
        <f t="shared" si="354"/>
        <v>0</v>
      </c>
      <c r="BF245" s="70">
        <f t="shared" si="355"/>
        <v>0</v>
      </c>
      <c r="BG245" s="34"/>
      <c r="BI245" s="47" t="b">
        <f t="shared" si="356"/>
        <v>1</v>
      </c>
      <c r="BJ245" s="47" t="b">
        <f t="shared" si="357"/>
        <v>1</v>
      </c>
      <c r="BK245" s="42" t="b">
        <f t="shared" si="358"/>
        <v>0</v>
      </c>
      <c r="BL245" s="42" t="b">
        <f t="shared" si="359"/>
        <v>0</v>
      </c>
      <c r="BM245" s="42">
        <f t="shared" si="360"/>
        <v>0</v>
      </c>
      <c r="BN245" s="42">
        <f t="shared" si="361"/>
        <v>0</v>
      </c>
      <c r="BP245" t="e">
        <f t="shared" si="362"/>
        <v>#N/A</v>
      </c>
      <c r="BQ245" t="e">
        <f t="shared" si="363"/>
        <v>#N/A</v>
      </c>
      <c r="BR245" t="e">
        <f t="shared" si="364"/>
        <v>#N/A</v>
      </c>
      <c r="BT245" s="60">
        <f t="shared" si="365"/>
        <v>0</v>
      </c>
      <c r="BU245" s="60">
        <f t="shared" si="366"/>
        <v>0</v>
      </c>
      <c r="BV245" s="60">
        <f t="shared" si="367"/>
        <v>0</v>
      </c>
      <c r="BW245" s="60">
        <f t="shared" si="368"/>
        <v>0</v>
      </c>
      <c r="BX245" s="60">
        <f t="shared" si="369"/>
        <v>0</v>
      </c>
      <c r="BY245" s="60">
        <f t="shared" si="370"/>
        <v>0</v>
      </c>
      <c r="BZ245" s="60">
        <f t="shared" si="371"/>
        <v>0</v>
      </c>
      <c r="CA245" s="60">
        <f t="shared" si="372"/>
        <v>0</v>
      </c>
      <c r="CB245" s="60" t="e">
        <f t="shared" si="320"/>
        <v>#N/A</v>
      </c>
      <c r="CC245" s="60">
        <f t="shared" si="321"/>
        <v>100000</v>
      </c>
      <c r="CD245" s="60" t="e">
        <f t="shared" si="322"/>
        <v>#N/A</v>
      </c>
      <c r="CE245" s="60">
        <f t="shared" si="323"/>
        <v>100000</v>
      </c>
      <c r="CF245" s="83" t="e">
        <f t="shared" si="373"/>
        <v>#N/A</v>
      </c>
      <c r="CG245" s="83">
        <f t="shared" si="374"/>
        <v>0</v>
      </c>
      <c r="CH245" s="83" t="e">
        <f t="shared" si="375"/>
        <v>#N/A</v>
      </c>
      <c r="CI245" s="83">
        <f t="shared" si="376"/>
        <v>0</v>
      </c>
      <c r="CJ245" s="86" t="e">
        <f t="shared" si="324"/>
        <v>#N/A</v>
      </c>
      <c r="CK245" s="82">
        <f t="shared" si="325"/>
        <v>5.3070370403969858E-3</v>
      </c>
      <c r="CL245" s="82" t="e">
        <f t="shared" si="326"/>
        <v>#N/A</v>
      </c>
      <c r="CM245" s="82">
        <f t="shared" si="327"/>
        <v>5.3070370403969858E-3</v>
      </c>
      <c r="CO245" s="149" t="str">
        <f>IF($I245&lt;&gt;"",IF(O245="User Specified",U245,INDEX('Refrigerant GWPs'!$G$2:$G$156,MATCH(O245,'Refrigerant GWPs'!$A$2:$A$156,0))),"")</f>
        <v/>
      </c>
      <c r="CP245" s="138" t="str">
        <f>IF($I245&lt;&gt;"",INDEX('Device Refrigerant Leakage'!$E$2:$E$42,MATCH($M245,'Device Refrigerant Leakage'!$B$2:$B$42,0)),"")</f>
        <v/>
      </c>
      <c r="CQ245" s="138" t="str">
        <f>IF($I245&lt;&gt;"",INDEX('Device Refrigerant Leakage'!$F$2:$F$42,MATCH($M245,'Device Refrigerant Leakage'!$B$2:$B$42,0)),"")</f>
        <v/>
      </c>
      <c r="CR245" s="145" t="str">
        <f>IF($I245&lt;&gt;"",INDEX('Device Refrigerant Leakage'!$G$2:$G$42,MATCH($M245,'Device Refrigerant Leakage'!$B$2:$B$42,0)),"")</f>
        <v/>
      </c>
      <c r="CS245" s="145" t="str">
        <f>IF($I245&lt;&gt;"",INDEX('Device Refrigerant Leakage'!$D$2:$D$42,MATCH($M245,'Device Refrigerant Leakage'!$B$2:$B$42,0))*CP245/2204.62*CO245,"")</f>
        <v/>
      </c>
      <c r="CT245" s="145" t="str">
        <f>IF($I245&lt;&gt;"",J245*(INDEX('Device Refrigerant Leakage'!$D$2:$D$42,MATCH($M245,'Device Refrigerant Leakage'!$B$2:$B$42,0))-(INDEX('Device Refrigerant Leakage'!$D$2:$D$42,MATCH($M245,'Device Refrigerant Leakage'!$B$2:$B$42,0)))*CR245*CP245)*CQ245/2204.62*CO245,"")</f>
        <v/>
      </c>
      <c r="CU245" s="135" t="str">
        <f>IF($I245&lt;&gt;"",J245*IF(W245&lt;&gt;"AR",(CS245*K245)+CT245,(CS245*AB245)+CT245*(AB245/INDEX('Device Refrigerant Leakage'!$C$2:$C$42,MATCH($M245,'Device Refrigerant Leakage'!$B$2:$B$42,0)))),"")</f>
        <v/>
      </c>
      <c r="CW245" s="135" t="str">
        <f>IF($I245&lt;&gt;"",IF(S245="User Specified",V245,INDEX('Refrigerant GWPs'!$G$2:$G$156,MATCH(S245,'Refrigerant GWPs'!$A$2:$A$157,0))),"")</f>
        <v/>
      </c>
      <c r="CX245" s="138" t="str">
        <f>IF($I245&lt;&gt;"",INDEX('Device Refrigerant Leakage'!$E$2:$E$42,MATCH($Q245,'Device Refrigerant Leakage'!$B$2:$B$42,0)),"")</f>
        <v/>
      </c>
      <c r="CY245" s="138" t="str">
        <f>IF($I245&lt;&gt;"",INDEX('Device Refrigerant Leakage'!$F$2:$F$42,MATCH($Q245,'Device Refrigerant Leakage'!$B$2:$B$42,0)),"")</f>
        <v/>
      </c>
      <c r="CZ245" s="145" t="str">
        <f>IF($I245&lt;&gt;"",INDEX('Device Refrigerant Leakage'!$G$2:$G$42,MATCH($Q245,'Device Refrigerant Leakage'!$B$2:$B$42,0)),"")</f>
        <v/>
      </c>
      <c r="DA245" s="145" t="str">
        <f>IF($I245&lt;&gt;"",J245*INDEX('Device Refrigerant Leakage'!$D$2:$D$42,MATCH($Q245,'Device Refrigerant Leakage'!$B$2:$B$42,0))*CX245/2204.62*CW245,"")</f>
        <v/>
      </c>
      <c r="DB245" s="145" t="str">
        <f>IF($I245&lt;&gt;"",J245*(INDEX('Device Refrigerant Leakage'!$D$2:$D$42,MATCH($Q245,'Device Refrigerant Leakage'!$B$2:$B$42,0))-(INDEX('Device Refrigerant Leakage'!$D$2:$D$42,MATCH($Q245,'Device Refrigerant Leakage'!$B$2:$B$42,0)))*CZ245*CX245)*CY245/2204.62*CW245,"")</f>
        <v/>
      </c>
      <c r="DC245" s="135" t="str">
        <f t="shared" si="348"/>
        <v/>
      </c>
      <c r="DE245" s="146" t="str">
        <f>IF(W245&lt;&gt;"AR","",IF(Y245="User Specified", AA245, INDEX('Refrigerant GWPs'!$G$2:$G$154,MATCH(Y245,'Refrigerant GWPs'!$A$2:$A$154,0))))</f>
        <v/>
      </c>
      <c r="DF245" s="146" t="str">
        <f>IF(W245&lt;&gt;"AR","",INDEX('Device Refrigerant Leakage'!$E$2:$E$42,MATCH(X245,'Device Refrigerant Leakage'!$B$2:$B$42,0)))</f>
        <v/>
      </c>
      <c r="DG245" s="146" t="str">
        <f>IF(W245&lt;&gt;"AR","",INDEX('Device Refrigerant Leakage'!$F$2:$F$42,MATCH(X245,'Device Refrigerant Leakage'!$B$2:$B$42,0)))</f>
        <v/>
      </c>
      <c r="DH245" s="146" t="str">
        <f>IF(W245&lt;&gt;"AR","",INDEX('Device Refrigerant Leakage'!$G$2:$G$42,MATCH(X245,'Device Refrigerant Leakage'!$B$2:$B$42,0)))</f>
        <v/>
      </c>
      <c r="DI245" s="146" t="str">
        <f>IF(W245&lt;&gt;"AR","",J245*INDEX('Device Refrigerant Leakage'!$D$2:$D$42,MATCH(X245,'Device Refrigerant Leakage'!$B$2:$B$42,0))*DF245/2204.62*DE245)</f>
        <v/>
      </c>
      <c r="DJ245" s="146" t="str">
        <f>IF(W245&lt;&gt;"AR","",J245*(INDEX('Device Refrigerant Leakage'!$D$2:$D$42,MATCH(X245,'Device Refrigerant Leakage'!$B$2:$B$42,0))-(INDEX('Device Refrigerant Leakage'!$D$2:$D$42,MATCH(X245,'Device Refrigerant Leakage'!$B$2:$B$42,0)))*DH245*DF245)*DG245/2204.62*DE245)</f>
        <v/>
      </c>
      <c r="DK245" s="146" t="str">
        <f>IF(W245&lt;&gt;"AR","",DI245*(K245-AB245)+'Fuel Sub Calcs-Deemed'!DJ245*((K245-AB245)/INDEX('Device Refrigerant Leakage'!$C$2:$C$42,MATCH('Fuel Sub Calcs-Deemed'!X245,'Device Refrigerant Leakage'!$B$2:$B$42,0))))</f>
        <v/>
      </c>
      <c r="DM245" s="56">
        <v>231</v>
      </c>
      <c r="DN245" s="67" t="e">
        <f t="shared" si="328"/>
        <v>#N/A</v>
      </c>
      <c r="DO245" s="45" t="e">
        <f t="shared" si="329"/>
        <v>#N/A</v>
      </c>
      <c r="DP245" s="67" t="e">
        <f t="shared" si="330"/>
        <v>#N/A</v>
      </c>
      <c r="DQ245" s="45" t="e">
        <f t="shared" si="331"/>
        <v>#N/A</v>
      </c>
      <c r="DR245" s="69" t="e">
        <f t="shared" si="332"/>
        <v>#N/A</v>
      </c>
      <c r="DS245" s="34"/>
      <c r="DT245" s="67" t="e">
        <f>((BX245*CJ245)+IF($W245=MAT_AR,(BZ245*CL245),0))*(1+Reference!$E$50+Reference!$E$51)</f>
        <v>#N/A</v>
      </c>
      <c r="DU245" s="67">
        <f>((BY245*CK245)+IF($W245=MAT_AR,(CA245*CM245),0))*(1+Reference!$G$50+Reference!$G$51)</f>
        <v>0</v>
      </c>
      <c r="DV245" s="67" t="e">
        <f t="shared" si="333"/>
        <v>#VALUE!</v>
      </c>
      <c r="DX245" s="56">
        <v>231</v>
      </c>
      <c r="DY245" s="67">
        <f t="shared" si="334"/>
        <v>0</v>
      </c>
      <c r="DZ245" s="45" t="e">
        <f>VLOOKUP($R245,Dropdown!$C$3:$D$4,2,FALSE)</f>
        <v>#N/A</v>
      </c>
      <c r="EA245" s="68">
        <f t="shared" si="335"/>
        <v>0</v>
      </c>
      <c r="EB245" s="68" t="str">
        <f t="shared" si="336"/>
        <v>N/A</v>
      </c>
      <c r="EC245" s="68">
        <f t="shared" si="337"/>
        <v>0</v>
      </c>
      <c r="ED245" s="68" t="str">
        <f t="shared" si="377"/>
        <v>N/A</v>
      </c>
      <c r="EF245" s="56">
        <v>231</v>
      </c>
      <c r="EG245" s="46">
        <f t="shared" si="339"/>
        <v>0</v>
      </c>
      <c r="EH245" s="68" t="e">
        <f t="shared" si="340"/>
        <v>#N/A</v>
      </c>
      <c r="EI245" s="68" t="e">
        <f t="shared" si="341"/>
        <v>#N/A</v>
      </c>
      <c r="EJ245" s="68" t="e">
        <f t="shared" si="342"/>
        <v>#N/A</v>
      </c>
      <c r="EK245" s="68" t="e">
        <f t="shared" si="343"/>
        <v>#N/A</v>
      </c>
      <c r="EL245" s="46">
        <f t="shared" si="344"/>
        <v>0</v>
      </c>
      <c r="EM245" s="46">
        <f t="shared" si="345"/>
        <v>0</v>
      </c>
    </row>
    <row r="246" spans="1:143">
      <c r="A246" s="89"/>
      <c r="B246" s="89"/>
      <c r="C246" s="89"/>
      <c r="D246" s="89"/>
      <c r="E246" s="89"/>
      <c r="F246" s="89"/>
      <c r="G246" s="34"/>
      <c r="H246" s="56">
        <f t="shared" si="346"/>
        <v>232</v>
      </c>
      <c r="I246" s="165"/>
      <c r="J246" s="163"/>
      <c r="K246" s="163"/>
      <c r="L246" s="164"/>
      <c r="M246" s="155"/>
      <c r="N246" s="155"/>
      <c r="O246" s="144"/>
      <c r="P246" s="159" t="str">
        <f>IFERROR(IF(O246&lt;&gt;"User Specified",IF(O246&lt;&gt;"", INDEX('Refrigerant GWPs'!$G$2:$G$154,MATCH(O246,'Refrigerant GWPs'!$A$2:$A$154,0)),""),U246),0)</f>
        <v/>
      </c>
      <c r="Q246" s="155"/>
      <c r="R246" s="155"/>
      <c r="S246" s="144"/>
      <c r="T246" s="159" t="str">
        <f>IF(S246&lt;&gt;"User Specified",IF(AND(S246&lt;&gt;"User Specified",S246&lt;&gt;""), INDEX('Refrigerant GWPs'!$G$2:$G$154,MATCH(S246,'Refrigerant GWPs'!$A$2:$A$154,0)),""),V246)</f>
        <v/>
      </c>
      <c r="U246" s="144"/>
      <c r="V246" s="144"/>
      <c r="W246" s="155"/>
      <c r="X246" s="155"/>
      <c r="Y246" s="144"/>
      <c r="Z246" s="159" t="str">
        <f>IF(AND(Y246&lt;&gt;"User Specified",Y246&lt;&gt;""), INDEX('Refrigerant GWPs'!$G$2:$G$154,MATCH(Y246,'Refrigerant GWPs'!$A$2:$A$154,0)),"")</f>
        <v/>
      </c>
      <c r="AA246" s="155"/>
      <c r="AB246" s="156"/>
      <c r="AC246" s="66"/>
      <c r="AD246" s="66"/>
      <c r="AE246" s="66"/>
      <c r="AF246" s="66"/>
      <c r="AG246" s="66"/>
      <c r="AH246" s="66"/>
      <c r="AI246" s="34"/>
      <c r="AJ246" s="88">
        <f t="shared" si="304"/>
        <v>0</v>
      </c>
      <c r="AK246" s="88">
        <f t="shared" si="305"/>
        <v>0</v>
      </c>
      <c r="AL246" s="88">
        <v>0</v>
      </c>
      <c r="AM246" s="88">
        <v>0</v>
      </c>
      <c r="AN246" s="81" t="str">
        <f t="shared" si="349"/>
        <v/>
      </c>
      <c r="AO246" s="88">
        <f t="shared" si="306"/>
        <v>0</v>
      </c>
      <c r="AP246" s="88">
        <f t="shared" si="307"/>
        <v>0</v>
      </c>
      <c r="AQ246" s="81" t="str">
        <f t="shared" si="308"/>
        <v/>
      </c>
      <c r="AS246" s="41" t="b">
        <f t="shared" si="309"/>
        <v>1</v>
      </c>
      <c r="AT246" s="38">
        <f t="shared" si="310"/>
        <v>0</v>
      </c>
      <c r="AU246" s="60">
        <f t="shared" si="311"/>
        <v>0</v>
      </c>
      <c r="AV246" s="41">
        <f t="shared" si="312"/>
        <v>0</v>
      </c>
      <c r="AW246" s="41" t="b">
        <f t="shared" si="313"/>
        <v>0</v>
      </c>
      <c r="AX246" t="str">
        <f t="shared" si="314"/>
        <v>+00</v>
      </c>
      <c r="AY246" t="str">
        <f t="shared" si="315"/>
        <v>+00</v>
      </c>
      <c r="BA246" s="47" t="b">
        <f t="shared" si="350"/>
        <v>1</v>
      </c>
      <c r="BB246" s="42" t="b">
        <f t="shared" si="351"/>
        <v>1</v>
      </c>
      <c r="BC246" s="42" t="b">
        <f t="shared" si="352"/>
        <v>0</v>
      </c>
      <c r="BD246" s="42" t="b">
        <f t="shared" si="353"/>
        <v>0</v>
      </c>
      <c r="BE246" s="70">
        <f t="shared" si="354"/>
        <v>0</v>
      </c>
      <c r="BF246" s="70">
        <f t="shared" si="355"/>
        <v>0</v>
      </c>
      <c r="BG246" s="34"/>
      <c r="BI246" s="47" t="b">
        <f t="shared" si="356"/>
        <v>1</v>
      </c>
      <c r="BJ246" s="47" t="b">
        <f t="shared" si="357"/>
        <v>1</v>
      </c>
      <c r="BK246" s="42" t="b">
        <f t="shared" si="358"/>
        <v>0</v>
      </c>
      <c r="BL246" s="42" t="b">
        <f t="shared" si="359"/>
        <v>0</v>
      </c>
      <c r="BM246" s="42">
        <f t="shared" si="360"/>
        <v>0</v>
      </c>
      <c r="BN246" s="42">
        <f t="shared" si="361"/>
        <v>0</v>
      </c>
      <c r="BP246" t="e">
        <f t="shared" si="362"/>
        <v>#N/A</v>
      </c>
      <c r="BQ246" t="e">
        <f t="shared" si="363"/>
        <v>#N/A</v>
      </c>
      <c r="BR246" t="e">
        <f t="shared" si="364"/>
        <v>#N/A</v>
      </c>
      <c r="BT246" s="60">
        <f t="shared" si="365"/>
        <v>0</v>
      </c>
      <c r="BU246" s="60">
        <f t="shared" si="366"/>
        <v>0</v>
      </c>
      <c r="BV246" s="60">
        <f t="shared" si="367"/>
        <v>0</v>
      </c>
      <c r="BW246" s="60">
        <f t="shared" si="368"/>
        <v>0</v>
      </c>
      <c r="BX246" s="60">
        <f t="shared" si="369"/>
        <v>0</v>
      </c>
      <c r="BY246" s="60">
        <f t="shared" si="370"/>
        <v>0</v>
      </c>
      <c r="BZ246" s="60">
        <f t="shared" si="371"/>
        <v>0</v>
      </c>
      <c r="CA246" s="60">
        <f t="shared" si="372"/>
        <v>0</v>
      </c>
      <c r="CB246" s="60" t="e">
        <f t="shared" si="320"/>
        <v>#N/A</v>
      </c>
      <c r="CC246" s="60">
        <f t="shared" si="321"/>
        <v>100000</v>
      </c>
      <c r="CD246" s="60" t="e">
        <f t="shared" si="322"/>
        <v>#N/A</v>
      </c>
      <c r="CE246" s="60">
        <f t="shared" si="323"/>
        <v>100000</v>
      </c>
      <c r="CF246" s="83" t="e">
        <f t="shared" si="373"/>
        <v>#N/A</v>
      </c>
      <c r="CG246" s="83">
        <f t="shared" si="374"/>
        <v>0</v>
      </c>
      <c r="CH246" s="83" t="e">
        <f t="shared" si="375"/>
        <v>#N/A</v>
      </c>
      <c r="CI246" s="83">
        <f t="shared" si="376"/>
        <v>0</v>
      </c>
      <c r="CJ246" s="86" t="e">
        <f t="shared" si="324"/>
        <v>#N/A</v>
      </c>
      <c r="CK246" s="82">
        <f t="shared" si="325"/>
        <v>5.3070370403969858E-3</v>
      </c>
      <c r="CL246" s="82" t="e">
        <f t="shared" si="326"/>
        <v>#N/A</v>
      </c>
      <c r="CM246" s="82">
        <f t="shared" si="327"/>
        <v>5.3070370403969858E-3</v>
      </c>
      <c r="CO246" s="149" t="str">
        <f>IF($I246&lt;&gt;"",IF(O246="User Specified",U246,INDEX('Refrigerant GWPs'!$G$2:$G$156,MATCH(O246,'Refrigerant GWPs'!$A$2:$A$156,0))),"")</f>
        <v/>
      </c>
      <c r="CP246" s="138" t="str">
        <f>IF($I246&lt;&gt;"",INDEX('Device Refrigerant Leakage'!$E$2:$E$42,MATCH($M246,'Device Refrigerant Leakage'!$B$2:$B$42,0)),"")</f>
        <v/>
      </c>
      <c r="CQ246" s="138" t="str">
        <f>IF($I246&lt;&gt;"",INDEX('Device Refrigerant Leakage'!$F$2:$F$42,MATCH($M246,'Device Refrigerant Leakage'!$B$2:$B$42,0)),"")</f>
        <v/>
      </c>
      <c r="CR246" s="145" t="str">
        <f>IF($I246&lt;&gt;"",INDEX('Device Refrigerant Leakage'!$G$2:$G$42,MATCH($M246,'Device Refrigerant Leakage'!$B$2:$B$42,0)),"")</f>
        <v/>
      </c>
      <c r="CS246" s="145" t="str">
        <f>IF($I246&lt;&gt;"",INDEX('Device Refrigerant Leakage'!$D$2:$D$42,MATCH($M246,'Device Refrigerant Leakage'!$B$2:$B$42,0))*CP246/2204.62*CO246,"")</f>
        <v/>
      </c>
      <c r="CT246" s="145" t="str">
        <f>IF($I246&lt;&gt;"",J246*(INDEX('Device Refrigerant Leakage'!$D$2:$D$42,MATCH($M246,'Device Refrigerant Leakage'!$B$2:$B$42,0))-(INDEX('Device Refrigerant Leakage'!$D$2:$D$42,MATCH($M246,'Device Refrigerant Leakage'!$B$2:$B$42,0)))*CR246*CP246)*CQ246/2204.62*CO246,"")</f>
        <v/>
      </c>
      <c r="CU246" s="135" t="str">
        <f>IF($I246&lt;&gt;"",J246*IF(W246&lt;&gt;"AR",(CS246*K246)+CT246,(CS246*AB246)+CT246*(AB246/INDEX('Device Refrigerant Leakage'!$C$2:$C$42,MATCH($M246,'Device Refrigerant Leakage'!$B$2:$B$42,0)))),"")</f>
        <v/>
      </c>
      <c r="CW246" s="135" t="str">
        <f>IF($I246&lt;&gt;"",IF(S246="User Specified",V246,INDEX('Refrigerant GWPs'!$G$2:$G$156,MATCH(S246,'Refrigerant GWPs'!$A$2:$A$157,0))),"")</f>
        <v/>
      </c>
      <c r="CX246" s="138" t="str">
        <f>IF($I246&lt;&gt;"",INDEX('Device Refrigerant Leakage'!$E$2:$E$42,MATCH($Q246,'Device Refrigerant Leakage'!$B$2:$B$42,0)),"")</f>
        <v/>
      </c>
      <c r="CY246" s="138" t="str">
        <f>IF($I246&lt;&gt;"",INDEX('Device Refrigerant Leakage'!$F$2:$F$42,MATCH($Q246,'Device Refrigerant Leakage'!$B$2:$B$42,0)),"")</f>
        <v/>
      </c>
      <c r="CZ246" s="145" t="str">
        <f>IF($I246&lt;&gt;"",INDEX('Device Refrigerant Leakage'!$G$2:$G$42,MATCH($Q246,'Device Refrigerant Leakage'!$B$2:$B$42,0)),"")</f>
        <v/>
      </c>
      <c r="DA246" s="145" t="str">
        <f>IF($I246&lt;&gt;"",J246*INDEX('Device Refrigerant Leakage'!$D$2:$D$42,MATCH($Q246,'Device Refrigerant Leakage'!$B$2:$B$42,0))*CX246/2204.62*CW246,"")</f>
        <v/>
      </c>
      <c r="DB246" s="145" t="str">
        <f>IF($I246&lt;&gt;"",J246*(INDEX('Device Refrigerant Leakage'!$D$2:$D$42,MATCH($Q246,'Device Refrigerant Leakage'!$B$2:$B$42,0))-(INDEX('Device Refrigerant Leakage'!$D$2:$D$42,MATCH($Q246,'Device Refrigerant Leakage'!$B$2:$B$42,0)))*CZ246*CX246)*CY246/2204.62*CW246,"")</f>
        <v/>
      </c>
      <c r="DC246" s="135" t="str">
        <f t="shared" si="348"/>
        <v/>
      </c>
      <c r="DE246" s="146" t="str">
        <f>IF(W246&lt;&gt;"AR","",IF(Y246="User Specified", AA246, INDEX('Refrigerant GWPs'!$G$2:$G$154,MATCH(Y246,'Refrigerant GWPs'!$A$2:$A$154,0))))</f>
        <v/>
      </c>
      <c r="DF246" s="146" t="str">
        <f>IF(W246&lt;&gt;"AR","",INDEX('Device Refrigerant Leakage'!$E$2:$E$42,MATCH(X246,'Device Refrigerant Leakage'!$B$2:$B$42,0)))</f>
        <v/>
      </c>
      <c r="DG246" s="146" t="str">
        <f>IF(W246&lt;&gt;"AR","",INDEX('Device Refrigerant Leakage'!$F$2:$F$42,MATCH(X246,'Device Refrigerant Leakage'!$B$2:$B$42,0)))</f>
        <v/>
      </c>
      <c r="DH246" s="146" t="str">
        <f>IF(W246&lt;&gt;"AR","",INDEX('Device Refrigerant Leakage'!$G$2:$G$42,MATCH(X246,'Device Refrigerant Leakage'!$B$2:$B$42,0)))</f>
        <v/>
      </c>
      <c r="DI246" s="146" t="str">
        <f>IF(W246&lt;&gt;"AR","",J246*INDEX('Device Refrigerant Leakage'!$D$2:$D$42,MATCH(X246,'Device Refrigerant Leakage'!$B$2:$B$42,0))*DF246/2204.62*DE246)</f>
        <v/>
      </c>
      <c r="DJ246" s="146" t="str">
        <f>IF(W246&lt;&gt;"AR","",J246*(INDEX('Device Refrigerant Leakage'!$D$2:$D$42,MATCH(X246,'Device Refrigerant Leakage'!$B$2:$B$42,0))-(INDEX('Device Refrigerant Leakage'!$D$2:$D$42,MATCH(X246,'Device Refrigerant Leakage'!$B$2:$B$42,0)))*DH246*DF246)*DG246/2204.62*DE246)</f>
        <v/>
      </c>
      <c r="DK246" s="146" t="str">
        <f>IF(W246&lt;&gt;"AR","",DI246*(K246-AB246)+'Fuel Sub Calcs-Deemed'!DJ246*((K246-AB246)/INDEX('Device Refrigerant Leakage'!$C$2:$C$42,MATCH('Fuel Sub Calcs-Deemed'!X246,'Device Refrigerant Leakage'!$B$2:$B$42,0))))</f>
        <v/>
      </c>
      <c r="DM246" s="56">
        <v>232</v>
      </c>
      <c r="DN246" s="67" t="e">
        <f t="shared" si="328"/>
        <v>#N/A</v>
      </c>
      <c r="DO246" s="45" t="e">
        <f t="shared" si="329"/>
        <v>#N/A</v>
      </c>
      <c r="DP246" s="67" t="e">
        <f t="shared" si="330"/>
        <v>#N/A</v>
      </c>
      <c r="DQ246" s="45" t="e">
        <f t="shared" si="331"/>
        <v>#N/A</v>
      </c>
      <c r="DR246" s="69" t="e">
        <f t="shared" si="332"/>
        <v>#N/A</v>
      </c>
      <c r="DS246" s="34"/>
      <c r="DT246" s="67" t="e">
        <f>((BX246*CJ246)+IF($W246=MAT_AR,(BZ246*CL246),0))*(1+Reference!$E$50+Reference!$E$51)</f>
        <v>#N/A</v>
      </c>
      <c r="DU246" s="67">
        <f>((BY246*CK246)+IF($W246=MAT_AR,(CA246*CM246),0))*(1+Reference!$G$50+Reference!$G$51)</f>
        <v>0</v>
      </c>
      <c r="DV246" s="67" t="e">
        <f t="shared" si="333"/>
        <v>#VALUE!</v>
      </c>
      <c r="DX246" s="56">
        <v>232</v>
      </c>
      <c r="DY246" s="67">
        <f t="shared" si="334"/>
        <v>0</v>
      </c>
      <c r="DZ246" s="45" t="e">
        <f>VLOOKUP($R246,Dropdown!$C$3:$D$4,2,FALSE)</f>
        <v>#N/A</v>
      </c>
      <c r="EA246" s="68">
        <f t="shared" si="335"/>
        <v>0</v>
      </c>
      <c r="EB246" s="68" t="str">
        <f t="shared" si="336"/>
        <v>N/A</v>
      </c>
      <c r="EC246" s="68">
        <f t="shared" si="337"/>
        <v>0</v>
      </c>
      <c r="ED246" s="68" t="str">
        <f t="shared" si="377"/>
        <v>N/A</v>
      </c>
      <c r="EF246" s="56">
        <v>232</v>
      </c>
      <c r="EG246" s="46">
        <f t="shared" si="339"/>
        <v>0</v>
      </c>
      <c r="EH246" s="68" t="e">
        <f t="shared" si="340"/>
        <v>#N/A</v>
      </c>
      <c r="EI246" s="68" t="e">
        <f t="shared" si="341"/>
        <v>#N/A</v>
      </c>
      <c r="EJ246" s="68" t="e">
        <f t="shared" si="342"/>
        <v>#N/A</v>
      </c>
      <c r="EK246" s="68" t="e">
        <f t="shared" si="343"/>
        <v>#N/A</v>
      </c>
      <c r="EL246" s="46">
        <f t="shared" si="344"/>
        <v>0</v>
      </c>
      <c r="EM246" s="46">
        <f t="shared" si="345"/>
        <v>0</v>
      </c>
    </row>
    <row r="247" spans="1:143">
      <c r="A247" s="89"/>
      <c r="B247" s="89"/>
      <c r="C247" s="89"/>
      <c r="D247" s="89"/>
      <c r="E247" s="89"/>
      <c r="F247" s="89"/>
      <c r="G247" s="34"/>
      <c r="H247" s="56">
        <f t="shared" si="346"/>
        <v>233</v>
      </c>
      <c r="I247" s="165"/>
      <c r="J247" s="163"/>
      <c r="K247" s="163"/>
      <c r="L247" s="164"/>
      <c r="M247" s="155"/>
      <c r="N247" s="155"/>
      <c r="O247" s="144"/>
      <c r="P247" s="159" t="str">
        <f>IFERROR(IF(O247&lt;&gt;"User Specified",IF(O247&lt;&gt;"", INDEX('Refrigerant GWPs'!$G$2:$G$154,MATCH(O247,'Refrigerant GWPs'!$A$2:$A$154,0)),""),U247),0)</f>
        <v/>
      </c>
      <c r="Q247" s="155"/>
      <c r="R247" s="155"/>
      <c r="S247" s="144"/>
      <c r="T247" s="159" t="str">
        <f>IF(S247&lt;&gt;"User Specified",IF(AND(S247&lt;&gt;"User Specified",S247&lt;&gt;""), INDEX('Refrigerant GWPs'!$G$2:$G$154,MATCH(S247,'Refrigerant GWPs'!$A$2:$A$154,0)),""),V247)</f>
        <v/>
      </c>
      <c r="U247" s="144"/>
      <c r="V247" s="144"/>
      <c r="W247" s="155"/>
      <c r="X247" s="155"/>
      <c r="Y247" s="144"/>
      <c r="Z247" s="159" t="str">
        <f>IF(AND(Y247&lt;&gt;"User Specified",Y247&lt;&gt;""), INDEX('Refrigerant GWPs'!$G$2:$G$154,MATCH(Y247,'Refrigerant GWPs'!$A$2:$A$154,0)),"")</f>
        <v/>
      </c>
      <c r="AA247" s="155"/>
      <c r="AB247" s="156"/>
      <c r="AC247" s="66"/>
      <c r="AD247" s="66"/>
      <c r="AE247" s="66"/>
      <c r="AF247" s="66"/>
      <c r="AG247" s="66"/>
      <c r="AH247" s="66"/>
      <c r="AI247" s="34"/>
      <c r="AJ247" s="88">
        <f t="shared" si="304"/>
        <v>0</v>
      </c>
      <c r="AK247" s="88">
        <f t="shared" si="305"/>
        <v>0</v>
      </c>
      <c r="AL247" s="88">
        <v>0</v>
      </c>
      <c r="AM247" s="88">
        <v>0</v>
      </c>
      <c r="AN247" s="81" t="str">
        <f t="shared" si="349"/>
        <v/>
      </c>
      <c r="AO247" s="88">
        <f t="shared" si="306"/>
        <v>0</v>
      </c>
      <c r="AP247" s="88">
        <f t="shared" si="307"/>
        <v>0</v>
      </c>
      <c r="AQ247" s="81" t="str">
        <f t="shared" si="308"/>
        <v/>
      </c>
      <c r="AS247" s="41" t="b">
        <f t="shared" si="309"/>
        <v>1</v>
      </c>
      <c r="AT247" s="38">
        <f t="shared" si="310"/>
        <v>0</v>
      </c>
      <c r="AU247" s="60">
        <f t="shared" si="311"/>
        <v>0</v>
      </c>
      <c r="AV247" s="41">
        <f t="shared" si="312"/>
        <v>0</v>
      </c>
      <c r="AW247" s="41" t="b">
        <f t="shared" si="313"/>
        <v>0</v>
      </c>
      <c r="AX247" t="str">
        <f t="shared" si="314"/>
        <v>+00</v>
      </c>
      <c r="AY247" t="str">
        <f t="shared" si="315"/>
        <v>+00</v>
      </c>
      <c r="BA247" s="47" t="b">
        <f t="shared" si="350"/>
        <v>1</v>
      </c>
      <c r="BB247" s="42" t="b">
        <f t="shared" si="351"/>
        <v>1</v>
      </c>
      <c r="BC247" s="42" t="b">
        <f t="shared" si="352"/>
        <v>0</v>
      </c>
      <c r="BD247" s="42" t="b">
        <f t="shared" si="353"/>
        <v>0</v>
      </c>
      <c r="BE247" s="70">
        <f t="shared" si="354"/>
        <v>0</v>
      </c>
      <c r="BF247" s="70">
        <f t="shared" si="355"/>
        <v>0</v>
      </c>
      <c r="BG247" s="34"/>
      <c r="BI247" s="47" t="b">
        <f t="shared" si="356"/>
        <v>1</v>
      </c>
      <c r="BJ247" s="47" t="b">
        <f t="shared" si="357"/>
        <v>1</v>
      </c>
      <c r="BK247" s="42" t="b">
        <f t="shared" si="358"/>
        <v>0</v>
      </c>
      <c r="BL247" s="42" t="b">
        <f t="shared" si="359"/>
        <v>0</v>
      </c>
      <c r="BM247" s="42">
        <f t="shared" si="360"/>
        <v>0</v>
      </c>
      <c r="BN247" s="42">
        <f t="shared" si="361"/>
        <v>0</v>
      </c>
      <c r="BP247" t="e">
        <f t="shared" si="362"/>
        <v>#N/A</v>
      </c>
      <c r="BQ247" t="e">
        <f t="shared" si="363"/>
        <v>#N/A</v>
      </c>
      <c r="BR247" t="e">
        <f t="shared" si="364"/>
        <v>#N/A</v>
      </c>
      <c r="BT247" s="60">
        <f t="shared" si="365"/>
        <v>0</v>
      </c>
      <c r="BU247" s="60">
        <f t="shared" si="366"/>
        <v>0</v>
      </c>
      <c r="BV247" s="60">
        <f t="shared" si="367"/>
        <v>0</v>
      </c>
      <c r="BW247" s="60">
        <f t="shared" si="368"/>
        <v>0</v>
      </c>
      <c r="BX247" s="60">
        <f t="shared" si="369"/>
        <v>0</v>
      </c>
      <c r="BY247" s="60">
        <f t="shared" si="370"/>
        <v>0</v>
      </c>
      <c r="BZ247" s="60">
        <f t="shared" si="371"/>
        <v>0</v>
      </c>
      <c r="CA247" s="60">
        <f t="shared" si="372"/>
        <v>0</v>
      </c>
      <c r="CB247" s="60" t="e">
        <f t="shared" si="320"/>
        <v>#N/A</v>
      </c>
      <c r="CC247" s="60">
        <f t="shared" si="321"/>
        <v>100000</v>
      </c>
      <c r="CD247" s="60" t="e">
        <f t="shared" si="322"/>
        <v>#N/A</v>
      </c>
      <c r="CE247" s="60">
        <f t="shared" si="323"/>
        <v>100000</v>
      </c>
      <c r="CF247" s="83" t="e">
        <f t="shared" si="373"/>
        <v>#N/A</v>
      </c>
      <c r="CG247" s="83">
        <f t="shared" si="374"/>
        <v>0</v>
      </c>
      <c r="CH247" s="83" t="e">
        <f t="shared" si="375"/>
        <v>#N/A</v>
      </c>
      <c r="CI247" s="83">
        <f t="shared" si="376"/>
        <v>0</v>
      </c>
      <c r="CJ247" s="86" t="e">
        <f t="shared" si="324"/>
        <v>#N/A</v>
      </c>
      <c r="CK247" s="82">
        <f t="shared" si="325"/>
        <v>5.3070370403969858E-3</v>
      </c>
      <c r="CL247" s="82" t="e">
        <f t="shared" si="326"/>
        <v>#N/A</v>
      </c>
      <c r="CM247" s="82">
        <f t="shared" si="327"/>
        <v>5.3070370403969858E-3</v>
      </c>
      <c r="CO247" s="149" t="str">
        <f>IF($I247&lt;&gt;"",IF(O247="User Specified",U247,INDEX('Refrigerant GWPs'!$G$2:$G$156,MATCH(O247,'Refrigerant GWPs'!$A$2:$A$156,0))),"")</f>
        <v/>
      </c>
      <c r="CP247" s="138" t="str">
        <f>IF($I247&lt;&gt;"",INDEX('Device Refrigerant Leakage'!$E$2:$E$42,MATCH($M247,'Device Refrigerant Leakage'!$B$2:$B$42,0)),"")</f>
        <v/>
      </c>
      <c r="CQ247" s="138" t="str">
        <f>IF($I247&lt;&gt;"",INDEX('Device Refrigerant Leakage'!$F$2:$F$42,MATCH($M247,'Device Refrigerant Leakage'!$B$2:$B$42,0)),"")</f>
        <v/>
      </c>
      <c r="CR247" s="145" t="str">
        <f>IF($I247&lt;&gt;"",INDEX('Device Refrigerant Leakage'!$G$2:$G$42,MATCH($M247,'Device Refrigerant Leakage'!$B$2:$B$42,0)),"")</f>
        <v/>
      </c>
      <c r="CS247" s="145" t="str">
        <f>IF($I247&lt;&gt;"",INDEX('Device Refrigerant Leakage'!$D$2:$D$42,MATCH($M247,'Device Refrigerant Leakage'!$B$2:$B$42,0))*CP247/2204.62*CO247,"")</f>
        <v/>
      </c>
      <c r="CT247" s="145" t="str">
        <f>IF($I247&lt;&gt;"",J247*(INDEX('Device Refrigerant Leakage'!$D$2:$D$42,MATCH($M247,'Device Refrigerant Leakage'!$B$2:$B$42,0))-(INDEX('Device Refrigerant Leakage'!$D$2:$D$42,MATCH($M247,'Device Refrigerant Leakage'!$B$2:$B$42,0)))*CR247*CP247)*CQ247/2204.62*CO247,"")</f>
        <v/>
      </c>
      <c r="CU247" s="135" t="str">
        <f>IF($I247&lt;&gt;"",J247*IF(W247&lt;&gt;"AR",(CS247*K247)+CT247,(CS247*AB247)+CT247*(AB247/INDEX('Device Refrigerant Leakage'!$C$2:$C$42,MATCH($M247,'Device Refrigerant Leakage'!$B$2:$B$42,0)))),"")</f>
        <v/>
      </c>
      <c r="CW247" s="135" t="str">
        <f>IF($I247&lt;&gt;"",IF(S247="User Specified",V247,INDEX('Refrigerant GWPs'!$G$2:$G$156,MATCH(S247,'Refrigerant GWPs'!$A$2:$A$157,0))),"")</f>
        <v/>
      </c>
      <c r="CX247" s="138" t="str">
        <f>IF($I247&lt;&gt;"",INDEX('Device Refrigerant Leakage'!$E$2:$E$42,MATCH($Q247,'Device Refrigerant Leakage'!$B$2:$B$42,0)),"")</f>
        <v/>
      </c>
      <c r="CY247" s="138" t="str">
        <f>IF($I247&lt;&gt;"",INDEX('Device Refrigerant Leakage'!$F$2:$F$42,MATCH($Q247,'Device Refrigerant Leakage'!$B$2:$B$42,0)),"")</f>
        <v/>
      </c>
      <c r="CZ247" s="145" t="str">
        <f>IF($I247&lt;&gt;"",INDEX('Device Refrigerant Leakage'!$G$2:$G$42,MATCH($Q247,'Device Refrigerant Leakage'!$B$2:$B$42,0)),"")</f>
        <v/>
      </c>
      <c r="DA247" s="145" t="str">
        <f>IF($I247&lt;&gt;"",J247*INDEX('Device Refrigerant Leakage'!$D$2:$D$42,MATCH($Q247,'Device Refrigerant Leakage'!$B$2:$B$42,0))*CX247/2204.62*CW247,"")</f>
        <v/>
      </c>
      <c r="DB247" s="145" t="str">
        <f>IF($I247&lt;&gt;"",J247*(INDEX('Device Refrigerant Leakage'!$D$2:$D$42,MATCH($Q247,'Device Refrigerant Leakage'!$B$2:$B$42,0))-(INDEX('Device Refrigerant Leakage'!$D$2:$D$42,MATCH($Q247,'Device Refrigerant Leakage'!$B$2:$B$42,0)))*CZ247*CX247)*CY247/2204.62*CW247,"")</f>
        <v/>
      </c>
      <c r="DC247" s="135" t="str">
        <f t="shared" si="348"/>
        <v/>
      </c>
      <c r="DE247" s="146" t="str">
        <f>IF(W247&lt;&gt;"AR","",IF(Y247="User Specified", AA247, INDEX('Refrigerant GWPs'!$G$2:$G$154,MATCH(Y247,'Refrigerant GWPs'!$A$2:$A$154,0))))</f>
        <v/>
      </c>
      <c r="DF247" s="146" t="str">
        <f>IF(W247&lt;&gt;"AR","",INDEX('Device Refrigerant Leakage'!$E$2:$E$42,MATCH(X247,'Device Refrigerant Leakage'!$B$2:$B$42,0)))</f>
        <v/>
      </c>
      <c r="DG247" s="146" t="str">
        <f>IF(W247&lt;&gt;"AR","",INDEX('Device Refrigerant Leakage'!$F$2:$F$42,MATCH(X247,'Device Refrigerant Leakage'!$B$2:$B$42,0)))</f>
        <v/>
      </c>
      <c r="DH247" s="146" t="str">
        <f>IF(W247&lt;&gt;"AR","",INDEX('Device Refrigerant Leakage'!$G$2:$G$42,MATCH(X247,'Device Refrigerant Leakage'!$B$2:$B$42,0)))</f>
        <v/>
      </c>
      <c r="DI247" s="146" t="str">
        <f>IF(W247&lt;&gt;"AR","",J247*INDEX('Device Refrigerant Leakage'!$D$2:$D$42,MATCH(X247,'Device Refrigerant Leakage'!$B$2:$B$42,0))*DF247/2204.62*DE247)</f>
        <v/>
      </c>
      <c r="DJ247" s="146" t="str">
        <f>IF(W247&lt;&gt;"AR","",J247*(INDEX('Device Refrigerant Leakage'!$D$2:$D$42,MATCH(X247,'Device Refrigerant Leakage'!$B$2:$B$42,0))-(INDEX('Device Refrigerant Leakage'!$D$2:$D$42,MATCH(X247,'Device Refrigerant Leakage'!$B$2:$B$42,0)))*DH247*DF247)*DG247/2204.62*DE247)</f>
        <v/>
      </c>
      <c r="DK247" s="146" t="str">
        <f>IF(W247&lt;&gt;"AR","",DI247*(K247-AB247)+'Fuel Sub Calcs-Deemed'!DJ247*((K247-AB247)/INDEX('Device Refrigerant Leakage'!$C$2:$C$42,MATCH('Fuel Sub Calcs-Deemed'!X247,'Device Refrigerant Leakage'!$B$2:$B$42,0))))</f>
        <v/>
      </c>
      <c r="DM247" s="56">
        <v>233</v>
      </c>
      <c r="DN247" s="67" t="e">
        <f t="shared" si="328"/>
        <v>#N/A</v>
      </c>
      <c r="DO247" s="45" t="e">
        <f t="shared" si="329"/>
        <v>#N/A</v>
      </c>
      <c r="DP247" s="67" t="e">
        <f t="shared" si="330"/>
        <v>#N/A</v>
      </c>
      <c r="DQ247" s="45" t="e">
        <f t="shared" si="331"/>
        <v>#N/A</v>
      </c>
      <c r="DR247" s="69" t="e">
        <f t="shared" si="332"/>
        <v>#N/A</v>
      </c>
      <c r="DS247" s="34"/>
      <c r="DT247" s="67" t="e">
        <f>((BX247*CJ247)+IF($W247=MAT_AR,(BZ247*CL247),0))*(1+Reference!$E$50+Reference!$E$51)</f>
        <v>#N/A</v>
      </c>
      <c r="DU247" s="67">
        <f>((BY247*CK247)+IF($W247=MAT_AR,(CA247*CM247),0))*(1+Reference!$G$50+Reference!$G$51)</f>
        <v>0</v>
      </c>
      <c r="DV247" s="67" t="e">
        <f t="shared" si="333"/>
        <v>#VALUE!</v>
      </c>
      <c r="DX247" s="56">
        <v>233</v>
      </c>
      <c r="DY247" s="67">
        <f t="shared" si="334"/>
        <v>0</v>
      </c>
      <c r="DZ247" s="45" t="e">
        <f>VLOOKUP($R247,Dropdown!$C$3:$D$4,2,FALSE)</f>
        <v>#N/A</v>
      </c>
      <c r="EA247" s="68">
        <f t="shared" si="335"/>
        <v>0</v>
      </c>
      <c r="EB247" s="68" t="str">
        <f t="shared" si="336"/>
        <v>N/A</v>
      </c>
      <c r="EC247" s="68">
        <f t="shared" si="337"/>
        <v>0</v>
      </c>
      <c r="ED247" s="68" t="str">
        <f t="shared" si="377"/>
        <v>N/A</v>
      </c>
      <c r="EF247" s="56">
        <v>233</v>
      </c>
      <c r="EG247" s="46">
        <f t="shared" si="339"/>
        <v>0</v>
      </c>
      <c r="EH247" s="68" t="e">
        <f t="shared" si="340"/>
        <v>#N/A</v>
      </c>
      <c r="EI247" s="68" t="e">
        <f t="shared" si="341"/>
        <v>#N/A</v>
      </c>
      <c r="EJ247" s="68" t="e">
        <f t="shared" si="342"/>
        <v>#N/A</v>
      </c>
      <c r="EK247" s="68" t="e">
        <f t="shared" si="343"/>
        <v>#N/A</v>
      </c>
      <c r="EL247" s="46">
        <f t="shared" si="344"/>
        <v>0</v>
      </c>
      <c r="EM247" s="46">
        <f t="shared" si="345"/>
        <v>0</v>
      </c>
    </row>
    <row r="248" spans="1:143">
      <c r="A248" s="89"/>
      <c r="B248" s="89"/>
      <c r="C248" s="89"/>
      <c r="D248" s="89"/>
      <c r="E248" s="89"/>
      <c r="F248" s="89"/>
      <c r="G248" s="34"/>
      <c r="H248" s="56">
        <f t="shared" si="346"/>
        <v>234</v>
      </c>
      <c r="I248" s="165"/>
      <c r="J248" s="163"/>
      <c r="K248" s="163"/>
      <c r="L248" s="164"/>
      <c r="M248" s="155"/>
      <c r="N248" s="155"/>
      <c r="O248" s="144"/>
      <c r="P248" s="159" t="str">
        <f>IFERROR(IF(O248&lt;&gt;"User Specified",IF(O248&lt;&gt;"", INDEX('Refrigerant GWPs'!$G$2:$G$154,MATCH(O248,'Refrigerant GWPs'!$A$2:$A$154,0)),""),U248),0)</f>
        <v/>
      </c>
      <c r="Q248" s="155"/>
      <c r="R248" s="155"/>
      <c r="S248" s="144"/>
      <c r="T248" s="159" t="str">
        <f>IF(S248&lt;&gt;"User Specified",IF(AND(S248&lt;&gt;"User Specified",S248&lt;&gt;""), INDEX('Refrigerant GWPs'!$G$2:$G$154,MATCH(S248,'Refrigerant GWPs'!$A$2:$A$154,0)),""),V248)</f>
        <v/>
      </c>
      <c r="U248" s="144"/>
      <c r="V248" s="144"/>
      <c r="W248" s="155"/>
      <c r="X248" s="155"/>
      <c r="Y248" s="144"/>
      <c r="Z248" s="159" t="str">
        <f>IF(AND(Y248&lt;&gt;"User Specified",Y248&lt;&gt;""), INDEX('Refrigerant GWPs'!$G$2:$G$154,MATCH(Y248,'Refrigerant GWPs'!$A$2:$A$154,0)),"")</f>
        <v/>
      </c>
      <c r="AA248" s="155"/>
      <c r="AB248" s="156"/>
      <c r="AC248" s="66"/>
      <c r="AD248" s="66"/>
      <c r="AE248" s="66"/>
      <c r="AF248" s="66"/>
      <c r="AG248" s="66"/>
      <c r="AH248" s="66"/>
      <c r="AI248" s="34"/>
      <c r="AJ248" s="88">
        <f t="shared" si="304"/>
        <v>0</v>
      </c>
      <c r="AK248" s="88">
        <f t="shared" si="305"/>
        <v>0</v>
      </c>
      <c r="AL248" s="88">
        <v>0</v>
      </c>
      <c r="AM248" s="88">
        <v>0</v>
      </c>
      <c r="AN248" s="81" t="str">
        <f t="shared" si="349"/>
        <v/>
      </c>
      <c r="AO248" s="88">
        <f t="shared" si="306"/>
        <v>0</v>
      </c>
      <c r="AP248" s="88">
        <f t="shared" si="307"/>
        <v>0</v>
      </c>
      <c r="AQ248" s="81" t="str">
        <f t="shared" si="308"/>
        <v/>
      </c>
      <c r="AS248" s="41" t="b">
        <f t="shared" si="309"/>
        <v>1</v>
      </c>
      <c r="AT248" s="38">
        <f t="shared" si="310"/>
        <v>0</v>
      </c>
      <c r="AU248" s="60">
        <f t="shared" si="311"/>
        <v>0</v>
      </c>
      <c r="AV248" s="41">
        <f t="shared" si="312"/>
        <v>0</v>
      </c>
      <c r="AW248" s="41" t="b">
        <f t="shared" si="313"/>
        <v>0</v>
      </c>
      <c r="AX248" t="str">
        <f t="shared" si="314"/>
        <v>+00</v>
      </c>
      <c r="AY248" t="str">
        <f t="shared" si="315"/>
        <v>+00</v>
      </c>
      <c r="BA248" s="47" t="b">
        <f t="shared" si="350"/>
        <v>1</v>
      </c>
      <c r="BB248" s="42" t="b">
        <f t="shared" si="351"/>
        <v>1</v>
      </c>
      <c r="BC248" s="42" t="b">
        <f t="shared" si="352"/>
        <v>0</v>
      </c>
      <c r="BD248" s="42" t="b">
        <f t="shared" si="353"/>
        <v>0</v>
      </c>
      <c r="BE248" s="70">
        <f t="shared" si="354"/>
        <v>0</v>
      </c>
      <c r="BF248" s="70">
        <f t="shared" si="355"/>
        <v>0</v>
      </c>
      <c r="BG248" s="34"/>
      <c r="BI248" s="47" t="b">
        <f t="shared" si="356"/>
        <v>1</v>
      </c>
      <c r="BJ248" s="47" t="b">
        <f t="shared" si="357"/>
        <v>1</v>
      </c>
      <c r="BK248" s="42" t="b">
        <f t="shared" si="358"/>
        <v>0</v>
      </c>
      <c r="BL248" s="42" t="b">
        <f t="shared" si="359"/>
        <v>0</v>
      </c>
      <c r="BM248" s="42">
        <f t="shared" si="360"/>
        <v>0</v>
      </c>
      <c r="BN248" s="42">
        <f t="shared" si="361"/>
        <v>0</v>
      </c>
      <c r="BP248" t="e">
        <f t="shared" si="362"/>
        <v>#N/A</v>
      </c>
      <c r="BQ248" t="e">
        <f t="shared" si="363"/>
        <v>#N/A</v>
      </c>
      <c r="BR248" t="e">
        <f t="shared" si="364"/>
        <v>#N/A</v>
      </c>
      <c r="BT248" s="60">
        <f t="shared" si="365"/>
        <v>0</v>
      </c>
      <c r="BU248" s="60">
        <f t="shared" si="366"/>
        <v>0</v>
      </c>
      <c r="BV248" s="60">
        <f t="shared" si="367"/>
        <v>0</v>
      </c>
      <c r="BW248" s="60">
        <f t="shared" si="368"/>
        <v>0</v>
      </c>
      <c r="BX248" s="60">
        <f t="shared" si="369"/>
        <v>0</v>
      </c>
      <c r="BY248" s="60">
        <f t="shared" si="370"/>
        <v>0</v>
      </c>
      <c r="BZ248" s="60">
        <f t="shared" si="371"/>
        <v>0</v>
      </c>
      <c r="CA248" s="60">
        <f t="shared" si="372"/>
        <v>0</v>
      </c>
      <c r="CB248" s="60" t="e">
        <f t="shared" si="320"/>
        <v>#N/A</v>
      </c>
      <c r="CC248" s="60">
        <f t="shared" si="321"/>
        <v>100000</v>
      </c>
      <c r="CD248" s="60" t="e">
        <f t="shared" si="322"/>
        <v>#N/A</v>
      </c>
      <c r="CE248" s="60">
        <f t="shared" si="323"/>
        <v>100000</v>
      </c>
      <c r="CF248" s="83" t="e">
        <f t="shared" si="373"/>
        <v>#N/A</v>
      </c>
      <c r="CG248" s="83">
        <f t="shared" si="374"/>
        <v>0</v>
      </c>
      <c r="CH248" s="83" t="e">
        <f t="shared" si="375"/>
        <v>#N/A</v>
      </c>
      <c r="CI248" s="83">
        <f t="shared" si="376"/>
        <v>0</v>
      </c>
      <c r="CJ248" s="86" t="e">
        <f t="shared" si="324"/>
        <v>#N/A</v>
      </c>
      <c r="CK248" s="82">
        <f t="shared" si="325"/>
        <v>5.3070370403969858E-3</v>
      </c>
      <c r="CL248" s="82" t="e">
        <f t="shared" si="326"/>
        <v>#N/A</v>
      </c>
      <c r="CM248" s="82">
        <f t="shared" si="327"/>
        <v>5.3070370403969858E-3</v>
      </c>
      <c r="CO248" s="149" t="str">
        <f>IF($I248&lt;&gt;"",IF(O248="User Specified",U248,INDEX('Refrigerant GWPs'!$G$2:$G$156,MATCH(O248,'Refrigerant GWPs'!$A$2:$A$156,0))),"")</f>
        <v/>
      </c>
      <c r="CP248" s="138" t="str">
        <f>IF($I248&lt;&gt;"",INDEX('Device Refrigerant Leakage'!$E$2:$E$42,MATCH($M248,'Device Refrigerant Leakage'!$B$2:$B$42,0)),"")</f>
        <v/>
      </c>
      <c r="CQ248" s="138" t="str">
        <f>IF($I248&lt;&gt;"",INDEX('Device Refrigerant Leakage'!$F$2:$F$42,MATCH($M248,'Device Refrigerant Leakage'!$B$2:$B$42,0)),"")</f>
        <v/>
      </c>
      <c r="CR248" s="145" t="str">
        <f>IF($I248&lt;&gt;"",INDEX('Device Refrigerant Leakage'!$G$2:$G$42,MATCH($M248,'Device Refrigerant Leakage'!$B$2:$B$42,0)),"")</f>
        <v/>
      </c>
      <c r="CS248" s="145" t="str">
        <f>IF($I248&lt;&gt;"",INDEX('Device Refrigerant Leakage'!$D$2:$D$42,MATCH($M248,'Device Refrigerant Leakage'!$B$2:$B$42,0))*CP248/2204.62*CO248,"")</f>
        <v/>
      </c>
      <c r="CT248" s="145" t="str">
        <f>IF($I248&lt;&gt;"",J248*(INDEX('Device Refrigerant Leakage'!$D$2:$D$42,MATCH($M248,'Device Refrigerant Leakage'!$B$2:$B$42,0))-(INDEX('Device Refrigerant Leakage'!$D$2:$D$42,MATCH($M248,'Device Refrigerant Leakage'!$B$2:$B$42,0)))*CR248*CP248)*CQ248/2204.62*CO248,"")</f>
        <v/>
      </c>
      <c r="CU248" s="135" t="str">
        <f>IF($I248&lt;&gt;"",J248*IF(W248&lt;&gt;"AR",(CS248*K248)+CT248,(CS248*AB248)+CT248*(AB248/INDEX('Device Refrigerant Leakage'!$C$2:$C$42,MATCH($M248,'Device Refrigerant Leakage'!$B$2:$B$42,0)))),"")</f>
        <v/>
      </c>
      <c r="CW248" s="135" t="str">
        <f>IF($I248&lt;&gt;"",IF(S248="User Specified",V248,INDEX('Refrigerant GWPs'!$G$2:$G$156,MATCH(S248,'Refrigerant GWPs'!$A$2:$A$157,0))),"")</f>
        <v/>
      </c>
      <c r="CX248" s="138" t="str">
        <f>IF($I248&lt;&gt;"",INDEX('Device Refrigerant Leakage'!$E$2:$E$42,MATCH($Q248,'Device Refrigerant Leakage'!$B$2:$B$42,0)),"")</f>
        <v/>
      </c>
      <c r="CY248" s="138" t="str">
        <f>IF($I248&lt;&gt;"",INDEX('Device Refrigerant Leakage'!$F$2:$F$42,MATCH($Q248,'Device Refrigerant Leakage'!$B$2:$B$42,0)),"")</f>
        <v/>
      </c>
      <c r="CZ248" s="145" t="str">
        <f>IF($I248&lt;&gt;"",INDEX('Device Refrigerant Leakage'!$G$2:$G$42,MATCH($Q248,'Device Refrigerant Leakage'!$B$2:$B$42,0)),"")</f>
        <v/>
      </c>
      <c r="DA248" s="145" t="str">
        <f>IF($I248&lt;&gt;"",J248*INDEX('Device Refrigerant Leakage'!$D$2:$D$42,MATCH($Q248,'Device Refrigerant Leakage'!$B$2:$B$42,0))*CX248/2204.62*CW248,"")</f>
        <v/>
      </c>
      <c r="DB248" s="145" t="str">
        <f>IF($I248&lt;&gt;"",J248*(INDEX('Device Refrigerant Leakage'!$D$2:$D$42,MATCH($Q248,'Device Refrigerant Leakage'!$B$2:$B$42,0))-(INDEX('Device Refrigerant Leakage'!$D$2:$D$42,MATCH($Q248,'Device Refrigerant Leakage'!$B$2:$B$42,0)))*CZ248*CX248)*CY248/2204.62*CW248,"")</f>
        <v/>
      </c>
      <c r="DC248" s="135" t="str">
        <f t="shared" si="348"/>
        <v/>
      </c>
      <c r="DE248" s="146" t="str">
        <f>IF(W248&lt;&gt;"AR","",IF(Y248="User Specified", AA248, INDEX('Refrigerant GWPs'!$G$2:$G$154,MATCH(Y248,'Refrigerant GWPs'!$A$2:$A$154,0))))</f>
        <v/>
      </c>
      <c r="DF248" s="146" t="str">
        <f>IF(W248&lt;&gt;"AR","",INDEX('Device Refrigerant Leakage'!$E$2:$E$42,MATCH(X248,'Device Refrigerant Leakage'!$B$2:$B$42,0)))</f>
        <v/>
      </c>
      <c r="DG248" s="146" t="str">
        <f>IF(W248&lt;&gt;"AR","",INDEX('Device Refrigerant Leakage'!$F$2:$F$42,MATCH(X248,'Device Refrigerant Leakage'!$B$2:$B$42,0)))</f>
        <v/>
      </c>
      <c r="DH248" s="146" t="str">
        <f>IF(W248&lt;&gt;"AR","",INDEX('Device Refrigerant Leakage'!$G$2:$G$42,MATCH(X248,'Device Refrigerant Leakage'!$B$2:$B$42,0)))</f>
        <v/>
      </c>
      <c r="DI248" s="146" t="str">
        <f>IF(W248&lt;&gt;"AR","",J248*INDEX('Device Refrigerant Leakage'!$D$2:$D$42,MATCH(X248,'Device Refrigerant Leakage'!$B$2:$B$42,0))*DF248/2204.62*DE248)</f>
        <v/>
      </c>
      <c r="DJ248" s="146" t="str">
        <f>IF(W248&lt;&gt;"AR","",J248*(INDEX('Device Refrigerant Leakage'!$D$2:$D$42,MATCH(X248,'Device Refrigerant Leakage'!$B$2:$B$42,0))-(INDEX('Device Refrigerant Leakage'!$D$2:$D$42,MATCH(X248,'Device Refrigerant Leakage'!$B$2:$B$42,0)))*DH248*DF248)*DG248/2204.62*DE248)</f>
        <v/>
      </c>
      <c r="DK248" s="146" t="str">
        <f>IF(W248&lt;&gt;"AR","",DI248*(K248-AB248)+'Fuel Sub Calcs-Deemed'!DJ248*((K248-AB248)/INDEX('Device Refrigerant Leakage'!$C$2:$C$42,MATCH('Fuel Sub Calcs-Deemed'!X248,'Device Refrigerant Leakage'!$B$2:$B$42,0))))</f>
        <v/>
      </c>
      <c r="DM248" s="56">
        <v>234</v>
      </c>
      <c r="DN248" s="67" t="e">
        <f t="shared" si="328"/>
        <v>#N/A</v>
      </c>
      <c r="DO248" s="45" t="e">
        <f t="shared" si="329"/>
        <v>#N/A</v>
      </c>
      <c r="DP248" s="67" t="e">
        <f t="shared" si="330"/>
        <v>#N/A</v>
      </c>
      <c r="DQ248" s="45" t="e">
        <f t="shared" si="331"/>
        <v>#N/A</v>
      </c>
      <c r="DR248" s="69" t="e">
        <f t="shared" si="332"/>
        <v>#N/A</v>
      </c>
      <c r="DS248" s="34"/>
      <c r="DT248" s="67" t="e">
        <f>((BX248*CJ248)+IF($W248=MAT_AR,(BZ248*CL248),0))*(1+Reference!$E$50+Reference!$E$51)</f>
        <v>#N/A</v>
      </c>
      <c r="DU248" s="67">
        <f>((BY248*CK248)+IF($W248=MAT_AR,(CA248*CM248),0))*(1+Reference!$G$50+Reference!$G$51)</f>
        <v>0</v>
      </c>
      <c r="DV248" s="67" t="e">
        <f t="shared" si="333"/>
        <v>#VALUE!</v>
      </c>
      <c r="DX248" s="56">
        <v>234</v>
      </c>
      <c r="DY248" s="67">
        <f t="shared" si="334"/>
        <v>0</v>
      </c>
      <c r="DZ248" s="45" t="e">
        <f>VLOOKUP($R248,Dropdown!$C$3:$D$4,2,FALSE)</f>
        <v>#N/A</v>
      </c>
      <c r="EA248" s="68">
        <f t="shared" si="335"/>
        <v>0</v>
      </c>
      <c r="EB248" s="68" t="str">
        <f t="shared" si="336"/>
        <v>N/A</v>
      </c>
      <c r="EC248" s="68">
        <f t="shared" si="337"/>
        <v>0</v>
      </c>
      <c r="ED248" s="68" t="str">
        <f t="shared" si="377"/>
        <v>N/A</v>
      </c>
      <c r="EF248" s="56">
        <v>234</v>
      </c>
      <c r="EG248" s="46">
        <f t="shared" si="339"/>
        <v>0</v>
      </c>
      <c r="EH248" s="68" t="e">
        <f t="shared" si="340"/>
        <v>#N/A</v>
      </c>
      <c r="EI248" s="68" t="e">
        <f t="shared" si="341"/>
        <v>#N/A</v>
      </c>
      <c r="EJ248" s="68" t="e">
        <f t="shared" si="342"/>
        <v>#N/A</v>
      </c>
      <c r="EK248" s="68" t="e">
        <f t="shared" si="343"/>
        <v>#N/A</v>
      </c>
      <c r="EL248" s="46">
        <f t="shared" si="344"/>
        <v>0</v>
      </c>
      <c r="EM248" s="46">
        <f t="shared" si="345"/>
        <v>0</v>
      </c>
    </row>
    <row r="249" spans="1:143">
      <c r="A249" s="89"/>
      <c r="B249" s="89"/>
      <c r="C249" s="89"/>
      <c r="D249" s="89"/>
      <c r="E249" s="89"/>
      <c r="F249" s="89"/>
      <c r="G249" s="34"/>
      <c r="H249" s="56">
        <f t="shared" si="346"/>
        <v>235</v>
      </c>
      <c r="I249" s="165"/>
      <c r="J249" s="163"/>
      <c r="K249" s="163"/>
      <c r="L249" s="164"/>
      <c r="M249" s="155"/>
      <c r="N249" s="155"/>
      <c r="O249" s="144"/>
      <c r="P249" s="159" t="str">
        <f>IFERROR(IF(O249&lt;&gt;"User Specified",IF(O249&lt;&gt;"", INDEX('Refrigerant GWPs'!$G$2:$G$154,MATCH(O249,'Refrigerant GWPs'!$A$2:$A$154,0)),""),U249),0)</f>
        <v/>
      </c>
      <c r="Q249" s="155"/>
      <c r="R249" s="155"/>
      <c r="S249" s="144"/>
      <c r="T249" s="159" t="str">
        <f>IF(S249&lt;&gt;"User Specified",IF(AND(S249&lt;&gt;"User Specified",S249&lt;&gt;""), INDEX('Refrigerant GWPs'!$G$2:$G$154,MATCH(S249,'Refrigerant GWPs'!$A$2:$A$154,0)),""),V249)</f>
        <v/>
      </c>
      <c r="U249" s="144"/>
      <c r="V249" s="144"/>
      <c r="W249" s="155"/>
      <c r="X249" s="155"/>
      <c r="Y249" s="144"/>
      <c r="Z249" s="159" t="str">
        <f>IF(AND(Y249&lt;&gt;"User Specified",Y249&lt;&gt;""), INDEX('Refrigerant GWPs'!$G$2:$G$154,MATCH(Y249,'Refrigerant GWPs'!$A$2:$A$154,0)),"")</f>
        <v/>
      </c>
      <c r="AA249" s="155"/>
      <c r="AB249" s="156"/>
      <c r="AC249" s="66"/>
      <c r="AD249" s="66"/>
      <c r="AE249" s="66"/>
      <c r="AF249" s="66"/>
      <c r="AG249" s="66"/>
      <c r="AH249" s="66"/>
      <c r="AI249" s="34"/>
      <c r="AJ249" s="88">
        <f t="shared" si="304"/>
        <v>0</v>
      </c>
      <c r="AK249" s="88">
        <f t="shared" si="305"/>
        <v>0</v>
      </c>
      <c r="AL249" s="88">
        <v>0</v>
      </c>
      <c r="AM249" s="88">
        <v>0</v>
      </c>
      <c r="AN249" s="81" t="str">
        <f t="shared" si="349"/>
        <v/>
      </c>
      <c r="AO249" s="88">
        <f t="shared" si="306"/>
        <v>0</v>
      </c>
      <c r="AP249" s="88">
        <f t="shared" si="307"/>
        <v>0</v>
      </c>
      <c r="AQ249" s="81" t="str">
        <f t="shared" si="308"/>
        <v/>
      </c>
      <c r="AS249" s="41" t="b">
        <f t="shared" si="309"/>
        <v>1</v>
      </c>
      <c r="AT249" s="38">
        <f t="shared" si="310"/>
        <v>0</v>
      </c>
      <c r="AU249" s="60">
        <f t="shared" si="311"/>
        <v>0</v>
      </c>
      <c r="AV249" s="41">
        <f t="shared" si="312"/>
        <v>0</v>
      </c>
      <c r="AW249" s="41" t="b">
        <f t="shared" si="313"/>
        <v>0</v>
      </c>
      <c r="AX249" t="str">
        <f t="shared" si="314"/>
        <v>+00</v>
      </c>
      <c r="AY249" t="str">
        <f t="shared" si="315"/>
        <v>+00</v>
      </c>
      <c r="BA249" s="47" t="b">
        <f t="shared" si="350"/>
        <v>1</v>
      </c>
      <c r="BB249" s="42" t="b">
        <f t="shared" si="351"/>
        <v>1</v>
      </c>
      <c r="BC249" s="42" t="b">
        <f t="shared" si="352"/>
        <v>0</v>
      </c>
      <c r="BD249" s="42" t="b">
        <f t="shared" si="353"/>
        <v>0</v>
      </c>
      <c r="BE249" s="70">
        <f t="shared" si="354"/>
        <v>0</v>
      </c>
      <c r="BF249" s="70">
        <f t="shared" si="355"/>
        <v>0</v>
      </c>
      <c r="BG249" s="34"/>
      <c r="BI249" s="47" t="b">
        <f t="shared" si="356"/>
        <v>1</v>
      </c>
      <c r="BJ249" s="47" t="b">
        <f t="shared" si="357"/>
        <v>1</v>
      </c>
      <c r="BK249" s="42" t="b">
        <f t="shared" si="358"/>
        <v>0</v>
      </c>
      <c r="BL249" s="42" t="b">
        <f t="shared" si="359"/>
        <v>0</v>
      </c>
      <c r="BM249" s="42">
        <f t="shared" si="360"/>
        <v>0</v>
      </c>
      <c r="BN249" s="42">
        <f t="shared" si="361"/>
        <v>0</v>
      </c>
      <c r="BP249" t="e">
        <f t="shared" si="362"/>
        <v>#N/A</v>
      </c>
      <c r="BQ249" t="e">
        <f t="shared" si="363"/>
        <v>#N/A</v>
      </c>
      <c r="BR249" t="e">
        <f t="shared" si="364"/>
        <v>#N/A</v>
      </c>
      <c r="BT249" s="60">
        <f t="shared" si="365"/>
        <v>0</v>
      </c>
      <c r="BU249" s="60">
        <f t="shared" si="366"/>
        <v>0</v>
      </c>
      <c r="BV249" s="60">
        <f t="shared" si="367"/>
        <v>0</v>
      </c>
      <c r="BW249" s="60">
        <f t="shared" si="368"/>
        <v>0</v>
      </c>
      <c r="BX249" s="60">
        <f t="shared" si="369"/>
        <v>0</v>
      </c>
      <c r="BY249" s="60">
        <f t="shared" si="370"/>
        <v>0</v>
      </c>
      <c r="BZ249" s="60">
        <f t="shared" si="371"/>
        <v>0</v>
      </c>
      <c r="CA249" s="60">
        <f t="shared" si="372"/>
        <v>0</v>
      </c>
      <c r="CB249" s="60" t="e">
        <f t="shared" si="320"/>
        <v>#N/A</v>
      </c>
      <c r="CC249" s="60">
        <f t="shared" si="321"/>
        <v>100000</v>
      </c>
      <c r="CD249" s="60" t="e">
        <f t="shared" si="322"/>
        <v>#N/A</v>
      </c>
      <c r="CE249" s="60">
        <f t="shared" si="323"/>
        <v>100000</v>
      </c>
      <c r="CF249" s="83" t="e">
        <f t="shared" si="373"/>
        <v>#N/A</v>
      </c>
      <c r="CG249" s="83">
        <f t="shared" si="374"/>
        <v>0</v>
      </c>
      <c r="CH249" s="83" t="e">
        <f t="shared" si="375"/>
        <v>#N/A</v>
      </c>
      <c r="CI249" s="83">
        <f t="shared" si="376"/>
        <v>0</v>
      </c>
      <c r="CJ249" s="86" t="e">
        <f t="shared" si="324"/>
        <v>#N/A</v>
      </c>
      <c r="CK249" s="82">
        <f t="shared" si="325"/>
        <v>5.3070370403969858E-3</v>
      </c>
      <c r="CL249" s="82" t="e">
        <f t="shared" si="326"/>
        <v>#N/A</v>
      </c>
      <c r="CM249" s="82">
        <f t="shared" si="327"/>
        <v>5.3070370403969858E-3</v>
      </c>
      <c r="CO249" s="149" t="str">
        <f>IF($I249&lt;&gt;"",IF(O249="User Specified",U249,INDEX('Refrigerant GWPs'!$G$2:$G$156,MATCH(O249,'Refrigerant GWPs'!$A$2:$A$156,0))),"")</f>
        <v/>
      </c>
      <c r="CP249" s="138" t="str">
        <f>IF($I249&lt;&gt;"",INDEX('Device Refrigerant Leakage'!$E$2:$E$42,MATCH($M249,'Device Refrigerant Leakage'!$B$2:$B$42,0)),"")</f>
        <v/>
      </c>
      <c r="CQ249" s="138" t="str">
        <f>IF($I249&lt;&gt;"",INDEX('Device Refrigerant Leakage'!$F$2:$F$42,MATCH($M249,'Device Refrigerant Leakage'!$B$2:$B$42,0)),"")</f>
        <v/>
      </c>
      <c r="CR249" s="145" t="str">
        <f>IF($I249&lt;&gt;"",INDEX('Device Refrigerant Leakage'!$G$2:$G$42,MATCH($M249,'Device Refrigerant Leakage'!$B$2:$B$42,0)),"")</f>
        <v/>
      </c>
      <c r="CS249" s="145" t="str">
        <f>IF($I249&lt;&gt;"",INDEX('Device Refrigerant Leakage'!$D$2:$D$42,MATCH($M249,'Device Refrigerant Leakage'!$B$2:$B$42,0))*CP249/2204.62*CO249,"")</f>
        <v/>
      </c>
      <c r="CT249" s="145" t="str">
        <f>IF($I249&lt;&gt;"",J249*(INDEX('Device Refrigerant Leakage'!$D$2:$D$42,MATCH($M249,'Device Refrigerant Leakage'!$B$2:$B$42,0))-(INDEX('Device Refrigerant Leakage'!$D$2:$D$42,MATCH($M249,'Device Refrigerant Leakage'!$B$2:$B$42,0)))*CR249*CP249)*CQ249/2204.62*CO249,"")</f>
        <v/>
      </c>
      <c r="CU249" s="135" t="str">
        <f>IF($I249&lt;&gt;"",J249*IF(W249&lt;&gt;"AR",(CS249*K249)+CT249,(CS249*AB249)+CT249*(AB249/INDEX('Device Refrigerant Leakage'!$C$2:$C$42,MATCH($M249,'Device Refrigerant Leakage'!$B$2:$B$42,0)))),"")</f>
        <v/>
      </c>
      <c r="CW249" s="135" t="str">
        <f>IF($I249&lt;&gt;"",IF(S249="User Specified",V249,INDEX('Refrigerant GWPs'!$G$2:$G$156,MATCH(S249,'Refrigerant GWPs'!$A$2:$A$157,0))),"")</f>
        <v/>
      </c>
      <c r="CX249" s="138" t="str">
        <f>IF($I249&lt;&gt;"",INDEX('Device Refrigerant Leakage'!$E$2:$E$42,MATCH($Q249,'Device Refrigerant Leakage'!$B$2:$B$42,0)),"")</f>
        <v/>
      </c>
      <c r="CY249" s="138" t="str">
        <f>IF($I249&lt;&gt;"",INDEX('Device Refrigerant Leakage'!$F$2:$F$42,MATCH($Q249,'Device Refrigerant Leakage'!$B$2:$B$42,0)),"")</f>
        <v/>
      </c>
      <c r="CZ249" s="145" t="str">
        <f>IF($I249&lt;&gt;"",INDEX('Device Refrigerant Leakage'!$G$2:$G$42,MATCH($Q249,'Device Refrigerant Leakage'!$B$2:$B$42,0)),"")</f>
        <v/>
      </c>
      <c r="DA249" s="145" t="str">
        <f>IF($I249&lt;&gt;"",J249*INDEX('Device Refrigerant Leakage'!$D$2:$D$42,MATCH($Q249,'Device Refrigerant Leakage'!$B$2:$B$42,0))*CX249/2204.62*CW249,"")</f>
        <v/>
      </c>
      <c r="DB249" s="145" t="str">
        <f>IF($I249&lt;&gt;"",J249*(INDEX('Device Refrigerant Leakage'!$D$2:$D$42,MATCH($Q249,'Device Refrigerant Leakage'!$B$2:$B$42,0))-(INDEX('Device Refrigerant Leakage'!$D$2:$D$42,MATCH($Q249,'Device Refrigerant Leakage'!$B$2:$B$42,0)))*CZ249*CX249)*CY249/2204.62*CW249,"")</f>
        <v/>
      </c>
      <c r="DC249" s="135" t="str">
        <f t="shared" si="348"/>
        <v/>
      </c>
      <c r="DE249" s="146" t="str">
        <f>IF(W249&lt;&gt;"AR","",IF(Y249="User Specified", AA249, INDEX('Refrigerant GWPs'!$G$2:$G$154,MATCH(Y249,'Refrigerant GWPs'!$A$2:$A$154,0))))</f>
        <v/>
      </c>
      <c r="DF249" s="146" t="str">
        <f>IF(W249&lt;&gt;"AR","",INDEX('Device Refrigerant Leakage'!$E$2:$E$42,MATCH(X249,'Device Refrigerant Leakage'!$B$2:$B$42,0)))</f>
        <v/>
      </c>
      <c r="DG249" s="146" t="str">
        <f>IF(W249&lt;&gt;"AR","",INDEX('Device Refrigerant Leakage'!$F$2:$F$42,MATCH(X249,'Device Refrigerant Leakage'!$B$2:$B$42,0)))</f>
        <v/>
      </c>
      <c r="DH249" s="146" t="str">
        <f>IF(W249&lt;&gt;"AR","",INDEX('Device Refrigerant Leakage'!$G$2:$G$42,MATCH(X249,'Device Refrigerant Leakage'!$B$2:$B$42,0)))</f>
        <v/>
      </c>
      <c r="DI249" s="146" t="str">
        <f>IF(W249&lt;&gt;"AR","",J249*INDEX('Device Refrigerant Leakage'!$D$2:$D$42,MATCH(X249,'Device Refrigerant Leakage'!$B$2:$B$42,0))*DF249/2204.62*DE249)</f>
        <v/>
      </c>
      <c r="DJ249" s="146" t="str">
        <f>IF(W249&lt;&gt;"AR","",J249*(INDEX('Device Refrigerant Leakage'!$D$2:$D$42,MATCH(X249,'Device Refrigerant Leakage'!$B$2:$B$42,0))-(INDEX('Device Refrigerant Leakage'!$D$2:$D$42,MATCH(X249,'Device Refrigerant Leakage'!$B$2:$B$42,0)))*DH249*DF249)*DG249/2204.62*DE249)</f>
        <v/>
      </c>
      <c r="DK249" s="146" t="str">
        <f>IF(W249&lt;&gt;"AR","",DI249*(K249-AB249)+'Fuel Sub Calcs-Deemed'!DJ249*((K249-AB249)/INDEX('Device Refrigerant Leakage'!$C$2:$C$42,MATCH('Fuel Sub Calcs-Deemed'!X249,'Device Refrigerant Leakage'!$B$2:$B$42,0))))</f>
        <v/>
      </c>
      <c r="DM249" s="56">
        <v>235</v>
      </c>
      <c r="DN249" s="67" t="e">
        <f t="shared" si="328"/>
        <v>#N/A</v>
      </c>
      <c r="DO249" s="45" t="e">
        <f t="shared" si="329"/>
        <v>#N/A</v>
      </c>
      <c r="DP249" s="67" t="e">
        <f t="shared" si="330"/>
        <v>#N/A</v>
      </c>
      <c r="DQ249" s="45" t="e">
        <f t="shared" si="331"/>
        <v>#N/A</v>
      </c>
      <c r="DR249" s="69" t="e">
        <f t="shared" si="332"/>
        <v>#N/A</v>
      </c>
      <c r="DS249" s="34"/>
      <c r="DT249" s="67" t="e">
        <f>((BX249*CJ249)+IF($W249=MAT_AR,(BZ249*CL249),0))*(1+Reference!$E$50+Reference!$E$51)</f>
        <v>#N/A</v>
      </c>
      <c r="DU249" s="67">
        <f>((BY249*CK249)+IF($W249=MAT_AR,(CA249*CM249),0))*(1+Reference!$G$50+Reference!$G$51)</f>
        <v>0</v>
      </c>
      <c r="DV249" s="67" t="e">
        <f t="shared" si="333"/>
        <v>#VALUE!</v>
      </c>
      <c r="DX249" s="56">
        <v>235</v>
      </c>
      <c r="DY249" s="67">
        <f t="shared" si="334"/>
        <v>0</v>
      </c>
      <c r="DZ249" s="45" t="e">
        <f>VLOOKUP($R249,Dropdown!$C$3:$D$4,2,FALSE)</f>
        <v>#N/A</v>
      </c>
      <c r="EA249" s="68">
        <f t="shared" si="335"/>
        <v>0</v>
      </c>
      <c r="EB249" s="68" t="str">
        <f t="shared" si="336"/>
        <v>N/A</v>
      </c>
      <c r="EC249" s="68">
        <f t="shared" si="337"/>
        <v>0</v>
      </c>
      <c r="ED249" s="68" t="str">
        <f t="shared" si="377"/>
        <v>N/A</v>
      </c>
      <c r="EF249" s="56">
        <v>235</v>
      </c>
      <c r="EG249" s="46">
        <f t="shared" si="339"/>
        <v>0</v>
      </c>
      <c r="EH249" s="68" t="e">
        <f t="shared" si="340"/>
        <v>#N/A</v>
      </c>
      <c r="EI249" s="68" t="e">
        <f t="shared" si="341"/>
        <v>#N/A</v>
      </c>
      <c r="EJ249" s="68" t="e">
        <f t="shared" si="342"/>
        <v>#N/A</v>
      </c>
      <c r="EK249" s="68" t="e">
        <f t="shared" si="343"/>
        <v>#N/A</v>
      </c>
      <c r="EL249" s="46">
        <f t="shared" si="344"/>
        <v>0</v>
      </c>
      <c r="EM249" s="46">
        <f t="shared" si="345"/>
        <v>0</v>
      </c>
    </row>
    <row r="250" spans="1:143">
      <c r="A250" s="89"/>
      <c r="B250" s="89"/>
      <c r="C250" s="89"/>
      <c r="D250" s="89"/>
      <c r="E250" s="89"/>
      <c r="F250" s="89"/>
      <c r="G250" s="34"/>
      <c r="H250" s="56">
        <f t="shared" si="346"/>
        <v>236</v>
      </c>
      <c r="I250" s="165"/>
      <c r="J250" s="163"/>
      <c r="K250" s="163"/>
      <c r="L250" s="164"/>
      <c r="M250" s="155"/>
      <c r="N250" s="155"/>
      <c r="O250" s="144"/>
      <c r="P250" s="159" t="str">
        <f>IFERROR(IF(O250&lt;&gt;"User Specified",IF(O250&lt;&gt;"", INDEX('Refrigerant GWPs'!$G$2:$G$154,MATCH(O250,'Refrigerant GWPs'!$A$2:$A$154,0)),""),U250),0)</f>
        <v/>
      </c>
      <c r="Q250" s="155"/>
      <c r="R250" s="155"/>
      <c r="S250" s="144"/>
      <c r="T250" s="159" t="str">
        <f>IF(S250&lt;&gt;"User Specified",IF(AND(S250&lt;&gt;"User Specified",S250&lt;&gt;""), INDEX('Refrigerant GWPs'!$G$2:$G$154,MATCH(S250,'Refrigerant GWPs'!$A$2:$A$154,0)),""),V250)</f>
        <v/>
      </c>
      <c r="U250" s="144"/>
      <c r="V250" s="144"/>
      <c r="W250" s="155"/>
      <c r="X250" s="155"/>
      <c r="Y250" s="144"/>
      <c r="Z250" s="159" t="str">
        <f>IF(AND(Y250&lt;&gt;"User Specified",Y250&lt;&gt;""), INDEX('Refrigerant GWPs'!$G$2:$G$154,MATCH(Y250,'Refrigerant GWPs'!$A$2:$A$154,0)),"")</f>
        <v/>
      </c>
      <c r="AA250" s="155"/>
      <c r="AB250" s="156"/>
      <c r="AC250" s="66"/>
      <c r="AD250" s="66"/>
      <c r="AE250" s="66"/>
      <c r="AF250" s="66"/>
      <c r="AG250" s="66"/>
      <c r="AH250" s="66"/>
      <c r="AI250" s="34"/>
      <c r="AJ250" s="88">
        <f t="shared" si="304"/>
        <v>0</v>
      </c>
      <c r="AK250" s="88">
        <f t="shared" si="305"/>
        <v>0</v>
      </c>
      <c r="AL250" s="88">
        <v>0</v>
      </c>
      <c r="AM250" s="88">
        <v>0</v>
      </c>
      <c r="AN250" s="81" t="str">
        <f t="shared" si="349"/>
        <v/>
      </c>
      <c r="AO250" s="88">
        <f t="shared" si="306"/>
        <v>0</v>
      </c>
      <c r="AP250" s="88">
        <f t="shared" si="307"/>
        <v>0</v>
      </c>
      <c r="AQ250" s="81" t="str">
        <f t="shared" si="308"/>
        <v/>
      </c>
      <c r="AS250" s="41" t="b">
        <f t="shared" si="309"/>
        <v>1</v>
      </c>
      <c r="AT250" s="38">
        <f t="shared" si="310"/>
        <v>0</v>
      </c>
      <c r="AU250" s="60">
        <f t="shared" si="311"/>
        <v>0</v>
      </c>
      <c r="AV250" s="41">
        <f t="shared" si="312"/>
        <v>0</v>
      </c>
      <c r="AW250" s="41" t="b">
        <f t="shared" si="313"/>
        <v>0</v>
      </c>
      <c r="AX250" t="str">
        <f t="shared" si="314"/>
        <v>+00</v>
      </c>
      <c r="AY250" t="str">
        <f t="shared" si="315"/>
        <v>+00</v>
      </c>
      <c r="BA250" s="47" t="b">
        <f t="shared" si="350"/>
        <v>1</v>
      </c>
      <c r="BB250" s="42" t="b">
        <f t="shared" si="351"/>
        <v>1</v>
      </c>
      <c r="BC250" s="42" t="b">
        <f t="shared" si="352"/>
        <v>0</v>
      </c>
      <c r="BD250" s="42" t="b">
        <f t="shared" si="353"/>
        <v>0</v>
      </c>
      <c r="BE250" s="70">
        <f t="shared" si="354"/>
        <v>0</v>
      </c>
      <c r="BF250" s="70">
        <f t="shared" si="355"/>
        <v>0</v>
      </c>
      <c r="BG250" s="34"/>
      <c r="BI250" s="47" t="b">
        <f t="shared" si="356"/>
        <v>1</v>
      </c>
      <c r="BJ250" s="47" t="b">
        <f t="shared" si="357"/>
        <v>1</v>
      </c>
      <c r="BK250" s="42" t="b">
        <f t="shared" si="358"/>
        <v>0</v>
      </c>
      <c r="BL250" s="42" t="b">
        <f t="shared" si="359"/>
        <v>0</v>
      </c>
      <c r="BM250" s="42">
        <f t="shared" si="360"/>
        <v>0</v>
      </c>
      <c r="BN250" s="42">
        <f t="shared" si="361"/>
        <v>0</v>
      </c>
      <c r="BP250" t="e">
        <f t="shared" si="362"/>
        <v>#N/A</v>
      </c>
      <c r="BQ250" t="e">
        <f t="shared" si="363"/>
        <v>#N/A</v>
      </c>
      <c r="BR250" t="e">
        <f t="shared" si="364"/>
        <v>#N/A</v>
      </c>
      <c r="BT250" s="60">
        <f t="shared" si="365"/>
        <v>0</v>
      </c>
      <c r="BU250" s="60">
        <f t="shared" si="366"/>
        <v>0</v>
      </c>
      <c r="BV250" s="60">
        <f t="shared" si="367"/>
        <v>0</v>
      </c>
      <c r="BW250" s="60">
        <f t="shared" si="368"/>
        <v>0</v>
      </c>
      <c r="BX250" s="60">
        <f t="shared" si="369"/>
        <v>0</v>
      </c>
      <c r="BY250" s="60">
        <f t="shared" si="370"/>
        <v>0</v>
      </c>
      <c r="BZ250" s="60">
        <f t="shared" si="371"/>
        <v>0</v>
      </c>
      <c r="CA250" s="60">
        <f t="shared" si="372"/>
        <v>0</v>
      </c>
      <c r="CB250" s="60" t="e">
        <f t="shared" si="320"/>
        <v>#N/A</v>
      </c>
      <c r="CC250" s="60">
        <f t="shared" si="321"/>
        <v>100000</v>
      </c>
      <c r="CD250" s="60" t="e">
        <f t="shared" si="322"/>
        <v>#N/A</v>
      </c>
      <c r="CE250" s="60">
        <f t="shared" si="323"/>
        <v>100000</v>
      </c>
      <c r="CF250" s="83" t="e">
        <f t="shared" si="373"/>
        <v>#N/A</v>
      </c>
      <c r="CG250" s="83">
        <f t="shared" si="374"/>
        <v>0</v>
      </c>
      <c r="CH250" s="83" t="e">
        <f t="shared" si="375"/>
        <v>#N/A</v>
      </c>
      <c r="CI250" s="83">
        <f t="shared" si="376"/>
        <v>0</v>
      </c>
      <c r="CJ250" s="86" t="e">
        <f t="shared" si="324"/>
        <v>#N/A</v>
      </c>
      <c r="CK250" s="82">
        <f t="shared" si="325"/>
        <v>5.3070370403969858E-3</v>
      </c>
      <c r="CL250" s="82" t="e">
        <f t="shared" si="326"/>
        <v>#N/A</v>
      </c>
      <c r="CM250" s="82">
        <f t="shared" si="327"/>
        <v>5.3070370403969858E-3</v>
      </c>
      <c r="CO250" s="149" t="str">
        <f>IF($I250&lt;&gt;"",IF(O250="User Specified",U250,INDEX('Refrigerant GWPs'!$G$2:$G$156,MATCH(O250,'Refrigerant GWPs'!$A$2:$A$156,0))),"")</f>
        <v/>
      </c>
      <c r="CP250" s="138" t="str">
        <f>IF($I250&lt;&gt;"",INDEX('Device Refrigerant Leakage'!$E$2:$E$42,MATCH($M250,'Device Refrigerant Leakage'!$B$2:$B$42,0)),"")</f>
        <v/>
      </c>
      <c r="CQ250" s="138" t="str">
        <f>IF($I250&lt;&gt;"",INDEX('Device Refrigerant Leakage'!$F$2:$F$42,MATCH($M250,'Device Refrigerant Leakage'!$B$2:$B$42,0)),"")</f>
        <v/>
      </c>
      <c r="CR250" s="145" t="str">
        <f>IF($I250&lt;&gt;"",INDEX('Device Refrigerant Leakage'!$G$2:$G$42,MATCH($M250,'Device Refrigerant Leakage'!$B$2:$B$42,0)),"")</f>
        <v/>
      </c>
      <c r="CS250" s="145" t="str">
        <f>IF($I250&lt;&gt;"",INDEX('Device Refrigerant Leakage'!$D$2:$D$42,MATCH($M250,'Device Refrigerant Leakage'!$B$2:$B$42,0))*CP250/2204.62*CO250,"")</f>
        <v/>
      </c>
      <c r="CT250" s="145" t="str">
        <f>IF($I250&lt;&gt;"",J250*(INDEX('Device Refrigerant Leakage'!$D$2:$D$42,MATCH($M250,'Device Refrigerant Leakage'!$B$2:$B$42,0))-(INDEX('Device Refrigerant Leakage'!$D$2:$D$42,MATCH($M250,'Device Refrigerant Leakage'!$B$2:$B$42,0)))*CR250*CP250)*CQ250/2204.62*CO250,"")</f>
        <v/>
      </c>
      <c r="CU250" s="135" t="str">
        <f>IF($I250&lt;&gt;"",J250*IF(W250&lt;&gt;"AR",(CS250*K250)+CT250,(CS250*AB250)+CT250*(AB250/INDEX('Device Refrigerant Leakage'!$C$2:$C$42,MATCH($M250,'Device Refrigerant Leakage'!$B$2:$B$42,0)))),"")</f>
        <v/>
      </c>
      <c r="CW250" s="135" t="str">
        <f>IF($I250&lt;&gt;"",IF(S250="User Specified",V250,INDEX('Refrigerant GWPs'!$G$2:$G$156,MATCH(S250,'Refrigerant GWPs'!$A$2:$A$157,0))),"")</f>
        <v/>
      </c>
      <c r="CX250" s="138" t="str">
        <f>IF($I250&lt;&gt;"",INDEX('Device Refrigerant Leakage'!$E$2:$E$42,MATCH($Q250,'Device Refrigerant Leakage'!$B$2:$B$42,0)),"")</f>
        <v/>
      </c>
      <c r="CY250" s="138" t="str">
        <f>IF($I250&lt;&gt;"",INDEX('Device Refrigerant Leakage'!$F$2:$F$42,MATCH($Q250,'Device Refrigerant Leakage'!$B$2:$B$42,0)),"")</f>
        <v/>
      </c>
      <c r="CZ250" s="145" t="str">
        <f>IF($I250&lt;&gt;"",INDEX('Device Refrigerant Leakage'!$G$2:$G$42,MATCH($Q250,'Device Refrigerant Leakage'!$B$2:$B$42,0)),"")</f>
        <v/>
      </c>
      <c r="DA250" s="145" t="str">
        <f>IF($I250&lt;&gt;"",J250*INDEX('Device Refrigerant Leakage'!$D$2:$D$42,MATCH($Q250,'Device Refrigerant Leakage'!$B$2:$B$42,0))*CX250/2204.62*CW250,"")</f>
        <v/>
      </c>
      <c r="DB250" s="145" t="str">
        <f>IF($I250&lt;&gt;"",J250*(INDEX('Device Refrigerant Leakage'!$D$2:$D$42,MATCH($Q250,'Device Refrigerant Leakage'!$B$2:$B$42,0))-(INDEX('Device Refrigerant Leakage'!$D$2:$D$42,MATCH($Q250,'Device Refrigerant Leakage'!$B$2:$B$42,0)))*CZ250*CX250)*CY250/2204.62*CW250,"")</f>
        <v/>
      </c>
      <c r="DC250" s="135" t="str">
        <f t="shared" si="348"/>
        <v/>
      </c>
      <c r="DE250" s="146" t="str">
        <f>IF(W250&lt;&gt;"AR","",IF(Y250="User Specified", AA250, INDEX('Refrigerant GWPs'!$G$2:$G$154,MATCH(Y250,'Refrigerant GWPs'!$A$2:$A$154,0))))</f>
        <v/>
      </c>
      <c r="DF250" s="146" t="str">
        <f>IF(W250&lt;&gt;"AR","",INDEX('Device Refrigerant Leakage'!$E$2:$E$42,MATCH(X250,'Device Refrigerant Leakage'!$B$2:$B$42,0)))</f>
        <v/>
      </c>
      <c r="DG250" s="146" t="str">
        <f>IF(W250&lt;&gt;"AR","",INDEX('Device Refrigerant Leakage'!$F$2:$F$42,MATCH(X250,'Device Refrigerant Leakage'!$B$2:$B$42,0)))</f>
        <v/>
      </c>
      <c r="DH250" s="146" t="str">
        <f>IF(W250&lt;&gt;"AR","",INDEX('Device Refrigerant Leakage'!$G$2:$G$42,MATCH(X250,'Device Refrigerant Leakage'!$B$2:$B$42,0)))</f>
        <v/>
      </c>
      <c r="DI250" s="146" t="str">
        <f>IF(W250&lt;&gt;"AR","",J250*INDEX('Device Refrigerant Leakage'!$D$2:$D$42,MATCH(X250,'Device Refrigerant Leakage'!$B$2:$B$42,0))*DF250/2204.62*DE250)</f>
        <v/>
      </c>
      <c r="DJ250" s="146" t="str">
        <f>IF(W250&lt;&gt;"AR","",J250*(INDEX('Device Refrigerant Leakage'!$D$2:$D$42,MATCH(X250,'Device Refrigerant Leakage'!$B$2:$B$42,0))-(INDEX('Device Refrigerant Leakage'!$D$2:$D$42,MATCH(X250,'Device Refrigerant Leakage'!$B$2:$B$42,0)))*DH250*DF250)*DG250/2204.62*DE250)</f>
        <v/>
      </c>
      <c r="DK250" s="146" t="str">
        <f>IF(W250&lt;&gt;"AR","",DI250*(K250-AB250)+'Fuel Sub Calcs-Deemed'!DJ250*((K250-AB250)/INDEX('Device Refrigerant Leakage'!$C$2:$C$42,MATCH('Fuel Sub Calcs-Deemed'!X250,'Device Refrigerant Leakage'!$B$2:$B$42,0))))</f>
        <v/>
      </c>
      <c r="DM250" s="56">
        <v>236</v>
      </c>
      <c r="DN250" s="67" t="e">
        <f t="shared" si="328"/>
        <v>#N/A</v>
      </c>
      <c r="DO250" s="45" t="e">
        <f t="shared" si="329"/>
        <v>#N/A</v>
      </c>
      <c r="DP250" s="67" t="e">
        <f t="shared" si="330"/>
        <v>#N/A</v>
      </c>
      <c r="DQ250" s="45" t="e">
        <f t="shared" si="331"/>
        <v>#N/A</v>
      </c>
      <c r="DR250" s="69" t="e">
        <f t="shared" si="332"/>
        <v>#N/A</v>
      </c>
      <c r="DS250" s="34"/>
      <c r="DT250" s="67" t="e">
        <f>((BX250*CJ250)+IF($W250=MAT_AR,(BZ250*CL250),0))*(1+Reference!$E$50+Reference!$E$51)</f>
        <v>#N/A</v>
      </c>
      <c r="DU250" s="67">
        <f>((BY250*CK250)+IF($W250=MAT_AR,(CA250*CM250),0))*(1+Reference!$G$50+Reference!$G$51)</f>
        <v>0</v>
      </c>
      <c r="DV250" s="67" t="e">
        <f t="shared" si="333"/>
        <v>#VALUE!</v>
      </c>
      <c r="DX250" s="56">
        <v>236</v>
      </c>
      <c r="DY250" s="67">
        <f t="shared" si="334"/>
        <v>0</v>
      </c>
      <c r="DZ250" s="45" t="e">
        <f>VLOOKUP($R250,Dropdown!$C$3:$D$4,2,FALSE)</f>
        <v>#N/A</v>
      </c>
      <c r="EA250" s="68">
        <f t="shared" si="335"/>
        <v>0</v>
      </c>
      <c r="EB250" s="68" t="str">
        <f t="shared" si="336"/>
        <v>N/A</v>
      </c>
      <c r="EC250" s="68">
        <f t="shared" si="337"/>
        <v>0</v>
      </c>
      <c r="ED250" s="68" t="str">
        <f t="shared" si="377"/>
        <v>N/A</v>
      </c>
      <c r="EF250" s="56">
        <v>236</v>
      </c>
      <c r="EG250" s="46">
        <f t="shared" si="339"/>
        <v>0</v>
      </c>
      <c r="EH250" s="68" t="e">
        <f t="shared" si="340"/>
        <v>#N/A</v>
      </c>
      <c r="EI250" s="68" t="e">
        <f t="shared" si="341"/>
        <v>#N/A</v>
      </c>
      <c r="EJ250" s="68" t="e">
        <f t="shared" si="342"/>
        <v>#N/A</v>
      </c>
      <c r="EK250" s="68" t="e">
        <f t="shared" si="343"/>
        <v>#N/A</v>
      </c>
      <c r="EL250" s="46">
        <f t="shared" si="344"/>
        <v>0</v>
      </c>
      <c r="EM250" s="46">
        <f t="shared" si="345"/>
        <v>0</v>
      </c>
    </row>
    <row r="251" spans="1:143">
      <c r="A251" s="89"/>
      <c r="B251" s="89"/>
      <c r="C251" s="89"/>
      <c r="D251" s="89"/>
      <c r="E251" s="89"/>
      <c r="F251" s="89"/>
      <c r="G251" s="34"/>
      <c r="H251" s="56">
        <f t="shared" si="346"/>
        <v>237</v>
      </c>
      <c r="I251" s="165"/>
      <c r="J251" s="163"/>
      <c r="K251" s="163"/>
      <c r="L251" s="164"/>
      <c r="M251" s="155"/>
      <c r="N251" s="155"/>
      <c r="O251" s="144"/>
      <c r="P251" s="159" t="str">
        <f>IFERROR(IF(O251&lt;&gt;"User Specified",IF(O251&lt;&gt;"", INDEX('Refrigerant GWPs'!$G$2:$G$154,MATCH(O251,'Refrigerant GWPs'!$A$2:$A$154,0)),""),U251),0)</f>
        <v/>
      </c>
      <c r="Q251" s="155"/>
      <c r="R251" s="155"/>
      <c r="S251" s="144"/>
      <c r="T251" s="159" t="str">
        <f>IF(S251&lt;&gt;"User Specified",IF(AND(S251&lt;&gt;"User Specified",S251&lt;&gt;""), INDEX('Refrigerant GWPs'!$G$2:$G$154,MATCH(S251,'Refrigerant GWPs'!$A$2:$A$154,0)),""),V251)</f>
        <v/>
      </c>
      <c r="U251" s="144"/>
      <c r="V251" s="144"/>
      <c r="W251" s="155"/>
      <c r="X251" s="155"/>
      <c r="Y251" s="144"/>
      <c r="Z251" s="159" t="str">
        <f>IF(AND(Y251&lt;&gt;"User Specified",Y251&lt;&gt;""), INDEX('Refrigerant GWPs'!$G$2:$G$154,MATCH(Y251,'Refrigerant GWPs'!$A$2:$A$154,0)),"")</f>
        <v/>
      </c>
      <c r="AA251" s="155"/>
      <c r="AB251" s="156"/>
      <c r="AC251" s="66"/>
      <c r="AD251" s="66"/>
      <c r="AE251" s="66"/>
      <c r="AF251" s="66"/>
      <c r="AG251" s="66"/>
      <c r="AH251" s="66"/>
      <c r="AI251" s="34"/>
      <c r="AJ251" s="88">
        <f t="shared" si="304"/>
        <v>0</v>
      </c>
      <c r="AK251" s="88">
        <f t="shared" si="305"/>
        <v>0</v>
      </c>
      <c r="AL251" s="88">
        <v>0</v>
      </c>
      <c r="AM251" s="88">
        <v>0</v>
      </c>
      <c r="AN251" s="81" t="str">
        <f t="shared" si="349"/>
        <v/>
      </c>
      <c r="AO251" s="88">
        <f t="shared" si="306"/>
        <v>0</v>
      </c>
      <c r="AP251" s="88">
        <f t="shared" si="307"/>
        <v>0</v>
      </c>
      <c r="AQ251" s="81" t="str">
        <f t="shared" si="308"/>
        <v/>
      </c>
      <c r="AS251" s="41" t="b">
        <f t="shared" si="309"/>
        <v>1</v>
      </c>
      <c r="AT251" s="38">
        <f t="shared" si="310"/>
        <v>0</v>
      </c>
      <c r="AU251" s="60">
        <f t="shared" si="311"/>
        <v>0</v>
      </c>
      <c r="AV251" s="41">
        <f t="shared" si="312"/>
        <v>0</v>
      </c>
      <c r="AW251" s="41" t="b">
        <f t="shared" si="313"/>
        <v>0</v>
      </c>
      <c r="AX251" t="str">
        <f t="shared" si="314"/>
        <v>+00</v>
      </c>
      <c r="AY251" t="str">
        <f t="shared" si="315"/>
        <v>+00</v>
      </c>
      <c r="BA251" s="47" t="b">
        <f t="shared" si="350"/>
        <v>1</v>
      </c>
      <c r="BB251" s="42" t="b">
        <f t="shared" si="351"/>
        <v>1</v>
      </c>
      <c r="BC251" s="42" t="b">
        <f t="shared" si="352"/>
        <v>0</v>
      </c>
      <c r="BD251" s="42" t="b">
        <f t="shared" si="353"/>
        <v>0</v>
      </c>
      <c r="BE251" s="70">
        <f t="shared" si="354"/>
        <v>0</v>
      </c>
      <c r="BF251" s="70">
        <f t="shared" si="355"/>
        <v>0</v>
      </c>
      <c r="BG251" s="34"/>
      <c r="BI251" s="47" t="b">
        <f t="shared" si="356"/>
        <v>1</v>
      </c>
      <c r="BJ251" s="47" t="b">
        <f t="shared" si="357"/>
        <v>1</v>
      </c>
      <c r="BK251" s="42" t="b">
        <f t="shared" si="358"/>
        <v>0</v>
      </c>
      <c r="BL251" s="42" t="b">
        <f t="shared" si="359"/>
        <v>0</v>
      </c>
      <c r="BM251" s="42">
        <f t="shared" si="360"/>
        <v>0</v>
      </c>
      <c r="BN251" s="42">
        <f t="shared" si="361"/>
        <v>0</v>
      </c>
      <c r="BP251" t="e">
        <f t="shared" si="362"/>
        <v>#N/A</v>
      </c>
      <c r="BQ251" t="e">
        <f t="shared" si="363"/>
        <v>#N/A</v>
      </c>
      <c r="BR251" t="e">
        <f t="shared" si="364"/>
        <v>#N/A</v>
      </c>
      <c r="BT251" s="60">
        <f t="shared" si="365"/>
        <v>0</v>
      </c>
      <c r="BU251" s="60">
        <f t="shared" si="366"/>
        <v>0</v>
      </c>
      <c r="BV251" s="60">
        <f t="shared" si="367"/>
        <v>0</v>
      </c>
      <c r="BW251" s="60">
        <f t="shared" si="368"/>
        <v>0</v>
      </c>
      <c r="BX251" s="60">
        <f t="shared" si="369"/>
        <v>0</v>
      </c>
      <c r="BY251" s="60">
        <f t="shared" si="370"/>
        <v>0</v>
      </c>
      <c r="BZ251" s="60">
        <f t="shared" si="371"/>
        <v>0</v>
      </c>
      <c r="CA251" s="60">
        <f t="shared" si="372"/>
        <v>0</v>
      </c>
      <c r="CB251" s="60" t="e">
        <f t="shared" si="320"/>
        <v>#N/A</v>
      </c>
      <c r="CC251" s="60">
        <f t="shared" si="321"/>
        <v>100000</v>
      </c>
      <c r="CD251" s="60" t="e">
        <f t="shared" si="322"/>
        <v>#N/A</v>
      </c>
      <c r="CE251" s="60">
        <f t="shared" si="323"/>
        <v>100000</v>
      </c>
      <c r="CF251" s="83" t="e">
        <f t="shared" si="373"/>
        <v>#N/A</v>
      </c>
      <c r="CG251" s="83">
        <f t="shared" si="374"/>
        <v>0</v>
      </c>
      <c r="CH251" s="83" t="e">
        <f t="shared" si="375"/>
        <v>#N/A</v>
      </c>
      <c r="CI251" s="83">
        <f t="shared" si="376"/>
        <v>0</v>
      </c>
      <c r="CJ251" s="86" t="e">
        <f t="shared" si="324"/>
        <v>#N/A</v>
      </c>
      <c r="CK251" s="82">
        <f t="shared" si="325"/>
        <v>5.3070370403969858E-3</v>
      </c>
      <c r="CL251" s="82" t="e">
        <f t="shared" si="326"/>
        <v>#N/A</v>
      </c>
      <c r="CM251" s="82">
        <f t="shared" si="327"/>
        <v>5.3070370403969858E-3</v>
      </c>
      <c r="CO251" s="149" t="str">
        <f>IF($I251&lt;&gt;"",IF(O251="User Specified",U251,INDEX('Refrigerant GWPs'!$G$2:$G$156,MATCH(O251,'Refrigerant GWPs'!$A$2:$A$156,0))),"")</f>
        <v/>
      </c>
      <c r="CP251" s="138" t="str">
        <f>IF($I251&lt;&gt;"",INDEX('Device Refrigerant Leakage'!$E$2:$E$42,MATCH($M251,'Device Refrigerant Leakage'!$B$2:$B$42,0)),"")</f>
        <v/>
      </c>
      <c r="CQ251" s="138" t="str">
        <f>IF($I251&lt;&gt;"",INDEX('Device Refrigerant Leakage'!$F$2:$F$42,MATCH($M251,'Device Refrigerant Leakage'!$B$2:$B$42,0)),"")</f>
        <v/>
      </c>
      <c r="CR251" s="145" t="str">
        <f>IF($I251&lt;&gt;"",INDEX('Device Refrigerant Leakage'!$G$2:$G$42,MATCH($M251,'Device Refrigerant Leakage'!$B$2:$B$42,0)),"")</f>
        <v/>
      </c>
      <c r="CS251" s="145" t="str">
        <f>IF($I251&lt;&gt;"",INDEX('Device Refrigerant Leakage'!$D$2:$D$42,MATCH($M251,'Device Refrigerant Leakage'!$B$2:$B$42,0))*CP251/2204.62*CO251,"")</f>
        <v/>
      </c>
      <c r="CT251" s="145" t="str">
        <f>IF($I251&lt;&gt;"",J251*(INDEX('Device Refrigerant Leakage'!$D$2:$D$42,MATCH($M251,'Device Refrigerant Leakage'!$B$2:$B$42,0))-(INDEX('Device Refrigerant Leakage'!$D$2:$D$42,MATCH($M251,'Device Refrigerant Leakage'!$B$2:$B$42,0)))*CR251*CP251)*CQ251/2204.62*CO251,"")</f>
        <v/>
      </c>
      <c r="CU251" s="135" t="str">
        <f>IF($I251&lt;&gt;"",J251*IF(W251&lt;&gt;"AR",(CS251*K251)+CT251,(CS251*AB251)+CT251*(AB251/INDEX('Device Refrigerant Leakage'!$C$2:$C$42,MATCH($M251,'Device Refrigerant Leakage'!$B$2:$B$42,0)))),"")</f>
        <v/>
      </c>
      <c r="CW251" s="135" t="str">
        <f>IF($I251&lt;&gt;"",IF(S251="User Specified",V251,INDEX('Refrigerant GWPs'!$G$2:$G$156,MATCH(S251,'Refrigerant GWPs'!$A$2:$A$157,0))),"")</f>
        <v/>
      </c>
      <c r="CX251" s="138" t="str">
        <f>IF($I251&lt;&gt;"",INDEX('Device Refrigerant Leakage'!$E$2:$E$42,MATCH($Q251,'Device Refrigerant Leakage'!$B$2:$B$42,0)),"")</f>
        <v/>
      </c>
      <c r="CY251" s="138" t="str">
        <f>IF($I251&lt;&gt;"",INDEX('Device Refrigerant Leakage'!$F$2:$F$42,MATCH($Q251,'Device Refrigerant Leakage'!$B$2:$B$42,0)),"")</f>
        <v/>
      </c>
      <c r="CZ251" s="145" t="str">
        <f>IF($I251&lt;&gt;"",INDEX('Device Refrigerant Leakage'!$G$2:$G$42,MATCH($Q251,'Device Refrigerant Leakage'!$B$2:$B$42,0)),"")</f>
        <v/>
      </c>
      <c r="DA251" s="145" t="str">
        <f>IF($I251&lt;&gt;"",J251*INDEX('Device Refrigerant Leakage'!$D$2:$D$42,MATCH($Q251,'Device Refrigerant Leakage'!$B$2:$B$42,0))*CX251/2204.62*CW251,"")</f>
        <v/>
      </c>
      <c r="DB251" s="145" t="str">
        <f>IF($I251&lt;&gt;"",J251*(INDEX('Device Refrigerant Leakage'!$D$2:$D$42,MATCH($Q251,'Device Refrigerant Leakage'!$B$2:$B$42,0))-(INDEX('Device Refrigerant Leakage'!$D$2:$D$42,MATCH($Q251,'Device Refrigerant Leakage'!$B$2:$B$42,0)))*CZ251*CX251)*CY251/2204.62*CW251,"")</f>
        <v/>
      </c>
      <c r="DC251" s="135" t="str">
        <f t="shared" si="348"/>
        <v/>
      </c>
      <c r="DE251" s="146" t="str">
        <f>IF(W251&lt;&gt;"AR","",IF(Y251="User Specified", AA251, INDEX('Refrigerant GWPs'!$G$2:$G$154,MATCH(Y251,'Refrigerant GWPs'!$A$2:$A$154,0))))</f>
        <v/>
      </c>
      <c r="DF251" s="146" t="str">
        <f>IF(W251&lt;&gt;"AR","",INDEX('Device Refrigerant Leakage'!$E$2:$E$42,MATCH(X251,'Device Refrigerant Leakage'!$B$2:$B$42,0)))</f>
        <v/>
      </c>
      <c r="DG251" s="146" t="str">
        <f>IF(W251&lt;&gt;"AR","",INDEX('Device Refrigerant Leakage'!$F$2:$F$42,MATCH(X251,'Device Refrigerant Leakage'!$B$2:$B$42,0)))</f>
        <v/>
      </c>
      <c r="DH251" s="146" t="str">
        <f>IF(W251&lt;&gt;"AR","",INDEX('Device Refrigerant Leakage'!$G$2:$G$42,MATCH(X251,'Device Refrigerant Leakage'!$B$2:$B$42,0)))</f>
        <v/>
      </c>
      <c r="DI251" s="146" t="str">
        <f>IF(W251&lt;&gt;"AR","",J251*INDEX('Device Refrigerant Leakage'!$D$2:$D$42,MATCH(X251,'Device Refrigerant Leakage'!$B$2:$B$42,0))*DF251/2204.62*DE251)</f>
        <v/>
      </c>
      <c r="DJ251" s="146" t="str">
        <f>IF(W251&lt;&gt;"AR","",J251*(INDEX('Device Refrigerant Leakage'!$D$2:$D$42,MATCH(X251,'Device Refrigerant Leakage'!$B$2:$B$42,0))-(INDEX('Device Refrigerant Leakage'!$D$2:$D$42,MATCH(X251,'Device Refrigerant Leakage'!$B$2:$B$42,0)))*DH251*DF251)*DG251/2204.62*DE251)</f>
        <v/>
      </c>
      <c r="DK251" s="146" t="str">
        <f>IF(W251&lt;&gt;"AR","",DI251*(K251-AB251)+'Fuel Sub Calcs-Deemed'!DJ251*((K251-AB251)/INDEX('Device Refrigerant Leakage'!$C$2:$C$42,MATCH('Fuel Sub Calcs-Deemed'!X251,'Device Refrigerant Leakage'!$B$2:$B$42,0))))</f>
        <v/>
      </c>
      <c r="DM251" s="56">
        <v>237</v>
      </c>
      <c r="DN251" s="67" t="e">
        <f t="shared" si="328"/>
        <v>#N/A</v>
      </c>
      <c r="DO251" s="45" t="e">
        <f t="shared" si="329"/>
        <v>#N/A</v>
      </c>
      <c r="DP251" s="67" t="e">
        <f t="shared" si="330"/>
        <v>#N/A</v>
      </c>
      <c r="DQ251" s="45" t="e">
        <f t="shared" si="331"/>
        <v>#N/A</v>
      </c>
      <c r="DR251" s="69" t="e">
        <f t="shared" si="332"/>
        <v>#N/A</v>
      </c>
      <c r="DS251" s="34"/>
      <c r="DT251" s="67" t="e">
        <f>((BX251*CJ251)+IF($W251=MAT_AR,(BZ251*CL251),0))*(1+Reference!$E$50+Reference!$E$51)</f>
        <v>#N/A</v>
      </c>
      <c r="DU251" s="67">
        <f>((BY251*CK251)+IF($W251=MAT_AR,(CA251*CM251),0))*(1+Reference!$G$50+Reference!$G$51)</f>
        <v>0</v>
      </c>
      <c r="DV251" s="67" t="e">
        <f t="shared" si="333"/>
        <v>#VALUE!</v>
      </c>
      <c r="DX251" s="56">
        <v>237</v>
      </c>
      <c r="DY251" s="67">
        <f t="shared" si="334"/>
        <v>0</v>
      </c>
      <c r="DZ251" s="45" t="e">
        <f>VLOOKUP($R251,Dropdown!$C$3:$D$4,2,FALSE)</f>
        <v>#N/A</v>
      </c>
      <c r="EA251" s="68">
        <f t="shared" si="335"/>
        <v>0</v>
      </c>
      <c r="EB251" s="68" t="str">
        <f t="shared" si="336"/>
        <v>N/A</v>
      </c>
      <c r="EC251" s="68">
        <f t="shared" si="337"/>
        <v>0</v>
      </c>
      <c r="ED251" s="68" t="str">
        <f t="shared" si="377"/>
        <v>N/A</v>
      </c>
      <c r="EF251" s="56">
        <v>237</v>
      </c>
      <c r="EG251" s="46">
        <f t="shared" si="339"/>
        <v>0</v>
      </c>
      <c r="EH251" s="68" t="e">
        <f t="shared" si="340"/>
        <v>#N/A</v>
      </c>
      <c r="EI251" s="68" t="e">
        <f t="shared" si="341"/>
        <v>#N/A</v>
      </c>
      <c r="EJ251" s="68" t="e">
        <f t="shared" si="342"/>
        <v>#N/A</v>
      </c>
      <c r="EK251" s="68" t="e">
        <f t="shared" si="343"/>
        <v>#N/A</v>
      </c>
      <c r="EL251" s="46">
        <f t="shared" si="344"/>
        <v>0</v>
      </c>
      <c r="EM251" s="46">
        <f t="shared" si="345"/>
        <v>0</v>
      </c>
    </row>
    <row r="252" spans="1:143">
      <c r="A252" s="89"/>
      <c r="B252" s="89"/>
      <c r="C252" s="89"/>
      <c r="D252" s="89"/>
      <c r="E252" s="89"/>
      <c r="F252" s="89"/>
      <c r="G252" s="34"/>
      <c r="H252" s="56">
        <f t="shared" si="346"/>
        <v>238</v>
      </c>
      <c r="I252" s="165"/>
      <c r="J252" s="163"/>
      <c r="K252" s="163"/>
      <c r="L252" s="164"/>
      <c r="M252" s="155"/>
      <c r="N252" s="155"/>
      <c r="O252" s="144"/>
      <c r="P252" s="159" t="str">
        <f>IFERROR(IF(O252&lt;&gt;"User Specified",IF(O252&lt;&gt;"", INDEX('Refrigerant GWPs'!$G$2:$G$154,MATCH(O252,'Refrigerant GWPs'!$A$2:$A$154,0)),""),U252),0)</f>
        <v/>
      </c>
      <c r="Q252" s="155"/>
      <c r="R252" s="155"/>
      <c r="S252" s="144"/>
      <c r="T252" s="159" t="str">
        <f>IF(S252&lt;&gt;"User Specified",IF(AND(S252&lt;&gt;"User Specified",S252&lt;&gt;""), INDEX('Refrigerant GWPs'!$G$2:$G$154,MATCH(S252,'Refrigerant GWPs'!$A$2:$A$154,0)),""),V252)</f>
        <v/>
      </c>
      <c r="U252" s="144"/>
      <c r="V252" s="144"/>
      <c r="W252" s="155"/>
      <c r="X252" s="155"/>
      <c r="Y252" s="144"/>
      <c r="Z252" s="159" t="str">
        <f>IF(AND(Y252&lt;&gt;"User Specified",Y252&lt;&gt;""), INDEX('Refrigerant GWPs'!$G$2:$G$154,MATCH(Y252,'Refrigerant GWPs'!$A$2:$A$154,0)),"")</f>
        <v/>
      </c>
      <c r="AA252" s="155"/>
      <c r="AB252" s="156"/>
      <c r="AC252" s="66"/>
      <c r="AD252" s="66"/>
      <c r="AE252" s="66"/>
      <c r="AF252" s="66"/>
      <c r="AG252" s="66"/>
      <c r="AH252" s="66"/>
      <c r="AI252" s="34"/>
      <c r="AJ252" s="88">
        <f t="shared" si="304"/>
        <v>0</v>
      </c>
      <c r="AK252" s="88">
        <f t="shared" si="305"/>
        <v>0</v>
      </c>
      <c r="AL252" s="88">
        <v>0</v>
      </c>
      <c r="AM252" s="88">
        <v>0</v>
      </c>
      <c r="AN252" s="81" t="str">
        <f t="shared" si="349"/>
        <v/>
      </c>
      <c r="AO252" s="88">
        <f t="shared" si="306"/>
        <v>0</v>
      </c>
      <c r="AP252" s="88">
        <f t="shared" si="307"/>
        <v>0</v>
      </c>
      <c r="AQ252" s="81" t="str">
        <f t="shared" si="308"/>
        <v/>
      </c>
      <c r="AS252" s="41" t="b">
        <f t="shared" si="309"/>
        <v>1</v>
      </c>
      <c r="AT252" s="38">
        <f t="shared" si="310"/>
        <v>0</v>
      </c>
      <c r="AU252" s="60">
        <f t="shared" si="311"/>
        <v>0</v>
      </c>
      <c r="AV252" s="41">
        <f t="shared" si="312"/>
        <v>0</v>
      </c>
      <c r="AW252" s="41" t="b">
        <f t="shared" si="313"/>
        <v>0</v>
      </c>
      <c r="AX252" t="str">
        <f t="shared" si="314"/>
        <v>+00</v>
      </c>
      <c r="AY252" t="str">
        <f t="shared" si="315"/>
        <v>+00</v>
      </c>
      <c r="BA252" s="47" t="b">
        <f t="shared" si="350"/>
        <v>1</v>
      </c>
      <c r="BB252" s="42" t="b">
        <f t="shared" si="351"/>
        <v>1</v>
      </c>
      <c r="BC252" s="42" t="b">
        <f t="shared" si="352"/>
        <v>0</v>
      </c>
      <c r="BD252" s="42" t="b">
        <f t="shared" si="353"/>
        <v>0</v>
      </c>
      <c r="BE252" s="70">
        <f t="shared" si="354"/>
        <v>0</v>
      </c>
      <c r="BF252" s="70">
        <f t="shared" si="355"/>
        <v>0</v>
      </c>
      <c r="BG252" s="34"/>
      <c r="BI252" s="47" t="b">
        <f t="shared" si="356"/>
        <v>1</v>
      </c>
      <c r="BJ252" s="47" t="b">
        <f t="shared" si="357"/>
        <v>1</v>
      </c>
      <c r="BK252" s="42" t="b">
        <f t="shared" si="358"/>
        <v>0</v>
      </c>
      <c r="BL252" s="42" t="b">
        <f t="shared" si="359"/>
        <v>0</v>
      </c>
      <c r="BM252" s="42">
        <f t="shared" si="360"/>
        <v>0</v>
      </c>
      <c r="BN252" s="42">
        <f t="shared" si="361"/>
        <v>0</v>
      </c>
      <c r="BP252" t="e">
        <f t="shared" si="362"/>
        <v>#N/A</v>
      </c>
      <c r="BQ252" t="e">
        <f t="shared" si="363"/>
        <v>#N/A</v>
      </c>
      <c r="BR252" t="e">
        <f t="shared" si="364"/>
        <v>#N/A</v>
      </c>
      <c r="BT252" s="60">
        <f t="shared" si="365"/>
        <v>0</v>
      </c>
      <c r="BU252" s="60">
        <f t="shared" si="366"/>
        <v>0</v>
      </c>
      <c r="BV252" s="60">
        <f t="shared" si="367"/>
        <v>0</v>
      </c>
      <c r="BW252" s="60">
        <f t="shared" si="368"/>
        <v>0</v>
      </c>
      <c r="BX252" s="60">
        <f t="shared" si="369"/>
        <v>0</v>
      </c>
      <c r="BY252" s="60">
        <f t="shared" si="370"/>
        <v>0</v>
      </c>
      <c r="BZ252" s="60">
        <f t="shared" si="371"/>
        <v>0</v>
      </c>
      <c r="CA252" s="60">
        <f t="shared" si="372"/>
        <v>0</v>
      </c>
      <c r="CB252" s="60" t="e">
        <f t="shared" si="320"/>
        <v>#N/A</v>
      </c>
      <c r="CC252" s="60">
        <f t="shared" si="321"/>
        <v>100000</v>
      </c>
      <c r="CD252" s="60" t="e">
        <f t="shared" si="322"/>
        <v>#N/A</v>
      </c>
      <c r="CE252" s="60">
        <f t="shared" si="323"/>
        <v>100000</v>
      </c>
      <c r="CF252" s="83" t="e">
        <f t="shared" si="373"/>
        <v>#N/A</v>
      </c>
      <c r="CG252" s="83">
        <f t="shared" si="374"/>
        <v>0</v>
      </c>
      <c r="CH252" s="83" t="e">
        <f t="shared" si="375"/>
        <v>#N/A</v>
      </c>
      <c r="CI252" s="83">
        <f t="shared" si="376"/>
        <v>0</v>
      </c>
      <c r="CJ252" s="86" t="e">
        <f t="shared" si="324"/>
        <v>#N/A</v>
      </c>
      <c r="CK252" s="82">
        <f t="shared" si="325"/>
        <v>5.3070370403969858E-3</v>
      </c>
      <c r="CL252" s="82" t="e">
        <f t="shared" si="326"/>
        <v>#N/A</v>
      </c>
      <c r="CM252" s="82">
        <f t="shared" si="327"/>
        <v>5.3070370403969858E-3</v>
      </c>
      <c r="CO252" s="149" t="str">
        <f>IF($I252&lt;&gt;"",IF(O252="User Specified",U252,INDEX('Refrigerant GWPs'!$G$2:$G$156,MATCH(O252,'Refrigerant GWPs'!$A$2:$A$156,0))),"")</f>
        <v/>
      </c>
      <c r="CP252" s="138" t="str">
        <f>IF($I252&lt;&gt;"",INDEX('Device Refrigerant Leakage'!$E$2:$E$42,MATCH($M252,'Device Refrigerant Leakage'!$B$2:$B$42,0)),"")</f>
        <v/>
      </c>
      <c r="CQ252" s="138" t="str">
        <f>IF($I252&lt;&gt;"",INDEX('Device Refrigerant Leakage'!$F$2:$F$42,MATCH($M252,'Device Refrigerant Leakage'!$B$2:$B$42,0)),"")</f>
        <v/>
      </c>
      <c r="CR252" s="145" t="str">
        <f>IF($I252&lt;&gt;"",INDEX('Device Refrigerant Leakage'!$G$2:$G$42,MATCH($M252,'Device Refrigerant Leakage'!$B$2:$B$42,0)),"")</f>
        <v/>
      </c>
      <c r="CS252" s="145" t="str">
        <f>IF($I252&lt;&gt;"",INDEX('Device Refrigerant Leakage'!$D$2:$D$42,MATCH($M252,'Device Refrigerant Leakage'!$B$2:$B$42,0))*CP252/2204.62*CO252,"")</f>
        <v/>
      </c>
      <c r="CT252" s="145" t="str">
        <f>IF($I252&lt;&gt;"",J252*(INDEX('Device Refrigerant Leakage'!$D$2:$D$42,MATCH($M252,'Device Refrigerant Leakage'!$B$2:$B$42,0))-(INDEX('Device Refrigerant Leakage'!$D$2:$D$42,MATCH($M252,'Device Refrigerant Leakage'!$B$2:$B$42,0)))*CR252*CP252)*CQ252/2204.62*CO252,"")</f>
        <v/>
      </c>
      <c r="CU252" s="135" t="str">
        <f>IF($I252&lt;&gt;"",J252*IF(W252&lt;&gt;"AR",(CS252*K252)+CT252,(CS252*AB252)+CT252*(AB252/INDEX('Device Refrigerant Leakage'!$C$2:$C$42,MATCH($M252,'Device Refrigerant Leakage'!$B$2:$B$42,0)))),"")</f>
        <v/>
      </c>
      <c r="CW252" s="135" t="str">
        <f>IF($I252&lt;&gt;"",IF(S252="User Specified",V252,INDEX('Refrigerant GWPs'!$G$2:$G$156,MATCH(S252,'Refrigerant GWPs'!$A$2:$A$157,0))),"")</f>
        <v/>
      </c>
      <c r="CX252" s="138" t="str">
        <f>IF($I252&lt;&gt;"",INDEX('Device Refrigerant Leakage'!$E$2:$E$42,MATCH($Q252,'Device Refrigerant Leakage'!$B$2:$B$42,0)),"")</f>
        <v/>
      </c>
      <c r="CY252" s="138" t="str">
        <f>IF($I252&lt;&gt;"",INDEX('Device Refrigerant Leakage'!$F$2:$F$42,MATCH($Q252,'Device Refrigerant Leakage'!$B$2:$B$42,0)),"")</f>
        <v/>
      </c>
      <c r="CZ252" s="145" t="str">
        <f>IF($I252&lt;&gt;"",INDEX('Device Refrigerant Leakage'!$G$2:$G$42,MATCH($Q252,'Device Refrigerant Leakage'!$B$2:$B$42,0)),"")</f>
        <v/>
      </c>
      <c r="DA252" s="145" t="str">
        <f>IF($I252&lt;&gt;"",J252*INDEX('Device Refrigerant Leakage'!$D$2:$D$42,MATCH($Q252,'Device Refrigerant Leakage'!$B$2:$B$42,0))*CX252/2204.62*CW252,"")</f>
        <v/>
      </c>
      <c r="DB252" s="145" t="str">
        <f>IF($I252&lt;&gt;"",J252*(INDEX('Device Refrigerant Leakage'!$D$2:$D$42,MATCH($Q252,'Device Refrigerant Leakage'!$B$2:$B$42,0))-(INDEX('Device Refrigerant Leakage'!$D$2:$D$42,MATCH($Q252,'Device Refrigerant Leakage'!$B$2:$B$42,0)))*CZ252*CX252)*CY252/2204.62*CW252,"")</f>
        <v/>
      </c>
      <c r="DC252" s="135" t="str">
        <f t="shared" si="348"/>
        <v/>
      </c>
      <c r="DE252" s="146" t="str">
        <f>IF(W252&lt;&gt;"AR","",IF(Y252="User Specified", AA252, INDEX('Refrigerant GWPs'!$G$2:$G$154,MATCH(Y252,'Refrigerant GWPs'!$A$2:$A$154,0))))</f>
        <v/>
      </c>
      <c r="DF252" s="146" t="str">
        <f>IF(W252&lt;&gt;"AR","",INDEX('Device Refrigerant Leakage'!$E$2:$E$42,MATCH(X252,'Device Refrigerant Leakage'!$B$2:$B$42,0)))</f>
        <v/>
      </c>
      <c r="DG252" s="146" t="str">
        <f>IF(W252&lt;&gt;"AR","",INDEX('Device Refrigerant Leakage'!$F$2:$F$42,MATCH(X252,'Device Refrigerant Leakage'!$B$2:$B$42,0)))</f>
        <v/>
      </c>
      <c r="DH252" s="146" t="str">
        <f>IF(W252&lt;&gt;"AR","",INDEX('Device Refrigerant Leakage'!$G$2:$G$42,MATCH(X252,'Device Refrigerant Leakage'!$B$2:$B$42,0)))</f>
        <v/>
      </c>
      <c r="DI252" s="146" t="str">
        <f>IF(W252&lt;&gt;"AR","",J252*INDEX('Device Refrigerant Leakage'!$D$2:$D$42,MATCH(X252,'Device Refrigerant Leakage'!$B$2:$B$42,0))*DF252/2204.62*DE252)</f>
        <v/>
      </c>
      <c r="DJ252" s="146" t="str">
        <f>IF(W252&lt;&gt;"AR","",J252*(INDEX('Device Refrigerant Leakage'!$D$2:$D$42,MATCH(X252,'Device Refrigerant Leakage'!$B$2:$B$42,0))-(INDEX('Device Refrigerant Leakage'!$D$2:$D$42,MATCH(X252,'Device Refrigerant Leakage'!$B$2:$B$42,0)))*DH252*DF252)*DG252/2204.62*DE252)</f>
        <v/>
      </c>
      <c r="DK252" s="146" t="str">
        <f>IF(W252&lt;&gt;"AR","",DI252*(K252-AB252)+'Fuel Sub Calcs-Deemed'!DJ252*((K252-AB252)/INDEX('Device Refrigerant Leakage'!$C$2:$C$42,MATCH('Fuel Sub Calcs-Deemed'!X252,'Device Refrigerant Leakage'!$B$2:$B$42,0))))</f>
        <v/>
      </c>
      <c r="DM252" s="56">
        <v>238</v>
      </c>
      <c r="DN252" s="67" t="e">
        <f t="shared" si="328"/>
        <v>#N/A</v>
      </c>
      <c r="DO252" s="45" t="e">
        <f t="shared" si="329"/>
        <v>#N/A</v>
      </c>
      <c r="DP252" s="67" t="e">
        <f t="shared" si="330"/>
        <v>#N/A</v>
      </c>
      <c r="DQ252" s="45" t="e">
        <f t="shared" si="331"/>
        <v>#N/A</v>
      </c>
      <c r="DR252" s="69" t="e">
        <f t="shared" si="332"/>
        <v>#N/A</v>
      </c>
      <c r="DS252" s="34"/>
      <c r="DT252" s="67" t="e">
        <f>((BX252*CJ252)+IF($W252=MAT_AR,(BZ252*CL252),0))*(1+Reference!$E$50+Reference!$E$51)</f>
        <v>#N/A</v>
      </c>
      <c r="DU252" s="67">
        <f>((BY252*CK252)+IF($W252=MAT_AR,(CA252*CM252),0))*(1+Reference!$G$50+Reference!$G$51)</f>
        <v>0</v>
      </c>
      <c r="DV252" s="67" t="e">
        <f t="shared" si="333"/>
        <v>#VALUE!</v>
      </c>
      <c r="DX252" s="56">
        <v>238</v>
      </c>
      <c r="DY252" s="67">
        <f t="shared" si="334"/>
        <v>0</v>
      </c>
      <c r="DZ252" s="45" t="e">
        <f>VLOOKUP($R252,Dropdown!$C$3:$D$4,2,FALSE)</f>
        <v>#N/A</v>
      </c>
      <c r="EA252" s="68">
        <f t="shared" si="335"/>
        <v>0</v>
      </c>
      <c r="EB252" s="68" t="str">
        <f t="shared" si="336"/>
        <v>N/A</v>
      </c>
      <c r="EC252" s="68">
        <f t="shared" si="337"/>
        <v>0</v>
      </c>
      <c r="ED252" s="68" t="str">
        <f t="shared" si="377"/>
        <v>N/A</v>
      </c>
      <c r="EF252" s="56">
        <v>238</v>
      </c>
      <c r="EG252" s="46">
        <f t="shared" si="339"/>
        <v>0</v>
      </c>
      <c r="EH252" s="68" t="e">
        <f t="shared" si="340"/>
        <v>#N/A</v>
      </c>
      <c r="EI252" s="68" t="e">
        <f t="shared" si="341"/>
        <v>#N/A</v>
      </c>
      <c r="EJ252" s="68" t="e">
        <f t="shared" si="342"/>
        <v>#N/A</v>
      </c>
      <c r="EK252" s="68" t="e">
        <f t="shared" si="343"/>
        <v>#N/A</v>
      </c>
      <c r="EL252" s="46">
        <f t="shared" si="344"/>
        <v>0</v>
      </c>
      <c r="EM252" s="46">
        <f t="shared" si="345"/>
        <v>0</v>
      </c>
    </row>
    <row r="253" spans="1:143">
      <c r="A253" s="89"/>
      <c r="B253" s="89"/>
      <c r="C253" s="89"/>
      <c r="D253" s="89"/>
      <c r="E253" s="89"/>
      <c r="F253" s="89"/>
      <c r="G253" s="34"/>
      <c r="H253" s="56">
        <f t="shared" si="346"/>
        <v>239</v>
      </c>
      <c r="I253" s="165"/>
      <c r="J253" s="163"/>
      <c r="K253" s="163"/>
      <c r="L253" s="164"/>
      <c r="M253" s="155"/>
      <c r="N253" s="155"/>
      <c r="O253" s="144"/>
      <c r="P253" s="159" t="str">
        <f>IFERROR(IF(O253&lt;&gt;"User Specified",IF(O253&lt;&gt;"", INDEX('Refrigerant GWPs'!$G$2:$G$154,MATCH(O253,'Refrigerant GWPs'!$A$2:$A$154,0)),""),U253),0)</f>
        <v/>
      </c>
      <c r="Q253" s="155"/>
      <c r="R253" s="155"/>
      <c r="S253" s="144"/>
      <c r="T253" s="159" t="str">
        <f>IF(S253&lt;&gt;"User Specified",IF(AND(S253&lt;&gt;"User Specified",S253&lt;&gt;""), INDEX('Refrigerant GWPs'!$G$2:$G$154,MATCH(S253,'Refrigerant GWPs'!$A$2:$A$154,0)),""),V253)</f>
        <v/>
      </c>
      <c r="U253" s="144"/>
      <c r="V253" s="144"/>
      <c r="W253" s="155"/>
      <c r="X253" s="155"/>
      <c r="Y253" s="144"/>
      <c r="Z253" s="159" t="str">
        <f>IF(AND(Y253&lt;&gt;"User Specified",Y253&lt;&gt;""), INDEX('Refrigerant GWPs'!$G$2:$G$154,MATCH(Y253,'Refrigerant GWPs'!$A$2:$A$154,0)),"")</f>
        <v/>
      </c>
      <c r="AA253" s="155"/>
      <c r="AB253" s="156"/>
      <c r="AC253" s="66"/>
      <c r="AD253" s="66"/>
      <c r="AE253" s="66"/>
      <c r="AF253" s="66"/>
      <c r="AG253" s="66"/>
      <c r="AH253" s="66"/>
      <c r="AI253" s="34"/>
      <c r="AJ253" s="88">
        <f t="shared" si="304"/>
        <v>0</v>
      </c>
      <c r="AK253" s="88">
        <f t="shared" si="305"/>
        <v>0</v>
      </c>
      <c r="AL253" s="88">
        <v>0</v>
      </c>
      <c r="AM253" s="88">
        <v>0</v>
      </c>
      <c r="AN253" s="81" t="str">
        <f t="shared" si="349"/>
        <v/>
      </c>
      <c r="AO253" s="88">
        <f t="shared" si="306"/>
        <v>0</v>
      </c>
      <c r="AP253" s="88">
        <f t="shared" si="307"/>
        <v>0</v>
      </c>
      <c r="AQ253" s="81" t="str">
        <f t="shared" si="308"/>
        <v/>
      </c>
      <c r="AS253" s="41" t="b">
        <f t="shared" si="309"/>
        <v>1</v>
      </c>
      <c r="AT253" s="38">
        <f t="shared" si="310"/>
        <v>0</v>
      </c>
      <c r="AU253" s="60">
        <f t="shared" si="311"/>
        <v>0</v>
      </c>
      <c r="AV253" s="41">
        <f t="shared" si="312"/>
        <v>0</v>
      </c>
      <c r="AW253" s="41" t="b">
        <f t="shared" si="313"/>
        <v>0</v>
      </c>
      <c r="AX253" t="str">
        <f t="shared" si="314"/>
        <v>+00</v>
      </c>
      <c r="AY253" t="str">
        <f t="shared" si="315"/>
        <v>+00</v>
      </c>
      <c r="BA253" s="47" t="b">
        <f t="shared" si="350"/>
        <v>1</v>
      </c>
      <c r="BB253" s="42" t="b">
        <f t="shared" si="351"/>
        <v>1</v>
      </c>
      <c r="BC253" s="42" t="b">
        <f t="shared" si="352"/>
        <v>0</v>
      </c>
      <c r="BD253" s="42" t="b">
        <f t="shared" si="353"/>
        <v>0</v>
      </c>
      <c r="BE253" s="70">
        <f t="shared" si="354"/>
        <v>0</v>
      </c>
      <c r="BF253" s="70">
        <f t="shared" si="355"/>
        <v>0</v>
      </c>
      <c r="BG253" s="34"/>
      <c r="BI253" s="47" t="b">
        <f t="shared" si="356"/>
        <v>1</v>
      </c>
      <c r="BJ253" s="47" t="b">
        <f t="shared" si="357"/>
        <v>1</v>
      </c>
      <c r="BK253" s="42" t="b">
        <f t="shared" si="358"/>
        <v>0</v>
      </c>
      <c r="BL253" s="42" t="b">
        <f t="shared" si="359"/>
        <v>0</v>
      </c>
      <c r="BM253" s="42">
        <f t="shared" si="360"/>
        <v>0</v>
      </c>
      <c r="BN253" s="42">
        <f t="shared" si="361"/>
        <v>0</v>
      </c>
      <c r="BP253" t="e">
        <f t="shared" si="362"/>
        <v>#N/A</v>
      </c>
      <c r="BQ253" t="e">
        <f t="shared" si="363"/>
        <v>#N/A</v>
      </c>
      <c r="BR253" t="e">
        <f t="shared" si="364"/>
        <v>#N/A</v>
      </c>
      <c r="BT253" s="60">
        <f t="shared" si="365"/>
        <v>0</v>
      </c>
      <c r="BU253" s="60">
        <f t="shared" si="366"/>
        <v>0</v>
      </c>
      <c r="BV253" s="60">
        <f t="shared" si="367"/>
        <v>0</v>
      </c>
      <c r="BW253" s="60">
        <f t="shared" si="368"/>
        <v>0</v>
      </c>
      <c r="BX253" s="60">
        <f t="shared" si="369"/>
        <v>0</v>
      </c>
      <c r="BY253" s="60">
        <f t="shared" si="370"/>
        <v>0</v>
      </c>
      <c r="BZ253" s="60">
        <f t="shared" si="371"/>
        <v>0</v>
      </c>
      <c r="CA253" s="60">
        <f t="shared" si="372"/>
        <v>0</v>
      </c>
      <c r="CB253" s="60" t="e">
        <f t="shared" si="320"/>
        <v>#N/A</v>
      </c>
      <c r="CC253" s="60">
        <f t="shared" si="321"/>
        <v>100000</v>
      </c>
      <c r="CD253" s="60" t="e">
        <f t="shared" si="322"/>
        <v>#N/A</v>
      </c>
      <c r="CE253" s="60">
        <f t="shared" si="323"/>
        <v>100000</v>
      </c>
      <c r="CF253" s="83" t="e">
        <f t="shared" si="373"/>
        <v>#N/A</v>
      </c>
      <c r="CG253" s="83">
        <f t="shared" si="374"/>
        <v>0</v>
      </c>
      <c r="CH253" s="83" t="e">
        <f t="shared" si="375"/>
        <v>#N/A</v>
      </c>
      <c r="CI253" s="83">
        <f t="shared" si="376"/>
        <v>0</v>
      </c>
      <c r="CJ253" s="86" t="e">
        <f t="shared" si="324"/>
        <v>#N/A</v>
      </c>
      <c r="CK253" s="82">
        <f t="shared" si="325"/>
        <v>5.3070370403969858E-3</v>
      </c>
      <c r="CL253" s="82" t="e">
        <f t="shared" si="326"/>
        <v>#N/A</v>
      </c>
      <c r="CM253" s="82">
        <f t="shared" si="327"/>
        <v>5.3070370403969858E-3</v>
      </c>
      <c r="CO253" s="149" t="str">
        <f>IF($I253&lt;&gt;"",IF(O253="User Specified",U253,INDEX('Refrigerant GWPs'!$G$2:$G$156,MATCH(O253,'Refrigerant GWPs'!$A$2:$A$156,0))),"")</f>
        <v/>
      </c>
      <c r="CP253" s="138" t="str">
        <f>IF($I253&lt;&gt;"",INDEX('Device Refrigerant Leakage'!$E$2:$E$42,MATCH($M253,'Device Refrigerant Leakage'!$B$2:$B$42,0)),"")</f>
        <v/>
      </c>
      <c r="CQ253" s="138" t="str">
        <f>IF($I253&lt;&gt;"",INDEX('Device Refrigerant Leakage'!$F$2:$F$42,MATCH($M253,'Device Refrigerant Leakage'!$B$2:$B$42,0)),"")</f>
        <v/>
      </c>
      <c r="CR253" s="145" t="str">
        <f>IF($I253&lt;&gt;"",INDEX('Device Refrigerant Leakage'!$G$2:$G$42,MATCH($M253,'Device Refrigerant Leakage'!$B$2:$B$42,0)),"")</f>
        <v/>
      </c>
      <c r="CS253" s="145" t="str">
        <f>IF($I253&lt;&gt;"",INDEX('Device Refrigerant Leakage'!$D$2:$D$42,MATCH($M253,'Device Refrigerant Leakage'!$B$2:$B$42,0))*CP253/2204.62*CO253,"")</f>
        <v/>
      </c>
      <c r="CT253" s="145" t="str">
        <f>IF($I253&lt;&gt;"",J253*(INDEX('Device Refrigerant Leakage'!$D$2:$D$42,MATCH($M253,'Device Refrigerant Leakage'!$B$2:$B$42,0))-(INDEX('Device Refrigerant Leakage'!$D$2:$D$42,MATCH($M253,'Device Refrigerant Leakage'!$B$2:$B$42,0)))*CR253*CP253)*CQ253/2204.62*CO253,"")</f>
        <v/>
      </c>
      <c r="CU253" s="135" t="str">
        <f>IF($I253&lt;&gt;"",J253*IF(W253&lt;&gt;"AR",(CS253*K253)+CT253,(CS253*AB253)+CT253*(AB253/INDEX('Device Refrigerant Leakage'!$C$2:$C$42,MATCH($M253,'Device Refrigerant Leakage'!$B$2:$B$42,0)))),"")</f>
        <v/>
      </c>
      <c r="CW253" s="135" t="str">
        <f>IF($I253&lt;&gt;"",IF(S253="User Specified",V253,INDEX('Refrigerant GWPs'!$G$2:$G$156,MATCH(S253,'Refrigerant GWPs'!$A$2:$A$157,0))),"")</f>
        <v/>
      </c>
      <c r="CX253" s="138" t="str">
        <f>IF($I253&lt;&gt;"",INDEX('Device Refrigerant Leakage'!$E$2:$E$42,MATCH($Q253,'Device Refrigerant Leakage'!$B$2:$B$42,0)),"")</f>
        <v/>
      </c>
      <c r="CY253" s="138" t="str">
        <f>IF($I253&lt;&gt;"",INDEX('Device Refrigerant Leakage'!$F$2:$F$42,MATCH($Q253,'Device Refrigerant Leakage'!$B$2:$B$42,0)),"")</f>
        <v/>
      </c>
      <c r="CZ253" s="145" t="str">
        <f>IF($I253&lt;&gt;"",INDEX('Device Refrigerant Leakage'!$G$2:$G$42,MATCH($Q253,'Device Refrigerant Leakage'!$B$2:$B$42,0)),"")</f>
        <v/>
      </c>
      <c r="DA253" s="145" t="str">
        <f>IF($I253&lt;&gt;"",J253*INDEX('Device Refrigerant Leakage'!$D$2:$D$42,MATCH($Q253,'Device Refrigerant Leakage'!$B$2:$B$42,0))*CX253/2204.62*CW253,"")</f>
        <v/>
      </c>
      <c r="DB253" s="145" t="str">
        <f>IF($I253&lt;&gt;"",J253*(INDEX('Device Refrigerant Leakage'!$D$2:$D$42,MATCH($Q253,'Device Refrigerant Leakage'!$B$2:$B$42,0))-(INDEX('Device Refrigerant Leakage'!$D$2:$D$42,MATCH($Q253,'Device Refrigerant Leakage'!$B$2:$B$42,0)))*CZ253*CX253)*CY253/2204.62*CW253,"")</f>
        <v/>
      </c>
      <c r="DC253" s="135" t="str">
        <f t="shared" si="348"/>
        <v/>
      </c>
      <c r="DE253" s="146" t="str">
        <f>IF(W253&lt;&gt;"AR","",IF(Y253="User Specified", AA253, INDEX('Refrigerant GWPs'!$G$2:$G$154,MATCH(Y253,'Refrigerant GWPs'!$A$2:$A$154,0))))</f>
        <v/>
      </c>
      <c r="DF253" s="146" t="str">
        <f>IF(W253&lt;&gt;"AR","",INDEX('Device Refrigerant Leakage'!$E$2:$E$42,MATCH(X253,'Device Refrigerant Leakage'!$B$2:$B$42,0)))</f>
        <v/>
      </c>
      <c r="DG253" s="146" t="str">
        <f>IF(W253&lt;&gt;"AR","",INDEX('Device Refrigerant Leakage'!$F$2:$F$42,MATCH(X253,'Device Refrigerant Leakage'!$B$2:$B$42,0)))</f>
        <v/>
      </c>
      <c r="DH253" s="146" t="str">
        <f>IF(W253&lt;&gt;"AR","",INDEX('Device Refrigerant Leakage'!$G$2:$G$42,MATCH(X253,'Device Refrigerant Leakage'!$B$2:$B$42,0)))</f>
        <v/>
      </c>
      <c r="DI253" s="146" t="str">
        <f>IF(W253&lt;&gt;"AR","",J253*INDEX('Device Refrigerant Leakage'!$D$2:$D$42,MATCH(X253,'Device Refrigerant Leakage'!$B$2:$B$42,0))*DF253/2204.62*DE253)</f>
        <v/>
      </c>
      <c r="DJ253" s="146" t="str">
        <f>IF(W253&lt;&gt;"AR","",J253*(INDEX('Device Refrigerant Leakage'!$D$2:$D$42,MATCH(X253,'Device Refrigerant Leakage'!$B$2:$B$42,0))-(INDEX('Device Refrigerant Leakage'!$D$2:$D$42,MATCH(X253,'Device Refrigerant Leakage'!$B$2:$B$42,0)))*DH253*DF253)*DG253/2204.62*DE253)</f>
        <v/>
      </c>
      <c r="DK253" s="146" t="str">
        <f>IF(W253&lt;&gt;"AR","",DI253*(K253-AB253)+'Fuel Sub Calcs-Deemed'!DJ253*((K253-AB253)/INDEX('Device Refrigerant Leakage'!$C$2:$C$42,MATCH('Fuel Sub Calcs-Deemed'!X253,'Device Refrigerant Leakage'!$B$2:$B$42,0))))</f>
        <v/>
      </c>
      <c r="DM253" s="56">
        <v>239</v>
      </c>
      <c r="DN253" s="67" t="e">
        <f t="shared" si="328"/>
        <v>#N/A</v>
      </c>
      <c r="DO253" s="45" t="e">
        <f t="shared" si="329"/>
        <v>#N/A</v>
      </c>
      <c r="DP253" s="67" t="e">
        <f t="shared" si="330"/>
        <v>#N/A</v>
      </c>
      <c r="DQ253" s="45" t="e">
        <f t="shared" si="331"/>
        <v>#N/A</v>
      </c>
      <c r="DR253" s="69" t="e">
        <f t="shared" si="332"/>
        <v>#N/A</v>
      </c>
      <c r="DS253" s="34"/>
      <c r="DT253" s="67" t="e">
        <f>((BX253*CJ253)+IF($W253=MAT_AR,(BZ253*CL253),0))*(1+Reference!$E$50+Reference!$E$51)</f>
        <v>#N/A</v>
      </c>
      <c r="DU253" s="67">
        <f>((BY253*CK253)+IF($W253=MAT_AR,(CA253*CM253),0))*(1+Reference!$G$50+Reference!$G$51)</f>
        <v>0</v>
      </c>
      <c r="DV253" s="67" t="e">
        <f t="shared" si="333"/>
        <v>#VALUE!</v>
      </c>
      <c r="DX253" s="56">
        <v>239</v>
      </c>
      <c r="DY253" s="67">
        <f t="shared" si="334"/>
        <v>0</v>
      </c>
      <c r="DZ253" s="45" t="e">
        <f>VLOOKUP($R253,Dropdown!$C$3:$D$4,2,FALSE)</f>
        <v>#N/A</v>
      </c>
      <c r="EA253" s="68">
        <f t="shared" si="335"/>
        <v>0</v>
      </c>
      <c r="EB253" s="68" t="str">
        <f t="shared" si="336"/>
        <v>N/A</v>
      </c>
      <c r="EC253" s="68">
        <f t="shared" si="337"/>
        <v>0</v>
      </c>
      <c r="ED253" s="68" t="str">
        <f t="shared" si="377"/>
        <v>N/A</v>
      </c>
      <c r="EF253" s="56">
        <v>239</v>
      </c>
      <c r="EG253" s="46">
        <f t="shared" si="339"/>
        <v>0</v>
      </c>
      <c r="EH253" s="68" t="e">
        <f t="shared" si="340"/>
        <v>#N/A</v>
      </c>
      <c r="EI253" s="68" t="e">
        <f t="shared" si="341"/>
        <v>#N/A</v>
      </c>
      <c r="EJ253" s="68" t="e">
        <f t="shared" si="342"/>
        <v>#N/A</v>
      </c>
      <c r="EK253" s="68" t="e">
        <f t="shared" si="343"/>
        <v>#N/A</v>
      </c>
      <c r="EL253" s="46">
        <f t="shared" si="344"/>
        <v>0</v>
      </c>
      <c r="EM253" s="46">
        <f t="shared" si="345"/>
        <v>0</v>
      </c>
    </row>
    <row r="254" spans="1:143">
      <c r="A254" s="89"/>
      <c r="B254" s="89"/>
      <c r="C254" s="89"/>
      <c r="D254" s="89"/>
      <c r="E254" s="89"/>
      <c r="F254" s="89"/>
      <c r="G254" s="34"/>
      <c r="H254" s="56">
        <f t="shared" si="346"/>
        <v>240</v>
      </c>
      <c r="I254" s="165"/>
      <c r="J254" s="163"/>
      <c r="K254" s="163"/>
      <c r="L254" s="164"/>
      <c r="M254" s="155"/>
      <c r="N254" s="155"/>
      <c r="O254" s="144"/>
      <c r="P254" s="159" t="str">
        <f>IFERROR(IF(O254&lt;&gt;"User Specified",IF(O254&lt;&gt;"", INDEX('Refrigerant GWPs'!$G$2:$G$154,MATCH(O254,'Refrigerant GWPs'!$A$2:$A$154,0)),""),U254),0)</f>
        <v/>
      </c>
      <c r="Q254" s="155"/>
      <c r="R254" s="155"/>
      <c r="S254" s="144"/>
      <c r="T254" s="159" t="str">
        <f>IF(S254&lt;&gt;"User Specified",IF(AND(S254&lt;&gt;"User Specified",S254&lt;&gt;""), INDEX('Refrigerant GWPs'!$G$2:$G$154,MATCH(S254,'Refrigerant GWPs'!$A$2:$A$154,0)),""),V254)</f>
        <v/>
      </c>
      <c r="U254" s="144"/>
      <c r="V254" s="144"/>
      <c r="W254" s="155"/>
      <c r="X254" s="155"/>
      <c r="Y254" s="144"/>
      <c r="Z254" s="159" t="str">
        <f>IF(AND(Y254&lt;&gt;"User Specified",Y254&lt;&gt;""), INDEX('Refrigerant GWPs'!$G$2:$G$154,MATCH(Y254,'Refrigerant GWPs'!$A$2:$A$154,0)),"")</f>
        <v/>
      </c>
      <c r="AA254" s="155"/>
      <c r="AB254" s="156"/>
      <c r="AC254" s="66"/>
      <c r="AD254" s="66"/>
      <c r="AE254" s="66"/>
      <c r="AF254" s="66"/>
      <c r="AG254" s="66"/>
      <c r="AH254" s="66"/>
      <c r="AI254" s="34"/>
      <c r="AJ254" s="88">
        <f t="shared" si="304"/>
        <v>0</v>
      </c>
      <c r="AK254" s="88">
        <f t="shared" si="305"/>
        <v>0</v>
      </c>
      <c r="AL254" s="88">
        <v>0</v>
      </c>
      <c r="AM254" s="88">
        <v>0</v>
      </c>
      <c r="AN254" s="81" t="str">
        <f t="shared" si="349"/>
        <v/>
      </c>
      <c r="AO254" s="88">
        <f t="shared" si="306"/>
        <v>0</v>
      </c>
      <c r="AP254" s="88">
        <f t="shared" si="307"/>
        <v>0</v>
      </c>
      <c r="AQ254" s="81" t="str">
        <f t="shared" si="308"/>
        <v/>
      </c>
      <c r="AS254" s="41" t="b">
        <f t="shared" si="309"/>
        <v>1</v>
      </c>
      <c r="AT254" s="38">
        <f t="shared" si="310"/>
        <v>0</v>
      </c>
      <c r="AU254" s="60">
        <f t="shared" si="311"/>
        <v>0</v>
      </c>
      <c r="AV254" s="41">
        <f t="shared" si="312"/>
        <v>0</v>
      </c>
      <c r="AW254" s="41" t="b">
        <f t="shared" si="313"/>
        <v>0</v>
      </c>
      <c r="AX254" t="str">
        <f t="shared" si="314"/>
        <v>+00</v>
      </c>
      <c r="AY254" t="str">
        <f t="shared" si="315"/>
        <v>+00</v>
      </c>
      <c r="BA254" s="47" t="b">
        <f t="shared" si="350"/>
        <v>1</v>
      </c>
      <c r="BB254" s="42" t="b">
        <f t="shared" si="351"/>
        <v>1</v>
      </c>
      <c r="BC254" s="42" t="b">
        <f t="shared" si="352"/>
        <v>0</v>
      </c>
      <c r="BD254" s="42" t="b">
        <f t="shared" si="353"/>
        <v>0</v>
      </c>
      <c r="BE254" s="70">
        <f t="shared" si="354"/>
        <v>0</v>
      </c>
      <c r="BF254" s="70">
        <f t="shared" si="355"/>
        <v>0</v>
      </c>
      <c r="BG254" s="34"/>
      <c r="BI254" s="47" t="b">
        <f t="shared" si="356"/>
        <v>1</v>
      </c>
      <c r="BJ254" s="47" t="b">
        <f t="shared" si="357"/>
        <v>1</v>
      </c>
      <c r="BK254" s="42" t="b">
        <f t="shared" si="358"/>
        <v>0</v>
      </c>
      <c r="BL254" s="42" t="b">
        <f t="shared" si="359"/>
        <v>0</v>
      </c>
      <c r="BM254" s="42">
        <f t="shared" si="360"/>
        <v>0</v>
      </c>
      <c r="BN254" s="42">
        <f t="shared" si="361"/>
        <v>0</v>
      </c>
      <c r="BP254" t="e">
        <f t="shared" si="362"/>
        <v>#N/A</v>
      </c>
      <c r="BQ254" t="e">
        <f t="shared" si="363"/>
        <v>#N/A</v>
      </c>
      <c r="BR254" t="e">
        <f t="shared" si="364"/>
        <v>#N/A</v>
      </c>
      <c r="BT254" s="60">
        <f t="shared" si="365"/>
        <v>0</v>
      </c>
      <c r="BU254" s="60">
        <f t="shared" si="366"/>
        <v>0</v>
      </c>
      <c r="BV254" s="60">
        <f t="shared" si="367"/>
        <v>0</v>
      </c>
      <c r="BW254" s="60">
        <f t="shared" si="368"/>
        <v>0</v>
      </c>
      <c r="BX254" s="60">
        <f t="shared" si="369"/>
        <v>0</v>
      </c>
      <c r="BY254" s="60">
        <f t="shared" si="370"/>
        <v>0</v>
      </c>
      <c r="BZ254" s="60">
        <f t="shared" si="371"/>
        <v>0</v>
      </c>
      <c r="CA254" s="60">
        <f t="shared" si="372"/>
        <v>0</v>
      </c>
      <c r="CB254" s="60" t="e">
        <f t="shared" si="320"/>
        <v>#N/A</v>
      </c>
      <c r="CC254" s="60">
        <f t="shared" si="321"/>
        <v>100000</v>
      </c>
      <c r="CD254" s="60" t="e">
        <f t="shared" si="322"/>
        <v>#N/A</v>
      </c>
      <c r="CE254" s="60">
        <f t="shared" si="323"/>
        <v>100000</v>
      </c>
      <c r="CF254" s="83" t="e">
        <f t="shared" si="373"/>
        <v>#N/A</v>
      </c>
      <c r="CG254" s="83">
        <f t="shared" si="374"/>
        <v>0</v>
      </c>
      <c r="CH254" s="83" t="e">
        <f t="shared" si="375"/>
        <v>#N/A</v>
      </c>
      <c r="CI254" s="83">
        <f t="shared" si="376"/>
        <v>0</v>
      </c>
      <c r="CJ254" s="86" t="e">
        <f t="shared" si="324"/>
        <v>#N/A</v>
      </c>
      <c r="CK254" s="82">
        <f t="shared" si="325"/>
        <v>5.3070370403969858E-3</v>
      </c>
      <c r="CL254" s="82" t="e">
        <f t="shared" si="326"/>
        <v>#N/A</v>
      </c>
      <c r="CM254" s="82">
        <f t="shared" si="327"/>
        <v>5.3070370403969858E-3</v>
      </c>
      <c r="CO254" s="149" t="str">
        <f>IF($I254&lt;&gt;"",IF(O254="User Specified",U254,INDEX('Refrigerant GWPs'!$G$2:$G$156,MATCH(O254,'Refrigerant GWPs'!$A$2:$A$156,0))),"")</f>
        <v/>
      </c>
      <c r="CP254" s="138" t="str">
        <f>IF($I254&lt;&gt;"",INDEX('Device Refrigerant Leakage'!$E$2:$E$42,MATCH($M254,'Device Refrigerant Leakage'!$B$2:$B$42,0)),"")</f>
        <v/>
      </c>
      <c r="CQ254" s="138" t="str">
        <f>IF($I254&lt;&gt;"",INDEX('Device Refrigerant Leakage'!$F$2:$F$42,MATCH($M254,'Device Refrigerant Leakage'!$B$2:$B$42,0)),"")</f>
        <v/>
      </c>
      <c r="CR254" s="145" t="str">
        <f>IF($I254&lt;&gt;"",INDEX('Device Refrigerant Leakage'!$G$2:$G$42,MATCH($M254,'Device Refrigerant Leakage'!$B$2:$B$42,0)),"")</f>
        <v/>
      </c>
      <c r="CS254" s="145" t="str">
        <f>IF($I254&lt;&gt;"",INDEX('Device Refrigerant Leakage'!$D$2:$D$42,MATCH($M254,'Device Refrigerant Leakage'!$B$2:$B$42,0))*CP254/2204.62*CO254,"")</f>
        <v/>
      </c>
      <c r="CT254" s="145" t="str">
        <f>IF($I254&lt;&gt;"",J254*(INDEX('Device Refrigerant Leakage'!$D$2:$D$42,MATCH($M254,'Device Refrigerant Leakage'!$B$2:$B$42,0))-(INDEX('Device Refrigerant Leakage'!$D$2:$D$42,MATCH($M254,'Device Refrigerant Leakage'!$B$2:$B$42,0)))*CR254*CP254)*CQ254/2204.62*CO254,"")</f>
        <v/>
      </c>
      <c r="CU254" s="135" t="str">
        <f>IF($I254&lt;&gt;"",J254*IF(W254&lt;&gt;"AR",(CS254*K254)+CT254,(CS254*AB254)+CT254*(AB254/INDEX('Device Refrigerant Leakage'!$C$2:$C$42,MATCH($M254,'Device Refrigerant Leakage'!$B$2:$B$42,0)))),"")</f>
        <v/>
      </c>
      <c r="CW254" s="135" t="str">
        <f>IF($I254&lt;&gt;"",IF(S254="User Specified",V254,INDEX('Refrigerant GWPs'!$G$2:$G$156,MATCH(S254,'Refrigerant GWPs'!$A$2:$A$157,0))),"")</f>
        <v/>
      </c>
      <c r="CX254" s="138" t="str">
        <f>IF($I254&lt;&gt;"",INDEX('Device Refrigerant Leakage'!$E$2:$E$42,MATCH($Q254,'Device Refrigerant Leakage'!$B$2:$B$42,0)),"")</f>
        <v/>
      </c>
      <c r="CY254" s="138" t="str">
        <f>IF($I254&lt;&gt;"",INDEX('Device Refrigerant Leakage'!$F$2:$F$42,MATCH($Q254,'Device Refrigerant Leakage'!$B$2:$B$42,0)),"")</f>
        <v/>
      </c>
      <c r="CZ254" s="145" t="str">
        <f>IF($I254&lt;&gt;"",INDEX('Device Refrigerant Leakage'!$G$2:$G$42,MATCH($Q254,'Device Refrigerant Leakage'!$B$2:$B$42,0)),"")</f>
        <v/>
      </c>
      <c r="DA254" s="145" t="str">
        <f>IF($I254&lt;&gt;"",J254*INDEX('Device Refrigerant Leakage'!$D$2:$D$42,MATCH($Q254,'Device Refrigerant Leakage'!$B$2:$B$42,0))*CX254/2204.62*CW254,"")</f>
        <v/>
      </c>
      <c r="DB254" s="145" t="str">
        <f>IF($I254&lt;&gt;"",J254*(INDEX('Device Refrigerant Leakage'!$D$2:$D$42,MATCH($Q254,'Device Refrigerant Leakage'!$B$2:$B$42,0))-(INDEX('Device Refrigerant Leakage'!$D$2:$D$42,MATCH($Q254,'Device Refrigerant Leakage'!$B$2:$B$42,0)))*CZ254*CX254)*CY254/2204.62*CW254,"")</f>
        <v/>
      </c>
      <c r="DC254" s="135" t="str">
        <f t="shared" si="348"/>
        <v/>
      </c>
      <c r="DE254" s="146" t="str">
        <f>IF(W254&lt;&gt;"AR","",IF(Y254="User Specified", AA254, INDEX('Refrigerant GWPs'!$G$2:$G$154,MATCH(Y254,'Refrigerant GWPs'!$A$2:$A$154,0))))</f>
        <v/>
      </c>
      <c r="DF254" s="146" t="str">
        <f>IF(W254&lt;&gt;"AR","",INDEX('Device Refrigerant Leakage'!$E$2:$E$42,MATCH(X254,'Device Refrigerant Leakage'!$B$2:$B$42,0)))</f>
        <v/>
      </c>
      <c r="DG254" s="146" t="str">
        <f>IF(W254&lt;&gt;"AR","",INDEX('Device Refrigerant Leakage'!$F$2:$F$42,MATCH(X254,'Device Refrigerant Leakage'!$B$2:$B$42,0)))</f>
        <v/>
      </c>
      <c r="DH254" s="146" t="str">
        <f>IF(W254&lt;&gt;"AR","",INDEX('Device Refrigerant Leakage'!$G$2:$G$42,MATCH(X254,'Device Refrigerant Leakage'!$B$2:$B$42,0)))</f>
        <v/>
      </c>
      <c r="DI254" s="146" t="str">
        <f>IF(W254&lt;&gt;"AR","",J254*INDEX('Device Refrigerant Leakage'!$D$2:$D$42,MATCH(X254,'Device Refrigerant Leakage'!$B$2:$B$42,0))*DF254/2204.62*DE254)</f>
        <v/>
      </c>
      <c r="DJ254" s="146" t="str">
        <f>IF(W254&lt;&gt;"AR","",J254*(INDEX('Device Refrigerant Leakage'!$D$2:$D$42,MATCH(X254,'Device Refrigerant Leakage'!$B$2:$B$42,0))-(INDEX('Device Refrigerant Leakage'!$D$2:$D$42,MATCH(X254,'Device Refrigerant Leakage'!$B$2:$B$42,0)))*DH254*DF254)*DG254/2204.62*DE254)</f>
        <v/>
      </c>
      <c r="DK254" s="146" t="str">
        <f>IF(W254&lt;&gt;"AR","",DI254*(K254-AB254)+'Fuel Sub Calcs-Deemed'!DJ254*((K254-AB254)/INDEX('Device Refrigerant Leakage'!$C$2:$C$42,MATCH('Fuel Sub Calcs-Deemed'!X254,'Device Refrigerant Leakage'!$B$2:$B$42,0))))</f>
        <v/>
      </c>
      <c r="DM254" s="56">
        <v>240</v>
      </c>
      <c r="DN254" s="67" t="e">
        <f t="shared" si="328"/>
        <v>#N/A</v>
      </c>
      <c r="DO254" s="45" t="e">
        <f t="shared" si="329"/>
        <v>#N/A</v>
      </c>
      <c r="DP254" s="67" t="e">
        <f t="shared" si="330"/>
        <v>#N/A</v>
      </c>
      <c r="DQ254" s="45" t="e">
        <f t="shared" si="331"/>
        <v>#N/A</v>
      </c>
      <c r="DR254" s="69" t="e">
        <f t="shared" si="332"/>
        <v>#N/A</v>
      </c>
      <c r="DS254" s="34"/>
      <c r="DT254" s="67" t="e">
        <f>((BX254*CJ254)+IF($W254=MAT_AR,(BZ254*CL254),0))*(1+Reference!$E$50+Reference!$E$51)</f>
        <v>#N/A</v>
      </c>
      <c r="DU254" s="67">
        <f>((BY254*CK254)+IF($W254=MAT_AR,(CA254*CM254),0))*(1+Reference!$G$50+Reference!$G$51)</f>
        <v>0</v>
      </c>
      <c r="DV254" s="67" t="e">
        <f t="shared" si="333"/>
        <v>#VALUE!</v>
      </c>
      <c r="DX254" s="56">
        <v>240</v>
      </c>
      <c r="DY254" s="67">
        <f t="shared" si="334"/>
        <v>0</v>
      </c>
      <c r="DZ254" s="45" t="e">
        <f>VLOOKUP($R254,Dropdown!$C$3:$D$4,2,FALSE)</f>
        <v>#N/A</v>
      </c>
      <c r="EA254" s="68">
        <f t="shared" si="335"/>
        <v>0</v>
      </c>
      <c r="EB254" s="68" t="str">
        <f t="shared" si="336"/>
        <v>N/A</v>
      </c>
      <c r="EC254" s="68">
        <f t="shared" si="337"/>
        <v>0</v>
      </c>
      <c r="ED254" s="68" t="str">
        <f t="shared" si="377"/>
        <v>N/A</v>
      </c>
      <c r="EF254" s="56">
        <v>240</v>
      </c>
      <c r="EG254" s="46">
        <f t="shared" si="339"/>
        <v>0</v>
      </c>
      <c r="EH254" s="68" t="e">
        <f t="shared" si="340"/>
        <v>#N/A</v>
      </c>
      <c r="EI254" s="68" t="e">
        <f t="shared" si="341"/>
        <v>#N/A</v>
      </c>
      <c r="EJ254" s="68" t="e">
        <f t="shared" si="342"/>
        <v>#N/A</v>
      </c>
      <c r="EK254" s="68" t="e">
        <f t="shared" si="343"/>
        <v>#N/A</v>
      </c>
      <c r="EL254" s="46">
        <f t="shared" si="344"/>
        <v>0</v>
      </c>
      <c r="EM254" s="46">
        <f t="shared" si="345"/>
        <v>0</v>
      </c>
    </row>
    <row r="255" spans="1:143">
      <c r="A255" s="89"/>
      <c r="B255" s="89"/>
      <c r="C255" s="89"/>
      <c r="D255" s="89"/>
      <c r="E255" s="89"/>
      <c r="F255" s="89"/>
      <c r="G255" s="34"/>
      <c r="H255" s="56">
        <f t="shared" si="346"/>
        <v>241</v>
      </c>
      <c r="I255" s="165"/>
      <c r="J255" s="163"/>
      <c r="K255" s="163"/>
      <c r="L255" s="164"/>
      <c r="M255" s="155"/>
      <c r="N255" s="155"/>
      <c r="O255" s="144"/>
      <c r="P255" s="159" t="str">
        <f>IFERROR(IF(O255&lt;&gt;"User Specified",IF(O255&lt;&gt;"", INDEX('Refrigerant GWPs'!$G$2:$G$154,MATCH(O255,'Refrigerant GWPs'!$A$2:$A$154,0)),""),U255),0)</f>
        <v/>
      </c>
      <c r="Q255" s="155"/>
      <c r="R255" s="155"/>
      <c r="S255" s="144"/>
      <c r="T255" s="159" t="str">
        <f>IF(S255&lt;&gt;"User Specified",IF(AND(S255&lt;&gt;"User Specified",S255&lt;&gt;""), INDEX('Refrigerant GWPs'!$G$2:$G$154,MATCH(S255,'Refrigerant GWPs'!$A$2:$A$154,0)),""),V255)</f>
        <v/>
      </c>
      <c r="U255" s="144"/>
      <c r="V255" s="144"/>
      <c r="W255" s="155"/>
      <c r="X255" s="155"/>
      <c r="Y255" s="144"/>
      <c r="Z255" s="159" t="str">
        <f>IF(AND(Y255&lt;&gt;"User Specified",Y255&lt;&gt;""), INDEX('Refrigerant GWPs'!$G$2:$G$154,MATCH(Y255,'Refrigerant GWPs'!$A$2:$A$154,0)),"")</f>
        <v/>
      </c>
      <c r="AA255" s="155"/>
      <c r="AB255" s="156"/>
      <c r="AC255" s="66"/>
      <c r="AD255" s="66"/>
      <c r="AE255" s="66"/>
      <c r="AF255" s="66"/>
      <c r="AG255" s="66"/>
      <c r="AH255" s="66"/>
      <c r="AI255" s="34"/>
      <c r="AJ255" s="88">
        <f t="shared" si="304"/>
        <v>0</v>
      </c>
      <c r="AK255" s="88">
        <f t="shared" si="305"/>
        <v>0</v>
      </c>
      <c r="AL255" s="88">
        <v>0</v>
      </c>
      <c r="AM255" s="88">
        <v>0</v>
      </c>
      <c r="AN255" s="81" t="str">
        <f t="shared" si="349"/>
        <v/>
      </c>
      <c r="AO255" s="88">
        <f t="shared" si="306"/>
        <v>0</v>
      </c>
      <c r="AP255" s="88">
        <f t="shared" si="307"/>
        <v>0</v>
      </c>
      <c r="AQ255" s="81" t="str">
        <f t="shared" si="308"/>
        <v/>
      </c>
      <c r="AS255" s="41" t="b">
        <f t="shared" si="309"/>
        <v>1</v>
      </c>
      <c r="AT255" s="38">
        <f t="shared" si="310"/>
        <v>0</v>
      </c>
      <c r="AU255" s="60">
        <f t="shared" si="311"/>
        <v>0</v>
      </c>
      <c r="AV255" s="41">
        <f t="shared" si="312"/>
        <v>0</v>
      </c>
      <c r="AW255" s="41" t="b">
        <f t="shared" si="313"/>
        <v>0</v>
      </c>
      <c r="AX255" t="str">
        <f t="shared" si="314"/>
        <v>+00</v>
      </c>
      <c r="AY255" t="str">
        <f t="shared" si="315"/>
        <v>+00</v>
      </c>
      <c r="BA255" s="47" t="b">
        <f t="shared" si="350"/>
        <v>1</v>
      </c>
      <c r="BB255" s="42" t="b">
        <f t="shared" si="351"/>
        <v>1</v>
      </c>
      <c r="BC255" s="42" t="b">
        <f t="shared" si="352"/>
        <v>0</v>
      </c>
      <c r="BD255" s="42" t="b">
        <f t="shared" si="353"/>
        <v>0</v>
      </c>
      <c r="BE255" s="70">
        <f t="shared" si="354"/>
        <v>0</v>
      </c>
      <c r="BF255" s="70">
        <f t="shared" si="355"/>
        <v>0</v>
      </c>
      <c r="BG255" s="34"/>
      <c r="BI255" s="47" t="b">
        <f t="shared" si="356"/>
        <v>1</v>
      </c>
      <c r="BJ255" s="47" t="b">
        <f t="shared" si="357"/>
        <v>1</v>
      </c>
      <c r="BK255" s="42" t="b">
        <f t="shared" si="358"/>
        <v>0</v>
      </c>
      <c r="BL255" s="42" t="b">
        <f t="shared" si="359"/>
        <v>0</v>
      </c>
      <c r="BM255" s="42">
        <f t="shared" si="360"/>
        <v>0</v>
      </c>
      <c r="BN255" s="42">
        <f t="shared" si="361"/>
        <v>0</v>
      </c>
      <c r="BP255" t="e">
        <f t="shared" si="362"/>
        <v>#N/A</v>
      </c>
      <c r="BQ255" t="e">
        <f t="shared" si="363"/>
        <v>#N/A</v>
      </c>
      <c r="BR255" t="e">
        <f t="shared" si="364"/>
        <v>#N/A</v>
      </c>
      <c r="BT255" s="60">
        <f t="shared" si="365"/>
        <v>0</v>
      </c>
      <c r="BU255" s="60">
        <f t="shared" si="366"/>
        <v>0</v>
      </c>
      <c r="BV255" s="60">
        <f t="shared" si="367"/>
        <v>0</v>
      </c>
      <c r="BW255" s="60">
        <f t="shared" si="368"/>
        <v>0</v>
      </c>
      <c r="BX255" s="60">
        <f t="shared" si="369"/>
        <v>0</v>
      </c>
      <c r="BY255" s="60">
        <f t="shared" si="370"/>
        <v>0</v>
      </c>
      <c r="BZ255" s="60">
        <f t="shared" si="371"/>
        <v>0</v>
      </c>
      <c r="CA255" s="60">
        <f t="shared" si="372"/>
        <v>0</v>
      </c>
      <c r="CB255" s="60" t="e">
        <f t="shared" si="320"/>
        <v>#N/A</v>
      </c>
      <c r="CC255" s="60">
        <f t="shared" si="321"/>
        <v>100000</v>
      </c>
      <c r="CD255" s="60" t="e">
        <f t="shared" si="322"/>
        <v>#N/A</v>
      </c>
      <c r="CE255" s="60">
        <f t="shared" si="323"/>
        <v>100000</v>
      </c>
      <c r="CF255" s="83" t="e">
        <f t="shared" si="373"/>
        <v>#N/A</v>
      </c>
      <c r="CG255" s="83">
        <f t="shared" si="374"/>
        <v>0</v>
      </c>
      <c r="CH255" s="83" t="e">
        <f t="shared" si="375"/>
        <v>#N/A</v>
      </c>
      <c r="CI255" s="83">
        <f t="shared" si="376"/>
        <v>0</v>
      </c>
      <c r="CJ255" s="86" t="e">
        <f t="shared" si="324"/>
        <v>#N/A</v>
      </c>
      <c r="CK255" s="82">
        <f t="shared" si="325"/>
        <v>5.3070370403969858E-3</v>
      </c>
      <c r="CL255" s="82" t="e">
        <f t="shared" si="326"/>
        <v>#N/A</v>
      </c>
      <c r="CM255" s="82">
        <f t="shared" si="327"/>
        <v>5.3070370403969858E-3</v>
      </c>
      <c r="CO255" s="149" t="str">
        <f>IF($I255&lt;&gt;"",IF(O255="User Specified",U255,INDEX('Refrigerant GWPs'!$G$2:$G$156,MATCH(O255,'Refrigerant GWPs'!$A$2:$A$156,0))),"")</f>
        <v/>
      </c>
      <c r="CP255" s="138" t="str">
        <f>IF($I255&lt;&gt;"",INDEX('Device Refrigerant Leakage'!$E$2:$E$42,MATCH($M255,'Device Refrigerant Leakage'!$B$2:$B$42,0)),"")</f>
        <v/>
      </c>
      <c r="CQ255" s="138" t="str">
        <f>IF($I255&lt;&gt;"",INDEX('Device Refrigerant Leakage'!$F$2:$F$42,MATCH($M255,'Device Refrigerant Leakage'!$B$2:$B$42,0)),"")</f>
        <v/>
      </c>
      <c r="CR255" s="145" t="str">
        <f>IF($I255&lt;&gt;"",INDEX('Device Refrigerant Leakage'!$G$2:$G$42,MATCH($M255,'Device Refrigerant Leakage'!$B$2:$B$42,0)),"")</f>
        <v/>
      </c>
      <c r="CS255" s="145" t="str">
        <f>IF($I255&lt;&gt;"",INDEX('Device Refrigerant Leakage'!$D$2:$D$42,MATCH($M255,'Device Refrigerant Leakage'!$B$2:$B$42,0))*CP255/2204.62*CO255,"")</f>
        <v/>
      </c>
      <c r="CT255" s="145" t="str">
        <f>IF($I255&lt;&gt;"",J255*(INDEX('Device Refrigerant Leakage'!$D$2:$D$42,MATCH($M255,'Device Refrigerant Leakage'!$B$2:$B$42,0))-(INDEX('Device Refrigerant Leakage'!$D$2:$D$42,MATCH($M255,'Device Refrigerant Leakage'!$B$2:$B$42,0)))*CR255*CP255)*CQ255/2204.62*CO255,"")</f>
        <v/>
      </c>
      <c r="CU255" s="135" t="str">
        <f>IF($I255&lt;&gt;"",J255*IF(W255&lt;&gt;"AR",(CS255*K255)+CT255,(CS255*AB255)+CT255*(AB255/INDEX('Device Refrigerant Leakage'!$C$2:$C$42,MATCH($M255,'Device Refrigerant Leakage'!$B$2:$B$42,0)))),"")</f>
        <v/>
      </c>
      <c r="CW255" s="135" t="str">
        <f>IF($I255&lt;&gt;"",IF(S255="User Specified",V255,INDEX('Refrigerant GWPs'!$G$2:$G$156,MATCH(S255,'Refrigerant GWPs'!$A$2:$A$157,0))),"")</f>
        <v/>
      </c>
      <c r="CX255" s="138" t="str">
        <f>IF($I255&lt;&gt;"",INDEX('Device Refrigerant Leakage'!$E$2:$E$42,MATCH($Q255,'Device Refrigerant Leakage'!$B$2:$B$42,0)),"")</f>
        <v/>
      </c>
      <c r="CY255" s="138" t="str">
        <f>IF($I255&lt;&gt;"",INDEX('Device Refrigerant Leakage'!$F$2:$F$42,MATCH($Q255,'Device Refrigerant Leakage'!$B$2:$B$42,0)),"")</f>
        <v/>
      </c>
      <c r="CZ255" s="145" t="str">
        <f>IF($I255&lt;&gt;"",INDEX('Device Refrigerant Leakage'!$G$2:$G$42,MATCH($Q255,'Device Refrigerant Leakage'!$B$2:$B$42,0)),"")</f>
        <v/>
      </c>
      <c r="DA255" s="145" t="str">
        <f>IF($I255&lt;&gt;"",J255*INDEX('Device Refrigerant Leakage'!$D$2:$D$42,MATCH($Q255,'Device Refrigerant Leakage'!$B$2:$B$42,0))*CX255/2204.62*CW255,"")</f>
        <v/>
      </c>
      <c r="DB255" s="145" t="str">
        <f>IF($I255&lt;&gt;"",J255*(INDEX('Device Refrigerant Leakage'!$D$2:$D$42,MATCH($Q255,'Device Refrigerant Leakage'!$B$2:$B$42,0))-(INDEX('Device Refrigerant Leakage'!$D$2:$D$42,MATCH($Q255,'Device Refrigerant Leakage'!$B$2:$B$42,0)))*CZ255*CX255)*CY255/2204.62*CW255,"")</f>
        <v/>
      </c>
      <c r="DC255" s="135" t="str">
        <f t="shared" si="348"/>
        <v/>
      </c>
      <c r="DE255" s="146" t="str">
        <f>IF(W255&lt;&gt;"AR","",IF(Y255="User Specified", AA255, INDEX('Refrigerant GWPs'!$G$2:$G$154,MATCH(Y255,'Refrigerant GWPs'!$A$2:$A$154,0))))</f>
        <v/>
      </c>
      <c r="DF255" s="146" t="str">
        <f>IF(W255&lt;&gt;"AR","",INDEX('Device Refrigerant Leakage'!$E$2:$E$42,MATCH(X255,'Device Refrigerant Leakage'!$B$2:$B$42,0)))</f>
        <v/>
      </c>
      <c r="DG255" s="146" t="str">
        <f>IF(W255&lt;&gt;"AR","",INDEX('Device Refrigerant Leakage'!$F$2:$F$42,MATCH(X255,'Device Refrigerant Leakage'!$B$2:$B$42,0)))</f>
        <v/>
      </c>
      <c r="DH255" s="146" t="str">
        <f>IF(W255&lt;&gt;"AR","",INDEX('Device Refrigerant Leakage'!$G$2:$G$42,MATCH(X255,'Device Refrigerant Leakage'!$B$2:$B$42,0)))</f>
        <v/>
      </c>
      <c r="DI255" s="146" t="str">
        <f>IF(W255&lt;&gt;"AR","",J255*INDEX('Device Refrigerant Leakage'!$D$2:$D$42,MATCH(X255,'Device Refrigerant Leakage'!$B$2:$B$42,0))*DF255/2204.62*DE255)</f>
        <v/>
      </c>
      <c r="DJ255" s="146" t="str">
        <f>IF(W255&lt;&gt;"AR","",J255*(INDEX('Device Refrigerant Leakage'!$D$2:$D$42,MATCH(X255,'Device Refrigerant Leakage'!$B$2:$B$42,0))-(INDEX('Device Refrigerant Leakage'!$D$2:$D$42,MATCH(X255,'Device Refrigerant Leakage'!$B$2:$B$42,0)))*DH255*DF255)*DG255/2204.62*DE255)</f>
        <v/>
      </c>
      <c r="DK255" s="146" t="str">
        <f>IF(W255&lt;&gt;"AR","",DI255*(K255-AB255)+'Fuel Sub Calcs-Deemed'!DJ255*((K255-AB255)/INDEX('Device Refrigerant Leakage'!$C$2:$C$42,MATCH('Fuel Sub Calcs-Deemed'!X255,'Device Refrigerant Leakage'!$B$2:$B$42,0))))</f>
        <v/>
      </c>
      <c r="DM255" s="56">
        <v>241</v>
      </c>
      <c r="DN255" s="67" t="e">
        <f t="shared" si="328"/>
        <v>#N/A</v>
      </c>
      <c r="DO255" s="45" t="e">
        <f t="shared" si="329"/>
        <v>#N/A</v>
      </c>
      <c r="DP255" s="67" t="e">
        <f t="shared" si="330"/>
        <v>#N/A</v>
      </c>
      <c r="DQ255" s="45" t="e">
        <f t="shared" si="331"/>
        <v>#N/A</v>
      </c>
      <c r="DR255" s="69" t="e">
        <f t="shared" si="332"/>
        <v>#N/A</v>
      </c>
      <c r="DS255" s="34"/>
      <c r="DT255" s="67" t="e">
        <f>((BX255*CJ255)+IF($W255=MAT_AR,(BZ255*CL255),0))*(1+Reference!$E$50+Reference!$E$51)</f>
        <v>#N/A</v>
      </c>
      <c r="DU255" s="67">
        <f>((BY255*CK255)+IF($W255=MAT_AR,(CA255*CM255),0))*(1+Reference!$G$50+Reference!$G$51)</f>
        <v>0</v>
      </c>
      <c r="DV255" s="67" t="e">
        <f t="shared" si="333"/>
        <v>#VALUE!</v>
      </c>
      <c r="DX255" s="56">
        <v>241</v>
      </c>
      <c r="DY255" s="67">
        <f t="shared" si="334"/>
        <v>0</v>
      </c>
      <c r="DZ255" s="45" t="e">
        <f>VLOOKUP($R255,Dropdown!$C$3:$D$4,2,FALSE)</f>
        <v>#N/A</v>
      </c>
      <c r="EA255" s="68">
        <f t="shared" si="335"/>
        <v>0</v>
      </c>
      <c r="EB255" s="68" t="str">
        <f t="shared" si="336"/>
        <v>N/A</v>
      </c>
      <c r="EC255" s="68">
        <f t="shared" si="337"/>
        <v>0</v>
      </c>
      <c r="ED255" s="68" t="str">
        <f t="shared" si="377"/>
        <v>N/A</v>
      </c>
      <c r="EF255" s="56">
        <v>241</v>
      </c>
      <c r="EG255" s="46">
        <f t="shared" si="339"/>
        <v>0</v>
      </c>
      <c r="EH255" s="68" t="e">
        <f t="shared" si="340"/>
        <v>#N/A</v>
      </c>
      <c r="EI255" s="68" t="e">
        <f t="shared" si="341"/>
        <v>#N/A</v>
      </c>
      <c r="EJ255" s="68" t="e">
        <f t="shared" si="342"/>
        <v>#N/A</v>
      </c>
      <c r="EK255" s="68" t="e">
        <f t="shared" si="343"/>
        <v>#N/A</v>
      </c>
      <c r="EL255" s="46">
        <f t="shared" si="344"/>
        <v>0</v>
      </c>
      <c r="EM255" s="46">
        <f t="shared" si="345"/>
        <v>0</v>
      </c>
    </row>
    <row r="256" spans="1:143">
      <c r="A256" s="89"/>
      <c r="B256" s="89"/>
      <c r="C256" s="89"/>
      <c r="D256" s="89"/>
      <c r="E256" s="89"/>
      <c r="F256" s="89"/>
      <c r="G256" s="34"/>
      <c r="H256" s="56">
        <f t="shared" si="346"/>
        <v>242</v>
      </c>
      <c r="I256" s="165"/>
      <c r="J256" s="163"/>
      <c r="K256" s="163"/>
      <c r="L256" s="164"/>
      <c r="M256" s="155"/>
      <c r="N256" s="155"/>
      <c r="O256" s="144"/>
      <c r="P256" s="159" t="str">
        <f>IFERROR(IF(O256&lt;&gt;"User Specified",IF(O256&lt;&gt;"", INDEX('Refrigerant GWPs'!$G$2:$G$154,MATCH(O256,'Refrigerant GWPs'!$A$2:$A$154,0)),""),U256),0)</f>
        <v/>
      </c>
      <c r="Q256" s="155"/>
      <c r="R256" s="155"/>
      <c r="S256" s="144"/>
      <c r="T256" s="159" t="str">
        <f>IF(S256&lt;&gt;"User Specified",IF(AND(S256&lt;&gt;"User Specified",S256&lt;&gt;""), INDEX('Refrigerant GWPs'!$G$2:$G$154,MATCH(S256,'Refrigerant GWPs'!$A$2:$A$154,0)),""),V256)</f>
        <v/>
      </c>
      <c r="U256" s="144"/>
      <c r="V256" s="144"/>
      <c r="W256" s="155"/>
      <c r="X256" s="155"/>
      <c r="Y256" s="144"/>
      <c r="Z256" s="159" t="str">
        <f>IF(AND(Y256&lt;&gt;"User Specified",Y256&lt;&gt;""), INDEX('Refrigerant GWPs'!$G$2:$G$154,MATCH(Y256,'Refrigerant GWPs'!$A$2:$A$154,0)),"")</f>
        <v/>
      </c>
      <c r="AA256" s="155"/>
      <c r="AB256" s="156"/>
      <c r="AC256" s="66"/>
      <c r="AD256" s="66"/>
      <c r="AE256" s="66"/>
      <c r="AF256" s="66"/>
      <c r="AG256" s="66"/>
      <c r="AH256" s="66"/>
      <c r="AI256" s="34"/>
      <c r="AJ256" s="88">
        <f t="shared" si="304"/>
        <v>0</v>
      </c>
      <c r="AK256" s="88">
        <f t="shared" si="305"/>
        <v>0</v>
      </c>
      <c r="AL256" s="88">
        <v>0</v>
      </c>
      <c r="AM256" s="88">
        <v>0</v>
      </c>
      <c r="AN256" s="81" t="str">
        <f t="shared" si="349"/>
        <v/>
      </c>
      <c r="AO256" s="88">
        <f t="shared" si="306"/>
        <v>0</v>
      </c>
      <c r="AP256" s="88">
        <f t="shared" si="307"/>
        <v>0</v>
      </c>
      <c r="AQ256" s="81" t="str">
        <f t="shared" si="308"/>
        <v/>
      </c>
      <c r="AS256" s="41" t="b">
        <f t="shared" si="309"/>
        <v>1</v>
      </c>
      <c r="AT256" s="38">
        <f t="shared" si="310"/>
        <v>0</v>
      </c>
      <c r="AU256" s="60">
        <f t="shared" si="311"/>
        <v>0</v>
      </c>
      <c r="AV256" s="41">
        <f t="shared" si="312"/>
        <v>0</v>
      </c>
      <c r="AW256" s="41" t="b">
        <f t="shared" si="313"/>
        <v>0</v>
      </c>
      <c r="AX256" t="str">
        <f t="shared" si="314"/>
        <v>+00</v>
      </c>
      <c r="AY256" t="str">
        <f t="shared" si="315"/>
        <v>+00</v>
      </c>
      <c r="BA256" s="47" t="b">
        <f t="shared" si="350"/>
        <v>1</v>
      </c>
      <c r="BB256" s="42" t="b">
        <f t="shared" si="351"/>
        <v>1</v>
      </c>
      <c r="BC256" s="42" t="b">
        <f t="shared" si="352"/>
        <v>0</v>
      </c>
      <c r="BD256" s="42" t="b">
        <f t="shared" si="353"/>
        <v>0</v>
      </c>
      <c r="BE256" s="70">
        <f t="shared" si="354"/>
        <v>0</v>
      </c>
      <c r="BF256" s="70">
        <f t="shared" si="355"/>
        <v>0</v>
      </c>
      <c r="BG256" s="34"/>
      <c r="BI256" s="47" t="b">
        <f t="shared" si="356"/>
        <v>1</v>
      </c>
      <c r="BJ256" s="47" t="b">
        <f t="shared" si="357"/>
        <v>1</v>
      </c>
      <c r="BK256" s="42" t="b">
        <f t="shared" si="358"/>
        <v>0</v>
      </c>
      <c r="BL256" s="42" t="b">
        <f t="shared" si="359"/>
        <v>0</v>
      </c>
      <c r="BM256" s="42">
        <f t="shared" si="360"/>
        <v>0</v>
      </c>
      <c r="BN256" s="42">
        <f t="shared" si="361"/>
        <v>0</v>
      </c>
      <c r="BP256" t="e">
        <f t="shared" si="362"/>
        <v>#N/A</v>
      </c>
      <c r="BQ256" t="e">
        <f t="shared" si="363"/>
        <v>#N/A</v>
      </c>
      <c r="BR256" t="e">
        <f t="shared" si="364"/>
        <v>#N/A</v>
      </c>
      <c r="BT256" s="60">
        <f t="shared" si="365"/>
        <v>0</v>
      </c>
      <c r="BU256" s="60">
        <f t="shared" si="366"/>
        <v>0</v>
      </c>
      <c r="BV256" s="60">
        <f t="shared" si="367"/>
        <v>0</v>
      </c>
      <c r="BW256" s="60">
        <f t="shared" si="368"/>
        <v>0</v>
      </c>
      <c r="BX256" s="60">
        <f t="shared" si="369"/>
        <v>0</v>
      </c>
      <c r="BY256" s="60">
        <f t="shared" si="370"/>
        <v>0</v>
      </c>
      <c r="BZ256" s="60">
        <f t="shared" si="371"/>
        <v>0</v>
      </c>
      <c r="CA256" s="60">
        <f t="shared" si="372"/>
        <v>0</v>
      </c>
      <c r="CB256" s="60" t="e">
        <f t="shared" si="320"/>
        <v>#N/A</v>
      </c>
      <c r="CC256" s="60">
        <f t="shared" si="321"/>
        <v>100000</v>
      </c>
      <c r="CD256" s="60" t="e">
        <f t="shared" si="322"/>
        <v>#N/A</v>
      </c>
      <c r="CE256" s="60">
        <f t="shared" si="323"/>
        <v>100000</v>
      </c>
      <c r="CF256" s="83" t="e">
        <f t="shared" si="373"/>
        <v>#N/A</v>
      </c>
      <c r="CG256" s="83">
        <f t="shared" si="374"/>
        <v>0</v>
      </c>
      <c r="CH256" s="83" t="e">
        <f t="shared" si="375"/>
        <v>#N/A</v>
      </c>
      <c r="CI256" s="83">
        <f t="shared" si="376"/>
        <v>0</v>
      </c>
      <c r="CJ256" s="86" t="e">
        <f t="shared" si="324"/>
        <v>#N/A</v>
      </c>
      <c r="CK256" s="82">
        <f t="shared" si="325"/>
        <v>5.3070370403969858E-3</v>
      </c>
      <c r="CL256" s="82" t="e">
        <f t="shared" si="326"/>
        <v>#N/A</v>
      </c>
      <c r="CM256" s="82">
        <f t="shared" si="327"/>
        <v>5.3070370403969858E-3</v>
      </c>
      <c r="CO256" s="149" t="str">
        <f>IF($I256&lt;&gt;"",IF(O256="User Specified",U256,INDEX('Refrigerant GWPs'!$G$2:$G$156,MATCH(O256,'Refrigerant GWPs'!$A$2:$A$156,0))),"")</f>
        <v/>
      </c>
      <c r="CP256" s="138" t="str">
        <f>IF($I256&lt;&gt;"",INDEX('Device Refrigerant Leakage'!$E$2:$E$42,MATCH($M256,'Device Refrigerant Leakage'!$B$2:$B$42,0)),"")</f>
        <v/>
      </c>
      <c r="CQ256" s="138" t="str">
        <f>IF($I256&lt;&gt;"",INDEX('Device Refrigerant Leakage'!$F$2:$F$42,MATCH($M256,'Device Refrigerant Leakage'!$B$2:$B$42,0)),"")</f>
        <v/>
      </c>
      <c r="CR256" s="145" t="str">
        <f>IF($I256&lt;&gt;"",INDEX('Device Refrigerant Leakage'!$G$2:$G$42,MATCH($M256,'Device Refrigerant Leakage'!$B$2:$B$42,0)),"")</f>
        <v/>
      </c>
      <c r="CS256" s="145" t="str">
        <f>IF($I256&lt;&gt;"",INDEX('Device Refrigerant Leakage'!$D$2:$D$42,MATCH($M256,'Device Refrigerant Leakage'!$B$2:$B$42,0))*CP256/2204.62*CO256,"")</f>
        <v/>
      </c>
      <c r="CT256" s="145" t="str">
        <f>IF($I256&lt;&gt;"",J256*(INDEX('Device Refrigerant Leakage'!$D$2:$D$42,MATCH($M256,'Device Refrigerant Leakage'!$B$2:$B$42,0))-(INDEX('Device Refrigerant Leakage'!$D$2:$D$42,MATCH($M256,'Device Refrigerant Leakage'!$B$2:$B$42,0)))*CR256*CP256)*CQ256/2204.62*CO256,"")</f>
        <v/>
      </c>
      <c r="CU256" s="135" t="str">
        <f>IF($I256&lt;&gt;"",J256*IF(W256&lt;&gt;"AR",(CS256*K256)+CT256,(CS256*AB256)+CT256*(AB256/INDEX('Device Refrigerant Leakage'!$C$2:$C$42,MATCH($M256,'Device Refrigerant Leakage'!$B$2:$B$42,0)))),"")</f>
        <v/>
      </c>
      <c r="CW256" s="135" t="str">
        <f>IF($I256&lt;&gt;"",IF(S256="User Specified",V256,INDEX('Refrigerant GWPs'!$G$2:$G$156,MATCH(S256,'Refrigerant GWPs'!$A$2:$A$157,0))),"")</f>
        <v/>
      </c>
      <c r="CX256" s="138" t="str">
        <f>IF($I256&lt;&gt;"",INDEX('Device Refrigerant Leakage'!$E$2:$E$42,MATCH($Q256,'Device Refrigerant Leakage'!$B$2:$B$42,0)),"")</f>
        <v/>
      </c>
      <c r="CY256" s="138" t="str">
        <f>IF($I256&lt;&gt;"",INDEX('Device Refrigerant Leakage'!$F$2:$F$42,MATCH($Q256,'Device Refrigerant Leakage'!$B$2:$B$42,0)),"")</f>
        <v/>
      </c>
      <c r="CZ256" s="145" t="str">
        <f>IF($I256&lt;&gt;"",INDEX('Device Refrigerant Leakage'!$G$2:$G$42,MATCH($Q256,'Device Refrigerant Leakage'!$B$2:$B$42,0)),"")</f>
        <v/>
      </c>
      <c r="DA256" s="145" t="str">
        <f>IF($I256&lt;&gt;"",J256*INDEX('Device Refrigerant Leakage'!$D$2:$D$42,MATCH($Q256,'Device Refrigerant Leakage'!$B$2:$B$42,0))*CX256/2204.62*CW256,"")</f>
        <v/>
      </c>
      <c r="DB256" s="145" t="str">
        <f>IF($I256&lt;&gt;"",J256*(INDEX('Device Refrigerant Leakage'!$D$2:$D$42,MATCH($Q256,'Device Refrigerant Leakage'!$B$2:$B$42,0))-(INDEX('Device Refrigerant Leakage'!$D$2:$D$42,MATCH($Q256,'Device Refrigerant Leakage'!$B$2:$B$42,0)))*CZ256*CX256)*CY256/2204.62*CW256,"")</f>
        <v/>
      </c>
      <c r="DC256" s="135" t="str">
        <f t="shared" si="348"/>
        <v/>
      </c>
      <c r="DE256" s="146" t="str">
        <f>IF(W256&lt;&gt;"AR","",IF(Y256="User Specified", AA256, INDEX('Refrigerant GWPs'!$G$2:$G$154,MATCH(Y256,'Refrigerant GWPs'!$A$2:$A$154,0))))</f>
        <v/>
      </c>
      <c r="DF256" s="146" t="str">
        <f>IF(W256&lt;&gt;"AR","",INDEX('Device Refrigerant Leakage'!$E$2:$E$42,MATCH(X256,'Device Refrigerant Leakage'!$B$2:$B$42,0)))</f>
        <v/>
      </c>
      <c r="DG256" s="146" t="str">
        <f>IF(W256&lt;&gt;"AR","",INDEX('Device Refrigerant Leakage'!$F$2:$F$42,MATCH(X256,'Device Refrigerant Leakage'!$B$2:$B$42,0)))</f>
        <v/>
      </c>
      <c r="DH256" s="146" t="str">
        <f>IF(W256&lt;&gt;"AR","",INDEX('Device Refrigerant Leakage'!$G$2:$G$42,MATCH(X256,'Device Refrigerant Leakage'!$B$2:$B$42,0)))</f>
        <v/>
      </c>
      <c r="DI256" s="146" t="str">
        <f>IF(W256&lt;&gt;"AR","",J256*INDEX('Device Refrigerant Leakage'!$D$2:$D$42,MATCH(X256,'Device Refrigerant Leakage'!$B$2:$B$42,0))*DF256/2204.62*DE256)</f>
        <v/>
      </c>
      <c r="DJ256" s="146" t="str">
        <f>IF(W256&lt;&gt;"AR","",J256*(INDEX('Device Refrigerant Leakage'!$D$2:$D$42,MATCH(X256,'Device Refrigerant Leakage'!$B$2:$B$42,0))-(INDEX('Device Refrigerant Leakage'!$D$2:$D$42,MATCH(X256,'Device Refrigerant Leakage'!$B$2:$B$42,0)))*DH256*DF256)*DG256/2204.62*DE256)</f>
        <v/>
      </c>
      <c r="DK256" s="146" t="str">
        <f>IF(W256&lt;&gt;"AR","",DI256*(K256-AB256)+'Fuel Sub Calcs-Deemed'!DJ256*((K256-AB256)/INDEX('Device Refrigerant Leakage'!$C$2:$C$42,MATCH('Fuel Sub Calcs-Deemed'!X256,'Device Refrigerant Leakage'!$B$2:$B$42,0))))</f>
        <v/>
      </c>
      <c r="DM256" s="56">
        <v>242</v>
      </c>
      <c r="DN256" s="67" t="e">
        <f t="shared" si="328"/>
        <v>#N/A</v>
      </c>
      <c r="DO256" s="45" t="e">
        <f t="shared" si="329"/>
        <v>#N/A</v>
      </c>
      <c r="DP256" s="67" t="e">
        <f t="shared" si="330"/>
        <v>#N/A</v>
      </c>
      <c r="DQ256" s="45" t="e">
        <f t="shared" si="331"/>
        <v>#N/A</v>
      </c>
      <c r="DR256" s="69" t="e">
        <f t="shared" si="332"/>
        <v>#N/A</v>
      </c>
      <c r="DS256" s="34"/>
      <c r="DT256" s="67" t="e">
        <f>((BX256*CJ256)+IF($W256=MAT_AR,(BZ256*CL256),0))*(1+Reference!$E$50+Reference!$E$51)</f>
        <v>#N/A</v>
      </c>
      <c r="DU256" s="67">
        <f>((BY256*CK256)+IF($W256=MAT_AR,(CA256*CM256),0))*(1+Reference!$G$50+Reference!$G$51)</f>
        <v>0</v>
      </c>
      <c r="DV256" s="67" t="e">
        <f t="shared" si="333"/>
        <v>#VALUE!</v>
      </c>
      <c r="DX256" s="56">
        <v>242</v>
      </c>
      <c r="DY256" s="67">
        <f t="shared" si="334"/>
        <v>0</v>
      </c>
      <c r="DZ256" s="45" t="e">
        <f>VLOOKUP($R256,Dropdown!$C$3:$D$4,2,FALSE)</f>
        <v>#N/A</v>
      </c>
      <c r="EA256" s="68">
        <f t="shared" si="335"/>
        <v>0</v>
      </c>
      <c r="EB256" s="68" t="str">
        <f t="shared" si="336"/>
        <v>N/A</v>
      </c>
      <c r="EC256" s="68">
        <f t="shared" si="337"/>
        <v>0</v>
      </c>
      <c r="ED256" s="68" t="str">
        <f t="shared" si="377"/>
        <v>N/A</v>
      </c>
      <c r="EF256" s="56">
        <v>242</v>
      </c>
      <c r="EG256" s="46">
        <f t="shared" si="339"/>
        <v>0</v>
      </c>
      <c r="EH256" s="68" t="e">
        <f t="shared" si="340"/>
        <v>#N/A</v>
      </c>
      <c r="EI256" s="68" t="e">
        <f t="shared" si="341"/>
        <v>#N/A</v>
      </c>
      <c r="EJ256" s="68" t="e">
        <f t="shared" si="342"/>
        <v>#N/A</v>
      </c>
      <c r="EK256" s="68" t="e">
        <f t="shared" si="343"/>
        <v>#N/A</v>
      </c>
      <c r="EL256" s="46">
        <f t="shared" si="344"/>
        <v>0</v>
      </c>
      <c r="EM256" s="46">
        <f t="shared" si="345"/>
        <v>0</v>
      </c>
    </row>
    <row r="257" spans="1:143">
      <c r="A257" s="89"/>
      <c r="B257" s="89"/>
      <c r="C257" s="89"/>
      <c r="D257" s="89"/>
      <c r="E257" s="89"/>
      <c r="F257" s="89"/>
      <c r="G257" s="34"/>
      <c r="H257" s="56">
        <f t="shared" si="346"/>
        <v>243</v>
      </c>
      <c r="I257" s="165"/>
      <c r="J257" s="163"/>
      <c r="K257" s="163"/>
      <c r="L257" s="164"/>
      <c r="M257" s="155"/>
      <c r="N257" s="155"/>
      <c r="O257" s="144"/>
      <c r="P257" s="159" t="str">
        <f>IFERROR(IF(O257&lt;&gt;"User Specified",IF(O257&lt;&gt;"", INDEX('Refrigerant GWPs'!$G$2:$G$154,MATCH(O257,'Refrigerant GWPs'!$A$2:$A$154,0)),""),U257),0)</f>
        <v/>
      </c>
      <c r="Q257" s="155"/>
      <c r="R257" s="155"/>
      <c r="S257" s="144"/>
      <c r="T257" s="159" t="str">
        <f>IF(S257&lt;&gt;"User Specified",IF(AND(S257&lt;&gt;"User Specified",S257&lt;&gt;""), INDEX('Refrigerant GWPs'!$G$2:$G$154,MATCH(S257,'Refrigerant GWPs'!$A$2:$A$154,0)),""),V257)</f>
        <v/>
      </c>
      <c r="U257" s="144"/>
      <c r="V257" s="144"/>
      <c r="W257" s="155"/>
      <c r="X257" s="155"/>
      <c r="Y257" s="144"/>
      <c r="Z257" s="159" t="str">
        <f>IF(AND(Y257&lt;&gt;"User Specified",Y257&lt;&gt;""), INDEX('Refrigerant GWPs'!$G$2:$G$154,MATCH(Y257,'Refrigerant GWPs'!$A$2:$A$154,0)),"")</f>
        <v/>
      </c>
      <c r="AA257" s="155"/>
      <c r="AB257" s="156"/>
      <c r="AC257" s="66"/>
      <c r="AD257" s="66"/>
      <c r="AE257" s="66"/>
      <c r="AF257" s="66"/>
      <c r="AG257" s="66"/>
      <c r="AH257" s="66"/>
      <c r="AI257" s="34"/>
      <c r="AJ257" s="88">
        <f t="shared" si="304"/>
        <v>0</v>
      </c>
      <c r="AK257" s="88">
        <f t="shared" si="305"/>
        <v>0</v>
      </c>
      <c r="AL257" s="88">
        <v>0</v>
      </c>
      <c r="AM257" s="88">
        <v>0</v>
      </c>
      <c r="AN257" s="81" t="str">
        <f t="shared" si="349"/>
        <v/>
      </c>
      <c r="AO257" s="88">
        <f t="shared" si="306"/>
        <v>0</v>
      </c>
      <c r="AP257" s="88">
        <f t="shared" si="307"/>
        <v>0</v>
      </c>
      <c r="AQ257" s="81" t="str">
        <f t="shared" si="308"/>
        <v/>
      </c>
      <c r="AS257" s="41" t="b">
        <f t="shared" si="309"/>
        <v>1</v>
      </c>
      <c r="AT257" s="38">
        <f t="shared" si="310"/>
        <v>0</v>
      </c>
      <c r="AU257" s="60">
        <f t="shared" si="311"/>
        <v>0</v>
      </c>
      <c r="AV257" s="41">
        <f t="shared" si="312"/>
        <v>0</v>
      </c>
      <c r="AW257" s="41" t="b">
        <f t="shared" si="313"/>
        <v>0</v>
      </c>
      <c r="AX257" t="str">
        <f t="shared" si="314"/>
        <v>+00</v>
      </c>
      <c r="AY257" t="str">
        <f t="shared" si="315"/>
        <v>+00</v>
      </c>
      <c r="BA257" s="47" t="b">
        <f t="shared" si="350"/>
        <v>1</v>
      </c>
      <c r="BB257" s="42" t="b">
        <f t="shared" si="351"/>
        <v>1</v>
      </c>
      <c r="BC257" s="42" t="b">
        <f t="shared" si="352"/>
        <v>0</v>
      </c>
      <c r="BD257" s="42" t="b">
        <f t="shared" si="353"/>
        <v>0</v>
      </c>
      <c r="BE257" s="70">
        <f t="shared" si="354"/>
        <v>0</v>
      </c>
      <c r="BF257" s="70">
        <f t="shared" si="355"/>
        <v>0</v>
      </c>
      <c r="BG257" s="34"/>
      <c r="BI257" s="47" t="b">
        <f t="shared" si="356"/>
        <v>1</v>
      </c>
      <c r="BJ257" s="47" t="b">
        <f t="shared" si="357"/>
        <v>1</v>
      </c>
      <c r="BK257" s="42" t="b">
        <f t="shared" si="358"/>
        <v>0</v>
      </c>
      <c r="BL257" s="42" t="b">
        <f t="shared" si="359"/>
        <v>0</v>
      </c>
      <c r="BM257" s="42">
        <f t="shared" si="360"/>
        <v>0</v>
      </c>
      <c r="BN257" s="42">
        <f t="shared" si="361"/>
        <v>0</v>
      </c>
      <c r="BP257" t="e">
        <f t="shared" si="362"/>
        <v>#N/A</v>
      </c>
      <c r="BQ257" t="e">
        <f t="shared" si="363"/>
        <v>#N/A</v>
      </c>
      <c r="BR257" t="e">
        <f t="shared" si="364"/>
        <v>#N/A</v>
      </c>
      <c r="BT257" s="60">
        <f t="shared" si="365"/>
        <v>0</v>
      </c>
      <c r="BU257" s="60">
        <f t="shared" si="366"/>
        <v>0</v>
      </c>
      <c r="BV257" s="60">
        <f t="shared" si="367"/>
        <v>0</v>
      </c>
      <c r="BW257" s="60">
        <f t="shared" si="368"/>
        <v>0</v>
      </c>
      <c r="BX257" s="60">
        <f t="shared" si="369"/>
        <v>0</v>
      </c>
      <c r="BY257" s="60">
        <f t="shared" si="370"/>
        <v>0</v>
      </c>
      <c r="BZ257" s="60">
        <f t="shared" si="371"/>
        <v>0</v>
      </c>
      <c r="CA257" s="60">
        <f t="shared" si="372"/>
        <v>0</v>
      </c>
      <c r="CB257" s="60" t="e">
        <f t="shared" si="320"/>
        <v>#N/A</v>
      </c>
      <c r="CC257" s="60">
        <f t="shared" si="321"/>
        <v>100000</v>
      </c>
      <c r="CD257" s="60" t="e">
        <f t="shared" si="322"/>
        <v>#N/A</v>
      </c>
      <c r="CE257" s="60">
        <f t="shared" si="323"/>
        <v>100000</v>
      </c>
      <c r="CF257" s="83" t="e">
        <f t="shared" si="373"/>
        <v>#N/A</v>
      </c>
      <c r="CG257" s="83">
        <f t="shared" si="374"/>
        <v>0</v>
      </c>
      <c r="CH257" s="83" t="e">
        <f t="shared" si="375"/>
        <v>#N/A</v>
      </c>
      <c r="CI257" s="83">
        <f t="shared" si="376"/>
        <v>0</v>
      </c>
      <c r="CJ257" s="86" t="e">
        <f t="shared" si="324"/>
        <v>#N/A</v>
      </c>
      <c r="CK257" s="82">
        <f t="shared" si="325"/>
        <v>5.3070370403969858E-3</v>
      </c>
      <c r="CL257" s="82" t="e">
        <f t="shared" si="326"/>
        <v>#N/A</v>
      </c>
      <c r="CM257" s="82">
        <f t="shared" si="327"/>
        <v>5.3070370403969858E-3</v>
      </c>
      <c r="CO257" s="149" t="str">
        <f>IF($I257&lt;&gt;"",IF(O257="User Specified",U257,INDEX('Refrigerant GWPs'!$G$2:$G$156,MATCH(O257,'Refrigerant GWPs'!$A$2:$A$156,0))),"")</f>
        <v/>
      </c>
      <c r="CP257" s="138" t="str">
        <f>IF($I257&lt;&gt;"",INDEX('Device Refrigerant Leakage'!$E$2:$E$42,MATCH($M257,'Device Refrigerant Leakage'!$B$2:$B$42,0)),"")</f>
        <v/>
      </c>
      <c r="CQ257" s="138" t="str">
        <f>IF($I257&lt;&gt;"",INDEX('Device Refrigerant Leakage'!$F$2:$F$42,MATCH($M257,'Device Refrigerant Leakage'!$B$2:$B$42,0)),"")</f>
        <v/>
      </c>
      <c r="CR257" s="145" t="str">
        <f>IF($I257&lt;&gt;"",INDEX('Device Refrigerant Leakage'!$G$2:$G$42,MATCH($M257,'Device Refrigerant Leakage'!$B$2:$B$42,0)),"")</f>
        <v/>
      </c>
      <c r="CS257" s="145" t="str">
        <f>IF($I257&lt;&gt;"",INDEX('Device Refrigerant Leakage'!$D$2:$D$42,MATCH($M257,'Device Refrigerant Leakage'!$B$2:$B$42,0))*CP257/2204.62*CO257,"")</f>
        <v/>
      </c>
      <c r="CT257" s="145" t="str">
        <f>IF($I257&lt;&gt;"",J257*(INDEX('Device Refrigerant Leakage'!$D$2:$D$42,MATCH($M257,'Device Refrigerant Leakage'!$B$2:$B$42,0))-(INDEX('Device Refrigerant Leakage'!$D$2:$D$42,MATCH($M257,'Device Refrigerant Leakage'!$B$2:$B$42,0)))*CR257*CP257)*CQ257/2204.62*CO257,"")</f>
        <v/>
      </c>
      <c r="CU257" s="135" t="str">
        <f>IF($I257&lt;&gt;"",J257*IF(W257&lt;&gt;"AR",(CS257*K257)+CT257,(CS257*AB257)+CT257*(AB257/INDEX('Device Refrigerant Leakage'!$C$2:$C$42,MATCH($M257,'Device Refrigerant Leakage'!$B$2:$B$42,0)))),"")</f>
        <v/>
      </c>
      <c r="CW257" s="135" t="str">
        <f>IF($I257&lt;&gt;"",IF(S257="User Specified",V257,INDEX('Refrigerant GWPs'!$G$2:$G$156,MATCH(S257,'Refrigerant GWPs'!$A$2:$A$157,0))),"")</f>
        <v/>
      </c>
      <c r="CX257" s="138" t="str">
        <f>IF($I257&lt;&gt;"",INDEX('Device Refrigerant Leakage'!$E$2:$E$42,MATCH($Q257,'Device Refrigerant Leakage'!$B$2:$B$42,0)),"")</f>
        <v/>
      </c>
      <c r="CY257" s="138" t="str">
        <f>IF($I257&lt;&gt;"",INDEX('Device Refrigerant Leakage'!$F$2:$F$42,MATCH($Q257,'Device Refrigerant Leakage'!$B$2:$B$42,0)),"")</f>
        <v/>
      </c>
      <c r="CZ257" s="145" t="str">
        <f>IF($I257&lt;&gt;"",INDEX('Device Refrigerant Leakage'!$G$2:$G$42,MATCH($Q257,'Device Refrigerant Leakage'!$B$2:$B$42,0)),"")</f>
        <v/>
      </c>
      <c r="DA257" s="145" t="str">
        <f>IF($I257&lt;&gt;"",J257*INDEX('Device Refrigerant Leakage'!$D$2:$D$42,MATCH($Q257,'Device Refrigerant Leakage'!$B$2:$B$42,0))*CX257/2204.62*CW257,"")</f>
        <v/>
      </c>
      <c r="DB257" s="145" t="str">
        <f>IF($I257&lt;&gt;"",J257*(INDEX('Device Refrigerant Leakage'!$D$2:$D$42,MATCH($Q257,'Device Refrigerant Leakage'!$B$2:$B$42,0))-(INDEX('Device Refrigerant Leakage'!$D$2:$D$42,MATCH($Q257,'Device Refrigerant Leakage'!$B$2:$B$42,0)))*CZ257*CX257)*CY257/2204.62*CW257,"")</f>
        <v/>
      </c>
      <c r="DC257" s="135" t="str">
        <f t="shared" si="348"/>
        <v/>
      </c>
      <c r="DE257" s="146" t="str">
        <f>IF(W257&lt;&gt;"AR","",IF(Y257="User Specified", AA257, INDEX('Refrigerant GWPs'!$G$2:$G$154,MATCH(Y257,'Refrigerant GWPs'!$A$2:$A$154,0))))</f>
        <v/>
      </c>
      <c r="DF257" s="146" t="str">
        <f>IF(W257&lt;&gt;"AR","",INDEX('Device Refrigerant Leakage'!$E$2:$E$42,MATCH(X257,'Device Refrigerant Leakage'!$B$2:$B$42,0)))</f>
        <v/>
      </c>
      <c r="DG257" s="146" t="str">
        <f>IF(W257&lt;&gt;"AR","",INDEX('Device Refrigerant Leakage'!$F$2:$F$42,MATCH(X257,'Device Refrigerant Leakage'!$B$2:$B$42,0)))</f>
        <v/>
      </c>
      <c r="DH257" s="146" t="str">
        <f>IF(W257&lt;&gt;"AR","",INDEX('Device Refrigerant Leakage'!$G$2:$G$42,MATCH(X257,'Device Refrigerant Leakage'!$B$2:$B$42,0)))</f>
        <v/>
      </c>
      <c r="DI257" s="146" t="str">
        <f>IF(W257&lt;&gt;"AR","",J257*INDEX('Device Refrigerant Leakage'!$D$2:$D$42,MATCH(X257,'Device Refrigerant Leakage'!$B$2:$B$42,0))*DF257/2204.62*DE257)</f>
        <v/>
      </c>
      <c r="DJ257" s="146" t="str">
        <f>IF(W257&lt;&gt;"AR","",J257*(INDEX('Device Refrigerant Leakage'!$D$2:$D$42,MATCH(X257,'Device Refrigerant Leakage'!$B$2:$B$42,0))-(INDEX('Device Refrigerant Leakage'!$D$2:$D$42,MATCH(X257,'Device Refrigerant Leakage'!$B$2:$B$42,0)))*DH257*DF257)*DG257/2204.62*DE257)</f>
        <v/>
      </c>
      <c r="DK257" s="146" t="str">
        <f>IF(W257&lt;&gt;"AR","",DI257*(K257-AB257)+'Fuel Sub Calcs-Deemed'!DJ257*((K257-AB257)/INDEX('Device Refrigerant Leakage'!$C$2:$C$42,MATCH('Fuel Sub Calcs-Deemed'!X257,'Device Refrigerant Leakage'!$B$2:$B$42,0))))</f>
        <v/>
      </c>
      <c r="DM257" s="56">
        <v>243</v>
      </c>
      <c r="DN257" s="67" t="e">
        <f t="shared" si="328"/>
        <v>#N/A</v>
      </c>
      <c r="DO257" s="45" t="e">
        <f t="shared" si="329"/>
        <v>#N/A</v>
      </c>
      <c r="DP257" s="67" t="e">
        <f t="shared" si="330"/>
        <v>#N/A</v>
      </c>
      <c r="DQ257" s="45" t="e">
        <f t="shared" si="331"/>
        <v>#N/A</v>
      </c>
      <c r="DR257" s="69" t="e">
        <f t="shared" si="332"/>
        <v>#N/A</v>
      </c>
      <c r="DS257" s="34"/>
      <c r="DT257" s="67" t="e">
        <f>((BX257*CJ257)+IF($W257=MAT_AR,(BZ257*CL257),0))*(1+Reference!$E$50+Reference!$E$51)</f>
        <v>#N/A</v>
      </c>
      <c r="DU257" s="67">
        <f>((BY257*CK257)+IF($W257=MAT_AR,(CA257*CM257),0))*(1+Reference!$G$50+Reference!$G$51)</f>
        <v>0</v>
      </c>
      <c r="DV257" s="67" t="e">
        <f t="shared" si="333"/>
        <v>#VALUE!</v>
      </c>
      <c r="DX257" s="56">
        <v>243</v>
      </c>
      <c r="DY257" s="67">
        <f t="shared" si="334"/>
        <v>0</v>
      </c>
      <c r="DZ257" s="45" t="e">
        <f>VLOOKUP($R257,Dropdown!$C$3:$D$4,2,FALSE)</f>
        <v>#N/A</v>
      </c>
      <c r="EA257" s="68">
        <f t="shared" si="335"/>
        <v>0</v>
      </c>
      <c r="EB257" s="68" t="str">
        <f t="shared" si="336"/>
        <v>N/A</v>
      </c>
      <c r="EC257" s="68">
        <f t="shared" si="337"/>
        <v>0</v>
      </c>
      <c r="ED257" s="68" t="str">
        <f t="shared" si="377"/>
        <v>N/A</v>
      </c>
      <c r="EF257" s="56">
        <v>243</v>
      </c>
      <c r="EG257" s="46">
        <f t="shared" si="339"/>
        <v>0</v>
      </c>
      <c r="EH257" s="68" t="e">
        <f t="shared" si="340"/>
        <v>#N/A</v>
      </c>
      <c r="EI257" s="68" t="e">
        <f t="shared" si="341"/>
        <v>#N/A</v>
      </c>
      <c r="EJ257" s="68" t="e">
        <f t="shared" si="342"/>
        <v>#N/A</v>
      </c>
      <c r="EK257" s="68" t="e">
        <f t="shared" si="343"/>
        <v>#N/A</v>
      </c>
      <c r="EL257" s="46">
        <f t="shared" si="344"/>
        <v>0</v>
      </c>
      <c r="EM257" s="46">
        <f t="shared" si="345"/>
        <v>0</v>
      </c>
    </row>
    <row r="258" spans="1:143">
      <c r="A258" s="89"/>
      <c r="B258" s="89"/>
      <c r="C258" s="89"/>
      <c r="D258" s="89"/>
      <c r="E258" s="89"/>
      <c r="F258" s="89"/>
      <c r="G258" s="34"/>
      <c r="H258" s="56">
        <f t="shared" si="346"/>
        <v>244</v>
      </c>
      <c r="I258" s="165"/>
      <c r="J258" s="163"/>
      <c r="K258" s="163"/>
      <c r="L258" s="164"/>
      <c r="M258" s="155"/>
      <c r="N258" s="155"/>
      <c r="O258" s="144"/>
      <c r="P258" s="159" t="str">
        <f>IFERROR(IF(O258&lt;&gt;"User Specified",IF(O258&lt;&gt;"", INDEX('Refrigerant GWPs'!$G$2:$G$154,MATCH(O258,'Refrigerant GWPs'!$A$2:$A$154,0)),""),U258),0)</f>
        <v/>
      </c>
      <c r="Q258" s="155"/>
      <c r="R258" s="155"/>
      <c r="S258" s="144"/>
      <c r="T258" s="159" t="str">
        <f>IF(S258&lt;&gt;"User Specified",IF(AND(S258&lt;&gt;"User Specified",S258&lt;&gt;""), INDEX('Refrigerant GWPs'!$G$2:$G$154,MATCH(S258,'Refrigerant GWPs'!$A$2:$A$154,0)),""),V258)</f>
        <v/>
      </c>
      <c r="U258" s="144"/>
      <c r="V258" s="144"/>
      <c r="W258" s="155"/>
      <c r="X258" s="155"/>
      <c r="Y258" s="144"/>
      <c r="Z258" s="159" t="str">
        <f>IF(AND(Y258&lt;&gt;"User Specified",Y258&lt;&gt;""), INDEX('Refrigerant GWPs'!$G$2:$G$154,MATCH(Y258,'Refrigerant GWPs'!$A$2:$A$154,0)),"")</f>
        <v/>
      </c>
      <c r="AA258" s="155"/>
      <c r="AB258" s="156"/>
      <c r="AC258" s="66"/>
      <c r="AD258" s="66"/>
      <c r="AE258" s="66"/>
      <c r="AF258" s="66"/>
      <c r="AG258" s="66"/>
      <c r="AH258" s="66"/>
      <c r="AI258" s="34"/>
      <c r="AJ258" s="88">
        <f t="shared" si="304"/>
        <v>0</v>
      </c>
      <c r="AK258" s="88">
        <f t="shared" si="305"/>
        <v>0</v>
      </c>
      <c r="AL258" s="88">
        <v>0</v>
      </c>
      <c r="AM258" s="88">
        <v>0</v>
      </c>
      <c r="AN258" s="81" t="str">
        <f t="shared" si="349"/>
        <v/>
      </c>
      <c r="AO258" s="88">
        <f t="shared" si="306"/>
        <v>0</v>
      </c>
      <c r="AP258" s="88">
        <f t="shared" si="307"/>
        <v>0</v>
      </c>
      <c r="AQ258" s="81" t="str">
        <f t="shared" si="308"/>
        <v/>
      </c>
      <c r="AS258" s="41" t="b">
        <f t="shared" si="309"/>
        <v>1</v>
      </c>
      <c r="AT258" s="38">
        <f t="shared" si="310"/>
        <v>0</v>
      </c>
      <c r="AU258" s="60">
        <f t="shared" si="311"/>
        <v>0</v>
      </c>
      <c r="AV258" s="41">
        <f t="shared" si="312"/>
        <v>0</v>
      </c>
      <c r="AW258" s="41" t="b">
        <f t="shared" si="313"/>
        <v>0</v>
      </c>
      <c r="AX258" t="str">
        <f t="shared" si="314"/>
        <v>+00</v>
      </c>
      <c r="AY258" t="str">
        <f t="shared" si="315"/>
        <v>+00</v>
      </c>
      <c r="BA258" s="47" t="b">
        <f t="shared" si="350"/>
        <v>1</v>
      </c>
      <c r="BB258" s="42" t="b">
        <f t="shared" si="351"/>
        <v>1</v>
      </c>
      <c r="BC258" s="42" t="b">
        <f t="shared" si="352"/>
        <v>0</v>
      </c>
      <c r="BD258" s="42" t="b">
        <f t="shared" si="353"/>
        <v>0</v>
      </c>
      <c r="BE258" s="70">
        <f t="shared" si="354"/>
        <v>0</v>
      </c>
      <c r="BF258" s="70">
        <f t="shared" si="355"/>
        <v>0</v>
      </c>
      <c r="BG258" s="34"/>
      <c r="BI258" s="47" t="b">
        <f t="shared" si="356"/>
        <v>1</v>
      </c>
      <c r="BJ258" s="47" t="b">
        <f t="shared" si="357"/>
        <v>1</v>
      </c>
      <c r="BK258" s="42" t="b">
        <f t="shared" si="358"/>
        <v>0</v>
      </c>
      <c r="BL258" s="42" t="b">
        <f t="shared" si="359"/>
        <v>0</v>
      </c>
      <c r="BM258" s="42">
        <f t="shared" si="360"/>
        <v>0</v>
      </c>
      <c r="BN258" s="42">
        <f t="shared" si="361"/>
        <v>0</v>
      </c>
      <c r="BP258" t="e">
        <f t="shared" si="362"/>
        <v>#N/A</v>
      </c>
      <c r="BQ258" t="e">
        <f t="shared" si="363"/>
        <v>#N/A</v>
      </c>
      <c r="BR258" t="e">
        <f t="shared" si="364"/>
        <v>#N/A</v>
      </c>
      <c r="BT258" s="60">
        <f t="shared" si="365"/>
        <v>0</v>
      </c>
      <c r="BU258" s="60">
        <f t="shared" si="366"/>
        <v>0</v>
      </c>
      <c r="BV258" s="60">
        <f t="shared" si="367"/>
        <v>0</v>
      </c>
      <c r="BW258" s="60">
        <f t="shared" si="368"/>
        <v>0</v>
      </c>
      <c r="BX258" s="60">
        <f t="shared" si="369"/>
        <v>0</v>
      </c>
      <c r="BY258" s="60">
        <f t="shared" si="370"/>
        <v>0</v>
      </c>
      <c r="BZ258" s="60">
        <f t="shared" si="371"/>
        <v>0</v>
      </c>
      <c r="CA258" s="60">
        <f t="shared" si="372"/>
        <v>0</v>
      </c>
      <c r="CB258" s="60" t="e">
        <f t="shared" si="320"/>
        <v>#N/A</v>
      </c>
      <c r="CC258" s="60">
        <f t="shared" si="321"/>
        <v>100000</v>
      </c>
      <c r="CD258" s="60" t="e">
        <f t="shared" si="322"/>
        <v>#N/A</v>
      </c>
      <c r="CE258" s="60">
        <f t="shared" si="323"/>
        <v>100000</v>
      </c>
      <c r="CF258" s="83" t="e">
        <f t="shared" si="373"/>
        <v>#N/A</v>
      </c>
      <c r="CG258" s="83">
        <f t="shared" si="374"/>
        <v>0</v>
      </c>
      <c r="CH258" s="83" t="e">
        <f t="shared" si="375"/>
        <v>#N/A</v>
      </c>
      <c r="CI258" s="83">
        <f t="shared" si="376"/>
        <v>0</v>
      </c>
      <c r="CJ258" s="86" t="e">
        <f t="shared" si="324"/>
        <v>#N/A</v>
      </c>
      <c r="CK258" s="82">
        <f t="shared" si="325"/>
        <v>5.3070370403969858E-3</v>
      </c>
      <c r="CL258" s="82" t="e">
        <f t="shared" si="326"/>
        <v>#N/A</v>
      </c>
      <c r="CM258" s="82">
        <f t="shared" si="327"/>
        <v>5.3070370403969858E-3</v>
      </c>
      <c r="CO258" s="149" t="str">
        <f>IF($I258&lt;&gt;"",IF(O258="User Specified",U258,INDEX('Refrigerant GWPs'!$G$2:$G$156,MATCH(O258,'Refrigerant GWPs'!$A$2:$A$156,0))),"")</f>
        <v/>
      </c>
      <c r="CP258" s="138" t="str">
        <f>IF($I258&lt;&gt;"",INDEX('Device Refrigerant Leakage'!$E$2:$E$42,MATCH($M258,'Device Refrigerant Leakage'!$B$2:$B$42,0)),"")</f>
        <v/>
      </c>
      <c r="CQ258" s="138" t="str">
        <f>IF($I258&lt;&gt;"",INDEX('Device Refrigerant Leakage'!$F$2:$F$42,MATCH($M258,'Device Refrigerant Leakage'!$B$2:$B$42,0)),"")</f>
        <v/>
      </c>
      <c r="CR258" s="145" t="str">
        <f>IF($I258&lt;&gt;"",INDEX('Device Refrigerant Leakage'!$G$2:$G$42,MATCH($M258,'Device Refrigerant Leakage'!$B$2:$B$42,0)),"")</f>
        <v/>
      </c>
      <c r="CS258" s="145" t="str">
        <f>IF($I258&lt;&gt;"",INDEX('Device Refrigerant Leakage'!$D$2:$D$42,MATCH($M258,'Device Refrigerant Leakage'!$B$2:$B$42,0))*CP258/2204.62*CO258,"")</f>
        <v/>
      </c>
      <c r="CT258" s="145" t="str">
        <f>IF($I258&lt;&gt;"",J258*(INDEX('Device Refrigerant Leakage'!$D$2:$D$42,MATCH($M258,'Device Refrigerant Leakage'!$B$2:$B$42,0))-(INDEX('Device Refrigerant Leakage'!$D$2:$D$42,MATCH($M258,'Device Refrigerant Leakage'!$B$2:$B$42,0)))*CR258*CP258)*CQ258/2204.62*CO258,"")</f>
        <v/>
      </c>
      <c r="CU258" s="135" t="str">
        <f>IF($I258&lt;&gt;"",J258*IF(W258&lt;&gt;"AR",(CS258*K258)+CT258,(CS258*AB258)+CT258*(AB258/INDEX('Device Refrigerant Leakage'!$C$2:$C$42,MATCH($M258,'Device Refrigerant Leakage'!$B$2:$B$42,0)))),"")</f>
        <v/>
      </c>
      <c r="CW258" s="135" t="str">
        <f>IF($I258&lt;&gt;"",IF(S258="User Specified",V258,INDEX('Refrigerant GWPs'!$G$2:$G$156,MATCH(S258,'Refrigerant GWPs'!$A$2:$A$157,0))),"")</f>
        <v/>
      </c>
      <c r="CX258" s="138" t="str">
        <f>IF($I258&lt;&gt;"",INDEX('Device Refrigerant Leakage'!$E$2:$E$42,MATCH($Q258,'Device Refrigerant Leakage'!$B$2:$B$42,0)),"")</f>
        <v/>
      </c>
      <c r="CY258" s="138" t="str">
        <f>IF($I258&lt;&gt;"",INDEX('Device Refrigerant Leakage'!$F$2:$F$42,MATCH($Q258,'Device Refrigerant Leakage'!$B$2:$B$42,0)),"")</f>
        <v/>
      </c>
      <c r="CZ258" s="145" t="str">
        <f>IF($I258&lt;&gt;"",INDEX('Device Refrigerant Leakage'!$G$2:$G$42,MATCH($Q258,'Device Refrigerant Leakage'!$B$2:$B$42,0)),"")</f>
        <v/>
      </c>
      <c r="DA258" s="145" t="str">
        <f>IF($I258&lt;&gt;"",J258*INDEX('Device Refrigerant Leakage'!$D$2:$D$42,MATCH($Q258,'Device Refrigerant Leakage'!$B$2:$B$42,0))*CX258/2204.62*CW258,"")</f>
        <v/>
      </c>
      <c r="DB258" s="145" t="str">
        <f>IF($I258&lt;&gt;"",J258*(INDEX('Device Refrigerant Leakage'!$D$2:$D$42,MATCH($Q258,'Device Refrigerant Leakage'!$B$2:$B$42,0))-(INDEX('Device Refrigerant Leakage'!$D$2:$D$42,MATCH($Q258,'Device Refrigerant Leakage'!$B$2:$B$42,0)))*CZ258*CX258)*CY258/2204.62*CW258,"")</f>
        <v/>
      </c>
      <c r="DC258" s="135" t="str">
        <f t="shared" si="348"/>
        <v/>
      </c>
      <c r="DE258" s="146" t="str">
        <f>IF(W258&lt;&gt;"AR","",IF(Y258="User Specified", AA258, INDEX('Refrigerant GWPs'!$G$2:$G$154,MATCH(Y258,'Refrigerant GWPs'!$A$2:$A$154,0))))</f>
        <v/>
      </c>
      <c r="DF258" s="146" t="str">
        <f>IF(W258&lt;&gt;"AR","",INDEX('Device Refrigerant Leakage'!$E$2:$E$42,MATCH(X258,'Device Refrigerant Leakage'!$B$2:$B$42,0)))</f>
        <v/>
      </c>
      <c r="DG258" s="146" t="str">
        <f>IF(W258&lt;&gt;"AR","",INDEX('Device Refrigerant Leakage'!$F$2:$F$42,MATCH(X258,'Device Refrigerant Leakage'!$B$2:$B$42,0)))</f>
        <v/>
      </c>
      <c r="DH258" s="146" t="str">
        <f>IF(W258&lt;&gt;"AR","",INDEX('Device Refrigerant Leakage'!$G$2:$G$42,MATCH(X258,'Device Refrigerant Leakage'!$B$2:$B$42,0)))</f>
        <v/>
      </c>
      <c r="DI258" s="146" t="str">
        <f>IF(W258&lt;&gt;"AR","",J258*INDEX('Device Refrigerant Leakage'!$D$2:$D$42,MATCH(X258,'Device Refrigerant Leakage'!$B$2:$B$42,0))*DF258/2204.62*DE258)</f>
        <v/>
      </c>
      <c r="DJ258" s="146" t="str">
        <f>IF(W258&lt;&gt;"AR","",J258*(INDEX('Device Refrigerant Leakage'!$D$2:$D$42,MATCH(X258,'Device Refrigerant Leakage'!$B$2:$B$42,0))-(INDEX('Device Refrigerant Leakage'!$D$2:$D$42,MATCH(X258,'Device Refrigerant Leakage'!$B$2:$B$42,0)))*DH258*DF258)*DG258/2204.62*DE258)</f>
        <v/>
      </c>
      <c r="DK258" s="146" t="str">
        <f>IF(W258&lt;&gt;"AR","",DI258*(K258-AB258)+'Fuel Sub Calcs-Deemed'!DJ258*((K258-AB258)/INDEX('Device Refrigerant Leakage'!$C$2:$C$42,MATCH('Fuel Sub Calcs-Deemed'!X258,'Device Refrigerant Leakage'!$B$2:$B$42,0))))</f>
        <v/>
      </c>
      <c r="DM258" s="56">
        <v>244</v>
      </c>
      <c r="DN258" s="67" t="e">
        <f t="shared" si="328"/>
        <v>#N/A</v>
      </c>
      <c r="DO258" s="45" t="e">
        <f t="shared" si="329"/>
        <v>#N/A</v>
      </c>
      <c r="DP258" s="67" t="e">
        <f t="shared" si="330"/>
        <v>#N/A</v>
      </c>
      <c r="DQ258" s="45" t="e">
        <f t="shared" si="331"/>
        <v>#N/A</v>
      </c>
      <c r="DR258" s="69" t="e">
        <f t="shared" si="332"/>
        <v>#N/A</v>
      </c>
      <c r="DS258" s="34"/>
      <c r="DT258" s="67" t="e">
        <f>((BX258*CJ258)+IF($W258=MAT_AR,(BZ258*CL258),0))*(1+Reference!$E$50+Reference!$E$51)</f>
        <v>#N/A</v>
      </c>
      <c r="DU258" s="67">
        <f>((BY258*CK258)+IF($W258=MAT_AR,(CA258*CM258),0))*(1+Reference!$G$50+Reference!$G$51)</f>
        <v>0</v>
      </c>
      <c r="DV258" s="67" t="e">
        <f t="shared" si="333"/>
        <v>#VALUE!</v>
      </c>
      <c r="DX258" s="56">
        <v>244</v>
      </c>
      <c r="DY258" s="67">
        <f t="shared" si="334"/>
        <v>0</v>
      </c>
      <c r="DZ258" s="45" t="e">
        <f>VLOOKUP($R258,Dropdown!$C$3:$D$4,2,FALSE)</f>
        <v>#N/A</v>
      </c>
      <c r="EA258" s="68">
        <f t="shared" si="335"/>
        <v>0</v>
      </c>
      <c r="EB258" s="68" t="str">
        <f t="shared" si="336"/>
        <v>N/A</v>
      </c>
      <c r="EC258" s="68">
        <f t="shared" si="337"/>
        <v>0</v>
      </c>
      <c r="ED258" s="68" t="str">
        <f t="shared" si="377"/>
        <v>N/A</v>
      </c>
      <c r="EF258" s="56">
        <v>244</v>
      </c>
      <c r="EG258" s="46">
        <f t="shared" si="339"/>
        <v>0</v>
      </c>
      <c r="EH258" s="68" t="e">
        <f t="shared" si="340"/>
        <v>#N/A</v>
      </c>
      <c r="EI258" s="68" t="e">
        <f t="shared" si="341"/>
        <v>#N/A</v>
      </c>
      <c r="EJ258" s="68" t="e">
        <f t="shared" si="342"/>
        <v>#N/A</v>
      </c>
      <c r="EK258" s="68" t="e">
        <f t="shared" si="343"/>
        <v>#N/A</v>
      </c>
      <c r="EL258" s="46">
        <f t="shared" si="344"/>
        <v>0</v>
      </c>
      <c r="EM258" s="46">
        <f t="shared" si="345"/>
        <v>0</v>
      </c>
    </row>
    <row r="259" spans="1:143">
      <c r="A259" s="89"/>
      <c r="B259" s="89"/>
      <c r="C259" s="89"/>
      <c r="D259" s="89"/>
      <c r="E259" s="89"/>
      <c r="F259" s="89"/>
      <c r="G259" s="34"/>
      <c r="H259" s="56">
        <f t="shared" si="346"/>
        <v>245</v>
      </c>
      <c r="I259" s="165"/>
      <c r="J259" s="163"/>
      <c r="K259" s="163"/>
      <c r="L259" s="164"/>
      <c r="M259" s="155"/>
      <c r="N259" s="155"/>
      <c r="O259" s="144"/>
      <c r="P259" s="159" t="str">
        <f>IFERROR(IF(O259&lt;&gt;"User Specified",IF(O259&lt;&gt;"", INDEX('Refrigerant GWPs'!$G$2:$G$154,MATCH(O259,'Refrigerant GWPs'!$A$2:$A$154,0)),""),U259),0)</f>
        <v/>
      </c>
      <c r="Q259" s="155"/>
      <c r="R259" s="155"/>
      <c r="S259" s="144"/>
      <c r="T259" s="159" t="str">
        <f>IF(S259&lt;&gt;"User Specified",IF(AND(S259&lt;&gt;"User Specified",S259&lt;&gt;""), INDEX('Refrigerant GWPs'!$G$2:$G$154,MATCH(S259,'Refrigerant GWPs'!$A$2:$A$154,0)),""),V259)</f>
        <v/>
      </c>
      <c r="U259" s="144"/>
      <c r="V259" s="144"/>
      <c r="W259" s="155"/>
      <c r="X259" s="155"/>
      <c r="Y259" s="144"/>
      <c r="Z259" s="159" t="str">
        <f>IF(AND(Y259&lt;&gt;"User Specified",Y259&lt;&gt;""), INDEX('Refrigerant GWPs'!$G$2:$G$154,MATCH(Y259,'Refrigerant GWPs'!$A$2:$A$154,0)),"")</f>
        <v/>
      </c>
      <c r="AA259" s="155"/>
      <c r="AB259" s="156"/>
      <c r="AC259" s="66"/>
      <c r="AD259" s="66"/>
      <c r="AE259" s="66"/>
      <c r="AF259" s="66"/>
      <c r="AG259" s="66"/>
      <c r="AH259" s="66"/>
      <c r="AI259" s="34"/>
      <c r="AJ259" s="88">
        <f t="shared" si="304"/>
        <v>0</v>
      </c>
      <c r="AK259" s="88">
        <f t="shared" si="305"/>
        <v>0</v>
      </c>
      <c r="AL259" s="88">
        <v>0</v>
      </c>
      <c r="AM259" s="88">
        <v>0</v>
      </c>
      <c r="AN259" s="81" t="str">
        <f t="shared" si="349"/>
        <v/>
      </c>
      <c r="AO259" s="88">
        <f t="shared" si="306"/>
        <v>0</v>
      </c>
      <c r="AP259" s="88">
        <f t="shared" si="307"/>
        <v>0</v>
      </c>
      <c r="AQ259" s="81" t="str">
        <f t="shared" si="308"/>
        <v/>
      </c>
      <c r="AS259" s="41" t="b">
        <f t="shared" si="309"/>
        <v>1</v>
      </c>
      <c r="AT259" s="38">
        <f t="shared" si="310"/>
        <v>0</v>
      </c>
      <c r="AU259" s="60">
        <f t="shared" si="311"/>
        <v>0</v>
      </c>
      <c r="AV259" s="41">
        <f t="shared" si="312"/>
        <v>0</v>
      </c>
      <c r="AW259" s="41" t="b">
        <f t="shared" si="313"/>
        <v>0</v>
      </c>
      <c r="AX259" t="str">
        <f t="shared" si="314"/>
        <v>+00</v>
      </c>
      <c r="AY259" t="str">
        <f t="shared" si="315"/>
        <v>+00</v>
      </c>
      <c r="BA259" s="47" t="b">
        <f t="shared" si="350"/>
        <v>1</v>
      </c>
      <c r="BB259" s="42" t="b">
        <f t="shared" si="351"/>
        <v>1</v>
      </c>
      <c r="BC259" s="42" t="b">
        <f t="shared" si="352"/>
        <v>0</v>
      </c>
      <c r="BD259" s="42" t="b">
        <f t="shared" si="353"/>
        <v>0</v>
      </c>
      <c r="BE259" s="70">
        <f t="shared" si="354"/>
        <v>0</v>
      </c>
      <c r="BF259" s="70">
        <f t="shared" si="355"/>
        <v>0</v>
      </c>
      <c r="BG259" s="34"/>
      <c r="BI259" s="47" t="b">
        <f t="shared" si="356"/>
        <v>1</v>
      </c>
      <c r="BJ259" s="47" t="b">
        <f t="shared" si="357"/>
        <v>1</v>
      </c>
      <c r="BK259" s="42" t="b">
        <f t="shared" si="358"/>
        <v>0</v>
      </c>
      <c r="BL259" s="42" t="b">
        <f t="shared" si="359"/>
        <v>0</v>
      </c>
      <c r="BM259" s="42">
        <f t="shared" si="360"/>
        <v>0</v>
      </c>
      <c r="BN259" s="42">
        <f t="shared" si="361"/>
        <v>0</v>
      </c>
      <c r="BP259" t="e">
        <f t="shared" si="362"/>
        <v>#N/A</v>
      </c>
      <c r="BQ259" t="e">
        <f t="shared" si="363"/>
        <v>#N/A</v>
      </c>
      <c r="BR259" t="e">
        <f t="shared" si="364"/>
        <v>#N/A</v>
      </c>
      <c r="BT259" s="60">
        <f t="shared" si="365"/>
        <v>0</v>
      </c>
      <c r="BU259" s="60">
        <f t="shared" si="366"/>
        <v>0</v>
      </c>
      <c r="BV259" s="60">
        <f t="shared" si="367"/>
        <v>0</v>
      </c>
      <c r="BW259" s="60">
        <f t="shared" si="368"/>
        <v>0</v>
      </c>
      <c r="BX259" s="60">
        <f t="shared" si="369"/>
        <v>0</v>
      </c>
      <c r="BY259" s="60">
        <f t="shared" si="370"/>
        <v>0</v>
      </c>
      <c r="BZ259" s="60">
        <f t="shared" si="371"/>
        <v>0</v>
      </c>
      <c r="CA259" s="60">
        <f t="shared" si="372"/>
        <v>0</v>
      </c>
      <c r="CB259" s="60" t="e">
        <f t="shared" si="320"/>
        <v>#N/A</v>
      </c>
      <c r="CC259" s="60">
        <f t="shared" si="321"/>
        <v>100000</v>
      </c>
      <c r="CD259" s="60" t="e">
        <f t="shared" si="322"/>
        <v>#N/A</v>
      </c>
      <c r="CE259" s="60">
        <f t="shared" si="323"/>
        <v>100000</v>
      </c>
      <c r="CF259" s="83" t="e">
        <f t="shared" si="373"/>
        <v>#N/A</v>
      </c>
      <c r="CG259" s="83">
        <f t="shared" si="374"/>
        <v>0</v>
      </c>
      <c r="CH259" s="83" t="e">
        <f t="shared" si="375"/>
        <v>#N/A</v>
      </c>
      <c r="CI259" s="83">
        <f t="shared" si="376"/>
        <v>0</v>
      </c>
      <c r="CJ259" s="86" t="e">
        <f t="shared" si="324"/>
        <v>#N/A</v>
      </c>
      <c r="CK259" s="82">
        <f t="shared" si="325"/>
        <v>5.3070370403969858E-3</v>
      </c>
      <c r="CL259" s="82" t="e">
        <f t="shared" si="326"/>
        <v>#N/A</v>
      </c>
      <c r="CM259" s="82">
        <f t="shared" si="327"/>
        <v>5.3070370403969858E-3</v>
      </c>
      <c r="CO259" s="149" t="str">
        <f>IF($I259&lt;&gt;"",IF(O259="User Specified",U259,INDEX('Refrigerant GWPs'!$G$2:$G$156,MATCH(O259,'Refrigerant GWPs'!$A$2:$A$156,0))),"")</f>
        <v/>
      </c>
      <c r="CP259" s="138" t="str">
        <f>IF($I259&lt;&gt;"",INDEX('Device Refrigerant Leakage'!$E$2:$E$42,MATCH($M259,'Device Refrigerant Leakage'!$B$2:$B$42,0)),"")</f>
        <v/>
      </c>
      <c r="CQ259" s="138" t="str">
        <f>IF($I259&lt;&gt;"",INDEX('Device Refrigerant Leakage'!$F$2:$F$42,MATCH($M259,'Device Refrigerant Leakage'!$B$2:$B$42,0)),"")</f>
        <v/>
      </c>
      <c r="CR259" s="145" t="str">
        <f>IF($I259&lt;&gt;"",INDEX('Device Refrigerant Leakage'!$G$2:$G$42,MATCH($M259,'Device Refrigerant Leakage'!$B$2:$B$42,0)),"")</f>
        <v/>
      </c>
      <c r="CS259" s="145" t="str">
        <f>IF($I259&lt;&gt;"",INDEX('Device Refrigerant Leakage'!$D$2:$D$42,MATCH($M259,'Device Refrigerant Leakage'!$B$2:$B$42,0))*CP259/2204.62*CO259,"")</f>
        <v/>
      </c>
      <c r="CT259" s="145" t="str">
        <f>IF($I259&lt;&gt;"",J259*(INDEX('Device Refrigerant Leakage'!$D$2:$D$42,MATCH($M259,'Device Refrigerant Leakage'!$B$2:$B$42,0))-(INDEX('Device Refrigerant Leakage'!$D$2:$D$42,MATCH($M259,'Device Refrigerant Leakage'!$B$2:$B$42,0)))*CR259*CP259)*CQ259/2204.62*CO259,"")</f>
        <v/>
      </c>
      <c r="CU259" s="135" t="str">
        <f>IF($I259&lt;&gt;"",J259*IF(W259&lt;&gt;"AR",(CS259*K259)+CT259,(CS259*AB259)+CT259*(AB259/INDEX('Device Refrigerant Leakage'!$C$2:$C$42,MATCH($M259,'Device Refrigerant Leakage'!$B$2:$B$42,0)))),"")</f>
        <v/>
      </c>
      <c r="CW259" s="135" t="str">
        <f>IF($I259&lt;&gt;"",IF(S259="User Specified",V259,INDEX('Refrigerant GWPs'!$G$2:$G$156,MATCH(S259,'Refrigerant GWPs'!$A$2:$A$157,0))),"")</f>
        <v/>
      </c>
      <c r="CX259" s="138" t="str">
        <f>IF($I259&lt;&gt;"",INDEX('Device Refrigerant Leakage'!$E$2:$E$42,MATCH($Q259,'Device Refrigerant Leakage'!$B$2:$B$42,0)),"")</f>
        <v/>
      </c>
      <c r="CY259" s="138" t="str">
        <f>IF($I259&lt;&gt;"",INDEX('Device Refrigerant Leakage'!$F$2:$F$42,MATCH($Q259,'Device Refrigerant Leakage'!$B$2:$B$42,0)),"")</f>
        <v/>
      </c>
      <c r="CZ259" s="145" t="str">
        <f>IF($I259&lt;&gt;"",INDEX('Device Refrigerant Leakage'!$G$2:$G$42,MATCH($Q259,'Device Refrigerant Leakage'!$B$2:$B$42,0)),"")</f>
        <v/>
      </c>
      <c r="DA259" s="145" t="str">
        <f>IF($I259&lt;&gt;"",J259*INDEX('Device Refrigerant Leakage'!$D$2:$D$42,MATCH($Q259,'Device Refrigerant Leakage'!$B$2:$B$42,0))*CX259/2204.62*CW259,"")</f>
        <v/>
      </c>
      <c r="DB259" s="145" t="str">
        <f>IF($I259&lt;&gt;"",J259*(INDEX('Device Refrigerant Leakage'!$D$2:$D$42,MATCH($Q259,'Device Refrigerant Leakage'!$B$2:$B$42,0))-(INDEX('Device Refrigerant Leakage'!$D$2:$D$42,MATCH($Q259,'Device Refrigerant Leakage'!$B$2:$B$42,0)))*CZ259*CX259)*CY259/2204.62*CW259,"")</f>
        <v/>
      </c>
      <c r="DC259" s="135" t="str">
        <f t="shared" si="348"/>
        <v/>
      </c>
      <c r="DE259" s="146" t="str">
        <f>IF(W259&lt;&gt;"AR","",IF(Y259="User Specified", AA259, INDEX('Refrigerant GWPs'!$G$2:$G$154,MATCH(Y259,'Refrigerant GWPs'!$A$2:$A$154,0))))</f>
        <v/>
      </c>
      <c r="DF259" s="146" t="str">
        <f>IF(W259&lt;&gt;"AR","",INDEX('Device Refrigerant Leakage'!$E$2:$E$42,MATCH(X259,'Device Refrigerant Leakage'!$B$2:$B$42,0)))</f>
        <v/>
      </c>
      <c r="DG259" s="146" t="str">
        <f>IF(W259&lt;&gt;"AR","",INDEX('Device Refrigerant Leakage'!$F$2:$F$42,MATCH(X259,'Device Refrigerant Leakage'!$B$2:$B$42,0)))</f>
        <v/>
      </c>
      <c r="DH259" s="146" t="str">
        <f>IF(W259&lt;&gt;"AR","",INDEX('Device Refrigerant Leakage'!$G$2:$G$42,MATCH(X259,'Device Refrigerant Leakage'!$B$2:$B$42,0)))</f>
        <v/>
      </c>
      <c r="DI259" s="146" t="str">
        <f>IF(W259&lt;&gt;"AR","",J259*INDEX('Device Refrigerant Leakage'!$D$2:$D$42,MATCH(X259,'Device Refrigerant Leakage'!$B$2:$B$42,0))*DF259/2204.62*DE259)</f>
        <v/>
      </c>
      <c r="DJ259" s="146" t="str">
        <f>IF(W259&lt;&gt;"AR","",J259*(INDEX('Device Refrigerant Leakage'!$D$2:$D$42,MATCH(X259,'Device Refrigerant Leakage'!$B$2:$B$42,0))-(INDEX('Device Refrigerant Leakage'!$D$2:$D$42,MATCH(X259,'Device Refrigerant Leakage'!$B$2:$B$42,0)))*DH259*DF259)*DG259/2204.62*DE259)</f>
        <v/>
      </c>
      <c r="DK259" s="146" t="str">
        <f>IF(W259&lt;&gt;"AR","",DI259*(K259-AB259)+'Fuel Sub Calcs-Deemed'!DJ259*((K259-AB259)/INDEX('Device Refrigerant Leakage'!$C$2:$C$42,MATCH('Fuel Sub Calcs-Deemed'!X259,'Device Refrigerant Leakage'!$B$2:$B$42,0))))</f>
        <v/>
      </c>
      <c r="DM259" s="56">
        <v>245</v>
      </c>
      <c r="DN259" s="67" t="e">
        <f t="shared" si="328"/>
        <v>#N/A</v>
      </c>
      <c r="DO259" s="45" t="e">
        <f t="shared" si="329"/>
        <v>#N/A</v>
      </c>
      <c r="DP259" s="67" t="e">
        <f t="shared" si="330"/>
        <v>#N/A</v>
      </c>
      <c r="DQ259" s="45" t="e">
        <f t="shared" si="331"/>
        <v>#N/A</v>
      </c>
      <c r="DR259" s="69" t="e">
        <f t="shared" si="332"/>
        <v>#N/A</v>
      </c>
      <c r="DS259" s="34"/>
      <c r="DT259" s="67" t="e">
        <f>((BX259*CJ259)+IF($W259=MAT_AR,(BZ259*CL259),0))*(1+Reference!$E$50+Reference!$E$51)</f>
        <v>#N/A</v>
      </c>
      <c r="DU259" s="67">
        <f>((BY259*CK259)+IF($W259=MAT_AR,(CA259*CM259),0))*(1+Reference!$G$50+Reference!$G$51)</f>
        <v>0</v>
      </c>
      <c r="DV259" s="67" t="e">
        <f t="shared" si="333"/>
        <v>#VALUE!</v>
      </c>
      <c r="DX259" s="56">
        <v>245</v>
      </c>
      <c r="DY259" s="67">
        <f t="shared" si="334"/>
        <v>0</v>
      </c>
      <c r="DZ259" s="45" t="e">
        <f>VLOOKUP($R259,Dropdown!$C$3:$D$4,2,FALSE)</f>
        <v>#N/A</v>
      </c>
      <c r="EA259" s="68">
        <f t="shared" si="335"/>
        <v>0</v>
      </c>
      <c r="EB259" s="68" t="str">
        <f t="shared" si="336"/>
        <v>N/A</v>
      </c>
      <c r="EC259" s="68">
        <f t="shared" si="337"/>
        <v>0</v>
      </c>
      <c r="ED259" s="68" t="str">
        <f t="shared" si="377"/>
        <v>N/A</v>
      </c>
      <c r="EF259" s="56">
        <v>245</v>
      </c>
      <c r="EG259" s="46">
        <f t="shared" si="339"/>
        <v>0</v>
      </c>
      <c r="EH259" s="68" t="e">
        <f t="shared" si="340"/>
        <v>#N/A</v>
      </c>
      <c r="EI259" s="68" t="e">
        <f t="shared" si="341"/>
        <v>#N/A</v>
      </c>
      <c r="EJ259" s="68" t="e">
        <f t="shared" si="342"/>
        <v>#N/A</v>
      </c>
      <c r="EK259" s="68" t="e">
        <f t="shared" si="343"/>
        <v>#N/A</v>
      </c>
      <c r="EL259" s="46">
        <f t="shared" si="344"/>
        <v>0</v>
      </c>
      <c r="EM259" s="46">
        <f t="shared" si="345"/>
        <v>0</v>
      </c>
    </row>
    <row r="260" spans="1:143">
      <c r="A260" s="89"/>
      <c r="B260" s="89"/>
      <c r="C260" s="89"/>
      <c r="D260" s="89"/>
      <c r="E260" s="89"/>
      <c r="F260" s="89"/>
      <c r="G260" s="34"/>
      <c r="H260" s="56">
        <f t="shared" si="346"/>
        <v>246</v>
      </c>
      <c r="I260" s="165"/>
      <c r="J260" s="163"/>
      <c r="K260" s="163"/>
      <c r="L260" s="164"/>
      <c r="M260" s="155"/>
      <c r="N260" s="155"/>
      <c r="O260" s="144"/>
      <c r="P260" s="159" t="str">
        <f>IFERROR(IF(O260&lt;&gt;"User Specified",IF(O260&lt;&gt;"", INDEX('Refrigerant GWPs'!$G$2:$G$154,MATCH(O260,'Refrigerant GWPs'!$A$2:$A$154,0)),""),U260),0)</f>
        <v/>
      </c>
      <c r="Q260" s="155"/>
      <c r="R260" s="155"/>
      <c r="S260" s="144"/>
      <c r="T260" s="159" t="str">
        <f>IF(S260&lt;&gt;"User Specified",IF(AND(S260&lt;&gt;"User Specified",S260&lt;&gt;""), INDEX('Refrigerant GWPs'!$G$2:$G$154,MATCH(S260,'Refrigerant GWPs'!$A$2:$A$154,0)),""),V260)</f>
        <v/>
      </c>
      <c r="U260" s="144"/>
      <c r="V260" s="144"/>
      <c r="W260" s="155"/>
      <c r="X260" s="155"/>
      <c r="Y260" s="144"/>
      <c r="Z260" s="159" t="str">
        <f>IF(AND(Y260&lt;&gt;"User Specified",Y260&lt;&gt;""), INDEX('Refrigerant GWPs'!$G$2:$G$154,MATCH(Y260,'Refrigerant GWPs'!$A$2:$A$154,0)),"")</f>
        <v/>
      </c>
      <c r="AA260" s="155"/>
      <c r="AB260" s="156"/>
      <c r="AC260" s="66"/>
      <c r="AD260" s="66"/>
      <c r="AE260" s="66"/>
      <c r="AF260" s="66"/>
      <c r="AG260" s="66"/>
      <c r="AH260" s="66"/>
      <c r="AI260" s="34"/>
      <c r="AJ260" s="88">
        <f t="shared" si="304"/>
        <v>0</v>
      </c>
      <c r="AK260" s="88">
        <f t="shared" si="305"/>
        <v>0</v>
      </c>
      <c r="AL260" s="88">
        <v>0</v>
      </c>
      <c r="AM260" s="88">
        <v>0</v>
      </c>
      <c r="AN260" s="81" t="str">
        <f t="shared" si="349"/>
        <v/>
      </c>
      <c r="AO260" s="88">
        <f t="shared" si="306"/>
        <v>0</v>
      </c>
      <c r="AP260" s="88">
        <f t="shared" si="307"/>
        <v>0</v>
      </c>
      <c r="AQ260" s="81" t="str">
        <f t="shared" si="308"/>
        <v/>
      </c>
      <c r="AS260" s="41" t="b">
        <f t="shared" si="309"/>
        <v>1</v>
      </c>
      <c r="AT260" s="38">
        <f t="shared" si="310"/>
        <v>0</v>
      </c>
      <c r="AU260" s="60">
        <f t="shared" si="311"/>
        <v>0</v>
      </c>
      <c r="AV260" s="41">
        <f t="shared" si="312"/>
        <v>0</v>
      </c>
      <c r="AW260" s="41" t="b">
        <f t="shared" si="313"/>
        <v>0</v>
      </c>
      <c r="AX260" t="str">
        <f t="shared" si="314"/>
        <v>+00</v>
      </c>
      <c r="AY260" t="str">
        <f t="shared" si="315"/>
        <v>+00</v>
      </c>
      <c r="BA260" s="47" t="b">
        <f t="shared" si="350"/>
        <v>1</v>
      </c>
      <c r="BB260" s="42" t="b">
        <f t="shared" si="351"/>
        <v>1</v>
      </c>
      <c r="BC260" s="42" t="b">
        <f t="shared" si="352"/>
        <v>0</v>
      </c>
      <c r="BD260" s="42" t="b">
        <f t="shared" si="353"/>
        <v>0</v>
      </c>
      <c r="BE260" s="70">
        <f t="shared" si="354"/>
        <v>0</v>
      </c>
      <c r="BF260" s="70">
        <f t="shared" si="355"/>
        <v>0</v>
      </c>
      <c r="BG260" s="34"/>
      <c r="BI260" s="47" t="b">
        <f t="shared" si="356"/>
        <v>1</v>
      </c>
      <c r="BJ260" s="47" t="b">
        <f t="shared" si="357"/>
        <v>1</v>
      </c>
      <c r="BK260" s="42" t="b">
        <f t="shared" si="358"/>
        <v>0</v>
      </c>
      <c r="BL260" s="42" t="b">
        <f t="shared" si="359"/>
        <v>0</v>
      </c>
      <c r="BM260" s="42">
        <f t="shared" si="360"/>
        <v>0</v>
      </c>
      <c r="BN260" s="42">
        <f t="shared" si="361"/>
        <v>0</v>
      </c>
      <c r="BP260" t="e">
        <f t="shared" si="362"/>
        <v>#N/A</v>
      </c>
      <c r="BQ260" t="e">
        <f t="shared" si="363"/>
        <v>#N/A</v>
      </c>
      <c r="BR260" t="e">
        <f t="shared" si="364"/>
        <v>#N/A</v>
      </c>
      <c r="BT260" s="60">
        <f t="shared" si="365"/>
        <v>0</v>
      </c>
      <c r="BU260" s="60">
        <f t="shared" si="366"/>
        <v>0</v>
      </c>
      <c r="BV260" s="60">
        <f t="shared" si="367"/>
        <v>0</v>
      </c>
      <c r="BW260" s="60">
        <f t="shared" si="368"/>
        <v>0</v>
      </c>
      <c r="BX260" s="60">
        <f t="shared" si="369"/>
        <v>0</v>
      </c>
      <c r="BY260" s="60">
        <f t="shared" si="370"/>
        <v>0</v>
      </c>
      <c r="BZ260" s="60">
        <f t="shared" si="371"/>
        <v>0</v>
      </c>
      <c r="CA260" s="60">
        <f t="shared" si="372"/>
        <v>0</v>
      </c>
      <c r="CB260" s="60" t="e">
        <f t="shared" si="320"/>
        <v>#N/A</v>
      </c>
      <c r="CC260" s="60">
        <f t="shared" si="321"/>
        <v>100000</v>
      </c>
      <c r="CD260" s="60" t="e">
        <f t="shared" si="322"/>
        <v>#N/A</v>
      </c>
      <c r="CE260" s="60">
        <f t="shared" si="323"/>
        <v>100000</v>
      </c>
      <c r="CF260" s="83" t="e">
        <f t="shared" si="373"/>
        <v>#N/A</v>
      </c>
      <c r="CG260" s="83">
        <f t="shared" si="374"/>
        <v>0</v>
      </c>
      <c r="CH260" s="83" t="e">
        <f t="shared" si="375"/>
        <v>#N/A</v>
      </c>
      <c r="CI260" s="83">
        <f t="shared" si="376"/>
        <v>0</v>
      </c>
      <c r="CJ260" s="86" t="e">
        <f t="shared" si="324"/>
        <v>#N/A</v>
      </c>
      <c r="CK260" s="82">
        <f t="shared" si="325"/>
        <v>5.3070370403969858E-3</v>
      </c>
      <c r="CL260" s="82" t="e">
        <f t="shared" si="326"/>
        <v>#N/A</v>
      </c>
      <c r="CM260" s="82">
        <f t="shared" si="327"/>
        <v>5.3070370403969858E-3</v>
      </c>
      <c r="CO260" s="149" t="str">
        <f>IF($I260&lt;&gt;"",IF(O260="User Specified",U260,INDEX('Refrigerant GWPs'!$G$2:$G$156,MATCH(O260,'Refrigerant GWPs'!$A$2:$A$156,0))),"")</f>
        <v/>
      </c>
      <c r="CP260" s="138" t="str">
        <f>IF($I260&lt;&gt;"",INDEX('Device Refrigerant Leakage'!$E$2:$E$42,MATCH($M260,'Device Refrigerant Leakage'!$B$2:$B$42,0)),"")</f>
        <v/>
      </c>
      <c r="CQ260" s="138" t="str">
        <f>IF($I260&lt;&gt;"",INDEX('Device Refrigerant Leakage'!$F$2:$F$42,MATCH($M260,'Device Refrigerant Leakage'!$B$2:$B$42,0)),"")</f>
        <v/>
      </c>
      <c r="CR260" s="145" t="str">
        <f>IF($I260&lt;&gt;"",INDEX('Device Refrigerant Leakage'!$G$2:$G$42,MATCH($M260,'Device Refrigerant Leakage'!$B$2:$B$42,0)),"")</f>
        <v/>
      </c>
      <c r="CS260" s="145" t="str">
        <f>IF($I260&lt;&gt;"",INDEX('Device Refrigerant Leakage'!$D$2:$D$42,MATCH($M260,'Device Refrigerant Leakage'!$B$2:$B$42,0))*CP260/2204.62*CO260,"")</f>
        <v/>
      </c>
      <c r="CT260" s="145" t="str">
        <f>IF($I260&lt;&gt;"",J260*(INDEX('Device Refrigerant Leakage'!$D$2:$D$42,MATCH($M260,'Device Refrigerant Leakage'!$B$2:$B$42,0))-(INDEX('Device Refrigerant Leakage'!$D$2:$D$42,MATCH($M260,'Device Refrigerant Leakage'!$B$2:$B$42,0)))*CR260*CP260)*CQ260/2204.62*CO260,"")</f>
        <v/>
      </c>
      <c r="CU260" s="135" t="str">
        <f>IF($I260&lt;&gt;"",J260*IF(W260&lt;&gt;"AR",(CS260*K260)+CT260,(CS260*AB260)+CT260*(AB260/INDEX('Device Refrigerant Leakage'!$C$2:$C$42,MATCH($M260,'Device Refrigerant Leakage'!$B$2:$B$42,0)))),"")</f>
        <v/>
      </c>
      <c r="CW260" s="135" t="str">
        <f>IF($I260&lt;&gt;"",IF(S260="User Specified",V260,INDEX('Refrigerant GWPs'!$G$2:$G$156,MATCH(S260,'Refrigerant GWPs'!$A$2:$A$157,0))),"")</f>
        <v/>
      </c>
      <c r="CX260" s="138" t="str">
        <f>IF($I260&lt;&gt;"",INDEX('Device Refrigerant Leakage'!$E$2:$E$42,MATCH($Q260,'Device Refrigerant Leakage'!$B$2:$B$42,0)),"")</f>
        <v/>
      </c>
      <c r="CY260" s="138" t="str">
        <f>IF($I260&lt;&gt;"",INDEX('Device Refrigerant Leakage'!$F$2:$F$42,MATCH($Q260,'Device Refrigerant Leakage'!$B$2:$B$42,0)),"")</f>
        <v/>
      </c>
      <c r="CZ260" s="145" t="str">
        <f>IF($I260&lt;&gt;"",INDEX('Device Refrigerant Leakage'!$G$2:$G$42,MATCH($Q260,'Device Refrigerant Leakage'!$B$2:$B$42,0)),"")</f>
        <v/>
      </c>
      <c r="DA260" s="145" t="str">
        <f>IF($I260&lt;&gt;"",J260*INDEX('Device Refrigerant Leakage'!$D$2:$D$42,MATCH($Q260,'Device Refrigerant Leakage'!$B$2:$B$42,0))*CX260/2204.62*CW260,"")</f>
        <v/>
      </c>
      <c r="DB260" s="145" t="str">
        <f>IF($I260&lt;&gt;"",J260*(INDEX('Device Refrigerant Leakage'!$D$2:$D$42,MATCH($Q260,'Device Refrigerant Leakage'!$B$2:$B$42,0))-(INDEX('Device Refrigerant Leakage'!$D$2:$D$42,MATCH($Q260,'Device Refrigerant Leakage'!$B$2:$B$42,0)))*CZ260*CX260)*CY260/2204.62*CW260,"")</f>
        <v/>
      </c>
      <c r="DC260" s="135" t="str">
        <f t="shared" si="348"/>
        <v/>
      </c>
      <c r="DE260" s="146" t="str">
        <f>IF(W260&lt;&gt;"AR","",IF(Y260="User Specified", AA260, INDEX('Refrigerant GWPs'!$G$2:$G$154,MATCH(Y260,'Refrigerant GWPs'!$A$2:$A$154,0))))</f>
        <v/>
      </c>
      <c r="DF260" s="146" t="str">
        <f>IF(W260&lt;&gt;"AR","",INDEX('Device Refrigerant Leakage'!$E$2:$E$42,MATCH(X260,'Device Refrigerant Leakage'!$B$2:$B$42,0)))</f>
        <v/>
      </c>
      <c r="DG260" s="146" t="str">
        <f>IF(W260&lt;&gt;"AR","",INDEX('Device Refrigerant Leakage'!$F$2:$F$42,MATCH(X260,'Device Refrigerant Leakage'!$B$2:$B$42,0)))</f>
        <v/>
      </c>
      <c r="DH260" s="146" t="str">
        <f>IF(W260&lt;&gt;"AR","",INDEX('Device Refrigerant Leakage'!$G$2:$G$42,MATCH(X260,'Device Refrigerant Leakage'!$B$2:$B$42,0)))</f>
        <v/>
      </c>
      <c r="DI260" s="146" t="str">
        <f>IF(W260&lt;&gt;"AR","",J260*INDEX('Device Refrigerant Leakage'!$D$2:$D$42,MATCH(X260,'Device Refrigerant Leakage'!$B$2:$B$42,0))*DF260/2204.62*DE260)</f>
        <v/>
      </c>
      <c r="DJ260" s="146" t="str">
        <f>IF(W260&lt;&gt;"AR","",J260*(INDEX('Device Refrigerant Leakage'!$D$2:$D$42,MATCH(X260,'Device Refrigerant Leakage'!$B$2:$B$42,0))-(INDEX('Device Refrigerant Leakage'!$D$2:$D$42,MATCH(X260,'Device Refrigerant Leakage'!$B$2:$B$42,0)))*DH260*DF260)*DG260/2204.62*DE260)</f>
        <v/>
      </c>
      <c r="DK260" s="146" t="str">
        <f>IF(W260&lt;&gt;"AR","",DI260*(K260-AB260)+'Fuel Sub Calcs-Deemed'!DJ260*((K260-AB260)/INDEX('Device Refrigerant Leakage'!$C$2:$C$42,MATCH('Fuel Sub Calcs-Deemed'!X260,'Device Refrigerant Leakage'!$B$2:$B$42,0))))</f>
        <v/>
      </c>
      <c r="DM260" s="56">
        <v>246</v>
      </c>
      <c r="DN260" s="67" t="e">
        <f t="shared" si="328"/>
        <v>#N/A</v>
      </c>
      <c r="DO260" s="45" t="e">
        <f t="shared" si="329"/>
        <v>#N/A</v>
      </c>
      <c r="DP260" s="67" t="e">
        <f t="shared" si="330"/>
        <v>#N/A</v>
      </c>
      <c r="DQ260" s="45" t="e">
        <f t="shared" si="331"/>
        <v>#N/A</v>
      </c>
      <c r="DR260" s="69" t="e">
        <f t="shared" si="332"/>
        <v>#N/A</v>
      </c>
      <c r="DS260" s="34"/>
      <c r="DT260" s="67" t="e">
        <f>((BX260*CJ260)+IF($W260=MAT_AR,(BZ260*CL260),0))*(1+Reference!$E$50+Reference!$E$51)</f>
        <v>#N/A</v>
      </c>
      <c r="DU260" s="67">
        <f>((BY260*CK260)+IF($W260=MAT_AR,(CA260*CM260),0))*(1+Reference!$G$50+Reference!$G$51)</f>
        <v>0</v>
      </c>
      <c r="DV260" s="67" t="e">
        <f t="shared" si="333"/>
        <v>#VALUE!</v>
      </c>
      <c r="DX260" s="56">
        <v>246</v>
      </c>
      <c r="DY260" s="67">
        <f t="shared" si="334"/>
        <v>0</v>
      </c>
      <c r="DZ260" s="45" t="e">
        <f>VLOOKUP($R260,Dropdown!$C$3:$D$4,2,FALSE)</f>
        <v>#N/A</v>
      </c>
      <c r="EA260" s="68">
        <f t="shared" si="335"/>
        <v>0</v>
      </c>
      <c r="EB260" s="68" t="str">
        <f t="shared" si="336"/>
        <v>N/A</v>
      </c>
      <c r="EC260" s="68">
        <f t="shared" si="337"/>
        <v>0</v>
      </c>
      <c r="ED260" s="68" t="str">
        <f t="shared" si="377"/>
        <v>N/A</v>
      </c>
      <c r="EF260" s="56">
        <v>246</v>
      </c>
      <c r="EG260" s="46">
        <f t="shared" si="339"/>
        <v>0</v>
      </c>
      <c r="EH260" s="68" t="e">
        <f t="shared" si="340"/>
        <v>#N/A</v>
      </c>
      <c r="EI260" s="68" t="e">
        <f t="shared" si="341"/>
        <v>#N/A</v>
      </c>
      <c r="EJ260" s="68" t="e">
        <f t="shared" si="342"/>
        <v>#N/A</v>
      </c>
      <c r="EK260" s="68" t="e">
        <f t="shared" si="343"/>
        <v>#N/A</v>
      </c>
      <c r="EL260" s="46">
        <f t="shared" si="344"/>
        <v>0</v>
      </c>
      <c r="EM260" s="46">
        <f t="shared" si="345"/>
        <v>0</v>
      </c>
    </row>
    <row r="261" spans="1:143">
      <c r="A261" s="89"/>
      <c r="B261" s="89"/>
      <c r="C261" s="89"/>
      <c r="D261" s="89"/>
      <c r="E261" s="89"/>
      <c r="F261" s="89"/>
      <c r="G261" s="34"/>
      <c r="H261" s="56">
        <f t="shared" si="346"/>
        <v>247</v>
      </c>
      <c r="I261" s="165"/>
      <c r="J261" s="163"/>
      <c r="K261" s="163"/>
      <c r="L261" s="164"/>
      <c r="M261" s="155"/>
      <c r="N261" s="155"/>
      <c r="O261" s="144"/>
      <c r="P261" s="159" t="str">
        <f>IFERROR(IF(O261&lt;&gt;"User Specified",IF(O261&lt;&gt;"", INDEX('Refrigerant GWPs'!$G$2:$G$154,MATCH(O261,'Refrigerant GWPs'!$A$2:$A$154,0)),""),U261),0)</f>
        <v/>
      </c>
      <c r="Q261" s="155"/>
      <c r="R261" s="155"/>
      <c r="S261" s="144"/>
      <c r="T261" s="159" t="str">
        <f>IF(S261&lt;&gt;"User Specified",IF(AND(S261&lt;&gt;"User Specified",S261&lt;&gt;""), INDEX('Refrigerant GWPs'!$G$2:$G$154,MATCH(S261,'Refrigerant GWPs'!$A$2:$A$154,0)),""),V261)</f>
        <v/>
      </c>
      <c r="U261" s="144"/>
      <c r="V261" s="144"/>
      <c r="W261" s="155"/>
      <c r="X261" s="155"/>
      <c r="Y261" s="144"/>
      <c r="Z261" s="159" t="str">
        <f>IF(AND(Y261&lt;&gt;"User Specified",Y261&lt;&gt;""), INDEX('Refrigerant GWPs'!$G$2:$G$154,MATCH(Y261,'Refrigerant GWPs'!$A$2:$A$154,0)),"")</f>
        <v/>
      </c>
      <c r="AA261" s="155"/>
      <c r="AB261" s="156"/>
      <c r="AC261" s="66"/>
      <c r="AD261" s="66"/>
      <c r="AE261" s="66"/>
      <c r="AF261" s="66"/>
      <c r="AG261" s="66"/>
      <c r="AH261" s="66"/>
      <c r="AI261" s="34"/>
      <c r="AJ261" s="88">
        <f t="shared" si="304"/>
        <v>0</v>
      </c>
      <c r="AK261" s="88">
        <f t="shared" si="305"/>
        <v>0</v>
      </c>
      <c r="AL261" s="88">
        <v>0</v>
      </c>
      <c r="AM261" s="88">
        <v>0</v>
      </c>
      <c r="AN261" s="81" t="str">
        <f t="shared" si="349"/>
        <v/>
      </c>
      <c r="AO261" s="88">
        <f t="shared" si="306"/>
        <v>0</v>
      </c>
      <c r="AP261" s="88">
        <f t="shared" si="307"/>
        <v>0</v>
      </c>
      <c r="AQ261" s="81" t="str">
        <f t="shared" si="308"/>
        <v/>
      </c>
      <c r="AS261" s="41" t="b">
        <f t="shared" si="309"/>
        <v>1</v>
      </c>
      <c r="AT261" s="38">
        <f t="shared" si="310"/>
        <v>0</v>
      </c>
      <c r="AU261" s="60">
        <f t="shared" si="311"/>
        <v>0</v>
      </c>
      <c r="AV261" s="41">
        <f t="shared" si="312"/>
        <v>0</v>
      </c>
      <c r="AW261" s="41" t="b">
        <f t="shared" si="313"/>
        <v>0</v>
      </c>
      <c r="AX261" t="str">
        <f t="shared" si="314"/>
        <v>+00</v>
      </c>
      <c r="AY261" t="str">
        <f t="shared" si="315"/>
        <v>+00</v>
      </c>
      <c r="BA261" s="47" t="b">
        <f t="shared" si="350"/>
        <v>1</v>
      </c>
      <c r="BB261" s="42" t="b">
        <f t="shared" si="351"/>
        <v>1</v>
      </c>
      <c r="BC261" s="42" t="b">
        <f t="shared" si="352"/>
        <v>0</v>
      </c>
      <c r="BD261" s="42" t="b">
        <f t="shared" si="353"/>
        <v>0</v>
      </c>
      <c r="BE261" s="70">
        <f t="shared" si="354"/>
        <v>0</v>
      </c>
      <c r="BF261" s="70">
        <f t="shared" si="355"/>
        <v>0</v>
      </c>
      <c r="BG261" s="34"/>
      <c r="BI261" s="47" t="b">
        <f t="shared" si="356"/>
        <v>1</v>
      </c>
      <c r="BJ261" s="47" t="b">
        <f t="shared" si="357"/>
        <v>1</v>
      </c>
      <c r="BK261" s="42" t="b">
        <f t="shared" si="358"/>
        <v>0</v>
      </c>
      <c r="BL261" s="42" t="b">
        <f t="shared" si="359"/>
        <v>0</v>
      </c>
      <c r="BM261" s="42">
        <f t="shared" si="360"/>
        <v>0</v>
      </c>
      <c r="BN261" s="42">
        <f t="shared" si="361"/>
        <v>0</v>
      </c>
      <c r="BP261" t="e">
        <f t="shared" si="362"/>
        <v>#N/A</v>
      </c>
      <c r="BQ261" t="e">
        <f t="shared" si="363"/>
        <v>#N/A</v>
      </c>
      <c r="BR261" t="e">
        <f t="shared" si="364"/>
        <v>#N/A</v>
      </c>
      <c r="BT261" s="60">
        <f t="shared" si="365"/>
        <v>0</v>
      </c>
      <c r="BU261" s="60">
        <f t="shared" si="366"/>
        <v>0</v>
      </c>
      <c r="BV261" s="60">
        <f t="shared" si="367"/>
        <v>0</v>
      </c>
      <c r="BW261" s="60">
        <f t="shared" si="368"/>
        <v>0</v>
      </c>
      <c r="BX261" s="60">
        <f t="shared" si="369"/>
        <v>0</v>
      </c>
      <c r="BY261" s="60">
        <f t="shared" si="370"/>
        <v>0</v>
      </c>
      <c r="BZ261" s="60">
        <f t="shared" si="371"/>
        <v>0</v>
      </c>
      <c r="CA261" s="60">
        <f t="shared" si="372"/>
        <v>0</v>
      </c>
      <c r="CB261" s="60" t="e">
        <f t="shared" si="320"/>
        <v>#N/A</v>
      </c>
      <c r="CC261" s="60">
        <f t="shared" si="321"/>
        <v>100000</v>
      </c>
      <c r="CD261" s="60" t="e">
        <f t="shared" si="322"/>
        <v>#N/A</v>
      </c>
      <c r="CE261" s="60">
        <f t="shared" si="323"/>
        <v>100000</v>
      </c>
      <c r="CF261" s="83" t="e">
        <f t="shared" si="373"/>
        <v>#N/A</v>
      </c>
      <c r="CG261" s="83">
        <f t="shared" si="374"/>
        <v>0</v>
      </c>
      <c r="CH261" s="83" t="e">
        <f t="shared" si="375"/>
        <v>#N/A</v>
      </c>
      <c r="CI261" s="83">
        <f t="shared" si="376"/>
        <v>0</v>
      </c>
      <c r="CJ261" s="86" t="e">
        <f t="shared" si="324"/>
        <v>#N/A</v>
      </c>
      <c r="CK261" s="82">
        <f t="shared" si="325"/>
        <v>5.3070370403969858E-3</v>
      </c>
      <c r="CL261" s="82" t="e">
        <f t="shared" si="326"/>
        <v>#N/A</v>
      </c>
      <c r="CM261" s="82">
        <f t="shared" si="327"/>
        <v>5.3070370403969858E-3</v>
      </c>
      <c r="CO261" s="149" t="str">
        <f>IF($I261&lt;&gt;"",IF(O261="User Specified",U261,INDEX('Refrigerant GWPs'!$G$2:$G$156,MATCH(O261,'Refrigerant GWPs'!$A$2:$A$156,0))),"")</f>
        <v/>
      </c>
      <c r="CP261" s="138" t="str">
        <f>IF($I261&lt;&gt;"",INDEX('Device Refrigerant Leakage'!$E$2:$E$42,MATCH($M261,'Device Refrigerant Leakage'!$B$2:$B$42,0)),"")</f>
        <v/>
      </c>
      <c r="CQ261" s="138" t="str">
        <f>IF($I261&lt;&gt;"",INDEX('Device Refrigerant Leakage'!$F$2:$F$42,MATCH($M261,'Device Refrigerant Leakage'!$B$2:$B$42,0)),"")</f>
        <v/>
      </c>
      <c r="CR261" s="145" t="str">
        <f>IF($I261&lt;&gt;"",INDEX('Device Refrigerant Leakage'!$G$2:$G$42,MATCH($M261,'Device Refrigerant Leakage'!$B$2:$B$42,0)),"")</f>
        <v/>
      </c>
      <c r="CS261" s="145" t="str">
        <f>IF($I261&lt;&gt;"",INDEX('Device Refrigerant Leakage'!$D$2:$D$42,MATCH($M261,'Device Refrigerant Leakage'!$B$2:$B$42,0))*CP261/2204.62*CO261,"")</f>
        <v/>
      </c>
      <c r="CT261" s="145" t="str">
        <f>IF($I261&lt;&gt;"",J261*(INDEX('Device Refrigerant Leakage'!$D$2:$D$42,MATCH($M261,'Device Refrigerant Leakage'!$B$2:$B$42,0))-(INDEX('Device Refrigerant Leakage'!$D$2:$D$42,MATCH($M261,'Device Refrigerant Leakage'!$B$2:$B$42,0)))*CR261*CP261)*CQ261/2204.62*CO261,"")</f>
        <v/>
      </c>
      <c r="CU261" s="135" t="str">
        <f>IF($I261&lt;&gt;"",J261*IF(W261&lt;&gt;"AR",(CS261*K261)+CT261,(CS261*AB261)+CT261*(AB261/INDEX('Device Refrigerant Leakage'!$C$2:$C$42,MATCH($M261,'Device Refrigerant Leakage'!$B$2:$B$42,0)))),"")</f>
        <v/>
      </c>
      <c r="CW261" s="135" t="str">
        <f>IF($I261&lt;&gt;"",IF(S261="User Specified",V261,INDEX('Refrigerant GWPs'!$G$2:$G$156,MATCH(S261,'Refrigerant GWPs'!$A$2:$A$157,0))),"")</f>
        <v/>
      </c>
      <c r="CX261" s="138" t="str">
        <f>IF($I261&lt;&gt;"",INDEX('Device Refrigerant Leakage'!$E$2:$E$42,MATCH($Q261,'Device Refrigerant Leakage'!$B$2:$B$42,0)),"")</f>
        <v/>
      </c>
      <c r="CY261" s="138" t="str">
        <f>IF($I261&lt;&gt;"",INDEX('Device Refrigerant Leakage'!$F$2:$F$42,MATCH($Q261,'Device Refrigerant Leakage'!$B$2:$B$42,0)),"")</f>
        <v/>
      </c>
      <c r="CZ261" s="145" t="str">
        <f>IF($I261&lt;&gt;"",INDEX('Device Refrigerant Leakage'!$G$2:$G$42,MATCH($Q261,'Device Refrigerant Leakage'!$B$2:$B$42,0)),"")</f>
        <v/>
      </c>
      <c r="DA261" s="145" t="str">
        <f>IF($I261&lt;&gt;"",J261*INDEX('Device Refrigerant Leakage'!$D$2:$D$42,MATCH($Q261,'Device Refrigerant Leakage'!$B$2:$B$42,0))*CX261/2204.62*CW261,"")</f>
        <v/>
      </c>
      <c r="DB261" s="145" t="str">
        <f>IF($I261&lt;&gt;"",J261*(INDEX('Device Refrigerant Leakage'!$D$2:$D$42,MATCH($Q261,'Device Refrigerant Leakage'!$B$2:$B$42,0))-(INDEX('Device Refrigerant Leakage'!$D$2:$D$42,MATCH($Q261,'Device Refrigerant Leakage'!$B$2:$B$42,0)))*CZ261*CX261)*CY261/2204.62*CW261,"")</f>
        <v/>
      </c>
      <c r="DC261" s="135" t="str">
        <f t="shared" si="348"/>
        <v/>
      </c>
      <c r="DE261" s="146" t="str">
        <f>IF(W261&lt;&gt;"AR","",IF(Y261="User Specified", AA261, INDEX('Refrigerant GWPs'!$G$2:$G$154,MATCH(Y261,'Refrigerant GWPs'!$A$2:$A$154,0))))</f>
        <v/>
      </c>
      <c r="DF261" s="146" t="str">
        <f>IF(W261&lt;&gt;"AR","",INDEX('Device Refrigerant Leakage'!$E$2:$E$42,MATCH(X261,'Device Refrigerant Leakage'!$B$2:$B$42,0)))</f>
        <v/>
      </c>
      <c r="DG261" s="146" t="str">
        <f>IF(W261&lt;&gt;"AR","",INDEX('Device Refrigerant Leakage'!$F$2:$F$42,MATCH(X261,'Device Refrigerant Leakage'!$B$2:$B$42,0)))</f>
        <v/>
      </c>
      <c r="DH261" s="146" t="str">
        <f>IF(W261&lt;&gt;"AR","",INDEX('Device Refrigerant Leakage'!$G$2:$G$42,MATCH(X261,'Device Refrigerant Leakage'!$B$2:$B$42,0)))</f>
        <v/>
      </c>
      <c r="DI261" s="146" t="str">
        <f>IF(W261&lt;&gt;"AR","",J261*INDEX('Device Refrigerant Leakage'!$D$2:$D$42,MATCH(X261,'Device Refrigerant Leakage'!$B$2:$B$42,0))*DF261/2204.62*DE261)</f>
        <v/>
      </c>
      <c r="DJ261" s="146" t="str">
        <f>IF(W261&lt;&gt;"AR","",J261*(INDEX('Device Refrigerant Leakage'!$D$2:$D$42,MATCH(X261,'Device Refrigerant Leakage'!$B$2:$B$42,0))-(INDEX('Device Refrigerant Leakage'!$D$2:$D$42,MATCH(X261,'Device Refrigerant Leakage'!$B$2:$B$42,0)))*DH261*DF261)*DG261/2204.62*DE261)</f>
        <v/>
      </c>
      <c r="DK261" s="146" t="str">
        <f>IF(W261&lt;&gt;"AR","",DI261*(K261-AB261)+'Fuel Sub Calcs-Deemed'!DJ261*((K261-AB261)/INDEX('Device Refrigerant Leakage'!$C$2:$C$42,MATCH('Fuel Sub Calcs-Deemed'!X261,'Device Refrigerant Leakage'!$B$2:$B$42,0))))</f>
        <v/>
      </c>
      <c r="DM261" s="56">
        <v>247</v>
      </c>
      <c r="DN261" s="67" t="e">
        <f t="shared" si="328"/>
        <v>#N/A</v>
      </c>
      <c r="DO261" s="45" t="e">
        <f t="shared" si="329"/>
        <v>#N/A</v>
      </c>
      <c r="DP261" s="67" t="e">
        <f t="shared" si="330"/>
        <v>#N/A</v>
      </c>
      <c r="DQ261" s="45" t="e">
        <f t="shared" si="331"/>
        <v>#N/A</v>
      </c>
      <c r="DR261" s="69" t="e">
        <f t="shared" si="332"/>
        <v>#N/A</v>
      </c>
      <c r="DS261" s="34"/>
      <c r="DT261" s="67" t="e">
        <f>((BX261*CJ261)+IF($W261=MAT_AR,(BZ261*CL261),0))*(1+Reference!$E$50+Reference!$E$51)</f>
        <v>#N/A</v>
      </c>
      <c r="DU261" s="67">
        <f>((BY261*CK261)+IF($W261=MAT_AR,(CA261*CM261),0))*(1+Reference!$G$50+Reference!$G$51)</f>
        <v>0</v>
      </c>
      <c r="DV261" s="67" t="e">
        <f t="shared" si="333"/>
        <v>#VALUE!</v>
      </c>
      <c r="DX261" s="56">
        <v>247</v>
      </c>
      <c r="DY261" s="67">
        <f t="shared" si="334"/>
        <v>0</v>
      </c>
      <c r="DZ261" s="45" t="e">
        <f>VLOOKUP($R261,Dropdown!$C$3:$D$4,2,FALSE)</f>
        <v>#N/A</v>
      </c>
      <c r="EA261" s="68">
        <f t="shared" si="335"/>
        <v>0</v>
      </c>
      <c r="EB261" s="68" t="str">
        <f t="shared" si="336"/>
        <v>N/A</v>
      </c>
      <c r="EC261" s="68">
        <f t="shared" si="337"/>
        <v>0</v>
      </c>
      <c r="ED261" s="68" t="str">
        <f t="shared" si="377"/>
        <v>N/A</v>
      </c>
      <c r="EF261" s="56">
        <v>247</v>
      </c>
      <c r="EG261" s="46">
        <f t="shared" si="339"/>
        <v>0</v>
      </c>
      <c r="EH261" s="68" t="e">
        <f t="shared" si="340"/>
        <v>#N/A</v>
      </c>
      <c r="EI261" s="68" t="e">
        <f t="shared" si="341"/>
        <v>#N/A</v>
      </c>
      <c r="EJ261" s="68" t="e">
        <f t="shared" si="342"/>
        <v>#N/A</v>
      </c>
      <c r="EK261" s="68" t="e">
        <f t="shared" si="343"/>
        <v>#N/A</v>
      </c>
      <c r="EL261" s="46">
        <f t="shared" si="344"/>
        <v>0</v>
      </c>
      <c r="EM261" s="46">
        <f t="shared" si="345"/>
        <v>0</v>
      </c>
    </row>
    <row r="262" spans="1:143">
      <c r="A262" s="89"/>
      <c r="B262" s="89"/>
      <c r="C262" s="89"/>
      <c r="D262" s="89"/>
      <c r="E262" s="89"/>
      <c r="F262" s="89"/>
      <c r="G262" s="34"/>
      <c r="H262" s="56">
        <f t="shared" si="346"/>
        <v>248</v>
      </c>
      <c r="I262" s="165"/>
      <c r="J262" s="163"/>
      <c r="K262" s="163"/>
      <c r="L262" s="164"/>
      <c r="M262" s="155"/>
      <c r="N262" s="155"/>
      <c r="O262" s="144"/>
      <c r="P262" s="159" t="str">
        <f>IFERROR(IF(O262&lt;&gt;"User Specified",IF(O262&lt;&gt;"", INDEX('Refrigerant GWPs'!$G$2:$G$154,MATCH(O262,'Refrigerant GWPs'!$A$2:$A$154,0)),""),U262),0)</f>
        <v/>
      </c>
      <c r="Q262" s="155"/>
      <c r="R262" s="155"/>
      <c r="S262" s="144"/>
      <c r="T262" s="159" t="str">
        <f>IF(S262&lt;&gt;"User Specified",IF(AND(S262&lt;&gt;"User Specified",S262&lt;&gt;""), INDEX('Refrigerant GWPs'!$G$2:$G$154,MATCH(S262,'Refrigerant GWPs'!$A$2:$A$154,0)),""),V262)</f>
        <v/>
      </c>
      <c r="U262" s="144"/>
      <c r="V262" s="144"/>
      <c r="W262" s="155"/>
      <c r="X262" s="155"/>
      <c r="Y262" s="144"/>
      <c r="Z262" s="159" t="str">
        <f>IF(AND(Y262&lt;&gt;"User Specified",Y262&lt;&gt;""), INDEX('Refrigerant GWPs'!$G$2:$G$154,MATCH(Y262,'Refrigerant GWPs'!$A$2:$A$154,0)),"")</f>
        <v/>
      </c>
      <c r="AA262" s="155"/>
      <c r="AB262" s="156"/>
      <c r="AC262" s="66"/>
      <c r="AD262" s="66"/>
      <c r="AE262" s="66"/>
      <c r="AF262" s="66"/>
      <c r="AG262" s="66"/>
      <c r="AH262" s="66"/>
      <c r="AI262" s="34"/>
      <c r="AJ262" s="88">
        <f t="shared" si="304"/>
        <v>0</v>
      </c>
      <c r="AK262" s="88">
        <f t="shared" si="305"/>
        <v>0</v>
      </c>
      <c r="AL262" s="88">
        <v>0</v>
      </c>
      <c r="AM262" s="88">
        <v>0</v>
      </c>
      <c r="AN262" s="81" t="str">
        <f t="shared" si="349"/>
        <v/>
      </c>
      <c r="AO262" s="88">
        <f t="shared" si="306"/>
        <v>0</v>
      </c>
      <c r="AP262" s="88">
        <f t="shared" si="307"/>
        <v>0</v>
      </c>
      <c r="AQ262" s="81" t="str">
        <f t="shared" si="308"/>
        <v/>
      </c>
      <c r="AS262" s="41" t="b">
        <f t="shared" si="309"/>
        <v>1</v>
      </c>
      <c r="AT262" s="38">
        <f t="shared" si="310"/>
        <v>0</v>
      </c>
      <c r="AU262" s="60">
        <f t="shared" si="311"/>
        <v>0</v>
      </c>
      <c r="AV262" s="41">
        <f t="shared" si="312"/>
        <v>0</v>
      </c>
      <c r="AW262" s="41" t="b">
        <f t="shared" si="313"/>
        <v>0</v>
      </c>
      <c r="AX262" t="str">
        <f t="shared" si="314"/>
        <v>+00</v>
      </c>
      <c r="AY262" t="str">
        <f t="shared" si="315"/>
        <v>+00</v>
      </c>
      <c r="BA262" s="47" t="b">
        <f t="shared" si="350"/>
        <v>1</v>
      </c>
      <c r="BB262" s="42" t="b">
        <f t="shared" si="351"/>
        <v>1</v>
      </c>
      <c r="BC262" s="42" t="b">
        <f t="shared" si="352"/>
        <v>0</v>
      </c>
      <c r="BD262" s="42" t="b">
        <f t="shared" si="353"/>
        <v>0</v>
      </c>
      <c r="BE262" s="70">
        <f t="shared" si="354"/>
        <v>0</v>
      </c>
      <c r="BF262" s="70">
        <f t="shared" si="355"/>
        <v>0</v>
      </c>
      <c r="BG262" s="34"/>
      <c r="BI262" s="47" t="b">
        <f t="shared" si="356"/>
        <v>1</v>
      </c>
      <c r="BJ262" s="47" t="b">
        <f t="shared" si="357"/>
        <v>1</v>
      </c>
      <c r="BK262" s="42" t="b">
        <f t="shared" si="358"/>
        <v>0</v>
      </c>
      <c r="BL262" s="42" t="b">
        <f t="shared" si="359"/>
        <v>0</v>
      </c>
      <c r="BM262" s="42">
        <f t="shared" si="360"/>
        <v>0</v>
      </c>
      <c r="BN262" s="42">
        <f t="shared" si="361"/>
        <v>0</v>
      </c>
      <c r="BP262" t="e">
        <f t="shared" si="362"/>
        <v>#N/A</v>
      </c>
      <c r="BQ262" t="e">
        <f t="shared" si="363"/>
        <v>#N/A</v>
      </c>
      <c r="BR262" t="e">
        <f t="shared" si="364"/>
        <v>#N/A</v>
      </c>
      <c r="BT262" s="60">
        <f t="shared" si="365"/>
        <v>0</v>
      </c>
      <c r="BU262" s="60">
        <f t="shared" si="366"/>
        <v>0</v>
      </c>
      <c r="BV262" s="60">
        <f t="shared" si="367"/>
        <v>0</v>
      </c>
      <c r="BW262" s="60">
        <f t="shared" si="368"/>
        <v>0</v>
      </c>
      <c r="BX262" s="60">
        <f t="shared" si="369"/>
        <v>0</v>
      </c>
      <c r="BY262" s="60">
        <f t="shared" si="370"/>
        <v>0</v>
      </c>
      <c r="BZ262" s="60">
        <f t="shared" si="371"/>
        <v>0</v>
      </c>
      <c r="CA262" s="60">
        <f t="shared" si="372"/>
        <v>0</v>
      </c>
      <c r="CB262" s="60" t="e">
        <f t="shared" si="320"/>
        <v>#N/A</v>
      </c>
      <c r="CC262" s="60">
        <f t="shared" si="321"/>
        <v>100000</v>
      </c>
      <c r="CD262" s="60" t="e">
        <f t="shared" si="322"/>
        <v>#N/A</v>
      </c>
      <c r="CE262" s="60">
        <f t="shared" si="323"/>
        <v>100000</v>
      </c>
      <c r="CF262" s="83" t="e">
        <f t="shared" si="373"/>
        <v>#N/A</v>
      </c>
      <c r="CG262" s="83">
        <f t="shared" si="374"/>
        <v>0</v>
      </c>
      <c r="CH262" s="83" t="e">
        <f t="shared" si="375"/>
        <v>#N/A</v>
      </c>
      <c r="CI262" s="83">
        <f t="shared" si="376"/>
        <v>0</v>
      </c>
      <c r="CJ262" s="86" t="e">
        <f t="shared" si="324"/>
        <v>#N/A</v>
      </c>
      <c r="CK262" s="82">
        <f t="shared" si="325"/>
        <v>5.3070370403969858E-3</v>
      </c>
      <c r="CL262" s="82" t="e">
        <f t="shared" si="326"/>
        <v>#N/A</v>
      </c>
      <c r="CM262" s="82">
        <f t="shared" si="327"/>
        <v>5.3070370403969858E-3</v>
      </c>
      <c r="CO262" s="149" t="str">
        <f>IF($I262&lt;&gt;"",IF(O262="User Specified",U262,INDEX('Refrigerant GWPs'!$G$2:$G$156,MATCH(O262,'Refrigerant GWPs'!$A$2:$A$156,0))),"")</f>
        <v/>
      </c>
      <c r="CP262" s="138" t="str">
        <f>IF($I262&lt;&gt;"",INDEX('Device Refrigerant Leakage'!$E$2:$E$42,MATCH($M262,'Device Refrigerant Leakage'!$B$2:$B$42,0)),"")</f>
        <v/>
      </c>
      <c r="CQ262" s="138" t="str">
        <f>IF($I262&lt;&gt;"",INDEX('Device Refrigerant Leakage'!$F$2:$F$42,MATCH($M262,'Device Refrigerant Leakage'!$B$2:$B$42,0)),"")</f>
        <v/>
      </c>
      <c r="CR262" s="145" t="str">
        <f>IF($I262&lt;&gt;"",INDEX('Device Refrigerant Leakage'!$G$2:$G$42,MATCH($M262,'Device Refrigerant Leakage'!$B$2:$B$42,0)),"")</f>
        <v/>
      </c>
      <c r="CS262" s="145" t="str">
        <f>IF($I262&lt;&gt;"",INDEX('Device Refrigerant Leakage'!$D$2:$D$42,MATCH($M262,'Device Refrigerant Leakage'!$B$2:$B$42,0))*CP262/2204.62*CO262,"")</f>
        <v/>
      </c>
      <c r="CT262" s="145" t="str">
        <f>IF($I262&lt;&gt;"",J262*(INDEX('Device Refrigerant Leakage'!$D$2:$D$42,MATCH($M262,'Device Refrigerant Leakage'!$B$2:$B$42,0))-(INDEX('Device Refrigerant Leakage'!$D$2:$D$42,MATCH($M262,'Device Refrigerant Leakage'!$B$2:$B$42,0)))*CR262*CP262)*CQ262/2204.62*CO262,"")</f>
        <v/>
      </c>
      <c r="CU262" s="135" t="str">
        <f>IF($I262&lt;&gt;"",J262*IF(W262&lt;&gt;"AR",(CS262*K262)+CT262,(CS262*AB262)+CT262*(AB262/INDEX('Device Refrigerant Leakage'!$C$2:$C$42,MATCH($M262,'Device Refrigerant Leakage'!$B$2:$B$42,0)))),"")</f>
        <v/>
      </c>
      <c r="CW262" s="135" t="str">
        <f>IF($I262&lt;&gt;"",IF(S262="User Specified",V262,INDEX('Refrigerant GWPs'!$G$2:$G$156,MATCH(S262,'Refrigerant GWPs'!$A$2:$A$157,0))),"")</f>
        <v/>
      </c>
      <c r="CX262" s="138" t="str">
        <f>IF($I262&lt;&gt;"",INDEX('Device Refrigerant Leakage'!$E$2:$E$42,MATCH($Q262,'Device Refrigerant Leakage'!$B$2:$B$42,0)),"")</f>
        <v/>
      </c>
      <c r="CY262" s="138" t="str">
        <f>IF($I262&lt;&gt;"",INDEX('Device Refrigerant Leakage'!$F$2:$F$42,MATCH($Q262,'Device Refrigerant Leakage'!$B$2:$B$42,0)),"")</f>
        <v/>
      </c>
      <c r="CZ262" s="145" t="str">
        <f>IF($I262&lt;&gt;"",INDEX('Device Refrigerant Leakage'!$G$2:$G$42,MATCH($Q262,'Device Refrigerant Leakage'!$B$2:$B$42,0)),"")</f>
        <v/>
      </c>
      <c r="DA262" s="145" t="str">
        <f>IF($I262&lt;&gt;"",J262*INDEX('Device Refrigerant Leakage'!$D$2:$D$42,MATCH($Q262,'Device Refrigerant Leakage'!$B$2:$B$42,0))*CX262/2204.62*CW262,"")</f>
        <v/>
      </c>
      <c r="DB262" s="145" t="str">
        <f>IF($I262&lt;&gt;"",J262*(INDEX('Device Refrigerant Leakage'!$D$2:$D$42,MATCH($Q262,'Device Refrigerant Leakage'!$B$2:$B$42,0))-(INDEX('Device Refrigerant Leakage'!$D$2:$D$42,MATCH($Q262,'Device Refrigerant Leakage'!$B$2:$B$42,0)))*CZ262*CX262)*CY262/2204.62*CW262,"")</f>
        <v/>
      </c>
      <c r="DC262" s="135" t="str">
        <f t="shared" si="348"/>
        <v/>
      </c>
      <c r="DE262" s="146" t="str">
        <f>IF(W262&lt;&gt;"AR","",IF(Y262="User Specified", AA262, INDEX('Refrigerant GWPs'!$G$2:$G$154,MATCH(Y262,'Refrigerant GWPs'!$A$2:$A$154,0))))</f>
        <v/>
      </c>
      <c r="DF262" s="146" t="str">
        <f>IF(W262&lt;&gt;"AR","",INDEX('Device Refrigerant Leakage'!$E$2:$E$42,MATCH(X262,'Device Refrigerant Leakage'!$B$2:$B$42,0)))</f>
        <v/>
      </c>
      <c r="DG262" s="146" t="str">
        <f>IF(W262&lt;&gt;"AR","",INDEX('Device Refrigerant Leakage'!$F$2:$F$42,MATCH(X262,'Device Refrigerant Leakage'!$B$2:$B$42,0)))</f>
        <v/>
      </c>
      <c r="DH262" s="146" t="str">
        <f>IF(W262&lt;&gt;"AR","",INDEX('Device Refrigerant Leakage'!$G$2:$G$42,MATCH(X262,'Device Refrigerant Leakage'!$B$2:$B$42,0)))</f>
        <v/>
      </c>
      <c r="DI262" s="146" t="str">
        <f>IF(W262&lt;&gt;"AR","",J262*INDEX('Device Refrigerant Leakage'!$D$2:$D$42,MATCH(X262,'Device Refrigerant Leakage'!$B$2:$B$42,0))*DF262/2204.62*DE262)</f>
        <v/>
      </c>
      <c r="DJ262" s="146" t="str">
        <f>IF(W262&lt;&gt;"AR","",J262*(INDEX('Device Refrigerant Leakage'!$D$2:$D$42,MATCH(X262,'Device Refrigerant Leakage'!$B$2:$B$42,0))-(INDEX('Device Refrigerant Leakage'!$D$2:$D$42,MATCH(X262,'Device Refrigerant Leakage'!$B$2:$B$42,0)))*DH262*DF262)*DG262/2204.62*DE262)</f>
        <v/>
      </c>
      <c r="DK262" s="146" t="str">
        <f>IF(W262&lt;&gt;"AR","",DI262*(K262-AB262)+'Fuel Sub Calcs-Deemed'!DJ262*((K262-AB262)/INDEX('Device Refrigerant Leakage'!$C$2:$C$42,MATCH('Fuel Sub Calcs-Deemed'!X262,'Device Refrigerant Leakage'!$B$2:$B$42,0))))</f>
        <v/>
      </c>
      <c r="DM262" s="56">
        <v>248</v>
      </c>
      <c r="DN262" s="67" t="e">
        <f t="shared" si="328"/>
        <v>#N/A</v>
      </c>
      <c r="DO262" s="45" t="e">
        <f t="shared" si="329"/>
        <v>#N/A</v>
      </c>
      <c r="DP262" s="67" t="e">
        <f t="shared" si="330"/>
        <v>#N/A</v>
      </c>
      <c r="DQ262" s="45" t="e">
        <f t="shared" si="331"/>
        <v>#N/A</v>
      </c>
      <c r="DR262" s="69" t="e">
        <f t="shared" si="332"/>
        <v>#N/A</v>
      </c>
      <c r="DS262" s="34"/>
      <c r="DT262" s="67" t="e">
        <f>((BX262*CJ262)+IF($W262=MAT_AR,(BZ262*CL262),0))*(1+Reference!$E$50+Reference!$E$51)</f>
        <v>#N/A</v>
      </c>
      <c r="DU262" s="67">
        <f>((BY262*CK262)+IF($W262=MAT_AR,(CA262*CM262),0))*(1+Reference!$G$50+Reference!$G$51)</f>
        <v>0</v>
      </c>
      <c r="DV262" s="67" t="e">
        <f t="shared" si="333"/>
        <v>#VALUE!</v>
      </c>
      <c r="DX262" s="56">
        <v>248</v>
      </c>
      <c r="DY262" s="67">
        <f t="shared" si="334"/>
        <v>0</v>
      </c>
      <c r="DZ262" s="45" t="e">
        <f>VLOOKUP($R262,Dropdown!$C$3:$D$4,2,FALSE)</f>
        <v>#N/A</v>
      </c>
      <c r="EA262" s="68">
        <f t="shared" si="335"/>
        <v>0</v>
      </c>
      <c r="EB262" s="68" t="str">
        <f t="shared" si="336"/>
        <v>N/A</v>
      </c>
      <c r="EC262" s="68">
        <f t="shared" si="337"/>
        <v>0</v>
      </c>
      <c r="ED262" s="68" t="str">
        <f t="shared" si="377"/>
        <v>N/A</v>
      </c>
      <c r="EF262" s="56">
        <v>248</v>
      </c>
      <c r="EG262" s="46">
        <f t="shared" si="339"/>
        <v>0</v>
      </c>
      <c r="EH262" s="68" t="e">
        <f t="shared" si="340"/>
        <v>#N/A</v>
      </c>
      <c r="EI262" s="68" t="e">
        <f t="shared" si="341"/>
        <v>#N/A</v>
      </c>
      <c r="EJ262" s="68" t="e">
        <f t="shared" si="342"/>
        <v>#N/A</v>
      </c>
      <c r="EK262" s="68" t="e">
        <f t="shared" si="343"/>
        <v>#N/A</v>
      </c>
      <c r="EL262" s="46">
        <f t="shared" si="344"/>
        <v>0</v>
      </c>
      <c r="EM262" s="46">
        <f t="shared" si="345"/>
        <v>0</v>
      </c>
    </row>
    <row r="263" spans="1:143">
      <c r="A263" s="89"/>
      <c r="B263" s="89"/>
      <c r="C263" s="89"/>
      <c r="D263" s="89"/>
      <c r="E263" s="89"/>
      <c r="F263" s="89"/>
      <c r="G263" s="34"/>
      <c r="H263" s="56">
        <f t="shared" si="346"/>
        <v>249</v>
      </c>
      <c r="I263" s="165"/>
      <c r="J263" s="163"/>
      <c r="K263" s="163"/>
      <c r="L263" s="164"/>
      <c r="M263" s="155"/>
      <c r="N263" s="155"/>
      <c r="O263" s="144"/>
      <c r="P263" s="159" t="str">
        <f>IFERROR(IF(O263&lt;&gt;"User Specified",IF(O263&lt;&gt;"", INDEX('Refrigerant GWPs'!$G$2:$G$154,MATCH(O263,'Refrigerant GWPs'!$A$2:$A$154,0)),""),U263),0)</f>
        <v/>
      </c>
      <c r="Q263" s="155"/>
      <c r="R263" s="155"/>
      <c r="S263" s="144"/>
      <c r="T263" s="159" t="str">
        <f>IF(S263&lt;&gt;"User Specified",IF(AND(S263&lt;&gt;"User Specified",S263&lt;&gt;""), INDEX('Refrigerant GWPs'!$G$2:$G$154,MATCH(S263,'Refrigerant GWPs'!$A$2:$A$154,0)),""),V263)</f>
        <v/>
      </c>
      <c r="U263" s="144"/>
      <c r="V263" s="144"/>
      <c r="W263" s="155"/>
      <c r="X263" s="155"/>
      <c r="Y263" s="144"/>
      <c r="Z263" s="159" t="str">
        <f>IF(AND(Y263&lt;&gt;"User Specified",Y263&lt;&gt;""), INDEX('Refrigerant GWPs'!$G$2:$G$154,MATCH(Y263,'Refrigerant GWPs'!$A$2:$A$154,0)),"")</f>
        <v/>
      </c>
      <c r="AA263" s="155"/>
      <c r="AB263" s="156"/>
      <c r="AC263" s="66"/>
      <c r="AD263" s="66"/>
      <c r="AE263" s="66"/>
      <c r="AF263" s="66"/>
      <c r="AG263" s="66"/>
      <c r="AH263" s="66"/>
      <c r="AI263" s="34"/>
      <c r="AJ263" s="88">
        <f t="shared" si="304"/>
        <v>0</v>
      </c>
      <c r="AK263" s="88">
        <f t="shared" si="305"/>
        <v>0</v>
      </c>
      <c r="AL263" s="88">
        <v>0</v>
      </c>
      <c r="AM263" s="88">
        <v>0</v>
      </c>
      <c r="AN263" s="81" t="str">
        <f t="shared" si="349"/>
        <v/>
      </c>
      <c r="AO263" s="88">
        <f t="shared" si="306"/>
        <v>0</v>
      </c>
      <c r="AP263" s="88">
        <f t="shared" si="307"/>
        <v>0</v>
      </c>
      <c r="AQ263" s="81" t="str">
        <f t="shared" si="308"/>
        <v/>
      </c>
      <c r="AS263" s="41" t="b">
        <f t="shared" si="309"/>
        <v>1</v>
      </c>
      <c r="AT263" s="38">
        <f t="shared" si="310"/>
        <v>0</v>
      </c>
      <c r="AU263" s="60">
        <f t="shared" si="311"/>
        <v>0</v>
      </c>
      <c r="AV263" s="41">
        <f t="shared" si="312"/>
        <v>0</v>
      </c>
      <c r="AW263" s="41" t="b">
        <f t="shared" si="313"/>
        <v>0</v>
      </c>
      <c r="AX263" t="str">
        <f t="shared" si="314"/>
        <v>+00</v>
      </c>
      <c r="AY263" t="str">
        <f t="shared" si="315"/>
        <v>+00</v>
      </c>
      <c r="BA263" s="47" t="b">
        <f t="shared" si="350"/>
        <v>1</v>
      </c>
      <c r="BB263" s="42" t="b">
        <f t="shared" si="351"/>
        <v>1</v>
      </c>
      <c r="BC263" s="42" t="b">
        <f t="shared" si="352"/>
        <v>0</v>
      </c>
      <c r="BD263" s="42" t="b">
        <f t="shared" si="353"/>
        <v>0</v>
      </c>
      <c r="BE263" s="70">
        <f t="shared" si="354"/>
        <v>0</v>
      </c>
      <c r="BF263" s="70">
        <f t="shared" si="355"/>
        <v>0</v>
      </c>
      <c r="BG263" s="34"/>
      <c r="BI263" s="47" t="b">
        <f t="shared" si="356"/>
        <v>1</v>
      </c>
      <c r="BJ263" s="47" t="b">
        <f t="shared" si="357"/>
        <v>1</v>
      </c>
      <c r="BK263" s="42" t="b">
        <f t="shared" si="358"/>
        <v>0</v>
      </c>
      <c r="BL263" s="42" t="b">
        <f t="shared" si="359"/>
        <v>0</v>
      </c>
      <c r="BM263" s="42">
        <f t="shared" si="360"/>
        <v>0</v>
      </c>
      <c r="BN263" s="42">
        <f t="shared" si="361"/>
        <v>0</v>
      </c>
      <c r="BP263" t="e">
        <f t="shared" si="362"/>
        <v>#N/A</v>
      </c>
      <c r="BQ263" t="e">
        <f t="shared" si="363"/>
        <v>#N/A</v>
      </c>
      <c r="BR263" t="e">
        <f t="shared" si="364"/>
        <v>#N/A</v>
      </c>
      <c r="BT263" s="60">
        <f t="shared" si="365"/>
        <v>0</v>
      </c>
      <c r="BU263" s="60">
        <f t="shared" si="366"/>
        <v>0</v>
      </c>
      <c r="BV263" s="60">
        <f t="shared" si="367"/>
        <v>0</v>
      </c>
      <c r="BW263" s="60">
        <f t="shared" si="368"/>
        <v>0</v>
      </c>
      <c r="BX263" s="60">
        <f t="shared" si="369"/>
        <v>0</v>
      </c>
      <c r="BY263" s="60">
        <f t="shared" si="370"/>
        <v>0</v>
      </c>
      <c r="BZ263" s="60">
        <f t="shared" si="371"/>
        <v>0</v>
      </c>
      <c r="CA263" s="60">
        <f t="shared" si="372"/>
        <v>0</v>
      </c>
      <c r="CB263" s="60" t="e">
        <f t="shared" si="320"/>
        <v>#N/A</v>
      </c>
      <c r="CC263" s="60">
        <f t="shared" si="321"/>
        <v>100000</v>
      </c>
      <c r="CD263" s="60" t="e">
        <f t="shared" si="322"/>
        <v>#N/A</v>
      </c>
      <c r="CE263" s="60">
        <f t="shared" si="323"/>
        <v>100000</v>
      </c>
      <c r="CF263" s="83" t="e">
        <f t="shared" si="373"/>
        <v>#N/A</v>
      </c>
      <c r="CG263" s="83">
        <f t="shared" si="374"/>
        <v>0</v>
      </c>
      <c r="CH263" s="83" t="e">
        <f t="shared" si="375"/>
        <v>#N/A</v>
      </c>
      <c r="CI263" s="83">
        <f t="shared" si="376"/>
        <v>0</v>
      </c>
      <c r="CJ263" s="86" t="e">
        <f t="shared" si="324"/>
        <v>#N/A</v>
      </c>
      <c r="CK263" s="82">
        <f t="shared" si="325"/>
        <v>5.3070370403969858E-3</v>
      </c>
      <c r="CL263" s="82" t="e">
        <f t="shared" si="326"/>
        <v>#N/A</v>
      </c>
      <c r="CM263" s="82">
        <f t="shared" si="327"/>
        <v>5.3070370403969858E-3</v>
      </c>
      <c r="CO263" s="149" t="str">
        <f>IF($I263&lt;&gt;"",IF(O263="User Specified",U263,INDEX('Refrigerant GWPs'!$G$2:$G$156,MATCH(O263,'Refrigerant GWPs'!$A$2:$A$156,0))),"")</f>
        <v/>
      </c>
      <c r="CP263" s="138" t="str">
        <f>IF($I263&lt;&gt;"",INDEX('Device Refrigerant Leakage'!$E$2:$E$42,MATCH($M263,'Device Refrigerant Leakage'!$B$2:$B$42,0)),"")</f>
        <v/>
      </c>
      <c r="CQ263" s="138" t="str">
        <f>IF($I263&lt;&gt;"",INDEX('Device Refrigerant Leakage'!$F$2:$F$42,MATCH($M263,'Device Refrigerant Leakage'!$B$2:$B$42,0)),"")</f>
        <v/>
      </c>
      <c r="CR263" s="145" t="str">
        <f>IF($I263&lt;&gt;"",INDEX('Device Refrigerant Leakage'!$G$2:$G$42,MATCH($M263,'Device Refrigerant Leakage'!$B$2:$B$42,0)),"")</f>
        <v/>
      </c>
      <c r="CS263" s="145" t="str">
        <f>IF($I263&lt;&gt;"",INDEX('Device Refrigerant Leakage'!$D$2:$D$42,MATCH($M263,'Device Refrigerant Leakage'!$B$2:$B$42,0))*CP263/2204.62*CO263,"")</f>
        <v/>
      </c>
      <c r="CT263" s="145" t="str">
        <f>IF($I263&lt;&gt;"",J263*(INDEX('Device Refrigerant Leakage'!$D$2:$D$42,MATCH($M263,'Device Refrigerant Leakage'!$B$2:$B$42,0))-(INDEX('Device Refrigerant Leakage'!$D$2:$D$42,MATCH($M263,'Device Refrigerant Leakage'!$B$2:$B$42,0)))*CR263*CP263)*CQ263/2204.62*CO263,"")</f>
        <v/>
      </c>
      <c r="CU263" s="135" t="str">
        <f>IF($I263&lt;&gt;"",J263*IF(W263&lt;&gt;"AR",(CS263*K263)+CT263,(CS263*AB263)+CT263*(AB263/INDEX('Device Refrigerant Leakage'!$C$2:$C$42,MATCH($M263,'Device Refrigerant Leakage'!$B$2:$B$42,0)))),"")</f>
        <v/>
      </c>
      <c r="CW263" s="135" t="str">
        <f>IF($I263&lt;&gt;"",IF(S263="User Specified",V263,INDEX('Refrigerant GWPs'!$G$2:$G$156,MATCH(S263,'Refrigerant GWPs'!$A$2:$A$157,0))),"")</f>
        <v/>
      </c>
      <c r="CX263" s="138" t="str">
        <f>IF($I263&lt;&gt;"",INDEX('Device Refrigerant Leakage'!$E$2:$E$42,MATCH($Q263,'Device Refrigerant Leakage'!$B$2:$B$42,0)),"")</f>
        <v/>
      </c>
      <c r="CY263" s="138" t="str">
        <f>IF($I263&lt;&gt;"",INDEX('Device Refrigerant Leakage'!$F$2:$F$42,MATCH($Q263,'Device Refrigerant Leakage'!$B$2:$B$42,0)),"")</f>
        <v/>
      </c>
      <c r="CZ263" s="145" t="str">
        <f>IF($I263&lt;&gt;"",INDEX('Device Refrigerant Leakage'!$G$2:$G$42,MATCH($Q263,'Device Refrigerant Leakage'!$B$2:$B$42,0)),"")</f>
        <v/>
      </c>
      <c r="DA263" s="145" t="str">
        <f>IF($I263&lt;&gt;"",J263*INDEX('Device Refrigerant Leakage'!$D$2:$D$42,MATCH($Q263,'Device Refrigerant Leakage'!$B$2:$B$42,0))*CX263/2204.62*CW263,"")</f>
        <v/>
      </c>
      <c r="DB263" s="145" t="str">
        <f>IF($I263&lt;&gt;"",J263*(INDEX('Device Refrigerant Leakage'!$D$2:$D$42,MATCH($Q263,'Device Refrigerant Leakage'!$B$2:$B$42,0))-(INDEX('Device Refrigerant Leakage'!$D$2:$D$42,MATCH($Q263,'Device Refrigerant Leakage'!$B$2:$B$42,0)))*CZ263*CX263)*CY263/2204.62*CW263,"")</f>
        <v/>
      </c>
      <c r="DC263" s="135" t="str">
        <f t="shared" si="348"/>
        <v/>
      </c>
      <c r="DE263" s="146" t="str">
        <f>IF(W263&lt;&gt;"AR","",IF(Y263="User Specified", AA263, INDEX('Refrigerant GWPs'!$G$2:$G$154,MATCH(Y263,'Refrigerant GWPs'!$A$2:$A$154,0))))</f>
        <v/>
      </c>
      <c r="DF263" s="146" t="str">
        <f>IF(W263&lt;&gt;"AR","",INDEX('Device Refrigerant Leakage'!$E$2:$E$42,MATCH(X263,'Device Refrigerant Leakage'!$B$2:$B$42,0)))</f>
        <v/>
      </c>
      <c r="DG263" s="146" t="str">
        <f>IF(W263&lt;&gt;"AR","",INDEX('Device Refrigerant Leakage'!$F$2:$F$42,MATCH(X263,'Device Refrigerant Leakage'!$B$2:$B$42,0)))</f>
        <v/>
      </c>
      <c r="DH263" s="146" t="str">
        <f>IF(W263&lt;&gt;"AR","",INDEX('Device Refrigerant Leakage'!$G$2:$G$42,MATCH(X263,'Device Refrigerant Leakage'!$B$2:$B$42,0)))</f>
        <v/>
      </c>
      <c r="DI263" s="146" t="str">
        <f>IF(W263&lt;&gt;"AR","",J263*INDEX('Device Refrigerant Leakage'!$D$2:$D$42,MATCH(X263,'Device Refrigerant Leakage'!$B$2:$B$42,0))*DF263/2204.62*DE263)</f>
        <v/>
      </c>
      <c r="DJ263" s="146" t="str">
        <f>IF(W263&lt;&gt;"AR","",J263*(INDEX('Device Refrigerant Leakage'!$D$2:$D$42,MATCH(X263,'Device Refrigerant Leakage'!$B$2:$B$42,0))-(INDEX('Device Refrigerant Leakage'!$D$2:$D$42,MATCH(X263,'Device Refrigerant Leakage'!$B$2:$B$42,0)))*DH263*DF263)*DG263/2204.62*DE263)</f>
        <v/>
      </c>
      <c r="DK263" s="146" t="str">
        <f>IF(W263&lt;&gt;"AR","",DI263*(K263-AB263)+'Fuel Sub Calcs-Deemed'!DJ263*((K263-AB263)/INDEX('Device Refrigerant Leakage'!$C$2:$C$42,MATCH('Fuel Sub Calcs-Deemed'!X263,'Device Refrigerant Leakage'!$B$2:$B$42,0))))</f>
        <v/>
      </c>
      <c r="DM263" s="56">
        <v>249</v>
      </c>
      <c r="DN263" s="67" t="e">
        <f t="shared" si="328"/>
        <v>#N/A</v>
      </c>
      <c r="DO263" s="45" t="e">
        <f t="shared" si="329"/>
        <v>#N/A</v>
      </c>
      <c r="DP263" s="67" t="e">
        <f t="shared" si="330"/>
        <v>#N/A</v>
      </c>
      <c r="DQ263" s="45" t="e">
        <f t="shared" si="331"/>
        <v>#N/A</v>
      </c>
      <c r="DR263" s="69" t="e">
        <f t="shared" si="332"/>
        <v>#N/A</v>
      </c>
      <c r="DS263" s="34"/>
      <c r="DT263" s="67" t="e">
        <f>((BX263*CJ263)+IF($W263=MAT_AR,(BZ263*CL263),0))*(1+Reference!$E$50+Reference!$E$51)</f>
        <v>#N/A</v>
      </c>
      <c r="DU263" s="67">
        <f>((BY263*CK263)+IF($W263=MAT_AR,(CA263*CM263),0))*(1+Reference!$G$50+Reference!$G$51)</f>
        <v>0</v>
      </c>
      <c r="DV263" s="67" t="e">
        <f t="shared" si="333"/>
        <v>#VALUE!</v>
      </c>
      <c r="DX263" s="56">
        <v>249</v>
      </c>
      <c r="DY263" s="67">
        <f t="shared" si="334"/>
        <v>0</v>
      </c>
      <c r="DZ263" s="45" t="e">
        <f>VLOOKUP($R263,Dropdown!$C$3:$D$4,2,FALSE)</f>
        <v>#N/A</v>
      </c>
      <c r="EA263" s="68">
        <f t="shared" si="335"/>
        <v>0</v>
      </c>
      <c r="EB263" s="68" t="str">
        <f t="shared" si="336"/>
        <v>N/A</v>
      </c>
      <c r="EC263" s="68">
        <f t="shared" si="337"/>
        <v>0</v>
      </c>
      <c r="ED263" s="68" t="str">
        <f t="shared" si="377"/>
        <v>N/A</v>
      </c>
      <c r="EF263" s="56">
        <v>249</v>
      </c>
      <c r="EG263" s="46">
        <f t="shared" si="339"/>
        <v>0</v>
      </c>
      <c r="EH263" s="68" t="e">
        <f t="shared" si="340"/>
        <v>#N/A</v>
      </c>
      <c r="EI263" s="68" t="e">
        <f t="shared" si="341"/>
        <v>#N/A</v>
      </c>
      <c r="EJ263" s="68" t="e">
        <f t="shared" si="342"/>
        <v>#N/A</v>
      </c>
      <c r="EK263" s="68" t="e">
        <f t="shared" si="343"/>
        <v>#N/A</v>
      </c>
      <c r="EL263" s="46">
        <f t="shared" si="344"/>
        <v>0</v>
      </c>
      <c r="EM263" s="46">
        <f t="shared" si="345"/>
        <v>0</v>
      </c>
    </row>
    <row r="264" spans="1:143">
      <c r="A264" s="89"/>
      <c r="B264" s="89"/>
      <c r="C264" s="89"/>
      <c r="D264" s="89"/>
      <c r="E264" s="89"/>
      <c r="F264" s="89"/>
      <c r="G264" s="34"/>
      <c r="H264" s="56">
        <f t="shared" si="346"/>
        <v>250</v>
      </c>
      <c r="I264" s="165"/>
      <c r="J264" s="163"/>
      <c r="K264" s="163"/>
      <c r="L264" s="164"/>
      <c r="M264" s="155"/>
      <c r="N264" s="155"/>
      <c r="O264" s="144"/>
      <c r="P264" s="159" t="str">
        <f>IFERROR(IF(O264&lt;&gt;"User Specified",IF(O264&lt;&gt;"", INDEX('Refrigerant GWPs'!$G$2:$G$154,MATCH(O264,'Refrigerant GWPs'!$A$2:$A$154,0)),""),U264),0)</f>
        <v/>
      </c>
      <c r="Q264" s="155"/>
      <c r="R264" s="155"/>
      <c r="S264" s="144"/>
      <c r="T264" s="159" t="str">
        <f>IF(S264&lt;&gt;"User Specified",IF(AND(S264&lt;&gt;"User Specified",S264&lt;&gt;""), INDEX('Refrigerant GWPs'!$G$2:$G$154,MATCH(S264,'Refrigerant GWPs'!$A$2:$A$154,0)),""),V264)</f>
        <v/>
      </c>
      <c r="U264" s="144"/>
      <c r="V264" s="144"/>
      <c r="W264" s="155"/>
      <c r="X264" s="155"/>
      <c r="Y264" s="144"/>
      <c r="Z264" s="159" t="str">
        <f>IF(AND(Y264&lt;&gt;"User Specified",Y264&lt;&gt;""), INDEX('Refrigerant GWPs'!$G$2:$G$154,MATCH(Y264,'Refrigerant GWPs'!$A$2:$A$154,0)),"")</f>
        <v/>
      </c>
      <c r="AA264" s="155"/>
      <c r="AB264" s="156"/>
      <c r="AC264" s="66"/>
      <c r="AD264" s="66"/>
      <c r="AE264" s="66"/>
      <c r="AF264" s="66"/>
      <c r="AG264" s="66"/>
      <c r="AH264" s="66"/>
      <c r="AI264" s="34"/>
      <c r="AJ264" s="88">
        <f t="shared" si="304"/>
        <v>0</v>
      </c>
      <c r="AK264" s="88">
        <f t="shared" si="305"/>
        <v>0</v>
      </c>
      <c r="AL264" s="88">
        <v>0</v>
      </c>
      <c r="AM264" s="88">
        <v>0</v>
      </c>
      <c r="AN264" s="81" t="str">
        <f t="shared" si="349"/>
        <v/>
      </c>
      <c r="AO264" s="88">
        <f t="shared" si="306"/>
        <v>0</v>
      </c>
      <c r="AP264" s="88">
        <f t="shared" si="307"/>
        <v>0</v>
      </c>
      <c r="AQ264" s="81" t="str">
        <f t="shared" si="308"/>
        <v/>
      </c>
      <c r="AS264" s="41" t="b">
        <f t="shared" si="309"/>
        <v>1</v>
      </c>
      <c r="AT264" s="38">
        <f t="shared" si="310"/>
        <v>0</v>
      </c>
      <c r="AU264" s="60">
        <f t="shared" si="311"/>
        <v>0</v>
      </c>
      <c r="AV264" s="41">
        <f t="shared" si="312"/>
        <v>0</v>
      </c>
      <c r="AW264" s="41" t="b">
        <f t="shared" si="313"/>
        <v>0</v>
      </c>
      <c r="AX264" t="str">
        <f t="shared" si="314"/>
        <v>+00</v>
      </c>
      <c r="AY264" t="str">
        <f t="shared" si="315"/>
        <v>+00</v>
      </c>
      <c r="BA264" s="47" t="b">
        <f t="shared" si="350"/>
        <v>1</v>
      </c>
      <c r="BB264" s="42" t="b">
        <f t="shared" si="351"/>
        <v>1</v>
      </c>
      <c r="BC264" s="42" t="b">
        <f t="shared" si="352"/>
        <v>0</v>
      </c>
      <c r="BD264" s="42" t="b">
        <f t="shared" si="353"/>
        <v>0</v>
      </c>
      <c r="BE264" s="70">
        <f t="shared" si="354"/>
        <v>0</v>
      </c>
      <c r="BF264" s="70">
        <f t="shared" si="355"/>
        <v>0</v>
      </c>
      <c r="BG264" s="34"/>
      <c r="BI264" s="47" t="b">
        <f t="shared" si="356"/>
        <v>1</v>
      </c>
      <c r="BJ264" s="47" t="b">
        <f t="shared" si="357"/>
        <v>1</v>
      </c>
      <c r="BK264" s="42" t="b">
        <f t="shared" si="358"/>
        <v>0</v>
      </c>
      <c r="BL264" s="42" t="b">
        <f t="shared" si="359"/>
        <v>0</v>
      </c>
      <c r="BM264" s="42">
        <f t="shared" si="360"/>
        <v>0</v>
      </c>
      <c r="BN264" s="42">
        <f t="shared" si="361"/>
        <v>0</v>
      </c>
      <c r="BP264" t="e">
        <f t="shared" si="362"/>
        <v>#N/A</v>
      </c>
      <c r="BQ264" t="e">
        <f t="shared" si="363"/>
        <v>#N/A</v>
      </c>
      <c r="BR264" t="e">
        <f t="shared" si="364"/>
        <v>#N/A</v>
      </c>
      <c r="BT264" s="60">
        <f t="shared" si="365"/>
        <v>0</v>
      </c>
      <c r="BU264" s="60">
        <f t="shared" si="366"/>
        <v>0</v>
      </c>
      <c r="BV264" s="60">
        <f t="shared" si="367"/>
        <v>0</v>
      </c>
      <c r="BW264" s="60">
        <f t="shared" si="368"/>
        <v>0</v>
      </c>
      <c r="BX264" s="60">
        <f t="shared" si="369"/>
        <v>0</v>
      </c>
      <c r="BY264" s="60">
        <f t="shared" si="370"/>
        <v>0</v>
      </c>
      <c r="BZ264" s="60">
        <f t="shared" si="371"/>
        <v>0</v>
      </c>
      <c r="CA264" s="60">
        <f t="shared" si="372"/>
        <v>0</v>
      </c>
      <c r="CB264" s="60" t="e">
        <f t="shared" si="320"/>
        <v>#N/A</v>
      </c>
      <c r="CC264" s="60">
        <f t="shared" si="321"/>
        <v>100000</v>
      </c>
      <c r="CD264" s="60" t="e">
        <f t="shared" si="322"/>
        <v>#N/A</v>
      </c>
      <c r="CE264" s="60">
        <f t="shared" si="323"/>
        <v>100000</v>
      </c>
      <c r="CF264" s="83" t="e">
        <f t="shared" si="373"/>
        <v>#N/A</v>
      </c>
      <c r="CG264" s="83">
        <f t="shared" si="374"/>
        <v>0</v>
      </c>
      <c r="CH264" s="83" t="e">
        <f t="shared" si="375"/>
        <v>#N/A</v>
      </c>
      <c r="CI264" s="83">
        <f t="shared" si="376"/>
        <v>0</v>
      </c>
      <c r="CJ264" s="86" t="e">
        <f t="shared" si="324"/>
        <v>#N/A</v>
      </c>
      <c r="CK264" s="82">
        <f t="shared" si="325"/>
        <v>5.3070370403969858E-3</v>
      </c>
      <c r="CL264" s="82" t="e">
        <f t="shared" si="326"/>
        <v>#N/A</v>
      </c>
      <c r="CM264" s="82">
        <f t="shared" si="327"/>
        <v>5.3070370403969858E-3</v>
      </c>
      <c r="CO264" s="149" t="str">
        <f>IF($I264&lt;&gt;"",IF(O264="User Specified",U264,INDEX('Refrigerant GWPs'!$G$2:$G$156,MATCH(O264,'Refrigerant GWPs'!$A$2:$A$156,0))),"")</f>
        <v/>
      </c>
      <c r="CP264" s="138" t="str">
        <f>IF($I264&lt;&gt;"",INDEX('Device Refrigerant Leakage'!$E$2:$E$42,MATCH($M264,'Device Refrigerant Leakage'!$B$2:$B$42,0)),"")</f>
        <v/>
      </c>
      <c r="CQ264" s="138" t="str">
        <f>IF($I264&lt;&gt;"",INDEX('Device Refrigerant Leakage'!$F$2:$F$42,MATCH($M264,'Device Refrigerant Leakage'!$B$2:$B$42,0)),"")</f>
        <v/>
      </c>
      <c r="CR264" s="145" t="str">
        <f>IF($I264&lt;&gt;"",INDEX('Device Refrigerant Leakage'!$G$2:$G$42,MATCH($M264,'Device Refrigerant Leakage'!$B$2:$B$42,0)),"")</f>
        <v/>
      </c>
      <c r="CS264" s="145" t="str">
        <f>IF($I264&lt;&gt;"",INDEX('Device Refrigerant Leakage'!$D$2:$D$42,MATCH($M264,'Device Refrigerant Leakage'!$B$2:$B$42,0))*CP264/2204.62*CO264,"")</f>
        <v/>
      </c>
      <c r="CT264" s="145" t="str">
        <f>IF($I264&lt;&gt;"",J264*(INDEX('Device Refrigerant Leakage'!$D$2:$D$42,MATCH($M264,'Device Refrigerant Leakage'!$B$2:$B$42,0))-(INDEX('Device Refrigerant Leakage'!$D$2:$D$42,MATCH($M264,'Device Refrigerant Leakage'!$B$2:$B$42,0)))*CR264*CP264)*CQ264/2204.62*CO264,"")</f>
        <v/>
      </c>
      <c r="CU264" s="135" t="str">
        <f>IF($I264&lt;&gt;"",J264*IF(W264&lt;&gt;"AR",(CS264*K264)+CT264,(CS264*AB264)+CT264*(AB264/INDEX('Device Refrigerant Leakage'!$C$2:$C$42,MATCH($M264,'Device Refrigerant Leakage'!$B$2:$B$42,0)))),"")</f>
        <v/>
      </c>
      <c r="CW264" s="135" t="str">
        <f>IF($I264&lt;&gt;"",IF(S264="User Specified",V264,INDEX('Refrigerant GWPs'!$G$2:$G$156,MATCH(S264,'Refrigerant GWPs'!$A$2:$A$157,0))),"")</f>
        <v/>
      </c>
      <c r="CX264" s="138" t="str">
        <f>IF($I264&lt;&gt;"",INDEX('Device Refrigerant Leakage'!$E$2:$E$42,MATCH($Q264,'Device Refrigerant Leakage'!$B$2:$B$42,0)),"")</f>
        <v/>
      </c>
      <c r="CY264" s="138" t="str">
        <f>IF($I264&lt;&gt;"",INDEX('Device Refrigerant Leakage'!$F$2:$F$42,MATCH($Q264,'Device Refrigerant Leakage'!$B$2:$B$42,0)),"")</f>
        <v/>
      </c>
      <c r="CZ264" s="145" t="str">
        <f>IF($I264&lt;&gt;"",INDEX('Device Refrigerant Leakage'!$G$2:$G$42,MATCH($Q264,'Device Refrigerant Leakage'!$B$2:$B$42,0)),"")</f>
        <v/>
      </c>
      <c r="DA264" s="145" t="str">
        <f>IF($I264&lt;&gt;"",J264*INDEX('Device Refrigerant Leakage'!$D$2:$D$42,MATCH($Q264,'Device Refrigerant Leakage'!$B$2:$B$42,0))*CX264/2204.62*CW264,"")</f>
        <v/>
      </c>
      <c r="DB264" s="145" t="str">
        <f>IF($I264&lt;&gt;"",J264*(INDEX('Device Refrigerant Leakage'!$D$2:$D$42,MATCH($Q264,'Device Refrigerant Leakage'!$B$2:$B$42,0))-(INDEX('Device Refrigerant Leakage'!$D$2:$D$42,MATCH($Q264,'Device Refrigerant Leakage'!$B$2:$B$42,0)))*CZ264*CX264)*CY264/2204.62*CW264,"")</f>
        <v/>
      </c>
      <c r="DC264" s="135" t="str">
        <f t="shared" si="348"/>
        <v/>
      </c>
      <c r="DE264" s="146" t="str">
        <f>IF(W264&lt;&gt;"AR","",IF(Y264="User Specified", AA264, INDEX('Refrigerant GWPs'!$G$2:$G$154,MATCH(Y264,'Refrigerant GWPs'!$A$2:$A$154,0))))</f>
        <v/>
      </c>
      <c r="DF264" s="146" t="str">
        <f>IF(W264&lt;&gt;"AR","",INDEX('Device Refrigerant Leakage'!$E$2:$E$42,MATCH(X264,'Device Refrigerant Leakage'!$B$2:$B$42,0)))</f>
        <v/>
      </c>
      <c r="DG264" s="146" t="str">
        <f>IF(W264&lt;&gt;"AR","",INDEX('Device Refrigerant Leakage'!$F$2:$F$42,MATCH(X264,'Device Refrigerant Leakage'!$B$2:$B$42,0)))</f>
        <v/>
      </c>
      <c r="DH264" s="146" t="str">
        <f>IF(W264&lt;&gt;"AR","",INDEX('Device Refrigerant Leakage'!$G$2:$G$42,MATCH(X264,'Device Refrigerant Leakage'!$B$2:$B$42,0)))</f>
        <v/>
      </c>
      <c r="DI264" s="146" t="str">
        <f>IF(W264&lt;&gt;"AR","",J264*INDEX('Device Refrigerant Leakage'!$D$2:$D$42,MATCH(X264,'Device Refrigerant Leakage'!$B$2:$B$42,0))*DF264/2204.62*DE264)</f>
        <v/>
      </c>
      <c r="DJ264" s="146" t="str">
        <f>IF(W264&lt;&gt;"AR","",J264*(INDEX('Device Refrigerant Leakage'!$D$2:$D$42,MATCH(X264,'Device Refrigerant Leakage'!$B$2:$B$42,0))-(INDEX('Device Refrigerant Leakage'!$D$2:$D$42,MATCH(X264,'Device Refrigerant Leakage'!$B$2:$B$42,0)))*DH264*DF264)*DG264/2204.62*DE264)</f>
        <v/>
      </c>
      <c r="DK264" s="146" t="str">
        <f>IF(W264&lt;&gt;"AR","",DI264*(K264-AB264)+'Fuel Sub Calcs-Deemed'!DJ264*((K264-AB264)/INDEX('Device Refrigerant Leakage'!$C$2:$C$42,MATCH('Fuel Sub Calcs-Deemed'!X264,'Device Refrigerant Leakage'!$B$2:$B$42,0))))</f>
        <v/>
      </c>
      <c r="DM264" s="56">
        <v>250</v>
      </c>
      <c r="DN264" s="67" t="e">
        <f t="shared" si="328"/>
        <v>#N/A</v>
      </c>
      <c r="DO264" s="45" t="e">
        <f t="shared" si="329"/>
        <v>#N/A</v>
      </c>
      <c r="DP264" s="67" t="e">
        <f t="shared" si="330"/>
        <v>#N/A</v>
      </c>
      <c r="DQ264" s="45" t="e">
        <f t="shared" si="331"/>
        <v>#N/A</v>
      </c>
      <c r="DR264" s="69" t="e">
        <f t="shared" si="332"/>
        <v>#N/A</v>
      </c>
      <c r="DS264" s="34"/>
      <c r="DT264" s="67" t="e">
        <f>((BX264*CJ264)+IF($W264=MAT_AR,(BZ264*CL264),0))*(1+Reference!$E$50+Reference!$E$51)</f>
        <v>#N/A</v>
      </c>
      <c r="DU264" s="67">
        <f>((BY264*CK264)+IF($W264=MAT_AR,(CA264*CM264),0))*(1+Reference!$G$50+Reference!$G$51)</f>
        <v>0</v>
      </c>
      <c r="DV264" s="67" t="e">
        <f t="shared" si="333"/>
        <v>#VALUE!</v>
      </c>
      <c r="DX264" s="56">
        <v>250</v>
      </c>
      <c r="DY264" s="67">
        <f t="shared" si="334"/>
        <v>0</v>
      </c>
      <c r="DZ264" s="45" t="e">
        <f>VLOOKUP($R264,Dropdown!$C$3:$D$4,2,FALSE)</f>
        <v>#N/A</v>
      </c>
      <c r="EA264" s="68">
        <f t="shared" si="335"/>
        <v>0</v>
      </c>
      <c r="EB264" s="68" t="str">
        <f t="shared" si="336"/>
        <v>N/A</v>
      </c>
      <c r="EC264" s="68">
        <f t="shared" si="337"/>
        <v>0</v>
      </c>
      <c r="ED264" s="68" t="str">
        <f t="shared" si="377"/>
        <v>N/A</v>
      </c>
      <c r="EF264" s="56">
        <v>250</v>
      </c>
      <c r="EG264" s="46">
        <f t="shared" si="339"/>
        <v>0</v>
      </c>
      <c r="EH264" s="68" t="e">
        <f t="shared" si="340"/>
        <v>#N/A</v>
      </c>
      <c r="EI264" s="68" t="e">
        <f t="shared" si="341"/>
        <v>#N/A</v>
      </c>
      <c r="EJ264" s="68" t="e">
        <f t="shared" si="342"/>
        <v>#N/A</v>
      </c>
      <c r="EK264" s="68" t="e">
        <f t="shared" si="343"/>
        <v>#N/A</v>
      </c>
      <c r="EL264" s="46">
        <f t="shared" si="344"/>
        <v>0</v>
      </c>
      <c r="EM264" s="46">
        <f t="shared" si="345"/>
        <v>0</v>
      </c>
    </row>
    <row r="265" spans="1:143">
      <c r="A265" s="89"/>
      <c r="B265" s="89"/>
      <c r="C265" s="89"/>
      <c r="D265" s="89"/>
      <c r="E265" s="89"/>
      <c r="F265" s="89"/>
      <c r="G265" s="34"/>
      <c r="H265" s="56">
        <f t="shared" si="346"/>
        <v>251</v>
      </c>
      <c r="I265" s="165"/>
      <c r="J265" s="163"/>
      <c r="K265" s="163"/>
      <c r="L265" s="164"/>
      <c r="M265" s="155"/>
      <c r="N265" s="155"/>
      <c r="O265" s="144"/>
      <c r="P265" s="159" t="str">
        <f>IFERROR(IF(O265&lt;&gt;"User Specified",IF(O265&lt;&gt;"", INDEX('Refrigerant GWPs'!$G$2:$G$154,MATCH(O265,'Refrigerant GWPs'!$A$2:$A$154,0)),""),U265),0)</f>
        <v/>
      </c>
      <c r="Q265" s="155"/>
      <c r="R265" s="155"/>
      <c r="S265" s="144"/>
      <c r="T265" s="159" t="str">
        <f>IF(S265&lt;&gt;"User Specified",IF(AND(S265&lt;&gt;"User Specified",S265&lt;&gt;""), INDEX('Refrigerant GWPs'!$G$2:$G$154,MATCH(S265,'Refrigerant GWPs'!$A$2:$A$154,0)),""),V265)</f>
        <v/>
      </c>
      <c r="U265" s="144"/>
      <c r="V265" s="144"/>
      <c r="W265" s="155"/>
      <c r="X265" s="155"/>
      <c r="Y265" s="144"/>
      <c r="Z265" s="159" t="str">
        <f>IF(AND(Y265&lt;&gt;"User Specified",Y265&lt;&gt;""), INDEX('Refrigerant GWPs'!$G$2:$G$154,MATCH(Y265,'Refrigerant GWPs'!$A$2:$A$154,0)),"")</f>
        <v/>
      </c>
      <c r="AA265" s="155"/>
      <c r="AB265" s="156"/>
      <c r="AC265" s="66"/>
      <c r="AD265" s="66"/>
      <c r="AE265" s="66"/>
      <c r="AF265" s="66"/>
      <c r="AG265" s="66"/>
      <c r="AH265" s="66"/>
      <c r="AI265" s="34"/>
      <c r="AJ265" s="88">
        <f t="shared" si="304"/>
        <v>0</v>
      </c>
      <c r="AK265" s="88">
        <f t="shared" si="305"/>
        <v>0</v>
      </c>
      <c r="AL265" s="88">
        <v>0</v>
      </c>
      <c r="AM265" s="88">
        <v>0</v>
      </c>
      <c r="AN265" s="81" t="str">
        <f t="shared" si="349"/>
        <v/>
      </c>
      <c r="AO265" s="88">
        <f t="shared" si="306"/>
        <v>0</v>
      </c>
      <c r="AP265" s="88">
        <f t="shared" si="307"/>
        <v>0</v>
      </c>
      <c r="AQ265" s="81" t="str">
        <f t="shared" si="308"/>
        <v/>
      </c>
      <c r="AS265" s="41" t="b">
        <f t="shared" si="309"/>
        <v>1</v>
      </c>
      <c r="AT265" s="38">
        <f t="shared" si="310"/>
        <v>0</v>
      </c>
      <c r="AU265" s="60">
        <f t="shared" si="311"/>
        <v>0</v>
      </c>
      <c r="AV265" s="41">
        <f t="shared" si="312"/>
        <v>0</v>
      </c>
      <c r="AW265" s="41" t="b">
        <f t="shared" si="313"/>
        <v>0</v>
      </c>
      <c r="AX265" t="str">
        <f t="shared" si="314"/>
        <v>+00</v>
      </c>
      <c r="AY265" t="str">
        <f t="shared" si="315"/>
        <v>+00</v>
      </c>
      <c r="BA265" s="47" t="b">
        <f t="shared" si="350"/>
        <v>1</v>
      </c>
      <c r="BB265" s="42" t="b">
        <f t="shared" si="351"/>
        <v>1</v>
      </c>
      <c r="BC265" s="42" t="b">
        <f t="shared" si="352"/>
        <v>0</v>
      </c>
      <c r="BD265" s="42" t="b">
        <f t="shared" si="353"/>
        <v>0</v>
      </c>
      <c r="BE265" s="70">
        <f t="shared" si="354"/>
        <v>0</v>
      </c>
      <c r="BF265" s="70">
        <f t="shared" si="355"/>
        <v>0</v>
      </c>
      <c r="BG265" s="34"/>
      <c r="BI265" s="47" t="b">
        <f t="shared" si="356"/>
        <v>1</v>
      </c>
      <c r="BJ265" s="47" t="b">
        <f t="shared" si="357"/>
        <v>1</v>
      </c>
      <c r="BK265" s="42" t="b">
        <f t="shared" si="358"/>
        <v>0</v>
      </c>
      <c r="BL265" s="42" t="b">
        <f t="shared" si="359"/>
        <v>0</v>
      </c>
      <c r="BM265" s="42">
        <f t="shared" si="360"/>
        <v>0</v>
      </c>
      <c r="BN265" s="42">
        <f t="shared" si="361"/>
        <v>0</v>
      </c>
      <c r="BP265" t="e">
        <f t="shared" si="362"/>
        <v>#N/A</v>
      </c>
      <c r="BQ265" t="e">
        <f t="shared" si="363"/>
        <v>#N/A</v>
      </c>
      <c r="BR265" t="e">
        <f t="shared" si="364"/>
        <v>#N/A</v>
      </c>
      <c r="BT265" s="60">
        <f t="shared" si="365"/>
        <v>0</v>
      </c>
      <c r="BU265" s="60">
        <f t="shared" si="366"/>
        <v>0</v>
      </c>
      <c r="BV265" s="60">
        <f t="shared" si="367"/>
        <v>0</v>
      </c>
      <c r="BW265" s="60">
        <f t="shared" si="368"/>
        <v>0</v>
      </c>
      <c r="BX265" s="60">
        <f t="shared" si="369"/>
        <v>0</v>
      </c>
      <c r="BY265" s="60">
        <f t="shared" si="370"/>
        <v>0</v>
      </c>
      <c r="BZ265" s="60">
        <f t="shared" si="371"/>
        <v>0</v>
      </c>
      <c r="CA265" s="60">
        <f t="shared" si="372"/>
        <v>0</v>
      </c>
      <c r="CB265" s="60" t="e">
        <f t="shared" si="320"/>
        <v>#N/A</v>
      </c>
      <c r="CC265" s="60">
        <f t="shared" si="321"/>
        <v>100000</v>
      </c>
      <c r="CD265" s="60" t="e">
        <f t="shared" si="322"/>
        <v>#N/A</v>
      </c>
      <c r="CE265" s="60">
        <f t="shared" si="323"/>
        <v>100000</v>
      </c>
      <c r="CF265" s="83" t="e">
        <f t="shared" si="373"/>
        <v>#N/A</v>
      </c>
      <c r="CG265" s="83">
        <f t="shared" si="374"/>
        <v>0</v>
      </c>
      <c r="CH265" s="83" t="e">
        <f t="shared" si="375"/>
        <v>#N/A</v>
      </c>
      <c r="CI265" s="83">
        <f t="shared" si="376"/>
        <v>0</v>
      </c>
      <c r="CJ265" s="86" t="e">
        <f t="shared" si="324"/>
        <v>#N/A</v>
      </c>
      <c r="CK265" s="82">
        <f t="shared" si="325"/>
        <v>5.3070370403969858E-3</v>
      </c>
      <c r="CL265" s="82" t="e">
        <f t="shared" si="326"/>
        <v>#N/A</v>
      </c>
      <c r="CM265" s="82">
        <f t="shared" si="327"/>
        <v>5.3070370403969858E-3</v>
      </c>
      <c r="CO265" s="149" t="str">
        <f>IF($I265&lt;&gt;"",IF(O265="User Specified",U265,INDEX('Refrigerant GWPs'!$G$2:$G$156,MATCH(O265,'Refrigerant GWPs'!$A$2:$A$156,0))),"")</f>
        <v/>
      </c>
      <c r="CP265" s="138" t="str">
        <f>IF($I265&lt;&gt;"",INDEX('Device Refrigerant Leakage'!$E$2:$E$42,MATCH($M265,'Device Refrigerant Leakage'!$B$2:$B$42,0)),"")</f>
        <v/>
      </c>
      <c r="CQ265" s="138" t="str">
        <f>IF($I265&lt;&gt;"",INDEX('Device Refrigerant Leakage'!$F$2:$F$42,MATCH($M265,'Device Refrigerant Leakage'!$B$2:$B$42,0)),"")</f>
        <v/>
      </c>
      <c r="CR265" s="145" t="str">
        <f>IF($I265&lt;&gt;"",INDEX('Device Refrigerant Leakage'!$G$2:$G$42,MATCH($M265,'Device Refrigerant Leakage'!$B$2:$B$42,0)),"")</f>
        <v/>
      </c>
      <c r="CS265" s="145" t="str">
        <f>IF($I265&lt;&gt;"",INDEX('Device Refrigerant Leakage'!$D$2:$D$42,MATCH($M265,'Device Refrigerant Leakage'!$B$2:$B$42,0))*CP265/2204.62*CO265,"")</f>
        <v/>
      </c>
      <c r="CT265" s="145" t="str">
        <f>IF($I265&lt;&gt;"",J265*(INDEX('Device Refrigerant Leakage'!$D$2:$D$42,MATCH($M265,'Device Refrigerant Leakage'!$B$2:$B$42,0))-(INDEX('Device Refrigerant Leakage'!$D$2:$D$42,MATCH($M265,'Device Refrigerant Leakage'!$B$2:$B$42,0)))*CR265*CP265)*CQ265/2204.62*CO265,"")</f>
        <v/>
      </c>
      <c r="CU265" s="135" t="str">
        <f>IF($I265&lt;&gt;"",J265*IF(W265&lt;&gt;"AR",(CS265*K265)+CT265,(CS265*AB265)+CT265*(AB265/INDEX('Device Refrigerant Leakage'!$C$2:$C$42,MATCH($M265,'Device Refrigerant Leakage'!$B$2:$B$42,0)))),"")</f>
        <v/>
      </c>
      <c r="CW265" s="135" t="str">
        <f>IF($I265&lt;&gt;"",IF(S265="User Specified",V265,INDEX('Refrigerant GWPs'!$G$2:$G$156,MATCH(S265,'Refrigerant GWPs'!$A$2:$A$157,0))),"")</f>
        <v/>
      </c>
      <c r="CX265" s="138" t="str">
        <f>IF($I265&lt;&gt;"",INDEX('Device Refrigerant Leakage'!$E$2:$E$42,MATCH($Q265,'Device Refrigerant Leakage'!$B$2:$B$42,0)),"")</f>
        <v/>
      </c>
      <c r="CY265" s="138" t="str">
        <f>IF($I265&lt;&gt;"",INDEX('Device Refrigerant Leakage'!$F$2:$F$42,MATCH($Q265,'Device Refrigerant Leakage'!$B$2:$B$42,0)),"")</f>
        <v/>
      </c>
      <c r="CZ265" s="145" t="str">
        <f>IF($I265&lt;&gt;"",INDEX('Device Refrigerant Leakage'!$G$2:$G$42,MATCH($Q265,'Device Refrigerant Leakage'!$B$2:$B$42,0)),"")</f>
        <v/>
      </c>
      <c r="DA265" s="145" t="str">
        <f>IF($I265&lt;&gt;"",J265*INDEX('Device Refrigerant Leakage'!$D$2:$D$42,MATCH($Q265,'Device Refrigerant Leakage'!$B$2:$B$42,0))*CX265/2204.62*CW265,"")</f>
        <v/>
      </c>
      <c r="DB265" s="145" t="str">
        <f>IF($I265&lt;&gt;"",J265*(INDEX('Device Refrigerant Leakage'!$D$2:$D$42,MATCH($Q265,'Device Refrigerant Leakage'!$B$2:$B$42,0))-(INDEX('Device Refrigerant Leakage'!$D$2:$D$42,MATCH($Q265,'Device Refrigerant Leakage'!$B$2:$B$42,0)))*CZ265*CX265)*CY265/2204.62*CW265,"")</f>
        <v/>
      </c>
      <c r="DC265" s="135" t="str">
        <f t="shared" si="348"/>
        <v/>
      </c>
      <c r="DE265" s="146" t="str">
        <f>IF(W265&lt;&gt;"AR","",IF(Y265="User Specified", AA265, INDEX('Refrigerant GWPs'!$G$2:$G$154,MATCH(Y265,'Refrigerant GWPs'!$A$2:$A$154,0))))</f>
        <v/>
      </c>
      <c r="DF265" s="146" t="str">
        <f>IF(W265&lt;&gt;"AR","",INDEX('Device Refrigerant Leakage'!$E$2:$E$42,MATCH(X265,'Device Refrigerant Leakage'!$B$2:$B$42,0)))</f>
        <v/>
      </c>
      <c r="DG265" s="146" t="str">
        <f>IF(W265&lt;&gt;"AR","",INDEX('Device Refrigerant Leakage'!$F$2:$F$42,MATCH(X265,'Device Refrigerant Leakage'!$B$2:$B$42,0)))</f>
        <v/>
      </c>
      <c r="DH265" s="146" t="str">
        <f>IF(W265&lt;&gt;"AR","",INDEX('Device Refrigerant Leakage'!$G$2:$G$42,MATCH(X265,'Device Refrigerant Leakage'!$B$2:$B$42,0)))</f>
        <v/>
      </c>
      <c r="DI265" s="146" t="str">
        <f>IF(W265&lt;&gt;"AR","",J265*INDEX('Device Refrigerant Leakage'!$D$2:$D$42,MATCH(X265,'Device Refrigerant Leakage'!$B$2:$B$42,0))*DF265/2204.62*DE265)</f>
        <v/>
      </c>
      <c r="DJ265" s="146" t="str">
        <f>IF(W265&lt;&gt;"AR","",J265*(INDEX('Device Refrigerant Leakage'!$D$2:$D$42,MATCH(X265,'Device Refrigerant Leakage'!$B$2:$B$42,0))-(INDEX('Device Refrigerant Leakage'!$D$2:$D$42,MATCH(X265,'Device Refrigerant Leakage'!$B$2:$B$42,0)))*DH265*DF265)*DG265/2204.62*DE265)</f>
        <v/>
      </c>
      <c r="DK265" s="146" t="str">
        <f>IF(W265&lt;&gt;"AR","",DI265*(K265-AB265)+'Fuel Sub Calcs-Deemed'!DJ265*((K265-AB265)/INDEX('Device Refrigerant Leakage'!$C$2:$C$42,MATCH('Fuel Sub Calcs-Deemed'!X265,'Device Refrigerant Leakage'!$B$2:$B$42,0))))</f>
        <v/>
      </c>
      <c r="DM265" s="56">
        <v>251</v>
      </c>
      <c r="DN265" s="67" t="e">
        <f t="shared" si="328"/>
        <v>#N/A</v>
      </c>
      <c r="DO265" s="45" t="e">
        <f t="shared" si="329"/>
        <v>#N/A</v>
      </c>
      <c r="DP265" s="67" t="e">
        <f t="shared" si="330"/>
        <v>#N/A</v>
      </c>
      <c r="DQ265" s="45" t="e">
        <f t="shared" si="331"/>
        <v>#N/A</v>
      </c>
      <c r="DR265" s="69" t="e">
        <f t="shared" si="332"/>
        <v>#N/A</v>
      </c>
      <c r="DS265" s="34"/>
      <c r="DT265" s="67" t="e">
        <f>((BX265*CJ265)+IF($W265=MAT_AR,(BZ265*CL265),0))*(1+Reference!$E$50+Reference!$E$51)</f>
        <v>#N/A</v>
      </c>
      <c r="DU265" s="67">
        <f>((BY265*CK265)+IF($W265=MAT_AR,(CA265*CM265),0))*(1+Reference!$G$50+Reference!$G$51)</f>
        <v>0</v>
      </c>
      <c r="DV265" s="67" t="e">
        <f t="shared" si="333"/>
        <v>#VALUE!</v>
      </c>
      <c r="DX265" s="56">
        <v>251</v>
      </c>
      <c r="DY265" s="67">
        <f t="shared" si="334"/>
        <v>0</v>
      </c>
      <c r="DZ265" s="45" t="e">
        <f>VLOOKUP($R265,Dropdown!$C$3:$D$4,2,FALSE)</f>
        <v>#N/A</v>
      </c>
      <c r="EA265" s="68">
        <f t="shared" si="335"/>
        <v>0</v>
      </c>
      <c r="EB265" s="68" t="str">
        <f t="shared" si="336"/>
        <v>N/A</v>
      </c>
      <c r="EC265" s="68">
        <f t="shared" si="337"/>
        <v>0</v>
      </c>
      <c r="ED265" s="68" t="str">
        <f t="shared" si="377"/>
        <v>N/A</v>
      </c>
      <c r="EF265" s="56">
        <v>251</v>
      </c>
      <c r="EG265" s="46">
        <f t="shared" si="339"/>
        <v>0</v>
      </c>
      <c r="EH265" s="68" t="e">
        <f t="shared" si="340"/>
        <v>#N/A</v>
      </c>
      <c r="EI265" s="68" t="e">
        <f t="shared" si="341"/>
        <v>#N/A</v>
      </c>
      <c r="EJ265" s="68" t="e">
        <f t="shared" si="342"/>
        <v>#N/A</v>
      </c>
      <c r="EK265" s="68" t="e">
        <f t="shared" si="343"/>
        <v>#N/A</v>
      </c>
      <c r="EL265" s="46">
        <f t="shared" si="344"/>
        <v>0</v>
      </c>
      <c r="EM265" s="46">
        <f t="shared" si="345"/>
        <v>0</v>
      </c>
    </row>
    <row r="266" spans="1:143">
      <c r="A266" s="89"/>
      <c r="B266" s="89"/>
      <c r="C266" s="89"/>
      <c r="D266" s="89"/>
      <c r="E266" s="89"/>
      <c r="F266" s="89"/>
      <c r="G266" s="34"/>
      <c r="H266" s="56">
        <f t="shared" si="346"/>
        <v>252</v>
      </c>
      <c r="I266" s="165"/>
      <c r="J266" s="163"/>
      <c r="K266" s="163"/>
      <c r="L266" s="164"/>
      <c r="M266" s="155"/>
      <c r="N266" s="155"/>
      <c r="O266" s="144"/>
      <c r="P266" s="159" t="str">
        <f>IFERROR(IF(O266&lt;&gt;"User Specified",IF(O266&lt;&gt;"", INDEX('Refrigerant GWPs'!$G$2:$G$154,MATCH(O266,'Refrigerant GWPs'!$A$2:$A$154,0)),""),U266),0)</f>
        <v/>
      </c>
      <c r="Q266" s="155"/>
      <c r="R266" s="155"/>
      <c r="S266" s="144"/>
      <c r="T266" s="159" t="str">
        <f>IF(S266&lt;&gt;"User Specified",IF(AND(S266&lt;&gt;"User Specified",S266&lt;&gt;""), INDEX('Refrigerant GWPs'!$G$2:$G$154,MATCH(S266,'Refrigerant GWPs'!$A$2:$A$154,0)),""),V266)</f>
        <v/>
      </c>
      <c r="U266" s="144"/>
      <c r="V266" s="144"/>
      <c r="W266" s="155"/>
      <c r="X266" s="155"/>
      <c r="Y266" s="144"/>
      <c r="Z266" s="159" t="str">
        <f>IF(AND(Y266&lt;&gt;"User Specified",Y266&lt;&gt;""), INDEX('Refrigerant GWPs'!$G$2:$G$154,MATCH(Y266,'Refrigerant GWPs'!$A$2:$A$154,0)),"")</f>
        <v/>
      </c>
      <c r="AA266" s="155"/>
      <c r="AB266" s="156"/>
      <c r="AC266" s="66"/>
      <c r="AD266" s="66"/>
      <c r="AE266" s="66"/>
      <c r="AF266" s="66"/>
      <c r="AG266" s="66"/>
      <c r="AH266" s="66"/>
      <c r="AI266" s="34"/>
      <c r="AJ266" s="88">
        <f t="shared" si="304"/>
        <v>0</v>
      </c>
      <c r="AK266" s="88">
        <f t="shared" si="305"/>
        <v>0</v>
      </c>
      <c r="AL266" s="88">
        <v>0</v>
      </c>
      <c r="AM266" s="88">
        <v>0</v>
      </c>
      <c r="AN266" s="81" t="str">
        <f t="shared" si="349"/>
        <v/>
      </c>
      <c r="AO266" s="88">
        <f t="shared" si="306"/>
        <v>0</v>
      </c>
      <c r="AP266" s="88">
        <f t="shared" si="307"/>
        <v>0</v>
      </c>
      <c r="AQ266" s="81" t="str">
        <f t="shared" si="308"/>
        <v/>
      </c>
      <c r="AS266" s="41" t="b">
        <f t="shared" si="309"/>
        <v>1</v>
      </c>
      <c r="AT266" s="38">
        <f t="shared" si="310"/>
        <v>0</v>
      </c>
      <c r="AU266" s="60">
        <f t="shared" si="311"/>
        <v>0</v>
      </c>
      <c r="AV266" s="41">
        <f t="shared" si="312"/>
        <v>0</v>
      </c>
      <c r="AW266" s="41" t="b">
        <f t="shared" si="313"/>
        <v>0</v>
      </c>
      <c r="AX266" t="str">
        <f t="shared" si="314"/>
        <v>+00</v>
      </c>
      <c r="AY266" t="str">
        <f t="shared" si="315"/>
        <v>+00</v>
      </c>
      <c r="BA266" s="47" t="b">
        <f t="shared" si="350"/>
        <v>1</v>
      </c>
      <c r="BB266" s="42" t="b">
        <f t="shared" si="351"/>
        <v>1</v>
      </c>
      <c r="BC266" s="42" t="b">
        <f t="shared" si="352"/>
        <v>0</v>
      </c>
      <c r="BD266" s="42" t="b">
        <f t="shared" si="353"/>
        <v>0</v>
      </c>
      <c r="BE266" s="70">
        <f t="shared" si="354"/>
        <v>0</v>
      </c>
      <c r="BF266" s="70">
        <f t="shared" si="355"/>
        <v>0</v>
      </c>
      <c r="BG266" s="34"/>
      <c r="BI266" s="47" t="b">
        <f t="shared" si="356"/>
        <v>1</v>
      </c>
      <c r="BJ266" s="47" t="b">
        <f t="shared" si="357"/>
        <v>1</v>
      </c>
      <c r="BK266" s="42" t="b">
        <f t="shared" si="358"/>
        <v>0</v>
      </c>
      <c r="BL266" s="42" t="b">
        <f t="shared" si="359"/>
        <v>0</v>
      </c>
      <c r="BM266" s="42">
        <f t="shared" si="360"/>
        <v>0</v>
      </c>
      <c r="BN266" s="42">
        <f t="shared" si="361"/>
        <v>0</v>
      </c>
      <c r="BP266" t="e">
        <f t="shared" si="362"/>
        <v>#N/A</v>
      </c>
      <c r="BQ266" t="e">
        <f t="shared" si="363"/>
        <v>#N/A</v>
      </c>
      <c r="BR266" t="e">
        <f t="shared" si="364"/>
        <v>#N/A</v>
      </c>
      <c r="BT266" s="60">
        <f t="shared" si="365"/>
        <v>0</v>
      </c>
      <c r="BU266" s="60">
        <f t="shared" si="366"/>
        <v>0</v>
      </c>
      <c r="BV266" s="60">
        <f t="shared" si="367"/>
        <v>0</v>
      </c>
      <c r="BW266" s="60">
        <f t="shared" si="368"/>
        <v>0</v>
      </c>
      <c r="BX266" s="60">
        <f t="shared" si="369"/>
        <v>0</v>
      </c>
      <c r="BY266" s="60">
        <f t="shared" si="370"/>
        <v>0</v>
      </c>
      <c r="BZ266" s="60">
        <f t="shared" si="371"/>
        <v>0</v>
      </c>
      <c r="CA266" s="60">
        <f t="shared" si="372"/>
        <v>0</v>
      </c>
      <c r="CB266" s="60" t="e">
        <f t="shared" si="320"/>
        <v>#N/A</v>
      </c>
      <c r="CC266" s="60">
        <f t="shared" si="321"/>
        <v>100000</v>
      </c>
      <c r="CD266" s="60" t="e">
        <f t="shared" si="322"/>
        <v>#N/A</v>
      </c>
      <c r="CE266" s="60">
        <f t="shared" si="323"/>
        <v>100000</v>
      </c>
      <c r="CF266" s="83" t="e">
        <f t="shared" si="373"/>
        <v>#N/A</v>
      </c>
      <c r="CG266" s="83">
        <f t="shared" si="374"/>
        <v>0</v>
      </c>
      <c r="CH266" s="83" t="e">
        <f t="shared" si="375"/>
        <v>#N/A</v>
      </c>
      <c r="CI266" s="83">
        <f t="shared" si="376"/>
        <v>0</v>
      </c>
      <c r="CJ266" s="86" t="e">
        <f t="shared" si="324"/>
        <v>#N/A</v>
      </c>
      <c r="CK266" s="82">
        <f t="shared" si="325"/>
        <v>5.3070370403969858E-3</v>
      </c>
      <c r="CL266" s="82" t="e">
        <f t="shared" si="326"/>
        <v>#N/A</v>
      </c>
      <c r="CM266" s="82">
        <f t="shared" si="327"/>
        <v>5.3070370403969858E-3</v>
      </c>
      <c r="CO266" s="149" t="str">
        <f>IF($I266&lt;&gt;"",IF(O266="User Specified",U266,INDEX('Refrigerant GWPs'!$G$2:$G$156,MATCH(O266,'Refrigerant GWPs'!$A$2:$A$156,0))),"")</f>
        <v/>
      </c>
      <c r="CP266" s="138" t="str">
        <f>IF($I266&lt;&gt;"",INDEX('Device Refrigerant Leakage'!$E$2:$E$42,MATCH($M266,'Device Refrigerant Leakage'!$B$2:$B$42,0)),"")</f>
        <v/>
      </c>
      <c r="CQ266" s="138" t="str">
        <f>IF($I266&lt;&gt;"",INDEX('Device Refrigerant Leakage'!$F$2:$F$42,MATCH($M266,'Device Refrigerant Leakage'!$B$2:$B$42,0)),"")</f>
        <v/>
      </c>
      <c r="CR266" s="145" t="str">
        <f>IF($I266&lt;&gt;"",INDEX('Device Refrigerant Leakage'!$G$2:$G$42,MATCH($M266,'Device Refrigerant Leakage'!$B$2:$B$42,0)),"")</f>
        <v/>
      </c>
      <c r="CS266" s="145" t="str">
        <f>IF($I266&lt;&gt;"",INDEX('Device Refrigerant Leakage'!$D$2:$D$42,MATCH($M266,'Device Refrigerant Leakage'!$B$2:$B$42,0))*CP266/2204.62*CO266,"")</f>
        <v/>
      </c>
      <c r="CT266" s="145" t="str">
        <f>IF($I266&lt;&gt;"",J266*(INDEX('Device Refrigerant Leakage'!$D$2:$D$42,MATCH($M266,'Device Refrigerant Leakage'!$B$2:$B$42,0))-(INDEX('Device Refrigerant Leakage'!$D$2:$D$42,MATCH($M266,'Device Refrigerant Leakage'!$B$2:$B$42,0)))*CR266*CP266)*CQ266/2204.62*CO266,"")</f>
        <v/>
      </c>
      <c r="CU266" s="135" t="str">
        <f>IF($I266&lt;&gt;"",J266*IF(W266&lt;&gt;"AR",(CS266*K266)+CT266,(CS266*AB266)+CT266*(AB266/INDEX('Device Refrigerant Leakage'!$C$2:$C$42,MATCH($M266,'Device Refrigerant Leakage'!$B$2:$B$42,0)))),"")</f>
        <v/>
      </c>
      <c r="CW266" s="135" t="str">
        <f>IF($I266&lt;&gt;"",IF(S266="User Specified",V266,INDEX('Refrigerant GWPs'!$G$2:$G$156,MATCH(S266,'Refrigerant GWPs'!$A$2:$A$157,0))),"")</f>
        <v/>
      </c>
      <c r="CX266" s="138" t="str">
        <f>IF($I266&lt;&gt;"",INDEX('Device Refrigerant Leakage'!$E$2:$E$42,MATCH($Q266,'Device Refrigerant Leakage'!$B$2:$B$42,0)),"")</f>
        <v/>
      </c>
      <c r="CY266" s="138" t="str">
        <f>IF($I266&lt;&gt;"",INDEX('Device Refrigerant Leakage'!$F$2:$F$42,MATCH($Q266,'Device Refrigerant Leakage'!$B$2:$B$42,0)),"")</f>
        <v/>
      </c>
      <c r="CZ266" s="145" t="str">
        <f>IF($I266&lt;&gt;"",INDEX('Device Refrigerant Leakage'!$G$2:$G$42,MATCH($Q266,'Device Refrigerant Leakage'!$B$2:$B$42,0)),"")</f>
        <v/>
      </c>
      <c r="DA266" s="145" t="str">
        <f>IF($I266&lt;&gt;"",J266*INDEX('Device Refrigerant Leakage'!$D$2:$D$42,MATCH($Q266,'Device Refrigerant Leakage'!$B$2:$B$42,0))*CX266/2204.62*CW266,"")</f>
        <v/>
      </c>
      <c r="DB266" s="145" t="str">
        <f>IF($I266&lt;&gt;"",J266*(INDEX('Device Refrigerant Leakage'!$D$2:$D$42,MATCH($Q266,'Device Refrigerant Leakage'!$B$2:$B$42,0))-(INDEX('Device Refrigerant Leakage'!$D$2:$D$42,MATCH($Q266,'Device Refrigerant Leakage'!$B$2:$B$42,0)))*CZ266*CX266)*CY266/2204.62*CW266,"")</f>
        <v/>
      </c>
      <c r="DC266" s="135" t="str">
        <f t="shared" si="348"/>
        <v/>
      </c>
      <c r="DE266" s="146" t="str">
        <f>IF(W266&lt;&gt;"AR","",IF(Y266="User Specified", AA266, INDEX('Refrigerant GWPs'!$G$2:$G$154,MATCH(Y266,'Refrigerant GWPs'!$A$2:$A$154,0))))</f>
        <v/>
      </c>
      <c r="DF266" s="146" t="str">
        <f>IF(W266&lt;&gt;"AR","",INDEX('Device Refrigerant Leakage'!$E$2:$E$42,MATCH(X266,'Device Refrigerant Leakage'!$B$2:$B$42,0)))</f>
        <v/>
      </c>
      <c r="DG266" s="146" t="str">
        <f>IF(W266&lt;&gt;"AR","",INDEX('Device Refrigerant Leakage'!$F$2:$F$42,MATCH(X266,'Device Refrigerant Leakage'!$B$2:$B$42,0)))</f>
        <v/>
      </c>
      <c r="DH266" s="146" t="str">
        <f>IF(W266&lt;&gt;"AR","",INDEX('Device Refrigerant Leakage'!$G$2:$G$42,MATCH(X266,'Device Refrigerant Leakage'!$B$2:$B$42,0)))</f>
        <v/>
      </c>
      <c r="DI266" s="146" t="str">
        <f>IF(W266&lt;&gt;"AR","",J266*INDEX('Device Refrigerant Leakage'!$D$2:$D$42,MATCH(X266,'Device Refrigerant Leakage'!$B$2:$B$42,0))*DF266/2204.62*DE266)</f>
        <v/>
      </c>
      <c r="DJ266" s="146" t="str">
        <f>IF(W266&lt;&gt;"AR","",J266*(INDEX('Device Refrigerant Leakage'!$D$2:$D$42,MATCH(X266,'Device Refrigerant Leakage'!$B$2:$B$42,0))-(INDEX('Device Refrigerant Leakage'!$D$2:$D$42,MATCH(X266,'Device Refrigerant Leakage'!$B$2:$B$42,0)))*DH266*DF266)*DG266/2204.62*DE266)</f>
        <v/>
      </c>
      <c r="DK266" s="146" t="str">
        <f>IF(W266&lt;&gt;"AR","",DI266*(K266-AB266)+'Fuel Sub Calcs-Deemed'!DJ266*((K266-AB266)/INDEX('Device Refrigerant Leakage'!$C$2:$C$42,MATCH('Fuel Sub Calcs-Deemed'!X266,'Device Refrigerant Leakage'!$B$2:$B$42,0))))</f>
        <v/>
      </c>
      <c r="DM266" s="56">
        <v>252</v>
      </c>
      <c r="DN266" s="67" t="e">
        <f t="shared" si="328"/>
        <v>#N/A</v>
      </c>
      <c r="DO266" s="45" t="e">
        <f t="shared" si="329"/>
        <v>#N/A</v>
      </c>
      <c r="DP266" s="67" t="e">
        <f t="shared" si="330"/>
        <v>#N/A</v>
      </c>
      <c r="DQ266" s="45" t="e">
        <f t="shared" si="331"/>
        <v>#N/A</v>
      </c>
      <c r="DR266" s="69" t="e">
        <f t="shared" si="332"/>
        <v>#N/A</v>
      </c>
      <c r="DS266" s="34"/>
      <c r="DT266" s="67" t="e">
        <f>((BX266*CJ266)+IF($W266=MAT_AR,(BZ266*CL266),0))*(1+Reference!$E$50+Reference!$E$51)</f>
        <v>#N/A</v>
      </c>
      <c r="DU266" s="67">
        <f>((BY266*CK266)+IF($W266=MAT_AR,(CA266*CM266),0))*(1+Reference!$G$50+Reference!$G$51)</f>
        <v>0</v>
      </c>
      <c r="DV266" s="67" t="e">
        <f t="shared" si="333"/>
        <v>#VALUE!</v>
      </c>
      <c r="DX266" s="56">
        <v>252</v>
      </c>
      <c r="DY266" s="67">
        <f t="shared" si="334"/>
        <v>0</v>
      </c>
      <c r="DZ266" s="45" t="e">
        <f>VLOOKUP($R266,Dropdown!$C$3:$D$4,2,FALSE)</f>
        <v>#N/A</v>
      </c>
      <c r="EA266" s="68">
        <f t="shared" si="335"/>
        <v>0</v>
      </c>
      <c r="EB266" s="68" t="str">
        <f t="shared" si="336"/>
        <v>N/A</v>
      </c>
      <c r="EC266" s="68">
        <f t="shared" si="337"/>
        <v>0</v>
      </c>
      <c r="ED266" s="68" t="str">
        <f t="shared" si="377"/>
        <v>N/A</v>
      </c>
      <c r="EF266" s="56">
        <v>252</v>
      </c>
      <c r="EG266" s="46">
        <f t="shared" si="339"/>
        <v>0</v>
      </c>
      <c r="EH266" s="68" t="e">
        <f t="shared" si="340"/>
        <v>#N/A</v>
      </c>
      <c r="EI266" s="68" t="e">
        <f t="shared" si="341"/>
        <v>#N/A</v>
      </c>
      <c r="EJ266" s="68" t="e">
        <f t="shared" si="342"/>
        <v>#N/A</v>
      </c>
      <c r="EK266" s="68" t="e">
        <f t="shared" si="343"/>
        <v>#N/A</v>
      </c>
      <c r="EL266" s="46">
        <f t="shared" si="344"/>
        <v>0</v>
      </c>
      <c r="EM266" s="46">
        <f t="shared" si="345"/>
        <v>0</v>
      </c>
    </row>
    <row r="267" spans="1:143">
      <c r="A267" s="89"/>
      <c r="B267" s="89"/>
      <c r="C267" s="89"/>
      <c r="D267" s="89"/>
      <c r="E267" s="89"/>
      <c r="F267" s="89"/>
      <c r="G267" s="34"/>
      <c r="H267" s="56">
        <f t="shared" si="346"/>
        <v>253</v>
      </c>
      <c r="I267" s="165"/>
      <c r="J267" s="163"/>
      <c r="K267" s="163"/>
      <c r="L267" s="164"/>
      <c r="M267" s="155"/>
      <c r="N267" s="155"/>
      <c r="O267" s="144"/>
      <c r="P267" s="159" t="str">
        <f>IFERROR(IF(O267&lt;&gt;"User Specified",IF(O267&lt;&gt;"", INDEX('Refrigerant GWPs'!$G$2:$G$154,MATCH(O267,'Refrigerant GWPs'!$A$2:$A$154,0)),""),U267),0)</f>
        <v/>
      </c>
      <c r="Q267" s="155"/>
      <c r="R267" s="155"/>
      <c r="S267" s="144"/>
      <c r="T267" s="159" t="str">
        <f>IF(S267&lt;&gt;"User Specified",IF(AND(S267&lt;&gt;"User Specified",S267&lt;&gt;""), INDEX('Refrigerant GWPs'!$G$2:$G$154,MATCH(S267,'Refrigerant GWPs'!$A$2:$A$154,0)),""),V267)</f>
        <v/>
      </c>
      <c r="U267" s="144"/>
      <c r="V267" s="144"/>
      <c r="W267" s="155"/>
      <c r="X267" s="155"/>
      <c r="Y267" s="144"/>
      <c r="Z267" s="159" t="str">
        <f>IF(AND(Y267&lt;&gt;"User Specified",Y267&lt;&gt;""), INDEX('Refrigerant GWPs'!$G$2:$G$154,MATCH(Y267,'Refrigerant GWPs'!$A$2:$A$154,0)),"")</f>
        <v/>
      </c>
      <c r="AA267" s="155"/>
      <c r="AB267" s="156"/>
      <c r="AC267" s="66"/>
      <c r="AD267" s="66"/>
      <c r="AE267" s="66"/>
      <c r="AF267" s="66"/>
      <c r="AG267" s="66"/>
      <c r="AH267" s="66"/>
      <c r="AI267" s="34"/>
      <c r="AJ267" s="88">
        <f t="shared" si="304"/>
        <v>0</v>
      </c>
      <c r="AK267" s="88">
        <f t="shared" si="305"/>
        <v>0</v>
      </c>
      <c r="AL267" s="88">
        <v>0</v>
      </c>
      <c r="AM267" s="88">
        <v>0</v>
      </c>
      <c r="AN267" s="81" t="str">
        <f t="shared" si="349"/>
        <v/>
      </c>
      <c r="AO267" s="88">
        <f t="shared" si="306"/>
        <v>0</v>
      </c>
      <c r="AP267" s="88">
        <f t="shared" si="307"/>
        <v>0</v>
      </c>
      <c r="AQ267" s="81" t="str">
        <f t="shared" si="308"/>
        <v/>
      </c>
      <c r="AS267" s="41" t="b">
        <f t="shared" si="309"/>
        <v>1</v>
      </c>
      <c r="AT267" s="38">
        <f t="shared" si="310"/>
        <v>0</v>
      </c>
      <c r="AU267" s="60">
        <f t="shared" si="311"/>
        <v>0</v>
      </c>
      <c r="AV267" s="41">
        <f t="shared" si="312"/>
        <v>0</v>
      </c>
      <c r="AW267" s="41" t="b">
        <f t="shared" si="313"/>
        <v>0</v>
      </c>
      <c r="AX267" t="str">
        <f t="shared" si="314"/>
        <v>+00</v>
      </c>
      <c r="AY267" t="str">
        <f t="shared" si="315"/>
        <v>+00</v>
      </c>
      <c r="BA267" s="47" t="b">
        <f t="shared" si="350"/>
        <v>1</v>
      </c>
      <c r="BB267" s="42" t="b">
        <f t="shared" si="351"/>
        <v>1</v>
      </c>
      <c r="BC267" s="42" t="b">
        <f t="shared" si="352"/>
        <v>0</v>
      </c>
      <c r="BD267" s="42" t="b">
        <f t="shared" si="353"/>
        <v>0</v>
      </c>
      <c r="BE267" s="70">
        <f t="shared" si="354"/>
        <v>0</v>
      </c>
      <c r="BF267" s="70">
        <f t="shared" si="355"/>
        <v>0</v>
      </c>
      <c r="BG267" s="34"/>
      <c r="BI267" s="47" t="b">
        <f t="shared" si="356"/>
        <v>1</v>
      </c>
      <c r="BJ267" s="47" t="b">
        <f t="shared" si="357"/>
        <v>1</v>
      </c>
      <c r="BK267" s="42" t="b">
        <f t="shared" si="358"/>
        <v>0</v>
      </c>
      <c r="BL267" s="42" t="b">
        <f t="shared" si="359"/>
        <v>0</v>
      </c>
      <c r="BM267" s="42">
        <f t="shared" si="360"/>
        <v>0</v>
      </c>
      <c r="BN267" s="42">
        <f t="shared" si="361"/>
        <v>0</v>
      </c>
      <c r="BP267" t="e">
        <f t="shared" si="362"/>
        <v>#N/A</v>
      </c>
      <c r="BQ267" t="e">
        <f t="shared" si="363"/>
        <v>#N/A</v>
      </c>
      <c r="BR267" t="e">
        <f t="shared" si="364"/>
        <v>#N/A</v>
      </c>
      <c r="BT267" s="60">
        <f t="shared" si="365"/>
        <v>0</v>
      </c>
      <c r="BU267" s="60">
        <f t="shared" si="366"/>
        <v>0</v>
      </c>
      <c r="BV267" s="60">
        <f t="shared" si="367"/>
        <v>0</v>
      </c>
      <c r="BW267" s="60">
        <f t="shared" si="368"/>
        <v>0</v>
      </c>
      <c r="BX267" s="60">
        <f t="shared" si="369"/>
        <v>0</v>
      </c>
      <c r="BY267" s="60">
        <f t="shared" si="370"/>
        <v>0</v>
      </c>
      <c r="BZ267" s="60">
        <f t="shared" si="371"/>
        <v>0</v>
      </c>
      <c r="CA267" s="60">
        <f t="shared" si="372"/>
        <v>0</v>
      </c>
      <c r="CB267" s="60" t="e">
        <f t="shared" si="320"/>
        <v>#N/A</v>
      </c>
      <c r="CC267" s="60">
        <f t="shared" si="321"/>
        <v>100000</v>
      </c>
      <c r="CD267" s="60" t="e">
        <f t="shared" si="322"/>
        <v>#N/A</v>
      </c>
      <c r="CE267" s="60">
        <f t="shared" si="323"/>
        <v>100000</v>
      </c>
      <c r="CF267" s="83" t="e">
        <f t="shared" si="373"/>
        <v>#N/A</v>
      </c>
      <c r="CG267" s="83">
        <f t="shared" si="374"/>
        <v>0</v>
      </c>
      <c r="CH267" s="83" t="e">
        <f t="shared" si="375"/>
        <v>#N/A</v>
      </c>
      <c r="CI267" s="83">
        <f t="shared" si="376"/>
        <v>0</v>
      </c>
      <c r="CJ267" s="86" t="e">
        <f t="shared" si="324"/>
        <v>#N/A</v>
      </c>
      <c r="CK267" s="82">
        <f t="shared" si="325"/>
        <v>5.3070370403969858E-3</v>
      </c>
      <c r="CL267" s="82" t="e">
        <f t="shared" si="326"/>
        <v>#N/A</v>
      </c>
      <c r="CM267" s="82">
        <f t="shared" si="327"/>
        <v>5.3070370403969858E-3</v>
      </c>
      <c r="CO267" s="149" t="str">
        <f>IF($I267&lt;&gt;"",IF(O267="User Specified",U267,INDEX('Refrigerant GWPs'!$G$2:$G$156,MATCH(O267,'Refrigerant GWPs'!$A$2:$A$156,0))),"")</f>
        <v/>
      </c>
      <c r="CP267" s="138" t="str">
        <f>IF($I267&lt;&gt;"",INDEX('Device Refrigerant Leakage'!$E$2:$E$42,MATCH($M267,'Device Refrigerant Leakage'!$B$2:$B$42,0)),"")</f>
        <v/>
      </c>
      <c r="CQ267" s="138" t="str">
        <f>IF($I267&lt;&gt;"",INDEX('Device Refrigerant Leakage'!$F$2:$F$42,MATCH($M267,'Device Refrigerant Leakage'!$B$2:$B$42,0)),"")</f>
        <v/>
      </c>
      <c r="CR267" s="145" t="str">
        <f>IF($I267&lt;&gt;"",INDEX('Device Refrigerant Leakage'!$G$2:$G$42,MATCH($M267,'Device Refrigerant Leakage'!$B$2:$B$42,0)),"")</f>
        <v/>
      </c>
      <c r="CS267" s="145" t="str">
        <f>IF($I267&lt;&gt;"",INDEX('Device Refrigerant Leakage'!$D$2:$D$42,MATCH($M267,'Device Refrigerant Leakage'!$B$2:$B$42,0))*CP267/2204.62*CO267,"")</f>
        <v/>
      </c>
      <c r="CT267" s="145" t="str">
        <f>IF($I267&lt;&gt;"",J267*(INDEX('Device Refrigerant Leakage'!$D$2:$D$42,MATCH($M267,'Device Refrigerant Leakage'!$B$2:$B$42,0))-(INDEX('Device Refrigerant Leakage'!$D$2:$D$42,MATCH($M267,'Device Refrigerant Leakage'!$B$2:$B$42,0)))*CR267*CP267)*CQ267/2204.62*CO267,"")</f>
        <v/>
      </c>
      <c r="CU267" s="135" t="str">
        <f>IF($I267&lt;&gt;"",J267*IF(W267&lt;&gt;"AR",(CS267*K267)+CT267,(CS267*AB267)+CT267*(AB267/INDEX('Device Refrigerant Leakage'!$C$2:$C$42,MATCH($M267,'Device Refrigerant Leakage'!$B$2:$B$42,0)))),"")</f>
        <v/>
      </c>
      <c r="CW267" s="135" t="str">
        <f>IF($I267&lt;&gt;"",IF(S267="User Specified",V267,INDEX('Refrigerant GWPs'!$G$2:$G$156,MATCH(S267,'Refrigerant GWPs'!$A$2:$A$157,0))),"")</f>
        <v/>
      </c>
      <c r="CX267" s="138" t="str">
        <f>IF($I267&lt;&gt;"",INDEX('Device Refrigerant Leakage'!$E$2:$E$42,MATCH($Q267,'Device Refrigerant Leakage'!$B$2:$B$42,0)),"")</f>
        <v/>
      </c>
      <c r="CY267" s="138" t="str">
        <f>IF($I267&lt;&gt;"",INDEX('Device Refrigerant Leakage'!$F$2:$F$42,MATCH($Q267,'Device Refrigerant Leakage'!$B$2:$B$42,0)),"")</f>
        <v/>
      </c>
      <c r="CZ267" s="145" t="str">
        <f>IF($I267&lt;&gt;"",INDEX('Device Refrigerant Leakage'!$G$2:$G$42,MATCH($Q267,'Device Refrigerant Leakage'!$B$2:$B$42,0)),"")</f>
        <v/>
      </c>
      <c r="DA267" s="145" t="str">
        <f>IF($I267&lt;&gt;"",J267*INDEX('Device Refrigerant Leakage'!$D$2:$D$42,MATCH($Q267,'Device Refrigerant Leakage'!$B$2:$B$42,0))*CX267/2204.62*CW267,"")</f>
        <v/>
      </c>
      <c r="DB267" s="145" t="str">
        <f>IF($I267&lt;&gt;"",J267*(INDEX('Device Refrigerant Leakage'!$D$2:$D$42,MATCH($Q267,'Device Refrigerant Leakage'!$B$2:$B$42,0))-(INDEX('Device Refrigerant Leakage'!$D$2:$D$42,MATCH($Q267,'Device Refrigerant Leakage'!$B$2:$B$42,0)))*CZ267*CX267)*CY267/2204.62*CW267,"")</f>
        <v/>
      </c>
      <c r="DC267" s="135" t="str">
        <f t="shared" si="348"/>
        <v/>
      </c>
      <c r="DE267" s="146" t="str">
        <f>IF(W267&lt;&gt;"AR","",IF(Y267="User Specified", AA267, INDEX('Refrigerant GWPs'!$G$2:$G$154,MATCH(Y267,'Refrigerant GWPs'!$A$2:$A$154,0))))</f>
        <v/>
      </c>
      <c r="DF267" s="146" t="str">
        <f>IF(W267&lt;&gt;"AR","",INDEX('Device Refrigerant Leakage'!$E$2:$E$42,MATCH(X267,'Device Refrigerant Leakage'!$B$2:$B$42,0)))</f>
        <v/>
      </c>
      <c r="DG267" s="146" t="str">
        <f>IF(W267&lt;&gt;"AR","",INDEX('Device Refrigerant Leakage'!$F$2:$F$42,MATCH(X267,'Device Refrigerant Leakage'!$B$2:$B$42,0)))</f>
        <v/>
      </c>
      <c r="DH267" s="146" t="str">
        <f>IF(W267&lt;&gt;"AR","",INDEX('Device Refrigerant Leakage'!$G$2:$G$42,MATCH(X267,'Device Refrigerant Leakage'!$B$2:$B$42,0)))</f>
        <v/>
      </c>
      <c r="DI267" s="146" t="str">
        <f>IF(W267&lt;&gt;"AR","",J267*INDEX('Device Refrigerant Leakage'!$D$2:$D$42,MATCH(X267,'Device Refrigerant Leakage'!$B$2:$B$42,0))*DF267/2204.62*DE267)</f>
        <v/>
      </c>
      <c r="DJ267" s="146" t="str">
        <f>IF(W267&lt;&gt;"AR","",J267*(INDEX('Device Refrigerant Leakage'!$D$2:$D$42,MATCH(X267,'Device Refrigerant Leakage'!$B$2:$B$42,0))-(INDEX('Device Refrigerant Leakage'!$D$2:$D$42,MATCH(X267,'Device Refrigerant Leakage'!$B$2:$B$42,0)))*DH267*DF267)*DG267/2204.62*DE267)</f>
        <v/>
      </c>
      <c r="DK267" s="146" t="str">
        <f>IF(W267&lt;&gt;"AR","",DI267*(K267-AB267)+'Fuel Sub Calcs-Deemed'!DJ267*((K267-AB267)/INDEX('Device Refrigerant Leakage'!$C$2:$C$42,MATCH('Fuel Sub Calcs-Deemed'!X267,'Device Refrigerant Leakage'!$B$2:$B$42,0))))</f>
        <v/>
      </c>
      <c r="DM267" s="56">
        <v>253</v>
      </c>
      <c r="DN267" s="67" t="e">
        <f t="shared" si="328"/>
        <v>#N/A</v>
      </c>
      <c r="DO267" s="45" t="e">
        <f t="shared" si="329"/>
        <v>#N/A</v>
      </c>
      <c r="DP267" s="67" t="e">
        <f t="shared" si="330"/>
        <v>#N/A</v>
      </c>
      <c r="DQ267" s="45" t="e">
        <f t="shared" si="331"/>
        <v>#N/A</v>
      </c>
      <c r="DR267" s="69" t="e">
        <f t="shared" si="332"/>
        <v>#N/A</v>
      </c>
      <c r="DS267" s="34"/>
      <c r="DT267" s="67" t="e">
        <f>((BX267*CJ267)+IF($W267=MAT_AR,(BZ267*CL267),0))*(1+Reference!$E$50+Reference!$E$51)</f>
        <v>#N/A</v>
      </c>
      <c r="DU267" s="67">
        <f>((BY267*CK267)+IF($W267=MAT_AR,(CA267*CM267),0))*(1+Reference!$G$50+Reference!$G$51)</f>
        <v>0</v>
      </c>
      <c r="DV267" s="67" t="e">
        <f t="shared" si="333"/>
        <v>#VALUE!</v>
      </c>
      <c r="DX267" s="56">
        <v>253</v>
      </c>
      <c r="DY267" s="67">
        <f t="shared" si="334"/>
        <v>0</v>
      </c>
      <c r="DZ267" s="45" t="e">
        <f>VLOOKUP($R267,Dropdown!$C$3:$D$4,2,FALSE)</f>
        <v>#N/A</v>
      </c>
      <c r="EA267" s="68">
        <f t="shared" si="335"/>
        <v>0</v>
      </c>
      <c r="EB267" s="68" t="str">
        <f t="shared" si="336"/>
        <v>N/A</v>
      </c>
      <c r="EC267" s="68">
        <f t="shared" si="337"/>
        <v>0</v>
      </c>
      <c r="ED267" s="68" t="str">
        <f t="shared" si="377"/>
        <v>N/A</v>
      </c>
      <c r="EF267" s="56">
        <v>253</v>
      </c>
      <c r="EG267" s="46">
        <f t="shared" si="339"/>
        <v>0</v>
      </c>
      <c r="EH267" s="68" t="e">
        <f t="shared" si="340"/>
        <v>#N/A</v>
      </c>
      <c r="EI267" s="68" t="e">
        <f t="shared" si="341"/>
        <v>#N/A</v>
      </c>
      <c r="EJ267" s="68" t="e">
        <f t="shared" si="342"/>
        <v>#N/A</v>
      </c>
      <c r="EK267" s="68" t="e">
        <f t="shared" si="343"/>
        <v>#N/A</v>
      </c>
      <c r="EL267" s="46">
        <f t="shared" si="344"/>
        <v>0</v>
      </c>
      <c r="EM267" s="46">
        <f t="shared" si="345"/>
        <v>0</v>
      </c>
    </row>
    <row r="268" spans="1:143">
      <c r="A268" s="89"/>
      <c r="B268" s="89"/>
      <c r="C268" s="89"/>
      <c r="D268" s="89"/>
      <c r="E268" s="89"/>
      <c r="F268" s="89"/>
      <c r="G268" s="34"/>
      <c r="H268" s="56">
        <f t="shared" si="346"/>
        <v>254</v>
      </c>
      <c r="I268" s="165"/>
      <c r="J268" s="163"/>
      <c r="K268" s="163"/>
      <c r="L268" s="164"/>
      <c r="M268" s="155"/>
      <c r="N268" s="155"/>
      <c r="O268" s="144"/>
      <c r="P268" s="159" t="str">
        <f>IFERROR(IF(O268&lt;&gt;"User Specified",IF(O268&lt;&gt;"", INDEX('Refrigerant GWPs'!$G$2:$G$154,MATCH(O268,'Refrigerant GWPs'!$A$2:$A$154,0)),""),U268),0)</f>
        <v/>
      </c>
      <c r="Q268" s="155"/>
      <c r="R268" s="155"/>
      <c r="S268" s="144"/>
      <c r="T268" s="159" t="str">
        <f>IF(S268&lt;&gt;"User Specified",IF(AND(S268&lt;&gt;"User Specified",S268&lt;&gt;""), INDEX('Refrigerant GWPs'!$G$2:$G$154,MATCH(S268,'Refrigerant GWPs'!$A$2:$A$154,0)),""),V268)</f>
        <v/>
      </c>
      <c r="U268" s="144"/>
      <c r="V268" s="144"/>
      <c r="W268" s="155"/>
      <c r="X268" s="155"/>
      <c r="Y268" s="144"/>
      <c r="Z268" s="159" t="str">
        <f>IF(AND(Y268&lt;&gt;"User Specified",Y268&lt;&gt;""), INDEX('Refrigerant GWPs'!$G$2:$G$154,MATCH(Y268,'Refrigerant GWPs'!$A$2:$A$154,0)),"")</f>
        <v/>
      </c>
      <c r="AA268" s="155"/>
      <c r="AB268" s="156"/>
      <c r="AC268" s="66"/>
      <c r="AD268" s="66"/>
      <c r="AE268" s="66"/>
      <c r="AF268" s="66"/>
      <c r="AG268" s="66"/>
      <c r="AH268" s="66"/>
      <c r="AI268" s="34"/>
      <c r="AJ268" s="88">
        <f t="shared" si="304"/>
        <v>0</v>
      </c>
      <c r="AK268" s="88">
        <f t="shared" si="305"/>
        <v>0</v>
      </c>
      <c r="AL268" s="88">
        <v>0</v>
      </c>
      <c r="AM268" s="88">
        <v>0</v>
      </c>
      <c r="AN268" s="81" t="str">
        <f t="shared" si="349"/>
        <v/>
      </c>
      <c r="AO268" s="88">
        <f t="shared" si="306"/>
        <v>0</v>
      </c>
      <c r="AP268" s="88">
        <f t="shared" si="307"/>
        <v>0</v>
      </c>
      <c r="AQ268" s="81" t="str">
        <f t="shared" si="308"/>
        <v/>
      </c>
      <c r="AS268" s="41" t="b">
        <f t="shared" si="309"/>
        <v>1</v>
      </c>
      <c r="AT268" s="38">
        <f t="shared" si="310"/>
        <v>0</v>
      </c>
      <c r="AU268" s="60">
        <f t="shared" si="311"/>
        <v>0</v>
      </c>
      <c r="AV268" s="41">
        <f t="shared" si="312"/>
        <v>0</v>
      </c>
      <c r="AW268" s="41" t="b">
        <f t="shared" si="313"/>
        <v>0</v>
      </c>
      <c r="AX268" t="str">
        <f t="shared" si="314"/>
        <v>+00</v>
      </c>
      <c r="AY268" t="str">
        <f t="shared" si="315"/>
        <v>+00</v>
      </c>
      <c r="BA268" s="47" t="b">
        <f t="shared" si="350"/>
        <v>1</v>
      </c>
      <c r="BB268" s="42" t="b">
        <f t="shared" si="351"/>
        <v>1</v>
      </c>
      <c r="BC268" s="42" t="b">
        <f t="shared" si="352"/>
        <v>0</v>
      </c>
      <c r="BD268" s="42" t="b">
        <f t="shared" si="353"/>
        <v>0</v>
      </c>
      <c r="BE268" s="70">
        <f t="shared" si="354"/>
        <v>0</v>
      </c>
      <c r="BF268" s="70">
        <f t="shared" si="355"/>
        <v>0</v>
      </c>
      <c r="BG268" s="34"/>
      <c r="BI268" s="47" t="b">
        <f t="shared" si="356"/>
        <v>1</v>
      </c>
      <c r="BJ268" s="47" t="b">
        <f t="shared" si="357"/>
        <v>1</v>
      </c>
      <c r="BK268" s="42" t="b">
        <f t="shared" si="358"/>
        <v>0</v>
      </c>
      <c r="BL268" s="42" t="b">
        <f t="shared" si="359"/>
        <v>0</v>
      </c>
      <c r="BM268" s="42">
        <f t="shared" si="360"/>
        <v>0</v>
      </c>
      <c r="BN268" s="42">
        <f t="shared" si="361"/>
        <v>0</v>
      </c>
      <c r="BP268" t="e">
        <f t="shared" si="362"/>
        <v>#N/A</v>
      </c>
      <c r="BQ268" t="e">
        <f t="shared" si="363"/>
        <v>#N/A</v>
      </c>
      <c r="BR268" t="e">
        <f t="shared" si="364"/>
        <v>#N/A</v>
      </c>
      <c r="BT268" s="60">
        <f t="shared" si="365"/>
        <v>0</v>
      </c>
      <c r="BU268" s="60">
        <f t="shared" si="366"/>
        <v>0</v>
      </c>
      <c r="BV268" s="60">
        <f t="shared" si="367"/>
        <v>0</v>
      </c>
      <c r="BW268" s="60">
        <f t="shared" si="368"/>
        <v>0</v>
      </c>
      <c r="BX268" s="60">
        <f t="shared" si="369"/>
        <v>0</v>
      </c>
      <c r="BY268" s="60">
        <f t="shared" si="370"/>
        <v>0</v>
      </c>
      <c r="BZ268" s="60">
        <f t="shared" si="371"/>
        <v>0</v>
      </c>
      <c r="CA268" s="60">
        <f t="shared" si="372"/>
        <v>0</v>
      </c>
      <c r="CB268" s="60" t="e">
        <f t="shared" si="320"/>
        <v>#N/A</v>
      </c>
      <c r="CC268" s="60">
        <f t="shared" si="321"/>
        <v>100000</v>
      </c>
      <c r="CD268" s="60" t="e">
        <f t="shared" si="322"/>
        <v>#N/A</v>
      </c>
      <c r="CE268" s="60">
        <f t="shared" si="323"/>
        <v>100000</v>
      </c>
      <c r="CF268" s="83" t="e">
        <f t="shared" si="373"/>
        <v>#N/A</v>
      </c>
      <c r="CG268" s="83">
        <f t="shared" si="374"/>
        <v>0</v>
      </c>
      <c r="CH268" s="83" t="e">
        <f t="shared" si="375"/>
        <v>#N/A</v>
      </c>
      <c r="CI268" s="83">
        <f t="shared" si="376"/>
        <v>0</v>
      </c>
      <c r="CJ268" s="86" t="e">
        <f t="shared" si="324"/>
        <v>#N/A</v>
      </c>
      <c r="CK268" s="82">
        <f t="shared" si="325"/>
        <v>5.3070370403969858E-3</v>
      </c>
      <c r="CL268" s="82" t="e">
        <f t="shared" si="326"/>
        <v>#N/A</v>
      </c>
      <c r="CM268" s="82">
        <f t="shared" si="327"/>
        <v>5.3070370403969858E-3</v>
      </c>
      <c r="CO268" s="149" t="str">
        <f>IF($I268&lt;&gt;"",IF(O268="User Specified",U268,INDEX('Refrigerant GWPs'!$G$2:$G$156,MATCH(O268,'Refrigerant GWPs'!$A$2:$A$156,0))),"")</f>
        <v/>
      </c>
      <c r="CP268" s="138" t="str">
        <f>IF($I268&lt;&gt;"",INDEX('Device Refrigerant Leakage'!$E$2:$E$42,MATCH($M268,'Device Refrigerant Leakage'!$B$2:$B$42,0)),"")</f>
        <v/>
      </c>
      <c r="CQ268" s="138" t="str">
        <f>IF($I268&lt;&gt;"",INDEX('Device Refrigerant Leakage'!$F$2:$F$42,MATCH($M268,'Device Refrigerant Leakage'!$B$2:$B$42,0)),"")</f>
        <v/>
      </c>
      <c r="CR268" s="145" t="str">
        <f>IF($I268&lt;&gt;"",INDEX('Device Refrigerant Leakage'!$G$2:$G$42,MATCH($M268,'Device Refrigerant Leakage'!$B$2:$B$42,0)),"")</f>
        <v/>
      </c>
      <c r="CS268" s="145" t="str">
        <f>IF($I268&lt;&gt;"",INDEX('Device Refrigerant Leakage'!$D$2:$D$42,MATCH($M268,'Device Refrigerant Leakage'!$B$2:$B$42,0))*CP268/2204.62*CO268,"")</f>
        <v/>
      </c>
      <c r="CT268" s="145" t="str">
        <f>IF($I268&lt;&gt;"",J268*(INDEX('Device Refrigerant Leakage'!$D$2:$D$42,MATCH($M268,'Device Refrigerant Leakage'!$B$2:$B$42,0))-(INDEX('Device Refrigerant Leakage'!$D$2:$D$42,MATCH($M268,'Device Refrigerant Leakage'!$B$2:$B$42,0)))*CR268*CP268)*CQ268/2204.62*CO268,"")</f>
        <v/>
      </c>
      <c r="CU268" s="135" t="str">
        <f>IF($I268&lt;&gt;"",J268*IF(W268&lt;&gt;"AR",(CS268*K268)+CT268,(CS268*AB268)+CT268*(AB268/INDEX('Device Refrigerant Leakage'!$C$2:$C$42,MATCH($M268,'Device Refrigerant Leakage'!$B$2:$B$42,0)))),"")</f>
        <v/>
      </c>
      <c r="CW268" s="135" t="str">
        <f>IF($I268&lt;&gt;"",IF(S268="User Specified",V268,INDEX('Refrigerant GWPs'!$G$2:$G$156,MATCH(S268,'Refrigerant GWPs'!$A$2:$A$157,0))),"")</f>
        <v/>
      </c>
      <c r="CX268" s="138" t="str">
        <f>IF($I268&lt;&gt;"",INDEX('Device Refrigerant Leakage'!$E$2:$E$42,MATCH($Q268,'Device Refrigerant Leakage'!$B$2:$B$42,0)),"")</f>
        <v/>
      </c>
      <c r="CY268" s="138" t="str">
        <f>IF($I268&lt;&gt;"",INDEX('Device Refrigerant Leakage'!$F$2:$F$42,MATCH($Q268,'Device Refrigerant Leakage'!$B$2:$B$42,0)),"")</f>
        <v/>
      </c>
      <c r="CZ268" s="145" t="str">
        <f>IF($I268&lt;&gt;"",INDEX('Device Refrigerant Leakage'!$G$2:$G$42,MATCH($Q268,'Device Refrigerant Leakage'!$B$2:$B$42,0)),"")</f>
        <v/>
      </c>
      <c r="DA268" s="145" t="str">
        <f>IF($I268&lt;&gt;"",J268*INDEX('Device Refrigerant Leakage'!$D$2:$D$42,MATCH($Q268,'Device Refrigerant Leakage'!$B$2:$B$42,0))*CX268/2204.62*CW268,"")</f>
        <v/>
      </c>
      <c r="DB268" s="145" t="str">
        <f>IF($I268&lt;&gt;"",J268*(INDEX('Device Refrigerant Leakage'!$D$2:$D$42,MATCH($Q268,'Device Refrigerant Leakage'!$B$2:$B$42,0))-(INDEX('Device Refrigerant Leakage'!$D$2:$D$42,MATCH($Q268,'Device Refrigerant Leakage'!$B$2:$B$42,0)))*CZ268*CX268)*CY268/2204.62*CW268,"")</f>
        <v/>
      </c>
      <c r="DC268" s="135" t="str">
        <f t="shared" si="348"/>
        <v/>
      </c>
      <c r="DE268" s="146" t="str">
        <f>IF(W268&lt;&gt;"AR","",IF(Y268="User Specified", AA268, INDEX('Refrigerant GWPs'!$G$2:$G$154,MATCH(Y268,'Refrigerant GWPs'!$A$2:$A$154,0))))</f>
        <v/>
      </c>
      <c r="DF268" s="146" t="str">
        <f>IF(W268&lt;&gt;"AR","",INDEX('Device Refrigerant Leakage'!$E$2:$E$42,MATCH(X268,'Device Refrigerant Leakage'!$B$2:$B$42,0)))</f>
        <v/>
      </c>
      <c r="DG268" s="146" t="str">
        <f>IF(W268&lt;&gt;"AR","",INDEX('Device Refrigerant Leakage'!$F$2:$F$42,MATCH(X268,'Device Refrigerant Leakage'!$B$2:$B$42,0)))</f>
        <v/>
      </c>
      <c r="DH268" s="146" t="str">
        <f>IF(W268&lt;&gt;"AR","",INDEX('Device Refrigerant Leakage'!$G$2:$G$42,MATCH(X268,'Device Refrigerant Leakage'!$B$2:$B$42,0)))</f>
        <v/>
      </c>
      <c r="DI268" s="146" t="str">
        <f>IF(W268&lt;&gt;"AR","",J268*INDEX('Device Refrigerant Leakage'!$D$2:$D$42,MATCH(X268,'Device Refrigerant Leakage'!$B$2:$B$42,0))*DF268/2204.62*DE268)</f>
        <v/>
      </c>
      <c r="DJ268" s="146" t="str">
        <f>IF(W268&lt;&gt;"AR","",J268*(INDEX('Device Refrigerant Leakage'!$D$2:$D$42,MATCH(X268,'Device Refrigerant Leakage'!$B$2:$B$42,0))-(INDEX('Device Refrigerant Leakage'!$D$2:$D$42,MATCH(X268,'Device Refrigerant Leakage'!$B$2:$B$42,0)))*DH268*DF268)*DG268/2204.62*DE268)</f>
        <v/>
      </c>
      <c r="DK268" s="146" t="str">
        <f>IF(W268&lt;&gt;"AR","",DI268*(K268-AB268)+'Fuel Sub Calcs-Deemed'!DJ268*((K268-AB268)/INDEX('Device Refrigerant Leakage'!$C$2:$C$42,MATCH('Fuel Sub Calcs-Deemed'!X268,'Device Refrigerant Leakage'!$B$2:$B$42,0))))</f>
        <v/>
      </c>
      <c r="DM268" s="56">
        <v>254</v>
      </c>
      <c r="DN268" s="67" t="e">
        <f t="shared" si="328"/>
        <v>#N/A</v>
      </c>
      <c r="DO268" s="45" t="e">
        <f t="shared" si="329"/>
        <v>#N/A</v>
      </c>
      <c r="DP268" s="67" t="e">
        <f t="shared" si="330"/>
        <v>#N/A</v>
      </c>
      <c r="DQ268" s="45" t="e">
        <f t="shared" si="331"/>
        <v>#N/A</v>
      </c>
      <c r="DR268" s="69" t="e">
        <f t="shared" si="332"/>
        <v>#N/A</v>
      </c>
      <c r="DS268" s="34"/>
      <c r="DT268" s="67" t="e">
        <f>((BX268*CJ268)+IF($W268=MAT_AR,(BZ268*CL268),0))*(1+Reference!$E$50+Reference!$E$51)</f>
        <v>#N/A</v>
      </c>
      <c r="DU268" s="67">
        <f>((BY268*CK268)+IF($W268=MAT_AR,(CA268*CM268),0))*(1+Reference!$G$50+Reference!$G$51)</f>
        <v>0</v>
      </c>
      <c r="DV268" s="67" t="e">
        <f t="shared" si="333"/>
        <v>#VALUE!</v>
      </c>
      <c r="DX268" s="56">
        <v>254</v>
      </c>
      <c r="DY268" s="67">
        <f t="shared" si="334"/>
        <v>0</v>
      </c>
      <c r="DZ268" s="45" t="e">
        <f>VLOOKUP($R268,Dropdown!$C$3:$D$4,2,FALSE)</f>
        <v>#N/A</v>
      </c>
      <c r="EA268" s="68">
        <f t="shared" si="335"/>
        <v>0</v>
      </c>
      <c r="EB268" s="68" t="str">
        <f t="shared" si="336"/>
        <v>N/A</v>
      </c>
      <c r="EC268" s="68">
        <f t="shared" si="337"/>
        <v>0</v>
      </c>
      <c r="ED268" s="68" t="str">
        <f t="shared" si="377"/>
        <v>N/A</v>
      </c>
      <c r="EF268" s="56">
        <v>254</v>
      </c>
      <c r="EG268" s="46">
        <f t="shared" si="339"/>
        <v>0</v>
      </c>
      <c r="EH268" s="68" t="e">
        <f t="shared" si="340"/>
        <v>#N/A</v>
      </c>
      <c r="EI268" s="68" t="e">
        <f t="shared" si="341"/>
        <v>#N/A</v>
      </c>
      <c r="EJ268" s="68" t="e">
        <f t="shared" si="342"/>
        <v>#N/A</v>
      </c>
      <c r="EK268" s="68" t="e">
        <f t="shared" si="343"/>
        <v>#N/A</v>
      </c>
      <c r="EL268" s="46">
        <f t="shared" si="344"/>
        <v>0</v>
      </c>
      <c r="EM268" s="46">
        <f t="shared" si="345"/>
        <v>0</v>
      </c>
    </row>
    <row r="269" spans="1:143">
      <c r="A269" s="89"/>
      <c r="B269" s="89"/>
      <c r="C269" s="89"/>
      <c r="D269" s="89"/>
      <c r="E269" s="89"/>
      <c r="F269" s="89"/>
      <c r="G269" s="34"/>
      <c r="H269" s="56">
        <f t="shared" si="346"/>
        <v>255</v>
      </c>
      <c r="I269" s="165"/>
      <c r="J269" s="163"/>
      <c r="K269" s="163"/>
      <c r="L269" s="164"/>
      <c r="M269" s="155"/>
      <c r="N269" s="155"/>
      <c r="O269" s="144"/>
      <c r="P269" s="159" t="str">
        <f>IFERROR(IF(O269&lt;&gt;"User Specified",IF(O269&lt;&gt;"", INDEX('Refrigerant GWPs'!$G$2:$G$154,MATCH(O269,'Refrigerant GWPs'!$A$2:$A$154,0)),""),U269),0)</f>
        <v/>
      </c>
      <c r="Q269" s="155"/>
      <c r="R269" s="155"/>
      <c r="S269" s="144"/>
      <c r="T269" s="159" t="str">
        <f>IF(S269&lt;&gt;"User Specified",IF(AND(S269&lt;&gt;"User Specified",S269&lt;&gt;""), INDEX('Refrigerant GWPs'!$G$2:$G$154,MATCH(S269,'Refrigerant GWPs'!$A$2:$A$154,0)),""),V269)</f>
        <v/>
      </c>
      <c r="U269" s="144"/>
      <c r="V269" s="144"/>
      <c r="W269" s="155"/>
      <c r="X269" s="155"/>
      <c r="Y269" s="144"/>
      <c r="Z269" s="159" t="str">
        <f>IF(AND(Y269&lt;&gt;"User Specified",Y269&lt;&gt;""), INDEX('Refrigerant GWPs'!$G$2:$G$154,MATCH(Y269,'Refrigerant GWPs'!$A$2:$A$154,0)),"")</f>
        <v/>
      </c>
      <c r="AA269" s="155"/>
      <c r="AB269" s="156"/>
      <c r="AC269" s="66"/>
      <c r="AD269" s="66"/>
      <c r="AE269" s="66"/>
      <c r="AF269" s="66"/>
      <c r="AG269" s="66"/>
      <c r="AH269" s="66"/>
      <c r="AI269" s="34"/>
      <c r="AJ269" s="88">
        <f t="shared" si="304"/>
        <v>0</v>
      </c>
      <c r="AK269" s="88">
        <f t="shared" si="305"/>
        <v>0</v>
      </c>
      <c r="AL269" s="88">
        <v>0</v>
      </c>
      <c r="AM269" s="88">
        <v>0</v>
      </c>
      <c r="AN269" s="81" t="str">
        <f t="shared" si="349"/>
        <v/>
      </c>
      <c r="AO269" s="88">
        <f t="shared" si="306"/>
        <v>0</v>
      </c>
      <c r="AP269" s="88">
        <f t="shared" si="307"/>
        <v>0</v>
      </c>
      <c r="AQ269" s="81" t="str">
        <f t="shared" si="308"/>
        <v/>
      </c>
      <c r="AS269" s="41" t="b">
        <f t="shared" si="309"/>
        <v>1</v>
      </c>
      <c r="AT269" s="38">
        <f t="shared" si="310"/>
        <v>0</v>
      </c>
      <c r="AU269" s="60">
        <f t="shared" si="311"/>
        <v>0</v>
      </c>
      <c r="AV269" s="41">
        <f t="shared" si="312"/>
        <v>0</v>
      </c>
      <c r="AW269" s="41" t="b">
        <f t="shared" si="313"/>
        <v>0</v>
      </c>
      <c r="AX269" t="str">
        <f t="shared" si="314"/>
        <v>+00</v>
      </c>
      <c r="AY269" t="str">
        <f t="shared" si="315"/>
        <v>+00</v>
      </c>
      <c r="BA269" s="47" t="b">
        <f t="shared" si="350"/>
        <v>1</v>
      </c>
      <c r="BB269" s="42" t="b">
        <f t="shared" si="351"/>
        <v>1</v>
      </c>
      <c r="BC269" s="42" t="b">
        <f t="shared" si="352"/>
        <v>0</v>
      </c>
      <c r="BD269" s="42" t="b">
        <f t="shared" si="353"/>
        <v>0</v>
      </c>
      <c r="BE269" s="70">
        <f t="shared" si="354"/>
        <v>0</v>
      </c>
      <c r="BF269" s="70">
        <f t="shared" si="355"/>
        <v>0</v>
      </c>
      <c r="BG269" s="34"/>
      <c r="BI269" s="47" t="b">
        <f t="shared" si="356"/>
        <v>1</v>
      </c>
      <c r="BJ269" s="47" t="b">
        <f t="shared" si="357"/>
        <v>1</v>
      </c>
      <c r="BK269" s="42" t="b">
        <f t="shared" si="358"/>
        <v>0</v>
      </c>
      <c r="BL269" s="42" t="b">
        <f t="shared" si="359"/>
        <v>0</v>
      </c>
      <c r="BM269" s="42">
        <f t="shared" si="360"/>
        <v>0</v>
      </c>
      <c r="BN269" s="42">
        <f t="shared" si="361"/>
        <v>0</v>
      </c>
      <c r="BP269" t="e">
        <f t="shared" si="362"/>
        <v>#N/A</v>
      </c>
      <c r="BQ269" t="e">
        <f t="shared" si="363"/>
        <v>#N/A</v>
      </c>
      <c r="BR269" t="e">
        <f t="shared" si="364"/>
        <v>#N/A</v>
      </c>
      <c r="BT269" s="60">
        <f t="shared" si="365"/>
        <v>0</v>
      </c>
      <c r="BU269" s="60">
        <f t="shared" si="366"/>
        <v>0</v>
      </c>
      <c r="BV269" s="60">
        <f t="shared" si="367"/>
        <v>0</v>
      </c>
      <c r="BW269" s="60">
        <f t="shared" si="368"/>
        <v>0</v>
      </c>
      <c r="BX269" s="60">
        <f t="shared" si="369"/>
        <v>0</v>
      </c>
      <c r="BY269" s="60">
        <f t="shared" si="370"/>
        <v>0</v>
      </c>
      <c r="BZ269" s="60">
        <f t="shared" si="371"/>
        <v>0</v>
      </c>
      <c r="CA269" s="60">
        <f t="shared" si="372"/>
        <v>0</v>
      </c>
      <c r="CB269" s="60" t="e">
        <f t="shared" si="320"/>
        <v>#N/A</v>
      </c>
      <c r="CC269" s="60">
        <f t="shared" si="321"/>
        <v>100000</v>
      </c>
      <c r="CD269" s="60" t="e">
        <f t="shared" si="322"/>
        <v>#N/A</v>
      </c>
      <c r="CE269" s="60">
        <f t="shared" si="323"/>
        <v>100000</v>
      </c>
      <c r="CF269" s="83" t="e">
        <f t="shared" si="373"/>
        <v>#N/A</v>
      </c>
      <c r="CG269" s="83">
        <f t="shared" si="374"/>
        <v>0</v>
      </c>
      <c r="CH269" s="83" t="e">
        <f t="shared" si="375"/>
        <v>#N/A</v>
      </c>
      <c r="CI269" s="83">
        <f t="shared" si="376"/>
        <v>0</v>
      </c>
      <c r="CJ269" s="86" t="e">
        <f t="shared" si="324"/>
        <v>#N/A</v>
      </c>
      <c r="CK269" s="82">
        <f t="shared" si="325"/>
        <v>5.3070370403969858E-3</v>
      </c>
      <c r="CL269" s="82" t="e">
        <f t="shared" si="326"/>
        <v>#N/A</v>
      </c>
      <c r="CM269" s="82">
        <f t="shared" si="327"/>
        <v>5.3070370403969858E-3</v>
      </c>
      <c r="CO269" s="149" t="str">
        <f>IF($I269&lt;&gt;"",IF(O269="User Specified",U269,INDEX('Refrigerant GWPs'!$G$2:$G$156,MATCH(O269,'Refrigerant GWPs'!$A$2:$A$156,0))),"")</f>
        <v/>
      </c>
      <c r="CP269" s="138" t="str">
        <f>IF($I269&lt;&gt;"",INDEX('Device Refrigerant Leakage'!$E$2:$E$42,MATCH($M269,'Device Refrigerant Leakage'!$B$2:$B$42,0)),"")</f>
        <v/>
      </c>
      <c r="CQ269" s="138" t="str">
        <f>IF($I269&lt;&gt;"",INDEX('Device Refrigerant Leakage'!$F$2:$F$42,MATCH($M269,'Device Refrigerant Leakage'!$B$2:$B$42,0)),"")</f>
        <v/>
      </c>
      <c r="CR269" s="145" t="str">
        <f>IF($I269&lt;&gt;"",INDEX('Device Refrigerant Leakage'!$G$2:$G$42,MATCH($M269,'Device Refrigerant Leakage'!$B$2:$B$42,0)),"")</f>
        <v/>
      </c>
      <c r="CS269" s="145" t="str">
        <f>IF($I269&lt;&gt;"",INDEX('Device Refrigerant Leakage'!$D$2:$D$42,MATCH($M269,'Device Refrigerant Leakage'!$B$2:$B$42,0))*CP269/2204.62*CO269,"")</f>
        <v/>
      </c>
      <c r="CT269" s="145" t="str">
        <f>IF($I269&lt;&gt;"",J269*(INDEX('Device Refrigerant Leakage'!$D$2:$D$42,MATCH($M269,'Device Refrigerant Leakage'!$B$2:$B$42,0))-(INDEX('Device Refrigerant Leakage'!$D$2:$D$42,MATCH($M269,'Device Refrigerant Leakage'!$B$2:$B$42,0)))*CR269*CP269)*CQ269/2204.62*CO269,"")</f>
        <v/>
      </c>
      <c r="CU269" s="135" t="str">
        <f>IF($I269&lt;&gt;"",J269*IF(W269&lt;&gt;"AR",(CS269*K269)+CT269,(CS269*AB269)+CT269*(AB269/INDEX('Device Refrigerant Leakage'!$C$2:$C$42,MATCH($M269,'Device Refrigerant Leakage'!$B$2:$B$42,0)))),"")</f>
        <v/>
      </c>
      <c r="CW269" s="135" t="str">
        <f>IF($I269&lt;&gt;"",IF(S269="User Specified",V269,INDEX('Refrigerant GWPs'!$G$2:$G$156,MATCH(S269,'Refrigerant GWPs'!$A$2:$A$157,0))),"")</f>
        <v/>
      </c>
      <c r="CX269" s="138" t="str">
        <f>IF($I269&lt;&gt;"",INDEX('Device Refrigerant Leakage'!$E$2:$E$42,MATCH($Q269,'Device Refrigerant Leakage'!$B$2:$B$42,0)),"")</f>
        <v/>
      </c>
      <c r="CY269" s="138" t="str">
        <f>IF($I269&lt;&gt;"",INDEX('Device Refrigerant Leakage'!$F$2:$F$42,MATCH($Q269,'Device Refrigerant Leakage'!$B$2:$B$42,0)),"")</f>
        <v/>
      </c>
      <c r="CZ269" s="145" t="str">
        <f>IF($I269&lt;&gt;"",INDEX('Device Refrigerant Leakage'!$G$2:$G$42,MATCH($Q269,'Device Refrigerant Leakage'!$B$2:$B$42,0)),"")</f>
        <v/>
      </c>
      <c r="DA269" s="145" t="str">
        <f>IF($I269&lt;&gt;"",J269*INDEX('Device Refrigerant Leakage'!$D$2:$D$42,MATCH($Q269,'Device Refrigerant Leakage'!$B$2:$B$42,0))*CX269/2204.62*CW269,"")</f>
        <v/>
      </c>
      <c r="DB269" s="145" t="str">
        <f>IF($I269&lt;&gt;"",J269*(INDEX('Device Refrigerant Leakage'!$D$2:$D$42,MATCH($Q269,'Device Refrigerant Leakage'!$B$2:$B$42,0))-(INDEX('Device Refrigerant Leakage'!$D$2:$D$42,MATCH($Q269,'Device Refrigerant Leakage'!$B$2:$B$42,0)))*CZ269*CX269)*CY269/2204.62*CW269,"")</f>
        <v/>
      </c>
      <c r="DC269" s="135" t="str">
        <f t="shared" si="348"/>
        <v/>
      </c>
      <c r="DE269" s="146" t="str">
        <f>IF(W269&lt;&gt;"AR","",IF(Y269="User Specified", AA269, INDEX('Refrigerant GWPs'!$G$2:$G$154,MATCH(Y269,'Refrigerant GWPs'!$A$2:$A$154,0))))</f>
        <v/>
      </c>
      <c r="DF269" s="146" t="str">
        <f>IF(W269&lt;&gt;"AR","",INDEX('Device Refrigerant Leakage'!$E$2:$E$42,MATCH(X269,'Device Refrigerant Leakage'!$B$2:$B$42,0)))</f>
        <v/>
      </c>
      <c r="DG269" s="146" t="str">
        <f>IF(W269&lt;&gt;"AR","",INDEX('Device Refrigerant Leakage'!$F$2:$F$42,MATCH(X269,'Device Refrigerant Leakage'!$B$2:$B$42,0)))</f>
        <v/>
      </c>
      <c r="DH269" s="146" t="str">
        <f>IF(W269&lt;&gt;"AR","",INDEX('Device Refrigerant Leakage'!$G$2:$G$42,MATCH(X269,'Device Refrigerant Leakage'!$B$2:$B$42,0)))</f>
        <v/>
      </c>
      <c r="DI269" s="146" t="str">
        <f>IF(W269&lt;&gt;"AR","",J269*INDEX('Device Refrigerant Leakage'!$D$2:$D$42,MATCH(X269,'Device Refrigerant Leakage'!$B$2:$B$42,0))*DF269/2204.62*DE269)</f>
        <v/>
      </c>
      <c r="DJ269" s="146" t="str">
        <f>IF(W269&lt;&gt;"AR","",J269*(INDEX('Device Refrigerant Leakage'!$D$2:$D$42,MATCH(X269,'Device Refrigerant Leakage'!$B$2:$B$42,0))-(INDEX('Device Refrigerant Leakage'!$D$2:$D$42,MATCH(X269,'Device Refrigerant Leakage'!$B$2:$B$42,0)))*DH269*DF269)*DG269/2204.62*DE269)</f>
        <v/>
      </c>
      <c r="DK269" s="146" t="str">
        <f>IF(W269&lt;&gt;"AR","",DI269*(K269-AB269)+'Fuel Sub Calcs-Deemed'!DJ269*((K269-AB269)/INDEX('Device Refrigerant Leakage'!$C$2:$C$42,MATCH('Fuel Sub Calcs-Deemed'!X269,'Device Refrigerant Leakage'!$B$2:$B$42,0))))</f>
        <v/>
      </c>
      <c r="DM269" s="56">
        <v>255</v>
      </c>
      <c r="DN269" s="67" t="e">
        <f t="shared" si="328"/>
        <v>#N/A</v>
      </c>
      <c r="DO269" s="45" t="e">
        <f t="shared" si="329"/>
        <v>#N/A</v>
      </c>
      <c r="DP269" s="67" t="e">
        <f t="shared" si="330"/>
        <v>#N/A</v>
      </c>
      <c r="DQ269" s="45" t="e">
        <f t="shared" si="331"/>
        <v>#N/A</v>
      </c>
      <c r="DR269" s="69" t="e">
        <f t="shared" si="332"/>
        <v>#N/A</v>
      </c>
      <c r="DS269" s="34"/>
      <c r="DT269" s="67" t="e">
        <f>((BX269*CJ269)+IF($W269=MAT_AR,(BZ269*CL269),0))*(1+Reference!$E$50+Reference!$E$51)</f>
        <v>#N/A</v>
      </c>
      <c r="DU269" s="67">
        <f>((BY269*CK269)+IF($W269=MAT_AR,(CA269*CM269),0))*(1+Reference!$G$50+Reference!$G$51)</f>
        <v>0</v>
      </c>
      <c r="DV269" s="67" t="e">
        <f t="shared" si="333"/>
        <v>#VALUE!</v>
      </c>
      <c r="DX269" s="56">
        <v>255</v>
      </c>
      <c r="DY269" s="67">
        <f t="shared" si="334"/>
        <v>0</v>
      </c>
      <c r="DZ269" s="45" t="e">
        <f>VLOOKUP($R269,Dropdown!$C$3:$D$4,2,FALSE)</f>
        <v>#N/A</v>
      </c>
      <c r="EA269" s="68">
        <f t="shared" si="335"/>
        <v>0</v>
      </c>
      <c r="EB269" s="68" t="str">
        <f t="shared" si="336"/>
        <v>N/A</v>
      </c>
      <c r="EC269" s="68">
        <f t="shared" si="337"/>
        <v>0</v>
      </c>
      <c r="ED269" s="68" t="str">
        <f t="shared" si="377"/>
        <v>N/A</v>
      </c>
      <c r="EF269" s="56">
        <v>255</v>
      </c>
      <c r="EG269" s="46">
        <f t="shared" si="339"/>
        <v>0</v>
      </c>
      <c r="EH269" s="68" t="e">
        <f t="shared" si="340"/>
        <v>#N/A</v>
      </c>
      <c r="EI269" s="68" t="e">
        <f t="shared" si="341"/>
        <v>#N/A</v>
      </c>
      <c r="EJ269" s="68" t="e">
        <f t="shared" si="342"/>
        <v>#N/A</v>
      </c>
      <c r="EK269" s="68" t="e">
        <f t="shared" si="343"/>
        <v>#N/A</v>
      </c>
      <c r="EL269" s="46">
        <f t="shared" si="344"/>
        <v>0</v>
      </c>
      <c r="EM269" s="46">
        <f t="shared" si="345"/>
        <v>0</v>
      </c>
    </row>
    <row r="270" spans="1:143">
      <c r="A270" s="89"/>
      <c r="B270" s="89"/>
      <c r="C270" s="89"/>
      <c r="D270" s="89"/>
      <c r="E270" s="89"/>
      <c r="F270" s="89"/>
      <c r="G270" s="34"/>
      <c r="H270" s="56">
        <f t="shared" si="346"/>
        <v>256</v>
      </c>
      <c r="I270" s="165"/>
      <c r="J270" s="163"/>
      <c r="K270" s="163"/>
      <c r="L270" s="164"/>
      <c r="M270" s="155"/>
      <c r="N270" s="155"/>
      <c r="O270" s="144"/>
      <c r="P270" s="159" t="str">
        <f>IFERROR(IF(O270&lt;&gt;"User Specified",IF(O270&lt;&gt;"", INDEX('Refrigerant GWPs'!$G$2:$G$154,MATCH(O270,'Refrigerant GWPs'!$A$2:$A$154,0)),""),U270),0)</f>
        <v/>
      </c>
      <c r="Q270" s="155"/>
      <c r="R270" s="155"/>
      <c r="S270" s="144"/>
      <c r="T270" s="159" t="str">
        <f>IF(S270&lt;&gt;"User Specified",IF(AND(S270&lt;&gt;"User Specified",S270&lt;&gt;""), INDEX('Refrigerant GWPs'!$G$2:$G$154,MATCH(S270,'Refrigerant GWPs'!$A$2:$A$154,0)),""),V270)</f>
        <v/>
      </c>
      <c r="U270" s="144"/>
      <c r="V270" s="144"/>
      <c r="W270" s="155"/>
      <c r="X270" s="155"/>
      <c r="Y270" s="144"/>
      <c r="Z270" s="159" t="str">
        <f>IF(AND(Y270&lt;&gt;"User Specified",Y270&lt;&gt;""), INDEX('Refrigerant GWPs'!$G$2:$G$154,MATCH(Y270,'Refrigerant GWPs'!$A$2:$A$154,0)),"")</f>
        <v/>
      </c>
      <c r="AA270" s="155"/>
      <c r="AB270" s="156"/>
      <c r="AC270" s="66"/>
      <c r="AD270" s="66"/>
      <c r="AE270" s="66"/>
      <c r="AF270" s="66"/>
      <c r="AG270" s="66"/>
      <c r="AH270" s="66"/>
      <c r="AI270" s="34"/>
      <c r="AJ270" s="88">
        <f t="shared" si="304"/>
        <v>0</v>
      </c>
      <c r="AK270" s="88">
        <f t="shared" si="305"/>
        <v>0</v>
      </c>
      <c r="AL270" s="88">
        <v>0</v>
      </c>
      <c r="AM270" s="88">
        <v>0</v>
      </c>
      <c r="AN270" s="81" t="str">
        <f t="shared" si="349"/>
        <v/>
      </c>
      <c r="AO270" s="88">
        <f t="shared" si="306"/>
        <v>0</v>
      </c>
      <c r="AP270" s="88">
        <f t="shared" si="307"/>
        <v>0</v>
      </c>
      <c r="AQ270" s="81" t="str">
        <f t="shared" si="308"/>
        <v/>
      </c>
      <c r="AS270" s="41" t="b">
        <f t="shared" si="309"/>
        <v>1</v>
      </c>
      <c r="AT270" s="38">
        <f t="shared" si="310"/>
        <v>0</v>
      </c>
      <c r="AU270" s="60">
        <f t="shared" si="311"/>
        <v>0</v>
      </c>
      <c r="AV270" s="41">
        <f t="shared" si="312"/>
        <v>0</v>
      </c>
      <c r="AW270" s="41" t="b">
        <f t="shared" si="313"/>
        <v>0</v>
      </c>
      <c r="AX270" t="str">
        <f t="shared" si="314"/>
        <v>+00</v>
      </c>
      <c r="AY270" t="str">
        <f t="shared" si="315"/>
        <v>+00</v>
      </c>
      <c r="BA270" s="47" t="b">
        <f t="shared" si="350"/>
        <v>1</v>
      </c>
      <c r="BB270" s="42" t="b">
        <f t="shared" si="351"/>
        <v>1</v>
      </c>
      <c r="BC270" s="42" t="b">
        <f t="shared" si="352"/>
        <v>0</v>
      </c>
      <c r="BD270" s="42" t="b">
        <f t="shared" si="353"/>
        <v>0</v>
      </c>
      <c r="BE270" s="70">
        <f t="shared" si="354"/>
        <v>0</v>
      </c>
      <c r="BF270" s="70">
        <f t="shared" si="355"/>
        <v>0</v>
      </c>
      <c r="BG270" s="34"/>
      <c r="BI270" s="47" t="b">
        <f t="shared" si="356"/>
        <v>1</v>
      </c>
      <c r="BJ270" s="47" t="b">
        <f t="shared" si="357"/>
        <v>1</v>
      </c>
      <c r="BK270" s="42" t="b">
        <f t="shared" si="358"/>
        <v>0</v>
      </c>
      <c r="BL270" s="42" t="b">
        <f t="shared" si="359"/>
        <v>0</v>
      </c>
      <c r="BM270" s="42">
        <f t="shared" si="360"/>
        <v>0</v>
      </c>
      <c r="BN270" s="42">
        <f t="shared" si="361"/>
        <v>0</v>
      </c>
      <c r="BP270" t="e">
        <f t="shared" si="362"/>
        <v>#N/A</v>
      </c>
      <c r="BQ270" t="e">
        <f t="shared" si="363"/>
        <v>#N/A</v>
      </c>
      <c r="BR270" t="e">
        <f t="shared" si="364"/>
        <v>#N/A</v>
      </c>
      <c r="BT270" s="60">
        <f t="shared" si="365"/>
        <v>0</v>
      </c>
      <c r="BU270" s="60">
        <f t="shared" si="366"/>
        <v>0</v>
      </c>
      <c r="BV270" s="60">
        <f t="shared" si="367"/>
        <v>0</v>
      </c>
      <c r="BW270" s="60">
        <f t="shared" si="368"/>
        <v>0</v>
      </c>
      <c r="BX270" s="60">
        <f t="shared" si="369"/>
        <v>0</v>
      </c>
      <c r="BY270" s="60">
        <f t="shared" si="370"/>
        <v>0</v>
      </c>
      <c r="BZ270" s="60">
        <f t="shared" si="371"/>
        <v>0</v>
      </c>
      <c r="CA270" s="60">
        <f t="shared" si="372"/>
        <v>0</v>
      </c>
      <c r="CB270" s="60" t="e">
        <f t="shared" si="320"/>
        <v>#N/A</v>
      </c>
      <c r="CC270" s="60">
        <f t="shared" si="321"/>
        <v>100000</v>
      </c>
      <c r="CD270" s="60" t="e">
        <f t="shared" si="322"/>
        <v>#N/A</v>
      </c>
      <c r="CE270" s="60">
        <f t="shared" si="323"/>
        <v>100000</v>
      </c>
      <c r="CF270" s="83" t="e">
        <f t="shared" si="373"/>
        <v>#N/A</v>
      </c>
      <c r="CG270" s="83">
        <f t="shared" si="374"/>
        <v>0</v>
      </c>
      <c r="CH270" s="83" t="e">
        <f t="shared" si="375"/>
        <v>#N/A</v>
      </c>
      <c r="CI270" s="83">
        <f t="shared" si="376"/>
        <v>0</v>
      </c>
      <c r="CJ270" s="86" t="e">
        <f t="shared" si="324"/>
        <v>#N/A</v>
      </c>
      <c r="CK270" s="82">
        <f t="shared" si="325"/>
        <v>5.3070370403969858E-3</v>
      </c>
      <c r="CL270" s="82" t="e">
        <f t="shared" si="326"/>
        <v>#N/A</v>
      </c>
      <c r="CM270" s="82">
        <f t="shared" si="327"/>
        <v>5.3070370403969858E-3</v>
      </c>
      <c r="CO270" s="149" t="str">
        <f>IF($I270&lt;&gt;"",IF(O270="User Specified",U270,INDEX('Refrigerant GWPs'!$G$2:$G$156,MATCH(O270,'Refrigerant GWPs'!$A$2:$A$156,0))),"")</f>
        <v/>
      </c>
      <c r="CP270" s="138" t="str">
        <f>IF($I270&lt;&gt;"",INDEX('Device Refrigerant Leakage'!$E$2:$E$42,MATCH($M270,'Device Refrigerant Leakage'!$B$2:$B$42,0)),"")</f>
        <v/>
      </c>
      <c r="CQ270" s="138" t="str">
        <f>IF($I270&lt;&gt;"",INDEX('Device Refrigerant Leakage'!$F$2:$F$42,MATCH($M270,'Device Refrigerant Leakage'!$B$2:$B$42,0)),"")</f>
        <v/>
      </c>
      <c r="CR270" s="145" t="str">
        <f>IF($I270&lt;&gt;"",INDEX('Device Refrigerant Leakage'!$G$2:$G$42,MATCH($M270,'Device Refrigerant Leakage'!$B$2:$B$42,0)),"")</f>
        <v/>
      </c>
      <c r="CS270" s="145" t="str">
        <f>IF($I270&lt;&gt;"",INDEX('Device Refrigerant Leakage'!$D$2:$D$42,MATCH($M270,'Device Refrigerant Leakage'!$B$2:$B$42,0))*CP270/2204.62*CO270,"")</f>
        <v/>
      </c>
      <c r="CT270" s="145" t="str">
        <f>IF($I270&lt;&gt;"",J270*(INDEX('Device Refrigerant Leakage'!$D$2:$D$42,MATCH($M270,'Device Refrigerant Leakage'!$B$2:$B$42,0))-(INDEX('Device Refrigerant Leakage'!$D$2:$D$42,MATCH($M270,'Device Refrigerant Leakage'!$B$2:$B$42,0)))*CR270*CP270)*CQ270/2204.62*CO270,"")</f>
        <v/>
      </c>
      <c r="CU270" s="135" t="str">
        <f>IF($I270&lt;&gt;"",J270*IF(W270&lt;&gt;"AR",(CS270*K270)+CT270,(CS270*AB270)+CT270*(AB270/INDEX('Device Refrigerant Leakage'!$C$2:$C$42,MATCH($M270,'Device Refrigerant Leakage'!$B$2:$B$42,0)))),"")</f>
        <v/>
      </c>
      <c r="CW270" s="135" t="str">
        <f>IF($I270&lt;&gt;"",IF(S270="User Specified",V270,INDEX('Refrigerant GWPs'!$G$2:$G$156,MATCH(S270,'Refrigerant GWPs'!$A$2:$A$157,0))),"")</f>
        <v/>
      </c>
      <c r="CX270" s="138" t="str">
        <f>IF($I270&lt;&gt;"",INDEX('Device Refrigerant Leakage'!$E$2:$E$42,MATCH($Q270,'Device Refrigerant Leakage'!$B$2:$B$42,0)),"")</f>
        <v/>
      </c>
      <c r="CY270" s="138" t="str">
        <f>IF($I270&lt;&gt;"",INDEX('Device Refrigerant Leakage'!$F$2:$F$42,MATCH($Q270,'Device Refrigerant Leakage'!$B$2:$B$42,0)),"")</f>
        <v/>
      </c>
      <c r="CZ270" s="145" t="str">
        <f>IF($I270&lt;&gt;"",INDEX('Device Refrigerant Leakage'!$G$2:$G$42,MATCH($Q270,'Device Refrigerant Leakage'!$B$2:$B$42,0)),"")</f>
        <v/>
      </c>
      <c r="DA270" s="145" t="str">
        <f>IF($I270&lt;&gt;"",J270*INDEX('Device Refrigerant Leakage'!$D$2:$D$42,MATCH($Q270,'Device Refrigerant Leakage'!$B$2:$B$42,0))*CX270/2204.62*CW270,"")</f>
        <v/>
      </c>
      <c r="DB270" s="145" t="str">
        <f>IF($I270&lt;&gt;"",J270*(INDEX('Device Refrigerant Leakage'!$D$2:$D$42,MATCH($Q270,'Device Refrigerant Leakage'!$B$2:$B$42,0))-(INDEX('Device Refrigerant Leakage'!$D$2:$D$42,MATCH($Q270,'Device Refrigerant Leakage'!$B$2:$B$42,0)))*CZ270*CX270)*CY270/2204.62*CW270,"")</f>
        <v/>
      </c>
      <c r="DC270" s="135" t="str">
        <f t="shared" si="348"/>
        <v/>
      </c>
      <c r="DE270" s="146" t="str">
        <f>IF(W270&lt;&gt;"AR","",IF(Y270="User Specified", AA270, INDEX('Refrigerant GWPs'!$G$2:$G$154,MATCH(Y270,'Refrigerant GWPs'!$A$2:$A$154,0))))</f>
        <v/>
      </c>
      <c r="DF270" s="146" t="str">
        <f>IF(W270&lt;&gt;"AR","",INDEX('Device Refrigerant Leakage'!$E$2:$E$42,MATCH(X270,'Device Refrigerant Leakage'!$B$2:$B$42,0)))</f>
        <v/>
      </c>
      <c r="DG270" s="146" t="str">
        <f>IF(W270&lt;&gt;"AR","",INDEX('Device Refrigerant Leakage'!$F$2:$F$42,MATCH(X270,'Device Refrigerant Leakage'!$B$2:$B$42,0)))</f>
        <v/>
      </c>
      <c r="DH270" s="146" t="str">
        <f>IF(W270&lt;&gt;"AR","",INDEX('Device Refrigerant Leakage'!$G$2:$G$42,MATCH(X270,'Device Refrigerant Leakage'!$B$2:$B$42,0)))</f>
        <v/>
      </c>
      <c r="DI270" s="146" t="str">
        <f>IF(W270&lt;&gt;"AR","",J270*INDEX('Device Refrigerant Leakage'!$D$2:$D$42,MATCH(X270,'Device Refrigerant Leakage'!$B$2:$B$42,0))*DF270/2204.62*DE270)</f>
        <v/>
      </c>
      <c r="DJ270" s="146" t="str">
        <f>IF(W270&lt;&gt;"AR","",J270*(INDEX('Device Refrigerant Leakage'!$D$2:$D$42,MATCH(X270,'Device Refrigerant Leakage'!$B$2:$B$42,0))-(INDEX('Device Refrigerant Leakage'!$D$2:$D$42,MATCH(X270,'Device Refrigerant Leakage'!$B$2:$B$42,0)))*DH270*DF270)*DG270/2204.62*DE270)</f>
        <v/>
      </c>
      <c r="DK270" s="146" t="str">
        <f>IF(W270&lt;&gt;"AR","",DI270*(K270-AB270)+'Fuel Sub Calcs-Deemed'!DJ270*((K270-AB270)/INDEX('Device Refrigerant Leakage'!$C$2:$C$42,MATCH('Fuel Sub Calcs-Deemed'!X270,'Device Refrigerant Leakage'!$B$2:$B$42,0))))</f>
        <v/>
      </c>
      <c r="DM270" s="56">
        <v>256</v>
      </c>
      <c r="DN270" s="67" t="e">
        <f t="shared" si="328"/>
        <v>#N/A</v>
      </c>
      <c r="DO270" s="45" t="e">
        <f t="shared" si="329"/>
        <v>#N/A</v>
      </c>
      <c r="DP270" s="67" t="e">
        <f t="shared" si="330"/>
        <v>#N/A</v>
      </c>
      <c r="DQ270" s="45" t="e">
        <f t="shared" si="331"/>
        <v>#N/A</v>
      </c>
      <c r="DR270" s="69" t="e">
        <f t="shared" si="332"/>
        <v>#N/A</v>
      </c>
      <c r="DS270" s="34"/>
      <c r="DT270" s="67" t="e">
        <f>((BX270*CJ270)+IF($W270=MAT_AR,(BZ270*CL270),0))*(1+Reference!$E$50+Reference!$E$51)</f>
        <v>#N/A</v>
      </c>
      <c r="DU270" s="67">
        <f>((BY270*CK270)+IF($W270=MAT_AR,(CA270*CM270),0))*(1+Reference!$G$50+Reference!$G$51)</f>
        <v>0</v>
      </c>
      <c r="DV270" s="67" t="e">
        <f t="shared" si="333"/>
        <v>#VALUE!</v>
      </c>
      <c r="DX270" s="56">
        <v>256</v>
      </c>
      <c r="DY270" s="67">
        <f t="shared" si="334"/>
        <v>0</v>
      </c>
      <c r="DZ270" s="45" t="e">
        <f>VLOOKUP($R270,Dropdown!$C$3:$D$4,2,FALSE)</f>
        <v>#N/A</v>
      </c>
      <c r="EA270" s="68">
        <f t="shared" si="335"/>
        <v>0</v>
      </c>
      <c r="EB270" s="68" t="str">
        <f t="shared" si="336"/>
        <v>N/A</v>
      </c>
      <c r="EC270" s="68">
        <f t="shared" si="337"/>
        <v>0</v>
      </c>
      <c r="ED270" s="68" t="str">
        <f t="shared" si="377"/>
        <v>N/A</v>
      </c>
      <c r="EF270" s="56">
        <v>256</v>
      </c>
      <c r="EG270" s="46">
        <f t="shared" si="339"/>
        <v>0</v>
      </c>
      <c r="EH270" s="68" t="e">
        <f t="shared" si="340"/>
        <v>#N/A</v>
      </c>
      <c r="EI270" s="68" t="e">
        <f t="shared" si="341"/>
        <v>#N/A</v>
      </c>
      <c r="EJ270" s="68" t="e">
        <f t="shared" si="342"/>
        <v>#N/A</v>
      </c>
      <c r="EK270" s="68" t="e">
        <f t="shared" si="343"/>
        <v>#N/A</v>
      </c>
      <c r="EL270" s="46">
        <f t="shared" si="344"/>
        <v>0</v>
      </c>
      <c r="EM270" s="46">
        <f t="shared" si="345"/>
        <v>0</v>
      </c>
    </row>
    <row r="271" spans="1:143">
      <c r="A271" s="89"/>
      <c r="B271" s="89"/>
      <c r="C271" s="89"/>
      <c r="D271" s="89"/>
      <c r="E271" s="89"/>
      <c r="F271" s="89"/>
      <c r="G271" s="34"/>
      <c r="H271" s="56">
        <f t="shared" si="346"/>
        <v>257</v>
      </c>
      <c r="I271" s="165"/>
      <c r="J271" s="163"/>
      <c r="K271" s="163"/>
      <c r="L271" s="164"/>
      <c r="M271" s="155"/>
      <c r="N271" s="155"/>
      <c r="O271" s="144"/>
      <c r="P271" s="159" t="str">
        <f>IFERROR(IF(O271&lt;&gt;"User Specified",IF(O271&lt;&gt;"", INDEX('Refrigerant GWPs'!$G$2:$G$154,MATCH(O271,'Refrigerant GWPs'!$A$2:$A$154,0)),""),U271),0)</f>
        <v/>
      </c>
      <c r="Q271" s="155"/>
      <c r="R271" s="155"/>
      <c r="S271" s="144"/>
      <c r="T271" s="159" t="str">
        <f>IF(S271&lt;&gt;"User Specified",IF(AND(S271&lt;&gt;"User Specified",S271&lt;&gt;""), INDEX('Refrigerant GWPs'!$G$2:$G$154,MATCH(S271,'Refrigerant GWPs'!$A$2:$A$154,0)),""),V271)</f>
        <v/>
      </c>
      <c r="U271" s="144"/>
      <c r="V271" s="144"/>
      <c r="W271" s="155"/>
      <c r="X271" s="155"/>
      <c r="Y271" s="144"/>
      <c r="Z271" s="159" t="str">
        <f>IF(AND(Y271&lt;&gt;"User Specified",Y271&lt;&gt;""), INDEX('Refrigerant GWPs'!$G$2:$G$154,MATCH(Y271,'Refrigerant GWPs'!$A$2:$A$154,0)),"")</f>
        <v/>
      </c>
      <c r="AA271" s="155"/>
      <c r="AB271" s="156"/>
      <c r="AC271" s="66"/>
      <c r="AD271" s="66"/>
      <c r="AE271" s="66"/>
      <c r="AF271" s="66"/>
      <c r="AG271" s="66"/>
      <c r="AH271" s="66"/>
      <c r="AI271" s="34"/>
      <c r="AJ271" s="88">
        <f t="shared" ref="AJ271:AJ334" si="378">IF($W271=MAT_AR,AC271,AF271)</f>
        <v>0</v>
      </c>
      <c r="AK271" s="88">
        <f t="shared" ref="AK271:AK334" si="379">IF($W271=MAT_AR,AE271,AH271)</f>
        <v>0</v>
      </c>
      <c r="AL271" s="88">
        <v>0</v>
      </c>
      <c r="AM271" s="88">
        <v>0</v>
      </c>
      <c r="AN271" s="81" t="str">
        <f t="shared" si="349"/>
        <v/>
      </c>
      <c r="AO271" s="88">
        <f t="shared" ref="AO271:AO334" si="380">IF($W271=MAT_AR,AF271,0)</f>
        <v>0</v>
      </c>
      <c r="AP271" s="88">
        <f t="shared" ref="AP271:AP334" si="381">IF($W271=MAT_AR,AH271,0)</f>
        <v>0</v>
      </c>
      <c r="AQ271" s="81" t="str">
        <f t="shared" ref="AQ271:AQ334" si="382">IF(AND(W271=MAT_AR,OR(BK271:BL271)),"Warning: Need to enter baseline and measure consumption","")</f>
        <v/>
      </c>
      <c r="AS271" s="41" t="b">
        <f t="shared" ref="AS271:AS334" si="383">NOT(W271=MAT_AR)</f>
        <v>1</v>
      </c>
      <c r="AT271" s="38">
        <f t="shared" ref="AT271:AT334" si="384">IF(W271=MAT_AR,AB271,K271)</f>
        <v>0</v>
      </c>
      <c r="AU271" s="60">
        <f t="shared" ref="AU271:AU334" si="385">K271-AT271</f>
        <v>0</v>
      </c>
      <c r="AV271" s="41">
        <f t="shared" ref="AV271:AV334" si="386">IF(W271=MAT_AR,AB271,0)</f>
        <v>0</v>
      </c>
      <c r="AW271" s="41" t="b">
        <f t="shared" ref="AW271:AW334" si="387">AND(NOT(ISBLANK(I271)),NOT(ISBLANK(J271)),NOT(ISBLANK(K271)),NOT(ISBLANK(L271)),NOT(ISBLANK(N271)),NOT(ISBLANK(R271)),NOT(OR(BC271:BD271)),NOT(ISBLANK(W271)))</f>
        <v>0</v>
      </c>
      <c r="AX271" t="str">
        <f t="shared" ref="AX271:AX334" si="388">$L271&amp;"+"&amp;TEXT(ROUND($AT271,0),"00")</f>
        <v>+00</v>
      </c>
      <c r="AY271" t="str">
        <f t="shared" ref="AY271:AY334" si="389">TEXT(ROUND($L271+$AT271,0),"#")&amp;"+"&amp;TEXT(ROUND($AU271,0),"00")</f>
        <v>+00</v>
      </c>
      <c r="BA271" s="47" t="b">
        <f t="shared" si="350"/>
        <v>1</v>
      </c>
      <c r="BB271" s="42" t="b">
        <f t="shared" si="351"/>
        <v>1</v>
      </c>
      <c r="BC271" s="42" t="b">
        <f t="shared" si="352"/>
        <v>0</v>
      </c>
      <c r="BD271" s="42" t="b">
        <f t="shared" si="353"/>
        <v>0</v>
      </c>
      <c r="BE271" s="70">
        <f t="shared" si="354"/>
        <v>0</v>
      </c>
      <c r="BF271" s="70">
        <f t="shared" si="355"/>
        <v>0</v>
      </c>
      <c r="BG271" s="34"/>
      <c r="BI271" s="47" t="b">
        <f t="shared" si="356"/>
        <v>1</v>
      </c>
      <c r="BJ271" s="47" t="b">
        <f t="shared" si="357"/>
        <v>1</v>
      </c>
      <c r="BK271" s="42" t="b">
        <f t="shared" si="358"/>
        <v>0</v>
      </c>
      <c r="BL271" s="42" t="b">
        <f t="shared" si="359"/>
        <v>0</v>
      </c>
      <c r="BM271" s="42">
        <f t="shared" si="360"/>
        <v>0</v>
      </c>
      <c r="BN271" s="42">
        <f t="shared" si="361"/>
        <v>0</v>
      </c>
      <c r="BP271" t="e">
        <f t="shared" si="362"/>
        <v>#N/A</v>
      </c>
      <c r="BQ271" t="e">
        <f t="shared" si="363"/>
        <v>#N/A</v>
      </c>
      <c r="BR271" t="e">
        <f t="shared" si="364"/>
        <v>#N/A</v>
      </c>
      <c r="BT271" s="60">
        <f t="shared" si="365"/>
        <v>0</v>
      </c>
      <c r="BU271" s="60">
        <f t="shared" si="366"/>
        <v>0</v>
      </c>
      <c r="BV271" s="60">
        <f t="shared" si="367"/>
        <v>0</v>
      </c>
      <c r="BW271" s="60">
        <f t="shared" si="368"/>
        <v>0</v>
      </c>
      <c r="BX271" s="60">
        <f t="shared" si="369"/>
        <v>0</v>
      </c>
      <c r="BY271" s="60">
        <f t="shared" si="370"/>
        <v>0</v>
      </c>
      <c r="BZ271" s="60">
        <f t="shared" si="371"/>
        <v>0</v>
      </c>
      <c r="CA271" s="60">
        <f t="shared" si="372"/>
        <v>0</v>
      </c>
      <c r="CB271" s="60" t="e">
        <f t="shared" ref="CB271:CB334" si="390">INDEX(AFL_Source_Energy_Btu_per_kWh,MATCH($AX271,AFL_IndexB,0))</f>
        <v>#N/A</v>
      </c>
      <c r="CC271" s="60">
        <f t="shared" ref="CC271:CC334" si="391">Btu_therm</f>
        <v>100000</v>
      </c>
      <c r="CD271" s="60" t="e">
        <f t="shared" ref="CD271:CD334" si="392">INDEX(AFL_Source_Energy_Btu_per_kWh,MATCH($AY271,AFL_IndexB,0))</f>
        <v>#N/A</v>
      </c>
      <c r="CE271" s="60">
        <f t="shared" ref="CE271:CE334" si="393">Btu_therm</f>
        <v>100000</v>
      </c>
      <c r="CF271" s="83" t="e">
        <f t="shared" si="373"/>
        <v>#N/A</v>
      </c>
      <c r="CG271" s="83">
        <f t="shared" si="374"/>
        <v>0</v>
      </c>
      <c r="CH271" s="83" t="e">
        <f t="shared" si="375"/>
        <v>#N/A</v>
      </c>
      <c r="CI271" s="83">
        <f t="shared" si="376"/>
        <v>0</v>
      </c>
      <c r="CJ271" s="86" t="e">
        <f t="shared" ref="CJ271:CJ334" si="394">INDEX(AFL_Emissions_Intensity_metric_tonnes_per_MWh,MATCH($AX271,AFL_IndexB,0))/1000</f>
        <v>#N/A</v>
      </c>
      <c r="CK271" s="82">
        <f t="shared" ref="CK271:CK334" si="395">NG_metric_tonne_CO2_therm</f>
        <v>5.3070370403969858E-3</v>
      </c>
      <c r="CL271" s="82" t="e">
        <f t="shared" ref="CL271:CL334" si="396">INDEX(AFL_Emissions_Intensity_metric_tonnes_per_MWh,MATCH($AY271,AFL_IndexB,0))/1000</f>
        <v>#N/A</v>
      </c>
      <c r="CM271" s="82">
        <f t="shared" ref="CM271:CM334" si="397">NG_metric_tonne_CO2_therm</f>
        <v>5.3070370403969858E-3</v>
      </c>
      <c r="CO271" s="149" t="str">
        <f>IF($I271&lt;&gt;"",IF(O271="User Specified",U271,INDEX('Refrigerant GWPs'!$G$2:$G$156,MATCH(O271,'Refrigerant GWPs'!$A$2:$A$156,0))),"")</f>
        <v/>
      </c>
      <c r="CP271" s="138" t="str">
        <f>IF($I271&lt;&gt;"",INDEX('Device Refrigerant Leakage'!$E$2:$E$42,MATCH($M271,'Device Refrigerant Leakage'!$B$2:$B$42,0)),"")</f>
        <v/>
      </c>
      <c r="CQ271" s="138" t="str">
        <f>IF($I271&lt;&gt;"",INDEX('Device Refrigerant Leakage'!$F$2:$F$42,MATCH($M271,'Device Refrigerant Leakage'!$B$2:$B$42,0)),"")</f>
        <v/>
      </c>
      <c r="CR271" s="145" t="str">
        <f>IF($I271&lt;&gt;"",INDEX('Device Refrigerant Leakage'!$G$2:$G$42,MATCH($M271,'Device Refrigerant Leakage'!$B$2:$B$42,0)),"")</f>
        <v/>
      </c>
      <c r="CS271" s="145" t="str">
        <f>IF($I271&lt;&gt;"",INDEX('Device Refrigerant Leakage'!$D$2:$D$42,MATCH($M271,'Device Refrigerant Leakage'!$B$2:$B$42,0))*CP271/2204.62*CO271,"")</f>
        <v/>
      </c>
      <c r="CT271" s="145" t="str">
        <f>IF($I271&lt;&gt;"",J271*(INDEX('Device Refrigerant Leakage'!$D$2:$D$42,MATCH($M271,'Device Refrigerant Leakage'!$B$2:$B$42,0))-(INDEX('Device Refrigerant Leakage'!$D$2:$D$42,MATCH($M271,'Device Refrigerant Leakage'!$B$2:$B$42,0)))*CR271*CP271)*CQ271/2204.62*CO271,"")</f>
        <v/>
      </c>
      <c r="CU271" s="135" t="str">
        <f>IF($I271&lt;&gt;"",J271*IF(W271&lt;&gt;"AR",(CS271*K271)+CT271,(CS271*AB271)+CT271*(AB271/INDEX('Device Refrigerant Leakage'!$C$2:$C$42,MATCH($M271,'Device Refrigerant Leakage'!$B$2:$B$42,0)))),"")</f>
        <v/>
      </c>
      <c r="CW271" s="135" t="str">
        <f>IF($I271&lt;&gt;"",IF(S271="User Specified",V271,INDEX('Refrigerant GWPs'!$G$2:$G$156,MATCH(S271,'Refrigerant GWPs'!$A$2:$A$157,0))),"")</f>
        <v/>
      </c>
      <c r="CX271" s="138" t="str">
        <f>IF($I271&lt;&gt;"",INDEX('Device Refrigerant Leakage'!$E$2:$E$42,MATCH($Q271,'Device Refrigerant Leakage'!$B$2:$B$42,0)),"")</f>
        <v/>
      </c>
      <c r="CY271" s="138" t="str">
        <f>IF($I271&lt;&gt;"",INDEX('Device Refrigerant Leakage'!$F$2:$F$42,MATCH($Q271,'Device Refrigerant Leakage'!$B$2:$B$42,0)),"")</f>
        <v/>
      </c>
      <c r="CZ271" s="145" t="str">
        <f>IF($I271&lt;&gt;"",INDEX('Device Refrigerant Leakage'!$G$2:$G$42,MATCH($Q271,'Device Refrigerant Leakage'!$B$2:$B$42,0)),"")</f>
        <v/>
      </c>
      <c r="DA271" s="145" t="str">
        <f>IF($I271&lt;&gt;"",J271*INDEX('Device Refrigerant Leakage'!$D$2:$D$42,MATCH($Q271,'Device Refrigerant Leakage'!$B$2:$B$42,0))*CX271/2204.62*CW271,"")</f>
        <v/>
      </c>
      <c r="DB271" s="145" t="str">
        <f>IF($I271&lt;&gt;"",J271*(INDEX('Device Refrigerant Leakage'!$D$2:$D$42,MATCH($Q271,'Device Refrigerant Leakage'!$B$2:$B$42,0))-(INDEX('Device Refrigerant Leakage'!$D$2:$D$42,MATCH($Q271,'Device Refrigerant Leakage'!$B$2:$B$42,0)))*CZ271*CX271)*CY271/2204.62*CW271,"")</f>
        <v/>
      </c>
      <c r="DC271" s="135" t="str">
        <f t="shared" si="348"/>
        <v/>
      </c>
      <c r="DE271" s="146" t="str">
        <f>IF(W271&lt;&gt;"AR","",IF(Y271="User Specified", AA271, INDEX('Refrigerant GWPs'!$G$2:$G$154,MATCH(Y271,'Refrigerant GWPs'!$A$2:$A$154,0))))</f>
        <v/>
      </c>
      <c r="DF271" s="146" t="str">
        <f>IF(W271&lt;&gt;"AR","",INDEX('Device Refrigerant Leakage'!$E$2:$E$42,MATCH(X271,'Device Refrigerant Leakage'!$B$2:$B$42,0)))</f>
        <v/>
      </c>
      <c r="DG271" s="146" t="str">
        <f>IF(W271&lt;&gt;"AR","",INDEX('Device Refrigerant Leakage'!$F$2:$F$42,MATCH(X271,'Device Refrigerant Leakage'!$B$2:$B$42,0)))</f>
        <v/>
      </c>
      <c r="DH271" s="146" t="str">
        <f>IF(W271&lt;&gt;"AR","",INDEX('Device Refrigerant Leakage'!$G$2:$G$42,MATCH(X271,'Device Refrigerant Leakage'!$B$2:$B$42,0)))</f>
        <v/>
      </c>
      <c r="DI271" s="146" t="str">
        <f>IF(W271&lt;&gt;"AR","",J271*INDEX('Device Refrigerant Leakage'!$D$2:$D$42,MATCH(X271,'Device Refrigerant Leakage'!$B$2:$B$42,0))*DF271/2204.62*DE271)</f>
        <v/>
      </c>
      <c r="DJ271" s="146" t="str">
        <f>IF(W271&lt;&gt;"AR","",J271*(INDEX('Device Refrigerant Leakage'!$D$2:$D$42,MATCH(X271,'Device Refrigerant Leakage'!$B$2:$B$42,0))-(INDEX('Device Refrigerant Leakage'!$D$2:$D$42,MATCH(X271,'Device Refrigerant Leakage'!$B$2:$B$42,0)))*DH271*DF271)*DG271/2204.62*DE271)</f>
        <v/>
      </c>
      <c r="DK271" s="146" t="str">
        <f>IF(W271&lt;&gt;"AR","",DI271*(K271-AB271)+'Fuel Sub Calcs-Deemed'!DJ271*((K271-AB271)/INDEX('Device Refrigerant Leakage'!$C$2:$C$42,MATCH('Fuel Sub Calcs-Deemed'!X271,'Device Refrigerant Leakage'!$B$2:$B$42,0))))</f>
        <v/>
      </c>
      <c r="DM271" s="56">
        <v>257</v>
      </c>
      <c r="DN271" s="67" t="e">
        <f t="shared" ref="DN271:DN334" si="398">(CB271*BX271+BY271*CE271)/10^6+IF($W271=MAT_AR,(BZ271*CD271+CA271*CE271)/10^6,0)</f>
        <v>#N/A</v>
      </c>
      <c r="DO271" s="45" t="e">
        <f t="shared" ref="DO271:DO334" si="399">IF(BP271,"PASS","FAIL")</f>
        <v>#N/A</v>
      </c>
      <c r="DP271" s="67" t="e">
        <f t="shared" ref="DP271:DP334" si="400">(DT271+DU271+DV271)</f>
        <v>#N/A</v>
      </c>
      <c r="DQ271" s="45" t="e">
        <f t="shared" ref="DQ271:DQ334" si="401">IF(BQ271,"PASS","FAIL")</f>
        <v>#N/A</v>
      </c>
      <c r="DR271" s="69" t="e">
        <f t="shared" ref="DR271:DR334" si="402">IF(BR271,"Eligible","Not eligible")</f>
        <v>#N/A</v>
      </c>
      <c r="DS271" s="34"/>
      <c r="DT271" s="67" t="e">
        <f>((BX271*CJ271)+IF($W271=MAT_AR,(BZ271*CL271),0))*(1+Reference!$E$50+Reference!$E$51)</f>
        <v>#N/A</v>
      </c>
      <c r="DU271" s="67">
        <f>((BY271*CK271)+IF($W271=MAT_AR,(CA271*CM271),0))*(1+Reference!$G$50+Reference!$G$51)</f>
        <v>0</v>
      </c>
      <c r="DV271" s="67" t="e">
        <f t="shared" ref="DV271:DV334" si="403">IF(W271="NR",CU271-DC271,(CU271+DK271)-DC271)</f>
        <v>#VALUE!</v>
      </c>
      <c r="DX271" s="56">
        <v>257</v>
      </c>
      <c r="DY271" s="67">
        <f t="shared" ref="DY271:DY334" si="404">(Btu_per_kWh*BT271+Btu_therm*BU271)/10^6</f>
        <v>0</v>
      </c>
      <c r="DZ271" s="45" t="e">
        <f>VLOOKUP($R271,Dropdown!$C$3:$D$4,2,FALSE)</f>
        <v>#N/A</v>
      </c>
      <c r="EA271" s="68">
        <f t="shared" ref="EA271:EA334" si="405">IF($R271=fuel_electricity,$DY271*10^6/Btu_per_kWh,0)</f>
        <v>0</v>
      </c>
      <c r="EB271" s="68" t="str">
        <f t="shared" ref="EB271:EB334" si="406">IF($R271=fuel_natural_gas,$DY271/MMBtu_per_therm,"N/A")</f>
        <v>N/A</v>
      </c>
      <c r="EC271" s="68">
        <f t="shared" ref="EC271:EC334" si="407">IF($R271=fuel_electricity,"N/A",AJ271)</f>
        <v>0</v>
      </c>
      <c r="ED271" s="68" t="str">
        <f t="shared" si="377"/>
        <v>N/A</v>
      </c>
      <c r="EF271" s="56">
        <v>257</v>
      </c>
      <c r="EG271" s="46">
        <f t="shared" ref="EG271:EG334" si="408">J271</f>
        <v>0</v>
      </c>
      <c r="EH271" s="68" t="e">
        <f t="shared" ref="EH271:EH334" si="409">IF($BR271,BE271,0)</f>
        <v>#N/A</v>
      </c>
      <c r="EI271" s="68" t="e">
        <f t="shared" ref="EI271:EI334" si="410">IF($BR271,BF271,0)</f>
        <v>#N/A</v>
      </c>
      <c r="EJ271" s="68" t="e">
        <f t="shared" ref="EJ271:EJ334" si="411">IF($BR271,BM271,0)</f>
        <v>#N/A</v>
      </c>
      <c r="EK271" s="68" t="e">
        <f t="shared" ref="EK271:EK334" si="412">IF($BR271,BN271,0)</f>
        <v>#N/A</v>
      </c>
      <c r="EL271" s="46">
        <f t="shared" ref="EL271:EL334" si="413">K271</f>
        <v>0</v>
      </c>
      <c r="EM271" s="46">
        <f t="shared" ref="EM271:EM334" si="414">AV271</f>
        <v>0</v>
      </c>
    </row>
    <row r="272" spans="1:143">
      <c r="A272" s="89"/>
      <c r="B272" s="89"/>
      <c r="C272" s="89"/>
      <c r="D272" s="89"/>
      <c r="E272" s="89"/>
      <c r="F272" s="89"/>
      <c r="G272" s="34"/>
      <c r="H272" s="56">
        <f t="shared" ref="H272:H335" si="415">ROW($H272)-ROW($H$14)</f>
        <v>258</v>
      </c>
      <c r="I272" s="165"/>
      <c r="J272" s="163"/>
      <c r="K272" s="163"/>
      <c r="L272" s="164"/>
      <c r="M272" s="155"/>
      <c r="N272" s="155"/>
      <c r="O272" s="144"/>
      <c r="P272" s="159" t="str">
        <f>IFERROR(IF(O272&lt;&gt;"User Specified",IF(O272&lt;&gt;"", INDEX('Refrigerant GWPs'!$G$2:$G$154,MATCH(O272,'Refrigerant GWPs'!$A$2:$A$154,0)),""),U272),0)</f>
        <v/>
      </c>
      <c r="Q272" s="155"/>
      <c r="R272" s="155"/>
      <c r="S272" s="144"/>
      <c r="T272" s="159" t="str">
        <f>IF(S272&lt;&gt;"User Specified",IF(AND(S272&lt;&gt;"User Specified",S272&lt;&gt;""), INDEX('Refrigerant GWPs'!$G$2:$G$154,MATCH(S272,'Refrigerant GWPs'!$A$2:$A$154,0)),""),V272)</f>
        <v/>
      </c>
      <c r="U272" s="144"/>
      <c r="V272" s="144"/>
      <c r="W272" s="155"/>
      <c r="X272" s="155"/>
      <c r="Y272" s="144"/>
      <c r="Z272" s="159" t="str">
        <f>IF(AND(Y272&lt;&gt;"User Specified",Y272&lt;&gt;""), INDEX('Refrigerant GWPs'!$G$2:$G$154,MATCH(Y272,'Refrigerant GWPs'!$A$2:$A$154,0)),"")</f>
        <v/>
      </c>
      <c r="AA272" s="155"/>
      <c r="AB272" s="156"/>
      <c r="AC272" s="66"/>
      <c r="AD272" s="66"/>
      <c r="AE272" s="66"/>
      <c r="AF272" s="66"/>
      <c r="AG272" s="66"/>
      <c r="AH272" s="66"/>
      <c r="AI272" s="34"/>
      <c r="AJ272" s="88">
        <f t="shared" si="378"/>
        <v>0</v>
      </c>
      <c r="AK272" s="88">
        <f t="shared" si="379"/>
        <v>0</v>
      </c>
      <c r="AL272" s="88">
        <v>0</v>
      </c>
      <c r="AM272" s="88">
        <v>0</v>
      </c>
      <c r="AN272" s="81" t="str">
        <f t="shared" si="349"/>
        <v/>
      </c>
      <c r="AO272" s="88">
        <f t="shared" si="380"/>
        <v>0</v>
      </c>
      <c r="AP272" s="88">
        <f t="shared" si="381"/>
        <v>0</v>
      </c>
      <c r="AQ272" s="81" t="str">
        <f t="shared" si="382"/>
        <v/>
      </c>
      <c r="AS272" s="41" t="b">
        <f t="shared" si="383"/>
        <v>1</v>
      </c>
      <c r="AT272" s="38">
        <f t="shared" si="384"/>
        <v>0</v>
      </c>
      <c r="AU272" s="60">
        <f t="shared" si="385"/>
        <v>0</v>
      </c>
      <c r="AV272" s="41">
        <f t="shared" si="386"/>
        <v>0</v>
      </c>
      <c r="AW272" s="41" t="b">
        <f t="shared" si="387"/>
        <v>0</v>
      </c>
      <c r="AX272" t="str">
        <f t="shared" si="388"/>
        <v>+00</v>
      </c>
      <c r="AY272" t="str">
        <f t="shared" si="389"/>
        <v>+00</v>
      </c>
      <c r="BA272" s="47" t="b">
        <f t="shared" si="350"/>
        <v>1</v>
      </c>
      <c r="BB272" s="42" t="b">
        <f t="shared" si="351"/>
        <v>1</v>
      </c>
      <c r="BC272" s="42" t="b">
        <f t="shared" si="352"/>
        <v>0</v>
      </c>
      <c r="BD272" s="42" t="b">
        <f t="shared" si="353"/>
        <v>0</v>
      </c>
      <c r="BE272" s="70">
        <f t="shared" si="354"/>
        <v>0</v>
      </c>
      <c r="BF272" s="70">
        <f t="shared" si="355"/>
        <v>0</v>
      </c>
      <c r="BG272" s="34"/>
      <c r="BI272" s="47" t="b">
        <f t="shared" si="356"/>
        <v>1</v>
      </c>
      <c r="BJ272" s="47" t="b">
        <f t="shared" si="357"/>
        <v>1</v>
      </c>
      <c r="BK272" s="42" t="b">
        <f t="shared" si="358"/>
        <v>0</v>
      </c>
      <c r="BL272" s="42" t="b">
        <f t="shared" si="359"/>
        <v>0</v>
      </c>
      <c r="BM272" s="42">
        <f t="shared" si="360"/>
        <v>0</v>
      </c>
      <c r="BN272" s="42">
        <f t="shared" si="361"/>
        <v>0</v>
      </c>
      <c r="BP272" t="e">
        <f t="shared" si="362"/>
        <v>#N/A</v>
      </c>
      <c r="BQ272" t="e">
        <f t="shared" si="363"/>
        <v>#N/A</v>
      </c>
      <c r="BR272" t="e">
        <f t="shared" si="364"/>
        <v>#N/A</v>
      </c>
      <c r="BT272" s="60">
        <f t="shared" si="365"/>
        <v>0</v>
      </c>
      <c r="BU272" s="60">
        <f t="shared" si="366"/>
        <v>0</v>
      </c>
      <c r="BV272" s="60">
        <f t="shared" si="367"/>
        <v>0</v>
      </c>
      <c r="BW272" s="60">
        <f t="shared" si="368"/>
        <v>0</v>
      </c>
      <c r="BX272" s="60">
        <f t="shared" si="369"/>
        <v>0</v>
      </c>
      <c r="BY272" s="60">
        <f t="shared" si="370"/>
        <v>0</v>
      </c>
      <c r="BZ272" s="60">
        <f t="shared" si="371"/>
        <v>0</v>
      </c>
      <c r="CA272" s="60">
        <f t="shared" si="372"/>
        <v>0</v>
      </c>
      <c r="CB272" s="60" t="e">
        <f t="shared" si="390"/>
        <v>#N/A</v>
      </c>
      <c r="CC272" s="60">
        <f t="shared" si="391"/>
        <v>100000</v>
      </c>
      <c r="CD272" s="60" t="e">
        <f t="shared" si="392"/>
        <v>#N/A</v>
      </c>
      <c r="CE272" s="60">
        <f t="shared" si="393"/>
        <v>100000</v>
      </c>
      <c r="CF272" s="83" t="e">
        <f t="shared" si="373"/>
        <v>#N/A</v>
      </c>
      <c r="CG272" s="83">
        <f t="shared" si="374"/>
        <v>0</v>
      </c>
      <c r="CH272" s="83" t="e">
        <f t="shared" si="375"/>
        <v>#N/A</v>
      </c>
      <c r="CI272" s="83">
        <f t="shared" si="376"/>
        <v>0</v>
      </c>
      <c r="CJ272" s="86" t="e">
        <f t="shared" si="394"/>
        <v>#N/A</v>
      </c>
      <c r="CK272" s="82">
        <f t="shared" si="395"/>
        <v>5.3070370403969858E-3</v>
      </c>
      <c r="CL272" s="82" t="e">
        <f t="shared" si="396"/>
        <v>#N/A</v>
      </c>
      <c r="CM272" s="82">
        <f t="shared" si="397"/>
        <v>5.3070370403969858E-3</v>
      </c>
      <c r="CO272" s="149" t="str">
        <f>IF($I272&lt;&gt;"",IF(O272="User Specified",U272,INDEX('Refrigerant GWPs'!$G$2:$G$156,MATCH(O272,'Refrigerant GWPs'!$A$2:$A$156,0))),"")</f>
        <v/>
      </c>
      <c r="CP272" s="138" t="str">
        <f>IF($I272&lt;&gt;"",INDEX('Device Refrigerant Leakage'!$E$2:$E$42,MATCH($M272,'Device Refrigerant Leakage'!$B$2:$B$42,0)),"")</f>
        <v/>
      </c>
      <c r="CQ272" s="138" t="str">
        <f>IF($I272&lt;&gt;"",INDEX('Device Refrigerant Leakage'!$F$2:$F$42,MATCH($M272,'Device Refrigerant Leakage'!$B$2:$B$42,0)),"")</f>
        <v/>
      </c>
      <c r="CR272" s="145" t="str">
        <f>IF($I272&lt;&gt;"",INDEX('Device Refrigerant Leakage'!$G$2:$G$42,MATCH($M272,'Device Refrigerant Leakage'!$B$2:$B$42,0)),"")</f>
        <v/>
      </c>
      <c r="CS272" s="145" t="str">
        <f>IF($I272&lt;&gt;"",INDEX('Device Refrigerant Leakage'!$D$2:$D$42,MATCH($M272,'Device Refrigerant Leakage'!$B$2:$B$42,0))*CP272/2204.62*CO272,"")</f>
        <v/>
      </c>
      <c r="CT272" s="145" t="str">
        <f>IF($I272&lt;&gt;"",J272*(INDEX('Device Refrigerant Leakage'!$D$2:$D$42,MATCH($M272,'Device Refrigerant Leakage'!$B$2:$B$42,0))-(INDEX('Device Refrigerant Leakage'!$D$2:$D$42,MATCH($M272,'Device Refrigerant Leakage'!$B$2:$B$42,0)))*CR272*CP272)*CQ272/2204.62*CO272,"")</f>
        <v/>
      </c>
      <c r="CU272" s="135" t="str">
        <f>IF($I272&lt;&gt;"",J272*IF(W272&lt;&gt;"AR",(CS272*K272)+CT272,(CS272*AB272)+CT272*(AB272/INDEX('Device Refrigerant Leakage'!$C$2:$C$42,MATCH($M272,'Device Refrigerant Leakage'!$B$2:$B$42,0)))),"")</f>
        <v/>
      </c>
      <c r="CW272" s="135" t="str">
        <f>IF($I272&lt;&gt;"",IF(S272="User Specified",V272,INDEX('Refrigerant GWPs'!$G$2:$G$156,MATCH(S272,'Refrigerant GWPs'!$A$2:$A$157,0))),"")</f>
        <v/>
      </c>
      <c r="CX272" s="138" t="str">
        <f>IF($I272&lt;&gt;"",INDEX('Device Refrigerant Leakage'!$E$2:$E$42,MATCH($Q272,'Device Refrigerant Leakage'!$B$2:$B$42,0)),"")</f>
        <v/>
      </c>
      <c r="CY272" s="138" t="str">
        <f>IF($I272&lt;&gt;"",INDEX('Device Refrigerant Leakage'!$F$2:$F$42,MATCH($Q272,'Device Refrigerant Leakage'!$B$2:$B$42,0)),"")</f>
        <v/>
      </c>
      <c r="CZ272" s="145" t="str">
        <f>IF($I272&lt;&gt;"",INDEX('Device Refrigerant Leakage'!$G$2:$G$42,MATCH($Q272,'Device Refrigerant Leakage'!$B$2:$B$42,0)),"")</f>
        <v/>
      </c>
      <c r="DA272" s="145" t="str">
        <f>IF($I272&lt;&gt;"",J272*INDEX('Device Refrigerant Leakage'!$D$2:$D$42,MATCH($Q272,'Device Refrigerant Leakage'!$B$2:$B$42,0))*CX272/2204.62*CW272,"")</f>
        <v/>
      </c>
      <c r="DB272" s="145" t="str">
        <f>IF($I272&lt;&gt;"",J272*(INDEX('Device Refrigerant Leakage'!$D$2:$D$42,MATCH($Q272,'Device Refrigerant Leakage'!$B$2:$B$42,0))-(INDEX('Device Refrigerant Leakage'!$D$2:$D$42,MATCH($Q272,'Device Refrigerant Leakage'!$B$2:$B$42,0)))*CZ272*CX272)*CY272/2204.62*CW272,"")</f>
        <v/>
      </c>
      <c r="DC272" s="135" t="str">
        <f t="shared" ref="DC272:DC335" si="416">IF($I272&lt;&gt;"",(DA272*K272)+DB272,"")</f>
        <v/>
      </c>
      <c r="DE272" s="146" t="str">
        <f>IF(W272&lt;&gt;"AR","",IF(Y272="User Specified", AA272, INDEX('Refrigerant GWPs'!$G$2:$G$154,MATCH(Y272,'Refrigerant GWPs'!$A$2:$A$154,0))))</f>
        <v/>
      </c>
      <c r="DF272" s="146" t="str">
        <f>IF(W272&lt;&gt;"AR","",INDEX('Device Refrigerant Leakage'!$E$2:$E$42,MATCH(X272,'Device Refrigerant Leakage'!$B$2:$B$42,0)))</f>
        <v/>
      </c>
      <c r="DG272" s="146" t="str">
        <f>IF(W272&lt;&gt;"AR","",INDEX('Device Refrigerant Leakage'!$F$2:$F$42,MATCH(X272,'Device Refrigerant Leakage'!$B$2:$B$42,0)))</f>
        <v/>
      </c>
      <c r="DH272" s="146" t="str">
        <f>IF(W272&lt;&gt;"AR","",INDEX('Device Refrigerant Leakage'!$G$2:$G$42,MATCH(X272,'Device Refrigerant Leakage'!$B$2:$B$42,0)))</f>
        <v/>
      </c>
      <c r="DI272" s="146" t="str">
        <f>IF(W272&lt;&gt;"AR","",J272*INDEX('Device Refrigerant Leakage'!$D$2:$D$42,MATCH(X272,'Device Refrigerant Leakage'!$B$2:$B$42,0))*DF272/2204.62*DE272)</f>
        <v/>
      </c>
      <c r="DJ272" s="146" t="str">
        <f>IF(W272&lt;&gt;"AR","",J272*(INDEX('Device Refrigerant Leakage'!$D$2:$D$42,MATCH(X272,'Device Refrigerant Leakage'!$B$2:$B$42,0))-(INDEX('Device Refrigerant Leakage'!$D$2:$D$42,MATCH(X272,'Device Refrigerant Leakage'!$B$2:$B$42,0)))*DH272*DF272)*DG272/2204.62*DE272)</f>
        <v/>
      </c>
      <c r="DK272" s="146" t="str">
        <f>IF(W272&lt;&gt;"AR","",DI272*(K272-AB272)+'Fuel Sub Calcs-Deemed'!DJ272*((K272-AB272)/INDEX('Device Refrigerant Leakage'!$C$2:$C$42,MATCH('Fuel Sub Calcs-Deemed'!X272,'Device Refrigerant Leakage'!$B$2:$B$42,0))))</f>
        <v/>
      </c>
      <c r="DM272" s="56">
        <v>258</v>
      </c>
      <c r="DN272" s="67" t="e">
        <f t="shared" si="398"/>
        <v>#N/A</v>
      </c>
      <c r="DO272" s="45" t="e">
        <f t="shared" si="399"/>
        <v>#N/A</v>
      </c>
      <c r="DP272" s="67" t="e">
        <f t="shared" si="400"/>
        <v>#N/A</v>
      </c>
      <c r="DQ272" s="45" t="e">
        <f t="shared" si="401"/>
        <v>#N/A</v>
      </c>
      <c r="DR272" s="69" t="e">
        <f t="shared" si="402"/>
        <v>#N/A</v>
      </c>
      <c r="DS272" s="34"/>
      <c r="DT272" s="67" t="e">
        <f>((BX272*CJ272)+IF($W272=MAT_AR,(BZ272*CL272),0))*(1+Reference!$E$50+Reference!$E$51)</f>
        <v>#N/A</v>
      </c>
      <c r="DU272" s="67">
        <f>((BY272*CK272)+IF($W272=MAT_AR,(CA272*CM272),0))*(1+Reference!$G$50+Reference!$G$51)</f>
        <v>0</v>
      </c>
      <c r="DV272" s="67" t="e">
        <f t="shared" si="403"/>
        <v>#VALUE!</v>
      </c>
      <c r="DX272" s="56">
        <v>258</v>
      </c>
      <c r="DY272" s="67">
        <f t="shared" si="404"/>
        <v>0</v>
      </c>
      <c r="DZ272" s="45" t="e">
        <f>VLOOKUP($R272,Dropdown!$C$3:$D$4,2,FALSE)</f>
        <v>#N/A</v>
      </c>
      <c r="EA272" s="68">
        <f t="shared" si="405"/>
        <v>0</v>
      </c>
      <c r="EB272" s="68" t="str">
        <f t="shared" si="406"/>
        <v>N/A</v>
      </c>
      <c r="EC272" s="68">
        <f t="shared" si="407"/>
        <v>0</v>
      </c>
      <c r="ED272" s="68" t="str">
        <f t="shared" si="377"/>
        <v>N/A</v>
      </c>
      <c r="EF272" s="56">
        <v>258</v>
      </c>
      <c r="EG272" s="46">
        <f t="shared" si="408"/>
        <v>0</v>
      </c>
      <c r="EH272" s="68" t="e">
        <f t="shared" si="409"/>
        <v>#N/A</v>
      </c>
      <c r="EI272" s="68" t="e">
        <f t="shared" si="410"/>
        <v>#N/A</v>
      </c>
      <c r="EJ272" s="68" t="e">
        <f t="shared" si="411"/>
        <v>#N/A</v>
      </c>
      <c r="EK272" s="68" t="e">
        <f t="shared" si="412"/>
        <v>#N/A</v>
      </c>
      <c r="EL272" s="46">
        <f t="shared" si="413"/>
        <v>0</v>
      </c>
      <c r="EM272" s="46">
        <f t="shared" si="414"/>
        <v>0</v>
      </c>
    </row>
    <row r="273" spans="1:143">
      <c r="A273" s="89"/>
      <c r="B273" s="89"/>
      <c r="C273" s="89"/>
      <c r="D273" s="89"/>
      <c r="E273" s="89"/>
      <c r="F273" s="89"/>
      <c r="G273" s="34"/>
      <c r="H273" s="56">
        <f t="shared" si="415"/>
        <v>259</v>
      </c>
      <c r="I273" s="165"/>
      <c r="J273" s="163"/>
      <c r="K273" s="163"/>
      <c r="L273" s="164"/>
      <c r="M273" s="155"/>
      <c r="N273" s="155"/>
      <c r="O273" s="144"/>
      <c r="P273" s="159" t="str">
        <f>IFERROR(IF(O273&lt;&gt;"User Specified",IF(O273&lt;&gt;"", INDEX('Refrigerant GWPs'!$G$2:$G$154,MATCH(O273,'Refrigerant GWPs'!$A$2:$A$154,0)),""),U273),0)</f>
        <v/>
      </c>
      <c r="Q273" s="155"/>
      <c r="R273" s="155"/>
      <c r="S273" s="144"/>
      <c r="T273" s="159" t="str">
        <f>IF(S273&lt;&gt;"User Specified",IF(AND(S273&lt;&gt;"User Specified",S273&lt;&gt;""), INDEX('Refrigerant GWPs'!$G$2:$G$154,MATCH(S273,'Refrigerant GWPs'!$A$2:$A$154,0)),""),V273)</f>
        <v/>
      </c>
      <c r="U273" s="144"/>
      <c r="V273" s="144"/>
      <c r="W273" s="155"/>
      <c r="X273" s="155"/>
      <c r="Y273" s="144"/>
      <c r="Z273" s="159" t="str">
        <f>IF(AND(Y273&lt;&gt;"User Specified",Y273&lt;&gt;""), INDEX('Refrigerant GWPs'!$G$2:$G$154,MATCH(Y273,'Refrigerant GWPs'!$A$2:$A$154,0)),"")</f>
        <v/>
      </c>
      <c r="AA273" s="155"/>
      <c r="AB273" s="156"/>
      <c r="AC273" s="66"/>
      <c r="AD273" s="66"/>
      <c r="AE273" s="66"/>
      <c r="AF273" s="66"/>
      <c r="AG273" s="66"/>
      <c r="AH273" s="66"/>
      <c r="AI273" s="34"/>
      <c r="AJ273" s="88">
        <f t="shared" si="378"/>
        <v>0</v>
      </c>
      <c r="AK273" s="88">
        <f t="shared" si="379"/>
        <v>0</v>
      </c>
      <c r="AL273" s="88">
        <v>0</v>
      </c>
      <c r="AM273" s="88">
        <v>0</v>
      </c>
      <c r="AN273" s="81" t="str">
        <f t="shared" si="349"/>
        <v/>
      </c>
      <c r="AO273" s="88">
        <f t="shared" si="380"/>
        <v>0</v>
      </c>
      <c r="AP273" s="88">
        <f t="shared" si="381"/>
        <v>0</v>
      </c>
      <c r="AQ273" s="81" t="str">
        <f t="shared" si="382"/>
        <v/>
      </c>
      <c r="AS273" s="41" t="b">
        <f t="shared" si="383"/>
        <v>1</v>
      </c>
      <c r="AT273" s="38">
        <f t="shared" si="384"/>
        <v>0</v>
      </c>
      <c r="AU273" s="60">
        <f t="shared" si="385"/>
        <v>0</v>
      </c>
      <c r="AV273" s="41">
        <f t="shared" si="386"/>
        <v>0</v>
      </c>
      <c r="AW273" s="41" t="b">
        <f t="shared" si="387"/>
        <v>0</v>
      </c>
      <c r="AX273" t="str">
        <f t="shared" si="388"/>
        <v>+00</v>
      </c>
      <c r="AY273" t="str">
        <f t="shared" si="389"/>
        <v>+00</v>
      </c>
      <c r="BA273" s="47" t="b">
        <f t="shared" si="350"/>
        <v>1</v>
      </c>
      <c r="BB273" s="42" t="b">
        <f t="shared" si="351"/>
        <v>1</v>
      </c>
      <c r="BC273" s="42" t="b">
        <f t="shared" si="352"/>
        <v>0</v>
      </c>
      <c r="BD273" s="42" t="b">
        <f t="shared" si="353"/>
        <v>0</v>
      </c>
      <c r="BE273" s="70">
        <f t="shared" si="354"/>
        <v>0</v>
      </c>
      <c r="BF273" s="70">
        <f t="shared" si="355"/>
        <v>0</v>
      </c>
      <c r="BG273" s="34"/>
      <c r="BI273" s="47" t="b">
        <f t="shared" si="356"/>
        <v>1</v>
      </c>
      <c r="BJ273" s="47" t="b">
        <f t="shared" si="357"/>
        <v>1</v>
      </c>
      <c r="BK273" s="42" t="b">
        <f t="shared" si="358"/>
        <v>0</v>
      </c>
      <c r="BL273" s="42" t="b">
        <f t="shared" si="359"/>
        <v>0</v>
      </c>
      <c r="BM273" s="42">
        <f t="shared" si="360"/>
        <v>0</v>
      </c>
      <c r="BN273" s="42">
        <f t="shared" si="361"/>
        <v>0</v>
      </c>
      <c r="BP273" t="e">
        <f t="shared" si="362"/>
        <v>#N/A</v>
      </c>
      <c r="BQ273" t="e">
        <f t="shared" si="363"/>
        <v>#N/A</v>
      </c>
      <c r="BR273" t="e">
        <f t="shared" si="364"/>
        <v>#N/A</v>
      </c>
      <c r="BT273" s="60">
        <f t="shared" si="365"/>
        <v>0</v>
      </c>
      <c r="BU273" s="60">
        <f t="shared" si="366"/>
        <v>0</v>
      </c>
      <c r="BV273" s="60">
        <f t="shared" si="367"/>
        <v>0</v>
      </c>
      <c r="BW273" s="60">
        <f t="shared" si="368"/>
        <v>0</v>
      </c>
      <c r="BX273" s="60">
        <f t="shared" si="369"/>
        <v>0</v>
      </c>
      <c r="BY273" s="60">
        <f t="shared" si="370"/>
        <v>0</v>
      </c>
      <c r="BZ273" s="60">
        <f t="shared" si="371"/>
        <v>0</v>
      </c>
      <c r="CA273" s="60">
        <f t="shared" si="372"/>
        <v>0</v>
      </c>
      <c r="CB273" s="60" t="e">
        <f t="shared" si="390"/>
        <v>#N/A</v>
      </c>
      <c r="CC273" s="60">
        <f t="shared" si="391"/>
        <v>100000</v>
      </c>
      <c r="CD273" s="60" t="e">
        <f t="shared" si="392"/>
        <v>#N/A</v>
      </c>
      <c r="CE273" s="60">
        <f t="shared" si="393"/>
        <v>100000</v>
      </c>
      <c r="CF273" s="83" t="e">
        <f t="shared" si="373"/>
        <v>#N/A</v>
      </c>
      <c r="CG273" s="83">
        <f t="shared" si="374"/>
        <v>0</v>
      </c>
      <c r="CH273" s="83" t="e">
        <f t="shared" si="375"/>
        <v>#N/A</v>
      </c>
      <c r="CI273" s="83">
        <f t="shared" si="376"/>
        <v>0</v>
      </c>
      <c r="CJ273" s="86" t="e">
        <f t="shared" si="394"/>
        <v>#N/A</v>
      </c>
      <c r="CK273" s="82">
        <f t="shared" si="395"/>
        <v>5.3070370403969858E-3</v>
      </c>
      <c r="CL273" s="82" t="e">
        <f t="shared" si="396"/>
        <v>#N/A</v>
      </c>
      <c r="CM273" s="82">
        <f t="shared" si="397"/>
        <v>5.3070370403969858E-3</v>
      </c>
      <c r="CO273" s="149" t="str">
        <f>IF($I273&lt;&gt;"",IF(O273="User Specified",U273,INDEX('Refrigerant GWPs'!$G$2:$G$156,MATCH(O273,'Refrigerant GWPs'!$A$2:$A$156,0))),"")</f>
        <v/>
      </c>
      <c r="CP273" s="138" t="str">
        <f>IF($I273&lt;&gt;"",INDEX('Device Refrigerant Leakage'!$E$2:$E$42,MATCH($M273,'Device Refrigerant Leakage'!$B$2:$B$42,0)),"")</f>
        <v/>
      </c>
      <c r="CQ273" s="138" t="str">
        <f>IF($I273&lt;&gt;"",INDEX('Device Refrigerant Leakage'!$F$2:$F$42,MATCH($M273,'Device Refrigerant Leakage'!$B$2:$B$42,0)),"")</f>
        <v/>
      </c>
      <c r="CR273" s="145" t="str">
        <f>IF($I273&lt;&gt;"",INDEX('Device Refrigerant Leakage'!$G$2:$G$42,MATCH($M273,'Device Refrigerant Leakage'!$B$2:$B$42,0)),"")</f>
        <v/>
      </c>
      <c r="CS273" s="145" t="str">
        <f>IF($I273&lt;&gt;"",INDEX('Device Refrigerant Leakage'!$D$2:$D$42,MATCH($M273,'Device Refrigerant Leakage'!$B$2:$B$42,0))*CP273/2204.62*CO273,"")</f>
        <v/>
      </c>
      <c r="CT273" s="145" t="str">
        <f>IF($I273&lt;&gt;"",J273*(INDEX('Device Refrigerant Leakage'!$D$2:$D$42,MATCH($M273,'Device Refrigerant Leakage'!$B$2:$B$42,0))-(INDEX('Device Refrigerant Leakage'!$D$2:$D$42,MATCH($M273,'Device Refrigerant Leakage'!$B$2:$B$42,0)))*CR273*CP273)*CQ273/2204.62*CO273,"")</f>
        <v/>
      </c>
      <c r="CU273" s="135" t="str">
        <f>IF($I273&lt;&gt;"",J273*IF(W273&lt;&gt;"AR",(CS273*K273)+CT273,(CS273*AB273)+CT273*(AB273/INDEX('Device Refrigerant Leakage'!$C$2:$C$42,MATCH($M273,'Device Refrigerant Leakage'!$B$2:$B$42,0)))),"")</f>
        <v/>
      </c>
      <c r="CW273" s="135" t="str">
        <f>IF($I273&lt;&gt;"",IF(S273="User Specified",V273,INDEX('Refrigerant GWPs'!$G$2:$G$156,MATCH(S273,'Refrigerant GWPs'!$A$2:$A$157,0))),"")</f>
        <v/>
      </c>
      <c r="CX273" s="138" t="str">
        <f>IF($I273&lt;&gt;"",INDEX('Device Refrigerant Leakage'!$E$2:$E$42,MATCH($Q273,'Device Refrigerant Leakage'!$B$2:$B$42,0)),"")</f>
        <v/>
      </c>
      <c r="CY273" s="138" t="str">
        <f>IF($I273&lt;&gt;"",INDEX('Device Refrigerant Leakage'!$F$2:$F$42,MATCH($Q273,'Device Refrigerant Leakage'!$B$2:$B$42,0)),"")</f>
        <v/>
      </c>
      <c r="CZ273" s="145" t="str">
        <f>IF($I273&lt;&gt;"",INDEX('Device Refrigerant Leakage'!$G$2:$G$42,MATCH($Q273,'Device Refrigerant Leakage'!$B$2:$B$42,0)),"")</f>
        <v/>
      </c>
      <c r="DA273" s="145" t="str">
        <f>IF($I273&lt;&gt;"",J273*INDEX('Device Refrigerant Leakage'!$D$2:$D$42,MATCH($Q273,'Device Refrigerant Leakage'!$B$2:$B$42,0))*CX273/2204.62*CW273,"")</f>
        <v/>
      </c>
      <c r="DB273" s="145" t="str">
        <f>IF($I273&lt;&gt;"",J273*(INDEX('Device Refrigerant Leakage'!$D$2:$D$42,MATCH($Q273,'Device Refrigerant Leakage'!$B$2:$B$42,0))-(INDEX('Device Refrigerant Leakage'!$D$2:$D$42,MATCH($Q273,'Device Refrigerant Leakage'!$B$2:$B$42,0)))*CZ273*CX273)*CY273/2204.62*CW273,"")</f>
        <v/>
      </c>
      <c r="DC273" s="135" t="str">
        <f t="shared" si="416"/>
        <v/>
      </c>
      <c r="DE273" s="146" t="str">
        <f>IF(W273&lt;&gt;"AR","",IF(Y273="User Specified", AA273, INDEX('Refrigerant GWPs'!$G$2:$G$154,MATCH(Y273,'Refrigerant GWPs'!$A$2:$A$154,0))))</f>
        <v/>
      </c>
      <c r="DF273" s="146" t="str">
        <f>IF(W273&lt;&gt;"AR","",INDEX('Device Refrigerant Leakage'!$E$2:$E$42,MATCH(X273,'Device Refrigerant Leakage'!$B$2:$B$42,0)))</f>
        <v/>
      </c>
      <c r="DG273" s="146" t="str">
        <f>IF(W273&lt;&gt;"AR","",INDEX('Device Refrigerant Leakage'!$F$2:$F$42,MATCH(X273,'Device Refrigerant Leakage'!$B$2:$B$42,0)))</f>
        <v/>
      </c>
      <c r="DH273" s="146" t="str">
        <f>IF(W273&lt;&gt;"AR","",INDEX('Device Refrigerant Leakage'!$G$2:$G$42,MATCH(X273,'Device Refrigerant Leakage'!$B$2:$B$42,0)))</f>
        <v/>
      </c>
      <c r="DI273" s="146" t="str">
        <f>IF(W273&lt;&gt;"AR","",J273*INDEX('Device Refrigerant Leakage'!$D$2:$D$42,MATCH(X273,'Device Refrigerant Leakage'!$B$2:$B$42,0))*DF273/2204.62*DE273)</f>
        <v/>
      </c>
      <c r="DJ273" s="146" t="str">
        <f>IF(W273&lt;&gt;"AR","",J273*(INDEX('Device Refrigerant Leakage'!$D$2:$D$42,MATCH(X273,'Device Refrigerant Leakage'!$B$2:$B$42,0))-(INDEX('Device Refrigerant Leakage'!$D$2:$D$42,MATCH(X273,'Device Refrigerant Leakage'!$B$2:$B$42,0)))*DH273*DF273)*DG273/2204.62*DE273)</f>
        <v/>
      </c>
      <c r="DK273" s="146" t="str">
        <f>IF(W273&lt;&gt;"AR","",DI273*(K273-AB273)+'Fuel Sub Calcs-Deemed'!DJ273*((K273-AB273)/INDEX('Device Refrigerant Leakage'!$C$2:$C$42,MATCH('Fuel Sub Calcs-Deemed'!X273,'Device Refrigerant Leakage'!$B$2:$B$42,0))))</f>
        <v/>
      </c>
      <c r="DM273" s="56">
        <v>259</v>
      </c>
      <c r="DN273" s="67" t="e">
        <f t="shared" si="398"/>
        <v>#N/A</v>
      </c>
      <c r="DO273" s="45" t="e">
        <f t="shared" si="399"/>
        <v>#N/A</v>
      </c>
      <c r="DP273" s="67" t="e">
        <f t="shared" si="400"/>
        <v>#N/A</v>
      </c>
      <c r="DQ273" s="45" t="e">
        <f t="shared" si="401"/>
        <v>#N/A</v>
      </c>
      <c r="DR273" s="69" t="e">
        <f t="shared" si="402"/>
        <v>#N/A</v>
      </c>
      <c r="DS273" s="34"/>
      <c r="DT273" s="67" t="e">
        <f>((BX273*CJ273)+IF($W273=MAT_AR,(BZ273*CL273),0))*(1+Reference!$E$50+Reference!$E$51)</f>
        <v>#N/A</v>
      </c>
      <c r="DU273" s="67">
        <f>((BY273*CK273)+IF($W273=MAT_AR,(CA273*CM273),0))*(1+Reference!$G$50+Reference!$G$51)</f>
        <v>0</v>
      </c>
      <c r="DV273" s="67" t="e">
        <f t="shared" si="403"/>
        <v>#VALUE!</v>
      </c>
      <c r="DX273" s="56">
        <v>259</v>
      </c>
      <c r="DY273" s="67">
        <f t="shared" si="404"/>
        <v>0</v>
      </c>
      <c r="DZ273" s="45" t="e">
        <f>VLOOKUP($R273,Dropdown!$C$3:$D$4,2,FALSE)</f>
        <v>#N/A</v>
      </c>
      <c r="EA273" s="68">
        <f t="shared" si="405"/>
        <v>0</v>
      </c>
      <c r="EB273" s="68" t="str">
        <f t="shared" si="406"/>
        <v>N/A</v>
      </c>
      <c r="EC273" s="68">
        <f t="shared" si="407"/>
        <v>0</v>
      </c>
      <c r="ED273" s="68" t="str">
        <f t="shared" si="377"/>
        <v>N/A</v>
      </c>
      <c r="EF273" s="56">
        <v>259</v>
      </c>
      <c r="EG273" s="46">
        <f t="shared" si="408"/>
        <v>0</v>
      </c>
      <c r="EH273" s="68" t="e">
        <f t="shared" si="409"/>
        <v>#N/A</v>
      </c>
      <c r="EI273" s="68" t="e">
        <f t="shared" si="410"/>
        <v>#N/A</v>
      </c>
      <c r="EJ273" s="68" t="e">
        <f t="shared" si="411"/>
        <v>#N/A</v>
      </c>
      <c r="EK273" s="68" t="e">
        <f t="shared" si="412"/>
        <v>#N/A</v>
      </c>
      <c r="EL273" s="46">
        <f t="shared" si="413"/>
        <v>0</v>
      </c>
      <c r="EM273" s="46">
        <f t="shared" si="414"/>
        <v>0</v>
      </c>
    </row>
    <row r="274" spans="1:143">
      <c r="A274" s="89"/>
      <c r="B274" s="89"/>
      <c r="C274" s="89"/>
      <c r="D274" s="89"/>
      <c r="E274" s="89"/>
      <c r="F274" s="89"/>
      <c r="G274" s="34"/>
      <c r="H274" s="56">
        <f t="shared" si="415"/>
        <v>260</v>
      </c>
      <c r="I274" s="165"/>
      <c r="J274" s="163"/>
      <c r="K274" s="163"/>
      <c r="L274" s="164"/>
      <c r="M274" s="155"/>
      <c r="N274" s="155"/>
      <c r="O274" s="144"/>
      <c r="P274" s="159" t="str">
        <f>IFERROR(IF(O274&lt;&gt;"User Specified",IF(O274&lt;&gt;"", INDEX('Refrigerant GWPs'!$G$2:$G$154,MATCH(O274,'Refrigerant GWPs'!$A$2:$A$154,0)),""),U274),0)</f>
        <v/>
      </c>
      <c r="Q274" s="155"/>
      <c r="R274" s="155"/>
      <c r="S274" s="144"/>
      <c r="T274" s="159" t="str">
        <f>IF(S274&lt;&gt;"User Specified",IF(AND(S274&lt;&gt;"User Specified",S274&lt;&gt;""), INDEX('Refrigerant GWPs'!$G$2:$G$154,MATCH(S274,'Refrigerant GWPs'!$A$2:$A$154,0)),""),V274)</f>
        <v/>
      </c>
      <c r="U274" s="144"/>
      <c r="V274" s="144"/>
      <c r="W274" s="155"/>
      <c r="X274" s="155"/>
      <c r="Y274" s="144"/>
      <c r="Z274" s="159" t="str">
        <f>IF(AND(Y274&lt;&gt;"User Specified",Y274&lt;&gt;""), INDEX('Refrigerant GWPs'!$G$2:$G$154,MATCH(Y274,'Refrigerant GWPs'!$A$2:$A$154,0)),"")</f>
        <v/>
      </c>
      <c r="AA274" s="155"/>
      <c r="AB274" s="156"/>
      <c r="AC274" s="66"/>
      <c r="AD274" s="66"/>
      <c r="AE274" s="66"/>
      <c r="AF274" s="66"/>
      <c r="AG274" s="66"/>
      <c r="AH274" s="66"/>
      <c r="AI274" s="34"/>
      <c r="AJ274" s="88">
        <f t="shared" si="378"/>
        <v>0</v>
      </c>
      <c r="AK274" s="88">
        <f t="shared" si="379"/>
        <v>0</v>
      </c>
      <c r="AL274" s="88">
        <v>0</v>
      </c>
      <c r="AM274" s="88">
        <v>0</v>
      </c>
      <c r="AN274" s="81" t="str">
        <f t="shared" si="349"/>
        <v/>
      </c>
      <c r="AO274" s="88">
        <f t="shared" si="380"/>
        <v>0</v>
      </c>
      <c r="AP274" s="88">
        <f t="shared" si="381"/>
        <v>0</v>
      </c>
      <c r="AQ274" s="81" t="str">
        <f t="shared" si="382"/>
        <v/>
      </c>
      <c r="AS274" s="41" t="b">
        <f t="shared" si="383"/>
        <v>1</v>
      </c>
      <c r="AT274" s="38">
        <f t="shared" si="384"/>
        <v>0</v>
      </c>
      <c r="AU274" s="60">
        <f t="shared" si="385"/>
        <v>0</v>
      </c>
      <c r="AV274" s="41">
        <f t="shared" si="386"/>
        <v>0</v>
      </c>
      <c r="AW274" s="41" t="b">
        <f t="shared" si="387"/>
        <v>0</v>
      </c>
      <c r="AX274" t="str">
        <f t="shared" si="388"/>
        <v>+00</v>
      </c>
      <c r="AY274" t="str">
        <f t="shared" si="389"/>
        <v>+00</v>
      </c>
      <c r="BA274" s="47" t="b">
        <f t="shared" si="350"/>
        <v>1</v>
      </c>
      <c r="BB274" s="42" t="b">
        <f t="shared" si="351"/>
        <v>1</v>
      </c>
      <c r="BC274" s="42" t="b">
        <f t="shared" si="352"/>
        <v>0</v>
      </c>
      <c r="BD274" s="42" t="b">
        <f t="shared" si="353"/>
        <v>0</v>
      </c>
      <c r="BE274" s="70">
        <f t="shared" si="354"/>
        <v>0</v>
      </c>
      <c r="BF274" s="70">
        <f t="shared" si="355"/>
        <v>0</v>
      </c>
      <c r="BG274" s="34"/>
      <c r="BI274" s="47" t="b">
        <f t="shared" si="356"/>
        <v>1</v>
      </c>
      <c r="BJ274" s="47" t="b">
        <f t="shared" si="357"/>
        <v>1</v>
      </c>
      <c r="BK274" s="42" t="b">
        <f t="shared" si="358"/>
        <v>0</v>
      </c>
      <c r="BL274" s="42" t="b">
        <f t="shared" si="359"/>
        <v>0</v>
      </c>
      <c r="BM274" s="42">
        <f t="shared" si="360"/>
        <v>0</v>
      </c>
      <c r="BN274" s="42">
        <f t="shared" si="361"/>
        <v>0</v>
      </c>
      <c r="BP274" t="e">
        <f t="shared" si="362"/>
        <v>#N/A</v>
      </c>
      <c r="BQ274" t="e">
        <f t="shared" si="363"/>
        <v>#N/A</v>
      </c>
      <c r="BR274" t="e">
        <f t="shared" si="364"/>
        <v>#N/A</v>
      </c>
      <c r="BT274" s="60">
        <f t="shared" si="365"/>
        <v>0</v>
      </c>
      <c r="BU274" s="60">
        <f t="shared" si="366"/>
        <v>0</v>
      </c>
      <c r="BV274" s="60">
        <f t="shared" si="367"/>
        <v>0</v>
      </c>
      <c r="BW274" s="60">
        <f t="shared" si="368"/>
        <v>0</v>
      </c>
      <c r="BX274" s="60">
        <f t="shared" si="369"/>
        <v>0</v>
      </c>
      <c r="BY274" s="60">
        <f t="shared" si="370"/>
        <v>0</v>
      </c>
      <c r="BZ274" s="60">
        <f t="shared" si="371"/>
        <v>0</v>
      </c>
      <c r="CA274" s="60">
        <f t="shared" si="372"/>
        <v>0</v>
      </c>
      <c r="CB274" s="60" t="e">
        <f t="shared" si="390"/>
        <v>#N/A</v>
      </c>
      <c r="CC274" s="60">
        <f t="shared" si="391"/>
        <v>100000</v>
      </c>
      <c r="CD274" s="60" t="e">
        <f t="shared" si="392"/>
        <v>#N/A</v>
      </c>
      <c r="CE274" s="60">
        <f t="shared" si="393"/>
        <v>100000</v>
      </c>
      <c r="CF274" s="83" t="e">
        <f t="shared" si="373"/>
        <v>#N/A</v>
      </c>
      <c r="CG274" s="83">
        <f t="shared" si="374"/>
        <v>0</v>
      </c>
      <c r="CH274" s="83" t="e">
        <f t="shared" si="375"/>
        <v>#N/A</v>
      </c>
      <c r="CI274" s="83">
        <f t="shared" si="376"/>
        <v>0</v>
      </c>
      <c r="CJ274" s="86" t="e">
        <f t="shared" si="394"/>
        <v>#N/A</v>
      </c>
      <c r="CK274" s="82">
        <f t="shared" si="395"/>
        <v>5.3070370403969858E-3</v>
      </c>
      <c r="CL274" s="82" t="e">
        <f t="shared" si="396"/>
        <v>#N/A</v>
      </c>
      <c r="CM274" s="82">
        <f t="shared" si="397"/>
        <v>5.3070370403969858E-3</v>
      </c>
      <c r="CO274" s="149" t="str">
        <f>IF($I274&lt;&gt;"",IF(O274="User Specified",U274,INDEX('Refrigerant GWPs'!$G$2:$G$156,MATCH(O274,'Refrigerant GWPs'!$A$2:$A$156,0))),"")</f>
        <v/>
      </c>
      <c r="CP274" s="138" t="str">
        <f>IF($I274&lt;&gt;"",INDEX('Device Refrigerant Leakage'!$E$2:$E$42,MATCH($M274,'Device Refrigerant Leakage'!$B$2:$B$42,0)),"")</f>
        <v/>
      </c>
      <c r="CQ274" s="138" t="str">
        <f>IF($I274&lt;&gt;"",INDEX('Device Refrigerant Leakage'!$F$2:$F$42,MATCH($M274,'Device Refrigerant Leakage'!$B$2:$B$42,0)),"")</f>
        <v/>
      </c>
      <c r="CR274" s="145" t="str">
        <f>IF($I274&lt;&gt;"",INDEX('Device Refrigerant Leakage'!$G$2:$G$42,MATCH($M274,'Device Refrigerant Leakage'!$B$2:$B$42,0)),"")</f>
        <v/>
      </c>
      <c r="CS274" s="145" t="str">
        <f>IF($I274&lt;&gt;"",INDEX('Device Refrigerant Leakage'!$D$2:$D$42,MATCH($M274,'Device Refrigerant Leakage'!$B$2:$B$42,0))*CP274/2204.62*CO274,"")</f>
        <v/>
      </c>
      <c r="CT274" s="145" t="str">
        <f>IF($I274&lt;&gt;"",J274*(INDEX('Device Refrigerant Leakage'!$D$2:$D$42,MATCH($M274,'Device Refrigerant Leakage'!$B$2:$B$42,0))-(INDEX('Device Refrigerant Leakage'!$D$2:$D$42,MATCH($M274,'Device Refrigerant Leakage'!$B$2:$B$42,0)))*CR274*CP274)*CQ274/2204.62*CO274,"")</f>
        <v/>
      </c>
      <c r="CU274" s="135" t="str">
        <f>IF($I274&lt;&gt;"",J274*IF(W274&lt;&gt;"AR",(CS274*K274)+CT274,(CS274*AB274)+CT274*(AB274/INDEX('Device Refrigerant Leakage'!$C$2:$C$42,MATCH($M274,'Device Refrigerant Leakage'!$B$2:$B$42,0)))),"")</f>
        <v/>
      </c>
      <c r="CW274" s="135" t="str">
        <f>IF($I274&lt;&gt;"",IF(S274="User Specified",V274,INDEX('Refrigerant GWPs'!$G$2:$G$156,MATCH(S274,'Refrigerant GWPs'!$A$2:$A$157,0))),"")</f>
        <v/>
      </c>
      <c r="CX274" s="138" t="str">
        <f>IF($I274&lt;&gt;"",INDEX('Device Refrigerant Leakage'!$E$2:$E$42,MATCH($Q274,'Device Refrigerant Leakage'!$B$2:$B$42,0)),"")</f>
        <v/>
      </c>
      <c r="CY274" s="138" t="str">
        <f>IF($I274&lt;&gt;"",INDEX('Device Refrigerant Leakage'!$F$2:$F$42,MATCH($Q274,'Device Refrigerant Leakage'!$B$2:$B$42,0)),"")</f>
        <v/>
      </c>
      <c r="CZ274" s="145" t="str">
        <f>IF($I274&lt;&gt;"",INDEX('Device Refrigerant Leakage'!$G$2:$G$42,MATCH($Q274,'Device Refrigerant Leakage'!$B$2:$B$42,0)),"")</f>
        <v/>
      </c>
      <c r="DA274" s="145" t="str">
        <f>IF($I274&lt;&gt;"",J274*INDEX('Device Refrigerant Leakage'!$D$2:$D$42,MATCH($Q274,'Device Refrigerant Leakage'!$B$2:$B$42,0))*CX274/2204.62*CW274,"")</f>
        <v/>
      </c>
      <c r="DB274" s="145" t="str">
        <f>IF($I274&lt;&gt;"",J274*(INDEX('Device Refrigerant Leakage'!$D$2:$D$42,MATCH($Q274,'Device Refrigerant Leakage'!$B$2:$B$42,0))-(INDEX('Device Refrigerant Leakage'!$D$2:$D$42,MATCH($Q274,'Device Refrigerant Leakage'!$B$2:$B$42,0)))*CZ274*CX274)*CY274/2204.62*CW274,"")</f>
        <v/>
      </c>
      <c r="DC274" s="135" t="str">
        <f t="shared" si="416"/>
        <v/>
      </c>
      <c r="DE274" s="146" t="str">
        <f>IF(W274&lt;&gt;"AR","",IF(Y274="User Specified", AA274, INDEX('Refrigerant GWPs'!$G$2:$G$154,MATCH(Y274,'Refrigerant GWPs'!$A$2:$A$154,0))))</f>
        <v/>
      </c>
      <c r="DF274" s="146" t="str">
        <f>IF(W274&lt;&gt;"AR","",INDEX('Device Refrigerant Leakage'!$E$2:$E$42,MATCH(X274,'Device Refrigerant Leakage'!$B$2:$B$42,0)))</f>
        <v/>
      </c>
      <c r="DG274" s="146" t="str">
        <f>IF(W274&lt;&gt;"AR","",INDEX('Device Refrigerant Leakage'!$F$2:$F$42,MATCH(X274,'Device Refrigerant Leakage'!$B$2:$B$42,0)))</f>
        <v/>
      </c>
      <c r="DH274" s="146" t="str">
        <f>IF(W274&lt;&gt;"AR","",INDEX('Device Refrigerant Leakage'!$G$2:$G$42,MATCH(X274,'Device Refrigerant Leakage'!$B$2:$B$42,0)))</f>
        <v/>
      </c>
      <c r="DI274" s="146" t="str">
        <f>IF(W274&lt;&gt;"AR","",J274*INDEX('Device Refrigerant Leakage'!$D$2:$D$42,MATCH(X274,'Device Refrigerant Leakage'!$B$2:$B$42,0))*DF274/2204.62*DE274)</f>
        <v/>
      </c>
      <c r="DJ274" s="146" t="str">
        <f>IF(W274&lt;&gt;"AR","",J274*(INDEX('Device Refrigerant Leakage'!$D$2:$D$42,MATCH(X274,'Device Refrigerant Leakage'!$B$2:$B$42,0))-(INDEX('Device Refrigerant Leakage'!$D$2:$D$42,MATCH(X274,'Device Refrigerant Leakage'!$B$2:$B$42,0)))*DH274*DF274)*DG274/2204.62*DE274)</f>
        <v/>
      </c>
      <c r="DK274" s="146" t="str">
        <f>IF(W274&lt;&gt;"AR","",DI274*(K274-AB274)+'Fuel Sub Calcs-Deemed'!DJ274*((K274-AB274)/INDEX('Device Refrigerant Leakage'!$C$2:$C$42,MATCH('Fuel Sub Calcs-Deemed'!X274,'Device Refrigerant Leakage'!$B$2:$B$42,0))))</f>
        <v/>
      </c>
      <c r="DM274" s="56">
        <v>260</v>
      </c>
      <c r="DN274" s="67" t="e">
        <f t="shared" si="398"/>
        <v>#N/A</v>
      </c>
      <c r="DO274" s="45" t="e">
        <f t="shared" si="399"/>
        <v>#N/A</v>
      </c>
      <c r="DP274" s="67" t="e">
        <f t="shared" si="400"/>
        <v>#N/A</v>
      </c>
      <c r="DQ274" s="45" t="e">
        <f t="shared" si="401"/>
        <v>#N/A</v>
      </c>
      <c r="DR274" s="69" t="e">
        <f t="shared" si="402"/>
        <v>#N/A</v>
      </c>
      <c r="DS274" s="34"/>
      <c r="DT274" s="67" t="e">
        <f>((BX274*CJ274)+IF($W274=MAT_AR,(BZ274*CL274),0))*(1+Reference!$E$50+Reference!$E$51)</f>
        <v>#N/A</v>
      </c>
      <c r="DU274" s="67">
        <f>((BY274*CK274)+IF($W274=MAT_AR,(CA274*CM274),0))*(1+Reference!$G$50+Reference!$G$51)</f>
        <v>0</v>
      </c>
      <c r="DV274" s="67" t="e">
        <f t="shared" si="403"/>
        <v>#VALUE!</v>
      </c>
      <c r="DX274" s="56">
        <v>260</v>
      </c>
      <c r="DY274" s="67">
        <f t="shared" si="404"/>
        <v>0</v>
      </c>
      <c r="DZ274" s="45" t="e">
        <f>VLOOKUP($R274,Dropdown!$C$3:$D$4,2,FALSE)</f>
        <v>#N/A</v>
      </c>
      <c r="EA274" s="68">
        <f t="shared" si="405"/>
        <v>0</v>
      </c>
      <c r="EB274" s="68" t="str">
        <f t="shared" si="406"/>
        <v>N/A</v>
      </c>
      <c r="EC274" s="68">
        <f t="shared" si="407"/>
        <v>0</v>
      </c>
      <c r="ED274" s="68" t="str">
        <f t="shared" si="377"/>
        <v>N/A</v>
      </c>
      <c r="EF274" s="56">
        <v>260</v>
      </c>
      <c r="EG274" s="46">
        <f t="shared" si="408"/>
        <v>0</v>
      </c>
      <c r="EH274" s="68" t="e">
        <f t="shared" si="409"/>
        <v>#N/A</v>
      </c>
      <c r="EI274" s="68" t="e">
        <f t="shared" si="410"/>
        <v>#N/A</v>
      </c>
      <c r="EJ274" s="68" t="e">
        <f t="shared" si="411"/>
        <v>#N/A</v>
      </c>
      <c r="EK274" s="68" t="e">
        <f t="shared" si="412"/>
        <v>#N/A</v>
      </c>
      <c r="EL274" s="46">
        <f t="shared" si="413"/>
        <v>0</v>
      </c>
      <c r="EM274" s="46">
        <f t="shared" si="414"/>
        <v>0</v>
      </c>
    </row>
    <row r="275" spans="1:143">
      <c r="A275" s="89"/>
      <c r="B275" s="89"/>
      <c r="C275" s="89"/>
      <c r="D275" s="89"/>
      <c r="E275" s="89"/>
      <c r="F275" s="89"/>
      <c r="G275" s="34"/>
      <c r="H275" s="56">
        <f t="shared" si="415"/>
        <v>261</v>
      </c>
      <c r="I275" s="165"/>
      <c r="J275" s="163"/>
      <c r="K275" s="163"/>
      <c r="L275" s="164"/>
      <c r="M275" s="155"/>
      <c r="N275" s="155"/>
      <c r="O275" s="144"/>
      <c r="P275" s="159" t="str">
        <f>IFERROR(IF(O275&lt;&gt;"User Specified",IF(O275&lt;&gt;"", INDEX('Refrigerant GWPs'!$G$2:$G$154,MATCH(O275,'Refrigerant GWPs'!$A$2:$A$154,0)),""),U275),0)</f>
        <v/>
      </c>
      <c r="Q275" s="155"/>
      <c r="R275" s="155"/>
      <c r="S275" s="144"/>
      <c r="T275" s="159" t="str">
        <f>IF(S275&lt;&gt;"User Specified",IF(AND(S275&lt;&gt;"User Specified",S275&lt;&gt;""), INDEX('Refrigerant GWPs'!$G$2:$G$154,MATCH(S275,'Refrigerant GWPs'!$A$2:$A$154,0)),""),V275)</f>
        <v/>
      </c>
      <c r="U275" s="144"/>
      <c r="V275" s="144"/>
      <c r="W275" s="155"/>
      <c r="X275" s="155"/>
      <c r="Y275" s="144"/>
      <c r="Z275" s="159" t="str">
        <f>IF(AND(Y275&lt;&gt;"User Specified",Y275&lt;&gt;""), INDEX('Refrigerant GWPs'!$G$2:$G$154,MATCH(Y275,'Refrigerant GWPs'!$A$2:$A$154,0)),"")</f>
        <v/>
      </c>
      <c r="AA275" s="155"/>
      <c r="AB275" s="156"/>
      <c r="AC275" s="66"/>
      <c r="AD275" s="66"/>
      <c r="AE275" s="66"/>
      <c r="AF275" s="66"/>
      <c r="AG275" s="66"/>
      <c r="AH275" s="66"/>
      <c r="AI275" s="34"/>
      <c r="AJ275" s="88">
        <f t="shared" si="378"/>
        <v>0</v>
      </c>
      <c r="AK275" s="88">
        <f t="shared" si="379"/>
        <v>0</v>
      </c>
      <c r="AL275" s="88">
        <v>0</v>
      </c>
      <c r="AM275" s="88">
        <v>0</v>
      </c>
      <c r="AN275" s="81" t="str">
        <f t="shared" si="349"/>
        <v/>
      </c>
      <c r="AO275" s="88">
        <f t="shared" si="380"/>
        <v>0</v>
      </c>
      <c r="AP275" s="88">
        <f t="shared" si="381"/>
        <v>0</v>
      </c>
      <c r="AQ275" s="81" t="str">
        <f t="shared" si="382"/>
        <v/>
      </c>
      <c r="AS275" s="41" t="b">
        <f t="shared" si="383"/>
        <v>1</v>
      </c>
      <c r="AT275" s="38">
        <f t="shared" si="384"/>
        <v>0</v>
      </c>
      <c r="AU275" s="60">
        <f t="shared" si="385"/>
        <v>0</v>
      </c>
      <c r="AV275" s="41">
        <f t="shared" si="386"/>
        <v>0</v>
      </c>
      <c r="AW275" s="41" t="b">
        <f t="shared" si="387"/>
        <v>0</v>
      </c>
      <c r="AX275" t="str">
        <f t="shared" si="388"/>
        <v>+00</v>
      </c>
      <c r="AY275" t="str">
        <f t="shared" si="389"/>
        <v>+00</v>
      </c>
      <c r="BA275" s="47" t="b">
        <f t="shared" si="350"/>
        <v>1</v>
      </c>
      <c r="BB275" s="42" t="b">
        <f t="shared" si="351"/>
        <v>1</v>
      </c>
      <c r="BC275" s="42" t="b">
        <f t="shared" si="352"/>
        <v>0</v>
      </c>
      <c r="BD275" s="42" t="b">
        <f t="shared" si="353"/>
        <v>0</v>
      </c>
      <c r="BE275" s="70">
        <f t="shared" si="354"/>
        <v>0</v>
      </c>
      <c r="BF275" s="70">
        <f t="shared" si="355"/>
        <v>0</v>
      </c>
      <c r="BG275" s="34"/>
      <c r="BI275" s="47" t="b">
        <f t="shared" si="356"/>
        <v>1</v>
      </c>
      <c r="BJ275" s="47" t="b">
        <f t="shared" si="357"/>
        <v>1</v>
      </c>
      <c r="BK275" s="42" t="b">
        <f t="shared" si="358"/>
        <v>0</v>
      </c>
      <c r="BL275" s="42" t="b">
        <f t="shared" si="359"/>
        <v>0</v>
      </c>
      <c r="BM275" s="42">
        <f t="shared" si="360"/>
        <v>0</v>
      </c>
      <c r="BN275" s="42">
        <f t="shared" si="361"/>
        <v>0</v>
      </c>
      <c r="BP275" t="e">
        <f t="shared" si="362"/>
        <v>#N/A</v>
      </c>
      <c r="BQ275" t="e">
        <f t="shared" si="363"/>
        <v>#N/A</v>
      </c>
      <c r="BR275" t="e">
        <f t="shared" si="364"/>
        <v>#N/A</v>
      </c>
      <c r="BT275" s="60">
        <f t="shared" si="365"/>
        <v>0</v>
      </c>
      <c r="BU275" s="60">
        <f t="shared" si="366"/>
        <v>0</v>
      </c>
      <c r="BV275" s="60">
        <f t="shared" si="367"/>
        <v>0</v>
      </c>
      <c r="BW275" s="60">
        <f t="shared" si="368"/>
        <v>0</v>
      </c>
      <c r="BX275" s="60">
        <f t="shared" si="369"/>
        <v>0</v>
      </c>
      <c r="BY275" s="60">
        <f t="shared" si="370"/>
        <v>0</v>
      </c>
      <c r="BZ275" s="60">
        <f t="shared" si="371"/>
        <v>0</v>
      </c>
      <c r="CA275" s="60">
        <f t="shared" si="372"/>
        <v>0</v>
      </c>
      <c r="CB275" s="60" t="e">
        <f t="shared" si="390"/>
        <v>#N/A</v>
      </c>
      <c r="CC275" s="60">
        <f t="shared" si="391"/>
        <v>100000</v>
      </c>
      <c r="CD275" s="60" t="e">
        <f t="shared" si="392"/>
        <v>#N/A</v>
      </c>
      <c r="CE275" s="60">
        <f t="shared" si="393"/>
        <v>100000</v>
      </c>
      <c r="CF275" s="83" t="e">
        <f t="shared" si="373"/>
        <v>#N/A</v>
      </c>
      <c r="CG275" s="83">
        <f t="shared" si="374"/>
        <v>0</v>
      </c>
      <c r="CH275" s="83" t="e">
        <f t="shared" si="375"/>
        <v>#N/A</v>
      </c>
      <c r="CI275" s="83">
        <f t="shared" si="376"/>
        <v>0</v>
      </c>
      <c r="CJ275" s="86" t="e">
        <f t="shared" si="394"/>
        <v>#N/A</v>
      </c>
      <c r="CK275" s="82">
        <f t="shared" si="395"/>
        <v>5.3070370403969858E-3</v>
      </c>
      <c r="CL275" s="82" t="e">
        <f t="shared" si="396"/>
        <v>#N/A</v>
      </c>
      <c r="CM275" s="82">
        <f t="shared" si="397"/>
        <v>5.3070370403969858E-3</v>
      </c>
      <c r="CO275" s="149" t="str">
        <f>IF($I275&lt;&gt;"",IF(O275="User Specified",U275,INDEX('Refrigerant GWPs'!$G$2:$G$156,MATCH(O275,'Refrigerant GWPs'!$A$2:$A$156,0))),"")</f>
        <v/>
      </c>
      <c r="CP275" s="138" t="str">
        <f>IF($I275&lt;&gt;"",INDEX('Device Refrigerant Leakage'!$E$2:$E$42,MATCH($M275,'Device Refrigerant Leakage'!$B$2:$B$42,0)),"")</f>
        <v/>
      </c>
      <c r="CQ275" s="138" t="str">
        <f>IF($I275&lt;&gt;"",INDEX('Device Refrigerant Leakage'!$F$2:$F$42,MATCH($M275,'Device Refrigerant Leakage'!$B$2:$B$42,0)),"")</f>
        <v/>
      </c>
      <c r="CR275" s="145" t="str">
        <f>IF($I275&lt;&gt;"",INDEX('Device Refrigerant Leakage'!$G$2:$G$42,MATCH($M275,'Device Refrigerant Leakage'!$B$2:$B$42,0)),"")</f>
        <v/>
      </c>
      <c r="CS275" s="145" t="str">
        <f>IF($I275&lt;&gt;"",INDEX('Device Refrigerant Leakage'!$D$2:$D$42,MATCH($M275,'Device Refrigerant Leakage'!$B$2:$B$42,0))*CP275/2204.62*CO275,"")</f>
        <v/>
      </c>
      <c r="CT275" s="145" t="str">
        <f>IF($I275&lt;&gt;"",J275*(INDEX('Device Refrigerant Leakage'!$D$2:$D$42,MATCH($M275,'Device Refrigerant Leakage'!$B$2:$B$42,0))-(INDEX('Device Refrigerant Leakage'!$D$2:$D$42,MATCH($M275,'Device Refrigerant Leakage'!$B$2:$B$42,0)))*CR275*CP275)*CQ275/2204.62*CO275,"")</f>
        <v/>
      </c>
      <c r="CU275" s="135" t="str">
        <f>IF($I275&lt;&gt;"",J275*IF(W275&lt;&gt;"AR",(CS275*K275)+CT275,(CS275*AB275)+CT275*(AB275/INDEX('Device Refrigerant Leakage'!$C$2:$C$42,MATCH($M275,'Device Refrigerant Leakage'!$B$2:$B$42,0)))),"")</f>
        <v/>
      </c>
      <c r="CW275" s="135" t="str">
        <f>IF($I275&lt;&gt;"",IF(S275="User Specified",V275,INDEX('Refrigerant GWPs'!$G$2:$G$156,MATCH(S275,'Refrigerant GWPs'!$A$2:$A$157,0))),"")</f>
        <v/>
      </c>
      <c r="CX275" s="138" t="str">
        <f>IF($I275&lt;&gt;"",INDEX('Device Refrigerant Leakage'!$E$2:$E$42,MATCH($Q275,'Device Refrigerant Leakage'!$B$2:$B$42,0)),"")</f>
        <v/>
      </c>
      <c r="CY275" s="138" t="str">
        <f>IF($I275&lt;&gt;"",INDEX('Device Refrigerant Leakage'!$F$2:$F$42,MATCH($Q275,'Device Refrigerant Leakage'!$B$2:$B$42,0)),"")</f>
        <v/>
      </c>
      <c r="CZ275" s="145" t="str">
        <f>IF($I275&lt;&gt;"",INDEX('Device Refrigerant Leakage'!$G$2:$G$42,MATCH($Q275,'Device Refrigerant Leakage'!$B$2:$B$42,0)),"")</f>
        <v/>
      </c>
      <c r="DA275" s="145" t="str">
        <f>IF($I275&lt;&gt;"",J275*INDEX('Device Refrigerant Leakage'!$D$2:$D$42,MATCH($Q275,'Device Refrigerant Leakage'!$B$2:$B$42,0))*CX275/2204.62*CW275,"")</f>
        <v/>
      </c>
      <c r="DB275" s="145" t="str">
        <f>IF($I275&lt;&gt;"",J275*(INDEX('Device Refrigerant Leakage'!$D$2:$D$42,MATCH($Q275,'Device Refrigerant Leakage'!$B$2:$B$42,0))-(INDEX('Device Refrigerant Leakage'!$D$2:$D$42,MATCH($Q275,'Device Refrigerant Leakage'!$B$2:$B$42,0)))*CZ275*CX275)*CY275/2204.62*CW275,"")</f>
        <v/>
      </c>
      <c r="DC275" s="135" t="str">
        <f t="shared" si="416"/>
        <v/>
      </c>
      <c r="DE275" s="146" t="str">
        <f>IF(W275&lt;&gt;"AR","",IF(Y275="User Specified", AA275, INDEX('Refrigerant GWPs'!$G$2:$G$154,MATCH(Y275,'Refrigerant GWPs'!$A$2:$A$154,0))))</f>
        <v/>
      </c>
      <c r="DF275" s="146" t="str">
        <f>IF(W275&lt;&gt;"AR","",INDEX('Device Refrigerant Leakage'!$E$2:$E$42,MATCH(X275,'Device Refrigerant Leakage'!$B$2:$B$42,0)))</f>
        <v/>
      </c>
      <c r="DG275" s="146" t="str">
        <f>IF(W275&lt;&gt;"AR","",INDEX('Device Refrigerant Leakage'!$F$2:$F$42,MATCH(X275,'Device Refrigerant Leakage'!$B$2:$B$42,0)))</f>
        <v/>
      </c>
      <c r="DH275" s="146" t="str">
        <f>IF(W275&lt;&gt;"AR","",INDEX('Device Refrigerant Leakage'!$G$2:$G$42,MATCH(X275,'Device Refrigerant Leakage'!$B$2:$B$42,0)))</f>
        <v/>
      </c>
      <c r="DI275" s="146" t="str">
        <f>IF(W275&lt;&gt;"AR","",J275*INDEX('Device Refrigerant Leakage'!$D$2:$D$42,MATCH(X275,'Device Refrigerant Leakage'!$B$2:$B$42,0))*DF275/2204.62*DE275)</f>
        <v/>
      </c>
      <c r="DJ275" s="146" t="str">
        <f>IF(W275&lt;&gt;"AR","",J275*(INDEX('Device Refrigerant Leakage'!$D$2:$D$42,MATCH(X275,'Device Refrigerant Leakage'!$B$2:$B$42,0))-(INDEX('Device Refrigerant Leakage'!$D$2:$D$42,MATCH(X275,'Device Refrigerant Leakage'!$B$2:$B$42,0)))*DH275*DF275)*DG275/2204.62*DE275)</f>
        <v/>
      </c>
      <c r="DK275" s="146" t="str">
        <f>IF(W275&lt;&gt;"AR","",DI275*(K275-AB275)+'Fuel Sub Calcs-Deemed'!DJ275*((K275-AB275)/INDEX('Device Refrigerant Leakage'!$C$2:$C$42,MATCH('Fuel Sub Calcs-Deemed'!X275,'Device Refrigerant Leakage'!$B$2:$B$42,0))))</f>
        <v/>
      </c>
      <c r="DM275" s="56">
        <v>261</v>
      </c>
      <c r="DN275" s="67" t="e">
        <f t="shared" si="398"/>
        <v>#N/A</v>
      </c>
      <c r="DO275" s="45" t="e">
        <f t="shared" si="399"/>
        <v>#N/A</v>
      </c>
      <c r="DP275" s="67" t="e">
        <f t="shared" si="400"/>
        <v>#N/A</v>
      </c>
      <c r="DQ275" s="45" t="e">
        <f t="shared" si="401"/>
        <v>#N/A</v>
      </c>
      <c r="DR275" s="69" t="e">
        <f t="shared" si="402"/>
        <v>#N/A</v>
      </c>
      <c r="DS275" s="34"/>
      <c r="DT275" s="67" t="e">
        <f>((BX275*CJ275)+IF($W275=MAT_AR,(BZ275*CL275),0))*(1+Reference!$E$50+Reference!$E$51)</f>
        <v>#N/A</v>
      </c>
      <c r="DU275" s="67">
        <f>((BY275*CK275)+IF($W275=MAT_AR,(CA275*CM275),0))*(1+Reference!$G$50+Reference!$G$51)</f>
        <v>0</v>
      </c>
      <c r="DV275" s="67" t="e">
        <f t="shared" si="403"/>
        <v>#VALUE!</v>
      </c>
      <c r="DX275" s="56">
        <v>261</v>
      </c>
      <c r="DY275" s="67">
        <f t="shared" si="404"/>
        <v>0</v>
      </c>
      <c r="DZ275" s="45" t="e">
        <f>VLOOKUP($R275,Dropdown!$C$3:$D$4,2,FALSE)</f>
        <v>#N/A</v>
      </c>
      <c r="EA275" s="68">
        <f t="shared" si="405"/>
        <v>0</v>
      </c>
      <c r="EB275" s="68" t="str">
        <f t="shared" si="406"/>
        <v>N/A</v>
      </c>
      <c r="EC275" s="68">
        <f t="shared" si="407"/>
        <v>0</v>
      </c>
      <c r="ED275" s="68" t="str">
        <f t="shared" si="377"/>
        <v>N/A</v>
      </c>
      <c r="EF275" s="56">
        <v>261</v>
      </c>
      <c r="EG275" s="46">
        <f t="shared" si="408"/>
        <v>0</v>
      </c>
      <c r="EH275" s="68" t="e">
        <f t="shared" si="409"/>
        <v>#N/A</v>
      </c>
      <c r="EI275" s="68" t="e">
        <f t="shared" si="410"/>
        <v>#N/A</v>
      </c>
      <c r="EJ275" s="68" t="e">
        <f t="shared" si="411"/>
        <v>#N/A</v>
      </c>
      <c r="EK275" s="68" t="e">
        <f t="shared" si="412"/>
        <v>#N/A</v>
      </c>
      <c r="EL275" s="46">
        <f t="shared" si="413"/>
        <v>0</v>
      </c>
      <c r="EM275" s="46">
        <f t="shared" si="414"/>
        <v>0</v>
      </c>
    </row>
    <row r="276" spans="1:143">
      <c r="A276" s="89"/>
      <c r="B276" s="89"/>
      <c r="C276" s="89"/>
      <c r="D276" s="89"/>
      <c r="E276" s="89"/>
      <c r="F276" s="89"/>
      <c r="G276" s="34"/>
      <c r="H276" s="56">
        <f t="shared" si="415"/>
        <v>262</v>
      </c>
      <c r="I276" s="165"/>
      <c r="J276" s="163"/>
      <c r="K276" s="163"/>
      <c r="L276" s="164"/>
      <c r="M276" s="155"/>
      <c r="N276" s="155"/>
      <c r="O276" s="144"/>
      <c r="P276" s="159" t="str">
        <f>IFERROR(IF(O276&lt;&gt;"User Specified",IF(O276&lt;&gt;"", INDEX('Refrigerant GWPs'!$G$2:$G$154,MATCH(O276,'Refrigerant GWPs'!$A$2:$A$154,0)),""),U276),0)</f>
        <v/>
      </c>
      <c r="Q276" s="155"/>
      <c r="R276" s="155"/>
      <c r="S276" s="144"/>
      <c r="T276" s="159" t="str">
        <f>IF(S276&lt;&gt;"User Specified",IF(AND(S276&lt;&gt;"User Specified",S276&lt;&gt;""), INDEX('Refrigerant GWPs'!$G$2:$G$154,MATCH(S276,'Refrigerant GWPs'!$A$2:$A$154,0)),""),V276)</f>
        <v/>
      </c>
      <c r="U276" s="144"/>
      <c r="V276" s="144"/>
      <c r="W276" s="155"/>
      <c r="X276" s="155"/>
      <c r="Y276" s="144"/>
      <c r="Z276" s="159" t="str">
        <f>IF(AND(Y276&lt;&gt;"User Specified",Y276&lt;&gt;""), INDEX('Refrigerant GWPs'!$G$2:$G$154,MATCH(Y276,'Refrigerant GWPs'!$A$2:$A$154,0)),"")</f>
        <v/>
      </c>
      <c r="AA276" s="155"/>
      <c r="AB276" s="156"/>
      <c r="AC276" s="66"/>
      <c r="AD276" s="66"/>
      <c r="AE276" s="66"/>
      <c r="AF276" s="66"/>
      <c r="AG276" s="66"/>
      <c r="AH276" s="66"/>
      <c r="AI276" s="34"/>
      <c r="AJ276" s="88">
        <f t="shared" si="378"/>
        <v>0</v>
      </c>
      <c r="AK276" s="88">
        <f t="shared" si="379"/>
        <v>0</v>
      </c>
      <c r="AL276" s="88">
        <v>0</v>
      </c>
      <c r="AM276" s="88">
        <v>0</v>
      </c>
      <c r="AN276" s="81" t="str">
        <f t="shared" si="349"/>
        <v/>
      </c>
      <c r="AO276" s="88">
        <f t="shared" si="380"/>
        <v>0</v>
      </c>
      <c r="AP276" s="88">
        <f t="shared" si="381"/>
        <v>0</v>
      </c>
      <c r="AQ276" s="81" t="str">
        <f t="shared" si="382"/>
        <v/>
      </c>
      <c r="AS276" s="41" t="b">
        <f t="shared" si="383"/>
        <v>1</v>
      </c>
      <c r="AT276" s="38">
        <f t="shared" si="384"/>
        <v>0</v>
      </c>
      <c r="AU276" s="60">
        <f t="shared" si="385"/>
        <v>0</v>
      </c>
      <c r="AV276" s="41">
        <f t="shared" si="386"/>
        <v>0</v>
      </c>
      <c r="AW276" s="41" t="b">
        <f t="shared" si="387"/>
        <v>0</v>
      </c>
      <c r="AX276" t="str">
        <f t="shared" si="388"/>
        <v>+00</v>
      </c>
      <c r="AY276" t="str">
        <f t="shared" si="389"/>
        <v>+00</v>
      </c>
      <c r="BA276" s="47" t="b">
        <f t="shared" si="350"/>
        <v>1</v>
      </c>
      <c r="BB276" s="42" t="b">
        <f t="shared" si="351"/>
        <v>1</v>
      </c>
      <c r="BC276" s="42" t="b">
        <f t="shared" si="352"/>
        <v>0</v>
      </c>
      <c r="BD276" s="42" t="b">
        <f t="shared" si="353"/>
        <v>0</v>
      </c>
      <c r="BE276" s="70">
        <f t="shared" si="354"/>
        <v>0</v>
      </c>
      <c r="BF276" s="70">
        <f t="shared" si="355"/>
        <v>0</v>
      </c>
      <c r="BG276" s="34"/>
      <c r="BI276" s="47" t="b">
        <f t="shared" si="356"/>
        <v>1</v>
      </c>
      <c r="BJ276" s="47" t="b">
        <f t="shared" si="357"/>
        <v>1</v>
      </c>
      <c r="BK276" s="42" t="b">
        <f t="shared" si="358"/>
        <v>0</v>
      </c>
      <c r="BL276" s="42" t="b">
        <f t="shared" si="359"/>
        <v>0</v>
      </c>
      <c r="BM276" s="42">
        <f t="shared" si="360"/>
        <v>0</v>
      </c>
      <c r="BN276" s="42">
        <f t="shared" si="361"/>
        <v>0</v>
      </c>
      <c r="BP276" t="e">
        <f t="shared" si="362"/>
        <v>#N/A</v>
      </c>
      <c r="BQ276" t="e">
        <f t="shared" si="363"/>
        <v>#N/A</v>
      </c>
      <c r="BR276" t="e">
        <f t="shared" si="364"/>
        <v>#N/A</v>
      </c>
      <c r="BT276" s="60">
        <f t="shared" si="365"/>
        <v>0</v>
      </c>
      <c r="BU276" s="60">
        <f t="shared" si="366"/>
        <v>0</v>
      </c>
      <c r="BV276" s="60">
        <f t="shared" si="367"/>
        <v>0</v>
      </c>
      <c r="BW276" s="60">
        <f t="shared" si="368"/>
        <v>0</v>
      </c>
      <c r="BX276" s="60">
        <f t="shared" si="369"/>
        <v>0</v>
      </c>
      <c r="BY276" s="60">
        <f t="shared" si="370"/>
        <v>0</v>
      </c>
      <c r="BZ276" s="60">
        <f t="shared" si="371"/>
        <v>0</v>
      </c>
      <c r="CA276" s="60">
        <f t="shared" si="372"/>
        <v>0</v>
      </c>
      <c r="CB276" s="60" t="e">
        <f t="shared" si="390"/>
        <v>#N/A</v>
      </c>
      <c r="CC276" s="60">
        <f t="shared" si="391"/>
        <v>100000</v>
      </c>
      <c r="CD276" s="60" t="e">
        <f t="shared" si="392"/>
        <v>#N/A</v>
      </c>
      <c r="CE276" s="60">
        <f t="shared" si="393"/>
        <v>100000</v>
      </c>
      <c r="CF276" s="83" t="e">
        <f t="shared" si="373"/>
        <v>#N/A</v>
      </c>
      <c r="CG276" s="83">
        <f t="shared" si="374"/>
        <v>0</v>
      </c>
      <c r="CH276" s="83" t="e">
        <f t="shared" si="375"/>
        <v>#N/A</v>
      </c>
      <c r="CI276" s="83">
        <f t="shared" si="376"/>
        <v>0</v>
      </c>
      <c r="CJ276" s="86" t="e">
        <f t="shared" si="394"/>
        <v>#N/A</v>
      </c>
      <c r="CK276" s="82">
        <f t="shared" si="395"/>
        <v>5.3070370403969858E-3</v>
      </c>
      <c r="CL276" s="82" t="e">
        <f t="shared" si="396"/>
        <v>#N/A</v>
      </c>
      <c r="CM276" s="82">
        <f t="shared" si="397"/>
        <v>5.3070370403969858E-3</v>
      </c>
      <c r="CO276" s="149" t="str">
        <f>IF($I276&lt;&gt;"",IF(O276="User Specified",U276,INDEX('Refrigerant GWPs'!$G$2:$G$156,MATCH(O276,'Refrigerant GWPs'!$A$2:$A$156,0))),"")</f>
        <v/>
      </c>
      <c r="CP276" s="138" t="str">
        <f>IF($I276&lt;&gt;"",INDEX('Device Refrigerant Leakage'!$E$2:$E$42,MATCH($M276,'Device Refrigerant Leakage'!$B$2:$B$42,0)),"")</f>
        <v/>
      </c>
      <c r="CQ276" s="138" t="str">
        <f>IF($I276&lt;&gt;"",INDEX('Device Refrigerant Leakage'!$F$2:$F$42,MATCH($M276,'Device Refrigerant Leakage'!$B$2:$B$42,0)),"")</f>
        <v/>
      </c>
      <c r="CR276" s="145" t="str">
        <f>IF($I276&lt;&gt;"",INDEX('Device Refrigerant Leakage'!$G$2:$G$42,MATCH($M276,'Device Refrigerant Leakage'!$B$2:$B$42,0)),"")</f>
        <v/>
      </c>
      <c r="CS276" s="145" t="str">
        <f>IF($I276&lt;&gt;"",INDEX('Device Refrigerant Leakage'!$D$2:$D$42,MATCH($M276,'Device Refrigerant Leakage'!$B$2:$B$42,0))*CP276/2204.62*CO276,"")</f>
        <v/>
      </c>
      <c r="CT276" s="145" t="str">
        <f>IF($I276&lt;&gt;"",J276*(INDEX('Device Refrigerant Leakage'!$D$2:$D$42,MATCH($M276,'Device Refrigerant Leakage'!$B$2:$B$42,0))-(INDEX('Device Refrigerant Leakage'!$D$2:$D$42,MATCH($M276,'Device Refrigerant Leakage'!$B$2:$B$42,0)))*CR276*CP276)*CQ276/2204.62*CO276,"")</f>
        <v/>
      </c>
      <c r="CU276" s="135" t="str">
        <f>IF($I276&lt;&gt;"",J276*IF(W276&lt;&gt;"AR",(CS276*K276)+CT276,(CS276*AB276)+CT276*(AB276/INDEX('Device Refrigerant Leakage'!$C$2:$C$42,MATCH($M276,'Device Refrigerant Leakage'!$B$2:$B$42,0)))),"")</f>
        <v/>
      </c>
      <c r="CW276" s="135" t="str">
        <f>IF($I276&lt;&gt;"",IF(S276="User Specified",V276,INDEX('Refrigerant GWPs'!$G$2:$G$156,MATCH(S276,'Refrigerant GWPs'!$A$2:$A$157,0))),"")</f>
        <v/>
      </c>
      <c r="CX276" s="138" t="str">
        <f>IF($I276&lt;&gt;"",INDEX('Device Refrigerant Leakage'!$E$2:$E$42,MATCH($Q276,'Device Refrigerant Leakage'!$B$2:$B$42,0)),"")</f>
        <v/>
      </c>
      <c r="CY276" s="138" t="str">
        <f>IF($I276&lt;&gt;"",INDEX('Device Refrigerant Leakage'!$F$2:$F$42,MATCH($Q276,'Device Refrigerant Leakage'!$B$2:$B$42,0)),"")</f>
        <v/>
      </c>
      <c r="CZ276" s="145" t="str">
        <f>IF($I276&lt;&gt;"",INDEX('Device Refrigerant Leakage'!$G$2:$G$42,MATCH($Q276,'Device Refrigerant Leakage'!$B$2:$B$42,0)),"")</f>
        <v/>
      </c>
      <c r="DA276" s="145" t="str">
        <f>IF($I276&lt;&gt;"",J276*INDEX('Device Refrigerant Leakage'!$D$2:$D$42,MATCH($Q276,'Device Refrigerant Leakage'!$B$2:$B$42,0))*CX276/2204.62*CW276,"")</f>
        <v/>
      </c>
      <c r="DB276" s="145" t="str">
        <f>IF($I276&lt;&gt;"",J276*(INDEX('Device Refrigerant Leakage'!$D$2:$D$42,MATCH($Q276,'Device Refrigerant Leakage'!$B$2:$B$42,0))-(INDEX('Device Refrigerant Leakage'!$D$2:$D$42,MATCH($Q276,'Device Refrigerant Leakage'!$B$2:$B$42,0)))*CZ276*CX276)*CY276/2204.62*CW276,"")</f>
        <v/>
      </c>
      <c r="DC276" s="135" t="str">
        <f t="shared" si="416"/>
        <v/>
      </c>
      <c r="DE276" s="146" t="str">
        <f>IF(W276&lt;&gt;"AR","",IF(Y276="User Specified", AA276, INDEX('Refrigerant GWPs'!$G$2:$G$154,MATCH(Y276,'Refrigerant GWPs'!$A$2:$A$154,0))))</f>
        <v/>
      </c>
      <c r="DF276" s="146" t="str">
        <f>IF(W276&lt;&gt;"AR","",INDEX('Device Refrigerant Leakage'!$E$2:$E$42,MATCH(X276,'Device Refrigerant Leakage'!$B$2:$B$42,0)))</f>
        <v/>
      </c>
      <c r="DG276" s="146" t="str">
        <f>IF(W276&lt;&gt;"AR","",INDEX('Device Refrigerant Leakage'!$F$2:$F$42,MATCH(X276,'Device Refrigerant Leakage'!$B$2:$B$42,0)))</f>
        <v/>
      </c>
      <c r="DH276" s="146" t="str">
        <f>IF(W276&lt;&gt;"AR","",INDEX('Device Refrigerant Leakage'!$G$2:$G$42,MATCH(X276,'Device Refrigerant Leakage'!$B$2:$B$42,0)))</f>
        <v/>
      </c>
      <c r="DI276" s="146" t="str">
        <f>IF(W276&lt;&gt;"AR","",J276*INDEX('Device Refrigerant Leakage'!$D$2:$D$42,MATCH(X276,'Device Refrigerant Leakage'!$B$2:$B$42,0))*DF276/2204.62*DE276)</f>
        <v/>
      </c>
      <c r="DJ276" s="146" t="str">
        <f>IF(W276&lt;&gt;"AR","",J276*(INDEX('Device Refrigerant Leakage'!$D$2:$D$42,MATCH(X276,'Device Refrigerant Leakage'!$B$2:$B$42,0))-(INDEX('Device Refrigerant Leakage'!$D$2:$D$42,MATCH(X276,'Device Refrigerant Leakage'!$B$2:$B$42,0)))*DH276*DF276)*DG276/2204.62*DE276)</f>
        <v/>
      </c>
      <c r="DK276" s="146" t="str">
        <f>IF(W276&lt;&gt;"AR","",DI276*(K276-AB276)+'Fuel Sub Calcs-Deemed'!DJ276*((K276-AB276)/INDEX('Device Refrigerant Leakage'!$C$2:$C$42,MATCH('Fuel Sub Calcs-Deemed'!X276,'Device Refrigerant Leakage'!$B$2:$B$42,0))))</f>
        <v/>
      </c>
      <c r="DM276" s="56">
        <v>262</v>
      </c>
      <c r="DN276" s="67" t="e">
        <f t="shared" si="398"/>
        <v>#N/A</v>
      </c>
      <c r="DO276" s="45" t="e">
        <f t="shared" si="399"/>
        <v>#N/A</v>
      </c>
      <c r="DP276" s="67" t="e">
        <f t="shared" si="400"/>
        <v>#N/A</v>
      </c>
      <c r="DQ276" s="45" t="e">
        <f t="shared" si="401"/>
        <v>#N/A</v>
      </c>
      <c r="DR276" s="69" t="e">
        <f t="shared" si="402"/>
        <v>#N/A</v>
      </c>
      <c r="DS276" s="34"/>
      <c r="DT276" s="67" t="e">
        <f>((BX276*CJ276)+IF($W276=MAT_AR,(BZ276*CL276),0))*(1+Reference!$E$50+Reference!$E$51)</f>
        <v>#N/A</v>
      </c>
      <c r="DU276" s="67">
        <f>((BY276*CK276)+IF($W276=MAT_AR,(CA276*CM276),0))*(1+Reference!$G$50+Reference!$G$51)</f>
        <v>0</v>
      </c>
      <c r="DV276" s="67" t="e">
        <f t="shared" si="403"/>
        <v>#VALUE!</v>
      </c>
      <c r="DX276" s="56">
        <v>262</v>
      </c>
      <c r="DY276" s="67">
        <f t="shared" si="404"/>
        <v>0</v>
      </c>
      <c r="DZ276" s="45" t="e">
        <f>VLOOKUP($R276,Dropdown!$C$3:$D$4,2,FALSE)</f>
        <v>#N/A</v>
      </c>
      <c r="EA276" s="68">
        <f t="shared" si="405"/>
        <v>0</v>
      </c>
      <c r="EB276" s="68" t="str">
        <f t="shared" si="406"/>
        <v>N/A</v>
      </c>
      <c r="EC276" s="68">
        <f t="shared" si="407"/>
        <v>0</v>
      </c>
      <c r="ED276" s="68" t="str">
        <f t="shared" si="377"/>
        <v>N/A</v>
      </c>
      <c r="EF276" s="56">
        <v>262</v>
      </c>
      <c r="EG276" s="46">
        <f t="shared" si="408"/>
        <v>0</v>
      </c>
      <c r="EH276" s="68" t="e">
        <f t="shared" si="409"/>
        <v>#N/A</v>
      </c>
      <c r="EI276" s="68" t="e">
        <f t="shared" si="410"/>
        <v>#N/A</v>
      </c>
      <c r="EJ276" s="68" t="e">
        <f t="shared" si="411"/>
        <v>#N/A</v>
      </c>
      <c r="EK276" s="68" t="e">
        <f t="shared" si="412"/>
        <v>#N/A</v>
      </c>
      <c r="EL276" s="46">
        <f t="shared" si="413"/>
        <v>0</v>
      </c>
      <c r="EM276" s="46">
        <f t="shared" si="414"/>
        <v>0</v>
      </c>
    </row>
    <row r="277" spans="1:143">
      <c r="A277" s="89"/>
      <c r="B277" s="89"/>
      <c r="C277" s="89"/>
      <c r="D277" s="89"/>
      <c r="E277" s="89"/>
      <c r="F277" s="89"/>
      <c r="G277" s="34"/>
      <c r="H277" s="56">
        <f t="shared" si="415"/>
        <v>263</v>
      </c>
      <c r="I277" s="165"/>
      <c r="J277" s="163"/>
      <c r="K277" s="163"/>
      <c r="L277" s="164"/>
      <c r="M277" s="155"/>
      <c r="N277" s="155"/>
      <c r="O277" s="144"/>
      <c r="P277" s="159" t="str">
        <f>IFERROR(IF(O277&lt;&gt;"User Specified",IF(O277&lt;&gt;"", INDEX('Refrigerant GWPs'!$G$2:$G$154,MATCH(O277,'Refrigerant GWPs'!$A$2:$A$154,0)),""),U277),0)</f>
        <v/>
      </c>
      <c r="Q277" s="155"/>
      <c r="R277" s="155"/>
      <c r="S277" s="144"/>
      <c r="T277" s="159" t="str">
        <f>IF(S277&lt;&gt;"User Specified",IF(AND(S277&lt;&gt;"User Specified",S277&lt;&gt;""), INDEX('Refrigerant GWPs'!$G$2:$G$154,MATCH(S277,'Refrigerant GWPs'!$A$2:$A$154,0)),""),V277)</f>
        <v/>
      </c>
      <c r="U277" s="144"/>
      <c r="V277" s="144"/>
      <c r="W277" s="155"/>
      <c r="X277" s="155"/>
      <c r="Y277" s="144"/>
      <c r="Z277" s="159" t="str">
        <f>IF(AND(Y277&lt;&gt;"User Specified",Y277&lt;&gt;""), INDEX('Refrigerant GWPs'!$G$2:$G$154,MATCH(Y277,'Refrigerant GWPs'!$A$2:$A$154,0)),"")</f>
        <v/>
      </c>
      <c r="AA277" s="155"/>
      <c r="AB277" s="156"/>
      <c r="AC277" s="66"/>
      <c r="AD277" s="66"/>
      <c r="AE277" s="66"/>
      <c r="AF277" s="66"/>
      <c r="AG277" s="66"/>
      <c r="AH277" s="66"/>
      <c r="AI277" s="34"/>
      <c r="AJ277" s="88">
        <f t="shared" si="378"/>
        <v>0</v>
      </c>
      <c r="AK277" s="88">
        <f t="shared" si="379"/>
        <v>0</v>
      </c>
      <c r="AL277" s="88">
        <v>0</v>
      </c>
      <c r="AM277" s="88">
        <v>0</v>
      </c>
      <c r="AN277" s="81" t="str">
        <f t="shared" si="349"/>
        <v/>
      </c>
      <c r="AO277" s="88">
        <f t="shared" si="380"/>
        <v>0</v>
      </c>
      <c r="AP277" s="88">
        <f t="shared" si="381"/>
        <v>0</v>
      </c>
      <c r="AQ277" s="81" t="str">
        <f t="shared" si="382"/>
        <v/>
      </c>
      <c r="AS277" s="41" t="b">
        <f t="shared" si="383"/>
        <v>1</v>
      </c>
      <c r="AT277" s="38">
        <f t="shared" si="384"/>
        <v>0</v>
      </c>
      <c r="AU277" s="60">
        <f t="shared" si="385"/>
        <v>0</v>
      </c>
      <c r="AV277" s="41">
        <f t="shared" si="386"/>
        <v>0</v>
      </c>
      <c r="AW277" s="41" t="b">
        <f t="shared" si="387"/>
        <v>0</v>
      </c>
      <c r="AX277" t="str">
        <f t="shared" si="388"/>
        <v>+00</v>
      </c>
      <c r="AY277" t="str">
        <f t="shared" si="389"/>
        <v>+00</v>
      </c>
      <c r="BA277" s="47" t="b">
        <f t="shared" si="350"/>
        <v>1</v>
      </c>
      <c r="BB277" s="42" t="b">
        <f t="shared" si="351"/>
        <v>1</v>
      </c>
      <c r="BC277" s="42" t="b">
        <f t="shared" si="352"/>
        <v>0</v>
      </c>
      <c r="BD277" s="42" t="b">
        <f t="shared" si="353"/>
        <v>0</v>
      </c>
      <c r="BE277" s="70">
        <f t="shared" si="354"/>
        <v>0</v>
      </c>
      <c r="BF277" s="70">
        <f t="shared" si="355"/>
        <v>0</v>
      </c>
      <c r="BG277" s="34"/>
      <c r="BI277" s="47" t="b">
        <f t="shared" si="356"/>
        <v>1</v>
      </c>
      <c r="BJ277" s="47" t="b">
        <f t="shared" si="357"/>
        <v>1</v>
      </c>
      <c r="BK277" s="42" t="b">
        <f t="shared" si="358"/>
        <v>0</v>
      </c>
      <c r="BL277" s="42" t="b">
        <f t="shared" si="359"/>
        <v>0</v>
      </c>
      <c r="BM277" s="42">
        <f t="shared" si="360"/>
        <v>0</v>
      </c>
      <c r="BN277" s="42">
        <f t="shared" si="361"/>
        <v>0</v>
      </c>
      <c r="BP277" t="e">
        <f t="shared" si="362"/>
        <v>#N/A</v>
      </c>
      <c r="BQ277" t="e">
        <f t="shared" si="363"/>
        <v>#N/A</v>
      </c>
      <c r="BR277" t="e">
        <f t="shared" si="364"/>
        <v>#N/A</v>
      </c>
      <c r="BT277" s="60">
        <f t="shared" si="365"/>
        <v>0</v>
      </c>
      <c r="BU277" s="60">
        <f t="shared" si="366"/>
        <v>0</v>
      </c>
      <c r="BV277" s="60">
        <f t="shared" si="367"/>
        <v>0</v>
      </c>
      <c r="BW277" s="60">
        <f t="shared" si="368"/>
        <v>0</v>
      </c>
      <c r="BX277" s="60">
        <f t="shared" si="369"/>
        <v>0</v>
      </c>
      <c r="BY277" s="60">
        <f t="shared" si="370"/>
        <v>0</v>
      </c>
      <c r="BZ277" s="60">
        <f t="shared" si="371"/>
        <v>0</v>
      </c>
      <c r="CA277" s="60">
        <f t="shared" si="372"/>
        <v>0</v>
      </c>
      <c r="CB277" s="60" t="e">
        <f t="shared" si="390"/>
        <v>#N/A</v>
      </c>
      <c r="CC277" s="60">
        <f t="shared" si="391"/>
        <v>100000</v>
      </c>
      <c r="CD277" s="60" t="e">
        <f t="shared" si="392"/>
        <v>#N/A</v>
      </c>
      <c r="CE277" s="60">
        <f t="shared" si="393"/>
        <v>100000</v>
      </c>
      <c r="CF277" s="83" t="e">
        <f t="shared" si="373"/>
        <v>#N/A</v>
      </c>
      <c r="CG277" s="83">
        <f t="shared" si="374"/>
        <v>0</v>
      </c>
      <c r="CH277" s="83" t="e">
        <f t="shared" si="375"/>
        <v>#N/A</v>
      </c>
      <c r="CI277" s="83">
        <f t="shared" si="376"/>
        <v>0</v>
      </c>
      <c r="CJ277" s="86" t="e">
        <f t="shared" si="394"/>
        <v>#N/A</v>
      </c>
      <c r="CK277" s="82">
        <f t="shared" si="395"/>
        <v>5.3070370403969858E-3</v>
      </c>
      <c r="CL277" s="82" t="e">
        <f t="shared" si="396"/>
        <v>#N/A</v>
      </c>
      <c r="CM277" s="82">
        <f t="shared" si="397"/>
        <v>5.3070370403969858E-3</v>
      </c>
      <c r="CO277" s="149" t="str">
        <f>IF($I277&lt;&gt;"",IF(O277="User Specified",U277,INDEX('Refrigerant GWPs'!$G$2:$G$156,MATCH(O277,'Refrigerant GWPs'!$A$2:$A$156,0))),"")</f>
        <v/>
      </c>
      <c r="CP277" s="138" t="str">
        <f>IF($I277&lt;&gt;"",INDEX('Device Refrigerant Leakage'!$E$2:$E$42,MATCH($M277,'Device Refrigerant Leakage'!$B$2:$B$42,0)),"")</f>
        <v/>
      </c>
      <c r="CQ277" s="138" t="str">
        <f>IF($I277&lt;&gt;"",INDEX('Device Refrigerant Leakage'!$F$2:$F$42,MATCH($M277,'Device Refrigerant Leakage'!$B$2:$B$42,0)),"")</f>
        <v/>
      </c>
      <c r="CR277" s="145" t="str">
        <f>IF($I277&lt;&gt;"",INDEX('Device Refrigerant Leakage'!$G$2:$G$42,MATCH($M277,'Device Refrigerant Leakage'!$B$2:$B$42,0)),"")</f>
        <v/>
      </c>
      <c r="CS277" s="145" t="str">
        <f>IF($I277&lt;&gt;"",INDEX('Device Refrigerant Leakage'!$D$2:$D$42,MATCH($M277,'Device Refrigerant Leakage'!$B$2:$B$42,0))*CP277/2204.62*CO277,"")</f>
        <v/>
      </c>
      <c r="CT277" s="145" t="str">
        <f>IF($I277&lt;&gt;"",J277*(INDEX('Device Refrigerant Leakage'!$D$2:$D$42,MATCH($M277,'Device Refrigerant Leakage'!$B$2:$B$42,0))-(INDEX('Device Refrigerant Leakage'!$D$2:$D$42,MATCH($M277,'Device Refrigerant Leakage'!$B$2:$B$42,0)))*CR277*CP277)*CQ277/2204.62*CO277,"")</f>
        <v/>
      </c>
      <c r="CU277" s="135" t="str">
        <f>IF($I277&lt;&gt;"",J277*IF(W277&lt;&gt;"AR",(CS277*K277)+CT277,(CS277*AB277)+CT277*(AB277/INDEX('Device Refrigerant Leakage'!$C$2:$C$42,MATCH($M277,'Device Refrigerant Leakage'!$B$2:$B$42,0)))),"")</f>
        <v/>
      </c>
      <c r="CW277" s="135" t="str">
        <f>IF($I277&lt;&gt;"",IF(S277="User Specified",V277,INDEX('Refrigerant GWPs'!$G$2:$G$156,MATCH(S277,'Refrigerant GWPs'!$A$2:$A$157,0))),"")</f>
        <v/>
      </c>
      <c r="CX277" s="138" t="str">
        <f>IF($I277&lt;&gt;"",INDEX('Device Refrigerant Leakage'!$E$2:$E$42,MATCH($Q277,'Device Refrigerant Leakage'!$B$2:$B$42,0)),"")</f>
        <v/>
      </c>
      <c r="CY277" s="138" t="str">
        <f>IF($I277&lt;&gt;"",INDEX('Device Refrigerant Leakage'!$F$2:$F$42,MATCH($Q277,'Device Refrigerant Leakage'!$B$2:$B$42,0)),"")</f>
        <v/>
      </c>
      <c r="CZ277" s="145" t="str">
        <f>IF($I277&lt;&gt;"",INDEX('Device Refrigerant Leakage'!$G$2:$G$42,MATCH($Q277,'Device Refrigerant Leakage'!$B$2:$B$42,0)),"")</f>
        <v/>
      </c>
      <c r="DA277" s="145" t="str">
        <f>IF($I277&lt;&gt;"",J277*INDEX('Device Refrigerant Leakage'!$D$2:$D$42,MATCH($Q277,'Device Refrigerant Leakage'!$B$2:$B$42,0))*CX277/2204.62*CW277,"")</f>
        <v/>
      </c>
      <c r="DB277" s="145" t="str">
        <f>IF($I277&lt;&gt;"",J277*(INDEX('Device Refrigerant Leakage'!$D$2:$D$42,MATCH($Q277,'Device Refrigerant Leakage'!$B$2:$B$42,0))-(INDEX('Device Refrigerant Leakage'!$D$2:$D$42,MATCH($Q277,'Device Refrigerant Leakage'!$B$2:$B$42,0)))*CZ277*CX277)*CY277/2204.62*CW277,"")</f>
        <v/>
      </c>
      <c r="DC277" s="135" t="str">
        <f t="shared" si="416"/>
        <v/>
      </c>
      <c r="DE277" s="146" t="str">
        <f>IF(W277&lt;&gt;"AR","",IF(Y277="User Specified", AA277, INDEX('Refrigerant GWPs'!$G$2:$G$154,MATCH(Y277,'Refrigerant GWPs'!$A$2:$A$154,0))))</f>
        <v/>
      </c>
      <c r="DF277" s="146" t="str">
        <f>IF(W277&lt;&gt;"AR","",INDEX('Device Refrigerant Leakage'!$E$2:$E$42,MATCH(X277,'Device Refrigerant Leakage'!$B$2:$B$42,0)))</f>
        <v/>
      </c>
      <c r="DG277" s="146" t="str">
        <f>IF(W277&lt;&gt;"AR","",INDEX('Device Refrigerant Leakage'!$F$2:$F$42,MATCH(X277,'Device Refrigerant Leakage'!$B$2:$B$42,0)))</f>
        <v/>
      </c>
      <c r="DH277" s="146" t="str">
        <f>IF(W277&lt;&gt;"AR","",INDEX('Device Refrigerant Leakage'!$G$2:$G$42,MATCH(X277,'Device Refrigerant Leakage'!$B$2:$B$42,0)))</f>
        <v/>
      </c>
      <c r="DI277" s="146" t="str">
        <f>IF(W277&lt;&gt;"AR","",J277*INDEX('Device Refrigerant Leakage'!$D$2:$D$42,MATCH(X277,'Device Refrigerant Leakage'!$B$2:$B$42,0))*DF277/2204.62*DE277)</f>
        <v/>
      </c>
      <c r="DJ277" s="146" t="str">
        <f>IF(W277&lt;&gt;"AR","",J277*(INDEX('Device Refrigerant Leakage'!$D$2:$D$42,MATCH(X277,'Device Refrigerant Leakage'!$B$2:$B$42,0))-(INDEX('Device Refrigerant Leakage'!$D$2:$D$42,MATCH(X277,'Device Refrigerant Leakage'!$B$2:$B$42,0)))*DH277*DF277)*DG277/2204.62*DE277)</f>
        <v/>
      </c>
      <c r="DK277" s="146" t="str">
        <f>IF(W277&lt;&gt;"AR","",DI277*(K277-AB277)+'Fuel Sub Calcs-Deemed'!DJ277*((K277-AB277)/INDEX('Device Refrigerant Leakage'!$C$2:$C$42,MATCH('Fuel Sub Calcs-Deemed'!X277,'Device Refrigerant Leakage'!$B$2:$B$42,0))))</f>
        <v/>
      </c>
      <c r="DM277" s="56">
        <v>263</v>
      </c>
      <c r="DN277" s="67" t="e">
        <f t="shared" si="398"/>
        <v>#N/A</v>
      </c>
      <c r="DO277" s="45" t="e">
        <f t="shared" si="399"/>
        <v>#N/A</v>
      </c>
      <c r="DP277" s="67" t="e">
        <f t="shared" si="400"/>
        <v>#N/A</v>
      </c>
      <c r="DQ277" s="45" t="e">
        <f t="shared" si="401"/>
        <v>#N/A</v>
      </c>
      <c r="DR277" s="69" t="e">
        <f t="shared" si="402"/>
        <v>#N/A</v>
      </c>
      <c r="DS277" s="34"/>
      <c r="DT277" s="67" t="e">
        <f>((BX277*CJ277)+IF($W277=MAT_AR,(BZ277*CL277),0))*(1+Reference!$E$50+Reference!$E$51)</f>
        <v>#N/A</v>
      </c>
      <c r="DU277" s="67">
        <f>((BY277*CK277)+IF($W277=MAT_AR,(CA277*CM277),0))*(1+Reference!$G$50+Reference!$G$51)</f>
        <v>0</v>
      </c>
      <c r="DV277" s="67" t="e">
        <f t="shared" si="403"/>
        <v>#VALUE!</v>
      </c>
      <c r="DX277" s="56">
        <v>263</v>
      </c>
      <c r="DY277" s="67">
        <f t="shared" si="404"/>
        <v>0</v>
      </c>
      <c r="DZ277" s="45" t="e">
        <f>VLOOKUP($R277,Dropdown!$C$3:$D$4,2,FALSE)</f>
        <v>#N/A</v>
      </c>
      <c r="EA277" s="68">
        <f t="shared" si="405"/>
        <v>0</v>
      </c>
      <c r="EB277" s="68" t="str">
        <f t="shared" si="406"/>
        <v>N/A</v>
      </c>
      <c r="EC277" s="68">
        <f t="shared" si="407"/>
        <v>0</v>
      </c>
      <c r="ED277" s="68" t="str">
        <f t="shared" si="377"/>
        <v>N/A</v>
      </c>
      <c r="EF277" s="56">
        <v>263</v>
      </c>
      <c r="EG277" s="46">
        <f t="shared" si="408"/>
        <v>0</v>
      </c>
      <c r="EH277" s="68" t="e">
        <f t="shared" si="409"/>
        <v>#N/A</v>
      </c>
      <c r="EI277" s="68" t="e">
        <f t="shared" si="410"/>
        <v>#N/A</v>
      </c>
      <c r="EJ277" s="68" t="e">
        <f t="shared" si="411"/>
        <v>#N/A</v>
      </c>
      <c r="EK277" s="68" t="e">
        <f t="shared" si="412"/>
        <v>#N/A</v>
      </c>
      <c r="EL277" s="46">
        <f t="shared" si="413"/>
        <v>0</v>
      </c>
      <c r="EM277" s="46">
        <f t="shared" si="414"/>
        <v>0</v>
      </c>
    </row>
    <row r="278" spans="1:143">
      <c r="A278" s="89"/>
      <c r="B278" s="89"/>
      <c r="C278" s="89"/>
      <c r="D278" s="89"/>
      <c r="E278" s="89"/>
      <c r="F278" s="89"/>
      <c r="G278" s="34"/>
      <c r="H278" s="56">
        <f t="shared" si="415"/>
        <v>264</v>
      </c>
      <c r="I278" s="165"/>
      <c r="J278" s="163"/>
      <c r="K278" s="163"/>
      <c r="L278" s="164"/>
      <c r="M278" s="155"/>
      <c r="N278" s="155"/>
      <c r="O278" s="144"/>
      <c r="P278" s="159" t="str">
        <f>IFERROR(IF(O278&lt;&gt;"User Specified",IF(O278&lt;&gt;"", INDEX('Refrigerant GWPs'!$G$2:$G$154,MATCH(O278,'Refrigerant GWPs'!$A$2:$A$154,0)),""),U278),0)</f>
        <v/>
      </c>
      <c r="Q278" s="155"/>
      <c r="R278" s="155"/>
      <c r="S278" s="144"/>
      <c r="T278" s="159" t="str">
        <f>IF(S278&lt;&gt;"User Specified",IF(AND(S278&lt;&gt;"User Specified",S278&lt;&gt;""), INDEX('Refrigerant GWPs'!$G$2:$G$154,MATCH(S278,'Refrigerant GWPs'!$A$2:$A$154,0)),""),V278)</f>
        <v/>
      </c>
      <c r="U278" s="144"/>
      <c r="V278" s="144"/>
      <c r="W278" s="155"/>
      <c r="X278" s="155"/>
      <c r="Y278" s="144"/>
      <c r="Z278" s="159" t="str">
        <f>IF(AND(Y278&lt;&gt;"User Specified",Y278&lt;&gt;""), INDEX('Refrigerant GWPs'!$G$2:$G$154,MATCH(Y278,'Refrigerant GWPs'!$A$2:$A$154,0)),"")</f>
        <v/>
      </c>
      <c r="AA278" s="155"/>
      <c r="AB278" s="156"/>
      <c r="AC278" s="66"/>
      <c r="AD278" s="66"/>
      <c r="AE278" s="66"/>
      <c r="AF278" s="66"/>
      <c r="AG278" s="66"/>
      <c r="AH278" s="66"/>
      <c r="AI278" s="34"/>
      <c r="AJ278" s="88">
        <f t="shared" si="378"/>
        <v>0</v>
      </c>
      <c r="AK278" s="88">
        <f t="shared" si="379"/>
        <v>0</v>
      </c>
      <c r="AL278" s="88">
        <v>0</v>
      </c>
      <c r="AM278" s="88">
        <v>0</v>
      </c>
      <c r="AN278" s="81" t="str">
        <f t="shared" si="349"/>
        <v/>
      </c>
      <c r="AO278" s="88">
        <f t="shared" si="380"/>
        <v>0</v>
      </c>
      <c r="AP278" s="88">
        <f t="shared" si="381"/>
        <v>0</v>
      </c>
      <c r="AQ278" s="81" t="str">
        <f t="shared" si="382"/>
        <v/>
      </c>
      <c r="AS278" s="41" t="b">
        <f t="shared" si="383"/>
        <v>1</v>
      </c>
      <c r="AT278" s="38">
        <f t="shared" si="384"/>
        <v>0</v>
      </c>
      <c r="AU278" s="60">
        <f t="shared" si="385"/>
        <v>0</v>
      </c>
      <c r="AV278" s="41">
        <f t="shared" si="386"/>
        <v>0</v>
      </c>
      <c r="AW278" s="41" t="b">
        <f t="shared" si="387"/>
        <v>0</v>
      </c>
      <c r="AX278" t="str">
        <f t="shared" si="388"/>
        <v>+00</v>
      </c>
      <c r="AY278" t="str">
        <f t="shared" si="389"/>
        <v>+00</v>
      </c>
      <c r="BA278" s="47" t="b">
        <f t="shared" si="350"/>
        <v>1</v>
      </c>
      <c r="BB278" s="42" t="b">
        <f t="shared" si="351"/>
        <v>1</v>
      </c>
      <c r="BC278" s="42" t="b">
        <f t="shared" si="352"/>
        <v>0</v>
      </c>
      <c r="BD278" s="42" t="b">
        <f t="shared" si="353"/>
        <v>0</v>
      </c>
      <c r="BE278" s="70">
        <f t="shared" si="354"/>
        <v>0</v>
      </c>
      <c r="BF278" s="70">
        <f t="shared" si="355"/>
        <v>0</v>
      </c>
      <c r="BG278" s="34"/>
      <c r="BI278" s="47" t="b">
        <f t="shared" si="356"/>
        <v>1</v>
      </c>
      <c r="BJ278" s="47" t="b">
        <f t="shared" si="357"/>
        <v>1</v>
      </c>
      <c r="BK278" s="42" t="b">
        <f t="shared" si="358"/>
        <v>0</v>
      </c>
      <c r="BL278" s="42" t="b">
        <f t="shared" si="359"/>
        <v>0</v>
      </c>
      <c r="BM278" s="42">
        <f t="shared" si="360"/>
        <v>0</v>
      </c>
      <c r="BN278" s="42">
        <f t="shared" si="361"/>
        <v>0</v>
      </c>
      <c r="BP278" t="e">
        <f t="shared" si="362"/>
        <v>#N/A</v>
      </c>
      <c r="BQ278" t="e">
        <f t="shared" si="363"/>
        <v>#N/A</v>
      </c>
      <c r="BR278" t="e">
        <f t="shared" si="364"/>
        <v>#N/A</v>
      </c>
      <c r="BT278" s="60">
        <f t="shared" si="365"/>
        <v>0</v>
      </c>
      <c r="BU278" s="60">
        <f t="shared" si="366"/>
        <v>0</v>
      </c>
      <c r="BV278" s="60">
        <f t="shared" si="367"/>
        <v>0</v>
      </c>
      <c r="BW278" s="60">
        <f t="shared" si="368"/>
        <v>0</v>
      </c>
      <c r="BX278" s="60">
        <f t="shared" si="369"/>
        <v>0</v>
      </c>
      <c r="BY278" s="60">
        <f t="shared" si="370"/>
        <v>0</v>
      </c>
      <c r="BZ278" s="60">
        <f t="shared" si="371"/>
        <v>0</v>
      </c>
      <c r="CA278" s="60">
        <f t="shared" si="372"/>
        <v>0</v>
      </c>
      <c r="CB278" s="60" t="e">
        <f t="shared" si="390"/>
        <v>#N/A</v>
      </c>
      <c r="CC278" s="60">
        <f t="shared" si="391"/>
        <v>100000</v>
      </c>
      <c r="CD278" s="60" t="e">
        <f t="shared" si="392"/>
        <v>#N/A</v>
      </c>
      <c r="CE278" s="60">
        <f t="shared" si="393"/>
        <v>100000</v>
      </c>
      <c r="CF278" s="83" t="e">
        <f t="shared" si="373"/>
        <v>#N/A</v>
      </c>
      <c r="CG278" s="83">
        <f t="shared" si="374"/>
        <v>0</v>
      </c>
      <c r="CH278" s="83" t="e">
        <f t="shared" si="375"/>
        <v>#N/A</v>
      </c>
      <c r="CI278" s="83">
        <f t="shared" si="376"/>
        <v>0</v>
      </c>
      <c r="CJ278" s="86" t="e">
        <f t="shared" si="394"/>
        <v>#N/A</v>
      </c>
      <c r="CK278" s="82">
        <f t="shared" si="395"/>
        <v>5.3070370403969858E-3</v>
      </c>
      <c r="CL278" s="82" t="e">
        <f t="shared" si="396"/>
        <v>#N/A</v>
      </c>
      <c r="CM278" s="82">
        <f t="shared" si="397"/>
        <v>5.3070370403969858E-3</v>
      </c>
      <c r="CO278" s="149" t="str">
        <f>IF($I278&lt;&gt;"",IF(O278="User Specified",U278,INDEX('Refrigerant GWPs'!$G$2:$G$156,MATCH(O278,'Refrigerant GWPs'!$A$2:$A$156,0))),"")</f>
        <v/>
      </c>
      <c r="CP278" s="138" t="str">
        <f>IF($I278&lt;&gt;"",INDEX('Device Refrigerant Leakage'!$E$2:$E$42,MATCH($M278,'Device Refrigerant Leakage'!$B$2:$B$42,0)),"")</f>
        <v/>
      </c>
      <c r="CQ278" s="138" t="str">
        <f>IF($I278&lt;&gt;"",INDEX('Device Refrigerant Leakage'!$F$2:$F$42,MATCH($M278,'Device Refrigerant Leakage'!$B$2:$B$42,0)),"")</f>
        <v/>
      </c>
      <c r="CR278" s="145" t="str">
        <f>IF($I278&lt;&gt;"",INDEX('Device Refrigerant Leakage'!$G$2:$G$42,MATCH($M278,'Device Refrigerant Leakage'!$B$2:$B$42,0)),"")</f>
        <v/>
      </c>
      <c r="CS278" s="145" t="str">
        <f>IF($I278&lt;&gt;"",INDEX('Device Refrigerant Leakage'!$D$2:$D$42,MATCH($M278,'Device Refrigerant Leakage'!$B$2:$B$42,0))*CP278/2204.62*CO278,"")</f>
        <v/>
      </c>
      <c r="CT278" s="145" t="str">
        <f>IF($I278&lt;&gt;"",J278*(INDEX('Device Refrigerant Leakage'!$D$2:$D$42,MATCH($M278,'Device Refrigerant Leakage'!$B$2:$B$42,0))-(INDEX('Device Refrigerant Leakage'!$D$2:$D$42,MATCH($M278,'Device Refrigerant Leakage'!$B$2:$B$42,0)))*CR278*CP278)*CQ278/2204.62*CO278,"")</f>
        <v/>
      </c>
      <c r="CU278" s="135" t="str">
        <f>IF($I278&lt;&gt;"",J278*IF(W278&lt;&gt;"AR",(CS278*K278)+CT278,(CS278*AB278)+CT278*(AB278/INDEX('Device Refrigerant Leakage'!$C$2:$C$42,MATCH($M278,'Device Refrigerant Leakage'!$B$2:$B$42,0)))),"")</f>
        <v/>
      </c>
      <c r="CW278" s="135" t="str">
        <f>IF($I278&lt;&gt;"",IF(S278="User Specified",V278,INDEX('Refrigerant GWPs'!$G$2:$G$156,MATCH(S278,'Refrigerant GWPs'!$A$2:$A$157,0))),"")</f>
        <v/>
      </c>
      <c r="CX278" s="138" t="str">
        <f>IF($I278&lt;&gt;"",INDEX('Device Refrigerant Leakage'!$E$2:$E$42,MATCH($Q278,'Device Refrigerant Leakage'!$B$2:$B$42,0)),"")</f>
        <v/>
      </c>
      <c r="CY278" s="138" t="str">
        <f>IF($I278&lt;&gt;"",INDEX('Device Refrigerant Leakage'!$F$2:$F$42,MATCH($Q278,'Device Refrigerant Leakage'!$B$2:$B$42,0)),"")</f>
        <v/>
      </c>
      <c r="CZ278" s="145" t="str">
        <f>IF($I278&lt;&gt;"",INDEX('Device Refrigerant Leakage'!$G$2:$G$42,MATCH($Q278,'Device Refrigerant Leakage'!$B$2:$B$42,0)),"")</f>
        <v/>
      </c>
      <c r="DA278" s="145" t="str">
        <f>IF($I278&lt;&gt;"",J278*INDEX('Device Refrigerant Leakage'!$D$2:$D$42,MATCH($Q278,'Device Refrigerant Leakage'!$B$2:$B$42,0))*CX278/2204.62*CW278,"")</f>
        <v/>
      </c>
      <c r="DB278" s="145" t="str">
        <f>IF($I278&lt;&gt;"",J278*(INDEX('Device Refrigerant Leakage'!$D$2:$D$42,MATCH($Q278,'Device Refrigerant Leakage'!$B$2:$B$42,0))-(INDEX('Device Refrigerant Leakage'!$D$2:$D$42,MATCH($Q278,'Device Refrigerant Leakage'!$B$2:$B$42,0)))*CZ278*CX278)*CY278/2204.62*CW278,"")</f>
        <v/>
      </c>
      <c r="DC278" s="135" t="str">
        <f t="shared" si="416"/>
        <v/>
      </c>
      <c r="DE278" s="146" t="str">
        <f>IF(W278&lt;&gt;"AR","",IF(Y278="User Specified", AA278, INDEX('Refrigerant GWPs'!$G$2:$G$154,MATCH(Y278,'Refrigerant GWPs'!$A$2:$A$154,0))))</f>
        <v/>
      </c>
      <c r="DF278" s="146" t="str">
        <f>IF(W278&lt;&gt;"AR","",INDEX('Device Refrigerant Leakage'!$E$2:$E$42,MATCH(X278,'Device Refrigerant Leakage'!$B$2:$B$42,0)))</f>
        <v/>
      </c>
      <c r="DG278" s="146" t="str">
        <f>IF(W278&lt;&gt;"AR","",INDEX('Device Refrigerant Leakage'!$F$2:$F$42,MATCH(X278,'Device Refrigerant Leakage'!$B$2:$B$42,0)))</f>
        <v/>
      </c>
      <c r="DH278" s="146" t="str">
        <f>IF(W278&lt;&gt;"AR","",INDEX('Device Refrigerant Leakage'!$G$2:$G$42,MATCH(X278,'Device Refrigerant Leakage'!$B$2:$B$42,0)))</f>
        <v/>
      </c>
      <c r="DI278" s="146" t="str">
        <f>IF(W278&lt;&gt;"AR","",J278*INDEX('Device Refrigerant Leakage'!$D$2:$D$42,MATCH(X278,'Device Refrigerant Leakage'!$B$2:$B$42,0))*DF278/2204.62*DE278)</f>
        <v/>
      </c>
      <c r="DJ278" s="146" t="str">
        <f>IF(W278&lt;&gt;"AR","",J278*(INDEX('Device Refrigerant Leakage'!$D$2:$D$42,MATCH(X278,'Device Refrigerant Leakage'!$B$2:$B$42,0))-(INDEX('Device Refrigerant Leakage'!$D$2:$D$42,MATCH(X278,'Device Refrigerant Leakage'!$B$2:$B$42,0)))*DH278*DF278)*DG278/2204.62*DE278)</f>
        <v/>
      </c>
      <c r="DK278" s="146" t="str">
        <f>IF(W278&lt;&gt;"AR","",DI278*(K278-AB278)+'Fuel Sub Calcs-Deemed'!DJ278*((K278-AB278)/INDEX('Device Refrigerant Leakage'!$C$2:$C$42,MATCH('Fuel Sub Calcs-Deemed'!X278,'Device Refrigerant Leakage'!$B$2:$B$42,0))))</f>
        <v/>
      </c>
      <c r="DM278" s="56">
        <v>264</v>
      </c>
      <c r="DN278" s="67" t="e">
        <f t="shared" si="398"/>
        <v>#N/A</v>
      </c>
      <c r="DO278" s="45" t="e">
        <f t="shared" si="399"/>
        <v>#N/A</v>
      </c>
      <c r="DP278" s="67" t="e">
        <f t="shared" si="400"/>
        <v>#N/A</v>
      </c>
      <c r="DQ278" s="45" t="e">
        <f t="shared" si="401"/>
        <v>#N/A</v>
      </c>
      <c r="DR278" s="69" t="e">
        <f t="shared" si="402"/>
        <v>#N/A</v>
      </c>
      <c r="DS278" s="34"/>
      <c r="DT278" s="67" t="e">
        <f>((BX278*CJ278)+IF($W278=MAT_AR,(BZ278*CL278),0))*(1+Reference!$E$50+Reference!$E$51)</f>
        <v>#N/A</v>
      </c>
      <c r="DU278" s="67">
        <f>((BY278*CK278)+IF($W278=MAT_AR,(CA278*CM278),0))*(1+Reference!$G$50+Reference!$G$51)</f>
        <v>0</v>
      </c>
      <c r="DV278" s="67" t="e">
        <f t="shared" si="403"/>
        <v>#VALUE!</v>
      </c>
      <c r="DX278" s="56">
        <v>264</v>
      </c>
      <c r="DY278" s="67">
        <f t="shared" si="404"/>
        <v>0</v>
      </c>
      <c r="DZ278" s="45" t="e">
        <f>VLOOKUP($R278,Dropdown!$C$3:$D$4,2,FALSE)</f>
        <v>#N/A</v>
      </c>
      <c r="EA278" s="68">
        <f t="shared" si="405"/>
        <v>0</v>
      </c>
      <c r="EB278" s="68" t="str">
        <f t="shared" si="406"/>
        <v>N/A</v>
      </c>
      <c r="EC278" s="68">
        <f t="shared" si="407"/>
        <v>0</v>
      </c>
      <c r="ED278" s="68" t="str">
        <f t="shared" si="377"/>
        <v>N/A</v>
      </c>
      <c r="EF278" s="56">
        <v>264</v>
      </c>
      <c r="EG278" s="46">
        <f t="shared" si="408"/>
        <v>0</v>
      </c>
      <c r="EH278" s="68" t="e">
        <f t="shared" si="409"/>
        <v>#N/A</v>
      </c>
      <c r="EI278" s="68" t="e">
        <f t="shared" si="410"/>
        <v>#N/A</v>
      </c>
      <c r="EJ278" s="68" t="e">
        <f t="shared" si="411"/>
        <v>#N/A</v>
      </c>
      <c r="EK278" s="68" t="e">
        <f t="shared" si="412"/>
        <v>#N/A</v>
      </c>
      <c r="EL278" s="46">
        <f t="shared" si="413"/>
        <v>0</v>
      </c>
      <c r="EM278" s="46">
        <f t="shared" si="414"/>
        <v>0</v>
      </c>
    </row>
    <row r="279" spans="1:143">
      <c r="A279" s="89"/>
      <c r="B279" s="89"/>
      <c r="C279" s="89"/>
      <c r="D279" s="89"/>
      <c r="E279" s="89"/>
      <c r="F279" s="89"/>
      <c r="G279" s="34"/>
      <c r="H279" s="56">
        <f t="shared" si="415"/>
        <v>265</v>
      </c>
      <c r="I279" s="165"/>
      <c r="J279" s="163"/>
      <c r="K279" s="163"/>
      <c r="L279" s="164"/>
      <c r="M279" s="155"/>
      <c r="N279" s="155"/>
      <c r="O279" s="144"/>
      <c r="P279" s="159" t="str">
        <f>IFERROR(IF(O279&lt;&gt;"User Specified",IF(O279&lt;&gt;"", INDEX('Refrigerant GWPs'!$G$2:$G$154,MATCH(O279,'Refrigerant GWPs'!$A$2:$A$154,0)),""),U279),0)</f>
        <v/>
      </c>
      <c r="Q279" s="155"/>
      <c r="R279" s="155"/>
      <c r="S279" s="144"/>
      <c r="T279" s="159" t="str">
        <f>IF(S279&lt;&gt;"User Specified",IF(AND(S279&lt;&gt;"User Specified",S279&lt;&gt;""), INDEX('Refrigerant GWPs'!$G$2:$G$154,MATCH(S279,'Refrigerant GWPs'!$A$2:$A$154,0)),""),V279)</f>
        <v/>
      </c>
      <c r="U279" s="144"/>
      <c r="V279" s="144"/>
      <c r="W279" s="155"/>
      <c r="X279" s="155"/>
      <c r="Y279" s="144"/>
      <c r="Z279" s="159" t="str">
        <f>IF(AND(Y279&lt;&gt;"User Specified",Y279&lt;&gt;""), INDEX('Refrigerant GWPs'!$G$2:$G$154,MATCH(Y279,'Refrigerant GWPs'!$A$2:$A$154,0)),"")</f>
        <v/>
      </c>
      <c r="AA279" s="155"/>
      <c r="AB279" s="156"/>
      <c r="AC279" s="66"/>
      <c r="AD279" s="66"/>
      <c r="AE279" s="66"/>
      <c r="AF279" s="66"/>
      <c r="AG279" s="66"/>
      <c r="AH279" s="66"/>
      <c r="AI279" s="34"/>
      <c r="AJ279" s="88">
        <f t="shared" si="378"/>
        <v>0</v>
      </c>
      <c r="AK279" s="88">
        <f t="shared" si="379"/>
        <v>0</v>
      </c>
      <c r="AL279" s="88">
        <v>0</v>
      </c>
      <c r="AM279" s="88">
        <v>0</v>
      </c>
      <c r="AN279" s="81" t="str">
        <f t="shared" ref="AN279:AN342" si="417">IF(OR(BC279:BD279),"Warning: Need to enter baseline and measure consumption","")</f>
        <v/>
      </c>
      <c r="AO279" s="88">
        <f t="shared" si="380"/>
        <v>0</v>
      </c>
      <c r="AP279" s="88">
        <f t="shared" si="381"/>
        <v>0</v>
      </c>
      <c r="AQ279" s="81" t="str">
        <f t="shared" si="382"/>
        <v/>
      </c>
      <c r="AS279" s="41" t="b">
        <f t="shared" si="383"/>
        <v>1</v>
      </c>
      <c r="AT279" s="38">
        <f t="shared" si="384"/>
        <v>0</v>
      </c>
      <c r="AU279" s="60">
        <f t="shared" si="385"/>
        <v>0</v>
      </c>
      <c r="AV279" s="41">
        <f t="shared" si="386"/>
        <v>0</v>
      </c>
      <c r="AW279" s="41" t="b">
        <f t="shared" si="387"/>
        <v>0</v>
      </c>
      <c r="AX279" t="str">
        <f t="shared" si="388"/>
        <v>+00</v>
      </c>
      <c r="AY279" t="str">
        <f t="shared" si="389"/>
        <v>+00</v>
      </c>
      <c r="BA279" s="47" t="b">
        <f t="shared" ref="BA279:BA342" si="418">NOT(OR(ISBLANK(AJ279),ISBLANK(AL279)))</f>
        <v>1</v>
      </c>
      <c r="BB279" s="42" t="b">
        <f t="shared" ref="BB279:BB342" si="419">NOT(OR(ISBLANK(AK279),ISBLANK(AM279)))</f>
        <v>1</v>
      </c>
      <c r="BC279" s="42" t="b">
        <f t="shared" ref="BC279:BC342" si="420">AND(NOT(BA279))</f>
        <v>0</v>
      </c>
      <c r="BD279" s="42" t="b">
        <f t="shared" ref="BD279:BD342" si="421">AND(NOT(BB279))</f>
        <v>0</v>
      </c>
      <c r="BE279" s="70">
        <f t="shared" ref="BE279:BE342" si="422">AJ279-AL279</f>
        <v>0</v>
      </c>
      <c r="BF279" s="70">
        <f t="shared" ref="BF279:BF342" si="423">AK279-AM279</f>
        <v>0</v>
      </c>
      <c r="BG279" s="34"/>
      <c r="BI279" s="47" t="b">
        <f t="shared" ref="BI279:BI342" si="424">NOT(OR(ISBLANK(AL279),ISBLANK(AO279)))</f>
        <v>1</v>
      </c>
      <c r="BJ279" s="47" t="b">
        <f t="shared" ref="BJ279:BJ342" si="425">NOT(OR(ISBLANK(AM279),ISBLANK(AP279)))</f>
        <v>1</v>
      </c>
      <c r="BK279" s="42" t="b">
        <f t="shared" ref="BK279:BK342" si="426">AND(NOT(BI279))</f>
        <v>0</v>
      </c>
      <c r="BL279" s="42" t="b">
        <f t="shared" ref="BL279:BL342" si="427">AND(NOT(BJ279))</f>
        <v>0</v>
      </c>
      <c r="BM279" s="42">
        <f t="shared" ref="BM279:BM342" si="428">IF(NOT(OR(ISBLANK(AO279),ISBLANK(AL279))),AO279-AL279,0)</f>
        <v>0</v>
      </c>
      <c r="BN279" s="42">
        <f t="shared" ref="BN279:BN342" si="429">IF(NOT(OR(ISBLANK(AP279),ISBLANK(AM279))),AP279-AM279,0)</f>
        <v>0</v>
      </c>
      <c r="BP279" t="e">
        <f t="shared" ref="BP279:BP342" si="430">(DN279&gt;=0)</f>
        <v>#N/A</v>
      </c>
      <c r="BQ279" t="e">
        <f t="shared" ref="BQ279:BQ342" si="431">(DP279&gt;=0)</f>
        <v>#N/A</v>
      </c>
      <c r="BR279" t="e">
        <f t="shared" ref="BR279:BR342" si="432">AND(BP279,BQ279)</f>
        <v>#N/A</v>
      </c>
      <c r="BT279" s="60">
        <f t="shared" ref="BT279:BT342" si="433">$J279*BE279</f>
        <v>0</v>
      </c>
      <c r="BU279" s="60">
        <f t="shared" ref="BU279:BU342" si="434">$J279*BF279</f>
        <v>0</v>
      </c>
      <c r="BV279" s="60">
        <f t="shared" ref="BV279:BV342" si="435">$J279*BM279</f>
        <v>0</v>
      </c>
      <c r="BW279" s="60">
        <f t="shared" ref="BW279:BW342" si="436">$J279*BN279</f>
        <v>0</v>
      </c>
      <c r="BX279" s="60">
        <f t="shared" ref="BX279:BX342" si="437">$AT279*BT279</f>
        <v>0</v>
      </c>
      <c r="BY279" s="60">
        <f t="shared" ref="BY279:BY342" si="438">$AT279*BU279</f>
        <v>0</v>
      </c>
      <c r="BZ279" s="60">
        <f t="shared" ref="BZ279:BZ342" si="439">$AU279*BV279</f>
        <v>0</v>
      </c>
      <c r="CA279" s="60">
        <f t="shared" ref="CA279:CA342" si="440">$AU279*BW279</f>
        <v>0</v>
      </c>
      <c r="CB279" s="60" t="e">
        <f t="shared" si="390"/>
        <v>#N/A</v>
      </c>
      <c r="CC279" s="60">
        <f t="shared" si="391"/>
        <v>100000</v>
      </c>
      <c r="CD279" s="60" t="e">
        <f t="shared" si="392"/>
        <v>#N/A</v>
      </c>
      <c r="CE279" s="60">
        <f t="shared" si="393"/>
        <v>100000</v>
      </c>
      <c r="CF279" s="83" t="e">
        <f t="shared" ref="CF279:CF342" si="441">$AT279*CB279/1000000</f>
        <v>#N/A</v>
      </c>
      <c r="CG279" s="83">
        <f t="shared" ref="CG279:CG342" si="442">$AT279*CC279/1000000</f>
        <v>0</v>
      </c>
      <c r="CH279" s="83" t="e">
        <f t="shared" ref="CH279:CH342" si="443">$AU279*CD279/1000000</f>
        <v>#N/A</v>
      </c>
      <c r="CI279" s="83">
        <f t="shared" ref="CI279:CI342" si="444">$AU279*CE279/1000000</f>
        <v>0</v>
      </c>
      <c r="CJ279" s="86" t="e">
        <f t="shared" si="394"/>
        <v>#N/A</v>
      </c>
      <c r="CK279" s="82">
        <f t="shared" si="395"/>
        <v>5.3070370403969858E-3</v>
      </c>
      <c r="CL279" s="82" t="e">
        <f t="shared" si="396"/>
        <v>#N/A</v>
      </c>
      <c r="CM279" s="82">
        <f t="shared" si="397"/>
        <v>5.3070370403969858E-3</v>
      </c>
      <c r="CO279" s="149" t="str">
        <f>IF($I279&lt;&gt;"",IF(O279="User Specified",U279,INDEX('Refrigerant GWPs'!$G$2:$G$156,MATCH(O279,'Refrigerant GWPs'!$A$2:$A$156,0))),"")</f>
        <v/>
      </c>
      <c r="CP279" s="138" t="str">
        <f>IF($I279&lt;&gt;"",INDEX('Device Refrigerant Leakage'!$E$2:$E$42,MATCH($M279,'Device Refrigerant Leakage'!$B$2:$B$42,0)),"")</f>
        <v/>
      </c>
      <c r="CQ279" s="138" t="str">
        <f>IF($I279&lt;&gt;"",INDEX('Device Refrigerant Leakage'!$F$2:$F$42,MATCH($M279,'Device Refrigerant Leakage'!$B$2:$B$42,0)),"")</f>
        <v/>
      </c>
      <c r="CR279" s="145" t="str">
        <f>IF($I279&lt;&gt;"",INDEX('Device Refrigerant Leakage'!$G$2:$G$42,MATCH($M279,'Device Refrigerant Leakage'!$B$2:$B$42,0)),"")</f>
        <v/>
      </c>
      <c r="CS279" s="145" t="str">
        <f>IF($I279&lt;&gt;"",INDEX('Device Refrigerant Leakage'!$D$2:$D$42,MATCH($M279,'Device Refrigerant Leakage'!$B$2:$B$42,0))*CP279/2204.62*CO279,"")</f>
        <v/>
      </c>
      <c r="CT279" s="145" t="str">
        <f>IF($I279&lt;&gt;"",J279*(INDEX('Device Refrigerant Leakage'!$D$2:$D$42,MATCH($M279,'Device Refrigerant Leakage'!$B$2:$B$42,0))-(INDEX('Device Refrigerant Leakage'!$D$2:$D$42,MATCH($M279,'Device Refrigerant Leakage'!$B$2:$B$42,0)))*CR279*CP279)*CQ279/2204.62*CO279,"")</f>
        <v/>
      </c>
      <c r="CU279" s="135" t="str">
        <f>IF($I279&lt;&gt;"",J279*IF(W279&lt;&gt;"AR",(CS279*K279)+CT279,(CS279*AB279)+CT279*(AB279/INDEX('Device Refrigerant Leakage'!$C$2:$C$42,MATCH($M279,'Device Refrigerant Leakage'!$B$2:$B$42,0)))),"")</f>
        <v/>
      </c>
      <c r="CW279" s="135" t="str">
        <f>IF($I279&lt;&gt;"",IF(S279="User Specified",V279,INDEX('Refrigerant GWPs'!$G$2:$G$156,MATCH(S279,'Refrigerant GWPs'!$A$2:$A$157,0))),"")</f>
        <v/>
      </c>
      <c r="CX279" s="138" t="str">
        <f>IF($I279&lt;&gt;"",INDEX('Device Refrigerant Leakage'!$E$2:$E$42,MATCH($Q279,'Device Refrigerant Leakage'!$B$2:$B$42,0)),"")</f>
        <v/>
      </c>
      <c r="CY279" s="138" t="str">
        <f>IF($I279&lt;&gt;"",INDEX('Device Refrigerant Leakage'!$F$2:$F$42,MATCH($Q279,'Device Refrigerant Leakage'!$B$2:$B$42,0)),"")</f>
        <v/>
      </c>
      <c r="CZ279" s="145" t="str">
        <f>IF($I279&lt;&gt;"",INDEX('Device Refrigerant Leakage'!$G$2:$G$42,MATCH($Q279,'Device Refrigerant Leakage'!$B$2:$B$42,0)),"")</f>
        <v/>
      </c>
      <c r="DA279" s="145" t="str">
        <f>IF($I279&lt;&gt;"",J279*INDEX('Device Refrigerant Leakage'!$D$2:$D$42,MATCH($Q279,'Device Refrigerant Leakage'!$B$2:$B$42,0))*CX279/2204.62*CW279,"")</f>
        <v/>
      </c>
      <c r="DB279" s="145" t="str">
        <f>IF($I279&lt;&gt;"",J279*(INDEX('Device Refrigerant Leakage'!$D$2:$D$42,MATCH($Q279,'Device Refrigerant Leakage'!$B$2:$B$42,0))-(INDEX('Device Refrigerant Leakage'!$D$2:$D$42,MATCH($Q279,'Device Refrigerant Leakage'!$B$2:$B$42,0)))*CZ279*CX279)*CY279/2204.62*CW279,"")</f>
        <v/>
      </c>
      <c r="DC279" s="135" t="str">
        <f t="shared" si="416"/>
        <v/>
      </c>
      <c r="DE279" s="146" t="str">
        <f>IF(W279&lt;&gt;"AR","",IF(Y279="User Specified", AA279, INDEX('Refrigerant GWPs'!$G$2:$G$154,MATCH(Y279,'Refrigerant GWPs'!$A$2:$A$154,0))))</f>
        <v/>
      </c>
      <c r="DF279" s="146" t="str">
        <f>IF(W279&lt;&gt;"AR","",INDEX('Device Refrigerant Leakage'!$E$2:$E$42,MATCH(X279,'Device Refrigerant Leakage'!$B$2:$B$42,0)))</f>
        <v/>
      </c>
      <c r="DG279" s="146" t="str">
        <f>IF(W279&lt;&gt;"AR","",INDEX('Device Refrigerant Leakage'!$F$2:$F$42,MATCH(X279,'Device Refrigerant Leakage'!$B$2:$B$42,0)))</f>
        <v/>
      </c>
      <c r="DH279" s="146" t="str">
        <f>IF(W279&lt;&gt;"AR","",INDEX('Device Refrigerant Leakage'!$G$2:$G$42,MATCH(X279,'Device Refrigerant Leakage'!$B$2:$B$42,0)))</f>
        <v/>
      </c>
      <c r="DI279" s="146" t="str">
        <f>IF(W279&lt;&gt;"AR","",J279*INDEX('Device Refrigerant Leakage'!$D$2:$D$42,MATCH(X279,'Device Refrigerant Leakage'!$B$2:$B$42,0))*DF279/2204.62*DE279)</f>
        <v/>
      </c>
      <c r="DJ279" s="146" t="str">
        <f>IF(W279&lt;&gt;"AR","",J279*(INDEX('Device Refrigerant Leakage'!$D$2:$D$42,MATCH(X279,'Device Refrigerant Leakage'!$B$2:$B$42,0))-(INDEX('Device Refrigerant Leakage'!$D$2:$D$42,MATCH(X279,'Device Refrigerant Leakage'!$B$2:$B$42,0)))*DH279*DF279)*DG279/2204.62*DE279)</f>
        <v/>
      </c>
      <c r="DK279" s="146" t="str">
        <f>IF(W279&lt;&gt;"AR","",DI279*(K279-AB279)+'Fuel Sub Calcs-Deemed'!DJ279*((K279-AB279)/INDEX('Device Refrigerant Leakage'!$C$2:$C$42,MATCH('Fuel Sub Calcs-Deemed'!X279,'Device Refrigerant Leakage'!$B$2:$B$42,0))))</f>
        <v/>
      </c>
      <c r="DM279" s="56">
        <v>265</v>
      </c>
      <c r="DN279" s="67" t="e">
        <f t="shared" si="398"/>
        <v>#N/A</v>
      </c>
      <c r="DO279" s="45" t="e">
        <f t="shared" si="399"/>
        <v>#N/A</v>
      </c>
      <c r="DP279" s="67" t="e">
        <f t="shared" si="400"/>
        <v>#N/A</v>
      </c>
      <c r="DQ279" s="45" t="e">
        <f t="shared" si="401"/>
        <v>#N/A</v>
      </c>
      <c r="DR279" s="69" t="e">
        <f t="shared" si="402"/>
        <v>#N/A</v>
      </c>
      <c r="DS279" s="34"/>
      <c r="DT279" s="67" t="e">
        <f>((BX279*CJ279)+IF($W279=MAT_AR,(BZ279*CL279),0))*(1+Reference!$E$50+Reference!$E$51)</f>
        <v>#N/A</v>
      </c>
      <c r="DU279" s="67">
        <f>((BY279*CK279)+IF($W279=MAT_AR,(CA279*CM279),0))*(1+Reference!$G$50+Reference!$G$51)</f>
        <v>0</v>
      </c>
      <c r="DV279" s="67" t="e">
        <f t="shared" si="403"/>
        <v>#VALUE!</v>
      </c>
      <c r="DX279" s="56">
        <v>265</v>
      </c>
      <c r="DY279" s="67">
        <f t="shared" si="404"/>
        <v>0</v>
      </c>
      <c r="DZ279" s="45" t="e">
        <f>VLOOKUP($R279,Dropdown!$C$3:$D$4,2,FALSE)</f>
        <v>#N/A</v>
      </c>
      <c r="EA279" s="68">
        <f t="shared" si="405"/>
        <v>0</v>
      </c>
      <c r="EB279" s="68" t="str">
        <f t="shared" si="406"/>
        <v>N/A</v>
      </c>
      <c r="EC279" s="68">
        <f t="shared" si="407"/>
        <v>0</v>
      </c>
      <c r="ED279" s="68" t="str">
        <f t="shared" ref="ED279:ED342" si="445">IF($R279=fuel_electricity,DY279*10^6/Btu_therm,"N/A")</f>
        <v>N/A</v>
      </c>
      <c r="EF279" s="56">
        <v>265</v>
      </c>
      <c r="EG279" s="46">
        <f t="shared" si="408"/>
        <v>0</v>
      </c>
      <c r="EH279" s="68" t="e">
        <f t="shared" si="409"/>
        <v>#N/A</v>
      </c>
      <c r="EI279" s="68" t="e">
        <f t="shared" si="410"/>
        <v>#N/A</v>
      </c>
      <c r="EJ279" s="68" t="e">
        <f t="shared" si="411"/>
        <v>#N/A</v>
      </c>
      <c r="EK279" s="68" t="e">
        <f t="shared" si="412"/>
        <v>#N/A</v>
      </c>
      <c r="EL279" s="46">
        <f t="shared" si="413"/>
        <v>0</v>
      </c>
      <c r="EM279" s="46">
        <f t="shared" si="414"/>
        <v>0</v>
      </c>
    </row>
    <row r="280" spans="1:143">
      <c r="A280" s="89"/>
      <c r="B280" s="89"/>
      <c r="C280" s="89"/>
      <c r="D280" s="89"/>
      <c r="E280" s="89"/>
      <c r="F280" s="89"/>
      <c r="G280" s="34"/>
      <c r="H280" s="56">
        <f t="shared" si="415"/>
        <v>266</v>
      </c>
      <c r="I280" s="165"/>
      <c r="J280" s="163"/>
      <c r="K280" s="163"/>
      <c r="L280" s="164"/>
      <c r="M280" s="155"/>
      <c r="N280" s="155"/>
      <c r="O280" s="144"/>
      <c r="P280" s="159" t="str">
        <f>IFERROR(IF(O280&lt;&gt;"User Specified",IF(O280&lt;&gt;"", INDEX('Refrigerant GWPs'!$G$2:$G$154,MATCH(O280,'Refrigerant GWPs'!$A$2:$A$154,0)),""),U280),0)</f>
        <v/>
      </c>
      <c r="Q280" s="155"/>
      <c r="R280" s="155"/>
      <c r="S280" s="144"/>
      <c r="T280" s="159" t="str">
        <f>IF(S280&lt;&gt;"User Specified",IF(AND(S280&lt;&gt;"User Specified",S280&lt;&gt;""), INDEX('Refrigerant GWPs'!$G$2:$G$154,MATCH(S280,'Refrigerant GWPs'!$A$2:$A$154,0)),""),V280)</f>
        <v/>
      </c>
      <c r="U280" s="144"/>
      <c r="V280" s="144"/>
      <c r="W280" s="155"/>
      <c r="X280" s="155"/>
      <c r="Y280" s="144"/>
      <c r="Z280" s="159" t="str">
        <f>IF(AND(Y280&lt;&gt;"User Specified",Y280&lt;&gt;""), INDEX('Refrigerant GWPs'!$G$2:$G$154,MATCH(Y280,'Refrigerant GWPs'!$A$2:$A$154,0)),"")</f>
        <v/>
      </c>
      <c r="AA280" s="155"/>
      <c r="AB280" s="156"/>
      <c r="AC280" s="66"/>
      <c r="AD280" s="66"/>
      <c r="AE280" s="66"/>
      <c r="AF280" s="66"/>
      <c r="AG280" s="66"/>
      <c r="AH280" s="66"/>
      <c r="AI280" s="34"/>
      <c r="AJ280" s="88">
        <f t="shared" si="378"/>
        <v>0</v>
      </c>
      <c r="AK280" s="88">
        <f t="shared" si="379"/>
        <v>0</v>
      </c>
      <c r="AL280" s="88">
        <v>0</v>
      </c>
      <c r="AM280" s="88">
        <v>0</v>
      </c>
      <c r="AN280" s="81" t="str">
        <f t="shared" si="417"/>
        <v/>
      </c>
      <c r="AO280" s="88">
        <f t="shared" si="380"/>
        <v>0</v>
      </c>
      <c r="AP280" s="88">
        <f t="shared" si="381"/>
        <v>0</v>
      </c>
      <c r="AQ280" s="81" t="str">
        <f t="shared" si="382"/>
        <v/>
      </c>
      <c r="AS280" s="41" t="b">
        <f t="shared" si="383"/>
        <v>1</v>
      </c>
      <c r="AT280" s="38">
        <f t="shared" si="384"/>
        <v>0</v>
      </c>
      <c r="AU280" s="60">
        <f t="shared" si="385"/>
        <v>0</v>
      </c>
      <c r="AV280" s="41">
        <f t="shared" si="386"/>
        <v>0</v>
      </c>
      <c r="AW280" s="41" t="b">
        <f t="shared" si="387"/>
        <v>0</v>
      </c>
      <c r="AX280" t="str">
        <f t="shared" si="388"/>
        <v>+00</v>
      </c>
      <c r="AY280" t="str">
        <f t="shared" si="389"/>
        <v>+00</v>
      </c>
      <c r="BA280" s="47" t="b">
        <f t="shared" si="418"/>
        <v>1</v>
      </c>
      <c r="BB280" s="42" t="b">
        <f t="shared" si="419"/>
        <v>1</v>
      </c>
      <c r="BC280" s="42" t="b">
        <f t="shared" si="420"/>
        <v>0</v>
      </c>
      <c r="BD280" s="42" t="b">
        <f t="shared" si="421"/>
        <v>0</v>
      </c>
      <c r="BE280" s="70">
        <f t="shared" si="422"/>
        <v>0</v>
      </c>
      <c r="BF280" s="70">
        <f t="shared" si="423"/>
        <v>0</v>
      </c>
      <c r="BG280" s="34"/>
      <c r="BI280" s="47" t="b">
        <f t="shared" si="424"/>
        <v>1</v>
      </c>
      <c r="BJ280" s="47" t="b">
        <f t="shared" si="425"/>
        <v>1</v>
      </c>
      <c r="BK280" s="42" t="b">
        <f t="shared" si="426"/>
        <v>0</v>
      </c>
      <c r="BL280" s="42" t="b">
        <f t="shared" si="427"/>
        <v>0</v>
      </c>
      <c r="BM280" s="42">
        <f t="shared" si="428"/>
        <v>0</v>
      </c>
      <c r="BN280" s="42">
        <f t="shared" si="429"/>
        <v>0</v>
      </c>
      <c r="BP280" t="e">
        <f t="shared" si="430"/>
        <v>#N/A</v>
      </c>
      <c r="BQ280" t="e">
        <f t="shared" si="431"/>
        <v>#N/A</v>
      </c>
      <c r="BR280" t="e">
        <f t="shared" si="432"/>
        <v>#N/A</v>
      </c>
      <c r="BT280" s="60">
        <f t="shared" si="433"/>
        <v>0</v>
      </c>
      <c r="BU280" s="60">
        <f t="shared" si="434"/>
        <v>0</v>
      </c>
      <c r="BV280" s="60">
        <f t="shared" si="435"/>
        <v>0</v>
      </c>
      <c r="BW280" s="60">
        <f t="shared" si="436"/>
        <v>0</v>
      </c>
      <c r="BX280" s="60">
        <f t="shared" si="437"/>
        <v>0</v>
      </c>
      <c r="BY280" s="60">
        <f t="shared" si="438"/>
        <v>0</v>
      </c>
      <c r="BZ280" s="60">
        <f t="shared" si="439"/>
        <v>0</v>
      </c>
      <c r="CA280" s="60">
        <f t="shared" si="440"/>
        <v>0</v>
      </c>
      <c r="CB280" s="60" t="e">
        <f t="shared" si="390"/>
        <v>#N/A</v>
      </c>
      <c r="CC280" s="60">
        <f t="shared" si="391"/>
        <v>100000</v>
      </c>
      <c r="CD280" s="60" t="e">
        <f t="shared" si="392"/>
        <v>#N/A</v>
      </c>
      <c r="CE280" s="60">
        <f t="shared" si="393"/>
        <v>100000</v>
      </c>
      <c r="CF280" s="83" t="e">
        <f t="shared" si="441"/>
        <v>#N/A</v>
      </c>
      <c r="CG280" s="83">
        <f t="shared" si="442"/>
        <v>0</v>
      </c>
      <c r="CH280" s="83" t="e">
        <f t="shared" si="443"/>
        <v>#N/A</v>
      </c>
      <c r="CI280" s="83">
        <f t="shared" si="444"/>
        <v>0</v>
      </c>
      <c r="CJ280" s="86" t="e">
        <f t="shared" si="394"/>
        <v>#N/A</v>
      </c>
      <c r="CK280" s="82">
        <f t="shared" si="395"/>
        <v>5.3070370403969858E-3</v>
      </c>
      <c r="CL280" s="82" t="e">
        <f t="shared" si="396"/>
        <v>#N/A</v>
      </c>
      <c r="CM280" s="82">
        <f t="shared" si="397"/>
        <v>5.3070370403969858E-3</v>
      </c>
      <c r="CO280" s="149" t="str">
        <f>IF($I280&lt;&gt;"",IF(O280="User Specified",U280,INDEX('Refrigerant GWPs'!$G$2:$G$156,MATCH(O280,'Refrigerant GWPs'!$A$2:$A$156,0))),"")</f>
        <v/>
      </c>
      <c r="CP280" s="138" t="str">
        <f>IF($I280&lt;&gt;"",INDEX('Device Refrigerant Leakage'!$E$2:$E$42,MATCH($M280,'Device Refrigerant Leakage'!$B$2:$B$42,0)),"")</f>
        <v/>
      </c>
      <c r="CQ280" s="138" t="str">
        <f>IF($I280&lt;&gt;"",INDEX('Device Refrigerant Leakage'!$F$2:$F$42,MATCH($M280,'Device Refrigerant Leakage'!$B$2:$B$42,0)),"")</f>
        <v/>
      </c>
      <c r="CR280" s="145" t="str">
        <f>IF($I280&lt;&gt;"",INDEX('Device Refrigerant Leakage'!$G$2:$G$42,MATCH($M280,'Device Refrigerant Leakage'!$B$2:$B$42,0)),"")</f>
        <v/>
      </c>
      <c r="CS280" s="145" t="str">
        <f>IF($I280&lt;&gt;"",INDEX('Device Refrigerant Leakage'!$D$2:$D$42,MATCH($M280,'Device Refrigerant Leakage'!$B$2:$B$42,0))*CP280/2204.62*CO280,"")</f>
        <v/>
      </c>
      <c r="CT280" s="145" t="str">
        <f>IF($I280&lt;&gt;"",J280*(INDEX('Device Refrigerant Leakage'!$D$2:$D$42,MATCH($M280,'Device Refrigerant Leakage'!$B$2:$B$42,0))-(INDEX('Device Refrigerant Leakage'!$D$2:$D$42,MATCH($M280,'Device Refrigerant Leakage'!$B$2:$B$42,0)))*CR280*CP280)*CQ280/2204.62*CO280,"")</f>
        <v/>
      </c>
      <c r="CU280" s="135" t="str">
        <f>IF($I280&lt;&gt;"",J280*IF(W280&lt;&gt;"AR",(CS280*K280)+CT280,(CS280*AB280)+CT280*(AB280/INDEX('Device Refrigerant Leakage'!$C$2:$C$42,MATCH($M280,'Device Refrigerant Leakage'!$B$2:$B$42,0)))),"")</f>
        <v/>
      </c>
      <c r="CW280" s="135" t="str">
        <f>IF($I280&lt;&gt;"",IF(S280="User Specified",V280,INDEX('Refrigerant GWPs'!$G$2:$G$156,MATCH(S280,'Refrigerant GWPs'!$A$2:$A$157,0))),"")</f>
        <v/>
      </c>
      <c r="CX280" s="138" t="str">
        <f>IF($I280&lt;&gt;"",INDEX('Device Refrigerant Leakage'!$E$2:$E$42,MATCH($Q280,'Device Refrigerant Leakage'!$B$2:$B$42,0)),"")</f>
        <v/>
      </c>
      <c r="CY280" s="138" t="str">
        <f>IF($I280&lt;&gt;"",INDEX('Device Refrigerant Leakage'!$F$2:$F$42,MATCH($Q280,'Device Refrigerant Leakage'!$B$2:$B$42,0)),"")</f>
        <v/>
      </c>
      <c r="CZ280" s="145" t="str">
        <f>IF($I280&lt;&gt;"",INDEX('Device Refrigerant Leakage'!$G$2:$G$42,MATCH($Q280,'Device Refrigerant Leakage'!$B$2:$B$42,0)),"")</f>
        <v/>
      </c>
      <c r="DA280" s="145" t="str">
        <f>IF($I280&lt;&gt;"",J280*INDEX('Device Refrigerant Leakage'!$D$2:$D$42,MATCH($Q280,'Device Refrigerant Leakage'!$B$2:$B$42,0))*CX280/2204.62*CW280,"")</f>
        <v/>
      </c>
      <c r="DB280" s="145" t="str">
        <f>IF($I280&lt;&gt;"",J280*(INDEX('Device Refrigerant Leakage'!$D$2:$D$42,MATCH($Q280,'Device Refrigerant Leakage'!$B$2:$B$42,0))-(INDEX('Device Refrigerant Leakage'!$D$2:$D$42,MATCH($Q280,'Device Refrigerant Leakage'!$B$2:$B$42,0)))*CZ280*CX280)*CY280/2204.62*CW280,"")</f>
        <v/>
      </c>
      <c r="DC280" s="135" t="str">
        <f t="shared" si="416"/>
        <v/>
      </c>
      <c r="DE280" s="146" t="str">
        <f>IF(W280&lt;&gt;"AR","",IF(Y280="User Specified", AA280, INDEX('Refrigerant GWPs'!$G$2:$G$154,MATCH(Y280,'Refrigerant GWPs'!$A$2:$A$154,0))))</f>
        <v/>
      </c>
      <c r="DF280" s="146" t="str">
        <f>IF(W280&lt;&gt;"AR","",INDEX('Device Refrigerant Leakage'!$E$2:$E$42,MATCH(X280,'Device Refrigerant Leakage'!$B$2:$B$42,0)))</f>
        <v/>
      </c>
      <c r="DG280" s="146" t="str">
        <f>IF(W280&lt;&gt;"AR","",INDEX('Device Refrigerant Leakage'!$F$2:$F$42,MATCH(X280,'Device Refrigerant Leakage'!$B$2:$B$42,0)))</f>
        <v/>
      </c>
      <c r="DH280" s="146" t="str">
        <f>IF(W280&lt;&gt;"AR","",INDEX('Device Refrigerant Leakage'!$G$2:$G$42,MATCH(X280,'Device Refrigerant Leakage'!$B$2:$B$42,0)))</f>
        <v/>
      </c>
      <c r="DI280" s="146" t="str">
        <f>IF(W280&lt;&gt;"AR","",J280*INDEX('Device Refrigerant Leakage'!$D$2:$D$42,MATCH(X280,'Device Refrigerant Leakage'!$B$2:$B$42,0))*DF280/2204.62*DE280)</f>
        <v/>
      </c>
      <c r="DJ280" s="146" t="str">
        <f>IF(W280&lt;&gt;"AR","",J280*(INDEX('Device Refrigerant Leakage'!$D$2:$D$42,MATCH(X280,'Device Refrigerant Leakage'!$B$2:$B$42,0))-(INDEX('Device Refrigerant Leakage'!$D$2:$D$42,MATCH(X280,'Device Refrigerant Leakage'!$B$2:$B$42,0)))*DH280*DF280)*DG280/2204.62*DE280)</f>
        <v/>
      </c>
      <c r="DK280" s="146" t="str">
        <f>IF(W280&lt;&gt;"AR","",DI280*(K280-AB280)+'Fuel Sub Calcs-Deemed'!DJ280*((K280-AB280)/INDEX('Device Refrigerant Leakage'!$C$2:$C$42,MATCH('Fuel Sub Calcs-Deemed'!X280,'Device Refrigerant Leakage'!$B$2:$B$42,0))))</f>
        <v/>
      </c>
      <c r="DM280" s="56">
        <v>266</v>
      </c>
      <c r="DN280" s="67" t="e">
        <f t="shared" si="398"/>
        <v>#N/A</v>
      </c>
      <c r="DO280" s="45" t="e">
        <f t="shared" si="399"/>
        <v>#N/A</v>
      </c>
      <c r="DP280" s="67" t="e">
        <f t="shared" si="400"/>
        <v>#N/A</v>
      </c>
      <c r="DQ280" s="45" t="e">
        <f t="shared" si="401"/>
        <v>#N/A</v>
      </c>
      <c r="DR280" s="69" t="e">
        <f t="shared" si="402"/>
        <v>#N/A</v>
      </c>
      <c r="DS280" s="34"/>
      <c r="DT280" s="67" t="e">
        <f>((BX280*CJ280)+IF($W280=MAT_AR,(BZ280*CL280),0))*(1+Reference!$E$50+Reference!$E$51)</f>
        <v>#N/A</v>
      </c>
      <c r="DU280" s="67">
        <f>((BY280*CK280)+IF($W280=MAT_AR,(CA280*CM280),0))*(1+Reference!$G$50+Reference!$G$51)</f>
        <v>0</v>
      </c>
      <c r="DV280" s="67" t="e">
        <f t="shared" si="403"/>
        <v>#VALUE!</v>
      </c>
      <c r="DX280" s="56">
        <v>266</v>
      </c>
      <c r="DY280" s="67">
        <f t="shared" si="404"/>
        <v>0</v>
      </c>
      <c r="DZ280" s="45" t="e">
        <f>VLOOKUP($R280,Dropdown!$C$3:$D$4,2,FALSE)</f>
        <v>#N/A</v>
      </c>
      <c r="EA280" s="68">
        <f t="shared" si="405"/>
        <v>0</v>
      </c>
      <c r="EB280" s="68" t="str">
        <f t="shared" si="406"/>
        <v>N/A</v>
      </c>
      <c r="EC280" s="68">
        <f t="shared" si="407"/>
        <v>0</v>
      </c>
      <c r="ED280" s="68" t="str">
        <f t="shared" si="445"/>
        <v>N/A</v>
      </c>
      <c r="EF280" s="56">
        <v>266</v>
      </c>
      <c r="EG280" s="46">
        <f t="shared" si="408"/>
        <v>0</v>
      </c>
      <c r="EH280" s="68" t="e">
        <f t="shared" si="409"/>
        <v>#N/A</v>
      </c>
      <c r="EI280" s="68" t="e">
        <f t="shared" si="410"/>
        <v>#N/A</v>
      </c>
      <c r="EJ280" s="68" t="e">
        <f t="shared" si="411"/>
        <v>#N/A</v>
      </c>
      <c r="EK280" s="68" t="e">
        <f t="shared" si="412"/>
        <v>#N/A</v>
      </c>
      <c r="EL280" s="46">
        <f t="shared" si="413"/>
        <v>0</v>
      </c>
      <c r="EM280" s="46">
        <f t="shared" si="414"/>
        <v>0</v>
      </c>
    </row>
    <row r="281" spans="1:143">
      <c r="A281" s="89"/>
      <c r="B281" s="89"/>
      <c r="C281" s="89"/>
      <c r="D281" s="89"/>
      <c r="E281" s="89"/>
      <c r="F281" s="89"/>
      <c r="G281" s="34"/>
      <c r="H281" s="56">
        <f t="shared" si="415"/>
        <v>267</v>
      </c>
      <c r="I281" s="165"/>
      <c r="J281" s="163"/>
      <c r="K281" s="163"/>
      <c r="L281" s="164"/>
      <c r="M281" s="155"/>
      <c r="N281" s="155"/>
      <c r="O281" s="144"/>
      <c r="P281" s="159" t="str">
        <f>IFERROR(IF(O281&lt;&gt;"User Specified",IF(O281&lt;&gt;"", INDEX('Refrigerant GWPs'!$G$2:$G$154,MATCH(O281,'Refrigerant GWPs'!$A$2:$A$154,0)),""),U281),0)</f>
        <v/>
      </c>
      <c r="Q281" s="155"/>
      <c r="R281" s="155"/>
      <c r="S281" s="144"/>
      <c r="T281" s="159" t="str">
        <f>IF(S281&lt;&gt;"User Specified",IF(AND(S281&lt;&gt;"User Specified",S281&lt;&gt;""), INDEX('Refrigerant GWPs'!$G$2:$G$154,MATCH(S281,'Refrigerant GWPs'!$A$2:$A$154,0)),""),V281)</f>
        <v/>
      </c>
      <c r="U281" s="144"/>
      <c r="V281" s="144"/>
      <c r="W281" s="155"/>
      <c r="X281" s="155"/>
      <c r="Y281" s="144"/>
      <c r="Z281" s="159" t="str">
        <f>IF(AND(Y281&lt;&gt;"User Specified",Y281&lt;&gt;""), INDEX('Refrigerant GWPs'!$G$2:$G$154,MATCH(Y281,'Refrigerant GWPs'!$A$2:$A$154,0)),"")</f>
        <v/>
      </c>
      <c r="AA281" s="155"/>
      <c r="AB281" s="156"/>
      <c r="AC281" s="66"/>
      <c r="AD281" s="66"/>
      <c r="AE281" s="66"/>
      <c r="AF281" s="66"/>
      <c r="AG281" s="66"/>
      <c r="AH281" s="66"/>
      <c r="AI281" s="34"/>
      <c r="AJ281" s="88">
        <f t="shared" si="378"/>
        <v>0</v>
      </c>
      <c r="AK281" s="88">
        <f t="shared" si="379"/>
        <v>0</v>
      </c>
      <c r="AL281" s="88">
        <v>0</v>
      </c>
      <c r="AM281" s="88">
        <v>0</v>
      </c>
      <c r="AN281" s="81" t="str">
        <f t="shared" si="417"/>
        <v/>
      </c>
      <c r="AO281" s="88">
        <f t="shared" si="380"/>
        <v>0</v>
      </c>
      <c r="AP281" s="88">
        <f t="shared" si="381"/>
        <v>0</v>
      </c>
      <c r="AQ281" s="81" t="str">
        <f t="shared" si="382"/>
        <v/>
      </c>
      <c r="AS281" s="41" t="b">
        <f t="shared" si="383"/>
        <v>1</v>
      </c>
      <c r="AT281" s="38">
        <f t="shared" si="384"/>
        <v>0</v>
      </c>
      <c r="AU281" s="60">
        <f t="shared" si="385"/>
        <v>0</v>
      </c>
      <c r="AV281" s="41">
        <f t="shared" si="386"/>
        <v>0</v>
      </c>
      <c r="AW281" s="41" t="b">
        <f t="shared" si="387"/>
        <v>0</v>
      </c>
      <c r="AX281" t="str">
        <f t="shared" si="388"/>
        <v>+00</v>
      </c>
      <c r="AY281" t="str">
        <f t="shared" si="389"/>
        <v>+00</v>
      </c>
      <c r="BA281" s="47" t="b">
        <f t="shared" si="418"/>
        <v>1</v>
      </c>
      <c r="BB281" s="42" t="b">
        <f t="shared" si="419"/>
        <v>1</v>
      </c>
      <c r="BC281" s="42" t="b">
        <f t="shared" si="420"/>
        <v>0</v>
      </c>
      <c r="BD281" s="42" t="b">
        <f t="shared" si="421"/>
        <v>0</v>
      </c>
      <c r="BE281" s="70">
        <f t="shared" si="422"/>
        <v>0</v>
      </c>
      <c r="BF281" s="70">
        <f t="shared" si="423"/>
        <v>0</v>
      </c>
      <c r="BG281" s="34"/>
      <c r="BI281" s="47" t="b">
        <f t="shared" si="424"/>
        <v>1</v>
      </c>
      <c r="BJ281" s="47" t="b">
        <f t="shared" si="425"/>
        <v>1</v>
      </c>
      <c r="BK281" s="42" t="b">
        <f t="shared" si="426"/>
        <v>0</v>
      </c>
      <c r="BL281" s="42" t="b">
        <f t="shared" si="427"/>
        <v>0</v>
      </c>
      <c r="BM281" s="42">
        <f t="shared" si="428"/>
        <v>0</v>
      </c>
      <c r="BN281" s="42">
        <f t="shared" si="429"/>
        <v>0</v>
      </c>
      <c r="BP281" t="e">
        <f t="shared" si="430"/>
        <v>#N/A</v>
      </c>
      <c r="BQ281" t="e">
        <f t="shared" si="431"/>
        <v>#N/A</v>
      </c>
      <c r="BR281" t="e">
        <f t="shared" si="432"/>
        <v>#N/A</v>
      </c>
      <c r="BT281" s="60">
        <f t="shared" si="433"/>
        <v>0</v>
      </c>
      <c r="BU281" s="60">
        <f t="shared" si="434"/>
        <v>0</v>
      </c>
      <c r="BV281" s="60">
        <f t="shared" si="435"/>
        <v>0</v>
      </c>
      <c r="BW281" s="60">
        <f t="shared" si="436"/>
        <v>0</v>
      </c>
      <c r="BX281" s="60">
        <f t="shared" si="437"/>
        <v>0</v>
      </c>
      <c r="BY281" s="60">
        <f t="shared" si="438"/>
        <v>0</v>
      </c>
      <c r="BZ281" s="60">
        <f t="shared" si="439"/>
        <v>0</v>
      </c>
      <c r="CA281" s="60">
        <f t="shared" si="440"/>
        <v>0</v>
      </c>
      <c r="CB281" s="60" t="e">
        <f t="shared" si="390"/>
        <v>#N/A</v>
      </c>
      <c r="CC281" s="60">
        <f t="shared" si="391"/>
        <v>100000</v>
      </c>
      <c r="CD281" s="60" t="e">
        <f t="shared" si="392"/>
        <v>#N/A</v>
      </c>
      <c r="CE281" s="60">
        <f t="shared" si="393"/>
        <v>100000</v>
      </c>
      <c r="CF281" s="83" t="e">
        <f t="shared" si="441"/>
        <v>#N/A</v>
      </c>
      <c r="CG281" s="83">
        <f t="shared" si="442"/>
        <v>0</v>
      </c>
      <c r="CH281" s="83" t="e">
        <f t="shared" si="443"/>
        <v>#N/A</v>
      </c>
      <c r="CI281" s="83">
        <f t="shared" si="444"/>
        <v>0</v>
      </c>
      <c r="CJ281" s="86" t="e">
        <f t="shared" si="394"/>
        <v>#N/A</v>
      </c>
      <c r="CK281" s="82">
        <f t="shared" si="395"/>
        <v>5.3070370403969858E-3</v>
      </c>
      <c r="CL281" s="82" t="e">
        <f t="shared" si="396"/>
        <v>#N/A</v>
      </c>
      <c r="CM281" s="82">
        <f t="shared" si="397"/>
        <v>5.3070370403969858E-3</v>
      </c>
      <c r="CO281" s="149" t="str">
        <f>IF($I281&lt;&gt;"",IF(O281="User Specified",U281,INDEX('Refrigerant GWPs'!$G$2:$G$156,MATCH(O281,'Refrigerant GWPs'!$A$2:$A$156,0))),"")</f>
        <v/>
      </c>
      <c r="CP281" s="138" t="str">
        <f>IF($I281&lt;&gt;"",INDEX('Device Refrigerant Leakage'!$E$2:$E$42,MATCH($M281,'Device Refrigerant Leakage'!$B$2:$B$42,0)),"")</f>
        <v/>
      </c>
      <c r="CQ281" s="138" t="str">
        <f>IF($I281&lt;&gt;"",INDEX('Device Refrigerant Leakage'!$F$2:$F$42,MATCH($M281,'Device Refrigerant Leakage'!$B$2:$B$42,0)),"")</f>
        <v/>
      </c>
      <c r="CR281" s="145" t="str">
        <f>IF($I281&lt;&gt;"",INDEX('Device Refrigerant Leakage'!$G$2:$G$42,MATCH($M281,'Device Refrigerant Leakage'!$B$2:$B$42,0)),"")</f>
        <v/>
      </c>
      <c r="CS281" s="145" t="str">
        <f>IF($I281&lt;&gt;"",INDEX('Device Refrigerant Leakage'!$D$2:$D$42,MATCH($M281,'Device Refrigerant Leakage'!$B$2:$B$42,0))*CP281/2204.62*CO281,"")</f>
        <v/>
      </c>
      <c r="CT281" s="145" t="str">
        <f>IF($I281&lt;&gt;"",J281*(INDEX('Device Refrigerant Leakage'!$D$2:$D$42,MATCH($M281,'Device Refrigerant Leakage'!$B$2:$B$42,0))-(INDEX('Device Refrigerant Leakage'!$D$2:$D$42,MATCH($M281,'Device Refrigerant Leakage'!$B$2:$B$42,0)))*CR281*CP281)*CQ281/2204.62*CO281,"")</f>
        <v/>
      </c>
      <c r="CU281" s="135" t="str">
        <f>IF($I281&lt;&gt;"",J281*IF(W281&lt;&gt;"AR",(CS281*K281)+CT281,(CS281*AB281)+CT281*(AB281/INDEX('Device Refrigerant Leakage'!$C$2:$C$42,MATCH($M281,'Device Refrigerant Leakage'!$B$2:$B$42,0)))),"")</f>
        <v/>
      </c>
      <c r="CW281" s="135" t="str">
        <f>IF($I281&lt;&gt;"",IF(S281="User Specified",V281,INDEX('Refrigerant GWPs'!$G$2:$G$156,MATCH(S281,'Refrigerant GWPs'!$A$2:$A$157,0))),"")</f>
        <v/>
      </c>
      <c r="CX281" s="138" t="str">
        <f>IF($I281&lt;&gt;"",INDEX('Device Refrigerant Leakage'!$E$2:$E$42,MATCH($Q281,'Device Refrigerant Leakage'!$B$2:$B$42,0)),"")</f>
        <v/>
      </c>
      <c r="CY281" s="138" t="str">
        <f>IF($I281&lt;&gt;"",INDEX('Device Refrigerant Leakage'!$F$2:$F$42,MATCH($Q281,'Device Refrigerant Leakage'!$B$2:$B$42,0)),"")</f>
        <v/>
      </c>
      <c r="CZ281" s="145" t="str">
        <f>IF($I281&lt;&gt;"",INDEX('Device Refrigerant Leakage'!$G$2:$G$42,MATCH($Q281,'Device Refrigerant Leakage'!$B$2:$B$42,0)),"")</f>
        <v/>
      </c>
      <c r="DA281" s="145" t="str">
        <f>IF($I281&lt;&gt;"",J281*INDEX('Device Refrigerant Leakage'!$D$2:$D$42,MATCH($Q281,'Device Refrigerant Leakage'!$B$2:$B$42,0))*CX281/2204.62*CW281,"")</f>
        <v/>
      </c>
      <c r="DB281" s="145" t="str">
        <f>IF($I281&lt;&gt;"",J281*(INDEX('Device Refrigerant Leakage'!$D$2:$D$42,MATCH($Q281,'Device Refrigerant Leakage'!$B$2:$B$42,0))-(INDEX('Device Refrigerant Leakage'!$D$2:$D$42,MATCH($Q281,'Device Refrigerant Leakage'!$B$2:$B$42,0)))*CZ281*CX281)*CY281/2204.62*CW281,"")</f>
        <v/>
      </c>
      <c r="DC281" s="135" t="str">
        <f t="shared" si="416"/>
        <v/>
      </c>
      <c r="DE281" s="146" t="str">
        <f>IF(W281&lt;&gt;"AR","",IF(Y281="User Specified", AA281, INDEX('Refrigerant GWPs'!$G$2:$G$154,MATCH(Y281,'Refrigerant GWPs'!$A$2:$A$154,0))))</f>
        <v/>
      </c>
      <c r="DF281" s="146" t="str">
        <f>IF(W281&lt;&gt;"AR","",INDEX('Device Refrigerant Leakage'!$E$2:$E$42,MATCH(X281,'Device Refrigerant Leakage'!$B$2:$B$42,0)))</f>
        <v/>
      </c>
      <c r="DG281" s="146" t="str">
        <f>IF(W281&lt;&gt;"AR","",INDEX('Device Refrigerant Leakage'!$F$2:$F$42,MATCH(X281,'Device Refrigerant Leakage'!$B$2:$B$42,0)))</f>
        <v/>
      </c>
      <c r="DH281" s="146" t="str">
        <f>IF(W281&lt;&gt;"AR","",INDEX('Device Refrigerant Leakage'!$G$2:$G$42,MATCH(X281,'Device Refrigerant Leakage'!$B$2:$B$42,0)))</f>
        <v/>
      </c>
      <c r="DI281" s="146" t="str">
        <f>IF(W281&lt;&gt;"AR","",J281*INDEX('Device Refrigerant Leakage'!$D$2:$D$42,MATCH(X281,'Device Refrigerant Leakage'!$B$2:$B$42,0))*DF281/2204.62*DE281)</f>
        <v/>
      </c>
      <c r="DJ281" s="146" t="str">
        <f>IF(W281&lt;&gt;"AR","",J281*(INDEX('Device Refrigerant Leakage'!$D$2:$D$42,MATCH(X281,'Device Refrigerant Leakage'!$B$2:$B$42,0))-(INDEX('Device Refrigerant Leakage'!$D$2:$D$42,MATCH(X281,'Device Refrigerant Leakage'!$B$2:$B$42,0)))*DH281*DF281)*DG281/2204.62*DE281)</f>
        <v/>
      </c>
      <c r="DK281" s="146" t="str">
        <f>IF(W281&lt;&gt;"AR","",DI281*(K281-AB281)+'Fuel Sub Calcs-Deemed'!DJ281*((K281-AB281)/INDEX('Device Refrigerant Leakage'!$C$2:$C$42,MATCH('Fuel Sub Calcs-Deemed'!X281,'Device Refrigerant Leakage'!$B$2:$B$42,0))))</f>
        <v/>
      </c>
      <c r="DM281" s="56">
        <v>267</v>
      </c>
      <c r="DN281" s="67" t="e">
        <f t="shared" si="398"/>
        <v>#N/A</v>
      </c>
      <c r="DO281" s="45" t="e">
        <f t="shared" si="399"/>
        <v>#N/A</v>
      </c>
      <c r="DP281" s="67" t="e">
        <f t="shared" si="400"/>
        <v>#N/A</v>
      </c>
      <c r="DQ281" s="45" t="e">
        <f t="shared" si="401"/>
        <v>#N/A</v>
      </c>
      <c r="DR281" s="69" t="e">
        <f t="shared" si="402"/>
        <v>#N/A</v>
      </c>
      <c r="DS281" s="34"/>
      <c r="DT281" s="67" t="e">
        <f>((BX281*CJ281)+IF($W281=MAT_AR,(BZ281*CL281),0))*(1+Reference!$E$50+Reference!$E$51)</f>
        <v>#N/A</v>
      </c>
      <c r="DU281" s="67">
        <f>((BY281*CK281)+IF($W281=MAT_AR,(CA281*CM281),0))*(1+Reference!$G$50+Reference!$G$51)</f>
        <v>0</v>
      </c>
      <c r="DV281" s="67" t="e">
        <f t="shared" si="403"/>
        <v>#VALUE!</v>
      </c>
      <c r="DX281" s="56">
        <v>267</v>
      </c>
      <c r="DY281" s="67">
        <f t="shared" si="404"/>
        <v>0</v>
      </c>
      <c r="DZ281" s="45" t="e">
        <f>VLOOKUP($R281,Dropdown!$C$3:$D$4,2,FALSE)</f>
        <v>#N/A</v>
      </c>
      <c r="EA281" s="68">
        <f t="shared" si="405"/>
        <v>0</v>
      </c>
      <c r="EB281" s="68" t="str">
        <f t="shared" si="406"/>
        <v>N/A</v>
      </c>
      <c r="EC281" s="68">
        <f t="shared" si="407"/>
        <v>0</v>
      </c>
      <c r="ED281" s="68" t="str">
        <f t="shared" si="445"/>
        <v>N/A</v>
      </c>
      <c r="EF281" s="56">
        <v>267</v>
      </c>
      <c r="EG281" s="46">
        <f t="shared" si="408"/>
        <v>0</v>
      </c>
      <c r="EH281" s="68" t="e">
        <f t="shared" si="409"/>
        <v>#N/A</v>
      </c>
      <c r="EI281" s="68" t="e">
        <f t="shared" si="410"/>
        <v>#N/A</v>
      </c>
      <c r="EJ281" s="68" t="e">
        <f t="shared" si="411"/>
        <v>#N/A</v>
      </c>
      <c r="EK281" s="68" t="e">
        <f t="shared" si="412"/>
        <v>#N/A</v>
      </c>
      <c r="EL281" s="46">
        <f t="shared" si="413"/>
        <v>0</v>
      </c>
      <c r="EM281" s="46">
        <f t="shared" si="414"/>
        <v>0</v>
      </c>
    </row>
    <row r="282" spans="1:143">
      <c r="A282" s="89"/>
      <c r="B282" s="89"/>
      <c r="C282" s="89"/>
      <c r="D282" s="89"/>
      <c r="E282" s="89"/>
      <c r="F282" s="89"/>
      <c r="G282" s="34"/>
      <c r="H282" s="56">
        <f t="shared" si="415"/>
        <v>268</v>
      </c>
      <c r="I282" s="165"/>
      <c r="J282" s="163"/>
      <c r="K282" s="163"/>
      <c r="L282" s="164"/>
      <c r="M282" s="155"/>
      <c r="N282" s="155"/>
      <c r="O282" s="144"/>
      <c r="P282" s="159" t="str">
        <f>IFERROR(IF(O282&lt;&gt;"User Specified",IF(O282&lt;&gt;"", INDEX('Refrigerant GWPs'!$G$2:$G$154,MATCH(O282,'Refrigerant GWPs'!$A$2:$A$154,0)),""),U282),0)</f>
        <v/>
      </c>
      <c r="Q282" s="155"/>
      <c r="R282" s="155"/>
      <c r="S282" s="144"/>
      <c r="T282" s="159" t="str">
        <f>IF(S282&lt;&gt;"User Specified",IF(AND(S282&lt;&gt;"User Specified",S282&lt;&gt;""), INDEX('Refrigerant GWPs'!$G$2:$G$154,MATCH(S282,'Refrigerant GWPs'!$A$2:$A$154,0)),""),V282)</f>
        <v/>
      </c>
      <c r="U282" s="144"/>
      <c r="V282" s="144"/>
      <c r="W282" s="155"/>
      <c r="X282" s="155"/>
      <c r="Y282" s="144"/>
      <c r="Z282" s="159" t="str">
        <f>IF(AND(Y282&lt;&gt;"User Specified",Y282&lt;&gt;""), INDEX('Refrigerant GWPs'!$G$2:$G$154,MATCH(Y282,'Refrigerant GWPs'!$A$2:$A$154,0)),"")</f>
        <v/>
      </c>
      <c r="AA282" s="155"/>
      <c r="AB282" s="156"/>
      <c r="AC282" s="66"/>
      <c r="AD282" s="66"/>
      <c r="AE282" s="66"/>
      <c r="AF282" s="66"/>
      <c r="AG282" s="66"/>
      <c r="AH282" s="66"/>
      <c r="AI282" s="34"/>
      <c r="AJ282" s="88">
        <f t="shared" si="378"/>
        <v>0</v>
      </c>
      <c r="AK282" s="88">
        <f t="shared" si="379"/>
        <v>0</v>
      </c>
      <c r="AL282" s="88">
        <v>0</v>
      </c>
      <c r="AM282" s="88">
        <v>0</v>
      </c>
      <c r="AN282" s="81" t="str">
        <f t="shared" si="417"/>
        <v/>
      </c>
      <c r="AO282" s="88">
        <f t="shared" si="380"/>
        <v>0</v>
      </c>
      <c r="AP282" s="88">
        <f t="shared" si="381"/>
        <v>0</v>
      </c>
      <c r="AQ282" s="81" t="str">
        <f t="shared" si="382"/>
        <v/>
      </c>
      <c r="AS282" s="41" t="b">
        <f t="shared" si="383"/>
        <v>1</v>
      </c>
      <c r="AT282" s="38">
        <f t="shared" si="384"/>
        <v>0</v>
      </c>
      <c r="AU282" s="60">
        <f t="shared" si="385"/>
        <v>0</v>
      </c>
      <c r="AV282" s="41">
        <f t="shared" si="386"/>
        <v>0</v>
      </c>
      <c r="AW282" s="41" t="b">
        <f t="shared" si="387"/>
        <v>0</v>
      </c>
      <c r="AX282" t="str">
        <f t="shared" si="388"/>
        <v>+00</v>
      </c>
      <c r="AY282" t="str">
        <f t="shared" si="389"/>
        <v>+00</v>
      </c>
      <c r="BA282" s="47" t="b">
        <f t="shared" si="418"/>
        <v>1</v>
      </c>
      <c r="BB282" s="42" t="b">
        <f t="shared" si="419"/>
        <v>1</v>
      </c>
      <c r="BC282" s="42" t="b">
        <f t="shared" si="420"/>
        <v>0</v>
      </c>
      <c r="BD282" s="42" t="b">
        <f t="shared" si="421"/>
        <v>0</v>
      </c>
      <c r="BE282" s="70">
        <f t="shared" si="422"/>
        <v>0</v>
      </c>
      <c r="BF282" s="70">
        <f t="shared" si="423"/>
        <v>0</v>
      </c>
      <c r="BG282" s="34"/>
      <c r="BI282" s="47" t="b">
        <f t="shared" si="424"/>
        <v>1</v>
      </c>
      <c r="BJ282" s="47" t="b">
        <f t="shared" si="425"/>
        <v>1</v>
      </c>
      <c r="BK282" s="42" t="b">
        <f t="shared" si="426"/>
        <v>0</v>
      </c>
      <c r="BL282" s="42" t="b">
        <f t="shared" si="427"/>
        <v>0</v>
      </c>
      <c r="BM282" s="42">
        <f t="shared" si="428"/>
        <v>0</v>
      </c>
      <c r="BN282" s="42">
        <f t="shared" si="429"/>
        <v>0</v>
      </c>
      <c r="BP282" t="e">
        <f t="shared" si="430"/>
        <v>#N/A</v>
      </c>
      <c r="BQ282" t="e">
        <f t="shared" si="431"/>
        <v>#N/A</v>
      </c>
      <c r="BR282" t="e">
        <f t="shared" si="432"/>
        <v>#N/A</v>
      </c>
      <c r="BT282" s="60">
        <f t="shared" si="433"/>
        <v>0</v>
      </c>
      <c r="BU282" s="60">
        <f t="shared" si="434"/>
        <v>0</v>
      </c>
      <c r="BV282" s="60">
        <f t="shared" si="435"/>
        <v>0</v>
      </c>
      <c r="BW282" s="60">
        <f t="shared" si="436"/>
        <v>0</v>
      </c>
      <c r="BX282" s="60">
        <f t="shared" si="437"/>
        <v>0</v>
      </c>
      <c r="BY282" s="60">
        <f t="shared" si="438"/>
        <v>0</v>
      </c>
      <c r="BZ282" s="60">
        <f t="shared" si="439"/>
        <v>0</v>
      </c>
      <c r="CA282" s="60">
        <f t="shared" si="440"/>
        <v>0</v>
      </c>
      <c r="CB282" s="60" t="e">
        <f t="shared" si="390"/>
        <v>#N/A</v>
      </c>
      <c r="CC282" s="60">
        <f t="shared" si="391"/>
        <v>100000</v>
      </c>
      <c r="CD282" s="60" t="e">
        <f t="shared" si="392"/>
        <v>#N/A</v>
      </c>
      <c r="CE282" s="60">
        <f t="shared" si="393"/>
        <v>100000</v>
      </c>
      <c r="CF282" s="83" t="e">
        <f t="shared" si="441"/>
        <v>#N/A</v>
      </c>
      <c r="CG282" s="83">
        <f t="shared" si="442"/>
        <v>0</v>
      </c>
      <c r="CH282" s="83" t="e">
        <f t="shared" si="443"/>
        <v>#N/A</v>
      </c>
      <c r="CI282" s="83">
        <f t="shared" si="444"/>
        <v>0</v>
      </c>
      <c r="CJ282" s="86" t="e">
        <f t="shared" si="394"/>
        <v>#N/A</v>
      </c>
      <c r="CK282" s="82">
        <f t="shared" si="395"/>
        <v>5.3070370403969858E-3</v>
      </c>
      <c r="CL282" s="82" t="e">
        <f t="shared" si="396"/>
        <v>#N/A</v>
      </c>
      <c r="CM282" s="82">
        <f t="shared" si="397"/>
        <v>5.3070370403969858E-3</v>
      </c>
      <c r="CO282" s="149" t="str">
        <f>IF($I282&lt;&gt;"",IF(O282="User Specified",U282,INDEX('Refrigerant GWPs'!$G$2:$G$156,MATCH(O282,'Refrigerant GWPs'!$A$2:$A$156,0))),"")</f>
        <v/>
      </c>
      <c r="CP282" s="138" t="str">
        <f>IF($I282&lt;&gt;"",INDEX('Device Refrigerant Leakage'!$E$2:$E$42,MATCH($M282,'Device Refrigerant Leakage'!$B$2:$B$42,0)),"")</f>
        <v/>
      </c>
      <c r="CQ282" s="138" t="str">
        <f>IF($I282&lt;&gt;"",INDEX('Device Refrigerant Leakage'!$F$2:$F$42,MATCH($M282,'Device Refrigerant Leakage'!$B$2:$B$42,0)),"")</f>
        <v/>
      </c>
      <c r="CR282" s="145" t="str">
        <f>IF($I282&lt;&gt;"",INDEX('Device Refrigerant Leakage'!$G$2:$G$42,MATCH($M282,'Device Refrigerant Leakage'!$B$2:$B$42,0)),"")</f>
        <v/>
      </c>
      <c r="CS282" s="145" t="str">
        <f>IF($I282&lt;&gt;"",INDEX('Device Refrigerant Leakage'!$D$2:$D$42,MATCH($M282,'Device Refrigerant Leakage'!$B$2:$B$42,0))*CP282/2204.62*CO282,"")</f>
        <v/>
      </c>
      <c r="CT282" s="145" t="str">
        <f>IF($I282&lt;&gt;"",J282*(INDEX('Device Refrigerant Leakage'!$D$2:$D$42,MATCH($M282,'Device Refrigerant Leakage'!$B$2:$B$42,0))-(INDEX('Device Refrigerant Leakage'!$D$2:$D$42,MATCH($M282,'Device Refrigerant Leakage'!$B$2:$B$42,0)))*CR282*CP282)*CQ282/2204.62*CO282,"")</f>
        <v/>
      </c>
      <c r="CU282" s="135" t="str">
        <f>IF($I282&lt;&gt;"",J282*IF(W282&lt;&gt;"AR",(CS282*K282)+CT282,(CS282*AB282)+CT282*(AB282/INDEX('Device Refrigerant Leakage'!$C$2:$C$42,MATCH($M282,'Device Refrigerant Leakage'!$B$2:$B$42,0)))),"")</f>
        <v/>
      </c>
      <c r="CW282" s="135" t="str">
        <f>IF($I282&lt;&gt;"",IF(S282="User Specified",V282,INDEX('Refrigerant GWPs'!$G$2:$G$156,MATCH(S282,'Refrigerant GWPs'!$A$2:$A$157,0))),"")</f>
        <v/>
      </c>
      <c r="CX282" s="138" t="str">
        <f>IF($I282&lt;&gt;"",INDEX('Device Refrigerant Leakage'!$E$2:$E$42,MATCH($Q282,'Device Refrigerant Leakage'!$B$2:$B$42,0)),"")</f>
        <v/>
      </c>
      <c r="CY282" s="138" t="str">
        <f>IF($I282&lt;&gt;"",INDEX('Device Refrigerant Leakage'!$F$2:$F$42,MATCH($Q282,'Device Refrigerant Leakage'!$B$2:$B$42,0)),"")</f>
        <v/>
      </c>
      <c r="CZ282" s="145" t="str">
        <f>IF($I282&lt;&gt;"",INDEX('Device Refrigerant Leakage'!$G$2:$G$42,MATCH($Q282,'Device Refrigerant Leakage'!$B$2:$B$42,0)),"")</f>
        <v/>
      </c>
      <c r="DA282" s="145" t="str">
        <f>IF($I282&lt;&gt;"",J282*INDEX('Device Refrigerant Leakage'!$D$2:$D$42,MATCH($Q282,'Device Refrigerant Leakage'!$B$2:$B$42,0))*CX282/2204.62*CW282,"")</f>
        <v/>
      </c>
      <c r="DB282" s="145" t="str">
        <f>IF($I282&lt;&gt;"",J282*(INDEX('Device Refrigerant Leakage'!$D$2:$D$42,MATCH($Q282,'Device Refrigerant Leakage'!$B$2:$B$42,0))-(INDEX('Device Refrigerant Leakage'!$D$2:$D$42,MATCH($Q282,'Device Refrigerant Leakage'!$B$2:$B$42,0)))*CZ282*CX282)*CY282/2204.62*CW282,"")</f>
        <v/>
      </c>
      <c r="DC282" s="135" t="str">
        <f t="shared" si="416"/>
        <v/>
      </c>
      <c r="DE282" s="146" t="str">
        <f>IF(W282&lt;&gt;"AR","",IF(Y282="User Specified", AA282, INDEX('Refrigerant GWPs'!$G$2:$G$154,MATCH(Y282,'Refrigerant GWPs'!$A$2:$A$154,0))))</f>
        <v/>
      </c>
      <c r="DF282" s="146" t="str">
        <f>IF(W282&lt;&gt;"AR","",INDEX('Device Refrigerant Leakage'!$E$2:$E$42,MATCH(X282,'Device Refrigerant Leakage'!$B$2:$B$42,0)))</f>
        <v/>
      </c>
      <c r="DG282" s="146" t="str">
        <f>IF(W282&lt;&gt;"AR","",INDEX('Device Refrigerant Leakage'!$F$2:$F$42,MATCH(X282,'Device Refrigerant Leakage'!$B$2:$B$42,0)))</f>
        <v/>
      </c>
      <c r="DH282" s="146" t="str">
        <f>IF(W282&lt;&gt;"AR","",INDEX('Device Refrigerant Leakage'!$G$2:$G$42,MATCH(X282,'Device Refrigerant Leakage'!$B$2:$B$42,0)))</f>
        <v/>
      </c>
      <c r="DI282" s="146" t="str">
        <f>IF(W282&lt;&gt;"AR","",J282*INDEX('Device Refrigerant Leakage'!$D$2:$D$42,MATCH(X282,'Device Refrigerant Leakage'!$B$2:$B$42,0))*DF282/2204.62*DE282)</f>
        <v/>
      </c>
      <c r="DJ282" s="146" t="str">
        <f>IF(W282&lt;&gt;"AR","",J282*(INDEX('Device Refrigerant Leakage'!$D$2:$D$42,MATCH(X282,'Device Refrigerant Leakage'!$B$2:$B$42,0))-(INDEX('Device Refrigerant Leakage'!$D$2:$D$42,MATCH(X282,'Device Refrigerant Leakage'!$B$2:$B$42,0)))*DH282*DF282)*DG282/2204.62*DE282)</f>
        <v/>
      </c>
      <c r="DK282" s="146" t="str">
        <f>IF(W282&lt;&gt;"AR","",DI282*(K282-AB282)+'Fuel Sub Calcs-Deemed'!DJ282*((K282-AB282)/INDEX('Device Refrigerant Leakage'!$C$2:$C$42,MATCH('Fuel Sub Calcs-Deemed'!X282,'Device Refrigerant Leakage'!$B$2:$B$42,0))))</f>
        <v/>
      </c>
      <c r="DM282" s="56">
        <v>268</v>
      </c>
      <c r="DN282" s="67" t="e">
        <f t="shared" si="398"/>
        <v>#N/A</v>
      </c>
      <c r="DO282" s="45" t="e">
        <f t="shared" si="399"/>
        <v>#N/A</v>
      </c>
      <c r="DP282" s="67" t="e">
        <f t="shared" si="400"/>
        <v>#N/A</v>
      </c>
      <c r="DQ282" s="45" t="e">
        <f t="shared" si="401"/>
        <v>#N/A</v>
      </c>
      <c r="DR282" s="69" t="e">
        <f t="shared" si="402"/>
        <v>#N/A</v>
      </c>
      <c r="DS282" s="34"/>
      <c r="DT282" s="67" t="e">
        <f>((BX282*CJ282)+IF($W282=MAT_AR,(BZ282*CL282),0))*(1+Reference!$E$50+Reference!$E$51)</f>
        <v>#N/A</v>
      </c>
      <c r="DU282" s="67">
        <f>((BY282*CK282)+IF($W282=MAT_AR,(CA282*CM282),0))*(1+Reference!$G$50+Reference!$G$51)</f>
        <v>0</v>
      </c>
      <c r="DV282" s="67" t="e">
        <f t="shared" si="403"/>
        <v>#VALUE!</v>
      </c>
      <c r="DX282" s="56">
        <v>268</v>
      </c>
      <c r="DY282" s="67">
        <f t="shared" si="404"/>
        <v>0</v>
      </c>
      <c r="DZ282" s="45" t="e">
        <f>VLOOKUP($R282,Dropdown!$C$3:$D$4,2,FALSE)</f>
        <v>#N/A</v>
      </c>
      <c r="EA282" s="68">
        <f t="shared" si="405"/>
        <v>0</v>
      </c>
      <c r="EB282" s="68" t="str">
        <f t="shared" si="406"/>
        <v>N/A</v>
      </c>
      <c r="EC282" s="68">
        <f t="shared" si="407"/>
        <v>0</v>
      </c>
      <c r="ED282" s="68" t="str">
        <f t="shared" si="445"/>
        <v>N/A</v>
      </c>
      <c r="EF282" s="56">
        <v>268</v>
      </c>
      <c r="EG282" s="46">
        <f t="shared" si="408"/>
        <v>0</v>
      </c>
      <c r="EH282" s="68" t="e">
        <f t="shared" si="409"/>
        <v>#N/A</v>
      </c>
      <c r="EI282" s="68" t="e">
        <f t="shared" si="410"/>
        <v>#N/A</v>
      </c>
      <c r="EJ282" s="68" t="e">
        <f t="shared" si="411"/>
        <v>#N/A</v>
      </c>
      <c r="EK282" s="68" t="e">
        <f t="shared" si="412"/>
        <v>#N/A</v>
      </c>
      <c r="EL282" s="46">
        <f t="shared" si="413"/>
        <v>0</v>
      </c>
      <c r="EM282" s="46">
        <f t="shared" si="414"/>
        <v>0</v>
      </c>
    </row>
    <row r="283" spans="1:143">
      <c r="A283" s="89"/>
      <c r="B283" s="89"/>
      <c r="C283" s="89"/>
      <c r="D283" s="89"/>
      <c r="E283" s="89"/>
      <c r="F283" s="89"/>
      <c r="G283" s="34"/>
      <c r="H283" s="56">
        <f t="shared" si="415"/>
        <v>269</v>
      </c>
      <c r="I283" s="165"/>
      <c r="J283" s="163"/>
      <c r="K283" s="163"/>
      <c r="L283" s="164"/>
      <c r="M283" s="155"/>
      <c r="N283" s="155"/>
      <c r="O283" s="144"/>
      <c r="P283" s="159" t="str">
        <f>IFERROR(IF(O283&lt;&gt;"User Specified",IF(O283&lt;&gt;"", INDEX('Refrigerant GWPs'!$G$2:$G$154,MATCH(O283,'Refrigerant GWPs'!$A$2:$A$154,0)),""),U283),0)</f>
        <v/>
      </c>
      <c r="Q283" s="155"/>
      <c r="R283" s="155"/>
      <c r="S283" s="144"/>
      <c r="T283" s="159" t="str">
        <f>IF(S283&lt;&gt;"User Specified",IF(AND(S283&lt;&gt;"User Specified",S283&lt;&gt;""), INDEX('Refrigerant GWPs'!$G$2:$G$154,MATCH(S283,'Refrigerant GWPs'!$A$2:$A$154,0)),""),V283)</f>
        <v/>
      </c>
      <c r="U283" s="144"/>
      <c r="V283" s="144"/>
      <c r="W283" s="155"/>
      <c r="X283" s="155"/>
      <c r="Y283" s="144"/>
      <c r="Z283" s="159" t="str">
        <f>IF(AND(Y283&lt;&gt;"User Specified",Y283&lt;&gt;""), INDEX('Refrigerant GWPs'!$G$2:$G$154,MATCH(Y283,'Refrigerant GWPs'!$A$2:$A$154,0)),"")</f>
        <v/>
      </c>
      <c r="AA283" s="155"/>
      <c r="AB283" s="156"/>
      <c r="AC283" s="66"/>
      <c r="AD283" s="66"/>
      <c r="AE283" s="66"/>
      <c r="AF283" s="66"/>
      <c r="AG283" s="66"/>
      <c r="AH283" s="66"/>
      <c r="AI283" s="34"/>
      <c r="AJ283" s="88">
        <f t="shared" si="378"/>
        <v>0</v>
      </c>
      <c r="AK283" s="88">
        <f t="shared" si="379"/>
        <v>0</v>
      </c>
      <c r="AL283" s="88">
        <v>0</v>
      </c>
      <c r="AM283" s="88">
        <v>0</v>
      </c>
      <c r="AN283" s="81" t="str">
        <f t="shared" si="417"/>
        <v/>
      </c>
      <c r="AO283" s="88">
        <f t="shared" si="380"/>
        <v>0</v>
      </c>
      <c r="AP283" s="88">
        <f t="shared" si="381"/>
        <v>0</v>
      </c>
      <c r="AQ283" s="81" t="str">
        <f t="shared" si="382"/>
        <v/>
      </c>
      <c r="AS283" s="41" t="b">
        <f t="shared" si="383"/>
        <v>1</v>
      </c>
      <c r="AT283" s="38">
        <f t="shared" si="384"/>
        <v>0</v>
      </c>
      <c r="AU283" s="60">
        <f t="shared" si="385"/>
        <v>0</v>
      </c>
      <c r="AV283" s="41">
        <f t="shared" si="386"/>
        <v>0</v>
      </c>
      <c r="AW283" s="41" t="b">
        <f t="shared" si="387"/>
        <v>0</v>
      </c>
      <c r="AX283" t="str">
        <f t="shared" si="388"/>
        <v>+00</v>
      </c>
      <c r="AY283" t="str">
        <f t="shared" si="389"/>
        <v>+00</v>
      </c>
      <c r="BA283" s="47" t="b">
        <f t="shared" si="418"/>
        <v>1</v>
      </c>
      <c r="BB283" s="42" t="b">
        <f t="shared" si="419"/>
        <v>1</v>
      </c>
      <c r="BC283" s="42" t="b">
        <f t="shared" si="420"/>
        <v>0</v>
      </c>
      <c r="BD283" s="42" t="b">
        <f t="shared" si="421"/>
        <v>0</v>
      </c>
      <c r="BE283" s="70">
        <f t="shared" si="422"/>
        <v>0</v>
      </c>
      <c r="BF283" s="70">
        <f t="shared" si="423"/>
        <v>0</v>
      </c>
      <c r="BG283" s="34"/>
      <c r="BI283" s="47" t="b">
        <f t="shared" si="424"/>
        <v>1</v>
      </c>
      <c r="BJ283" s="47" t="b">
        <f t="shared" si="425"/>
        <v>1</v>
      </c>
      <c r="BK283" s="42" t="b">
        <f t="shared" si="426"/>
        <v>0</v>
      </c>
      <c r="BL283" s="42" t="b">
        <f t="shared" si="427"/>
        <v>0</v>
      </c>
      <c r="BM283" s="42">
        <f t="shared" si="428"/>
        <v>0</v>
      </c>
      <c r="BN283" s="42">
        <f t="shared" si="429"/>
        <v>0</v>
      </c>
      <c r="BP283" t="e">
        <f t="shared" si="430"/>
        <v>#N/A</v>
      </c>
      <c r="BQ283" t="e">
        <f t="shared" si="431"/>
        <v>#N/A</v>
      </c>
      <c r="BR283" t="e">
        <f t="shared" si="432"/>
        <v>#N/A</v>
      </c>
      <c r="BT283" s="60">
        <f t="shared" si="433"/>
        <v>0</v>
      </c>
      <c r="BU283" s="60">
        <f t="shared" si="434"/>
        <v>0</v>
      </c>
      <c r="BV283" s="60">
        <f t="shared" si="435"/>
        <v>0</v>
      </c>
      <c r="BW283" s="60">
        <f t="shared" si="436"/>
        <v>0</v>
      </c>
      <c r="BX283" s="60">
        <f t="shared" si="437"/>
        <v>0</v>
      </c>
      <c r="BY283" s="60">
        <f t="shared" si="438"/>
        <v>0</v>
      </c>
      <c r="BZ283" s="60">
        <f t="shared" si="439"/>
        <v>0</v>
      </c>
      <c r="CA283" s="60">
        <f t="shared" si="440"/>
        <v>0</v>
      </c>
      <c r="CB283" s="60" t="e">
        <f t="shared" si="390"/>
        <v>#N/A</v>
      </c>
      <c r="CC283" s="60">
        <f t="shared" si="391"/>
        <v>100000</v>
      </c>
      <c r="CD283" s="60" t="e">
        <f t="shared" si="392"/>
        <v>#N/A</v>
      </c>
      <c r="CE283" s="60">
        <f t="shared" si="393"/>
        <v>100000</v>
      </c>
      <c r="CF283" s="83" t="e">
        <f t="shared" si="441"/>
        <v>#N/A</v>
      </c>
      <c r="CG283" s="83">
        <f t="shared" si="442"/>
        <v>0</v>
      </c>
      <c r="CH283" s="83" t="e">
        <f t="shared" si="443"/>
        <v>#N/A</v>
      </c>
      <c r="CI283" s="83">
        <f t="shared" si="444"/>
        <v>0</v>
      </c>
      <c r="CJ283" s="86" t="e">
        <f t="shared" si="394"/>
        <v>#N/A</v>
      </c>
      <c r="CK283" s="82">
        <f t="shared" si="395"/>
        <v>5.3070370403969858E-3</v>
      </c>
      <c r="CL283" s="82" t="e">
        <f t="shared" si="396"/>
        <v>#N/A</v>
      </c>
      <c r="CM283" s="82">
        <f t="shared" si="397"/>
        <v>5.3070370403969858E-3</v>
      </c>
      <c r="CO283" s="149" t="str">
        <f>IF($I283&lt;&gt;"",IF(O283="User Specified",U283,INDEX('Refrigerant GWPs'!$G$2:$G$156,MATCH(O283,'Refrigerant GWPs'!$A$2:$A$156,0))),"")</f>
        <v/>
      </c>
      <c r="CP283" s="138" t="str">
        <f>IF($I283&lt;&gt;"",INDEX('Device Refrigerant Leakage'!$E$2:$E$42,MATCH($M283,'Device Refrigerant Leakage'!$B$2:$B$42,0)),"")</f>
        <v/>
      </c>
      <c r="CQ283" s="138" t="str">
        <f>IF($I283&lt;&gt;"",INDEX('Device Refrigerant Leakage'!$F$2:$F$42,MATCH($M283,'Device Refrigerant Leakage'!$B$2:$B$42,0)),"")</f>
        <v/>
      </c>
      <c r="CR283" s="145" t="str">
        <f>IF($I283&lt;&gt;"",INDEX('Device Refrigerant Leakage'!$G$2:$G$42,MATCH($M283,'Device Refrigerant Leakage'!$B$2:$B$42,0)),"")</f>
        <v/>
      </c>
      <c r="CS283" s="145" t="str">
        <f>IF($I283&lt;&gt;"",INDEX('Device Refrigerant Leakage'!$D$2:$D$42,MATCH($M283,'Device Refrigerant Leakage'!$B$2:$B$42,0))*CP283/2204.62*CO283,"")</f>
        <v/>
      </c>
      <c r="CT283" s="145" t="str">
        <f>IF($I283&lt;&gt;"",J283*(INDEX('Device Refrigerant Leakage'!$D$2:$D$42,MATCH($M283,'Device Refrigerant Leakage'!$B$2:$B$42,0))-(INDEX('Device Refrigerant Leakage'!$D$2:$D$42,MATCH($M283,'Device Refrigerant Leakage'!$B$2:$B$42,0)))*CR283*CP283)*CQ283/2204.62*CO283,"")</f>
        <v/>
      </c>
      <c r="CU283" s="135" t="str">
        <f>IF($I283&lt;&gt;"",J283*IF(W283&lt;&gt;"AR",(CS283*K283)+CT283,(CS283*AB283)+CT283*(AB283/INDEX('Device Refrigerant Leakage'!$C$2:$C$42,MATCH($M283,'Device Refrigerant Leakage'!$B$2:$B$42,0)))),"")</f>
        <v/>
      </c>
      <c r="CW283" s="135" t="str">
        <f>IF($I283&lt;&gt;"",IF(S283="User Specified",V283,INDEX('Refrigerant GWPs'!$G$2:$G$156,MATCH(S283,'Refrigerant GWPs'!$A$2:$A$157,0))),"")</f>
        <v/>
      </c>
      <c r="CX283" s="138" t="str">
        <f>IF($I283&lt;&gt;"",INDEX('Device Refrigerant Leakage'!$E$2:$E$42,MATCH($Q283,'Device Refrigerant Leakage'!$B$2:$B$42,0)),"")</f>
        <v/>
      </c>
      <c r="CY283" s="138" t="str">
        <f>IF($I283&lt;&gt;"",INDEX('Device Refrigerant Leakage'!$F$2:$F$42,MATCH($Q283,'Device Refrigerant Leakage'!$B$2:$B$42,0)),"")</f>
        <v/>
      </c>
      <c r="CZ283" s="145" t="str">
        <f>IF($I283&lt;&gt;"",INDEX('Device Refrigerant Leakage'!$G$2:$G$42,MATCH($Q283,'Device Refrigerant Leakage'!$B$2:$B$42,0)),"")</f>
        <v/>
      </c>
      <c r="DA283" s="145" t="str">
        <f>IF($I283&lt;&gt;"",J283*INDEX('Device Refrigerant Leakage'!$D$2:$D$42,MATCH($Q283,'Device Refrigerant Leakage'!$B$2:$B$42,0))*CX283/2204.62*CW283,"")</f>
        <v/>
      </c>
      <c r="DB283" s="145" t="str">
        <f>IF($I283&lt;&gt;"",J283*(INDEX('Device Refrigerant Leakage'!$D$2:$D$42,MATCH($Q283,'Device Refrigerant Leakage'!$B$2:$B$42,0))-(INDEX('Device Refrigerant Leakage'!$D$2:$D$42,MATCH($Q283,'Device Refrigerant Leakage'!$B$2:$B$42,0)))*CZ283*CX283)*CY283/2204.62*CW283,"")</f>
        <v/>
      </c>
      <c r="DC283" s="135" t="str">
        <f t="shared" si="416"/>
        <v/>
      </c>
      <c r="DE283" s="146" t="str">
        <f>IF(W283&lt;&gt;"AR","",IF(Y283="User Specified", AA283, INDEX('Refrigerant GWPs'!$G$2:$G$154,MATCH(Y283,'Refrigerant GWPs'!$A$2:$A$154,0))))</f>
        <v/>
      </c>
      <c r="DF283" s="146" t="str">
        <f>IF(W283&lt;&gt;"AR","",INDEX('Device Refrigerant Leakage'!$E$2:$E$42,MATCH(X283,'Device Refrigerant Leakage'!$B$2:$B$42,0)))</f>
        <v/>
      </c>
      <c r="DG283" s="146" t="str">
        <f>IF(W283&lt;&gt;"AR","",INDEX('Device Refrigerant Leakage'!$F$2:$F$42,MATCH(X283,'Device Refrigerant Leakage'!$B$2:$B$42,0)))</f>
        <v/>
      </c>
      <c r="DH283" s="146" t="str">
        <f>IF(W283&lt;&gt;"AR","",INDEX('Device Refrigerant Leakage'!$G$2:$G$42,MATCH(X283,'Device Refrigerant Leakage'!$B$2:$B$42,0)))</f>
        <v/>
      </c>
      <c r="DI283" s="146" t="str">
        <f>IF(W283&lt;&gt;"AR","",J283*INDEX('Device Refrigerant Leakage'!$D$2:$D$42,MATCH(X283,'Device Refrigerant Leakage'!$B$2:$B$42,0))*DF283/2204.62*DE283)</f>
        <v/>
      </c>
      <c r="DJ283" s="146" t="str">
        <f>IF(W283&lt;&gt;"AR","",J283*(INDEX('Device Refrigerant Leakage'!$D$2:$D$42,MATCH(X283,'Device Refrigerant Leakage'!$B$2:$B$42,0))-(INDEX('Device Refrigerant Leakage'!$D$2:$D$42,MATCH(X283,'Device Refrigerant Leakage'!$B$2:$B$42,0)))*DH283*DF283)*DG283/2204.62*DE283)</f>
        <v/>
      </c>
      <c r="DK283" s="146" t="str">
        <f>IF(W283&lt;&gt;"AR","",DI283*(K283-AB283)+'Fuel Sub Calcs-Deemed'!DJ283*((K283-AB283)/INDEX('Device Refrigerant Leakage'!$C$2:$C$42,MATCH('Fuel Sub Calcs-Deemed'!X283,'Device Refrigerant Leakage'!$B$2:$B$42,0))))</f>
        <v/>
      </c>
      <c r="DM283" s="56">
        <v>269</v>
      </c>
      <c r="DN283" s="67" t="e">
        <f t="shared" si="398"/>
        <v>#N/A</v>
      </c>
      <c r="DO283" s="45" t="e">
        <f t="shared" si="399"/>
        <v>#N/A</v>
      </c>
      <c r="DP283" s="67" t="e">
        <f t="shared" si="400"/>
        <v>#N/A</v>
      </c>
      <c r="DQ283" s="45" t="e">
        <f t="shared" si="401"/>
        <v>#N/A</v>
      </c>
      <c r="DR283" s="69" t="e">
        <f t="shared" si="402"/>
        <v>#N/A</v>
      </c>
      <c r="DS283" s="34"/>
      <c r="DT283" s="67" t="e">
        <f>((BX283*CJ283)+IF($W283=MAT_AR,(BZ283*CL283),0))*(1+Reference!$E$50+Reference!$E$51)</f>
        <v>#N/A</v>
      </c>
      <c r="DU283" s="67">
        <f>((BY283*CK283)+IF($W283=MAT_AR,(CA283*CM283),0))*(1+Reference!$G$50+Reference!$G$51)</f>
        <v>0</v>
      </c>
      <c r="DV283" s="67" t="e">
        <f t="shared" si="403"/>
        <v>#VALUE!</v>
      </c>
      <c r="DX283" s="56">
        <v>269</v>
      </c>
      <c r="DY283" s="67">
        <f t="shared" si="404"/>
        <v>0</v>
      </c>
      <c r="DZ283" s="45" t="e">
        <f>VLOOKUP($R283,Dropdown!$C$3:$D$4,2,FALSE)</f>
        <v>#N/A</v>
      </c>
      <c r="EA283" s="68">
        <f t="shared" si="405"/>
        <v>0</v>
      </c>
      <c r="EB283" s="68" t="str">
        <f t="shared" si="406"/>
        <v>N/A</v>
      </c>
      <c r="EC283" s="68">
        <f t="shared" si="407"/>
        <v>0</v>
      </c>
      <c r="ED283" s="68" t="str">
        <f t="shared" si="445"/>
        <v>N/A</v>
      </c>
      <c r="EF283" s="56">
        <v>269</v>
      </c>
      <c r="EG283" s="46">
        <f t="shared" si="408"/>
        <v>0</v>
      </c>
      <c r="EH283" s="68" t="e">
        <f t="shared" si="409"/>
        <v>#N/A</v>
      </c>
      <c r="EI283" s="68" t="e">
        <f t="shared" si="410"/>
        <v>#N/A</v>
      </c>
      <c r="EJ283" s="68" t="e">
        <f t="shared" si="411"/>
        <v>#N/A</v>
      </c>
      <c r="EK283" s="68" t="e">
        <f t="shared" si="412"/>
        <v>#N/A</v>
      </c>
      <c r="EL283" s="46">
        <f t="shared" si="413"/>
        <v>0</v>
      </c>
      <c r="EM283" s="46">
        <f t="shared" si="414"/>
        <v>0</v>
      </c>
    </row>
    <row r="284" spans="1:143">
      <c r="A284" s="89"/>
      <c r="B284" s="89"/>
      <c r="C284" s="89"/>
      <c r="D284" s="89"/>
      <c r="E284" s="89"/>
      <c r="F284" s="89"/>
      <c r="G284" s="34"/>
      <c r="H284" s="56">
        <f t="shared" si="415"/>
        <v>270</v>
      </c>
      <c r="I284" s="165"/>
      <c r="J284" s="163"/>
      <c r="K284" s="163"/>
      <c r="L284" s="164"/>
      <c r="M284" s="155"/>
      <c r="N284" s="155"/>
      <c r="O284" s="144"/>
      <c r="P284" s="159" t="str">
        <f>IFERROR(IF(O284&lt;&gt;"User Specified",IF(O284&lt;&gt;"", INDEX('Refrigerant GWPs'!$G$2:$G$154,MATCH(O284,'Refrigerant GWPs'!$A$2:$A$154,0)),""),U284),0)</f>
        <v/>
      </c>
      <c r="Q284" s="155"/>
      <c r="R284" s="155"/>
      <c r="S284" s="144"/>
      <c r="T284" s="159" t="str">
        <f>IF(S284&lt;&gt;"User Specified",IF(AND(S284&lt;&gt;"User Specified",S284&lt;&gt;""), INDEX('Refrigerant GWPs'!$G$2:$G$154,MATCH(S284,'Refrigerant GWPs'!$A$2:$A$154,0)),""),V284)</f>
        <v/>
      </c>
      <c r="U284" s="144"/>
      <c r="V284" s="144"/>
      <c r="W284" s="155"/>
      <c r="X284" s="155"/>
      <c r="Y284" s="144"/>
      <c r="Z284" s="159" t="str">
        <f>IF(AND(Y284&lt;&gt;"User Specified",Y284&lt;&gt;""), INDEX('Refrigerant GWPs'!$G$2:$G$154,MATCH(Y284,'Refrigerant GWPs'!$A$2:$A$154,0)),"")</f>
        <v/>
      </c>
      <c r="AA284" s="155"/>
      <c r="AB284" s="156"/>
      <c r="AC284" s="66"/>
      <c r="AD284" s="66"/>
      <c r="AE284" s="66"/>
      <c r="AF284" s="66"/>
      <c r="AG284" s="66"/>
      <c r="AH284" s="66"/>
      <c r="AI284" s="34"/>
      <c r="AJ284" s="88">
        <f t="shared" si="378"/>
        <v>0</v>
      </c>
      <c r="AK284" s="88">
        <f t="shared" si="379"/>
        <v>0</v>
      </c>
      <c r="AL284" s="88">
        <v>0</v>
      </c>
      <c r="AM284" s="88">
        <v>0</v>
      </c>
      <c r="AN284" s="81" t="str">
        <f t="shared" si="417"/>
        <v/>
      </c>
      <c r="AO284" s="88">
        <f t="shared" si="380"/>
        <v>0</v>
      </c>
      <c r="AP284" s="88">
        <f t="shared" si="381"/>
        <v>0</v>
      </c>
      <c r="AQ284" s="81" t="str">
        <f t="shared" si="382"/>
        <v/>
      </c>
      <c r="AS284" s="41" t="b">
        <f t="shared" si="383"/>
        <v>1</v>
      </c>
      <c r="AT284" s="38">
        <f t="shared" si="384"/>
        <v>0</v>
      </c>
      <c r="AU284" s="60">
        <f t="shared" si="385"/>
        <v>0</v>
      </c>
      <c r="AV284" s="41">
        <f t="shared" si="386"/>
        <v>0</v>
      </c>
      <c r="AW284" s="41" t="b">
        <f t="shared" si="387"/>
        <v>0</v>
      </c>
      <c r="AX284" t="str">
        <f t="shared" si="388"/>
        <v>+00</v>
      </c>
      <c r="AY284" t="str">
        <f t="shared" si="389"/>
        <v>+00</v>
      </c>
      <c r="BA284" s="47" t="b">
        <f t="shared" si="418"/>
        <v>1</v>
      </c>
      <c r="BB284" s="42" t="b">
        <f t="shared" si="419"/>
        <v>1</v>
      </c>
      <c r="BC284" s="42" t="b">
        <f t="shared" si="420"/>
        <v>0</v>
      </c>
      <c r="BD284" s="42" t="b">
        <f t="shared" si="421"/>
        <v>0</v>
      </c>
      <c r="BE284" s="70">
        <f t="shared" si="422"/>
        <v>0</v>
      </c>
      <c r="BF284" s="70">
        <f t="shared" si="423"/>
        <v>0</v>
      </c>
      <c r="BG284" s="34"/>
      <c r="BI284" s="47" t="b">
        <f t="shared" si="424"/>
        <v>1</v>
      </c>
      <c r="BJ284" s="47" t="b">
        <f t="shared" si="425"/>
        <v>1</v>
      </c>
      <c r="BK284" s="42" t="b">
        <f t="shared" si="426"/>
        <v>0</v>
      </c>
      <c r="BL284" s="42" t="b">
        <f t="shared" si="427"/>
        <v>0</v>
      </c>
      <c r="BM284" s="42">
        <f t="shared" si="428"/>
        <v>0</v>
      </c>
      <c r="BN284" s="42">
        <f t="shared" si="429"/>
        <v>0</v>
      </c>
      <c r="BP284" t="e">
        <f t="shared" si="430"/>
        <v>#N/A</v>
      </c>
      <c r="BQ284" t="e">
        <f t="shared" si="431"/>
        <v>#N/A</v>
      </c>
      <c r="BR284" t="e">
        <f t="shared" si="432"/>
        <v>#N/A</v>
      </c>
      <c r="BT284" s="60">
        <f t="shared" si="433"/>
        <v>0</v>
      </c>
      <c r="BU284" s="60">
        <f t="shared" si="434"/>
        <v>0</v>
      </c>
      <c r="BV284" s="60">
        <f t="shared" si="435"/>
        <v>0</v>
      </c>
      <c r="BW284" s="60">
        <f t="shared" si="436"/>
        <v>0</v>
      </c>
      <c r="BX284" s="60">
        <f t="shared" si="437"/>
        <v>0</v>
      </c>
      <c r="BY284" s="60">
        <f t="shared" si="438"/>
        <v>0</v>
      </c>
      <c r="BZ284" s="60">
        <f t="shared" si="439"/>
        <v>0</v>
      </c>
      <c r="CA284" s="60">
        <f t="shared" si="440"/>
        <v>0</v>
      </c>
      <c r="CB284" s="60" t="e">
        <f t="shared" si="390"/>
        <v>#N/A</v>
      </c>
      <c r="CC284" s="60">
        <f t="shared" si="391"/>
        <v>100000</v>
      </c>
      <c r="CD284" s="60" t="e">
        <f t="shared" si="392"/>
        <v>#N/A</v>
      </c>
      <c r="CE284" s="60">
        <f t="shared" si="393"/>
        <v>100000</v>
      </c>
      <c r="CF284" s="83" t="e">
        <f t="shared" si="441"/>
        <v>#N/A</v>
      </c>
      <c r="CG284" s="83">
        <f t="shared" si="442"/>
        <v>0</v>
      </c>
      <c r="CH284" s="83" t="e">
        <f t="shared" si="443"/>
        <v>#N/A</v>
      </c>
      <c r="CI284" s="83">
        <f t="shared" si="444"/>
        <v>0</v>
      </c>
      <c r="CJ284" s="86" t="e">
        <f t="shared" si="394"/>
        <v>#N/A</v>
      </c>
      <c r="CK284" s="82">
        <f t="shared" si="395"/>
        <v>5.3070370403969858E-3</v>
      </c>
      <c r="CL284" s="82" t="e">
        <f t="shared" si="396"/>
        <v>#N/A</v>
      </c>
      <c r="CM284" s="82">
        <f t="shared" si="397"/>
        <v>5.3070370403969858E-3</v>
      </c>
      <c r="CO284" s="149" t="str">
        <f>IF($I284&lt;&gt;"",IF(O284="User Specified",U284,INDEX('Refrigerant GWPs'!$G$2:$G$156,MATCH(O284,'Refrigerant GWPs'!$A$2:$A$156,0))),"")</f>
        <v/>
      </c>
      <c r="CP284" s="138" t="str">
        <f>IF($I284&lt;&gt;"",INDEX('Device Refrigerant Leakage'!$E$2:$E$42,MATCH($M284,'Device Refrigerant Leakage'!$B$2:$B$42,0)),"")</f>
        <v/>
      </c>
      <c r="CQ284" s="138" t="str">
        <f>IF($I284&lt;&gt;"",INDEX('Device Refrigerant Leakage'!$F$2:$F$42,MATCH($M284,'Device Refrigerant Leakage'!$B$2:$B$42,0)),"")</f>
        <v/>
      </c>
      <c r="CR284" s="145" t="str">
        <f>IF($I284&lt;&gt;"",INDEX('Device Refrigerant Leakage'!$G$2:$G$42,MATCH($M284,'Device Refrigerant Leakage'!$B$2:$B$42,0)),"")</f>
        <v/>
      </c>
      <c r="CS284" s="145" t="str">
        <f>IF($I284&lt;&gt;"",INDEX('Device Refrigerant Leakage'!$D$2:$D$42,MATCH($M284,'Device Refrigerant Leakage'!$B$2:$B$42,0))*CP284/2204.62*CO284,"")</f>
        <v/>
      </c>
      <c r="CT284" s="145" t="str">
        <f>IF($I284&lt;&gt;"",J284*(INDEX('Device Refrigerant Leakage'!$D$2:$D$42,MATCH($M284,'Device Refrigerant Leakage'!$B$2:$B$42,0))-(INDEX('Device Refrigerant Leakage'!$D$2:$D$42,MATCH($M284,'Device Refrigerant Leakage'!$B$2:$B$42,0)))*CR284*CP284)*CQ284/2204.62*CO284,"")</f>
        <v/>
      </c>
      <c r="CU284" s="135" t="str">
        <f>IF($I284&lt;&gt;"",J284*IF(W284&lt;&gt;"AR",(CS284*K284)+CT284,(CS284*AB284)+CT284*(AB284/INDEX('Device Refrigerant Leakage'!$C$2:$C$42,MATCH($M284,'Device Refrigerant Leakage'!$B$2:$B$42,0)))),"")</f>
        <v/>
      </c>
      <c r="CW284" s="135" t="str">
        <f>IF($I284&lt;&gt;"",IF(S284="User Specified",V284,INDEX('Refrigerant GWPs'!$G$2:$G$156,MATCH(S284,'Refrigerant GWPs'!$A$2:$A$157,0))),"")</f>
        <v/>
      </c>
      <c r="CX284" s="138" t="str">
        <f>IF($I284&lt;&gt;"",INDEX('Device Refrigerant Leakage'!$E$2:$E$42,MATCH($Q284,'Device Refrigerant Leakage'!$B$2:$B$42,0)),"")</f>
        <v/>
      </c>
      <c r="CY284" s="138" t="str">
        <f>IF($I284&lt;&gt;"",INDEX('Device Refrigerant Leakage'!$F$2:$F$42,MATCH($Q284,'Device Refrigerant Leakage'!$B$2:$B$42,0)),"")</f>
        <v/>
      </c>
      <c r="CZ284" s="145" t="str">
        <f>IF($I284&lt;&gt;"",INDEX('Device Refrigerant Leakage'!$G$2:$G$42,MATCH($Q284,'Device Refrigerant Leakage'!$B$2:$B$42,0)),"")</f>
        <v/>
      </c>
      <c r="DA284" s="145" t="str">
        <f>IF($I284&lt;&gt;"",J284*INDEX('Device Refrigerant Leakage'!$D$2:$D$42,MATCH($Q284,'Device Refrigerant Leakage'!$B$2:$B$42,0))*CX284/2204.62*CW284,"")</f>
        <v/>
      </c>
      <c r="DB284" s="145" t="str">
        <f>IF($I284&lt;&gt;"",J284*(INDEX('Device Refrigerant Leakage'!$D$2:$D$42,MATCH($Q284,'Device Refrigerant Leakage'!$B$2:$B$42,0))-(INDEX('Device Refrigerant Leakage'!$D$2:$D$42,MATCH($Q284,'Device Refrigerant Leakage'!$B$2:$B$42,0)))*CZ284*CX284)*CY284/2204.62*CW284,"")</f>
        <v/>
      </c>
      <c r="DC284" s="135" t="str">
        <f t="shared" si="416"/>
        <v/>
      </c>
      <c r="DE284" s="146" t="str">
        <f>IF(W284&lt;&gt;"AR","",IF(Y284="User Specified", AA284, INDEX('Refrigerant GWPs'!$G$2:$G$154,MATCH(Y284,'Refrigerant GWPs'!$A$2:$A$154,0))))</f>
        <v/>
      </c>
      <c r="DF284" s="146" t="str">
        <f>IF(W284&lt;&gt;"AR","",INDEX('Device Refrigerant Leakage'!$E$2:$E$42,MATCH(X284,'Device Refrigerant Leakage'!$B$2:$B$42,0)))</f>
        <v/>
      </c>
      <c r="DG284" s="146" t="str">
        <f>IF(W284&lt;&gt;"AR","",INDEX('Device Refrigerant Leakage'!$F$2:$F$42,MATCH(X284,'Device Refrigerant Leakage'!$B$2:$B$42,0)))</f>
        <v/>
      </c>
      <c r="DH284" s="146" t="str">
        <f>IF(W284&lt;&gt;"AR","",INDEX('Device Refrigerant Leakage'!$G$2:$G$42,MATCH(X284,'Device Refrigerant Leakage'!$B$2:$B$42,0)))</f>
        <v/>
      </c>
      <c r="DI284" s="146" t="str">
        <f>IF(W284&lt;&gt;"AR","",J284*INDEX('Device Refrigerant Leakage'!$D$2:$D$42,MATCH(X284,'Device Refrigerant Leakage'!$B$2:$B$42,0))*DF284/2204.62*DE284)</f>
        <v/>
      </c>
      <c r="DJ284" s="146" t="str">
        <f>IF(W284&lt;&gt;"AR","",J284*(INDEX('Device Refrigerant Leakage'!$D$2:$D$42,MATCH(X284,'Device Refrigerant Leakage'!$B$2:$B$42,0))-(INDEX('Device Refrigerant Leakage'!$D$2:$D$42,MATCH(X284,'Device Refrigerant Leakage'!$B$2:$B$42,0)))*DH284*DF284)*DG284/2204.62*DE284)</f>
        <v/>
      </c>
      <c r="DK284" s="146" t="str">
        <f>IF(W284&lt;&gt;"AR","",DI284*(K284-AB284)+'Fuel Sub Calcs-Deemed'!DJ284*((K284-AB284)/INDEX('Device Refrigerant Leakage'!$C$2:$C$42,MATCH('Fuel Sub Calcs-Deemed'!X284,'Device Refrigerant Leakage'!$B$2:$B$42,0))))</f>
        <v/>
      </c>
      <c r="DM284" s="56">
        <v>270</v>
      </c>
      <c r="DN284" s="67" t="e">
        <f t="shared" si="398"/>
        <v>#N/A</v>
      </c>
      <c r="DO284" s="45" t="e">
        <f t="shared" si="399"/>
        <v>#N/A</v>
      </c>
      <c r="DP284" s="67" t="e">
        <f t="shared" si="400"/>
        <v>#N/A</v>
      </c>
      <c r="DQ284" s="45" t="e">
        <f t="shared" si="401"/>
        <v>#N/A</v>
      </c>
      <c r="DR284" s="69" t="e">
        <f t="shared" si="402"/>
        <v>#N/A</v>
      </c>
      <c r="DS284" s="34"/>
      <c r="DT284" s="67" t="e">
        <f>((BX284*CJ284)+IF($W284=MAT_AR,(BZ284*CL284),0))*(1+Reference!$E$50+Reference!$E$51)</f>
        <v>#N/A</v>
      </c>
      <c r="DU284" s="67">
        <f>((BY284*CK284)+IF($W284=MAT_AR,(CA284*CM284),0))*(1+Reference!$G$50+Reference!$G$51)</f>
        <v>0</v>
      </c>
      <c r="DV284" s="67" t="e">
        <f t="shared" si="403"/>
        <v>#VALUE!</v>
      </c>
      <c r="DX284" s="56">
        <v>270</v>
      </c>
      <c r="DY284" s="67">
        <f t="shared" si="404"/>
        <v>0</v>
      </c>
      <c r="DZ284" s="45" t="e">
        <f>VLOOKUP($R284,Dropdown!$C$3:$D$4,2,FALSE)</f>
        <v>#N/A</v>
      </c>
      <c r="EA284" s="68">
        <f t="shared" si="405"/>
        <v>0</v>
      </c>
      <c r="EB284" s="68" t="str">
        <f t="shared" si="406"/>
        <v>N/A</v>
      </c>
      <c r="EC284" s="68">
        <f t="shared" si="407"/>
        <v>0</v>
      </c>
      <c r="ED284" s="68" t="str">
        <f t="shared" si="445"/>
        <v>N/A</v>
      </c>
      <c r="EF284" s="56">
        <v>270</v>
      </c>
      <c r="EG284" s="46">
        <f t="shared" si="408"/>
        <v>0</v>
      </c>
      <c r="EH284" s="68" t="e">
        <f t="shared" si="409"/>
        <v>#N/A</v>
      </c>
      <c r="EI284" s="68" t="e">
        <f t="shared" si="410"/>
        <v>#N/A</v>
      </c>
      <c r="EJ284" s="68" t="e">
        <f t="shared" si="411"/>
        <v>#N/A</v>
      </c>
      <c r="EK284" s="68" t="e">
        <f t="shared" si="412"/>
        <v>#N/A</v>
      </c>
      <c r="EL284" s="46">
        <f t="shared" si="413"/>
        <v>0</v>
      </c>
      <c r="EM284" s="46">
        <f t="shared" si="414"/>
        <v>0</v>
      </c>
    </row>
    <row r="285" spans="1:143">
      <c r="A285" s="89"/>
      <c r="B285" s="89"/>
      <c r="C285" s="89"/>
      <c r="D285" s="89"/>
      <c r="E285" s="89"/>
      <c r="F285" s="89"/>
      <c r="G285" s="34"/>
      <c r="H285" s="56">
        <f t="shared" si="415"/>
        <v>271</v>
      </c>
      <c r="I285" s="165"/>
      <c r="J285" s="163"/>
      <c r="K285" s="163"/>
      <c r="L285" s="164"/>
      <c r="M285" s="155"/>
      <c r="N285" s="155"/>
      <c r="O285" s="144"/>
      <c r="P285" s="159" t="str">
        <f>IFERROR(IF(O285&lt;&gt;"User Specified",IF(O285&lt;&gt;"", INDEX('Refrigerant GWPs'!$G$2:$G$154,MATCH(O285,'Refrigerant GWPs'!$A$2:$A$154,0)),""),U285),0)</f>
        <v/>
      </c>
      <c r="Q285" s="155"/>
      <c r="R285" s="155"/>
      <c r="S285" s="144"/>
      <c r="T285" s="159" t="str">
        <f>IF(S285&lt;&gt;"User Specified",IF(AND(S285&lt;&gt;"User Specified",S285&lt;&gt;""), INDEX('Refrigerant GWPs'!$G$2:$G$154,MATCH(S285,'Refrigerant GWPs'!$A$2:$A$154,0)),""),V285)</f>
        <v/>
      </c>
      <c r="U285" s="144"/>
      <c r="V285" s="144"/>
      <c r="W285" s="155"/>
      <c r="X285" s="155"/>
      <c r="Y285" s="144"/>
      <c r="Z285" s="159" t="str">
        <f>IF(AND(Y285&lt;&gt;"User Specified",Y285&lt;&gt;""), INDEX('Refrigerant GWPs'!$G$2:$G$154,MATCH(Y285,'Refrigerant GWPs'!$A$2:$A$154,0)),"")</f>
        <v/>
      </c>
      <c r="AA285" s="155"/>
      <c r="AB285" s="156"/>
      <c r="AC285" s="66"/>
      <c r="AD285" s="66"/>
      <c r="AE285" s="66"/>
      <c r="AF285" s="66"/>
      <c r="AG285" s="66"/>
      <c r="AH285" s="66"/>
      <c r="AI285" s="34"/>
      <c r="AJ285" s="88">
        <f t="shared" si="378"/>
        <v>0</v>
      </c>
      <c r="AK285" s="88">
        <f t="shared" si="379"/>
        <v>0</v>
      </c>
      <c r="AL285" s="88">
        <v>0</v>
      </c>
      <c r="AM285" s="88">
        <v>0</v>
      </c>
      <c r="AN285" s="81" t="str">
        <f t="shared" si="417"/>
        <v/>
      </c>
      <c r="AO285" s="88">
        <f t="shared" si="380"/>
        <v>0</v>
      </c>
      <c r="AP285" s="88">
        <f t="shared" si="381"/>
        <v>0</v>
      </c>
      <c r="AQ285" s="81" t="str">
        <f t="shared" si="382"/>
        <v/>
      </c>
      <c r="AS285" s="41" t="b">
        <f t="shared" si="383"/>
        <v>1</v>
      </c>
      <c r="AT285" s="38">
        <f t="shared" si="384"/>
        <v>0</v>
      </c>
      <c r="AU285" s="60">
        <f t="shared" si="385"/>
        <v>0</v>
      </c>
      <c r="AV285" s="41">
        <f t="shared" si="386"/>
        <v>0</v>
      </c>
      <c r="AW285" s="41" t="b">
        <f t="shared" si="387"/>
        <v>0</v>
      </c>
      <c r="AX285" t="str">
        <f t="shared" si="388"/>
        <v>+00</v>
      </c>
      <c r="AY285" t="str">
        <f t="shared" si="389"/>
        <v>+00</v>
      </c>
      <c r="BA285" s="47" t="b">
        <f t="shared" si="418"/>
        <v>1</v>
      </c>
      <c r="BB285" s="42" t="b">
        <f t="shared" si="419"/>
        <v>1</v>
      </c>
      <c r="BC285" s="42" t="b">
        <f t="shared" si="420"/>
        <v>0</v>
      </c>
      <c r="BD285" s="42" t="b">
        <f t="shared" si="421"/>
        <v>0</v>
      </c>
      <c r="BE285" s="70">
        <f t="shared" si="422"/>
        <v>0</v>
      </c>
      <c r="BF285" s="70">
        <f t="shared" si="423"/>
        <v>0</v>
      </c>
      <c r="BG285" s="34"/>
      <c r="BI285" s="47" t="b">
        <f t="shared" si="424"/>
        <v>1</v>
      </c>
      <c r="BJ285" s="47" t="b">
        <f t="shared" si="425"/>
        <v>1</v>
      </c>
      <c r="BK285" s="42" t="b">
        <f t="shared" si="426"/>
        <v>0</v>
      </c>
      <c r="BL285" s="42" t="b">
        <f t="shared" si="427"/>
        <v>0</v>
      </c>
      <c r="BM285" s="42">
        <f t="shared" si="428"/>
        <v>0</v>
      </c>
      <c r="BN285" s="42">
        <f t="shared" si="429"/>
        <v>0</v>
      </c>
      <c r="BP285" t="e">
        <f t="shared" si="430"/>
        <v>#N/A</v>
      </c>
      <c r="BQ285" t="e">
        <f t="shared" si="431"/>
        <v>#N/A</v>
      </c>
      <c r="BR285" t="e">
        <f t="shared" si="432"/>
        <v>#N/A</v>
      </c>
      <c r="BT285" s="60">
        <f t="shared" si="433"/>
        <v>0</v>
      </c>
      <c r="BU285" s="60">
        <f t="shared" si="434"/>
        <v>0</v>
      </c>
      <c r="BV285" s="60">
        <f t="shared" si="435"/>
        <v>0</v>
      </c>
      <c r="BW285" s="60">
        <f t="shared" si="436"/>
        <v>0</v>
      </c>
      <c r="BX285" s="60">
        <f t="shared" si="437"/>
        <v>0</v>
      </c>
      <c r="BY285" s="60">
        <f t="shared" si="438"/>
        <v>0</v>
      </c>
      <c r="BZ285" s="60">
        <f t="shared" si="439"/>
        <v>0</v>
      </c>
      <c r="CA285" s="60">
        <f t="shared" si="440"/>
        <v>0</v>
      </c>
      <c r="CB285" s="60" t="e">
        <f t="shared" si="390"/>
        <v>#N/A</v>
      </c>
      <c r="CC285" s="60">
        <f t="shared" si="391"/>
        <v>100000</v>
      </c>
      <c r="CD285" s="60" t="e">
        <f t="shared" si="392"/>
        <v>#N/A</v>
      </c>
      <c r="CE285" s="60">
        <f t="shared" si="393"/>
        <v>100000</v>
      </c>
      <c r="CF285" s="83" t="e">
        <f t="shared" si="441"/>
        <v>#N/A</v>
      </c>
      <c r="CG285" s="83">
        <f t="shared" si="442"/>
        <v>0</v>
      </c>
      <c r="CH285" s="83" t="e">
        <f t="shared" si="443"/>
        <v>#N/A</v>
      </c>
      <c r="CI285" s="83">
        <f t="shared" si="444"/>
        <v>0</v>
      </c>
      <c r="CJ285" s="86" t="e">
        <f t="shared" si="394"/>
        <v>#N/A</v>
      </c>
      <c r="CK285" s="82">
        <f t="shared" si="395"/>
        <v>5.3070370403969858E-3</v>
      </c>
      <c r="CL285" s="82" t="e">
        <f t="shared" si="396"/>
        <v>#N/A</v>
      </c>
      <c r="CM285" s="82">
        <f t="shared" si="397"/>
        <v>5.3070370403969858E-3</v>
      </c>
      <c r="CO285" s="149" t="str">
        <f>IF($I285&lt;&gt;"",IF(O285="User Specified",U285,INDEX('Refrigerant GWPs'!$G$2:$G$156,MATCH(O285,'Refrigerant GWPs'!$A$2:$A$156,0))),"")</f>
        <v/>
      </c>
      <c r="CP285" s="138" t="str">
        <f>IF($I285&lt;&gt;"",INDEX('Device Refrigerant Leakage'!$E$2:$E$42,MATCH($M285,'Device Refrigerant Leakage'!$B$2:$B$42,0)),"")</f>
        <v/>
      </c>
      <c r="CQ285" s="138" t="str">
        <f>IF($I285&lt;&gt;"",INDEX('Device Refrigerant Leakage'!$F$2:$F$42,MATCH($M285,'Device Refrigerant Leakage'!$B$2:$B$42,0)),"")</f>
        <v/>
      </c>
      <c r="CR285" s="145" t="str">
        <f>IF($I285&lt;&gt;"",INDEX('Device Refrigerant Leakage'!$G$2:$G$42,MATCH($M285,'Device Refrigerant Leakage'!$B$2:$B$42,0)),"")</f>
        <v/>
      </c>
      <c r="CS285" s="145" t="str">
        <f>IF($I285&lt;&gt;"",INDEX('Device Refrigerant Leakage'!$D$2:$D$42,MATCH($M285,'Device Refrigerant Leakage'!$B$2:$B$42,0))*CP285/2204.62*CO285,"")</f>
        <v/>
      </c>
      <c r="CT285" s="145" t="str">
        <f>IF($I285&lt;&gt;"",J285*(INDEX('Device Refrigerant Leakage'!$D$2:$D$42,MATCH($M285,'Device Refrigerant Leakage'!$B$2:$B$42,0))-(INDEX('Device Refrigerant Leakage'!$D$2:$D$42,MATCH($M285,'Device Refrigerant Leakage'!$B$2:$B$42,0)))*CR285*CP285)*CQ285/2204.62*CO285,"")</f>
        <v/>
      </c>
      <c r="CU285" s="135" t="str">
        <f>IF($I285&lt;&gt;"",J285*IF(W285&lt;&gt;"AR",(CS285*K285)+CT285,(CS285*AB285)+CT285*(AB285/INDEX('Device Refrigerant Leakage'!$C$2:$C$42,MATCH($M285,'Device Refrigerant Leakage'!$B$2:$B$42,0)))),"")</f>
        <v/>
      </c>
      <c r="CW285" s="135" t="str">
        <f>IF($I285&lt;&gt;"",IF(S285="User Specified",V285,INDEX('Refrigerant GWPs'!$G$2:$G$156,MATCH(S285,'Refrigerant GWPs'!$A$2:$A$157,0))),"")</f>
        <v/>
      </c>
      <c r="CX285" s="138" t="str">
        <f>IF($I285&lt;&gt;"",INDEX('Device Refrigerant Leakage'!$E$2:$E$42,MATCH($Q285,'Device Refrigerant Leakage'!$B$2:$B$42,0)),"")</f>
        <v/>
      </c>
      <c r="CY285" s="138" t="str">
        <f>IF($I285&lt;&gt;"",INDEX('Device Refrigerant Leakage'!$F$2:$F$42,MATCH($Q285,'Device Refrigerant Leakage'!$B$2:$B$42,0)),"")</f>
        <v/>
      </c>
      <c r="CZ285" s="145" t="str">
        <f>IF($I285&lt;&gt;"",INDEX('Device Refrigerant Leakage'!$G$2:$G$42,MATCH($Q285,'Device Refrigerant Leakage'!$B$2:$B$42,0)),"")</f>
        <v/>
      </c>
      <c r="DA285" s="145" t="str">
        <f>IF($I285&lt;&gt;"",J285*INDEX('Device Refrigerant Leakage'!$D$2:$D$42,MATCH($Q285,'Device Refrigerant Leakage'!$B$2:$B$42,0))*CX285/2204.62*CW285,"")</f>
        <v/>
      </c>
      <c r="DB285" s="145" t="str">
        <f>IF($I285&lt;&gt;"",J285*(INDEX('Device Refrigerant Leakage'!$D$2:$D$42,MATCH($Q285,'Device Refrigerant Leakage'!$B$2:$B$42,0))-(INDEX('Device Refrigerant Leakage'!$D$2:$D$42,MATCH($Q285,'Device Refrigerant Leakage'!$B$2:$B$42,0)))*CZ285*CX285)*CY285/2204.62*CW285,"")</f>
        <v/>
      </c>
      <c r="DC285" s="135" t="str">
        <f t="shared" si="416"/>
        <v/>
      </c>
      <c r="DE285" s="146" t="str">
        <f>IF(W285&lt;&gt;"AR","",IF(Y285="User Specified", AA285, INDEX('Refrigerant GWPs'!$G$2:$G$154,MATCH(Y285,'Refrigerant GWPs'!$A$2:$A$154,0))))</f>
        <v/>
      </c>
      <c r="DF285" s="146" t="str">
        <f>IF(W285&lt;&gt;"AR","",INDEX('Device Refrigerant Leakage'!$E$2:$E$42,MATCH(X285,'Device Refrigerant Leakage'!$B$2:$B$42,0)))</f>
        <v/>
      </c>
      <c r="DG285" s="146" t="str">
        <f>IF(W285&lt;&gt;"AR","",INDEX('Device Refrigerant Leakage'!$F$2:$F$42,MATCH(X285,'Device Refrigerant Leakage'!$B$2:$B$42,0)))</f>
        <v/>
      </c>
      <c r="DH285" s="146" t="str">
        <f>IF(W285&lt;&gt;"AR","",INDEX('Device Refrigerant Leakage'!$G$2:$G$42,MATCH(X285,'Device Refrigerant Leakage'!$B$2:$B$42,0)))</f>
        <v/>
      </c>
      <c r="DI285" s="146" t="str">
        <f>IF(W285&lt;&gt;"AR","",J285*INDEX('Device Refrigerant Leakage'!$D$2:$D$42,MATCH(X285,'Device Refrigerant Leakage'!$B$2:$B$42,0))*DF285/2204.62*DE285)</f>
        <v/>
      </c>
      <c r="DJ285" s="146" t="str">
        <f>IF(W285&lt;&gt;"AR","",J285*(INDEX('Device Refrigerant Leakage'!$D$2:$D$42,MATCH(X285,'Device Refrigerant Leakage'!$B$2:$B$42,0))-(INDEX('Device Refrigerant Leakage'!$D$2:$D$42,MATCH(X285,'Device Refrigerant Leakage'!$B$2:$B$42,0)))*DH285*DF285)*DG285/2204.62*DE285)</f>
        <v/>
      </c>
      <c r="DK285" s="146" t="str">
        <f>IF(W285&lt;&gt;"AR","",DI285*(K285-AB285)+'Fuel Sub Calcs-Deemed'!DJ285*((K285-AB285)/INDEX('Device Refrigerant Leakage'!$C$2:$C$42,MATCH('Fuel Sub Calcs-Deemed'!X285,'Device Refrigerant Leakage'!$B$2:$B$42,0))))</f>
        <v/>
      </c>
      <c r="DM285" s="56">
        <v>271</v>
      </c>
      <c r="DN285" s="67" t="e">
        <f t="shared" si="398"/>
        <v>#N/A</v>
      </c>
      <c r="DO285" s="45" t="e">
        <f t="shared" si="399"/>
        <v>#N/A</v>
      </c>
      <c r="DP285" s="67" t="e">
        <f t="shared" si="400"/>
        <v>#N/A</v>
      </c>
      <c r="DQ285" s="45" t="e">
        <f t="shared" si="401"/>
        <v>#N/A</v>
      </c>
      <c r="DR285" s="69" t="e">
        <f t="shared" si="402"/>
        <v>#N/A</v>
      </c>
      <c r="DS285" s="34"/>
      <c r="DT285" s="67" t="e">
        <f>((BX285*CJ285)+IF($W285=MAT_AR,(BZ285*CL285),0))*(1+Reference!$E$50+Reference!$E$51)</f>
        <v>#N/A</v>
      </c>
      <c r="DU285" s="67">
        <f>((BY285*CK285)+IF($W285=MAT_AR,(CA285*CM285),0))*(1+Reference!$G$50+Reference!$G$51)</f>
        <v>0</v>
      </c>
      <c r="DV285" s="67" t="e">
        <f t="shared" si="403"/>
        <v>#VALUE!</v>
      </c>
      <c r="DX285" s="56">
        <v>271</v>
      </c>
      <c r="DY285" s="67">
        <f t="shared" si="404"/>
        <v>0</v>
      </c>
      <c r="DZ285" s="45" t="e">
        <f>VLOOKUP($R285,Dropdown!$C$3:$D$4,2,FALSE)</f>
        <v>#N/A</v>
      </c>
      <c r="EA285" s="68">
        <f t="shared" si="405"/>
        <v>0</v>
      </c>
      <c r="EB285" s="68" t="str">
        <f t="shared" si="406"/>
        <v>N/A</v>
      </c>
      <c r="EC285" s="68">
        <f t="shared" si="407"/>
        <v>0</v>
      </c>
      <c r="ED285" s="68" t="str">
        <f t="shared" si="445"/>
        <v>N/A</v>
      </c>
      <c r="EF285" s="56">
        <v>271</v>
      </c>
      <c r="EG285" s="46">
        <f t="shared" si="408"/>
        <v>0</v>
      </c>
      <c r="EH285" s="68" t="e">
        <f t="shared" si="409"/>
        <v>#N/A</v>
      </c>
      <c r="EI285" s="68" t="e">
        <f t="shared" si="410"/>
        <v>#N/A</v>
      </c>
      <c r="EJ285" s="68" t="e">
        <f t="shared" si="411"/>
        <v>#N/A</v>
      </c>
      <c r="EK285" s="68" t="e">
        <f t="shared" si="412"/>
        <v>#N/A</v>
      </c>
      <c r="EL285" s="46">
        <f t="shared" si="413"/>
        <v>0</v>
      </c>
      <c r="EM285" s="46">
        <f t="shared" si="414"/>
        <v>0</v>
      </c>
    </row>
    <row r="286" spans="1:143">
      <c r="A286" s="89"/>
      <c r="B286" s="89"/>
      <c r="C286" s="89"/>
      <c r="D286" s="89"/>
      <c r="E286" s="89"/>
      <c r="F286" s="89"/>
      <c r="G286" s="34"/>
      <c r="H286" s="56">
        <f t="shared" si="415"/>
        <v>272</v>
      </c>
      <c r="I286" s="165"/>
      <c r="J286" s="163"/>
      <c r="K286" s="163"/>
      <c r="L286" s="164"/>
      <c r="M286" s="155"/>
      <c r="N286" s="155"/>
      <c r="O286" s="144"/>
      <c r="P286" s="159" t="str">
        <f>IFERROR(IF(O286&lt;&gt;"User Specified",IF(O286&lt;&gt;"", INDEX('Refrigerant GWPs'!$G$2:$G$154,MATCH(O286,'Refrigerant GWPs'!$A$2:$A$154,0)),""),U286),0)</f>
        <v/>
      </c>
      <c r="Q286" s="155"/>
      <c r="R286" s="155"/>
      <c r="S286" s="144"/>
      <c r="T286" s="159" t="str">
        <f>IF(S286&lt;&gt;"User Specified",IF(AND(S286&lt;&gt;"User Specified",S286&lt;&gt;""), INDEX('Refrigerant GWPs'!$G$2:$G$154,MATCH(S286,'Refrigerant GWPs'!$A$2:$A$154,0)),""),V286)</f>
        <v/>
      </c>
      <c r="U286" s="144"/>
      <c r="V286" s="144"/>
      <c r="W286" s="155"/>
      <c r="X286" s="155"/>
      <c r="Y286" s="144"/>
      <c r="Z286" s="159" t="str">
        <f>IF(AND(Y286&lt;&gt;"User Specified",Y286&lt;&gt;""), INDEX('Refrigerant GWPs'!$G$2:$G$154,MATCH(Y286,'Refrigerant GWPs'!$A$2:$A$154,0)),"")</f>
        <v/>
      </c>
      <c r="AA286" s="155"/>
      <c r="AB286" s="156"/>
      <c r="AC286" s="66"/>
      <c r="AD286" s="66"/>
      <c r="AE286" s="66"/>
      <c r="AF286" s="66"/>
      <c r="AG286" s="66"/>
      <c r="AH286" s="66"/>
      <c r="AI286" s="34"/>
      <c r="AJ286" s="88">
        <f t="shared" si="378"/>
        <v>0</v>
      </c>
      <c r="AK286" s="88">
        <f t="shared" si="379"/>
        <v>0</v>
      </c>
      <c r="AL286" s="88">
        <v>0</v>
      </c>
      <c r="AM286" s="88">
        <v>0</v>
      </c>
      <c r="AN286" s="81" t="str">
        <f t="shared" si="417"/>
        <v/>
      </c>
      <c r="AO286" s="88">
        <f t="shared" si="380"/>
        <v>0</v>
      </c>
      <c r="AP286" s="88">
        <f t="shared" si="381"/>
        <v>0</v>
      </c>
      <c r="AQ286" s="81" t="str">
        <f t="shared" si="382"/>
        <v/>
      </c>
      <c r="AS286" s="41" t="b">
        <f t="shared" si="383"/>
        <v>1</v>
      </c>
      <c r="AT286" s="38">
        <f t="shared" si="384"/>
        <v>0</v>
      </c>
      <c r="AU286" s="60">
        <f t="shared" si="385"/>
        <v>0</v>
      </c>
      <c r="AV286" s="41">
        <f t="shared" si="386"/>
        <v>0</v>
      </c>
      <c r="AW286" s="41" t="b">
        <f t="shared" si="387"/>
        <v>0</v>
      </c>
      <c r="AX286" t="str">
        <f t="shared" si="388"/>
        <v>+00</v>
      </c>
      <c r="AY286" t="str">
        <f t="shared" si="389"/>
        <v>+00</v>
      </c>
      <c r="BA286" s="47" t="b">
        <f t="shared" si="418"/>
        <v>1</v>
      </c>
      <c r="BB286" s="42" t="b">
        <f t="shared" si="419"/>
        <v>1</v>
      </c>
      <c r="BC286" s="42" t="b">
        <f t="shared" si="420"/>
        <v>0</v>
      </c>
      <c r="BD286" s="42" t="b">
        <f t="shared" si="421"/>
        <v>0</v>
      </c>
      <c r="BE286" s="70">
        <f t="shared" si="422"/>
        <v>0</v>
      </c>
      <c r="BF286" s="70">
        <f t="shared" si="423"/>
        <v>0</v>
      </c>
      <c r="BG286" s="34"/>
      <c r="BI286" s="47" t="b">
        <f t="shared" si="424"/>
        <v>1</v>
      </c>
      <c r="BJ286" s="47" t="b">
        <f t="shared" si="425"/>
        <v>1</v>
      </c>
      <c r="BK286" s="42" t="b">
        <f t="shared" si="426"/>
        <v>0</v>
      </c>
      <c r="BL286" s="42" t="b">
        <f t="shared" si="427"/>
        <v>0</v>
      </c>
      <c r="BM286" s="42">
        <f t="shared" si="428"/>
        <v>0</v>
      </c>
      <c r="BN286" s="42">
        <f t="shared" si="429"/>
        <v>0</v>
      </c>
      <c r="BP286" t="e">
        <f t="shared" si="430"/>
        <v>#N/A</v>
      </c>
      <c r="BQ286" t="e">
        <f t="shared" si="431"/>
        <v>#N/A</v>
      </c>
      <c r="BR286" t="e">
        <f t="shared" si="432"/>
        <v>#N/A</v>
      </c>
      <c r="BT286" s="60">
        <f t="shared" si="433"/>
        <v>0</v>
      </c>
      <c r="BU286" s="60">
        <f t="shared" si="434"/>
        <v>0</v>
      </c>
      <c r="BV286" s="60">
        <f t="shared" si="435"/>
        <v>0</v>
      </c>
      <c r="BW286" s="60">
        <f t="shared" si="436"/>
        <v>0</v>
      </c>
      <c r="BX286" s="60">
        <f t="shared" si="437"/>
        <v>0</v>
      </c>
      <c r="BY286" s="60">
        <f t="shared" si="438"/>
        <v>0</v>
      </c>
      <c r="BZ286" s="60">
        <f t="shared" si="439"/>
        <v>0</v>
      </c>
      <c r="CA286" s="60">
        <f t="shared" si="440"/>
        <v>0</v>
      </c>
      <c r="CB286" s="60" t="e">
        <f t="shared" si="390"/>
        <v>#N/A</v>
      </c>
      <c r="CC286" s="60">
        <f t="shared" si="391"/>
        <v>100000</v>
      </c>
      <c r="CD286" s="60" t="e">
        <f t="shared" si="392"/>
        <v>#N/A</v>
      </c>
      <c r="CE286" s="60">
        <f t="shared" si="393"/>
        <v>100000</v>
      </c>
      <c r="CF286" s="83" t="e">
        <f t="shared" si="441"/>
        <v>#N/A</v>
      </c>
      <c r="CG286" s="83">
        <f t="shared" si="442"/>
        <v>0</v>
      </c>
      <c r="CH286" s="83" t="e">
        <f t="shared" si="443"/>
        <v>#N/A</v>
      </c>
      <c r="CI286" s="83">
        <f t="shared" si="444"/>
        <v>0</v>
      </c>
      <c r="CJ286" s="86" t="e">
        <f t="shared" si="394"/>
        <v>#N/A</v>
      </c>
      <c r="CK286" s="82">
        <f t="shared" si="395"/>
        <v>5.3070370403969858E-3</v>
      </c>
      <c r="CL286" s="82" t="e">
        <f t="shared" si="396"/>
        <v>#N/A</v>
      </c>
      <c r="CM286" s="82">
        <f t="shared" si="397"/>
        <v>5.3070370403969858E-3</v>
      </c>
      <c r="CO286" s="149" t="str">
        <f>IF($I286&lt;&gt;"",IF(O286="User Specified",U286,INDEX('Refrigerant GWPs'!$G$2:$G$156,MATCH(O286,'Refrigerant GWPs'!$A$2:$A$156,0))),"")</f>
        <v/>
      </c>
      <c r="CP286" s="138" t="str">
        <f>IF($I286&lt;&gt;"",INDEX('Device Refrigerant Leakage'!$E$2:$E$42,MATCH($M286,'Device Refrigerant Leakage'!$B$2:$B$42,0)),"")</f>
        <v/>
      </c>
      <c r="CQ286" s="138" t="str">
        <f>IF($I286&lt;&gt;"",INDEX('Device Refrigerant Leakage'!$F$2:$F$42,MATCH($M286,'Device Refrigerant Leakage'!$B$2:$B$42,0)),"")</f>
        <v/>
      </c>
      <c r="CR286" s="145" t="str">
        <f>IF($I286&lt;&gt;"",INDEX('Device Refrigerant Leakage'!$G$2:$G$42,MATCH($M286,'Device Refrigerant Leakage'!$B$2:$B$42,0)),"")</f>
        <v/>
      </c>
      <c r="CS286" s="145" t="str">
        <f>IF($I286&lt;&gt;"",INDEX('Device Refrigerant Leakage'!$D$2:$D$42,MATCH($M286,'Device Refrigerant Leakage'!$B$2:$B$42,0))*CP286/2204.62*CO286,"")</f>
        <v/>
      </c>
      <c r="CT286" s="145" t="str">
        <f>IF($I286&lt;&gt;"",J286*(INDEX('Device Refrigerant Leakage'!$D$2:$D$42,MATCH($M286,'Device Refrigerant Leakage'!$B$2:$B$42,0))-(INDEX('Device Refrigerant Leakage'!$D$2:$D$42,MATCH($M286,'Device Refrigerant Leakage'!$B$2:$B$42,0)))*CR286*CP286)*CQ286/2204.62*CO286,"")</f>
        <v/>
      </c>
      <c r="CU286" s="135" t="str">
        <f>IF($I286&lt;&gt;"",J286*IF(W286&lt;&gt;"AR",(CS286*K286)+CT286,(CS286*AB286)+CT286*(AB286/INDEX('Device Refrigerant Leakage'!$C$2:$C$42,MATCH($M286,'Device Refrigerant Leakage'!$B$2:$B$42,0)))),"")</f>
        <v/>
      </c>
      <c r="CW286" s="135" t="str">
        <f>IF($I286&lt;&gt;"",IF(S286="User Specified",V286,INDEX('Refrigerant GWPs'!$G$2:$G$156,MATCH(S286,'Refrigerant GWPs'!$A$2:$A$157,0))),"")</f>
        <v/>
      </c>
      <c r="CX286" s="138" t="str">
        <f>IF($I286&lt;&gt;"",INDEX('Device Refrigerant Leakage'!$E$2:$E$42,MATCH($Q286,'Device Refrigerant Leakage'!$B$2:$B$42,0)),"")</f>
        <v/>
      </c>
      <c r="CY286" s="138" t="str">
        <f>IF($I286&lt;&gt;"",INDEX('Device Refrigerant Leakage'!$F$2:$F$42,MATCH($Q286,'Device Refrigerant Leakage'!$B$2:$B$42,0)),"")</f>
        <v/>
      </c>
      <c r="CZ286" s="145" t="str">
        <f>IF($I286&lt;&gt;"",INDEX('Device Refrigerant Leakage'!$G$2:$G$42,MATCH($Q286,'Device Refrigerant Leakage'!$B$2:$B$42,0)),"")</f>
        <v/>
      </c>
      <c r="DA286" s="145" t="str">
        <f>IF($I286&lt;&gt;"",J286*INDEX('Device Refrigerant Leakage'!$D$2:$D$42,MATCH($Q286,'Device Refrigerant Leakage'!$B$2:$B$42,0))*CX286/2204.62*CW286,"")</f>
        <v/>
      </c>
      <c r="DB286" s="145" t="str">
        <f>IF($I286&lt;&gt;"",J286*(INDEX('Device Refrigerant Leakage'!$D$2:$D$42,MATCH($Q286,'Device Refrigerant Leakage'!$B$2:$B$42,0))-(INDEX('Device Refrigerant Leakage'!$D$2:$D$42,MATCH($Q286,'Device Refrigerant Leakage'!$B$2:$B$42,0)))*CZ286*CX286)*CY286/2204.62*CW286,"")</f>
        <v/>
      </c>
      <c r="DC286" s="135" t="str">
        <f t="shared" si="416"/>
        <v/>
      </c>
      <c r="DE286" s="146" t="str">
        <f>IF(W286&lt;&gt;"AR","",IF(Y286="User Specified", AA286, INDEX('Refrigerant GWPs'!$G$2:$G$154,MATCH(Y286,'Refrigerant GWPs'!$A$2:$A$154,0))))</f>
        <v/>
      </c>
      <c r="DF286" s="146" t="str">
        <f>IF(W286&lt;&gt;"AR","",INDEX('Device Refrigerant Leakage'!$E$2:$E$42,MATCH(X286,'Device Refrigerant Leakage'!$B$2:$B$42,0)))</f>
        <v/>
      </c>
      <c r="DG286" s="146" t="str">
        <f>IF(W286&lt;&gt;"AR","",INDEX('Device Refrigerant Leakage'!$F$2:$F$42,MATCH(X286,'Device Refrigerant Leakage'!$B$2:$B$42,0)))</f>
        <v/>
      </c>
      <c r="DH286" s="146" t="str">
        <f>IF(W286&lt;&gt;"AR","",INDEX('Device Refrigerant Leakage'!$G$2:$G$42,MATCH(X286,'Device Refrigerant Leakage'!$B$2:$B$42,0)))</f>
        <v/>
      </c>
      <c r="DI286" s="146" t="str">
        <f>IF(W286&lt;&gt;"AR","",J286*INDEX('Device Refrigerant Leakage'!$D$2:$D$42,MATCH(X286,'Device Refrigerant Leakage'!$B$2:$B$42,0))*DF286/2204.62*DE286)</f>
        <v/>
      </c>
      <c r="DJ286" s="146" t="str">
        <f>IF(W286&lt;&gt;"AR","",J286*(INDEX('Device Refrigerant Leakage'!$D$2:$D$42,MATCH(X286,'Device Refrigerant Leakage'!$B$2:$B$42,0))-(INDEX('Device Refrigerant Leakage'!$D$2:$D$42,MATCH(X286,'Device Refrigerant Leakage'!$B$2:$B$42,0)))*DH286*DF286)*DG286/2204.62*DE286)</f>
        <v/>
      </c>
      <c r="DK286" s="146" t="str">
        <f>IF(W286&lt;&gt;"AR","",DI286*(K286-AB286)+'Fuel Sub Calcs-Deemed'!DJ286*((K286-AB286)/INDEX('Device Refrigerant Leakage'!$C$2:$C$42,MATCH('Fuel Sub Calcs-Deemed'!X286,'Device Refrigerant Leakage'!$B$2:$B$42,0))))</f>
        <v/>
      </c>
      <c r="DM286" s="56">
        <v>272</v>
      </c>
      <c r="DN286" s="67" t="e">
        <f t="shared" si="398"/>
        <v>#N/A</v>
      </c>
      <c r="DO286" s="45" t="e">
        <f t="shared" si="399"/>
        <v>#N/A</v>
      </c>
      <c r="DP286" s="67" t="e">
        <f t="shared" si="400"/>
        <v>#N/A</v>
      </c>
      <c r="DQ286" s="45" t="e">
        <f t="shared" si="401"/>
        <v>#N/A</v>
      </c>
      <c r="DR286" s="69" t="e">
        <f t="shared" si="402"/>
        <v>#N/A</v>
      </c>
      <c r="DS286" s="34"/>
      <c r="DT286" s="67" t="e">
        <f>((BX286*CJ286)+IF($W286=MAT_AR,(BZ286*CL286),0))*(1+Reference!$E$50+Reference!$E$51)</f>
        <v>#N/A</v>
      </c>
      <c r="DU286" s="67">
        <f>((BY286*CK286)+IF($W286=MAT_AR,(CA286*CM286),0))*(1+Reference!$G$50+Reference!$G$51)</f>
        <v>0</v>
      </c>
      <c r="DV286" s="67" t="e">
        <f t="shared" si="403"/>
        <v>#VALUE!</v>
      </c>
      <c r="DX286" s="56">
        <v>272</v>
      </c>
      <c r="DY286" s="67">
        <f t="shared" si="404"/>
        <v>0</v>
      </c>
      <c r="DZ286" s="45" t="e">
        <f>VLOOKUP($R286,Dropdown!$C$3:$D$4,2,FALSE)</f>
        <v>#N/A</v>
      </c>
      <c r="EA286" s="68">
        <f t="shared" si="405"/>
        <v>0</v>
      </c>
      <c r="EB286" s="68" t="str">
        <f t="shared" si="406"/>
        <v>N/A</v>
      </c>
      <c r="EC286" s="68">
        <f t="shared" si="407"/>
        <v>0</v>
      </c>
      <c r="ED286" s="68" t="str">
        <f t="shared" si="445"/>
        <v>N/A</v>
      </c>
      <c r="EF286" s="56">
        <v>272</v>
      </c>
      <c r="EG286" s="46">
        <f t="shared" si="408"/>
        <v>0</v>
      </c>
      <c r="EH286" s="68" t="e">
        <f t="shared" si="409"/>
        <v>#N/A</v>
      </c>
      <c r="EI286" s="68" t="e">
        <f t="shared" si="410"/>
        <v>#N/A</v>
      </c>
      <c r="EJ286" s="68" t="e">
        <f t="shared" si="411"/>
        <v>#N/A</v>
      </c>
      <c r="EK286" s="68" t="e">
        <f t="shared" si="412"/>
        <v>#N/A</v>
      </c>
      <c r="EL286" s="46">
        <f t="shared" si="413"/>
        <v>0</v>
      </c>
      <c r="EM286" s="46">
        <f t="shared" si="414"/>
        <v>0</v>
      </c>
    </row>
    <row r="287" spans="1:143">
      <c r="A287" s="89"/>
      <c r="B287" s="89"/>
      <c r="C287" s="89"/>
      <c r="D287" s="89"/>
      <c r="E287" s="89"/>
      <c r="F287" s="89"/>
      <c r="G287" s="34"/>
      <c r="H287" s="56">
        <f t="shared" si="415"/>
        <v>273</v>
      </c>
      <c r="I287" s="165"/>
      <c r="J287" s="163"/>
      <c r="K287" s="163"/>
      <c r="L287" s="164"/>
      <c r="M287" s="155"/>
      <c r="N287" s="155"/>
      <c r="O287" s="144"/>
      <c r="P287" s="159" t="str">
        <f>IFERROR(IF(O287&lt;&gt;"User Specified",IF(O287&lt;&gt;"", INDEX('Refrigerant GWPs'!$G$2:$G$154,MATCH(O287,'Refrigerant GWPs'!$A$2:$A$154,0)),""),U287),0)</f>
        <v/>
      </c>
      <c r="Q287" s="155"/>
      <c r="R287" s="155"/>
      <c r="S287" s="144"/>
      <c r="T287" s="159" t="str">
        <f>IF(S287&lt;&gt;"User Specified",IF(AND(S287&lt;&gt;"User Specified",S287&lt;&gt;""), INDEX('Refrigerant GWPs'!$G$2:$G$154,MATCH(S287,'Refrigerant GWPs'!$A$2:$A$154,0)),""),V287)</f>
        <v/>
      </c>
      <c r="U287" s="144"/>
      <c r="V287" s="144"/>
      <c r="W287" s="155"/>
      <c r="X287" s="155"/>
      <c r="Y287" s="144"/>
      <c r="Z287" s="159" t="str">
        <f>IF(AND(Y287&lt;&gt;"User Specified",Y287&lt;&gt;""), INDEX('Refrigerant GWPs'!$G$2:$G$154,MATCH(Y287,'Refrigerant GWPs'!$A$2:$A$154,0)),"")</f>
        <v/>
      </c>
      <c r="AA287" s="155"/>
      <c r="AB287" s="156"/>
      <c r="AC287" s="66"/>
      <c r="AD287" s="66"/>
      <c r="AE287" s="66"/>
      <c r="AF287" s="66"/>
      <c r="AG287" s="66"/>
      <c r="AH287" s="66"/>
      <c r="AI287" s="34"/>
      <c r="AJ287" s="88">
        <f t="shared" si="378"/>
        <v>0</v>
      </c>
      <c r="AK287" s="88">
        <f t="shared" si="379"/>
        <v>0</v>
      </c>
      <c r="AL287" s="88">
        <v>0</v>
      </c>
      <c r="AM287" s="88">
        <v>0</v>
      </c>
      <c r="AN287" s="81" t="str">
        <f t="shared" si="417"/>
        <v/>
      </c>
      <c r="AO287" s="88">
        <f t="shared" si="380"/>
        <v>0</v>
      </c>
      <c r="AP287" s="88">
        <f t="shared" si="381"/>
        <v>0</v>
      </c>
      <c r="AQ287" s="81" t="str">
        <f t="shared" si="382"/>
        <v/>
      </c>
      <c r="AS287" s="41" t="b">
        <f t="shared" si="383"/>
        <v>1</v>
      </c>
      <c r="AT287" s="38">
        <f t="shared" si="384"/>
        <v>0</v>
      </c>
      <c r="AU287" s="60">
        <f t="shared" si="385"/>
        <v>0</v>
      </c>
      <c r="AV287" s="41">
        <f t="shared" si="386"/>
        <v>0</v>
      </c>
      <c r="AW287" s="41" t="b">
        <f t="shared" si="387"/>
        <v>0</v>
      </c>
      <c r="AX287" t="str">
        <f t="shared" si="388"/>
        <v>+00</v>
      </c>
      <c r="AY287" t="str">
        <f t="shared" si="389"/>
        <v>+00</v>
      </c>
      <c r="BA287" s="47" t="b">
        <f t="shared" si="418"/>
        <v>1</v>
      </c>
      <c r="BB287" s="42" t="b">
        <f t="shared" si="419"/>
        <v>1</v>
      </c>
      <c r="BC287" s="42" t="b">
        <f t="shared" si="420"/>
        <v>0</v>
      </c>
      <c r="BD287" s="42" t="b">
        <f t="shared" si="421"/>
        <v>0</v>
      </c>
      <c r="BE287" s="70">
        <f t="shared" si="422"/>
        <v>0</v>
      </c>
      <c r="BF287" s="70">
        <f t="shared" si="423"/>
        <v>0</v>
      </c>
      <c r="BG287" s="34"/>
      <c r="BI287" s="47" t="b">
        <f t="shared" si="424"/>
        <v>1</v>
      </c>
      <c r="BJ287" s="47" t="b">
        <f t="shared" si="425"/>
        <v>1</v>
      </c>
      <c r="BK287" s="42" t="b">
        <f t="shared" si="426"/>
        <v>0</v>
      </c>
      <c r="BL287" s="42" t="b">
        <f t="shared" si="427"/>
        <v>0</v>
      </c>
      <c r="BM287" s="42">
        <f t="shared" si="428"/>
        <v>0</v>
      </c>
      <c r="BN287" s="42">
        <f t="shared" si="429"/>
        <v>0</v>
      </c>
      <c r="BP287" t="e">
        <f t="shared" si="430"/>
        <v>#N/A</v>
      </c>
      <c r="BQ287" t="e">
        <f t="shared" si="431"/>
        <v>#N/A</v>
      </c>
      <c r="BR287" t="e">
        <f t="shared" si="432"/>
        <v>#N/A</v>
      </c>
      <c r="BT287" s="60">
        <f t="shared" si="433"/>
        <v>0</v>
      </c>
      <c r="BU287" s="60">
        <f t="shared" si="434"/>
        <v>0</v>
      </c>
      <c r="BV287" s="60">
        <f t="shared" si="435"/>
        <v>0</v>
      </c>
      <c r="BW287" s="60">
        <f t="shared" si="436"/>
        <v>0</v>
      </c>
      <c r="BX287" s="60">
        <f t="shared" si="437"/>
        <v>0</v>
      </c>
      <c r="BY287" s="60">
        <f t="shared" si="438"/>
        <v>0</v>
      </c>
      <c r="BZ287" s="60">
        <f t="shared" si="439"/>
        <v>0</v>
      </c>
      <c r="CA287" s="60">
        <f t="shared" si="440"/>
        <v>0</v>
      </c>
      <c r="CB287" s="60" t="e">
        <f t="shared" si="390"/>
        <v>#N/A</v>
      </c>
      <c r="CC287" s="60">
        <f t="shared" si="391"/>
        <v>100000</v>
      </c>
      <c r="CD287" s="60" t="e">
        <f t="shared" si="392"/>
        <v>#N/A</v>
      </c>
      <c r="CE287" s="60">
        <f t="shared" si="393"/>
        <v>100000</v>
      </c>
      <c r="CF287" s="83" t="e">
        <f t="shared" si="441"/>
        <v>#N/A</v>
      </c>
      <c r="CG287" s="83">
        <f t="shared" si="442"/>
        <v>0</v>
      </c>
      <c r="CH287" s="83" t="e">
        <f t="shared" si="443"/>
        <v>#N/A</v>
      </c>
      <c r="CI287" s="83">
        <f t="shared" si="444"/>
        <v>0</v>
      </c>
      <c r="CJ287" s="86" t="e">
        <f t="shared" si="394"/>
        <v>#N/A</v>
      </c>
      <c r="CK287" s="82">
        <f t="shared" si="395"/>
        <v>5.3070370403969858E-3</v>
      </c>
      <c r="CL287" s="82" t="e">
        <f t="shared" si="396"/>
        <v>#N/A</v>
      </c>
      <c r="CM287" s="82">
        <f t="shared" si="397"/>
        <v>5.3070370403969858E-3</v>
      </c>
      <c r="CO287" s="149" t="str">
        <f>IF($I287&lt;&gt;"",IF(O287="User Specified",U287,INDEX('Refrigerant GWPs'!$G$2:$G$156,MATCH(O287,'Refrigerant GWPs'!$A$2:$A$156,0))),"")</f>
        <v/>
      </c>
      <c r="CP287" s="138" t="str">
        <f>IF($I287&lt;&gt;"",INDEX('Device Refrigerant Leakage'!$E$2:$E$42,MATCH($M287,'Device Refrigerant Leakage'!$B$2:$B$42,0)),"")</f>
        <v/>
      </c>
      <c r="CQ287" s="138" t="str">
        <f>IF($I287&lt;&gt;"",INDEX('Device Refrigerant Leakage'!$F$2:$F$42,MATCH($M287,'Device Refrigerant Leakage'!$B$2:$B$42,0)),"")</f>
        <v/>
      </c>
      <c r="CR287" s="145" t="str">
        <f>IF($I287&lt;&gt;"",INDEX('Device Refrigerant Leakage'!$G$2:$G$42,MATCH($M287,'Device Refrigerant Leakage'!$B$2:$B$42,0)),"")</f>
        <v/>
      </c>
      <c r="CS287" s="145" t="str">
        <f>IF($I287&lt;&gt;"",INDEX('Device Refrigerant Leakage'!$D$2:$D$42,MATCH($M287,'Device Refrigerant Leakage'!$B$2:$B$42,0))*CP287/2204.62*CO287,"")</f>
        <v/>
      </c>
      <c r="CT287" s="145" t="str">
        <f>IF($I287&lt;&gt;"",J287*(INDEX('Device Refrigerant Leakage'!$D$2:$D$42,MATCH($M287,'Device Refrigerant Leakage'!$B$2:$B$42,0))-(INDEX('Device Refrigerant Leakage'!$D$2:$D$42,MATCH($M287,'Device Refrigerant Leakage'!$B$2:$B$42,0)))*CR287*CP287)*CQ287/2204.62*CO287,"")</f>
        <v/>
      </c>
      <c r="CU287" s="135" t="str">
        <f>IF($I287&lt;&gt;"",J287*IF(W287&lt;&gt;"AR",(CS287*K287)+CT287,(CS287*AB287)+CT287*(AB287/INDEX('Device Refrigerant Leakage'!$C$2:$C$42,MATCH($M287,'Device Refrigerant Leakage'!$B$2:$B$42,0)))),"")</f>
        <v/>
      </c>
      <c r="CW287" s="135" t="str">
        <f>IF($I287&lt;&gt;"",IF(S287="User Specified",V287,INDEX('Refrigerant GWPs'!$G$2:$G$156,MATCH(S287,'Refrigerant GWPs'!$A$2:$A$157,0))),"")</f>
        <v/>
      </c>
      <c r="CX287" s="138" t="str">
        <f>IF($I287&lt;&gt;"",INDEX('Device Refrigerant Leakage'!$E$2:$E$42,MATCH($Q287,'Device Refrigerant Leakage'!$B$2:$B$42,0)),"")</f>
        <v/>
      </c>
      <c r="CY287" s="138" t="str">
        <f>IF($I287&lt;&gt;"",INDEX('Device Refrigerant Leakage'!$F$2:$F$42,MATCH($Q287,'Device Refrigerant Leakage'!$B$2:$B$42,0)),"")</f>
        <v/>
      </c>
      <c r="CZ287" s="145" t="str">
        <f>IF($I287&lt;&gt;"",INDEX('Device Refrigerant Leakage'!$G$2:$G$42,MATCH($Q287,'Device Refrigerant Leakage'!$B$2:$B$42,0)),"")</f>
        <v/>
      </c>
      <c r="DA287" s="145" t="str">
        <f>IF($I287&lt;&gt;"",J287*INDEX('Device Refrigerant Leakage'!$D$2:$D$42,MATCH($Q287,'Device Refrigerant Leakage'!$B$2:$B$42,0))*CX287/2204.62*CW287,"")</f>
        <v/>
      </c>
      <c r="DB287" s="145" t="str">
        <f>IF($I287&lt;&gt;"",J287*(INDEX('Device Refrigerant Leakage'!$D$2:$D$42,MATCH($Q287,'Device Refrigerant Leakage'!$B$2:$B$42,0))-(INDEX('Device Refrigerant Leakage'!$D$2:$D$42,MATCH($Q287,'Device Refrigerant Leakage'!$B$2:$B$42,0)))*CZ287*CX287)*CY287/2204.62*CW287,"")</f>
        <v/>
      </c>
      <c r="DC287" s="135" t="str">
        <f t="shared" si="416"/>
        <v/>
      </c>
      <c r="DE287" s="146" t="str">
        <f>IF(W287&lt;&gt;"AR","",IF(Y287="User Specified", AA287, INDEX('Refrigerant GWPs'!$G$2:$G$154,MATCH(Y287,'Refrigerant GWPs'!$A$2:$A$154,0))))</f>
        <v/>
      </c>
      <c r="DF287" s="146" t="str">
        <f>IF(W287&lt;&gt;"AR","",INDEX('Device Refrigerant Leakage'!$E$2:$E$42,MATCH(X287,'Device Refrigerant Leakage'!$B$2:$B$42,0)))</f>
        <v/>
      </c>
      <c r="DG287" s="146" t="str">
        <f>IF(W287&lt;&gt;"AR","",INDEX('Device Refrigerant Leakage'!$F$2:$F$42,MATCH(X287,'Device Refrigerant Leakage'!$B$2:$B$42,0)))</f>
        <v/>
      </c>
      <c r="DH287" s="146" t="str">
        <f>IF(W287&lt;&gt;"AR","",INDEX('Device Refrigerant Leakage'!$G$2:$G$42,MATCH(X287,'Device Refrigerant Leakage'!$B$2:$B$42,0)))</f>
        <v/>
      </c>
      <c r="DI287" s="146" t="str">
        <f>IF(W287&lt;&gt;"AR","",J287*INDEX('Device Refrigerant Leakage'!$D$2:$D$42,MATCH(X287,'Device Refrigerant Leakage'!$B$2:$B$42,0))*DF287/2204.62*DE287)</f>
        <v/>
      </c>
      <c r="DJ287" s="146" t="str">
        <f>IF(W287&lt;&gt;"AR","",J287*(INDEX('Device Refrigerant Leakage'!$D$2:$D$42,MATCH(X287,'Device Refrigerant Leakage'!$B$2:$B$42,0))-(INDEX('Device Refrigerant Leakage'!$D$2:$D$42,MATCH(X287,'Device Refrigerant Leakage'!$B$2:$B$42,0)))*DH287*DF287)*DG287/2204.62*DE287)</f>
        <v/>
      </c>
      <c r="DK287" s="146" t="str">
        <f>IF(W287&lt;&gt;"AR","",DI287*(K287-AB287)+'Fuel Sub Calcs-Deemed'!DJ287*((K287-AB287)/INDEX('Device Refrigerant Leakage'!$C$2:$C$42,MATCH('Fuel Sub Calcs-Deemed'!X287,'Device Refrigerant Leakage'!$B$2:$B$42,0))))</f>
        <v/>
      </c>
      <c r="DM287" s="56">
        <v>273</v>
      </c>
      <c r="DN287" s="67" t="e">
        <f t="shared" si="398"/>
        <v>#N/A</v>
      </c>
      <c r="DO287" s="45" t="e">
        <f t="shared" si="399"/>
        <v>#N/A</v>
      </c>
      <c r="DP287" s="67" t="e">
        <f t="shared" si="400"/>
        <v>#N/A</v>
      </c>
      <c r="DQ287" s="45" t="e">
        <f t="shared" si="401"/>
        <v>#N/A</v>
      </c>
      <c r="DR287" s="69" t="e">
        <f t="shared" si="402"/>
        <v>#N/A</v>
      </c>
      <c r="DS287" s="34"/>
      <c r="DT287" s="67" t="e">
        <f>((BX287*CJ287)+IF($W287=MAT_AR,(BZ287*CL287),0))*(1+Reference!$E$50+Reference!$E$51)</f>
        <v>#N/A</v>
      </c>
      <c r="DU287" s="67">
        <f>((BY287*CK287)+IF($W287=MAT_AR,(CA287*CM287),0))*(1+Reference!$G$50+Reference!$G$51)</f>
        <v>0</v>
      </c>
      <c r="DV287" s="67" t="e">
        <f t="shared" si="403"/>
        <v>#VALUE!</v>
      </c>
      <c r="DX287" s="56">
        <v>273</v>
      </c>
      <c r="DY287" s="67">
        <f t="shared" si="404"/>
        <v>0</v>
      </c>
      <c r="DZ287" s="45" t="e">
        <f>VLOOKUP($R287,Dropdown!$C$3:$D$4,2,FALSE)</f>
        <v>#N/A</v>
      </c>
      <c r="EA287" s="68">
        <f t="shared" si="405"/>
        <v>0</v>
      </c>
      <c r="EB287" s="68" t="str">
        <f t="shared" si="406"/>
        <v>N/A</v>
      </c>
      <c r="EC287" s="68">
        <f t="shared" si="407"/>
        <v>0</v>
      </c>
      <c r="ED287" s="68" t="str">
        <f t="shared" si="445"/>
        <v>N/A</v>
      </c>
      <c r="EF287" s="56">
        <v>273</v>
      </c>
      <c r="EG287" s="46">
        <f t="shared" si="408"/>
        <v>0</v>
      </c>
      <c r="EH287" s="68" t="e">
        <f t="shared" si="409"/>
        <v>#N/A</v>
      </c>
      <c r="EI287" s="68" t="e">
        <f t="shared" si="410"/>
        <v>#N/A</v>
      </c>
      <c r="EJ287" s="68" t="e">
        <f t="shared" si="411"/>
        <v>#N/A</v>
      </c>
      <c r="EK287" s="68" t="e">
        <f t="shared" si="412"/>
        <v>#N/A</v>
      </c>
      <c r="EL287" s="46">
        <f t="shared" si="413"/>
        <v>0</v>
      </c>
      <c r="EM287" s="46">
        <f t="shared" si="414"/>
        <v>0</v>
      </c>
    </row>
    <row r="288" spans="1:143">
      <c r="A288" s="89"/>
      <c r="B288" s="89"/>
      <c r="C288" s="89"/>
      <c r="D288" s="89"/>
      <c r="E288" s="89"/>
      <c r="F288" s="89"/>
      <c r="G288" s="34"/>
      <c r="H288" s="56">
        <f t="shared" si="415"/>
        <v>274</v>
      </c>
      <c r="I288" s="165"/>
      <c r="J288" s="163"/>
      <c r="K288" s="163"/>
      <c r="L288" s="164"/>
      <c r="M288" s="155"/>
      <c r="N288" s="155"/>
      <c r="O288" s="144"/>
      <c r="P288" s="159" t="str">
        <f>IFERROR(IF(O288&lt;&gt;"User Specified",IF(O288&lt;&gt;"", INDEX('Refrigerant GWPs'!$G$2:$G$154,MATCH(O288,'Refrigerant GWPs'!$A$2:$A$154,0)),""),U288),0)</f>
        <v/>
      </c>
      <c r="Q288" s="155"/>
      <c r="R288" s="155"/>
      <c r="S288" s="144"/>
      <c r="T288" s="159" t="str">
        <f>IF(S288&lt;&gt;"User Specified",IF(AND(S288&lt;&gt;"User Specified",S288&lt;&gt;""), INDEX('Refrigerant GWPs'!$G$2:$G$154,MATCH(S288,'Refrigerant GWPs'!$A$2:$A$154,0)),""),V288)</f>
        <v/>
      </c>
      <c r="U288" s="144"/>
      <c r="V288" s="144"/>
      <c r="W288" s="155"/>
      <c r="X288" s="155"/>
      <c r="Y288" s="144"/>
      <c r="Z288" s="159" t="str">
        <f>IF(AND(Y288&lt;&gt;"User Specified",Y288&lt;&gt;""), INDEX('Refrigerant GWPs'!$G$2:$G$154,MATCH(Y288,'Refrigerant GWPs'!$A$2:$A$154,0)),"")</f>
        <v/>
      </c>
      <c r="AA288" s="155"/>
      <c r="AB288" s="156"/>
      <c r="AC288" s="66"/>
      <c r="AD288" s="66"/>
      <c r="AE288" s="66"/>
      <c r="AF288" s="66"/>
      <c r="AG288" s="66"/>
      <c r="AH288" s="66"/>
      <c r="AI288" s="34"/>
      <c r="AJ288" s="88">
        <f t="shared" si="378"/>
        <v>0</v>
      </c>
      <c r="AK288" s="88">
        <f t="shared" si="379"/>
        <v>0</v>
      </c>
      <c r="AL288" s="88">
        <v>0</v>
      </c>
      <c r="AM288" s="88">
        <v>0</v>
      </c>
      <c r="AN288" s="81" t="str">
        <f t="shared" si="417"/>
        <v/>
      </c>
      <c r="AO288" s="88">
        <f t="shared" si="380"/>
        <v>0</v>
      </c>
      <c r="AP288" s="88">
        <f t="shared" si="381"/>
        <v>0</v>
      </c>
      <c r="AQ288" s="81" t="str">
        <f t="shared" si="382"/>
        <v/>
      </c>
      <c r="AS288" s="41" t="b">
        <f t="shared" si="383"/>
        <v>1</v>
      </c>
      <c r="AT288" s="38">
        <f t="shared" si="384"/>
        <v>0</v>
      </c>
      <c r="AU288" s="60">
        <f t="shared" si="385"/>
        <v>0</v>
      </c>
      <c r="AV288" s="41">
        <f t="shared" si="386"/>
        <v>0</v>
      </c>
      <c r="AW288" s="41" t="b">
        <f t="shared" si="387"/>
        <v>0</v>
      </c>
      <c r="AX288" t="str">
        <f t="shared" si="388"/>
        <v>+00</v>
      </c>
      <c r="AY288" t="str">
        <f t="shared" si="389"/>
        <v>+00</v>
      </c>
      <c r="BA288" s="47" t="b">
        <f t="shared" si="418"/>
        <v>1</v>
      </c>
      <c r="BB288" s="42" t="b">
        <f t="shared" si="419"/>
        <v>1</v>
      </c>
      <c r="BC288" s="42" t="b">
        <f t="shared" si="420"/>
        <v>0</v>
      </c>
      <c r="BD288" s="42" t="b">
        <f t="shared" si="421"/>
        <v>0</v>
      </c>
      <c r="BE288" s="70">
        <f t="shared" si="422"/>
        <v>0</v>
      </c>
      <c r="BF288" s="70">
        <f t="shared" si="423"/>
        <v>0</v>
      </c>
      <c r="BG288" s="34"/>
      <c r="BI288" s="47" t="b">
        <f t="shared" si="424"/>
        <v>1</v>
      </c>
      <c r="BJ288" s="47" t="b">
        <f t="shared" si="425"/>
        <v>1</v>
      </c>
      <c r="BK288" s="42" t="b">
        <f t="shared" si="426"/>
        <v>0</v>
      </c>
      <c r="BL288" s="42" t="b">
        <f t="shared" si="427"/>
        <v>0</v>
      </c>
      <c r="BM288" s="42">
        <f t="shared" si="428"/>
        <v>0</v>
      </c>
      <c r="BN288" s="42">
        <f t="shared" si="429"/>
        <v>0</v>
      </c>
      <c r="BP288" t="e">
        <f t="shared" si="430"/>
        <v>#N/A</v>
      </c>
      <c r="BQ288" t="e">
        <f t="shared" si="431"/>
        <v>#N/A</v>
      </c>
      <c r="BR288" t="e">
        <f t="shared" si="432"/>
        <v>#N/A</v>
      </c>
      <c r="BT288" s="60">
        <f t="shared" si="433"/>
        <v>0</v>
      </c>
      <c r="BU288" s="60">
        <f t="shared" si="434"/>
        <v>0</v>
      </c>
      <c r="BV288" s="60">
        <f t="shared" si="435"/>
        <v>0</v>
      </c>
      <c r="BW288" s="60">
        <f t="shared" si="436"/>
        <v>0</v>
      </c>
      <c r="BX288" s="60">
        <f t="shared" si="437"/>
        <v>0</v>
      </c>
      <c r="BY288" s="60">
        <f t="shared" si="438"/>
        <v>0</v>
      </c>
      <c r="BZ288" s="60">
        <f t="shared" si="439"/>
        <v>0</v>
      </c>
      <c r="CA288" s="60">
        <f t="shared" si="440"/>
        <v>0</v>
      </c>
      <c r="CB288" s="60" t="e">
        <f t="shared" si="390"/>
        <v>#N/A</v>
      </c>
      <c r="CC288" s="60">
        <f t="shared" si="391"/>
        <v>100000</v>
      </c>
      <c r="CD288" s="60" t="e">
        <f t="shared" si="392"/>
        <v>#N/A</v>
      </c>
      <c r="CE288" s="60">
        <f t="shared" si="393"/>
        <v>100000</v>
      </c>
      <c r="CF288" s="83" t="e">
        <f t="shared" si="441"/>
        <v>#N/A</v>
      </c>
      <c r="CG288" s="83">
        <f t="shared" si="442"/>
        <v>0</v>
      </c>
      <c r="CH288" s="83" t="e">
        <f t="shared" si="443"/>
        <v>#N/A</v>
      </c>
      <c r="CI288" s="83">
        <f t="shared" si="444"/>
        <v>0</v>
      </c>
      <c r="CJ288" s="86" t="e">
        <f t="shared" si="394"/>
        <v>#N/A</v>
      </c>
      <c r="CK288" s="82">
        <f t="shared" si="395"/>
        <v>5.3070370403969858E-3</v>
      </c>
      <c r="CL288" s="82" t="e">
        <f t="shared" si="396"/>
        <v>#N/A</v>
      </c>
      <c r="CM288" s="82">
        <f t="shared" si="397"/>
        <v>5.3070370403969858E-3</v>
      </c>
      <c r="CO288" s="149" t="str">
        <f>IF($I288&lt;&gt;"",IF(O288="User Specified",U288,INDEX('Refrigerant GWPs'!$G$2:$G$156,MATCH(O288,'Refrigerant GWPs'!$A$2:$A$156,0))),"")</f>
        <v/>
      </c>
      <c r="CP288" s="138" t="str">
        <f>IF($I288&lt;&gt;"",INDEX('Device Refrigerant Leakage'!$E$2:$E$42,MATCH($M288,'Device Refrigerant Leakage'!$B$2:$B$42,0)),"")</f>
        <v/>
      </c>
      <c r="CQ288" s="138" t="str">
        <f>IF($I288&lt;&gt;"",INDEX('Device Refrigerant Leakage'!$F$2:$F$42,MATCH($M288,'Device Refrigerant Leakage'!$B$2:$B$42,0)),"")</f>
        <v/>
      </c>
      <c r="CR288" s="145" t="str">
        <f>IF($I288&lt;&gt;"",INDEX('Device Refrigerant Leakage'!$G$2:$G$42,MATCH($M288,'Device Refrigerant Leakage'!$B$2:$B$42,0)),"")</f>
        <v/>
      </c>
      <c r="CS288" s="145" t="str">
        <f>IF($I288&lt;&gt;"",INDEX('Device Refrigerant Leakage'!$D$2:$D$42,MATCH($M288,'Device Refrigerant Leakage'!$B$2:$B$42,0))*CP288/2204.62*CO288,"")</f>
        <v/>
      </c>
      <c r="CT288" s="145" t="str">
        <f>IF($I288&lt;&gt;"",J288*(INDEX('Device Refrigerant Leakage'!$D$2:$D$42,MATCH($M288,'Device Refrigerant Leakage'!$B$2:$B$42,0))-(INDEX('Device Refrigerant Leakage'!$D$2:$D$42,MATCH($M288,'Device Refrigerant Leakage'!$B$2:$B$42,0)))*CR288*CP288)*CQ288/2204.62*CO288,"")</f>
        <v/>
      </c>
      <c r="CU288" s="135" t="str">
        <f>IF($I288&lt;&gt;"",J288*IF(W288&lt;&gt;"AR",(CS288*K288)+CT288,(CS288*AB288)+CT288*(AB288/INDEX('Device Refrigerant Leakage'!$C$2:$C$42,MATCH($M288,'Device Refrigerant Leakage'!$B$2:$B$42,0)))),"")</f>
        <v/>
      </c>
      <c r="CW288" s="135" t="str">
        <f>IF($I288&lt;&gt;"",IF(S288="User Specified",V288,INDEX('Refrigerant GWPs'!$G$2:$G$156,MATCH(S288,'Refrigerant GWPs'!$A$2:$A$157,0))),"")</f>
        <v/>
      </c>
      <c r="CX288" s="138" t="str">
        <f>IF($I288&lt;&gt;"",INDEX('Device Refrigerant Leakage'!$E$2:$E$42,MATCH($Q288,'Device Refrigerant Leakage'!$B$2:$B$42,0)),"")</f>
        <v/>
      </c>
      <c r="CY288" s="138" t="str">
        <f>IF($I288&lt;&gt;"",INDEX('Device Refrigerant Leakage'!$F$2:$F$42,MATCH($Q288,'Device Refrigerant Leakage'!$B$2:$B$42,0)),"")</f>
        <v/>
      </c>
      <c r="CZ288" s="145" t="str">
        <f>IF($I288&lt;&gt;"",INDEX('Device Refrigerant Leakage'!$G$2:$G$42,MATCH($Q288,'Device Refrigerant Leakage'!$B$2:$B$42,0)),"")</f>
        <v/>
      </c>
      <c r="DA288" s="145" t="str">
        <f>IF($I288&lt;&gt;"",J288*INDEX('Device Refrigerant Leakage'!$D$2:$D$42,MATCH($Q288,'Device Refrigerant Leakage'!$B$2:$B$42,0))*CX288/2204.62*CW288,"")</f>
        <v/>
      </c>
      <c r="DB288" s="145" t="str">
        <f>IF($I288&lt;&gt;"",J288*(INDEX('Device Refrigerant Leakage'!$D$2:$D$42,MATCH($Q288,'Device Refrigerant Leakage'!$B$2:$B$42,0))-(INDEX('Device Refrigerant Leakage'!$D$2:$D$42,MATCH($Q288,'Device Refrigerant Leakage'!$B$2:$B$42,0)))*CZ288*CX288)*CY288/2204.62*CW288,"")</f>
        <v/>
      </c>
      <c r="DC288" s="135" t="str">
        <f t="shared" si="416"/>
        <v/>
      </c>
      <c r="DE288" s="146" t="str">
        <f>IF(W288&lt;&gt;"AR","",IF(Y288="User Specified", AA288, INDEX('Refrigerant GWPs'!$G$2:$G$154,MATCH(Y288,'Refrigerant GWPs'!$A$2:$A$154,0))))</f>
        <v/>
      </c>
      <c r="DF288" s="146" t="str">
        <f>IF(W288&lt;&gt;"AR","",INDEX('Device Refrigerant Leakage'!$E$2:$E$42,MATCH(X288,'Device Refrigerant Leakage'!$B$2:$B$42,0)))</f>
        <v/>
      </c>
      <c r="DG288" s="146" t="str">
        <f>IF(W288&lt;&gt;"AR","",INDEX('Device Refrigerant Leakage'!$F$2:$F$42,MATCH(X288,'Device Refrigerant Leakage'!$B$2:$B$42,0)))</f>
        <v/>
      </c>
      <c r="DH288" s="146" t="str">
        <f>IF(W288&lt;&gt;"AR","",INDEX('Device Refrigerant Leakage'!$G$2:$G$42,MATCH(X288,'Device Refrigerant Leakage'!$B$2:$B$42,0)))</f>
        <v/>
      </c>
      <c r="DI288" s="146" t="str">
        <f>IF(W288&lt;&gt;"AR","",J288*INDEX('Device Refrigerant Leakage'!$D$2:$D$42,MATCH(X288,'Device Refrigerant Leakage'!$B$2:$B$42,0))*DF288/2204.62*DE288)</f>
        <v/>
      </c>
      <c r="DJ288" s="146" t="str">
        <f>IF(W288&lt;&gt;"AR","",J288*(INDEX('Device Refrigerant Leakage'!$D$2:$D$42,MATCH(X288,'Device Refrigerant Leakage'!$B$2:$B$42,0))-(INDEX('Device Refrigerant Leakage'!$D$2:$D$42,MATCH(X288,'Device Refrigerant Leakage'!$B$2:$B$42,0)))*DH288*DF288)*DG288/2204.62*DE288)</f>
        <v/>
      </c>
      <c r="DK288" s="146" t="str">
        <f>IF(W288&lt;&gt;"AR","",DI288*(K288-AB288)+'Fuel Sub Calcs-Deemed'!DJ288*((K288-AB288)/INDEX('Device Refrigerant Leakage'!$C$2:$C$42,MATCH('Fuel Sub Calcs-Deemed'!X288,'Device Refrigerant Leakage'!$B$2:$B$42,0))))</f>
        <v/>
      </c>
      <c r="DM288" s="56">
        <v>274</v>
      </c>
      <c r="DN288" s="67" t="e">
        <f t="shared" si="398"/>
        <v>#N/A</v>
      </c>
      <c r="DO288" s="45" t="e">
        <f t="shared" si="399"/>
        <v>#N/A</v>
      </c>
      <c r="DP288" s="67" t="e">
        <f t="shared" si="400"/>
        <v>#N/A</v>
      </c>
      <c r="DQ288" s="45" t="e">
        <f t="shared" si="401"/>
        <v>#N/A</v>
      </c>
      <c r="DR288" s="69" t="e">
        <f t="shared" si="402"/>
        <v>#N/A</v>
      </c>
      <c r="DS288" s="34"/>
      <c r="DT288" s="67" t="e">
        <f>((BX288*CJ288)+IF($W288=MAT_AR,(BZ288*CL288),0))*(1+Reference!$E$50+Reference!$E$51)</f>
        <v>#N/A</v>
      </c>
      <c r="DU288" s="67">
        <f>((BY288*CK288)+IF($W288=MAT_AR,(CA288*CM288),0))*(1+Reference!$G$50+Reference!$G$51)</f>
        <v>0</v>
      </c>
      <c r="DV288" s="67" t="e">
        <f t="shared" si="403"/>
        <v>#VALUE!</v>
      </c>
      <c r="DX288" s="56">
        <v>274</v>
      </c>
      <c r="DY288" s="67">
        <f t="shared" si="404"/>
        <v>0</v>
      </c>
      <c r="DZ288" s="45" t="e">
        <f>VLOOKUP($R288,Dropdown!$C$3:$D$4,2,FALSE)</f>
        <v>#N/A</v>
      </c>
      <c r="EA288" s="68">
        <f t="shared" si="405"/>
        <v>0</v>
      </c>
      <c r="EB288" s="68" t="str">
        <f t="shared" si="406"/>
        <v>N/A</v>
      </c>
      <c r="EC288" s="68">
        <f t="shared" si="407"/>
        <v>0</v>
      </c>
      <c r="ED288" s="68" t="str">
        <f t="shared" si="445"/>
        <v>N/A</v>
      </c>
      <c r="EF288" s="56">
        <v>274</v>
      </c>
      <c r="EG288" s="46">
        <f t="shared" si="408"/>
        <v>0</v>
      </c>
      <c r="EH288" s="68" t="e">
        <f t="shared" si="409"/>
        <v>#N/A</v>
      </c>
      <c r="EI288" s="68" t="e">
        <f t="shared" si="410"/>
        <v>#N/A</v>
      </c>
      <c r="EJ288" s="68" t="e">
        <f t="shared" si="411"/>
        <v>#N/A</v>
      </c>
      <c r="EK288" s="68" t="e">
        <f t="shared" si="412"/>
        <v>#N/A</v>
      </c>
      <c r="EL288" s="46">
        <f t="shared" si="413"/>
        <v>0</v>
      </c>
      <c r="EM288" s="46">
        <f t="shared" si="414"/>
        <v>0</v>
      </c>
    </row>
    <row r="289" spans="1:143">
      <c r="A289" s="89"/>
      <c r="B289" s="89"/>
      <c r="C289" s="89"/>
      <c r="D289" s="89"/>
      <c r="E289" s="89"/>
      <c r="F289" s="89"/>
      <c r="G289" s="34"/>
      <c r="H289" s="56">
        <f t="shared" si="415"/>
        <v>275</v>
      </c>
      <c r="I289" s="165"/>
      <c r="J289" s="163"/>
      <c r="K289" s="163"/>
      <c r="L289" s="164"/>
      <c r="M289" s="155"/>
      <c r="N289" s="155"/>
      <c r="O289" s="144"/>
      <c r="P289" s="159" t="str">
        <f>IFERROR(IF(O289&lt;&gt;"User Specified",IF(O289&lt;&gt;"", INDEX('Refrigerant GWPs'!$G$2:$G$154,MATCH(O289,'Refrigerant GWPs'!$A$2:$A$154,0)),""),U289),0)</f>
        <v/>
      </c>
      <c r="Q289" s="155"/>
      <c r="R289" s="155"/>
      <c r="S289" s="144"/>
      <c r="T289" s="159" t="str">
        <f>IF(S289&lt;&gt;"User Specified",IF(AND(S289&lt;&gt;"User Specified",S289&lt;&gt;""), INDEX('Refrigerant GWPs'!$G$2:$G$154,MATCH(S289,'Refrigerant GWPs'!$A$2:$A$154,0)),""),V289)</f>
        <v/>
      </c>
      <c r="U289" s="144"/>
      <c r="V289" s="144"/>
      <c r="W289" s="155"/>
      <c r="X289" s="155"/>
      <c r="Y289" s="144"/>
      <c r="Z289" s="159" t="str">
        <f>IF(AND(Y289&lt;&gt;"User Specified",Y289&lt;&gt;""), INDEX('Refrigerant GWPs'!$G$2:$G$154,MATCH(Y289,'Refrigerant GWPs'!$A$2:$A$154,0)),"")</f>
        <v/>
      </c>
      <c r="AA289" s="155"/>
      <c r="AB289" s="156"/>
      <c r="AC289" s="66"/>
      <c r="AD289" s="66"/>
      <c r="AE289" s="66"/>
      <c r="AF289" s="66"/>
      <c r="AG289" s="66"/>
      <c r="AH289" s="66"/>
      <c r="AI289" s="34"/>
      <c r="AJ289" s="88">
        <f t="shared" si="378"/>
        <v>0</v>
      </c>
      <c r="AK289" s="88">
        <f t="shared" si="379"/>
        <v>0</v>
      </c>
      <c r="AL289" s="88">
        <v>0</v>
      </c>
      <c r="AM289" s="88">
        <v>0</v>
      </c>
      <c r="AN289" s="81" t="str">
        <f t="shared" si="417"/>
        <v/>
      </c>
      <c r="AO289" s="88">
        <f t="shared" si="380"/>
        <v>0</v>
      </c>
      <c r="AP289" s="88">
        <f t="shared" si="381"/>
        <v>0</v>
      </c>
      <c r="AQ289" s="81" t="str">
        <f t="shared" si="382"/>
        <v/>
      </c>
      <c r="AS289" s="41" t="b">
        <f t="shared" si="383"/>
        <v>1</v>
      </c>
      <c r="AT289" s="38">
        <f t="shared" si="384"/>
        <v>0</v>
      </c>
      <c r="AU289" s="60">
        <f t="shared" si="385"/>
        <v>0</v>
      </c>
      <c r="AV289" s="41">
        <f t="shared" si="386"/>
        <v>0</v>
      </c>
      <c r="AW289" s="41" t="b">
        <f t="shared" si="387"/>
        <v>0</v>
      </c>
      <c r="AX289" t="str">
        <f t="shared" si="388"/>
        <v>+00</v>
      </c>
      <c r="AY289" t="str">
        <f t="shared" si="389"/>
        <v>+00</v>
      </c>
      <c r="BA289" s="47" t="b">
        <f t="shared" si="418"/>
        <v>1</v>
      </c>
      <c r="BB289" s="42" t="b">
        <f t="shared" si="419"/>
        <v>1</v>
      </c>
      <c r="BC289" s="42" t="b">
        <f t="shared" si="420"/>
        <v>0</v>
      </c>
      <c r="BD289" s="42" t="b">
        <f t="shared" si="421"/>
        <v>0</v>
      </c>
      <c r="BE289" s="70">
        <f t="shared" si="422"/>
        <v>0</v>
      </c>
      <c r="BF289" s="70">
        <f t="shared" si="423"/>
        <v>0</v>
      </c>
      <c r="BG289" s="34"/>
      <c r="BI289" s="47" t="b">
        <f t="shared" si="424"/>
        <v>1</v>
      </c>
      <c r="BJ289" s="47" t="b">
        <f t="shared" si="425"/>
        <v>1</v>
      </c>
      <c r="BK289" s="42" t="b">
        <f t="shared" si="426"/>
        <v>0</v>
      </c>
      <c r="BL289" s="42" t="b">
        <f t="shared" si="427"/>
        <v>0</v>
      </c>
      <c r="BM289" s="42">
        <f t="shared" si="428"/>
        <v>0</v>
      </c>
      <c r="BN289" s="42">
        <f t="shared" si="429"/>
        <v>0</v>
      </c>
      <c r="BP289" t="e">
        <f t="shared" si="430"/>
        <v>#N/A</v>
      </c>
      <c r="BQ289" t="e">
        <f t="shared" si="431"/>
        <v>#N/A</v>
      </c>
      <c r="BR289" t="e">
        <f t="shared" si="432"/>
        <v>#N/A</v>
      </c>
      <c r="BT289" s="60">
        <f t="shared" si="433"/>
        <v>0</v>
      </c>
      <c r="BU289" s="60">
        <f t="shared" si="434"/>
        <v>0</v>
      </c>
      <c r="BV289" s="60">
        <f t="shared" si="435"/>
        <v>0</v>
      </c>
      <c r="BW289" s="60">
        <f t="shared" si="436"/>
        <v>0</v>
      </c>
      <c r="BX289" s="60">
        <f t="shared" si="437"/>
        <v>0</v>
      </c>
      <c r="BY289" s="60">
        <f t="shared" si="438"/>
        <v>0</v>
      </c>
      <c r="BZ289" s="60">
        <f t="shared" si="439"/>
        <v>0</v>
      </c>
      <c r="CA289" s="60">
        <f t="shared" si="440"/>
        <v>0</v>
      </c>
      <c r="CB289" s="60" t="e">
        <f t="shared" si="390"/>
        <v>#N/A</v>
      </c>
      <c r="CC289" s="60">
        <f t="shared" si="391"/>
        <v>100000</v>
      </c>
      <c r="CD289" s="60" t="e">
        <f t="shared" si="392"/>
        <v>#N/A</v>
      </c>
      <c r="CE289" s="60">
        <f t="shared" si="393"/>
        <v>100000</v>
      </c>
      <c r="CF289" s="83" t="e">
        <f t="shared" si="441"/>
        <v>#N/A</v>
      </c>
      <c r="CG289" s="83">
        <f t="shared" si="442"/>
        <v>0</v>
      </c>
      <c r="CH289" s="83" t="e">
        <f t="shared" si="443"/>
        <v>#N/A</v>
      </c>
      <c r="CI289" s="83">
        <f t="shared" si="444"/>
        <v>0</v>
      </c>
      <c r="CJ289" s="86" t="e">
        <f t="shared" si="394"/>
        <v>#N/A</v>
      </c>
      <c r="CK289" s="82">
        <f t="shared" si="395"/>
        <v>5.3070370403969858E-3</v>
      </c>
      <c r="CL289" s="82" t="e">
        <f t="shared" si="396"/>
        <v>#N/A</v>
      </c>
      <c r="CM289" s="82">
        <f t="shared" si="397"/>
        <v>5.3070370403969858E-3</v>
      </c>
      <c r="CO289" s="149" t="str">
        <f>IF($I289&lt;&gt;"",IF(O289="User Specified",U289,INDEX('Refrigerant GWPs'!$G$2:$G$156,MATCH(O289,'Refrigerant GWPs'!$A$2:$A$156,0))),"")</f>
        <v/>
      </c>
      <c r="CP289" s="138" t="str">
        <f>IF($I289&lt;&gt;"",INDEX('Device Refrigerant Leakage'!$E$2:$E$42,MATCH($M289,'Device Refrigerant Leakage'!$B$2:$B$42,0)),"")</f>
        <v/>
      </c>
      <c r="CQ289" s="138" t="str">
        <f>IF($I289&lt;&gt;"",INDEX('Device Refrigerant Leakage'!$F$2:$F$42,MATCH($M289,'Device Refrigerant Leakage'!$B$2:$B$42,0)),"")</f>
        <v/>
      </c>
      <c r="CR289" s="145" t="str">
        <f>IF($I289&lt;&gt;"",INDEX('Device Refrigerant Leakage'!$G$2:$G$42,MATCH($M289,'Device Refrigerant Leakage'!$B$2:$B$42,0)),"")</f>
        <v/>
      </c>
      <c r="CS289" s="145" t="str">
        <f>IF($I289&lt;&gt;"",INDEX('Device Refrigerant Leakage'!$D$2:$D$42,MATCH($M289,'Device Refrigerant Leakage'!$B$2:$B$42,0))*CP289/2204.62*CO289,"")</f>
        <v/>
      </c>
      <c r="CT289" s="145" t="str">
        <f>IF($I289&lt;&gt;"",J289*(INDEX('Device Refrigerant Leakage'!$D$2:$D$42,MATCH($M289,'Device Refrigerant Leakage'!$B$2:$B$42,0))-(INDEX('Device Refrigerant Leakage'!$D$2:$D$42,MATCH($M289,'Device Refrigerant Leakage'!$B$2:$B$42,0)))*CR289*CP289)*CQ289/2204.62*CO289,"")</f>
        <v/>
      </c>
      <c r="CU289" s="135" t="str">
        <f>IF($I289&lt;&gt;"",J289*IF(W289&lt;&gt;"AR",(CS289*K289)+CT289,(CS289*AB289)+CT289*(AB289/INDEX('Device Refrigerant Leakage'!$C$2:$C$42,MATCH($M289,'Device Refrigerant Leakage'!$B$2:$B$42,0)))),"")</f>
        <v/>
      </c>
      <c r="CW289" s="135" t="str">
        <f>IF($I289&lt;&gt;"",IF(S289="User Specified",V289,INDEX('Refrigerant GWPs'!$G$2:$G$156,MATCH(S289,'Refrigerant GWPs'!$A$2:$A$157,0))),"")</f>
        <v/>
      </c>
      <c r="CX289" s="138" t="str">
        <f>IF($I289&lt;&gt;"",INDEX('Device Refrigerant Leakage'!$E$2:$E$42,MATCH($Q289,'Device Refrigerant Leakage'!$B$2:$B$42,0)),"")</f>
        <v/>
      </c>
      <c r="CY289" s="138" t="str">
        <f>IF($I289&lt;&gt;"",INDEX('Device Refrigerant Leakage'!$F$2:$F$42,MATCH($Q289,'Device Refrigerant Leakage'!$B$2:$B$42,0)),"")</f>
        <v/>
      </c>
      <c r="CZ289" s="145" t="str">
        <f>IF($I289&lt;&gt;"",INDEX('Device Refrigerant Leakage'!$G$2:$G$42,MATCH($Q289,'Device Refrigerant Leakage'!$B$2:$B$42,0)),"")</f>
        <v/>
      </c>
      <c r="DA289" s="145" t="str">
        <f>IF($I289&lt;&gt;"",J289*INDEX('Device Refrigerant Leakage'!$D$2:$D$42,MATCH($Q289,'Device Refrigerant Leakage'!$B$2:$B$42,0))*CX289/2204.62*CW289,"")</f>
        <v/>
      </c>
      <c r="DB289" s="145" t="str">
        <f>IF($I289&lt;&gt;"",J289*(INDEX('Device Refrigerant Leakage'!$D$2:$D$42,MATCH($Q289,'Device Refrigerant Leakage'!$B$2:$B$42,0))-(INDEX('Device Refrigerant Leakage'!$D$2:$D$42,MATCH($Q289,'Device Refrigerant Leakage'!$B$2:$B$42,0)))*CZ289*CX289)*CY289/2204.62*CW289,"")</f>
        <v/>
      </c>
      <c r="DC289" s="135" t="str">
        <f t="shared" si="416"/>
        <v/>
      </c>
      <c r="DE289" s="146" t="str">
        <f>IF(W289&lt;&gt;"AR","",IF(Y289="User Specified", AA289, INDEX('Refrigerant GWPs'!$G$2:$G$154,MATCH(Y289,'Refrigerant GWPs'!$A$2:$A$154,0))))</f>
        <v/>
      </c>
      <c r="DF289" s="146" t="str">
        <f>IF(W289&lt;&gt;"AR","",INDEX('Device Refrigerant Leakage'!$E$2:$E$42,MATCH(X289,'Device Refrigerant Leakage'!$B$2:$B$42,0)))</f>
        <v/>
      </c>
      <c r="DG289" s="146" t="str">
        <f>IF(W289&lt;&gt;"AR","",INDEX('Device Refrigerant Leakage'!$F$2:$F$42,MATCH(X289,'Device Refrigerant Leakage'!$B$2:$B$42,0)))</f>
        <v/>
      </c>
      <c r="DH289" s="146" t="str">
        <f>IF(W289&lt;&gt;"AR","",INDEX('Device Refrigerant Leakage'!$G$2:$G$42,MATCH(X289,'Device Refrigerant Leakage'!$B$2:$B$42,0)))</f>
        <v/>
      </c>
      <c r="DI289" s="146" t="str">
        <f>IF(W289&lt;&gt;"AR","",J289*INDEX('Device Refrigerant Leakage'!$D$2:$D$42,MATCH(X289,'Device Refrigerant Leakage'!$B$2:$B$42,0))*DF289/2204.62*DE289)</f>
        <v/>
      </c>
      <c r="DJ289" s="146" t="str">
        <f>IF(W289&lt;&gt;"AR","",J289*(INDEX('Device Refrigerant Leakage'!$D$2:$D$42,MATCH(X289,'Device Refrigerant Leakage'!$B$2:$B$42,0))-(INDEX('Device Refrigerant Leakage'!$D$2:$D$42,MATCH(X289,'Device Refrigerant Leakage'!$B$2:$B$42,0)))*DH289*DF289)*DG289/2204.62*DE289)</f>
        <v/>
      </c>
      <c r="DK289" s="146" t="str">
        <f>IF(W289&lt;&gt;"AR","",DI289*(K289-AB289)+'Fuel Sub Calcs-Deemed'!DJ289*((K289-AB289)/INDEX('Device Refrigerant Leakage'!$C$2:$C$42,MATCH('Fuel Sub Calcs-Deemed'!X289,'Device Refrigerant Leakage'!$B$2:$B$42,0))))</f>
        <v/>
      </c>
      <c r="DM289" s="56">
        <v>275</v>
      </c>
      <c r="DN289" s="67" t="e">
        <f t="shared" si="398"/>
        <v>#N/A</v>
      </c>
      <c r="DO289" s="45" t="e">
        <f t="shared" si="399"/>
        <v>#N/A</v>
      </c>
      <c r="DP289" s="67" t="e">
        <f t="shared" si="400"/>
        <v>#N/A</v>
      </c>
      <c r="DQ289" s="45" t="e">
        <f t="shared" si="401"/>
        <v>#N/A</v>
      </c>
      <c r="DR289" s="69" t="e">
        <f t="shared" si="402"/>
        <v>#N/A</v>
      </c>
      <c r="DS289" s="34"/>
      <c r="DT289" s="67" t="e">
        <f>((BX289*CJ289)+IF($W289=MAT_AR,(BZ289*CL289),0))*(1+Reference!$E$50+Reference!$E$51)</f>
        <v>#N/A</v>
      </c>
      <c r="DU289" s="67">
        <f>((BY289*CK289)+IF($W289=MAT_AR,(CA289*CM289),0))*(1+Reference!$G$50+Reference!$G$51)</f>
        <v>0</v>
      </c>
      <c r="DV289" s="67" t="e">
        <f t="shared" si="403"/>
        <v>#VALUE!</v>
      </c>
      <c r="DX289" s="56">
        <v>275</v>
      </c>
      <c r="DY289" s="67">
        <f t="shared" si="404"/>
        <v>0</v>
      </c>
      <c r="DZ289" s="45" t="e">
        <f>VLOOKUP($R289,Dropdown!$C$3:$D$4,2,FALSE)</f>
        <v>#N/A</v>
      </c>
      <c r="EA289" s="68">
        <f t="shared" si="405"/>
        <v>0</v>
      </c>
      <c r="EB289" s="68" t="str">
        <f t="shared" si="406"/>
        <v>N/A</v>
      </c>
      <c r="EC289" s="68">
        <f t="shared" si="407"/>
        <v>0</v>
      </c>
      <c r="ED289" s="68" t="str">
        <f t="shared" si="445"/>
        <v>N/A</v>
      </c>
      <c r="EF289" s="56">
        <v>275</v>
      </c>
      <c r="EG289" s="46">
        <f t="shared" si="408"/>
        <v>0</v>
      </c>
      <c r="EH289" s="68" t="e">
        <f t="shared" si="409"/>
        <v>#N/A</v>
      </c>
      <c r="EI289" s="68" t="e">
        <f t="shared" si="410"/>
        <v>#N/A</v>
      </c>
      <c r="EJ289" s="68" t="e">
        <f t="shared" si="411"/>
        <v>#N/A</v>
      </c>
      <c r="EK289" s="68" t="e">
        <f t="shared" si="412"/>
        <v>#N/A</v>
      </c>
      <c r="EL289" s="46">
        <f t="shared" si="413"/>
        <v>0</v>
      </c>
      <c r="EM289" s="46">
        <f t="shared" si="414"/>
        <v>0</v>
      </c>
    </row>
    <row r="290" spans="1:143">
      <c r="A290" s="89"/>
      <c r="B290" s="89"/>
      <c r="C290" s="89"/>
      <c r="D290" s="89"/>
      <c r="E290" s="89"/>
      <c r="F290" s="89"/>
      <c r="G290" s="34"/>
      <c r="H290" s="56">
        <f t="shared" si="415"/>
        <v>276</v>
      </c>
      <c r="I290" s="165"/>
      <c r="J290" s="163"/>
      <c r="K290" s="163"/>
      <c r="L290" s="164"/>
      <c r="M290" s="155"/>
      <c r="N290" s="155"/>
      <c r="O290" s="144"/>
      <c r="P290" s="159" t="str">
        <f>IFERROR(IF(O290&lt;&gt;"User Specified",IF(O290&lt;&gt;"", INDEX('Refrigerant GWPs'!$G$2:$G$154,MATCH(O290,'Refrigerant GWPs'!$A$2:$A$154,0)),""),U290),0)</f>
        <v/>
      </c>
      <c r="Q290" s="155"/>
      <c r="R290" s="155"/>
      <c r="S290" s="144"/>
      <c r="T290" s="159" t="str">
        <f>IF(S290&lt;&gt;"User Specified",IF(AND(S290&lt;&gt;"User Specified",S290&lt;&gt;""), INDEX('Refrigerant GWPs'!$G$2:$G$154,MATCH(S290,'Refrigerant GWPs'!$A$2:$A$154,0)),""),V290)</f>
        <v/>
      </c>
      <c r="U290" s="144"/>
      <c r="V290" s="144"/>
      <c r="W290" s="155"/>
      <c r="X290" s="155"/>
      <c r="Y290" s="144"/>
      <c r="Z290" s="159" t="str">
        <f>IF(AND(Y290&lt;&gt;"User Specified",Y290&lt;&gt;""), INDEX('Refrigerant GWPs'!$G$2:$G$154,MATCH(Y290,'Refrigerant GWPs'!$A$2:$A$154,0)),"")</f>
        <v/>
      </c>
      <c r="AA290" s="155"/>
      <c r="AB290" s="156"/>
      <c r="AC290" s="66"/>
      <c r="AD290" s="66"/>
      <c r="AE290" s="66"/>
      <c r="AF290" s="66"/>
      <c r="AG290" s="66"/>
      <c r="AH290" s="66"/>
      <c r="AI290" s="34"/>
      <c r="AJ290" s="88">
        <f t="shared" si="378"/>
        <v>0</v>
      </c>
      <c r="AK290" s="88">
        <f t="shared" si="379"/>
        <v>0</v>
      </c>
      <c r="AL290" s="88">
        <v>0</v>
      </c>
      <c r="AM290" s="88">
        <v>0</v>
      </c>
      <c r="AN290" s="81" t="str">
        <f t="shared" si="417"/>
        <v/>
      </c>
      <c r="AO290" s="88">
        <f t="shared" si="380"/>
        <v>0</v>
      </c>
      <c r="AP290" s="88">
        <f t="shared" si="381"/>
        <v>0</v>
      </c>
      <c r="AQ290" s="81" t="str">
        <f t="shared" si="382"/>
        <v/>
      </c>
      <c r="AS290" s="41" t="b">
        <f t="shared" si="383"/>
        <v>1</v>
      </c>
      <c r="AT290" s="38">
        <f t="shared" si="384"/>
        <v>0</v>
      </c>
      <c r="AU290" s="60">
        <f t="shared" si="385"/>
        <v>0</v>
      </c>
      <c r="AV290" s="41">
        <f t="shared" si="386"/>
        <v>0</v>
      </c>
      <c r="AW290" s="41" t="b">
        <f t="shared" si="387"/>
        <v>0</v>
      </c>
      <c r="AX290" t="str">
        <f t="shared" si="388"/>
        <v>+00</v>
      </c>
      <c r="AY290" t="str">
        <f t="shared" si="389"/>
        <v>+00</v>
      </c>
      <c r="BA290" s="47" t="b">
        <f t="shared" si="418"/>
        <v>1</v>
      </c>
      <c r="BB290" s="42" t="b">
        <f t="shared" si="419"/>
        <v>1</v>
      </c>
      <c r="BC290" s="42" t="b">
        <f t="shared" si="420"/>
        <v>0</v>
      </c>
      <c r="BD290" s="42" t="b">
        <f t="shared" si="421"/>
        <v>0</v>
      </c>
      <c r="BE290" s="70">
        <f t="shared" si="422"/>
        <v>0</v>
      </c>
      <c r="BF290" s="70">
        <f t="shared" si="423"/>
        <v>0</v>
      </c>
      <c r="BG290" s="34"/>
      <c r="BI290" s="47" t="b">
        <f t="shared" si="424"/>
        <v>1</v>
      </c>
      <c r="BJ290" s="47" t="b">
        <f t="shared" si="425"/>
        <v>1</v>
      </c>
      <c r="BK290" s="42" t="b">
        <f t="shared" si="426"/>
        <v>0</v>
      </c>
      <c r="BL290" s="42" t="b">
        <f t="shared" si="427"/>
        <v>0</v>
      </c>
      <c r="BM290" s="42">
        <f t="shared" si="428"/>
        <v>0</v>
      </c>
      <c r="BN290" s="42">
        <f t="shared" si="429"/>
        <v>0</v>
      </c>
      <c r="BP290" t="e">
        <f t="shared" si="430"/>
        <v>#N/A</v>
      </c>
      <c r="BQ290" t="e">
        <f t="shared" si="431"/>
        <v>#N/A</v>
      </c>
      <c r="BR290" t="e">
        <f t="shared" si="432"/>
        <v>#N/A</v>
      </c>
      <c r="BT290" s="60">
        <f t="shared" si="433"/>
        <v>0</v>
      </c>
      <c r="BU290" s="60">
        <f t="shared" si="434"/>
        <v>0</v>
      </c>
      <c r="BV290" s="60">
        <f t="shared" si="435"/>
        <v>0</v>
      </c>
      <c r="BW290" s="60">
        <f t="shared" si="436"/>
        <v>0</v>
      </c>
      <c r="BX290" s="60">
        <f t="shared" si="437"/>
        <v>0</v>
      </c>
      <c r="BY290" s="60">
        <f t="shared" si="438"/>
        <v>0</v>
      </c>
      <c r="BZ290" s="60">
        <f t="shared" si="439"/>
        <v>0</v>
      </c>
      <c r="CA290" s="60">
        <f t="shared" si="440"/>
        <v>0</v>
      </c>
      <c r="CB290" s="60" t="e">
        <f t="shared" si="390"/>
        <v>#N/A</v>
      </c>
      <c r="CC290" s="60">
        <f t="shared" si="391"/>
        <v>100000</v>
      </c>
      <c r="CD290" s="60" t="e">
        <f t="shared" si="392"/>
        <v>#N/A</v>
      </c>
      <c r="CE290" s="60">
        <f t="shared" si="393"/>
        <v>100000</v>
      </c>
      <c r="CF290" s="83" t="e">
        <f t="shared" si="441"/>
        <v>#N/A</v>
      </c>
      <c r="CG290" s="83">
        <f t="shared" si="442"/>
        <v>0</v>
      </c>
      <c r="CH290" s="83" t="e">
        <f t="shared" si="443"/>
        <v>#N/A</v>
      </c>
      <c r="CI290" s="83">
        <f t="shared" si="444"/>
        <v>0</v>
      </c>
      <c r="CJ290" s="86" t="e">
        <f t="shared" si="394"/>
        <v>#N/A</v>
      </c>
      <c r="CK290" s="82">
        <f t="shared" si="395"/>
        <v>5.3070370403969858E-3</v>
      </c>
      <c r="CL290" s="82" t="e">
        <f t="shared" si="396"/>
        <v>#N/A</v>
      </c>
      <c r="CM290" s="82">
        <f t="shared" si="397"/>
        <v>5.3070370403969858E-3</v>
      </c>
      <c r="CO290" s="149" t="str">
        <f>IF($I290&lt;&gt;"",IF(O290="User Specified",U290,INDEX('Refrigerant GWPs'!$G$2:$G$156,MATCH(O290,'Refrigerant GWPs'!$A$2:$A$156,0))),"")</f>
        <v/>
      </c>
      <c r="CP290" s="138" t="str">
        <f>IF($I290&lt;&gt;"",INDEX('Device Refrigerant Leakage'!$E$2:$E$42,MATCH($M290,'Device Refrigerant Leakage'!$B$2:$B$42,0)),"")</f>
        <v/>
      </c>
      <c r="CQ290" s="138" t="str">
        <f>IF($I290&lt;&gt;"",INDEX('Device Refrigerant Leakage'!$F$2:$F$42,MATCH($M290,'Device Refrigerant Leakage'!$B$2:$B$42,0)),"")</f>
        <v/>
      </c>
      <c r="CR290" s="145" t="str">
        <f>IF($I290&lt;&gt;"",INDEX('Device Refrigerant Leakage'!$G$2:$G$42,MATCH($M290,'Device Refrigerant Leakage'!$B$2:$B$42,0)),"")</f>
        <v/>
      </c>
      <c r="CS290" s="145" t="str">
        <f>IF($I290&lt;&gt;"",INDEX('Device Refrigerant Leakage'!$D$2:$D$42,MATCH($M290,'Device Refrigerant Leakage'!$B$2:$B$42,0))*CP290/2204.62*CO290,"")</f>
        <v/>
      </c>
      <c r="CT290" s="145" t="str">
        <f>IF($I290&lt;&gt;"",J290*(INDEX('Device Refrigerant Leakage'!$D$2:$D$42,MATCH($M290,'Device Refrigerant Leakage'!$B$2:$B$42,0))-(INDEX('Device Refrigerant Leakage'!$D$2:$D$42,MATCH($M290,'Device Refrigerant Leakage'!$B$2:$B$42,0)))*CR290*CP290)*CQ290/2204.62*CO290,"")</f>
        <v/>
      </c>
      <c r="CU290" s="135" t="str">
        <f>IF($I290&lt;&gt;"",J290*IF(W290&lt;&gt;"AR",(CS290*K290)+CT290,(CS290*AB290)+CT290*(AB290/INDEX('Device Refrigerant Leakage'!$C$2:$C$42,MATCH($M290,'Device Refrigerant Leakage'!$B$2:$B$42,0)))),"")</f>
        <v/>
      </c>
      <c r="CW290" s="135" t="str">
        <f>IF($I290&lt;&gt;"",IF(S290="User Specified",V290,INDEX('Refrigerant GWPs'!$G$2:$G$156,MATCH(S290,'Refrigerant GWPs'!$A$2:$A$157,0))),"")</f>
        <v/>
      </c>
      <c r="CX290" s="138" t="str">
        <f>IF($I290&lt;&gt;"",INDEX('Device Refrigerant Leakage'!$E$2:$E$42,MATCH($Q290,'Device Refrigerant Leakage'!$B$2:$B$42,0)),"")</f>
        <v/>
      </c>
      <c r="CY290" s="138" t="str">
        <f>IF($I290&lt;&gt;"",INDEX('Device Refrigerant Leakage'!$F$2:$F$42,MATCH($Q290,'Device Refrigerant Leakage'!$B$2:$B$42,0)),"")</f>
        <v/>
      </c>
      <c r="CZ290" s="145" t="str">
        <f>IF($I290&lt;&gt;"",INDEX('Device Refrigerant Leakage'!$G$2:$G$42,MATCH($Q290,'Device Refrigerant Leakage'!$B$2:$B$42,0)),"")</f>
        <v/>
      </c>
      <c r="DA290" s="145" t="str">
        <f>IF($I290&lt;&gt;"",J290*INDEX('Device Refrigerant Leakage'!$D$2:$D$42,MATCH($Q290,'Device Refrigerant Leakage'!$B$2:$B$42,0))*CX290/2204.62*CW290,"")</f>
        <v/>
      </c>
      <c r="DB290" s="145" t="str">
        <f>IF($I290&lt;&gt;"",J290*(INDEX('Device Refrigerant Leakage'!$D$2:$D$42,MATCH($Q290,'Device Refrigerant Leakage'!$B$2:$B$42,0))-(INDEX('Device Refrigerant Leakage'!$D$2:$D$42,MATCH($Q290,'Device Refrigerant Leakage'!$B$2:$B$42,0)))*CZ290*CX290)*CY290/2204.62*CW290,"")</f>
        <v/>
      </c>
      <c r="DC290" s="135" t="str">
        <f t="shared" si="416"/>
        <v/>
      </c>
      <c r="DE290" s="146" t="str">
        <f>IF(W290&lt;&gt;"AR","",IF(Y290="User Specified", AA290, INDEX('Refrigerant GWPs'!$G$2:$G$154,MATCH(Y290,'Refrigerant GWPs'!$A$2:$A$154,0))))</f>
        <v/>
      </c>
      <c r="DF290" s="146" t="str">
        <f>IF(W290&lt;&gt;"AR","",INDEX('Device Refrigerant Leakage'!$E$2:$E$42,MATCH(X290,'Device Refrigerant Leakage'!$B$2:$B$42,0)))</f>
        <v/>
      </c>
      <c r="DG290" s="146" t="str">
        <f>IF(W290&lt;&gt;"AR","",INDEX('Device Refrigerant Leakage'!$F$2:$F$42,MATCH(X290,'Device Refrigerant Leakage'!$B$2:$B$42,0)))</f>
        <v/>
      </c>
      <c r="DH290" s="146" t="str">
        <f>IF(W290&lt;&gt;"AR","",INDEX('Device Refrigerant Leakage'!$G$2:$G$42,MATCH(X290,'Device Refrigerant Leakage'!$B$2:$B$42,0)))</f>
        <v/>
      </c>
      <c r="DI290" s="146" t="str">
        <f>IF(W290&lt;&gt;"AR","",J290*INDEX('Device Refrigerant Leakage'!$D$2:$D$42,MATCH(X290,'Device Refrigerant Leakage'!$B$2:$B$42,0))*DF290/2204.62*DE290)</f>
        <v/>
      </c>
      <c r="DJ290" s="146" t="str">
        <f>IF(W290&lt;&gt;"AR","",J290*(INDEX('Device Refrigerant Leakage'!$D$2:$D$42,MATCH(X290,'Device Refrigerant Leakage'!$B$2:$B$42,0))-(INDEX('Device Refrigerant Leakage'!$D$2:$D$42,MATCH(X290,'Device Refrigerant Leakage'!$B$2:$B$42,0)))*DH290*DF290)*DG290/2204.62*DE290)</f>
        <v/>
      </c>
      <c r="DK290" s="146" t="str">
        <f>IF(W290&lt;&gt;"AR","",DI290*(K290-AB290)+'Fuel Sub Calcs-Deemed'!DJ290*((K290-AB290)/INDEX('Device Refrigerant Leakage'!$C$2:$C$42,MATCH('Fuel Sub Calcs-Deemed'!X290,'Device Refrigerant Leakage'!$B$2:$B$42,0))))</f>
        <v/>
      </c>
      <c r="DM290" s="56">
        <v>276</v>
      </c>
      <c r="DN290" s="67" t="e">
        <f t="shared" si="398"/>
        <v>#N/A</v>
      </c>
      <c r="DO290" s="45" t="e">
        <f t="shared" si="399"/>
        <v>#N/A</v>
      </c>
      <c r="DP290" s="67" t="e">
        <f t="shared" si="400"/>
        <v>#N/A</v>
      </c>
      <c r="DQ290" s="45" t="e">
        <f t="shared" si="401"/>
        <v>#N/A</v>
      </c>
      <c r="DR290" s="69" t="e">
        <f t="shared" si="402"/>
        <v>#N/A</v>
      </c>
      <c r="DS290" s="34"/>
      <c r="DT290" s="67" t="e">
        <f>((BX290*CJ290)+IF($W290=MAT_AR,(BZ290*CL290),0))*(1+Reference!$E$50+Reference!$E$51)</f>
        <v>#N/A</v>
      </c>
      <c r="DU290" s="67">
        <f>((BY290*CK290)+IF($W290=MAT_AR,(CA290*CM290),0))*(1+Reference!$G$50+Reference!$G$51)</f>
        <v>0</v>
      </c>
      <c r="DV290" s="67" t="e">
        <f t="shared" si="403"/>
        <v>#VALUE!</v>
      </c>
      <c r="DX290" s="56">
        <v>276</v>
      </c>
      <c r="DY290" s="67">
        <f t="shared" si="404"/>
        <v>0</v>
      </c>
      <c r="DZ290" s="45" t="e">
        <f>VLOOKUP($R290,Dropdown!$C$3:$D$4,2,FALSE)</f>
        <v>#N/A</v>
      </c>
      <c r="EA290" s="68">
        <f t="shared" si="405"/>
        <v>0</v>
      </c>
      <c r="EB290" s="68" t="str">
        <f t="shared" si="406"/>
        <v>N/A</v>
      </c>
      <c r="EC290" s="68">
        <f t="shared" si="407"/>
        <v>0</v>
      </c>
      <c r="ED290" s="68" t="str">
        <f t="shared" si="445"/>
        <v>N/A</v>
      </c>
      <c r="EF290" s="56">
        <v>276</v>
      </c>
      <c r="EG290" s="46">
        <f t="shared" si="408"/>
        <v>0</v>
      </c>
      <c r="EH290" s="68" t="e">
        <f t="shared" si="409"/>
        <v>#N/A</v>
      </c>
      <c r="EI290" s="68" t="e">
        <f t="shared" si="410"/>
        <v>#N/A</v>
      </c>
      <c r="EJ290" s="68" t="e">
        <f t="shared" si="411"/>
        <v>#N/A</v>
      </c>
      <c r="EK290" s="68" t="e">
        <f t="shared" si="412"/>
        <v>#N/A</v>
      </c>
      <c r="EL290" s="46">
        <f t="shared" si="413"/>
        <v>0</v>
      </c>
      <c r="EM290" s="46">
        <f t="shared" si="414"/>
        <v>0</v>
      </c>
    </row>
    <row r="291" spans="1:143">
      <c r="A291" s="89"/>
      <c r="B291" s="89"/>
      <c r="C291" s="89"/>
      <c r="D291" s="89"/>
      <c r="E291" s="89"/>
      <c r="F291" s="89"/>
      <c r="G291" s="34"/>
      <c r="H291" s="56">
        <f t="shared" si="415"/>
        <v>277</v>
      </c>
      <c r="I291" s="165"/>
      <c r="J291" s="163"/>
      <c r="K291" s="163"/>
      <c r="L291" s="164"/>
      <c r="M291" s="155"/>
      <c r="N291" s="155"/>
      <c r="O291" s="144"/>
      <c r="P291" s="159" t="str">
        <f>IFERROR(IF(O291&lt;&gt;"User Specified",IF(O291&lt;&gt;"", INDEX('Refrigerant GWPs'!$G$2:$G$154,MATCH(O291,'Refrigerant GWPs'!$A$2:$A$154,0)),""),U291),0)</f>
        <v/>
      </c>
      <c r="Q291" s="155"/>
      <c r="R291" s="155"/>
      <c r="S291" s="144"/>
      <c r="T291" s="159" t="str">
        <f>IF(S291&lt;&gt;"User Specified",IF(AND(S291&lt;&gt;"User Specified",S291&lt;&gt;""), INDEX('Refrigerant GWPs'!$G$2:$G$154,MATCH(S291,'Refrigerant GWPs'!$A$2:$A$154,0)),""),V291)</f>
        <v/>
      </c>
      <c r="U291" s="144"/>
      <c r="V291" s="144"/>
      <c r="W291" s="155"/>
      <c r="X291" s="155"/>
      <c r="Y291" s="144"/>
      <c r="Z291" s="159" t="str">
        <f>IF(AND(Y291&lt;&gt;"User Specified",Y291&lt;&gt;""), INDEX('Refrigerant GWPs'!$G$2:$G$154,MATCH(Y291,'Refrigerant GWPs'!$A$2:$A$154,0)),"")</f>
        <v/>
      </c>
      <c r="AA291" s="155"/>
      <c r="AB291" s="156"/>
      <c r="AC291" s="66"/>
      <c r="AD291" s="66"/>
      <c r="AE291" s="66"/>
      <c r="AF291" s="66"/>
      <c r="AG291" s="66"/>
      <c r="AH291" s="66"/>
      <c r="AI291" s="34"/>
      <c r="AJ291" s="88">
        <f t="shared" si="378"/>
        <v>0</v>
      </c>
      <c r="AK291" s="88">
        <f t="shared" si="379"/>
        <v>0</v>
      </c>
      <c r="AL291" s="88">
        <v>0</v>
      </c>
      <c r="AM291" s="88">
        <v>0</v>
      </c>
      <c r="AN291" s="81" t="str">
        <f t="shared" si="417"/>
        <v/>
      </c>
      <c r="AO291" s="88">
        <f t="shared" si="380"/>
        <v>0</v>
      </c>
      <c r="AP291" s="88">
        <f t="shared" si="381"/>
        <v>0</v>
      </c>
      <c r="AQ291" s="81" t="str">
        <f t="shared" si="382"/>
        <v/>
      </c>
      <c r="AS291" s="41" t="b">
        <f t="shared" si="383"/>
        <v>1</v>
      </c>
      <c r="AT291" s="38">
        <f t="shared" si="384"/>
        <v>0</v>
      </c>
      <c r="AU291" s="60">
        <f t="shared" si="385"/>
        <v>0</v>
      </c>
      <c r="AV291" s="41">
        <f t="shared" si="386"/>
        <v>0</v>
      </c>
      <c r="AW291" s="41" t="b">
        <f t="shared" si="387"/>
        <v>0</v>
      </c>
      <c r="AX291" t="str">
        <f t="shared" si="388"/>
        <v>+00</v>
      </c>
      <c r="AY291" t="str">
        <f t="shared" si="389"/>
        <v>+00</v>
      </c>
      <c r="BA291" s="47" t="b">
        <f t="shared" si="418"/>
        <v>1</v>
      </c>
      <c r="BB291" s="42" t="b">
        <f t="shared" si="419"/>
        <v>1</v>
      </c>
      <c r="BC291" s="42" t="b">
        <f t="shared" si="420"/>
        <v>0</v>
      </c>
      <c r="BD291" s="42" t="b">
        <f t="shared" si="421"/>
        <v>0</v>
      </c>
      <c r="BE291" s="70">
        <f t="shared" si="422"/>
        <v>0</v>
      </c>
      <c r="BF291" s="70">
        <f t="shared" si="423"/>
        <v>0</v>
      </c>
      <c r="BG291" s="34"/>
      <c r="BI291" s="47" t="b">
        <f t="shared" si="424"/>
        <v>1</v>
      </c>
      <c r="BJ291" s="47" t="b">
        <f t="shared" si="425"/>
        <v>1</v>
      </c>
      <c r="BK291" s="42" t="b">
        <f t="shared" si="426"/>
        <v>0</v>
      </c>
      <c r="BL291" s="42" t="b">
        <f t="shared" si="427"/>
        <v>0</v>
      </c>
      <c r="BM291" s="42">
        <f t="shared" si="428"/>
        <v>0</v>
      </c>
      <c r="BN291" s="42">
        <f t="shared" si="429"/>
        <v>0</v>
      </c>
      <c r="BP291" t="e">
        <f t="shared" si="430"/>
        <v>#N/A</v>
      </c>
      <c r="BQ291" t="e">
        <f t="shared" si="431"/>
        <v>#N/A</v>
      </c>
      <c r="BR291" t="e">
        <f t="shared" si="432"/>
        <v>#N/A</v>
      </c>
      <c r="BT291" s="60">
        <f t="shared" si="433"/>
        <v>0</v>
      </c>
      <c r="BU291" s="60">
        <f t="shared" si="434"/>
        <v>0</v>
      </c>
      <c r="BV291" s="60">
        <f t="shared" si="435"/>
        <v>0</v>
      </c>
      <c r="BW291" s="60">
        <f t="shared" si="436"/>
        <v>0</v>
      </c>
      <c r="BX291" s="60">
        <f t="shared" si="437"/>
        <v>0</v>
      </c>
      <c r="BY291" s="60">
        <f t="shared" si="438"/>
        <v>0</v>
      </c>
      <c r="BZ291" s="60">
        <f t="shared" si="439"/>
        <v>0</v>
      </c>
      <c r="CA291" s="60">
        <f t="shared" si="440"/>
        <v>0</v>
      </c>
      <c r="CB291" s="60" t="e">
        <f t="shared" si="390"/>
        <v>#N/A</v>
      </c>
      <c r="CC291" s="60">
        <f t="shared" si="391"/>
        <v>100000</v>
      </c>
      <c r="CD291" s="60" t="e">
        <f t="shared" si="392"/>
        <v>#N/A</v>
      </c>
      <c r="CE291" s="60">
        <f t="shared" si="393"/>
        <v>100000</v>
      </c>
      <c r="CF291" s="83" t="e">
        <f t="shared" si="441"/>
        <v>#N/A</v>
      </c>
      <c r="CG291" s="83">
        <f t="shared" si="442"/>
        <v>0</v>
      </c>
      <c r="CH291" s="83" t="e">
        <f t="shared" si="443"/>
        <v>#N/A</v>
      </c>
      <c r="CI291" s="83">
        <f t="shared" si="444"/>
        <v>0</v>
      </c>
      <c r="CJ291" s="86" t="e">
        <f t="shared" si="394"/>
        <v>#N/A</v>
      </c>
      <c r="CK291" s="82">
        <f t="shared" si="395"/>
        <v>5.3070370403969858E-3</v>
      </c>
      <c r="CL291" s="82" t="e">
        <f t="shared" si="396"/>
        <v>#N/A</v>
      </c>
      <c r="CM291" s="82">
        <f t="shared" si="397"/>
        <v>5.3070370403969858E-3</v>
      </c>
      <c r="CO291" s="149" t="str">
        <f>IF($I291&lt;&gt;"",IF(O291="User Specified",U291,INDEX('Refrigerant GWPs'!$G$2:$G$156,MATCH(O291,'Refrigerant GWPs'!$A$2:$A$156,0))),"")</f>
        <v/>
      </c>
      <c r="CP291" s="138" t="str">
        <f>IF($I291&lt;&gt;"",INDEX('Device Refrigerant Leakage'!$E$2:$E$42,MATCH($M291,'Device Refrigerant Leakage'!$B$2:$B$42,0)),"")</f>
        <v/>
      </c>
      <c r="CQ291" s="138" t="str">
        <f>IF($I291&lt;&gt;"",INDEX('Device Refrigerant Leakage'!$F$2:$F$42,MATCH($M291,'Device Refrigerant Leakage'!$B$2:$B$42,0)),"")</f>
        <v/>
      </c>
      <c r="CR291" s="145" t="str">
        <f>IF($I291&lt;&gt;"",INDEX('Device Refrigerant Leakage'!$G$2:$G$42,MATCH($M291,'Device Refrigerant Leakage'!$B$2:$B$42,0)),"")</f>
        <v/>
      </c>
      <c r="CS291" s="145" t="str">
        <f>IF($I291&lt;&gt;"",INDEX('Device Refrigerant Leakage'!$D$2:$D$42,MATCH($M291,'Device Refrigerant Leakage'!$B$2:$B$42,0))*CP291/2204.62*CO291,"")</f>
        <v/>
      </c>
      <c r="CT291" s="145" t="str">
        <f>IF($I291&lt;&gt;"",J291*(INDEX('Device Refrigerant Leakage'!$D$2:$D$42,MATCH($M291,'Device Refrigerant Leakage'!$B$2:$B$42,0))-(INDEX('Device Refrigerant Leakage'!$D$2:$D$42,MATCH($M291,'Device Refrigerant Leakage'!$B$2:$B$42,0)))*CR291*CP291)*CQ291/2204.62*CO291,"")</f>
        <v/>
      </c>
      <c r="CU291" s="135" t="str">
        <f>IF($I291&lt;&gt;"",J291*IF(W291&lt;&gt;"AR",(CS291*K291)+CT291,(CS291*AB291)+CT291*(AB291/INDEX('Device Refrigerant Leakage'!$C$2:$C$42,MATCH($M291,'Device Refrigerant Leakage'!$B$2:$B$42,0)))),"")</f>
        <v/>
      </c>
      <c r="CW291" s="135" t="str">
        <f>IF($I291&lt;&gt;"",IF(S291="User Specified",V291,INDEX('Refrigerant GWPs'!$G$2:$G$156,MATCH(S291,'Refrigerant GWPs'!$A$2:$A$157,0))),"")</f>
        <v/>
      </c>
      <c r="CX291" s="138" t="str">
        <f>IF($I291&lt;&gt;"",INDEX('Device Refrigerant Leakage'!$E$2:$E$42,MATCH($Q291,'Device Refrigerant Leakage'!$B$2:$B$42,0)),"")</f>
        <v/>
      </c>
      <c r="CY291" s="138" t="str">
        <f>IF($I291&lt;&gt;"",INDEX('Device Refrigerant Leakage'!$F$2:$F$42,MATCH($Q291,'Device Refrigerant Leakage'!$B$2:$B$42,0)),"")</f>
        <v/>
      </c>
      <c r="CZ291" s="145" t="str">
        <f>IF($I291&lt;&gt;"",INDEX('Device Refrigerant Leakage'!$G$2:$G$42,MATCH($Q291,'Device Refrigerant Leakage'!$B$2:$B$42,0)),"")</f>
        <v/>
      </c>
      <c r="DA291" s="145" t="str">
        <f>IF($I291&lt;&gt;"",J291*INDEX('Device Refrigerant Leakage'!$D$2:$D$42,MATCH($Q291,'Device Refrigerant Leakage'!$B$2:$B$42,0))*CX291/2204.62*CW291,"")</f>
        <v/>
      </c>
      <c r="DB291" s="145" t="str">
        <f>IF($I291&lt;&gt;"",J291*(INDEX('Device Refrigerant Leakage'!$D$2:$D$42,MATCH($Q291,'Device Refrigerant Leakage'!$B$2:$B$42,0))-(INDEX('Device Refrigerant Leakage'!$D$2:$D$42,MATCH($Q291,'Device Refrigerant Leakage'!$B$2:$B$42,0)))*CZ291*CX291)*CY291/2204.62*CW291,"")</f>
        <v/>
      </c>
      <c r="DC291" s="135" t="str">
        <f t="shared" si="416"/>
        <v/>
      </c>
      <c r="DE291" s="146" t="str">
        <f>IF(W291&lt;&gt;"AR","",IF(Y291="User Specified", AA291, INDEX('Refrigerant GWPs'!$G$2:$G$154,MATCH(Y291,'Refrigerant GWPs'!$A$2:$A$154,0))))</f>
        <v/>
      </c>
      <c r="DF291" s="146" t="str">
        <f>IF(W291&lt;&gt;"AR","",INDEX('Device Refrigerant Leakage'!$E$2:$E$42,MATCH(X291,'Device Refrigerant Leakage'!$B$2:$B$42,0)))</f>
        <v/>
      </c>
      <c r="DG291" s="146" t="str">
        <f>IF(W291&lt;&gt;"AR","",INDEX('Device Refrigerant Leakage'!$F$2:$F$42,MATCH(X291,'Device Refrigerant Leakage'!$B$2:$B$42,0)))</f>
        <v/>
      </c>
      <c r="DH291" s="146" t="str">
        <f>IF(W291&lt;&gt;"AR","",INDEX('Device Refrigerant Leakage'!$G$2:$G$42,MATCH(X291,'Device Refrigerant Leakage'!$B$2:$B$42,0)))</f>
        <v/>
      </c>
      <c r="DI291" s="146" t="str">
        <f>IF(W291&lt;&gt;"AR","",J291*INDEX('Device Refrigerant Leakage'!$D$2:$D$42,MATCH(X291,'Device Refrigerant Leakage'!$B$2:$B$42,0))*DF291/2204.62*DE291)</f>
        <v/>
      </c>
      <c r="DJ291" s="146" t="str">
        <f>IF(W291&lt;&gt;"AR","",J291*(INDEX('Device Refrigerant Leakage'!$D$2:$D$42,MATCH(X291,'Device Refrigerant Leakage'!$B$2:$B$42,0))-(INDEX('Device Refrigerant Leakage'!$D$2:$D$42,MATCH(X291,'Device Refrigerant Leakage'!$B$2:$B$42,0)))*DH291*DF291)*DG291/2204.62*DE291)</f>
        <v/>
      </c>
      <c r="DK291" s="146" t="str">
        <f>IF(W291&lt;&gt;"AR","",DI291*(K291-AB291)+'Fuel Sub Calcs-Deemed'!DJ291*((K291-AB291)/INDEX('Device Refrigerant Leakage'!$C$2:$C$42,MATCH('Fuel Sub Calcs-Deemed'!X291,'Device Refrigerant Leakage'!$B$2:$B$42,0))))</f>
        <v/>
      </c>
      <c r="DM291" s="56">
        <v>277</v>
      </c>
      <c r="DN291" s="67" t="e">
        <f t="shared" si="398"/>
        <v>#N/A</v>
      </c>
      <c r="DO291" s="45" t="e">
        <f t="shared" si="399"/>
        <v>#N/A</v>
      </c>
      <c r="DP291" s="67" t="e">
        <f t="shared" si="400"/>
        <v>#N/A</v>
      </c>
      <c r="DQ291" s="45" t="e">
        <f t="shared" si="401"/>
        <v>#N/A</v>
      </c>
      <c r="DR291" s="69" t="e">
        <f t="shared" si="402"/>
        <v>#N/A</v>
      </c>
      <c r="DS291" s="34"/>
      <c r="DT291" s="67" t="e">
        <f>((BX291*CJ291)+IF($W291=MAT_AR,(BZ291*CL291),0))*(1+Reference!$E$50+Reference!$E$51)</f>
        <v>#N/A</v>
      </c>
      <c r="DU291" s="67">
        <f>((BY291*CK291)+IF($W291=MAT_AR,(CA291*CM291),0))*(1+Reference!$G$50+Reference!$G$51)</f>
        <v>0</v>
      </c>
      <c r="DV291" s="67" t="e">
        <f t="shared" si="403"/>
        <v>#VALUE!</v>
      </c>
      <c r="DX291" s="56">
        <v>277</v>
      </c>
      <c r="DY291" s="67">
        <f t="shared" si="404"/>
        <v>0</v>
      </c>
      <c r="DZ291" s="45" t="e">
        <f>VLOOKUP($R291,Dropdown!$C$3:$D$4,2,FALSE)</f>
        <v>#N/A</v>
      </c>
      <c r="EA291" s="68">
        <f t="shared" si="405"/>
        <v>0</v>
      </c>
      <c r="EB291" s="68" t="str">
        <f t="shared" si="406"/>
        <v>N/A</v>
      </c>
      <c r="EC291" s="68">
        <f t="shared" si="407"/>
        <v>0</v>
      </c>
      <c r="ED291" s="68" t="str">
        <f t="shared" si="445"/>
        <v>N/A</v>
      </c>
      <c r="EF291" s="56">
        <v>277</v>
      </c>
      <c r="EG291" s="46">
        <f t="shared" si="408"/>
        <v>0</v>
      </c>
      <c r="EH291" s="68" t="e">
        <f t="shared" si="409"/>
        <v>#N/A</v>
      </c>
      <c r="EI291" s="68" t="e">
        <f t="shared" si="410"/>
        <v>#N/A</v>
      </c>
      <c r="EJ291" s="68" t="e">
        <f t="shared" si="411"/>
        <v>#N/A</v>
      </c>
      <c r="EK291" s="68" t="e">
        <f t="shared" si="412"/>
        <v>#N/A</v>
      </c>
      <c r="EL291" s="46">
        <f t="shared" si="413"/>
        <v>0</v>
      </c>
      <c r="EM291" s="46">
        <f t="shared" si="414"/>
        <v>0</v>
      </c>
    </row>
    <row r="292" spans="1:143">
      <c r="A292" s="89"/>
      <c r="B292" s="89"/>
      <c r="C292" s="89"/>
      <c r="D292" s="89"/>
      <c r="E292" s="89"/>
      <c r="F292" s="89"/>
      <c r="G292" s="34"/>
      <c r="H292" s="56">
        <f t="shared" si="415"/>
        <v>278</v>
      </c>
      <c r="I292" s="165"/>
      <c r="J292" s="163"/>
      <c r="K292" s="163"/>
      <c r="L292" s="164"/>
      <c r="M292" s="155"/>
      <c r="N292" s="155"/>
      <c r="O292" s="144"/>
      <c r="P292" s="159" t="str">
        <f>IFERROR(IF(O292&lt;&gt;"User Specified",IF(O292&lt;&gt;"", INDEX('Refrigerant GWPs'!$G$2:$G$154,MATCH(O292,'Refrigerant GWPs'!$A$2:$A$154,0)),""),U292),0)</f>
        <v/>
      </c>
      <c r="Q292" s="155"/>
      <c r="R292" s="155"/>
      <c r="S292" s="144"/>
      <c r="T292" s="159" t="str">
        <f>IF(S292&lt;&gt;"User Specified",IF(AND(S292&lt;&gt;"User Specified",S292&lt;&gt;""), INDEX('Refrigerant GWPs'!$G$2:$G$154,MATCH(S292,'Refrigerant GWPs'!$A$2:$A$154,0)),""),V292)</f>
        <v/>
      </c>
      <c r="U292" s="144"/>
      <c r="V292" s="144"/>
      <c r="W292" s="155"/>
      <c r="X292" s="155"/>
      <c r="Y292" s="144"/>
      <c r="Z292" s="159" t="str">
        <f>IF(AND(Y292&lt;&gt;"User Specified",Y292&lt;&gt;""), INDEX('Refrigerant GWPs'!$G$2:$G$154,MATCH(Y292,'Refrigerant GWPs'!$A$2:$A$154,0)),"")</f>
        <v/>
      </c>
      <c r="AA292" s="155"/>
      <c r="AB292" s="156"/>
      <c r="AC292" s="66"/>
      <c r="AD292" s="66"/>
      <c r="AE292" s="66"/>
      <c r="AF292" s="66"/>
      <c r="AG292" s="66"/>
      <c r="AH292" s="66"/>
      <c r="AI292" s="34"/>
      <c r="AJ292" s="88">
        <f t="shared" si="378"/>
        <v>0</v>
      </c>
      <c r="AK292" s="88">
        <f t="shared" si="379"/>
        <v>0</v>
      </c>
      <c r="AL292" s="88">
        <v>0</v>
      </c>
      <c r="AM292" s="88">
        <v>0</v>
      </c>
      <c r="AN292" s="81" t="str">
        <f t="shared" si="417"/>
        <v/>
      </c>
      <c r="AO292" s="88">
        <f t="shared" si="380"/>
        <v>0</v>
      </c>
      <c r="AP292" s="88">
        <f t="shared" si="381"/>
        <v>0</v>
      </c>
      <c r="AQ292" s="81" t="str">
        <f t="shared" si="382"/>
        <v/>
      </c>
      <c r="AS292" s="41" t="b">
        <f t="shared" si="383"/>
        <v>1</v>
      </c>
      <c r="AT292" s="38">
        <f t="shared" si="384"/>
        <v>0</v>
      </c>
      <c r="AU292" s="60">
        <f t="shared" si="385"/>
        <v>0</v>
      </c>
      <c r="AV292" s="41">
        <f t="shared" si="386"/>
        <v>0</v>
      </c>
      <c r="AW292" s="41" t="b">
        <f t="shared" si="387"/>
        <v>0</v>
      </c>
      <c r="AX292" t="str">
        <f t="shared" si="388"/>
        <v>+00</v>
      </c>
      <c r="AY292" t="str">
        <f t="shared" si="389"/>
        <v>+00</v>
      </c>
      <c r="BA292" s="47" t="b">
        <f t="shared" si="418"/>
        <v>1</v>
      </c>
      <c r="BB292" s="42" t="b">
        <f t="shared" si="419"/>
        <v>1</v>
      </c>
      <c r="BC292" s="42" t="b">
        <f t="shared" si="420"/>
        <v>0</v>
      </c>
      <c r="BD292" s="42" t="b">
        <f t="shared" si="421"/>
        <v>0</v>
      </c>
      <c r="BE292" s="70">
        <f t="shared" si="422"/>
        <v>0</v>
      </c>
      <c r="BF292" s="70">
        <f t="shared" si="423"/>
        <v>0</v>
      </c>
      <c r="BG292" s="34"/>
      <c r="BI292" s="47" t="b">
        <f t="shared" si="424"/>
        <v>1</v>
      </c>
      <c r="BJ292" s="47" t="b">
        <f t="shared" si="425"/>
        <v>1</v>
      </c>
      <c r="BK292" s="42" t="b">
        <f t="shared" si="426"/>
        <v>0</v>
      </c>
      <c r="BL292" s="42" t="b">
        <f t="shared" si="427"/>
        <v>0</v>
      </c>
      <c r="BM292" s="42">
        <f t="shared" si="428"/>
        <v>0</v>
      </c>
      <c r="BN292" s="42">
        <f t="shared" si="429"/>
        <v>0</v>
      </c>
      <c r="BP292" t="e">
        <f t="shared" si="430"/>
        <v>#N/A</v>
      </c>
      <c r="BQ292" t="e">
        <f t="shared" si="431"/>
        <v>#N/A</v>
      </c>
      <c r="BR292" t="e">
        <f t="shared" si="432"/>
        <v>#N/A</v>
      </c>
      <c r="BT292" s="60">
        <f t="shared" si="433"/>
        <v>0</v>
      </c>
      <c r="BU292" s="60">
        <f t="shared" si="434"/>
        <v>0</v>
      </c>
      <c r="BV292" s="60">
        <f t="shared" si="435"/>
        <v>0</v>
      </c>
      <c r="BW292" s="60">
        <f t="shared" si="436"/>
        <v>0</v>
      </c>
      <c r="BX292" s="60">
        <f t="shared" si="437"/>
        <v>0</v>
      </c>
      <c r="BY292" s="60">
        <f t="shared" si="438"/>
        <v>0</v>
      </c>
      <c r="BZ292" s="60">
        <f t="shared" si="439"/>
        <v>0</v>
      </c>
      <c r="CA292" s="60">
        <f t="shared" si="440"/>
        <v>0</v>
      </c>
      <c r="CB292" s="60" t="e">
        <f t="shared" si="390"/>
        <v>#N/A</v>
      </c>
      <c r="CC292" s="60">
        <f t="shared" si="391"/>
        <v>100000</v>
      </c>
      <c r="CD292" s="60" t="e">
        <f t="shared" si="392"/>
        <v>#N/A</v>
      </c>
      <c r="CE292" s="60">
        <f t="shared" si="393"/>
        <v>100000</v>
      </c>
      <c r="CF292" s="83" t="e">
        <f t="shared" si="441"/>
        <v>#N/A</v>
      </c>
      <c r="CG292" s="83">
        <f t="shared" si="442"/>
        <v>0</v>
      </c>
      <c r="CH292" s="83" t="e">
        <f t="shared" si="443"/>
        <v>#N/A</v>
      </c>
      <c r="CI292" s="83">
        <f t="shared" si="444"/>
        <v>0</v>
      </c>
      <c r="CJ292" s="86" t="e">
        <f t="shared" si="394"/>
        <v>#N/A</v>
      </c>
      <c r="CK292" s="82">
        <f t="shared" si="395"/>
        <v>5.3070370403969858E-3</v>
      </c>
      <c r="CL292" s="82" t="e">
        <f t="shared" si="396"/>
        <v>#N/A</v>
      </c>
      <c r="CM292" s="82">
        <f t="shared" si="397"/>
        <v>5.3070370403969858E-3</v>
      </c>
      <c r="CO292" s="149" t="str">
        <f>IF($I292&lt;&gt;"",IF(O292="User Specified",U292,INDEX('Refrigerant GWPs'!$G$2:$G$156,MATCH(O292,'Refrigerant GWPs'!$A$2:$A$156,0))),"")</f>
        <v/>
      </c>
      <c r="CP292" s="138" t="str">
        <f>IF($I292&lt;&gt;"",INDEX('Device Refrigerant Leakage'!$E$2:$E$42,MATCH($M292,'Device Refrigerant Leakage'!$B$2:$B$42,0)),"")</f>
        <v/>
      </c>
      <c r="CQ292" s="138" t="str">
        <f>IF($I292&lt;&gt;"",INDEX('Device Refrigerant Leakage'!$F$2:$F$42,MATCH($M292,'Device Refrigerant Leakage'!$B$2:$B$42,0)),"")</f>
        <v/>
      </c>
      <c r="CR292" s="145" t="str">
        <f>IF($I292&lt;&gt;"",INDEX('Device Refrigerant Leakage'!$G$2:$G$42,MATCH($M292,'Device Refrigerant Leakage'!$B$2:$B$42,0)),"")</f>
        <v/>
      </c>
      <c r="CS292" s="145" t="str">
        <f>IF($I292&lt;&gt;"",INDEX('Device Refrigerant Leakage'!$D$2:$D$42,MATCH($M292,'Device Refrigerant Leakage'!$B$2:$B$42,0))*CP292/2204.62*CO292,"")</f>
        <v/>
      </c>
      <c r="CT292" s="145" t="str">
        <f>IF($I292&lt;&gt;"",J292*(INDEX('Device Refrigerant Leakage'!$D$2:$D$42,MATCH($M292,'Device Refrigerant Leakage'!$B$2:$B$42,0))-(INDEX('Device Refrigerant Leakage'!$D$2:$D$42,MATCH($M292,'Device Refrigerant Leakage'!$B$2:$B$42,0)))*CR292*CP292)*CQ292/2204.62*CO292,"")</f>
        <v/>
      </c>
      <c r="CU292" s="135" t="str">
        <f>IF($I292&lt;&gt;"",J292*IF(W292&lt;&gt;"AR",(CS292*K292)+CT292,(CS292*AB292)+CT292*(AB292/INDEX('Device Refrigerant Leakage'!$C$2:$C$42,MATCH($M292,'Device Refrigerant Leakage'!$B$2:$B$42,0)))),"")</f>
        <v/>
      </c>
      <c r="CW292" s="135" t="str">
        <f>IF($I292&lt;&gt;"",IF(S292="User Specified",V292,INDEX('Refrigerant GWPs'!$G$2:$G$156,MATCH(S292,'Refrigerant GWPs'!$A$2:$A$157,0))),"")</f>
        <v/>
      </c>
      <c r="CX292" s="138" t="str">
        <f>IF($I292&lt;&gt;"",INDEX('Device Refrigerant Leakage'!$E$2:$E$42,MATCH($Q292,'Device Refrigerant Leakage'!$B$2:$B$42,0)),"")</f>
        <v/>
      </c>
      <c r="CY292" s="138" t="str">
        <f>IF($I292&lt;&gt;"",INDEX('Device Refrigerant Leakage'!$F$2:$F$42,MATCH($Q292,'Device Refrigerant Leakage'!$B$2:$B$42,0)),"")</f>
        <v/>
      </c>
      <c r="CZ292" s="145" t="str">
        <f>IF($I292&lt;&gt;"",INDEX('Device Refrigerant Leakage'!$G$2:$G$42,MATCH($Q292,'Device Refrigerant Leakage'!$B$2:$B$42,0)),"")</f>
        <v/>
      </c>
      <c r="DA292" s="145" t="str">
        <f>IF($I292&lt;&gt;"",J292*INDEX('Device Refrigerant Leakage'!$D$2:$D$42,MATCH($Q292,'Device Refrigerant Leakage'!$B$2:$B$42,0))*CX292/2204.62*CW292,"")</f>
        <v/>
      </c>
      <c r="DB292" s="145" t="str">
        <f>IF($I292&lt;&gt;"",J292*(INDEX('Device Refrigerant Leakage'!$D$2:$D$42,MATCH($Q292,'Device Refrigerant Leakage'!$B$2:$B$42,0))-(INDEX('Device Refrigerant Leakage'!$D$2:$D$42,MATCH($Q292,'Device Refrigerant Leakage'!$B$2:$B$42,0)))*CZ292*CX292)*CY292/2204.62*CW292,"")</f>
        <v/>
      </c>
      <c r="DC292" s="135" t="str">
        <f t="shared" si="416"/>
        <v/>
      </c>
      <c r="DE292" s="146" t="str">
        <f>IF(W292&lt;&gt;"AR","",IF(Y292="User Specified", AA292, INDEX('Refrigerant GWPs'!$G$2:$G$154,MATCH(Y292,'Refrigerant GWPs'!$A$2:$A$154,0))))</f>
        <v/>
      </c>
      <c r="DF292" s="146" t="str">
        <f>IF(W292&lt;&gt;"AR","",INDEX('Device Refrigerant Leakage'!$E$2:$E$42,MATCH(X292,'Device Refrigerant Leakage'!$B$2:$B$42,0)))</f>
        <v/>
      </c>
      <c r="DG292" s="146" t="str">
        <f>IF(W292&lt;&gt;"AR","",INDEX('Device Refrigerant Leakage'!$F$2:$F$42,MATCH(X292,'Device Refrigerant Leakage'!$B$2:$B$42,0)))</f>
        <v/>
      </c>
      <c r="DH292" s="146" t="str">
        <f>IF(W292&lt;&gt;"AR","",INDEX('Device Refrigerant Leakage'!$G$2:$G$42,MATCH(X292,'Device Refrigerant Leakage'!$B$2:$B$42,0)))</f>
        <v/>
      </c>
      <c r="DI292" s="146" t="str">
        <f>IF(W292&lt;&gt;"AR","",J292*INDEX('Device Refrigerant Leakage'!$D$2:$D$42,MATCH(X292,'Device Refrigerant Leakage'!$B$2:$B$42,0))*DF292/2204.62*DE292)</f>
        <v/>
      </c>
      <c r="DJ292" s="146" t="str">
        <f>IF(W292&lt;&gt;"AR","",J292*(INDEX('Device Refrigerant Leakage'!$D$2:$D$42,MATCH(X292,'Device Refrigerant Leakage'!$B$2:$B$42,0))-(INDEX('Device Refrigerant Leakage'!$D$2:$D$42,MATCH(X292,'Device Refrigerant Leakage'!$B$2:$B$42,0)))*DH292*DF292)*DG292/2204.62*DE292)</f>
        <v/>
      </c>
      <c r="DK292" s="146" t="str">
        <f>IF(W292&lt;&gt;"AR","",DI292*(K292-AB292)+'Fuel Sub Calcs-Deemed'!DJ292*((K292-AB292)/INDEX('Device Refrigerant Leakage'!$C$2:$C$42,MATCH('Fuel Sub Calcs-Deemed'!X292,'Device Refrigerant Leakage'!$B$2:$B$42,0))))</f>
        <v/>
      </c>
      <c r="DM292" s="56">
        <v>278</v>
      </c>
      <c r="DN292" s="67" t="e">
        <f t="shared" si="398"/>
        <v>#N/A</v>
      </c>
      <c r="DO292" s="45" t="e">
        <f t="shared" si="399"/>
        <v>#N/A</v>
      </c>
      <c r="DP292" s="67" t="e">
        <f t="shared" si="400"/>
        <v>#N/A</v>
      </c>
      <c r="DQ292" s="45" t="e">
        <f t="shared" si="401"/>
        <v>#N/A</v>
      </c>
      <c r="DR292" s="69" t="e">
        <f t="shared" si="402"/>
        <v>#N/A</v>
      </c>
      <c r="DS292" s="34"/>
      <c r="DT292" s="67" t="e">
        <f>((BX292*CJ292)+IF($W292=MAT_AR,(BZ292*CL292),0))*(1+Reference!$E$50+Reference!$E$51)</f>
        <v>#N/A</v>
      </c>
      <c r="DU292" s="67">
        <f>((BY292*CK292)+IF($W292=MAT_AR,(CA292*CM292),0))*(1+Reference!$G$50+Reference!$G$51)</f>
        <v>0</v>
      </c>
      <c r="DV292" s="67" t="e">
        <f t="shared" si="403"/>
        <v>#VALUE!</v>
      </c>
      <c r="DX292" s="56">
        <v>278</v>
      </c>
      <c r="DY292" s="67">
        <f t="shared" si="404"/>
        <v>0</v>
      </c>
      <c r="DZ292" s="45" t="e">
        <f>VLOOKUP($R292,Dropdown!$C$3:$D$4,2,FALSE)</f>
        <v>#N/A</v>
      </c>
      <c r="EA292" s="68">
        <f t="shared" si="405"/>
        <v>0</v>
      </c>
      <c r="EB292" s="68" t="str">
        <f t="shared" si="406"/>
        <v>N/A</v>
      </c>
      <c r="EC292" s="68">
        <f t="shared" si="407"/>
        <v>0</v>
      </c>
      <c r="ED292" s="68" t="str">
        <f t="shared" si="445"/>
        <v>N/A</v>
      </c>
      <c r="EF292" s="56">
        <v>278</v>
      </c>
      <c r="EG292" s="46">
        <f t="shared" si="408"/>
        <v>0</v>
      </c>
      <c r="EH292" s="68" t="e">
        <f t="shared" si="409"/>
        <v>#N/A</v>
      </c>
      <c r="EI292" s="68" t="e">
        <f t="shared" si="410"/>
        <v>#N/A</v>
      </c>
      <c r="EJ292" s="68" t="e">
        <f t="shared" si="411"/>
        <v>#N/A</v>
      </c>
      <c r="EK292" s="68" t="e">
        <f t="shared" si="412"/>
        <v>#N/A</v>
      </c>
      <c r="EL292" s="46">
        <f t="shared" si="413"/>
        <v>0</v>
      </c>
      <c r="EM292" s="46">
        <f t="shared" si="414"/>
        <v>0</v>
      </c>
    </row>
    <row r="293" spans="1:143">
      <c r="A293" s="89"/>
      <c r="B293" s="89"/>
      <c r="C293" s="89"/>
      <c r="D293" s="89"/>
      <c r="E293" s="89"/>
      <c r="F293" s="89"/>
      <c r="G293" s="34"/>
      <c r="H293" s="56">
        <f t="shared" si="415"/>
        <v>279</v>
      </c>
      <c r="I293" s="165"/>
      <c r="J293" s="163"/>
      <c r="K293" s="163"/>
      <c r="L293" s="164"/>
      <c r="M293" s="155"/>
      <c r="N293" s="155"/>
      <c r="O293" s="144"/>
      <c r="P293" s="159" t="str">
        <f>IFERROR(IF(O293&lt;&gt;"User Specified",IF(O293&lt;&gt;"", INDEX('Refrigerant GWPs'!$G$2:$G$154,MATCH(O293,'Refrigerant GWPs'!$A$2:$A$154,0)),""),U293),0)</f>
        <v/>
      </c>
      <c r="Q293" s="155"/>
      <c r="R293" s="155"/>
      <c r="S293" s="144"/>
      <c r="T293" s="159" t="str">
        <f>IF(S293&lt;&gt;"User Specified",IF(AND(S293&lt;&gt;"User Specified",S293&lt;&gt;""), INDEX('Refrigerant GWPs'!$G$2:$G$154,MATCH(S293,'Refrigerant GWPs'!$A$2:$A$154,0)),""),V293)</f>
        <v/>
      </c>
      <c r="U293" s="144"/>
      <c r="V293" s="144"/>
      <c r="W293" s="155"/>
      <c r="X293" s="155"/>
      <c r="Y293" s="144"/>
      <c r="Z293" s="159" t="str">
        <f>IF(AND(Y293&lt;&gt;"User Specified",Y293&lt;&gt;""), INDEX('Refrigerant GWPs'!$G$2:$G$154,MATCH(Y293,'Refrigerant GWPs'!$A$2:$A$154,0)),"")</f>
        <v/>
      </c>
      <c r="AA293" s="155"/>
      <c r="AB293" s="156"/>
      <c r="AC293" s="66"/>
      <c r="AD293" s="66"/>
      <c r="AE293" s="66"/>
      <c r="AF293" s="66"/>
      <c r="AG293" s="66"/>
      <c r="AH293" s="66"/>
      <c r="AI293" s="34"/>
      <c r="AJ293" s="88">
        <f t="shared" si="378"/>
        <v>0</v>
      </c>
      <c r="AK293" s="88">
        <f t="shared" si="379"/>
        <v>0</v>
      </c>
      <c r="AL293" s="88">
        <v>0</v>
      </c>
      <c r="AM293" s="88">
        <v>0</v>
      </c>
      <c r="AN293" s="81" t="str">
        <f t="shared" si="417"/>
        <v/>
      </c>
      <c r="AO293" s="88">
        <f t="shared" si="380"/>
        <v>0</v>
      </c>
      <c r="AP293" s="88">
        <f t="shared" si="381"/>
        <v>0</v>
      </c>
      <c r="AQ293" s="81" t="str">
        <f t="shared" si="382"/>
        <v/>
      </c>
      <c r="AS293" s="41" t="b">
        <f t="shared" si="383"/>
        <v>1</v>
      </c>
      <c r="AT293" s="38">
        <f t="shared" si="384"/>
        <v>0</v>
      </c>
      <c r="AU293" s="60">
        <f t="shared" si="385"/>
        <v>0</v>
      </c>
      <c r="AV293" s="41">
        <f t="shared" si="386"/>
        <v>0</v>
      </c>
      <c r="AW293" s="41" t="b">
        <f t="shared" si="387"/>
        <v>0</v>
      </c>
      <c r="AX293" t="str">
        <f t="shared" si="388"/>
        <v>+00</v>
      </c>
      <c r="AY293" t="str">
        <f t="shared" si="389"/>
        <v>+00</v>
      </c>
      <c r="BA293" s="47" t="b">
        <f t="shared" si="418"/>
        <v>1</v>
      </c>
      <c r="BB293" s="42" t="b">
        <f t="shared" si="419"/>
        <v>1</v>
      </c>
      <c r="BC293" s="42" t="b">
        <f t="shared" si="420"/>
        <v>0</v>
      </c>
      <c r="BD293" s="42" t="b">
        <f t="shared" si="421"/>
        <v>0</v>
      </c>
      <c r="BE293" s="70">
        <f t="shared" si="422"/>
        <v>0</v>
      </c>
      <c r="BF293" s="70">
        <f t="shared" si="423"/>
        <v>0</v>
      </c>
      <c r="BG293" s="34"/>
      <c r="BI293" s="47" t="b">
        <f t="shared" si="424"/>
        <v>1</v>
      </c>
      <c r="BJ293" s="47" t="b">
        <f t="shared" si="425"/>
        <v>1</v>
      </c>
      <c r="BK293" s="42" t="b">
        <f t="shared" si="426"/>
        <v>0</v>
      </c>
      <c r="BL293" s="42" t="b">
        <f t="shared" si="427"/>
        <v>0</v>
      </c>
      <c r="BM293" s="42">
        <f t="shared" si="428"/>
        <v>0</v>
      </c>
      <c r="BN293" s="42">
        <f t="shared" si="429"/>
        <v>0</v>
      </c>
      <c r="BP293" t="e">
        <f t="shared" si="430"/>
        <v>#N/A</v>
      </c>
      <c r="BQ293" t="e">
        <f t="shared" si="431"/>
        <v>#N/A</v>
      </c>
      <c r="BR293" t="e">
        <f t="shared" si="432"/>
        <v>#N/A</v>
      </c>
      <c r="BT293" s="60">
        <f t="shared" si="433"/>
        <v>0</v>
      </c>
      <c r="BU293" s="60">
        <f t="shared" si="434"/>
        <v>0</v>
      </c>
      <c r="BV293" s="60">
        <f t="shared" si="435"/>
        <v>0</v>
      </c>
      <c r="BW293" s="60">
        <f t="shared" si="436"/>
        <v>0</v>
      </c>
      <c r="BX293" s="60">
        <f t="shared" si="437"/>
        <v>0</v>
      </c>
      <c r="BY293" s="60">
        <f t="shared" si="438"/>
        <v>0</v>
      </c>
      <c r="BZ293" s="60">
        <f t="shared" si="439"/>
        <v>0</v>
      </c>
      <c r="CA293" s="60">
        <f t="shared" si="440"/>
        <v>0</v>
      </c>
      <c r="CB293" s="60" t="e">
        <f t="shared" si="390"/>
        <v>#N/A</v>
      </c>
      <c r="CC293" s="60">
        <f t="shared" si="391"/>
        <v>100000</v>
      </c>
      <c r="CD293" s="60" t="e">
        <f t="shared" si="392"/>
        <v>#N/A</v>
      </c>
      <c r="CE293" s="60">
        <f t="shared" si="393"/>
        <v>100000</v>
      </c>
      <c r="CF293" s="83" t="e">
        <f t="shared" si="441"/>
        <v>#N/A</v>
      </c>
      <c r="CG293" s="83">
        <f t="shared" si="442"/>
        <v>0</v>
      </c>
      <c r="CH293" s="83" t="e">
        <f t="shared" si="443"/>
        <v>#N/A</v>
      </c>
      <c r="CI293" s="83">
        <f t="shared" si="444"/>
        <v>0</v>
      </c>
      <c r="CJ293" s="86" t="e">
        <f t="shared" si="394"/>
        <v>#N/A</v>
      </c>
      <c r="CK293" s="82">
        <f t="shared" si="395"/>
        <v>5.3070370403969858E-3</v>
      </c>
      <c r="CL293" s="82" t="e">
        <f t="shared" si="396"/>
        <v>#N/A</v>
      </c>
      <c r="CM293" s="82">
        <f t="shared" si="397"/>
        <v>5.3070370403969858E-3</v>
      </c>
      <c r="CO293" s="149" t="str">
        <f>IF($I293&lt;&gt;"",IF(O293="User Specified",U293,INDEX('Refrigerant GWPs'!$G$2:$G$156,MATCH(O293,'Refrigerant GWPs'!$A$2:$A$156,0))),"")</f>
        <v/>
      </c>
      <c r="CP293" s="138" t="str">
        <f>IF($I293&lt;&gt;"",INDEX('Device Refrigerant Leakage'!$E$2:$E$42,MATCH($M293,'Device Refrigerant Leakage'!$B$2:$B$42,0)),"")</f>
        <v/>
      </c>
      <c r="CQ293" s="138" t="str">
        <f>IF($I293&lt;&gt;"",INDEX('Device Refrigerant Leakage'!$F$2:$F$42,MATCH($M293,'Device Refrigerant Leakage'!$B$2:$B$42,0)),"")</f>
        <v/>
      </c>
      <c r="CR293" s="145" t="str">
        <f>IF($I293&lt;&gt;"",INDEX('Device Refrigerant Leakage'!$G$2:$G$42,MATCH($M293,'Device Refrigerant Leakage'!$B$2:$B$42,0)),"")</f>
        <v/>
      </c>
      <c r="CS293" s="145" t="str">
        <f>IF($I293&lt;&gt;"",INDEX('Device Refrigerant Leakage'!$D$2:$D$42,MATCH($M293,'Device Refrigerant Leakage'!$B$2:$B$42,0))*CP293/2204.62*CO293,"")</f>
        <v/>
      </c>
      <c r="CT293" s="145" t="str">
        <f>IF($I293&lt;&gt;"",J293*(INDEX('Device Refrigerant Leakage'!$D$2:$D$42,MATCH($M293,'Device Refrigerant Leakage'!$B$2:$B$42,0))-(INDEX('Device Refrigerant Leakage'!$D$2:$D$42,MATCH($M293,'Device Refrigerant Leakage'!$B$2:$B$42,0)))*CR293*CP293)*CQ293/2204.62*CO293,"")</f>
        <v/>
      </c>
      <c r="CU293" s="135" t="str">
        <f>IF($I293&lt;&gt;"",J293*IF(W293&lt;&gt;"AR",(CS293*K293)+CT293,(CS293*AB293)+CT293*(AB293/INDEX('Device Refrigerant Leakage'!$C$2:$C$42,MATCH($M293,'Device Refrigerant Leakage'!$B$2:$B$42,0)))),"")</f>
        <v/>
      </c>
      <c r="CW293" s="135" t="str">
        <f>IF($I293&lt;&gt;"",IF(S293="User Specified",V293,INDEX('Refrigerant GWPs'!$G$2:$G$156,MATCH(S293,'Refrigerant GWPs'!$A$2:$A$157,0))),"")</f>
        <v/>
      </c>
      <c r="CX293" s="138" t="str">
        <f>IF($I293&lt;&gt;"",INDEX('Device Refrigerant Leakage'!$E$2:$E$42,MATCH($Q293,'Device Refrigerant Leakage'!$B$2:$B$42,0)),"")</f>
        <v/>
      </c>
      <c r="CY293" s="138" t="str">
        <f>IF($I293&lt;&gt;"",INDEX('Device Refrigerant Leakage'!$F$2:$F$42,MATCH($Q293,'Device Refrigerant Leakage'!$B$2:$B$42,0)),"")</f>
        <v/>
      </c>
      <c r="CZ293" s="145" t="str">
        <f>IF($I293&lt;&gt;"",INDEX('Device Refrigerant Leakage'!$G$2:$G$42,MATCH($Q293,'Device Refrigerant Leakage'!$B$2:$B$42,0)),"")</f>
        <v/>
      </c>
      <c r="DA293" s="145" t="str">
        <f>IF($I293&lt;&gt;"",J293*INDEX('Device Refrigerant Leakage'!$D$2:$D$42,MATCH($Q293,'Device Refrigerant Leakage'!$B$2:$B$42,0))*CX293/2204.62*CW293,"")</f>
        <v/>
      </c>
      <c r="DB293" s="145" t="str">
        <f>IF($I293&lt;&gt;"",J293*(INDEX('Device Refrigerant Leakage'!$D$2:$D$42,MATCH($Q293,'Device Refrigerant Leakage'!$B$2:$B$42,0))-(INDEX('Device Refrigerant Leakage'!$D$2:$D$42,MATCH($Q293,'Device Refrigerant Leakage'!$B$2:$B$42,0)))*CZ293*CX293)*CY293/2204.62*CW293,"")</f>
        <v/>
      </c>
      <c r="DC293" s="135" t="str">
        <f t="shared" si="416"/>
        <v/>
      </c>
      <c r="DE293" s="146" t="str">
        <f>IF(W293&lt;&gt;"AR","",IF(Y293="User Specified", AA293, INDEX('Refrigerant GWPs'!$G$2:$G$154,MATCH(Y293,'Refrigerant GWPs'!$A$2:$A$154,0))))</f>
        <v/>
      </c>
      <c r="DF293" s="146" t="str">
        <f>IF(W293&lt;&gt;"AR","",INDEX('Device Refrigerant Leakage'!$E$2:$E$42,MATCH(X293,'Device Refrigerant Leakage'!$B$2:$B$42,0)))</f>
        <v/>
      </c>
      <c r="DG293" s="146" t="str">
        <f>IF(W293&lt;&gt;"AR","",INDEX('Device Refrigerant Leakage'!$F$2:$F$42,MATCH(X293,'Device Refrigerant Leakage'!$B$2:$B$42,0)))</f>
        <v/>
      </c>
      <c r="DH293" s="146" t="str">
        <f>IF(W293&lt;&gt;"AR","",INDEX('Device Refrigerant Leakage'!$G$2:$G$42,MATCH(X293,'Device Refrigerant Leakage'!$B$2:$B$42,0)))</f>
        <v/>
      </c>
      <c r="DI293" s="146" t="str">
        <f>IF(W293&lt;&gt;"AR","",J293*INDEX('Device Refrigerant Leakage'!$D$2:$D$42,MATCH(X293,'Device Refrigerant Leakage'!$B$2:$B$42,0))*DF293/2204.62*DE293)</f>
        <v/>
      </c>
      <c r="DJ293" s="146" t="str">
        <f>IF(W293&lt;&gt;"AR","",J293*(INDEX('Device Refrigerant Leakage'!$D$2:$D$42,MATCH(X293,'Device Refrigerant Leakage'!$B$2:$B$42,0))-(INDEX('Device Refrigerant Leakage'!$D$2:$D$42,MATCH(X293,'Device Refrigerant Leakage'!$B$2:$B$42,0)))*DH293*DF293)*DG293/2204.62*DE293)</f>
        <v/>
      </c>
      <c r="DK293" s="146" t="str">
        <f>IF(W293&lt;&gt;"AR","",DI293*(K293-AB293)+'Fuel Sub Calcs-Deemed'!DJ293*((K293-AB293)/INDEX('Device Refrigerant Leakage'!$C$2:$C$42,MATCH('Fuel Sub Calcs-Deemed'!X293,'Device Refrigerant Leakage'!$B$2:$B$42,0))))</f>
        <v/>
      </c>
      <c r="DM293" s="56">
        <v>279</v>
      </c>
      <c r="DN293" s="67" t="e">
        <f t="shared" si="398"/>
        <v>#N/A</v>
      </c>
      <c r="DO293" s="45" t="e">
        <f t="shared" si="399"/>
        <v>#N/A</v>
      </c>
      <c r="DP293" s="67" t="e">
        <f t="shared" si="400"/>
        <v>#N/A</v>
      </c>
      <c r="DQ293" s="45" t="e">
        <f t="shared" si="401"/>
        <v>#N/A</v>
      </c>
      <c r="DR293" s="69" t="e">
        <f t="shared" si="402"/>
        <v>#N/A</v>
      </c>
      <c r="DS293" s="34"/>
      <c r="DT293" s="67" t="e">
        <f>((BX293*CJ293)+IF($W293=MAT_AR,(BZ293*CL293),0))*(1+Reference!$E$50+Reference!$E$51)</f>
        <v>#N/A</v>
      </c>
      <c r="DU293" s="67">
        <f>((BY293*CK293)+IF($W293=MAT_AR,(CA293*CM293),0))*(1+Reference!$G$50+Reference!$G$51)</f>
        <v>0</v>
      </c>
      <c r="DV293" s="67" t="e">
        <f t="shared" si="403"/>
        <v>#VALUE!</v>
      </c>
      <c r="DX293" s="56">
        <v>279</v>
      </c>
      <c r="DY293" s="67">
        <f t="shared" si="404"/>
        <v>0</v>
      </c>
      <c r="DZ293" s="45" t="e">
        <f>VLOOKUP($R293,Dropdown!$C$3:$D$4,2,FALSE)</f>
        <v>#N/A</v>
      </c>
      <c r="EA293" s="68">
        <f t="shared" si="405"/>
        <v>0</v>
      </c>
      <c r="EB293" s="68" t="str">
        <f t="shared" si="406"/>
        <v>N/A</v>
      </c>
      <c r="EC293" s="68">
        <f t="shared" si="407"/>
        <v>0</v>
      </c>
      <c r="ED293" s="68" t="str">
        <f t="shared" si="445"/>
        <v>N/A</v>
      </c>
      <c r="EF293" s="56">
        <v>279</v>
      </c>
      <c r="EG293" s="46">
        <f t="shared" si="408"/>
        <v>0</v>
      </c>
      <c r="EH293" s="68" t="e">
        <f t="shared" si="409"/>
        <v>#N/A</v>
      </c>
      <c r="EI293" s="68" t="e">
        <f t="shared" si="410"/>
        <v>#N/A</v>
      </c>
      <c r="EJ293" s="68" t="e">
        <f t="shared" si="411"/>
        <v>#N/A</v>
      </c>
      <c r="EK293" s="68" t="e">
        <f t="shared" si="412"/>
        <v>#N/A</v>
      </c>
      <c r="EL293" s="46">
        <f t="shared" si="413"/>
        <v>0</v>
      </c>
      <c r="EM293" s="46">
        <f t="shared" si="414"/>
        <v>0</v>
      </c>
    </row>
    <row r="294" spans="1:143">
      <c r="A294" s="89"/>
      <c r="B294" s="89"/>
      <c r="C294" s="89"/>
      <c r="D294" s="89"/>
      <c r="E294" s="89"/>
      <c r="F294" s="89"/>
      <c r="G294" s="34"/>
      <c r="H294" s="56">
        <f t="shared" si="415"/>
        <v>280</v>
      </c>
      <c r="I294" s="165"/>
      <c r="J294" s="163"/>
      <c r="K294" s="163"/>
      <c r="L294" s="164"/>
      <c r="M294" s="155"/>
      <c r="N294" s="155"/>
      <c r="O294" s="144"/>
      <c r="P294" s="159" t="str">
        <f>IFERROR(IF(O294&lt;&gt;"User Specified",IF(O294&lt;&gt;"", INDEX('Refrigerant GWPs'!$G$2:$G$154,MATCH(O294,'Refrigerant GWPs'!$A$2:$A$154,0)),""),U294),0)</f>
        <v/>
      </c>
      <c r="Q294" s="155"/>
      <c r="R294" s="155"/>
      <c r="S294" s="144"/>
      <c r="T294" s="159" t="str">
        <f>IF(S294&lt;&gt;"User Specified",IF(AND(S294&lt;&gt;"User Specified",S294&lt;&gt;""), INDEX('Refrigerant GWPs'!$G$2:$G$154,MATCH(S294,'Refrigerant GWPs'!$A$2:$A$154,0)),""),V294)</f>
        <v/>
      </c>
      <c r="U294" s="144"/>
      <c r="V294" s="144"/>
      <c r="W294" s="155"/>
      <c r="X294" s="155"/>
      <c r="Y294" s="144"/>
      <c r="Z294" s="159" t="str">
        <f>IF(AND(Y294&lt;&gt;"User Specified",Y294&lt;&gt;""), INDEX('Refrigerant GWPs'!$G$2:$G$154,MATCH(Y294,'Refrigerant GWPs'!$A$2:$A$154,0)),"")</f>
        <v/>
      </c>
      <c r="AA294" s="155"/>
      <c r="AB294" s="156"/>
      <c r="AC294" s="66"/>
      <c r="AD294" s="66"/>
      <c r="AE294" s="66"/>
      <c r="AF294" s="66"/>
      <c r="AG294" s="66"/>
      <c r="AH294" s="66"/>
      <c r="AI294" s="34"/>
      <c r="AJ294" s="88">
        <f t="shared" si="378"/>
        <v>0</v>
      </c>
      <c r="AK294" s="88">
        <f t="shared" si="379"/>
        <v>0</v>
      </c>
      <c r="AL294" s="88">
        <v>0</v>
      </c>
      <c r="AM294" s="88">
        <v>0</v>
      </c>
      <c r="AN294" s="81" t="str">
        <f t="shared" si="417"/>
        <v/>
      </c>
      <c r="AO294" s="88">
        <f t="shared" si="380"/>
        <v>0</v>
      </c>
      <c r="AP294" s="88">
        <f t="shared" si="381"/>
        <v>0</v>
      </c>
      <c r="AQ294" s="81" t="str">
        <f t="shared" si="382"/>
        <v/>
      </c>
      <c r="AS294" s="41" t="b">
        <f t="shared" si="383"/>
        <v>1</v>
      </c>
      <c r="AT294" s="38">
        <f t="shared" si="384"/>
        <v>0</v>
      </c>
      <c r="AU294" s="60">
        <f t="shared" si="385"/>
        <v>0</v>
      </c>
      <c r="AV294" s="41">
        <f t="shared" si="386"/>
        <v>0</v>
      </c>
      <c r="AW294" s="41" t="b">
        <f t="shared" si="387"/>
        <v>0</v>
      </c>
      <c r="AX294" t="str">
        <f t="shared" si="388"/>
        <v>+00</v>
      </c>
      <c r="AY294" t="str">
        <f t="shared" si="389"/>
        <v>+00</v>
      </c>
      <c r="BA294" s="47" t="b">
        <f t="shared" si="418"/>
        <v>1</v>
      </c>
      <c r="BB294" s="42" t="b">
        <f t="shared" si="419"/>
        <v>1</v>
      </c>
      <c r="BC294" s="42" t="b">
        <f t="shared" si="420"/>
        <v>0</v>
      </c>
      <c r="BD294" s="42" t="b">
        <f t="shared" si="421"/>
        <v>0</v>
      </c>
      <c r="BE294" s="70">
        <f t="shared" si="422"/>
        <v>0</v>
      </c>
      <c r="BF294" s="70">
        <f t="shared" si="423"/>
        <v>0</v>
      </c>
      <c r="BG294" s="34"/>
      <c r="BI294" s="47" t="b">
        <f t="shared" si="424"/>
        <v>1</v>
      </c>
      <c r="BJ294" s="47" t="b">
        <f t="shared" si="425"/>
        <v>1</v>
      </c>
      <c r="BK294" s="42" t="b">
        <f t="shared" si="426"/>
        <v>0</v>
      </c>
      <c r="BL294" s="42" t="b">
        <f t="shared" si="427"/>
        <v>0</v>
      </c>
      <c r="BM294" s="42">
        <f t="shared" si="428"/>
        <v>0</v>
      </c>
      <c r="BN294" s="42">
        <f t="shared" si="429"/>
        <v>0</v>
      </c>
      <c r="BP294" t="e">
        <f t="shared" si="430"/>
        <v>#N/A</v>
      </c>
      <c r="BQ294" t="e">
        <f t="shared" si="431"/>
        <v>#N/A</v>
      </c>
      <c r="BR294" t="e">
        <f t="shared" si="432"/>
        <v>#N/A</v>
      </c>
      <c r="BT294" s="60">
        <f t="shared" si="433"/>
        <v>0</v>
      </c>
      <c r="BU294" s="60">
        <f t="shared" si="434"/>
        <v>0</v>
      </c>
      <c r="BV294" s="60">
        <f t="shared" si="435"/>
        <v>0</v>
      </c>
      <c r="BW294" s="60">
        <f t="shared" si="436"/>
        <v>0</v>
      </c>
      <c r="BX294" s="60">
        <f t="shared" si="437"/>
        <v>0</v>
      </c>
      <c r="BY294" s="60">
        <f t="shared" si="438"/>
        <v>0</v>
      </c>
      <c r="BZ294" s="60">
        <f t="shared" si="439"/>
        <v>0</v>
      </c>
      <c r="CA294" s="60">
        <f t="shared" si="440"/>
        <v>0</v>
      </c>
      <c r="CB294" s="60" t="e">
        <f t="shared" si="390"/>
        <v>#N/A</v>
      </c>
      <c r="CC294" s="60">
        <f t="shared" si="391"/>
        <v>100000</v>
      </c>
      <c r="CD294" s="60" t="e">
        <f t="shared" si="392"/>
        <v>#N/A</v>
      </c>
      <c r="CE294" s="60">
        <f t="shared" si="393"/>
        <v>100000</v>
      </c>
      <c r="CF294" s="83" t="e">
        <f t="shared" si="441"/>
        <v>#N/A</v>
      </c>
      <c r="CG294" s="83">
        <f t="shared" si="442"/>
        <v>0</v>
      </c>
      <c r="CH294" s="83" t="e">
        <f t="shared" si="443"/>
        <v>#N/A</v>
      </c>
      <c r="CI294" s="83">
        <f t="shared" si="444"/>
        <v>0</v>
      </c>
      <c r="CJ294" s="86" t="e">
        <f t="shared" si="394"/>
        <v>#N/A</v>
      </c>
      <c r="CK294" s="82">
        <f t="shared" si="395"/>
        <v>5.3070370403969858E-3</v>
      </c>
      <c r="CL294" s="82" t="e">
        <f t="shared" si="396"/>
        <v>#N/A</v>
      </c>
      <c r="CM294" s="82">
        <f t="shared" si="397"/>
        <v>5.3070370403969858E-3</v>
      </c>
      <c r="CO294" s="149" t="str">
        <f>IF($I294&lt;&gt;"",IF(O294="User Specified",U294,INDEX('Refrigerant GWPs'!$G$2:$G$156,MATCH(O294,'Refrigerant GWPs'!$A$2:$A$156,0))),"")</f>
        <v/>
      </c>
      <c r="CP294" s="138" t="str">
        <f>IF($I294&lt;&gt;"",INDEX('Device Refrigerant Leakage'!$E$2:$E$42,MATCH($M294,'Device Refrigerant Leakage'!$B$2:$B$42,0)),"")</f>
        <v/>
      </c>
      <c r="CQ294" s="138" t="str">
        <f>IF($I294&lt;&gt;"",INDEX('Device Refrigerant Leakage'!$F$2:$F$42,MATCH($M294,'Device Refrigerant Leakage'!$B$2:$B$42,0)),"")</f>
        <v/>
      </c>
      <c r="CR294" s="145" t="str">
        <f>IF($I294&lt;&gt;"",INDEX('Device Refrigerant Leakage'!$G$2:$G$42,MATCH($M294,'Device Refrigerant Leakage'!$B$2:$B$42,0)),"")</f>
        <v/>
      </c>
      <c r="CS294" s="145" t="str">
        <f>IF($I294&lt;&gt;"",INDEX('Device Refrigerant Leakage'!$D$2:$D$42,MATCH($M294,'Device Refrigerant Leakage'!$B$2:$B$42,0))*CP294/2204.62*CO294,"")</f>
        <v/>
      </c>
      <c r="CT294" s="145" t="str">
        <f>IF($I294&lt;&gt;"",J294*(INDEX('Device Refrigerant Leakage'!$D$2:$D$42,MATCH($M294,'Device Refrigerant Leakage'!$B$2:$B$42,0))-(INDEX('Device Refrigerant Leakage'!$D$2:$D$42,MATCH($M294,'Device Refrigerant Leakage'!$B$2:$B$42,0)))*CR294*CP294)*CQ294/2204.62*CO294,"")</f>
        <v/>
      </c>
      <c r="CU294" s="135" t="str">
        <f>IF($I294&lt;&gt;"",J294*IF(W294&lt;&gt;"AR",(CS294*K294)+CT294,(CS294*AB294)+CT294*(AB294/INDEX('Device Refrigerant Leakage'!$C$2:$C$42,MATCH($M294,'Device Refrigerant Leakage'!$B$2:$B$42,0)))),"")</f>
        <v/>
      </c>
      <c r="CW294" s="135" t="str">
        <f>IF($I294&lt;&gt;"",IF(S294="User Specified",V294,INDEX('Refrigerant GWPs'!$G$2:$G$156,MATCH(S294,'Refrigerant GWPs'!$A$2:$A$157,0))),"")</f>
        <v/>
      </c>
      <c r="CX294" s="138" t="str">
        <f>IF($I294&lt;&gt;"",INDEX('Device Refrigerant Leakage'!$E$2:$E$42,MATCH($Q294,'Device Refrigerant Leakage'!$B$2:$B$42,0)),"")</f>
        <v/>
      </c>
      <c r="CY294" s="138" t="str">
        <f>IF($I294&lt;&gt;"",INDEX('Device Refrigerant Leakage'!$F$2:$F$42,MATCH($Q294,'Device Refrigerant Leakage'!$B$2:$B$42,0)),"")</f>
        <v/>
      </c>
      <c r="CZ294" s="145" t="str">
        <f>IF($I294&lt;&gt;"",INDEX('Device Refrigerant Leakage'!$G$2:$G$42,MATCH($Q294,'Device Refrigerant Leakage'!$B$2:$B$42,0)),"")</f>
        <v/>
      </c>
      <c r="DA294" s="145" t="str">
        <f>IF($I294&lt;&gt;"",J294*INDEX('Device Refrigerant Leakage'!$D$2:$D$42,MATCH($Q294,'Device Refrigerant Leakage'!$B$2:$B$42,0))*CX294/2204.62*CW294,"")</f>
        <v/>
      </c>
      <c r="DB294" s="145" t="str">
        <f>IF($I294&lt;&gt;"",J294*(INDEX('Device Refrigerant Leakage'!$D$2:$D$42,MATCH($Q294,'Device Refrigerant Leakage'!$B$2:$B$42,0))-(INDEX('Device Refrigerant Leakage'!$D$2:$D$42,MATCH($Q294,'Device Refrigerant Leakage'!$B$2:$B$42,0)))*CZ294*CX294)*CY294/2204.62*CW294,"")</f>
        <v/>
      </c>
      <c r="DC294" s="135" t="str">
        <f t="shared" si="416"/>
        <v/>
      </c>
      <c r="DE294" s="146" t="str">
        <f>IF(W294&lt;&gt;"AR","",IF(Y294="User Specified", AA294, INDEX('Refrigerant GWPs'!$G$2:$G$154,MATCH(Y294,'Refrigerant GWPs'!$A$2:$A$154,0))))</f>
        <v/>
      </c>
      <c r="DF294" s="146" t="str">
        <f>IF(W294&lt;&gt;"AR","",INDEX('Device Refrigerant Leakage'!$E$2:$E$42,MATCH(X294,'Device Refrigerant Leakage'!$B$2:$B$42,0)))</f>
        <v/>
      </c>
      <c r="DG294" s="146" t="str">
        <f>IF(W294&lt;&gt;"AR","",INDEX('Device Refrigerant Leakage'!$F$2:$F$42,MATCH(X294,'Device Refrigerant Leakage'!$B$2:$B$42,0)))</f>
        <v/>
      </c>
      <c r="DH294" s="146" t="str">
        <f>IF(W294&lt;&gt;"AR","",INDEX('Device Refrigerant Leakage'!$G$2:$G$42,MATCH(X294,'Device Refrigerant Leakage'!$B$2:$B$42,0)))</f>
        <v/>
      </c>
      <c r="DI294" s="146" t="str">
        <f>IF(W294&lt;&gt;"AR","",J294*INDEX('Device Refrigerant Leakage'!$D$2:$D$42,MATCH(X294,'Device Refrigerant Leakage'!$B$2:$B$42,0))*DF294/2204.62*DE294)</f>
        <v/>
      </c>
      <c r="DJ294" s="146" t="str">
        <f>IF(W294&lt;&gt;"AR","",J294*(INDEX('Device Refrigerant Leakage'!$D$2:$D$42,MATCH(X294,'Device Refrigerant Leakage'!$B$2:$B$42,0))-(INDEX('Device Refrigerant Leakage'!$D$2:$D$42,MATCH(X294,'Device Refrigerant Leakage'!$B$2:$B$42,0)))*DH294*DF294)*DG294/2204.62*DE294)</f>
        <v/>
      </c>
      <c r="DK294" s="146" t="str">
        <f>IF(W294&lt;&gt;"AR","",DI294*(K294-AB294)+'Fuel Sub Calcs-Deemed'!DJ294*((K294-AB294)/INDEX('Device Refrigerant Leakage'!$C$2:$C$42,MATCH('Fuel Sub Calcs-Deemed'!X294,'Device Refrigerant Leakage'!$B$2:$B$42,0))))</f>
        <v/>
      </c>
      <c r="DM294" s="56">
        <v>280</v>
      </c>
      <c r="DN294" s="67" t="e">
        <f t="shared" si="398"/>
        <v>#N/A</v>
      </c>
      <c r="DO294" s="45" t="e">
        <f t="shared" si="399"/>
        <v>#N/A</v>
      </c>
      <c r="DP294" s="67" t="e">
        <f t="shared" si="400"/>
        <v>#N/A</v>
      </c>
      <c r="DQ294" s="45" t="e">
        <f t="shared" si="401"/>
        <v>#N/A</v>
      </c>
      <c r="DR294" s="69" t="e">
        <f t="shared" si="402"/>
        <v>#N/A</v>
      </c>
      <c r="DS294" s="34"/>
      <c r="DT294" s="67" t="e">
        <f>((BX294*CJ294)+IF($W294=MAT_AR,(BZ294*CL294),0))*(1+Reference!$E$50+Reference!$E$51)</f>
        <v>#N/A</v>
      </c>
      <c r="DU294" s="67">
        <f>((BY294*CK294)+IF($W294=MAT_AR,(CA294*CM294),0))*(1+Reference!$G$50+Reference!$G$51)</f>
        <v>0</v>
      </c>
      <c r="DV294" s="67" t="e">
        <f t="shared" si="403"/>
        <v>#VALUE!</v>
      </c>
      <c r="DX294" s="56">
        <v>280</v>
      </c>
      <c r="DY294" s="67">
        <f t="shared" si="404"/>
        <v>0</v>
      </c>
      <c r="DZ294" s="45" t="e">
        <f>VLOOKUP($R294,Dropdown!$C$3:$D$4,2,FALSE)</f>
        <v>#N/A</v>
      </c>
      <c r="EA294" s="68">
        <f t="shared" si="405"/>
        <v>0</v>
      </c>
      <c r="EB294" s="68" t="str">
        <f t="shared" si="406"/>
        <v>N/A</v>
      </c>
      <c r="EC294" s="68">
        <f t="shared" si="407"/>
        <v>0</v>
      </c>
      <c r="ED294" s="68" t="str">
        <f t="shared" si="445"/>
        <v>N/A</v>
      </c>
      <c r="EF294" s="56">
        <v>280</v>
      </c>
      <c r="EG294" s="46">
        <f t="shared" si="408"/>
        <v>0</v>
      </c>
      <c r="EH294" s="68" t="e">
        <f t="shared" si="409"/>
        <v>#N/A</v>
      </c>
      <c r="EI294" s="68" t="e">
        <f t="shared" si="410"/>
        <v>#N/A</v>
      </c>
      <c r="EJ294" s="68" t="e">
        <f t="shared" si="411"/>
        <v>#N/A</v>
      </c>
      <c r="EK294" s="68" t="e">
        <f t="shared" si="412"/>
        <v>#N/A</v>
      </c>
      <c r="EL294" s="46">
        <f t="shared" si="413"/>
        <v>0</v>
      </c>
      <c r="EM294" s="46">
        <f t="shared" si="414"/>
        <v>0</v>
      </c>
    </row>
    <row r="295" spans="1:143">
      <c r="A295" s="89"/>
      <c r="B295" s="89"/>
      <c r="C295" s="89"/>
      <c r="D295" s="89"/>
      <c r="E295" s="89"/>
      <c r="F295" s="89"/>
      <c r="G295" s="34"/>
      <c r="H295" s="56">
        <f t="shared" si="415"/>
        <v>281</v>
      </c>
      <c r="I295" s="165"/>
      <c r="J295" s="163"/>
      <c r="K295" s="163"/>
      <c r="L295" s="164"/>
      <c r="M295" s="155"/>
      <c r="N295" s="155"/>
      <c r="O295" s="144"/>
      <c r="P295" s="159" t="str">
        <f>IFERROR(IF(O295&lt;&gt;"User Specified",IF(O295&lt;&gt;"", INDEX('Refrigerant GWPs'!$G$2:$G$154,MATCH(O295,'Refrigerant GWPs'!$A$2:$A$154,0)),""),U295),0)</f>
        <v/>
      </c>
      <c r="Q295" s="155"/>
      <c r="R295" s="155"/>
      <c r="S295" s="144"/>
      <c r="T295" s="159" t="str">
        <f>IF(S295&lt;&gt;"User Specified",IF(AND(S295&lt;&gt;"User Specified",S295&lt;&gt;""), INDEX('Refrigerant GWPs'!$G$2:$G$154,MATCH(S295,'Refrigerant GWPs'!$A$2:$A$154,0)),""),V295)</f>
        <v/>
      </c>
      <c r="U295" s="144"/>
      <c r="V295" s="144"/>
      <c r="W295" s="155"/>
      <c r="X295" s="155"/>
      <c r="Y295" s="144"/>
      <c r="Z295" s="159" t="str">
        <f>IF(AND(Y295&lt;&gt;"User Specified",Y295&lt;&gt;""), INDEX('Refrigerant GWPs'!$G$2:$G$154,MATCH(Y295,'Refrigerant GWPs'!$A$2:$A$154,0)),"")</f>
        <v/>
      </c>
      <c r="AA295" s="155"/>
      <c r="AB295" s="156"/>
      <c r="AC295" s="66"/>
      <c r="AD295" s="66"/>
      <c r="AE295" s="66"/>
      <c r="AF295" s="66"/>
      <c r="AG295" s="66"/>
      <c r="AH295" s="66"/>
      <c r="AI295" s="34"/>
      <c r="AJ295" s="88">
        <f t="shared" si="378"/>
        <v>0</v>
      </c>
      <c r="AK295" s="88">
        <f t="shared" si="379"/>
        <v>0</v>
      </c>
      <c r="AL295" s="88">
        <v>0</v>
      </c>
      <c r="AM295" s="88">
        <v>0</v>
      </c>
      <c r="AN295" s="81" t="str">
        <f t="shared" si="417"/>
        <v/>
      </c>
      <c r="AO295" s="88">
        <f t="shared" si="380"/>
        <v>0</v>
      </c>
      <c r="AP295" s="88">
        <f t="shared" si="381"/>
        <v>0</v>
      </c>
      <c r="AQ295" s="81" t="str">
        <f t="shared" si="382"/>
        <v/>
      </c>
      <c r="AS295" s="41" t="b">
        <f t="shared" si="383"/>
        <v>1</v>
      </c>
      <c r="AT295" s="38">
        <f t="shared" si="384"/>
        <v>0</v>
      </c>
      <c r="AU295" s="60">
        <f t="shared" si="385"/>
        <v>0</v>
      </c>
      <c r="AV295" s="41">
        <f t="shared" si="386"/>
        <v>0</v>
      </c>
      <c r="AW295" s="41" t="b">
        <f t="shared" si="387"/>
        <v>0</v>
      </c>
      <c r="AX295" t="str">
        <f t="shared" si="388"/>
        <v>+00</v>
      </c>
      <c r="AY295" t="str">
        <f t="shared" si="389"/>
        <v>+00</v>
      </c>
      <c r="BA295" s="47" t="b">
        <f t="shared" si="418"/>
        <v>1</v>
      </c>
      <c r="BB295" s="42" t="b">
        <f t="shared" si="419"/>
        <v>1</v>
      </c>
      <c r="BC295" s="42" t="b">
        <f t="shared" si="420"/>
        <v>0</v>
      </c>
      <c r="BD295" s="42" t="b">
        <f t="shared" si="421"/>
        <v>0</v>
      </c>
      <c r="BE295" s="70">
        <f t="shared" si="422"/>
        <v>0</v>
      </c>
      <c r="BF295" s="70">
        <f t="shared" si="423"/>
        <v>0</v>
      </c>
      <c r="BG295" s="34"/>
      <c r="BI295" s="47" t="b">
        <f t="shared" si="424"/>
        <v>1</v>
      </c>
      <c r="BJ295" s="47" t="b">
        <f t="shared" si="425"/>
        <v>1</v>
      </c>
      <c r="BK295" s="42" t="b">
        <f t="shared" si="426"/>
        <v>0</v>
      </c>
      <c r="BL295" s="42" t="b">
        <f t="shared" si="427"/>
        <v>0</v>
      </c>
      <c r="BM295" s="42">
        <f t="shared" si="428"/>
        <v>0</v>
      </c>
      <c r="BN295" s="42">
        <f t="shared" si="429"/>
        <v>0</v>
      </c>
      <c r="BP295" t="e">
        <f t="shared" si="430"/>
        <v>#N/A</v>
      </c>
      <c r="BQ295" t="e">
        <f t="shared" si="431"/>
        <v>#N/A</v>
      </c>
      <c r="BR295" t="e">
        <f t="shared" si="432"/>
        <v>#N/A</v>
      </c>
      <c r="BT295" s="60">
        <f t="shared" si="433"/>
        <v>0</v>
      </c>
      <c r="BU295" s="60">
        <f t="shared" si="434"/>
        <v>0</v>
      </c>
      <c r="BV295" s="60">
        <f t="shared" si="435"/>
        <v>0</v>
      </c>
      <c r="BW295" s="60">
        <f t="shared" si="436"/>
        <v>0</v>
      </c>
      <c r="BX295" s="60">
        <f t="shared" si="437"/>
        <v>0</v>
      </c>
      <c r="BY295" s="60">
        <f t="shared" si="438"/>
        <v>0</v>
      </c>
      <c r="BZ295" s="60">
        <f t="shared" si="439"/>
        <v>0</v>
      </c>
      <c r="CA295" s="60">
        <f t="shared" si="440"/>
        <v>0</v>
      </c>
      <c r="CB295" s="60" t="e">
        <f t="shared" si="390"/>
        <v>#N/A</v>
      </c>
      <c r="CC295" s="60">
        <f t="shared" si="391"/>
        <v>100000</v>
      </c>
      <c r="CD295" s="60" t="e">
        <f t="shared" si="392"/>
        <v>#N/A</v>
      </c>
      <c r="CE295" s="60">
        <f t="shared" si="393"/>
        <v>100000</v>
      </c>
      <c r="CF295" s="83" t="e">
        <f t="shared" si="441"/>
        <v>#N/A</v>
      </c>
      <c r="CG295" s="83">
        <f t="shared" si="442"/>
        <v>0</v>
      </c>
      <c r="CH295" s="83" t="e">
        <f t="shared" si="443"/>
        <v>#N/A</v>
      </c>
      <c r="CI295" s="83">
        <f t="shared" si="444"/>
        <v>0</v>
      </c>
      <c r="CJ295" s="86" t="e">
        <f t="shared" si="394"/>
        <v>#N/A</v>
      </c>
      <c r="CK295" s="82">
        <f t="shared" si="395"/>
        <v>5.3070370403969858E-3</v>
      </c>
      <c r="CL295" s="82" t="e">
        <f t="shared" si="396"/>
        <v>#N/A</v>
      </c>
      <c r="CM295" s="82">
        <f t="shared" si="397"/>
        <v>5.3070370403969858E-3</v>
      </c>
      <c r="CO295" s="149" t="str">
        <f>IF($I295&lt;&gt;"",IF(O295="User Specified",U295,INDEX('Refrigerant GWPs'!$G$2:$G$156,MATCH(O295,'Refrigerant GWPs'!$A$2:$A$156,0))),"")</f>
        <v/>
      </c>
      <c r="CP295" s="138" t="str">
        <f>IF($I295&lt;&gt;"",INDEX('Device Refrigerant Leakage'!$E$2:$E$42,MATCH($M295,'Device Refrigerant Leakage'!$B$2:$B$42,0)),"")</f>
        <v/>
      </c>
      <c r="CQ295" s="138" t="str">
        <f>IF($I295&lt;&gt;"",INDEX('Device Refrigerant Leakage'!$F$2:$F$42,MATCH($M295,'Device Refrigerant Leakage'!$B$2:$B$42,0)),"")</f>
        <v/>
      </c>
      <c r="CR295" s="145" t="str">
        <f>IF($I295&lt;&gt;"",INDEX('Device Refrigerant Leakage'!$G$2:$G$42,MATCH($M295,'Device Refrigerant Leakage'!$B$2:$B$42,0)),"")</f>
        <v/>
      </c>
      <c r="CS295" s="145" t="str">
        <f>IF($I295&lt;&gt;"",INDEX('Device Refrigerant Leakage'!$D$2:$D$42,MATCH($M295,'Device Refrigerant Leakage'!$B$2:$B$42,0))*CP295/2204.62*CO295,"")</f>
        <v/>
      </c>
      <c r="CT295" s="145" t="str">
        <f>IF($I295&lt;&gt;"",J295*(INDEX('Device Refrigerant Leakage'!$D$2:$D$42,MATCH($M295,'Device Refrigerant Leakage'!$B$2:$B$42,0))-(INDEX('Device Refrigerant Leakage'!$D$2:$D$42,MATCH($M295,'Device Refrigerant Leakage'!$B$2:$B$42,0)))*CR295*CP295)*CQ295/2204.62*CO295,"")</f>
        <v/>
      </c>
      <c r="CU295" s="135" t="str">
        <f>IF($I295&lt;&gt;"",J295*IF(W295&lt;&gt;"AR",(CS295*K295)+CT295,(CS295*AB295)+CT295*(AB295/INDEX('Device Refrigerant Leakage'!$C$2:$C$42,MATCH($M295,'Device Refrigerant Leakage'!$B$2:$B$42,0)))),"")</f>
        <v/>
      </c>
      <c r="CW295" s="135" t="str">
        <f>IF($I295&lt;&gt;"",IF(S295="User Specified",V295,INDEX('Refrigerant GWPs'!$G$2:$G$156,MATCH(S295,'Refrigerant GWPs'!$A$2:$A$157,0))),"")</f>
        <v/>
      </c>
      <c r="CX295" s="138" t="str">
        <f>IF($I295&lt;&gt;"",INDEX('Device Refrigerant Leakage'!$E$2:$E$42,MATCH($Q295,'Device Refrigerant Leakage'!$B$2:$B$42,0)),"")</f>
        <v/>
      </c>
      <c r="CY295" s="138" t="str">
        <f>IF($I295&lt;&gt;"",INDEX('Device Refrigerant Leakage'!$F$2:$F$42,MATCH($Q295,'Device Refrigerant Leakage'!$B$2:$B$42,0)),"")</f>
        <v/>
      </c>
      <c r="CZ295" s="145" t="str">
        <f>IF($I295&lt;&gt;"",INDEX('Device Refrigerant Leakage'!$G$2:$G$42,MATCH($Q295,'Device Refrigerant Leakage'!$B$2:$B$42,0)),"")</f>
        <v/>
      </c>
      <c r="DA295" s="145" t="str">
        <f>IF($I295&lt;&gt;"",J295*INDEX('Device Refrigerant Leakage'!$D$2:$D$42,MATCH($Q295,'Device Refrigerant Leakage'!$B$2:$B$42,0))*CX295/2204.62*CW295,"")</f>
        <v/>
      </c>
      <c r="DB295" s="145" t="str">
        <f>IF($I295&lt;&gt;"",J295*(INDEX('Device Refrigerant Leakage'!$D$2:$D$42,MATCH($Q295,'Device Refrigerant Leakage'!$B$2:$B$42,0))-(INDEX('Device Refrigerant Leakage'!$D$2:$D$42,MATCH($Q295,'Device Refrigerant Leakage'!$B$2:$B$42,0)))*CZ295*CX295)*CY295/2204.62*CW295,"")</f>
        <v/>
      </c>
      <c r="DC295" s="135" t="str">
        <f t="shared" si="416"/>
        <v/>
      </c>
      <c r="DE295" s="146" t="str">
        <f>IF(W295&lt;&gt;"AR","",IF(Y295="User Specified", AA295, INDEX('Refrigerant GWPs'!$G$2:$G$154,MATCH(Y295,'Refrigerant GWPs'!$A$2:$A$154,0))))</f>
        <v/>
      </c>
      <c r="DF295" s="146" t="str">
        <f>IF(W295&lt;&gt;"AR","",INDEX('Device Refrigerant Leakage'!$E$2:$E$42,MATCH(X295,'Device Refrigerant Leakage'!$B$2:$B$42,0)))</f>
        <v/>
      </c>
      <c r="DG295" s="146" t="str">
        <f>IF(W295&lt;&gt;"AR","",INDEX('Device Refrigerant Leakage'!$F$2:$F$42,MATCH(X295,'Device Refrigerant Leakage'!$B$2:$B$42,0)))</f>
        <v/>
      </c>
      <c r="DH295" s="146" t="str">
        <f>IF(W295&lt;&gt;"AR","",INDEX('Device Refrigerant Leakage'!$G$2:$G$42,MATCH(X295,'Device Refrigerant Leakage'!$B$2:$B$42,0)))</f>
        <v/>
      </c>
      <c r="DI295" s="146" t="str">
        <f>IF(W295&lt;&gt;"AR","",J295*INDEX('Device Refrigerant Leakage'!$D$2:$D$42,MATCH(X295,'Device Refrigerant Leakage'!$B$2:$B$42,0))*DF295/2204.62*DE295)</f>
        <v/>
      </c>
      <c r="DJ295" s="146" t="str">
        <f>IF(W295&lt;&gt;"AR","",J295*(INDEX('Device Refrigerant Leakage'!$D$2:$D$42,MATCH(X295,'Device Refrigerant Leakage'!$B$2:$B$42,0))-(INDEX('Device Refrigerant Leakage'!$D$2:$D$42,MATCH(X295,'Device Refrigerant Leakage'!$B$2:$B$42,0)))*DH295*DF295)*DG295/2204.62*DE295)</f>
        <v/>
      </c>
      <c r="DK295" s="146" t="str">
        <f>IF(W295&lt;&gt;"AR","",DI295*(K295-AB295)+'Fuel Sub Calcs-Deemed'!DJ295*((K295-AB295)/INDEX('Device Refrigerant Leakage'!$C$2:$C$42,MATCH('Fuel Sub Calcs-Deemed'!X295,'Device Refrigerant Leakage'!$B$2:$B$42,0))))</f>
        <v/>
      </c>
      <c r="DM295" s="56">
        <v>281</v>
      </c>
      <c r="DN295" s="67" t="e">
        <f t="shared" si="398"/>
        <v>#N/A</v>
      </c>
      <c r="DO295" s="45" t="e">
        <f t="shared" si="399"/>
        <v>#N/A</v>
      </c>
      <c r="DP295" s="67" t="e">
        <f t="shared" si="400"/>
        <v>#N/A</v>
      </c>
      <c r="DQ295" s="45" t="e">
        <f t="shared" si="401"/>
        <v>#N/A</v>
      </c>
      <c r="DR295" s="69" t="e">
        <f t="shared" si="402"/>
        <v>#N/A</v>
      </c>
      <c r="DS295" s="34"/>
      <c r="DT295" s="67" t="e">
        <f>((BX295*CJ295)+IF($W295=MAT_AR,(BZ295*CL295),0))*(1+Reference!$E$50+Reference!$E$51)</f>
        <v>#N/A</v>
      </c>
      <c r="DU295" s="67">
        <f>((BY295*CK295)+IF($W295=MAT_AR,(CA295*CM295),0))*(1+Reference!$G$50+Reference!$G$51)</f>
        <v>0</v>
      </c>
      <c r="DV295" s="67" t="e">
        <f t="shared" si="403"/>
        <v>#VALUE!</v>
      </c>
      <c r="DX295" s="56">
        <v>281</v>
      </c>
      <c r="DY295" s="67">
        <f t="shared" si="404"/>
        <v>0</v>
      </c>
      <c r="DZ295" s="45" t="e">
        <f>VLOOKUP($R295,Dropdown!$C$3:$D$4,2,FALSE)</f>
        <v>#N/A</v>
      </c>
      <c r="EA295" s="68">
        <f t="shared" si="405"/>
        <v>0</v>
      </c>
      <c r="EB295" s="68" t="str">
        <f t="shared" si="406"/>
        <v>N/A</v>
      </c>
      <c r="EC295" s="68">
        <f t="shared" si="407"/>
        <v>0</v>
      </c>
      <c r="ED295" s="68" t="str">
        <f t="shared" si="445"/>
        <v>N/A</v>
      </c>
      <c r="EF295" s="56">
        <v>281</v>
      </c>
      <c r="EG295" s="46">
        <f t="shared" si="408"/>
        <v>0</v>
      </c>
      <c r="EH295" s="68" t="e">
        <f t="shared" si="409"/>
        <v>#N/A</v>
      </c>
      <c r="EI295" s="68" t="e">
        <f t="shared" si="410"/>
        <v>#N/A</v>
      </c>
      <c r="EJ295" s="68" t="e">
        <f t="shared" si="411"/>
        <v>#N/A</v>
      </c>
      <c r="EK295" s="68" t="e">
        <f t="shared" si="412"/>
        <v>#N/A</v>
      </c>
      <c r="EL295" s="46">
        <f t="shared" si="413"/>
        <v>0</v>
      </c>
      <c r="EM295" s="46">
        <f t="shared" si="414"/>
        <v>0</v>
      </c>
    </row>
    <row r="296" spans="1:143">
      <c r="A296" s="89"/>
      <c r="B296" s="89"/>
      <c r="C296" s="89"/>
      <c r="D296" s="89"/>
      <c r="E296" s="89"/>
      <c r="F296" s="89"/>
      <c r="G296" s="34"/>
      <c r="H296" s="56">
        <f t="shared" si="415"/>
        <v>282</v>
      </c>
      <c r="I296" s="165"/>
      <c r="J296" s="163"/>
      <c r="K296" s="163"/>
      <c r="L296" s="164"/>
      <c r="M296" s="155"/>
      <c r="N296" s="155"/>
      <c r="O296" s="144"/>
      <c r="P296" s="159" t="str">
        <f>IFERROR(IF(O296&lt;&gt;"User Specified",IF(O296&lt;&gt;"", INDEX('Refrigerant GWPs'!$G$2:$G$154,MATCH(O296,'Refrigerant GWPs'!$A$2:$A$154,0)),""),U296),0)</f>
        <v/>
      </c>
      <c r="Q296" s="155"/>
      <c r="R296" s="155"/>
      <c r="S296" s="144"/>
      <c r="T296" s="159" t="str">
        <f>IF(S296&lt;&gt;"User Specified",IF(AND(S296&lt;&gt;"User Specified",S296&lt;&gt;""), INDEX('Refrigerant GWPs'!$G$2:$G$154,MATCH(S296,'Refrigerant GWPs'!$A$2:$A$154,0)),""),V296)</f>
        <v/>
      </c>
      <c r="U296" s="144"/>
      <c r="V296" s="144"/>
      <c r="W296" s="155"/>
      <c r="X296" s="155"/>
      <c r="Y296" s="144"/>
      <c r="Z296" s="159" t="str">
        <f>IF(AND(Y296&lt;&gt;"User Specified",Y296&lt;&gt;""), INDEX('Refrigerant GWPs'!$G$2:$G$154,MATCH(Y296,'Refrigerant GWPs'!$A$2:$A$154,0)),"")</f>
        <v/>
      </c>
      <c r="AA296" s="155"/>
      <c r="AB296" s="156"/>
      <c r="AC296" s="66"/>
      <c r="AD296" s="66"/>
      <c r="AE296" s="66"/>
      <c r="AF296" s="66"/>
      <c r="AG296" s="66"/>
      <c r="AH296" s="66"/>
      <c r="AI296" s="34"/>
      <c r="AJ296" s="88">
        <f t="shared" si="378"/>
        <v>0</v>
      </c>
      <c r="AK296" s="88">
        <f t="shared" si="379"/>
        <v>0</v>
      </c>
      <c r="AL296" s="88">
        <v>0</v>
      </c>
      <c r="AM296" s="88">
        <v>0</v>
      </c>
      <c r="AN296" s="81" t="str">
        <f t="shared" si="417"/>
        <v/>
      </c>
      <c r="AO296" s="88">
        <f t="shared" si="380"/>
        <v>0</v>
      </c>
      <c r="AP296" s="88">
        <f t="shared" si="381"/>
        <v>0</v>
      </c>
      <c r="AQ296" s="81" t="str">
        <f t="shared" si="382"/>
        <v/>
      </c>
      <c r="AS296" s="41" t="b">
        <f t="shared" si="383"/>
        <v>1</v>
      </c>
      <c r="AT296" s="38">
        <f t="shared" si="384"/>
        <v>0</v>
      </c>
      <c r="AU296" s="60">
        <f t="shared" si="385"/>
        <v>0</v>
      </c>
      <c r="AV296" s="41">
        <f t="shared" si="386"/>
        <v>0</v>
      </c>
      <c r="AW296" s="41" t="b">
        <f t="shared" si="387"/>
        <v>0</v>
      </c>
      <c r="AX296" t="str">
        <f t="shared" si="388"/>
        <v>+00</v>
      </c>
      <c r="AY296" t="str">
        <f t="shared" si="389"/>
        <v>+00</v>
      </c>
      <c r="BA296" s="47" t="b">
        <f t="shared" si="418"/>
        <v>1</v>
      </c>
      <c r="BB296" s="42" t="b">
        <f t="shared" si="419"/>
        <v>1</v>
      </c>
      <c r="BC296" s="42" t="b">
        <f t="shared" si="420"/>
        <v>0</v>
      </c>
      <c r="BD296" s="42" t="b">
        <f t="shared" si="421"/>
        <v>0</v>
      </c>
      <c r="BE296" s="70">
        <f t="shared" si="422"/>
        <v>0</v>
      </c>
      <c r="BF296" s="70">
        <f t="shared" si="423"/>
        <v>0</v>
      </c>
      <c r="BG296" s="34"/>
      <c r="BI296" s="47" t="b">
        <f t="shared" si="424"/>
        <v>1</v>
      </c>
      <c r="BJ296" s="47" t="b">
        <f t="shared" si="425"/>
        <v>1</v>
      </c>
      <c r="BK296" s="42" t="b">
        <f t="shared" si="426"/>
        <v>0</v>
      </c>
      <c r="BL296" s="42" t="b">
        <f t="shared" si="427"/>
        <v>0</v>
      </c>
      <c r="BM296" s="42">
        <f t="shared" si="428"/>
        <v>0</v>
      </c>
      <c r="BN296" s="42">
        <f t="shared" si="429"/>
        <v>0</v>
      </c>
      <c r="BP296" t="e">
        <f t="shared" si="430"/>
        <v>#N/A</v>
      </c>
      <c r="BQ296" t="e">
        <f t="shared" si="431"/>
        <v>#N/A</v>
      </c>
      <c r="BR296" t="e">
        <f t="shared" si="432"/>
        <v>#N/A</v>
      </c>
      <c r="BT296" s="60">
        <f t="shared" si="433"/>
        <v>0</v>
      </c>
      <c r="BU296" s="60">
        <f t="shared" si="434"/>
        <v>0</v>
      </c>
      <c r="BV296" s="60">
        <f t="shared" si="435"/>
        <v>0</v>
      </c>
      <c r="BW296" s="60">
        <f t="shared" si="436"/>
        <v>0</v>
      </c>
      <c r="BX296" s="60">
        <f t="shared" si="437"/>
        <v>0</v>
      </c>
      <c r="BY296" s="60">
        <f t="shared" si="438"/>
        <v>0</v>
      </c>
      <c r="BZ296" s="60">
        <f t="shared" si="439"/>
        <v>0</v>
      </c>
      <c r="CA296" s="60">
        <f t="shared" si="440"/>
        <v>0</v>
      </c>
      <c r="CB296" s="60" t="e">
        <f t="shared" si="390"/>
        <v>#N/A</v>
      </c>
      <c r="CC296" s="60">
        <f t="shared" si="391"/>
        <v>100000</v>
      </c>
      <c r="CD296" s="60" t="e">
        <f t="shared" si="392"/>
        <v>#N/A</v>
      </c>
      <c r="CE296" s="60">
        <f t="shared" si="393"/>
        <v>100000</v>
      </c>
      <c r="CF296" s="83" t="e">
        <f t="shared" si="441"/>
        <v>#N/A</v>
      </c>
      <c r="CG296" s="83">
        <f t="shared" si="442"/>
        <v>0</v>
      </c>
      <c r="CH296" s="83" t="e">
        <f t="shared" si="443"/>
        <v>#N/A</v>
      </c>
      <c r="CI296" s="83">
        <f t="shared" si="444"/>
        <v>0</v>
      </c>
      <c r="CJ296" s="86" t="e">
        <f t="shared" si="394"/>
        <v>#N/A</v>
      </c>
      <c r="CK296" s="82">
        <f t="shared" si="395"/>
        <v>5.3070370403969858E-3</v>
      </c>
      <c r="CL296" s="82" t="e">
        <f t="shared" si="396"/>
        <v>#N/A</v>
      </c>
      <c r="CM296" s="82">
        <f t="shared" si="397"/>
        <v>5.3070370403969858E-3</v>
      </c>
      <c r="CO296" s="149" t="str">
        <f>IF($I296&lt;&gt;"",IF(O296="User Specified",U296,INDEX('Refrigerant GWPs'!$G$2:$G$156,MATCH(O296,'Refrigerant GWPs'!$A$2:$A$156,0))),"")</f>
        <v/>
      </c>
      <c r="CP296" s="138" t="str">
        <f>IF($I296&lt;&gt;"",INDEX('Device Refrigerant Leakage'!$E$2:$E$42,MATCH($M296,'Device Refrigerant Leakage'!$B$2:$B$42,0)),"")</f>
        <v/>
      </c>
      <c r="CQ296" s="138" t="str">
        <f>IF($I296&lt;&gt;"",INDEX('Device Refrigerant Leakage'!$F$2:$F$42,MATCH($M296,'Device Refrigerant Leakage'!$B$2:$B$42,0)),"")</f>
        <v/>
      </c>
      <c r="CR296" s="145" t="str">
        <f>IF($I296&lt;&gt;"",INDEX('Device Refrigerant Leakage'!$G$2:$G$42,MATCH($M296,'Device Refrigerant Leakage'!$B$2:$B$42,0)),"")</f>
        <v/>
      </c>
      <c r="CS296" s="145" t="str">
        <f>IF($I296&lt;&gt;"",INDEX('Device Refrigerant Leakage'!$D$2:$D$42,MATCH($M296,'Device Refrigerant Leakage'!$B$2:$B$42,0))*CP296/2204.62*CO296,"")</f>
        <v/>
      </c>
      <c r="CT296" s="145" t="str">
        <f>IF($I296&lt;&gt;"",J296*(INDEX('Device Refrigerant Leakage'!$D$2:$D$42,MATCH($M296,'Device Refrigerant Leakage'!$B$2:$B$42,0))-(INDEX('Device Refrigerant Leakage'!$D$2:$D$42,MATCH($M296,'Device Refrigerant Leakage'!$B$2:$B$42,0)))*CR296*CP296)*CQ296/2204.62*CO296,"")</f>
        <v/>
      </c>
      <c r="CU296" s="135" t="str">
        <f>IF($I296&lt;&gt;"",J296*IF(W296&lt;&gt;"AR",(CS296*K296)+CT296,(CS296*AB296)+CT296*(AB296/INDEX('Device Refrigerant Leakage'!$C$2:$C$42,MATCH($M296,'Device Refrigerant Leakage'!$B$2:$B$42,0)))),"")</f>
        <v/>
      </c>
      <c r="CW296" s="135" t="str">
        <f>IF($I296&lt;&gt;"",IF(S296="User Specified",V296,INDEX('Refrigerant GWPs'!$G$2:$G$156,MATCH(S296,'Refrigerant GWPs'!$A$2:$A$157,0))),"")</f>
        <v/>
      </c>
      <c r="CX296" s="138" t="str">
        <f>IF($I296&lt;&gt;"",INDEX('Device Refrigerant Leakage'!$E$2:$E$42,MATCH($Q296,'Device Refrigerant Leakage'!$B$2:$B$42,0)),"")</f>
        <v/>
      </c>
      <c r="CY296" s="138" t="str">
        <f>IF($I296&lt;&gt;"",INDEX('Device Refrigerant Leakage'!$F$2:$F$42,MATCH($Q296,'Device Refrigerant Leakage'!$B$2:$B$42,0)),"")</f>
        <v/>
      </c>
      <c r="CZ296" s="145" t="str">
        <f>IF($I296&lt;&gt;"",INDEX('Device Refrigerant Leakage'!$G$2:$G$42,MATCH($Q296,'Device Refrigerant Leakage'!$B$2:$B$42,0)),"")</f>
        <v/>
      </c>
      <c r="DA296" s="145" t="str">
        <f>IF($I296&lt;&gt;"",J296*INDEX('Device Refrigerant Leakage'!$D$2:$D$42,MATCH($Q296,'Device Refrigerant Leakage'!$B$2:$B$42,0))*CX296/2204.62*CW296,"")</f>
        <v/>
      </c>
      <c r="DB296" s="145" t="str">
        <f>IF($I296&lt;&gt;"",J296*(INDEX('Device Refrigerant Leakage'!$D$2:$D$42,MATCH($Q296,'Device Refrigerant Leakage'!$B$2:$B$42,0))-(INDEX('Device Refrigerant Leakage'!$D$2:$D$42,MATCH($Q296,'Device Refrigerant Leakage'!$B$2:$B$42,0)))*CZ296*CX296)*CY296/2204.62*CW296,"")</f>
        <v/>
      </c>
      <c r="DC296" s="135" t="str">
        <f t="shared" si="416"/>
        <v/>
      </c>
      <c r="DE296" s="146" t="str">
        <f>IF(W296&lt;&gt;"AR","",IF(Y296="User Specified", AA296, INDEX('Refrigerant GWPs'!$G$2:$G$154,MATCH(Y296,'Refrigerant GWPs'!$A$2:$A$154,0))))</f>
        <v/>
      </c>
      <c r="DF296" s="146" t="str">
        <f>IF(W296&lt;&gt;"AR","",INDEX('Device Refrigerant Leakage'!$E$2:$E$42,MATCH(X296,'Device Refrigerant Leakage'!$B$2:$B$42,0)))</f>
        <v/>
      </c>
      <c r="DG296" s="146" t="str">
        <f>IF(W296&lt;&gt;"AR","",INDEX('Device Refrigerant Leakage'!$F$2:$F$42,MATCH(X296,'Device Refrigerant Leakage'!$B$2:$B$42,0)))</f>
        <v/>
      </c>
      <c r="DH296" s="146" t="str">
        <f>IF(W296&lt;&gt;"AR","",INDEX('Device Refrigerant Leakage'!$G$2:$G$42,MATCH(X296,'Device Refrigerant Leakage'!$B$2:$B$42,0)))</f>
        <v/>
      </c>
      <c r="DI296" s="146" t="str">
        <f>IF(W296&lt;&gt;"AR","",J296*INDEX('Device Refrigerant Leakage'!$D$2:$D$42,MATCH(X296,'Device Refrigerant Leakage'!$B$2:$B$42,0))*DF296/2204.62*DE296)</f>
        <v/>
      </c>
      <c r="DJ296" s="146" t="str">
        <f>IF(W296&lt;&gt;"AR","",J296*(INDEX('Device Refrigerant Leakage'!$D$2:$D$42,MATCH(X296,'Device Refrigerant Leakage'!$B$2:$B$42,0))-(INDEX('Device Refrigerant Leakage'!$D$2:$D$42,MATCH(X296,'Device Refrigerant Leakage'!$B$2:$B$42,0)))*DH296*DF296)*DG296/2204.62*DE296)</f>
        <v/>
      </c>
      <c r="DK296" s="146" t="str">
        <f>IF(W296&lt;&gt;"AR","",DI296*(K296-AB296)+'Fuel Sub Calcs-Deemed'!DJ296*((K296-AB296)/INDEX('Device Refrigerant Leakage'!$C$2:$C$42,MATCH('Fuel Sub Calcs-Deemed'!X296,'Device Refrigerant Leakage'!$B$2:$B$42,0))))</f>
        <v/>
      </c>
      <c r="DM296" s="56">
        <v>282</v>
      </c>
      <c r="DN296" s="67" t="e">
        <f t="shared" si="398"/>
        <v>#N/A</v>
      </c>
      <c r="DO296" s="45" t="e">
        <f t="shared" si="399"/>
        <v>#N/A</v>
      </c>
      <c r="DP296" s="67" t="e">
        <f t="shared" si="400"/>
        <v>#N/A</v>
      </c>
      <c r="DQ296" s="45" t="e">
        <f t="shared" si="401"/>
        <v>#N/A</v>
      </c>
      <c r="DR296" s="69" t="e">
        <f t="shared" si="402"/>
        <v>#N/A</v>
      </c>
      <c r="DS296" s="34"/>
      <c r="DT296" s="67" t="e">
        <f>((BX296*CJ296)+IF($W296=MAT_AR,(BZ296*CL296),0))*(1+Reference!$E$50+Reference!$E$51)</f>
        <v>#N/A</v>
      </c>
      <c r="DU296" s="67">
        <f>((BY296*CK296)+IF($W296=MAT_AR,(CA296*CM296),0))*(1+Reference!$G$50+Reference!$G$51)</f>
        <v>0</v>
      </c>
      <c r="DV296" s="67" t="e">
        <f t="shared" si="403"/>
        <v>#VALUE!</v>
      </c>
      <c r="DX296" s="56">
        <v>282</v>
      </c>
      <c r="DY296" s="67">
        <f t="shared" si="404"/>
        <v>0</v>
      </c>
      <c r="DZ296" s="45" t="e">
        <f>VLOOKUP($R296,Dropdown!$C$3:$D$4,2,FALSE)</f>
        <v>#N/A</v>
      </c>
      <c r="EA296" s="68">
        <f t="shared" si="405"/>
        <v>0</v>
      </c>
      <c r="EB296" s="68" t="str">
        <f t="shared" si="406"/>
        <v>N/A</v>
      </c>
      <c r="EC296" s="68">
        <f t="shared" si="407"/>
        <v>0</v>
      </c>
      <c r="ED296" s="68" t="str">
        <f t="shared" si="445"/>
        <v>N/A</v>
      </c>
      <c r="EF296" s="56">
        <v>282</v>
      </c>
      <c r="EG296" s="46">
        <f t="shared" si="408"/>
        <v>0</v>
      </c>
      <c r="EH296" s="68" t="e">
        <f t="shared" si="409"/>
        <v>#N/A</v>
      </c>
      <c r="EI296" s="68" t="e">
        <f t="shared" si="410"/>
        <v>#N/A</v>
      </c>
      <c r="EJ296" s="68" t="e">
        <f t="shared" si="411"/>
        <v>#N/A</v>
      </c>
      <c r="EK296" s="68" t="e">
        <f t="shared" si="412"/>
        <v>#N/A</v>
      </c>
      <c r="EL296" s="46">
        <f t="shared" si="413"/>
        <v>0</v>
      </c>
      <c r="EM296" s="46">
        <f t="shared" si="414"/>
        <v>0</v>
      </c>
    </row>
    <row r="297" spans="1:143">
      <c r="A297" s="89"/>
      <c r="B297" s="89"/>
      <c r="C297" s="89"/>
      <c r="D297" s="89"/>
      <c r="E297" s="89"/>
      <c r="F297" s="89"/>
      <c r="G297" s="34"/>
      <c r="H297" s="56">
        <f t="shared" si="415"/>
        <v>283</v>
      </c>
      <c r="I297" s="165"/>
      <c r="J297" s="163"/>
      <c r="K297" s="163"/>
      <c r="L297" s="164"/>
      <c r="M297" s="155"/>
      <c r="N297" s="155"/>
      <c r="O297" s="144"/>
      <c r="P297" s="159" t="str">
        <f>IFERROR(IF(O297&lt;&gt;"User Specified",IF(O297&lt;&gt;"", INDEX('Refrigerant GWPs'!$G$2:$G$154,MATCH(O297,'Refrigerant GWPs'!$A$2:$A$154,0)),""),U297),0)</f>
        <v/>
      </c>
      <c r="Q297" s="155"/>
      <c r="R297" s="155"/>
      <c r="S297" s="144"/>
      <c r="T297" s="159" t="str">
        <f>IF(S297&lt;&gt;"User Specified",IF(AND(S297&lt;&gt;"User Specified",S297&lt;&gt;""), INDEX('Refrigerant GWPs'!$G$2:$G$154,MATCH(S297,'Refrigerant GWPs'!$A$2:$A$154,0)),""),V297)</f>
        <v/>
      </c>
      <c r="U297" s="144"/>
      <c r="V297" s="144"/>
      <c r="W297" s="155"/>
      <c r="X297" s="155"/>
      <c r="Y297" s="144"/>
      <c r="Z297" s="159" t="str">
        <f>IF(AND(Y297&lt;&gt;"User Specified",Y297&lt;&gt;""), INDEX('Refrigerant GWPs'!$G$2:$G$154,MATCH(Y297,'Refrigerant GWPs'!$A$2:$A$154,0)),"")</f>
        <v/>
      </c>
      <c r="AA297" s="155"/>
      <c r="AB297" s="156"/>
      <c r="AC297" s="66"/>
      <c r="AD297" s="66"/>
      <c r="AE297" s="66"/>
      <c r="AF297" s="66"/>
      <c r="AG297" s="66"/>
      <c r="AH297" s="66"/>
      <c r="AI297" s="34"/>
      <c r="AJ297" s="88">
        <f t="shared" si="378"/>
        <v>0</v>
      </c>
      <c r="AK297" s="88">
        <f t="shared" si="379"/>
        <v>0</v>
      </c>
      <c r="AL297" s="88">
        <v>0</v>
      </c>
      <c r="AM297" s="88">
        <v>0</v>
      </c>
      <c r="AN297" s="81" t="str">
        <f t="shared" si="417"/>
        <v/>
      </c>
      <c r="AO297" s="88">
        <f t="shared" si="380"/>
        <v>0</v>
      </c>
      <c r="AP297" s="88">
        <f t="shared" si="381"/>
        <v>0</v>
      </c>
      <c r="AQ297" s="81" t="str">
        <f t="shared" si="382"/>
        <v/>
      </c>
      <c r="AS297" s="41" t="b">
        <f t="shared" si="383"/>
        <v>1</v>
      </c>
      <c r="AT297" s="38">
        <f t="shared" si="384"/>
        <v>0</v>
      </c>
      <c r="AU297" s="60">
        <f t="shared" si="385"/>
        <v>0</v>
      </c>
      <c r="AV297" s="41">
        <f t="shared" si="386"/>
        <v>0</v>
      </c>
      <c r="AW297" s="41" t="b">
        <f t="shared" si="387"/>
        <v>0</v>
      </c>
      <c r="AX297" t="str">
        <f t="shared" si="388"/>
        <v>+00</v>
      </c>
      <c r="AY297" t="str">
        <f t="shared" si="389"/>
        <v>+00</v>
      </c>
      <c r="BA297" s="47" t="b">
        <f t="shared" si="418"/>
        <v>1</v>
      </c>
      <c r="BB297" s="42" t="b">
        <f t="shared" si="419"/>
        <v>1</v>
      </c>
      <c r="BC297" s="42" t="b">
        <f t="shared" si="420"/>
        <v>0</v>
      </c>
      <c r="BD297" s="42" t="b">
        <f t="shared" si="421"/>
        <v>0</v>
      </c>
      <c r="BE297" s="70">
        <f t="shared" si="422"/>
        <v>0</v>
      </c>
      <c r="BF297" s="70">
        <f t="shared" si="423"/>
        <v>0</v>
      </c>
      <c r="BG297" s="34"/>
      <c r="BI297" s="47" t="b">
        <f t="shared" si="424"/>
        <v>1</v>
      </c>
      <c r="BJ297" s="47" t="b">
        <f t="shared" si="425"/>
        <v>1</v>
      </c>
      <c r="BK297" s="42" t="b">
        <f t="shared" si="426"/>
        <v>0</v>
      </c>
      <c r="BL297" s="42" t="b">
        <f t="shared" si="427"/>
        <v>0</v>
      </c>
      <c r="BM297" s="42">
        <f t="shared" si="428"/>
        <v>0</v>
      </c>
      <c r="BN297" s="42">
        <f t="shared" si="429"/>
        <v>0</v>
      </c>
      <c r="BP297" t="e">
        <f t="shared" si="430"/>
        <v>#N/A</v>
      </c>
      <c r="BQ297" t="e">
        <f t="shared" si="431"/>
        <v>#N/A</v>
      </c>
      <c r="BR297" t="e">
        <f t="shared" si="432"/>
        <v>#N/A</v>
      </c>
      <c r="BT297" s="60">
        <f t="shared" si="433"/>
        <v>0</v>
      </c>
      <c r="BU297" s="60">
        <f t="shared" si="434"/>
        <v>0</v>
      </c>
      <c r="BV297" s="60">
        <f t="shared" si="435"/>
        <v>0</v>
      </c>
      <c r="BW297" s="60">
        <f t="shared" si="436"/>
        <v>0</v>
      </c>
      <c r="BX297" s="60">
        <f t="shared" si="437"/>
        <v>0</v>
      </c>
      <c r="BY297" s="60">
        <f t="shared" si="438"/>
        <v>0</v>
      </c>
      <c r="BZ297" s="60">
        <f t="shared" si="439"/>
        <v>0</v>
      </c>
      <c r="CA297" s="60">
        <f t="shared" si="440"/>
        <v>0</v>
      </c>
      <c r="CB297" s="60" t="e">
        <f t="shared" si="390"/>
        <v>#N/A</v>
      </c>
      <c r="CC297" s="60">
        <f t="shared" si="391"/>
        <v>100000</v>
      </c>
      <c r="CD297" s="60" t="e">
        <f t="shared" si="392"/>
        <v>#N/A</v>
      </c>
      <c r="CE297" s="60">
        <f t="shared" si="393"/>
        <v>100000</v>
      </c>
      <c r="CF297" s="83" t="e">
        <f t="shared" si="441"/>
        <v>#N/A</v>
      </c>
      <c r="CG297" s="83">
        <f t="shared" si="442"/>
        <v>0</v>
      </c>
      <c r="CH297" s="83" t="e">
        <f t="shared" si="443"/>
        <v>#N/A</v>
      </c>
      <c r="CI297" s="83">
        <f t="shared" si="444"/>
        <v>0</v>
      </c>
      <c r="CJ297" s="86" t="e">
        <f t="shared" si="394"/>
        <v>#N/A</v>
      </c>
      <c r="CK297" s="82">
        <f t="shared" si="395"/>
        <v>5.3070370403969858E-3</v>
      </c>
      <c r="CL297" s="82" t="e">
        <f t="shared" si="396"/>
        <v>#N/A</v>
      </c>
      <c r="CM297" s="82">
        <f t="shared" si="397"/>
        <v>5.3070370403969858E-3</v>
      </c>
      <c r="CO297" s="149" t="str">
        <f>IF($I297&lt;&gt;"",IF(O297="User Specified",U297,INDEX('Refrigerant GWPs'!$G$2:$G$156,MATCH(O297,'Refrigerant GWPs'!$A$2:$A$156,0))),"")</f>
        <v/>
      </c>
      <c r="CP297" s="138" t="str">
        <f>IF($I297&lt;&gt;"",INDEX('Device Refrigerant Leakage'!$E$2:$E$42,MATCH($M297,'Device Refrigerant Leakage'!$B$2:$B$42,0)),"")</f>
        <v/>
      </c>
      <c r="CQ297" s="138" t="str">
        <f>IF($I297&lt;&gt;"",INDEX('Device Refrigerant Leakage'!$F$2:$F$42,MATCH($M297,'Device Refrigerant Leakage'!$B$2:$B$42,0)),"")</f>
        <v/>
      </c>
      <c r="CR297" s="145" t="str">
        <f>IF($I297&lt;&gt;"",INDEX('Device Refrigerant Leakage'!$G$2:$G$42,MATCH($M297,'Device Refrigerant Leakage'!$B$2:$B$42,0)),"")</f>
        <v/>
      </c>
      <c r="CS297" s="145" t="str">
        <f>IF($I297&lt;&gt;"",INDEX('Device Refrigerant Leakage'!$D$2:$D$42,MATCH($M297,'Device Refrigerant Leakage'!$B$2:$B$42,0))*CP297/2204.62*CO297,"")</f>
        <v/>
      </c>
      <c r="CT297" s="145" t="str">
        <f>IF($I297&lt;&gt;"",J297*(INDEX('Device Refrigerant Leakage'!$D$2:$D$42,MATCH($M297,'Device Refrigerant Leakage'!$B$2:$B$42,0))-(INDEX('Device Refrigerant Leakage'!$D$2:$D$42,MATCH($M297,'Device Refrigerant Leakage'!$B$2:$B$42,0)))*CR297*CP297)*CQ297/2204.62*CO297,"")</f>
        <v/>
      </c>
      <c r="CU297" s="135" t="str">
        <f>IF($I297&lt;&gt;"",J297*IF(W297&lt;&gt;"AR",(CS297*K297)+CT297,(CS297*AB297)+CT297*(AB297/INDEX('Device Refrigerant Leakage'!$C$2:$C$42,MATCH($M297,'Device Refrigerant Leakage'!$B$2:$B$42,0)))),"")</f>
        <v/>
      </c>
      <c r="CW297" s="135" t="str">
        <f>IF($I297&lt;&gt;"",IF(S297="User Specified",V297,INDEX('Refrigerant GWPs'!$G$2:$G$156,MATCH(S297,'Refrigerant GWPs'!$A$2:$A$157,0))),"")</f>
        <v/>
      </c>
      <c r="CX297" s="138" t="str">
        <f>IF($I297&lt;&gt;"",INDEX('Device Refrigerant Leakage'!$E$2:$E$42,MATCH($Q297,'Device Refrigerant Leakage'!$B$2:$B$42,0)),"")</f>
        <v/>
      </c>
      <c r="CY297" s="138" t="str">
        <f>IF($I297&lt;&gt;"",INDEX('Device Refrigerant Leakage'!$F$2:$F$42,MATCH($Q297,'Device Refrigerant Leakage'!$B$2:$B$42,0)),"")</f>
        <v/>
      </c>
      <c r="CZ297" s="145" t="str">
        <f>IF($I297&lt;&gt;"",INDEX('Device Refrigerant Leakage'!$G$2:$G$42,MATCH($Q297,'Device Refrigerant Leakage'!$B$2:$B$42,0)),"")</f>
        <v/>
      </c>
      <c r="DA297" s="145" t="str">
        <f>IF($I297&lt;&gt;"",J297*INDEX('Device Refrigerant Leakage'!$D$2:$D$42,MATCH($Q297,'Device Refrigerant Leakage'!$B$2:$B$42,0))*CX297/2204.62*CW297,"")</f>
        <v/>
      </c>
      <c r="DB297" s="145" t="str">
        <f>IF($I297&lt;&gt;"",J297*(INDEX('Device Refrigerant Leakage'!$D$2:$D$42,MATCH($Q297,'Device Refrigerant Leakage'!$B$2:$B$42,0))-(INDEX('Device Refrigerant Leakage'!$D$2:$D$42,MATCH($Q297,'Device Refrigerant Leakage'!$B$2:$B$42,0)))*CZ297*CX297)*CY297/2204.62*CW297,"")</f>
        <v/>
      </c>
      <c r="DC297" s="135" t="str">
        <f t="shared" si="416"/>
        <v/>
      </c>
      <c r="DE297" s="146" t="str">
        <f>IF(W297&lt;&gt;"AR","",IF(Y297="User Specified", AA297, INDEX('Refrigerant GWPs'!$G$2:$G$154,MATCH(Y297,'Refrigerant GWPs'!$A$2:$A$154,0))))</f>
        <v/>
      </c>
      <c r="DF297" s="146" t="str">
        <f>IF(W297&lt;&gt;"AR","",INDEX('Device Refrigerant Leakage'!$E$2:$E$42,MATCH(X297,'Device Refrigerant Leakage'!$B$2:$B$42,0)))</f>
        <v/>
      </c>
      <c r="DG297" s="146" t="str">
        <f>IF(W297&lt;&gt;"AR","",INDEX('Device Refrigerant Leakage'!$F$2:$F$42,MATCH(X297,'Device Refrigerant Leakage'!$B$2:$B$42,0)))</f>
        <v/>
      </c>
      <c r="DH297" s="146" t="str">
        <f>IF(W297&lt;&gt;"AR","",INDEX('Device Refrigerant Leakage'!$G$2:$G$42,MATCH(X297,'Device Refrigerant Leakage'!$B$2:$B$42,0)))</f>
        <v/>
      </c>
      <c r="DI297" s="146" t="str">
        <f>IF(W297&lt;&gt;"AR","",J297*INDEX('Device Refrigerant Leakage'!$D$2:$D$42,MATCH(X297,'Device Refrigerant Leakage'!$B$2:$B$42,0))*DF297/2204.62*DE297)</f>
        <v/>
      </c>
      <c r="DJ297" s="146" t="str">
        <f>IF(W297&lt;&gt;"AR","",J297*(INDEX('Device Refrigerant Leakage'!$D$2:$D$42,MATCH(X297,'Device Refrigerant Leakage'!$B$2:$B$42,0))-(INDEX('Device Refrigerant Leakage'!$D$2:$D$42,MATCH(X297,'Device Refrigerant Leakage'!$B$2:$B$42,0)))*DH297*DF297)*DG297/2204.62*DE297)</f>
        <v/>
      </c>
      <c r="DK297" s="146" t="str">
        <f>IF(W297&lt;&gt;"AR","",DI297*(K297-AB297)+'Fuel Sub Calcs-Deemed'!DJ297*((K297-AB297)/INDEX('Device Refrigerant Leakage'!$C$2:$C$42,MATCH('Fuel Sub Calcs-Deemed'!X297,'Device Refrigerant Leakage'!$B$2:$B$42,0))))</f>
        <v/>
      </c>
      <c r="DM297" s="56">
        <v>283</v>
      </c>
      <c r="DN297" s="67" t="e">
        <f t="shared" si="398"/>
        <v>#N/A</v>
      </c>
      <c r="DO297" s="45" t="e">
        <f t="shared" si="399"/>
        <v>#N/A</v>
      </c>
      <c r="DP297" s="67" t="e">
        <f t="shared" si="400"/>
        <v>#N/A</v>
      </c>
      <c r="DQ297" s="45" t="e">
        <f t="shared" si="401"/>
        <v>#N/A</v>
      </c>
      <c r="DR297" s="69" t="e">
        <f t="shared" si="402"/>
        <v>#N/A</v>
      </c>
      <c r="DS297" s="34"/>
      <c r="DT297" s="67" t="e">
        <f>((BX297*CJ297)+IF($W297=MAT_AR,(BZ297*CL297),0))*(1+Reference!$E$50+Reference!$E$51)</f>
        <v>#N/A</v>
      </c>
      <c r="DU297" s="67">
        <f>((BY297*CK297)+IF($W297=MAT_AR,(CA297*CM297),0))*(1+Reference!$G$50+Reference!$G$51)</f>
        <v>0</v>
      </c>
      <c r="DV297" s="67" t="e">
        <f t="shared" si="403"/>
        <v>#VALUE!</v>
      </c>
      <c r="DX297" s="56">
        <v>283</v>
      </c>
      <c r="DY297" s="67">
        <f t="shared" si="404"/>
        <v>0</v>
      </c>
      <c r="DZ297" s="45" t="e">
        <f>VLOOKUP($R297,Dropdown!$C$3:$D$4,2,FALSE)</f>
        <v>#N/A</v>
      </c>
      <c r="EA297" s="68">
        <f t="shared" si="405"/>
        <v>0</v>
      </c>
      <c r="EB297" s="68" t="str">
        <f t="shared" si="406"/>
        <v>N/A</v>
      </c>
      <c r="EC297" s="68">
        <f t="shared" si="407"/>
        <v>0</v>
      </c>
      <c r="ED297" s="68" t="str">
        <f t="shared" si="445"/>
        <v>N/A</v>
      </c>
      <c r="EF297" s="56">
        <v>283</v>
      </c>
      <c r="EG297" s="46">
        <f t="shared" si="408"/>
        <v>0</v>
      </c>
      <c r="EH297" s="68" t="e">
        <f t="shared" si="409"/>
        <v>#N/A</v>
      </c>
      <c r="EI297" s="68" t="e">
        <f t="shared" si="410"/>
        <v>#N/A</v>
      </c>
      <c r="EJ297" s="68" t="e">
        <f t="shared" si="411"/>
        <v>#N/A</v>
      </c>
      <c r="EK297" s="68" t="e">
        <f t="shared" si="412"/>
        <v>#N/A</v>
      </c>
      <c r="EL297" s="46">
        <f t="shared" si="413"/>
        <v>0</v>
      </c>
      <c r="EM297" s="46">
        <f t="shared" si="414"/>
        <v>0</v>
      </c>
    </row>
    <row r="298" spans="1:143">
      <c r="A298" s="89"/>
      <c r="B298" s="89"/>
      <c r="C298" s="89"/>
      <c r="D298" s="89"/>
      <c r="E298" s="89"/>
      <c r="F298" s="89"/>
      <c r="G298" s="34"/>
      <c r="H298" s="56">
        <f t="shared" si="415"/>
        <v>284</v>
      </c>
      <c r="I298" s="165"/>
      <c r="J298" s="163"/>
      <c r="K298" s="163"/>
      <c r="L298" s="164"/>
      <c r="M298" s="155"/>
      <c r="N298" s="155"/>
      <c r="O298" s="144"/>
      <c r="P298" s="159" t="str">
        <f>IFERROR(IF(O298&lt;&gt;"User Specified",IF(O298&lt;&gt;"", INDEX('Refrigerant GWPs'!$G$2:$G$154,MATCH(O298,'Refrigerant GWPs'!$A$2:$A$154,0)),""),U298),0)</f>
        <v/>
      </c>
      <c r="Q298" s="155"/>
      <c r="R298" s="155"/>
      <c r="S298" s="144"/>
      <c r="T298" s="159" t="str">
        <f>IF(S298&lt;&gt;"User Specified",IF(AND(S298&lt;&gt;"User Specified",S298&lt;&gt;""), INDEX('Refrigerant GWPs'!$G$2:$G$154,MATCH(S298,'Refrigerant GWPs'!$A$2:$A$154,0)),""),V298)</f>
        <v/>
      </c>
      <c r="U298" s="144"/>
      <c r="V298" s="144"/>
      <c r="W298" s="155"/>
      <c r="X298" s="155"/>
      <c r="Y298" s="144"/>
      <c r="Z298" s="159" t="str">
        <f>IF(AND(Y298&lt;&gt;"User Specified",Y298&lt;&gt;""), INDEX('Refrigerant GWPs'!$G$2:$G$154,MATCH(Y298,'Refrigerant GWPs'!$A$2:$A$154,0)),"")</f>
        <v/>
      </c>
      <c r="AA298" s="155"/>
      <c r="AB298" s="156"/>
      <c r="AC298" s="66"/>
      <c r="AD298" s="66"/>
      <c r="AE298" s="66"/>
      <c r="AF298" s="66"/>
      <c r="AG298" s="66"/>
      <c r="AH298" s="66"/>
      <c r="AI298" s="34"/>
      <c r="AJ298" s="88">
        <f t="shared" si="378"/>
        <v>0</v>
      </c>
      <c r="AK298" s="88">
        <f t="shared" si="379"/>
        <v>0</v>
      </c>
      <c r="AL298" s="88">
        <v>0</v>
      </c>
      <c r="AM298" s="88">
        <v>0</v>
      </c>
      <c r="AN298" s="81" t="str">
        <f t="shared" si="417"/>
        <v/>
      </c>
      <c r="AO298" s="88">
        <f t="shared" si="380"/>
        <v>0</v>
      </c>
      <c r="AP298" s="88">
        <f t="shared" si="381"/>
        <v>0</v>
      </c>
      <c r="AQ298" s="81" t="str">
        <f t="shared" si="382"/>
        <v/>
      </c>
      <c r="AS298" s="41" t="b">
        <f t="shared" si="383"/>
        <v>1</v>
      </c>
      <c r="AT298" s="38">
        <f t="shared" si="384"/>
        <v>0</v>
      </c>
      <c r="AU298" s="60">
        <f t="shared" si="385"/>
        <v>0</v>
      </c>
      <c r="AV298" s="41">
        <f t="shared" si="386"/>
        <v>0</v>
      </c>
      <c r="AW298" s="41" t="b">
        <f t="shared" si="387"/>
        <v>0</v>
      </c>
      <c r="AX298" t="str">
        <f t="shared" si="388"/>
        <v>+00</v>
      </c>
      <c r="AY298" t="str">
        <f t="shared" si="389"/>
        <v>+00</v>
      </c>
      <c r="BA298" s="47" t="b">
        <f t="shared" si="418"/>
        <v>1</v>
      </c>
      <c r="BB298" s="42" t="b">
        <f t="shared" si="419"/>
        <v>1</v>
      </c>
      <c r="BC298" s="42" t="b">
        <f t="shared" si="420"/>
        <v>0</v>
      </c>
      <c r="BD298" s="42" t="b">
        <f t="shared" si="421"/>
        <v>0</v>
      </c>
      <c r="BE298" s="70">
        <f t="shared" si="422"/>
        <v>0</v>
      </c>
      <c r="BF298" s="70">
        <f t="shared" si="423"/>
        <v>0</v>
      </c>
      <c r="BG298" s="34"/>
      <c r="BI298" s="47" t="b">
        <f t="shared" si="424"/>
        <v>1</v>
      </c>
      <c r="BJ298" s="47" t="b">
        <f t="shared" si="425"/>
        <v>1</v>
      </c>
      <c r="BK298" s="42" t="b">
        <f t="shared" si="426"/>
        <v>0</v>
      </c>
      <c r="BL298" s="42" t="b">
        <f t="shared" si="427"/>
        <v>0</v>
      </c>
      <c r="BM298" s="42">
        <f t="shared" si="428"/>
        <v>0</v>
      </c>
      <c r="BN298" s="42">
        <f t="shared" si="429"/>
        <v>0</v>
      </c>
      <c r="BP298" t="e">
        <f t="shared" si="430"/>
        <v>#N/A</v>
      </c>
      <c r="BQ298" t="e">
        <f t="shared" si="431"/>
        <v>#N/A</v>
      </c>
      <c r="BR298" t="e">
        <f t="shared" si="432"/>
        <v>#N/A</v>
      </c>
      <c r="BT298" s="60">
        <f t="shared" si="433"/>
        <v>0</v>
      </c>
      <c r="BU298" s="60">
        <f t="shared" si="434"/>
        <v>0</v>
      </c>
      <c r="BV298" s="60">
        <f t="shared" si="435"/>
        <v>0</v>
      </c>
      <c r="BW298" s="60">
        <f t="shared" si="436"/>
        <v>0</v>
      </c>
      <c r="BX298" s="60">
        <f t="shared" si="437"/>
        <v>0</v>
      </c>
      <c r="BY298" s="60">
        <f t="shared" si="438"/>
        <v>0</v>
      </c>
      <c r="BZ298" s="60">
        <f t="shared" si="439"/>
        <v>0</v>
      </c>
      <c r="CA298" s="60">
        <f t="shared" si="440"/>
        <v>0</v>
      </c>
      <c r="CB298" s="60" t="e">
        <f t="shared" si="390"/>
        <v>#N/A</v>
      </c>
      <c r="CC298" s="60">
        <f t="shared" si="391"/>
        <v>100000</v>
      </c>
      <c r="CD298" s="60" t="e">
        <f t="shared" si="392"/>
        <v>#N/A</v>
      </c>
      <c r="CE298" s="60">
        <f t="shared" si="393"/>
        <v>100000</v>
      </c>
      <c r="CF298" s="83" t="e">
        <f t="shared" si="441"/>
        <v>#N/A</v>
      </c>
      <c r="CG298" s="83">
        <f t="shared" si="442"/>
        <v>0</v>
      </c>
      <c r="CH298" s="83" t="e">
        <f t="shared" si="443"/>
        <v>#N/A</v>
      </c>
      <c r="CI298" s="83">
        <f t="shared" si="444"/>
        <v>0</v>
      </c>
      <c r="CJ298" s="86" t="e">
        <f t="shared" si="394"/>
        <v>#N/A</v>
      </c>
      <c r="CK298" s="82">
        <f t="shared" si="395"/>
        <v>5.3070370403969858E-3</v>
      </c>
      <c r="CL298" s="82" t="e">
        <f t="shared" si="396"/>
        <v>#N/A</v>
      </c>
      <c r="CM298" s="82">
        <f t="shared" si="397"/>
        <v>5.3070370403969858E-3</v>
      </c>
      <c r="CO298" s="149" t="str">
        <f>IF($I298&lt;&gt;"",IF(O298="User Specified",U298,INDEX('Refrigerant GWPs'!$G$2:$G$156,MATCH(O298,'Refrigerant GWPs'!$A$2:$A$156,0))),"")</f>
        <v/>
      </c>
      <c r="CP298" s="138" t="str">
        <f>IF($I298&lt;&gt;"",INDEX('Device Refrigerant Leakage'!$E$2:$E$42,MATCH($M298,'Device Refrigerant Leakage'!$B$2:$B$42,0)),"")</f>
        <v/>
      </c>
      <c r="CQ298" s="138" t="str">
        <f>IF($I298&lt;&gt;"",INDEX('Device Refrigerant Leakage'!$F$2:$F$42,MATCH($M298,'Device Refrigerant Leakage'!$B$2:$B$42,0)),"")</f>
        <v/>
      </c>
      <c r="CR298" s="145" t="str">
        <f>IF($I298&lt;&gt;"",INDEX('Device Refrigerant Leakage'!$G$2:$G$42,MATCH($M298,'Device Refrigerant Leakage'!$B$2:$B$42,0)),"")</f>
        <v/>
      </c>
      <c r="CS298" s="145" t="str">
        <f>IF($I298&lt;&gt;"",INDEX('Device Refrigerant Leakage'!$D$2:$D$42,MATCH($M298,'Device Refrigerant Leakage'!$B$2:$B$42,0))*CP298/2204.62*CO298,"")</f>
        <v/>
      </c>
      <c r="CT298" s="145" t="str">
        <f>IF($I298&lt;&gt;"",J298*(INDEX('Device Refrigerant Leakage'!$D$2:$D$42,MATCH($M298,'Device Refrigerant Leakage'!$B$2:$B$42,0))-(INDEX('Device Refrigerant Leakage'!$D$2:$D$42,MATCH($M298,'Device Refrigerant Leakage'!$B$2:$B$42,0)))*CR298*CP298)*CQ298/2204.62*CO298,"")</f>
        <v/>
      </c>
      <c r="CU298" s="135" t="str">
        <f>IF($I298&lt;&gt;"",J298*IF(W298&lt;&gt;"AR",(CS298*K298)+CT298,(CS298*AB298)+CT298*(AB298/INDEX('Device Refrigerant Leakage'!$C$2:$C$42,MATCH($M298,'Device Refrigerant Leakage'!$B$2:$B$42,0)))),"")</f>
        <v/>
      </c>
      <c r="CW298" s="135" t="str">
        <f>IF($I298&lt;&gt;"",IF(S298="User Specified",V298,INDEX('Refrigerant GWPs'!$G$2:$G$156,MATCH(S298,'Refrigerant GWPs'!$A$2:$A$157,0))),"")</f>
        <v/>
      </c>
      <c r="CX298" s="138" t="str">
        <f>IF($I298&lt;&gt;"",INDEX('Device Refrigerant Leakage'!$E$2:$E$42,MATCH($Q298,'Device Refrigerant Leakage'!$B$2:$B$42,0)),"")</f>
        <v/>
      </c>
      <c r="CY298" s="138" t="str">
        <f>IF($I298&lt;&gt;"",INDEX('Device Refrigerant Leakage'!$F$2:$F$42,MATCH($Q298,'Device Refrigerant Leakage'!$B$2:$B$42,0)),"")</f>
        <v/>
      </c>
      <c r="CZ298" s="145" t="str">
        <f>IF($I298&lt;&gt;"",INDEX('Device Refrigerant Leakage'!$G$2:$G$42,MATCH($Q298,'Device Refrigerant Leakage'!$B$2:$B$42,0)),"")</f>
        <v/>
      </c>
      <c r="DA298" s="145" t="str">
        <f>IF($I298&lt;&gt;"",J298*INDEX('Device Refrigerant Leakage'!$D$2:$D$42,MATCH($Q298,'Device Refrigerant Leakage'!$B$2:$B$42,0))*CX298/2204.62*CW298,"")</f>
        <v/>
      </c>
      <c r="DB298" s="145" t="str">
        <f>IF($I298&lt;&gt;"",J298*(INDEX('Device Refrigerant Leakage'!$D$2:$D$42,MATCH($Q298,'Device Refrigerant Leakage'!$B$2:$B$42,0))-(INDEX('Device Refrigerant Leakage'!$D$2:$D$42,MATCH($Q298,'Device Refrigerant Leakage'!$B$2:$B$42,0)))*CZ298*CX298)*CY298/2204.62*CW298,"")</f>
        <v/>
      </c>
      <c r="DC298" s="135" t="str">
        <f t="shared" si="416"/>
        <v/>
      </c>
      <c r="DE298" s="146" t="str">
        <f>IF(W298&lt;&gt;"AR","",IF(Y298="User Specified", AA298, INDEX('Refrigerant GWPs'!$G$2:$G$154,MATCH(Y298,'Refrigerant GWPs'!$A$2:$A$154,0))))</f>
        <v/>
      </c>
      <c r="DF298" s="146" t="str">
        <f>IF(W298&lt;&gt;"AR","",INDEX('Device Refrigerant Leakage'!$E$2:$E$42,MATCH(X298,'Device Refrigerant Leakage'!$B$2:$B$42,0)))</f>
        <v/>
      </c>
      <c r="DG298" s="146" t="str">
        <f>IF(W298&lt;&gt;"AR","",INDEX('Device Refrigerant Leakage'!$F$2:$F$42,MATCH(X298,'Device Refrigerant Leakage'!$B$2:$B$42,0)))</f>
        <v/>
      </c>
      <c r="DH298" s="146" t="str">
        <f>IF(W298&lt;&gt;"AR","",INDEX('Device Refrigerant Leakage'!$G$2:$G$42,MATCH(X298,'Device Refrigerant Leakage'!$B$2:$B$42,0)))</f>
        <v/>
      </c>
      <c r="DI298" s="146" t="str">
        <f>IF(W298&lt;&gt;"AR","",J298*INDEX('Device Refrigerant Leakage'!$D$2:$D$42,MATCH(X298,'Device Refrigerant Leakage'!$B$2:$B$42,0))*DF298/2204.62*DE298)</f>
        <v/>
      </c>
      <c r="DJ298" s="146" t="str">
        <f>IF(W298&lt;&gt;"AR","",J298*(INDEX('Device Refrigerant Leakage'!$D$2:$D$42,MATCH(X298,'Device Refrigerant Leakage'!$B$2:$B$42,0))-(INDEX('Device Refrigerant Leakage'!$D$2:$D$42,MATCH(X298,'Device Refrigerant Leakage'!$B$2:$B$42,0)))*DH298*DF298)*DG298/2204.62*DE298)</f>
        <v/>
      </c>
      <c r="DK298" s="146" t="str">
        <f>IF(W298&lt;&gt;"AR","",DI298*(K298-AB298)+'Fuel Sub Calcs-Deemed'!DJ298*((K298-AB298)/INDEX('Device Refrigerant Leakage'!$C$2:$C$42,MATCH('Fuel Sub Calcs-Deemed'!X298,'Device Refrigerant Leakage'!$B$2:$B$42,0))))</f>
        <v/>
      </c>
      <c r="DM298" s="56">
        <v>284</v>
      </c>
      <c r="DN298" s="67" t="e">
        <f t="shared" si="398"/>
        <v>#N/A</v>
      </c>
      <c r="DO298" s="45" t="e">
        <f t="shared" si="399"/>
        <v>#N/A</v>
      </c>
      <c r="DP298" s="67" t="e">
        <f t="shared" si="400"/>
        <v>#N/A</v>
      </c>
      <c r="DQ298" s="45" t="e">
        <f t="shared" si="401"/>
        <v>#N/A</v>
      </c>
      <c r="DR298" s="69" t="e">
        <f t="shared" si="402"/>
        <v>#N/A</v>
      </c>
      <c r="DS298" s="34"/>
      <c r="DT298" s="67" t="e">
        <f>((BX298*CJ298)+IF($W298=MAT_AR,(BZ298*CL298),0))*(1+Reference!$E$50+Reference!$E$51)</f>
        <v>#N/A</v>
      </c>
      <c r="DU298" s="67">
        <f>((BY298*CK298)+IF($W298=MAT_AR,(CA298*CM298),0))*(1+Reference!$G$50+Reference!$G$51)</f>
        <v>0</v>
      </c>
      <c r="DV298" s="67" t="e">
        <f t="shared" si="403"/>
        <v>#VALUE!</v>
      </c>
      <c r="DX298" s="56">
        <v>284</v>
      </c>
      <c r="DY298" s="67">
        <f t="shared" si="404"/>
        <v>0</v>
      </c>
      <c r="DZ298" s="45" t="e">
        <f>VLOOKUP($R298,Dropdown!$C$3:$D$4,2,FALSE)</f>
        <v>#N/A</v>
      </c>
      <c r="EA298" s="68">
        <f t="shared" si="405"/>
        <v>0</v>
      </c>
      <c r="EB298" s="68" t="str">
        <f t="shared" si="406"/>
        <v>N/A</v>
      </c>
      <c r="EC298" s="68">
        <f t="shared" si="407"/>
        <v>0</v>
      </c>
      <c r="ED298" s="68" t="str">
        <f t="shared" si="445"/>
        <v>N/A</v>
      </c>
      <c r="EF298" s="56">
        <v>284</v>
      </c>
      <c r="EG298" s="46">
        <f t="shared" si="408"/>
        <v>0</v>
      </c>
      <c r="EH298" s="68" t="e">
        <f t="shared" si="409"/>
        <v>#N/A</v>
      </c>
      <c r="EI298" s="68" t="e">
        <f t="shared" si="410"/>
        <v>#N/A</v>
      </c>
      <c r="EJ298" s="68" t="e">
        <f t="shared" si="411"/>
        <v>#N/A</v>
      </c>
      <c r="EK298" s="68" t="e">
        <f t="shared" si="412"/>
        <v>#N/A</v>
      </c>
      <c r="EL298" s="46">
        <f t="shared" si="413"/>
        <v>0</v>
      </c>
      <c r="EM298" s="46">
        <f t="shared" si="414"/>
        <v>0</v>
      </c>
    </row>
    <row r="299" spans="1:143">
      <c r="A299" s="89"/>
      <c r="B299" s="89"/>
      <c r="C299" s="89"/>
      <c r="D299" s="89"/>
      <c r="E299" s="89"/>
      <c r="F299" s="89"/>
      <c r="G299" s="34"/>
      <c r="H299" s="56">
        <f t="shared" si="415"/>
        <v>285</v>
      </c>
      <c r="I299" s="165"/>
      <c r="J299" s="163"/>
      <c r="K299" s="163"/>
      <c r="L299" s="164"/>
      <c r="M299" s="155"/>
      <c r="N299" s="155"/>
      <c r="O299" s="144"/>
      <c r="P299" s="159" t="str">
        <f>IFERROR(IF(O299&lt;&gt;"User Specified",IF(O299&lt;&gt;"", INDEX('Refrigerant GWPs'!$G$2:$G$154,MATCH(O299,'Refrigerant GWPs'!$A$2:$A$154,0)),""),U299),0)</f>
        <v/>
      </c>
      <c r="Q299" s="155"/>
      <c r="R299" s="155"/>
      <c r="S299" s="144"/>
      <c r="T299" s="159" t="str">
        <f>IF(S299&lt;&gt;"User Specified",IF(AND(S299&lt;&gt;"User Specified",S299&lt;&gt;""), INDEX('Refrigerant GWPs'!$G$2:$G$154,MATCH(S299,'Refrigerant GWPs'!$A$2:$A$154,0)),""),V299)</f>
        <v/>
      </c>
      <c r="U299" s="144"/>
      <c r="V299" s="144"/>
      <c r="W299" s="155"/>
      <c r="X299" s="155"/>
      <c r="Y299" s="144"/>
      <c r="Z299" s="159" t="str">
        <f>IF(AND(Y299&lt;&gt;"User Specified",Y299&lt;&gt;""), INDEX('Refrigerant GWPs'!$G$2:$G$154,MATCH(Y299,'Refrigerant GWPs'!$A$2:$A$154,0)),"")</f>
        <v/>
      </c>
      <c r="AA299" s="155"/>
      <c r="AB299" s="156"/>
      <c r="AC299" s="66"/>
      <c r="AD299" s="66"/>
      <c r="AE299" s="66"/>
      <c r="AF299" s="66"/>
      <c r="AG299" s="66"/>
      <c r="AH299" s="66"/>
      <c r="AI299" s="34"/>
      <c r="AJ299" s="88">
        <f t="shared" si="378"/>
        <v>0</v>
      </c>
      <c r="AK299" s="88">
        <f t="shared" si="379"/>
        <v>0</v>
      </c>
      <c r="AL299" s="88">
        <v>0</v>
      </c>
      <c r="AM299" s="88">
        <v>0</v>
      </c>
      <c r="AN299" s="81" t="str">
        <f t="shared" si="417"/>
        <v/>
      </c>
      <c r="AO299" s="88">
        <f t="shared" si="380"/>
        <v>0</v>
      </c>
      <c r="AP299" s="88">
        <f t="shared" si="381"/>
        <v>0</v>
      </c>
      <c r="AQ299" s="81" t="str">
        <f t="shared" si="382"/>
        <v/>
      </c>
      <c r="AS299" s="41" t="b">
        <f t="shared" si="383"/>
        <v>1</v>
      </c>
      <c r="AT299" s="38">
        <f t="shared" si="384"/>
        <v>0</v>
      </c>
      <c r="AU299" s="60">
        <f t="shared" si="385"/>
        <v>0</v>
      </c>
      <c r="AV299" s="41">
        <f t="shared" si="386"/>
        <v>0</v>
      </c>
      <c r="AW299" s="41" t="b">
        <f t="shared" si="387"/>
        <v>0</v>
      </c>
      <c r="AX299" t="str">
        <f t="shared" si="388"/>
        <v>+00</v>
      </c>
      <c r="AY299" t="str">
        <f t="shared" si="389"/>
        <v>+00</v>
      </c>
      <c r="BA299" s="47" t="b">
        <f t="shared" si="418"/>
        <v>1</v>
      </c>
      <c r="BB299" s="42" t="b">
        <f t="shared" si="419"/>
        <v>1</v>
      </c>
      <c r="BC299" s="42" t="b">
        <f t="shared" si="420"/>
        <v>0</v>
      </c>
      <c r="BD299" s="42" t="b">
        <f t="shared" si="421"/>
        <v>0</v>
      </c>
      <c r="BE299" s="70">
        <f t="shared" si="422"/>
        <v>0</v>
      </c>
      <c r="BF299" s="70">
        <f t="shared" si="423"/>
        <v>0</v>
      </c>
      <c r="BG299" s="34"/>
      <c r="BI299" s="47" t="b">
        <f t="shared" si="424"/>
        <v>1</v>
      </c>
      <c r="BJ299" s="47" t="b">
        <f t="shared" si="425"/>
        <v>1</v>
      </c>
      <c r="BK299" s="42" t="b">
        <f t="shared" si="426"/>
        <v>0</v>
      </c>
      <c r="BL299" s="42" t="b">
        <f t="shared" si="427"/>
        <v>0</v>
      </c>
      <c r="BM299" s="42">
        <f t="shared" si="428"/>
        <v>0</v>
      </c>
      <c r="BN299" s="42">
        <f t="shared" si="429"/>
        <v>0</v>
      </c>
      <c r="BP299" t="e">
        <f t="shared" si="430"/>
        <v>#N/A</v>
      </c>
      <c r="BQ299" t="e">
        <f t="shared" si="431"/>
        <v>#N/A</v>
      </c>
      <c r="BR299" t="e">
        <f t="shared" si="432"/>
        <v>#N/A</v>
      </c>
      <c r="BT299" s="60">
        <f t="shared" si="433"/>
        <v>0</v>
      </c>
      <c r="BU299" s="60">
        <f t="shared" si="434"/>
        <v>0</v>
      </c>
      <c r="BV299" s="60">
        <f t="shared" si="435"/>
        <v>0</v>
      </c>
      <c r="BW299" s="60">
        <f t="shared" si="436"/>
        <v>0</v>
      </c>
      <c r="BX299" s="60">
        <f t="shared" si="437"/>
        <v>0</v>
      </c>
      <c r="BY299" s="60">
        <f t="shared" si="438"/>
        <v>0</v>
      </c>
      <c r="BZ299" s="60">
        <f t="shared" si="439"/>
        <v>0</v>
      </c>
      <c r="CA299" s="60">
        <f t="shared" si="440"/>
        <v>0</v>
      </c>
      <c r="CB299" s="60" t="e">
        <f t="shared" si="390"/>
        <v>#N/A</v>
      </c>
      <c r="CC299" s="60">
        <f t="shared" si="391"/>
        <v>100000</v>
      </c>
      <c r="CD299" s="60" t="e">
        <f t="shared" si="392"/>
        <v>#N/A</v>
      </c>
      <c r="CE299" s="60">
        <f t="shared" si="393"/>
        <v>100000</v>
      </c>
      <c r="CF299" s="83" t="e">
        <f t="shared" si="441"/>
        <v>#N/A</v>
      </c>
      <c r="CG299" s="83">
        <f t="shared" si="442"/>
        <v>0</v>
      </c>
      <c r="CH299" s="83" t="e">
        <f t="shared" si="443"/>
        <v>#N/A</v>
      </c>
      <c r="CI299" s="83">
        <f t="shared" si="444"/>
        <v>0</v>
      </c>
      <c r="CJ299" s="86" t="e">
        <f t="shared" si="394"/>
        <v>#N/A</v>
      </c>
      <c r="CK299" s="82">
        <f t="shared" si="395"/>
        <v>5.3070370403969858E-3</v>
      </c>
      <c r="CL299" s="82" t="e">
        <f t="shared" si="396"/>
        <v>#N/A</v>
      </c>
      <c r="CM299" s="82">
        <f t="shared" si="397"/>
        <v>5.3070370403969858E-3</v>
      </c>
      <c r="CO299" s="149" t="str">
        <f>IF($I299&lt;&gt;"",IF(O299="User Specified",U299,INDEX('Refrigerant GWPs'!$G$2:$G$156,MATCH(O299,'Refrigerant GWPs'!$A$2:$A$156,0))),"")</f>
        <v/>
      </c>
      <c r="CP299" s="138" t="str">
        <f>IF($I299&lt;&gt;"",INDEX('Device Refrigerant Leakage'!$E$2:$E$42,MATCH($M299,'Device Refrigerant Leakage'!$B$2:$B$42,0)),"")</f>
        <v/>
      </c>
      <c r="CQ299" s="138" t="str">
        <f>IF($I299&lt;&gt;"",INDEX('Device Refrigerant Leakage'!$F$2:$F$42,MATCH($M299,'Device Refrigerant Leakage'!$B$2:$B$42,0)),"")</f>
        <v/>
      </c>
      <c r="CR299" s="145" t="str">
        <f>IF($I299&lt;&gt;"",INDEX('Device Refrigerant Leakage'!$G$2:$G$42,MATCH($M299,'Device Refrigerant Leakage'!$B$2:$B$42,0)),"")</f>
        <v/>
      </c>
      <c r="CS299" s="145" t="str">
        <f>IF($I299&lt;&gt;"",INDEX('Device Refrigerant Leakage'!$D$2:$D$42,MATCH($M299,'Device Refrigerant Leakage'!$B$2:$B$42,0))*CP299/2204.62*CO299,"")</f>
        <v/>
      </c>
      <c r="CT299" s="145" t="str">
        <f>IF($I299&lt;&gt;"",J299*(INDEX('Device Refrigerant Leakage'!$D$2:$D$42,MATCH($M299,'Device Refrigerant Leakage'!$B$2:$B$42,0))-(INDEX('Device Refrigerant Leakage'!$D$2:$D$42,MATCH($M299,'Device Refrigerant Leakage'!$B$2:$B$42,0)))*CR299*CP299)*CQ299/2204.62*CO299,"")</f>
        <v/>
      </c>
      <c r="CU299" s="135" t="str">
        <f>IF($I299&lt;&gt;"",J299*IF(W299&lt;&gt;"AR",(CS299*K299)+CT299,(CS299*AB299)+CT299*(AB299/INDEX('Device Refrigerant Leakage'!$C$2:$C$42,MATCH($M299,'Device Refrigerant Leakage'!$B$2:$B$42,0)))),"")</f>
        <v/>
      </c>
      <c r="CW299" s="135" t="str">
        <f>IF($I299&lt;&gt;"",IF(S299="User Specified",V299,INDEX('Refrigerant GWPs'!$G$2:$G$156,MATCH(S299,'Refrigerant GWPs'!$A$2:$A$157,0))),"")</f>
        <v/>
      </c>
      <c r="CX299" s="138" t="str">
        <f>IF($I299&lt;&gt;"",INDEX('Device Refrigerant Leakage'!$E$2:$E$42,MATCH($Q299,'Device Refrigerant Leakage'!$B$2:$B$42,0)),"")</f>
        <v/>
      </c>
      <c r="CY299" s="138" t="str">
        <f>IF($I299&lt;&gt;"",INDEX('Device Refrigerant Leakage'!$F$2:$F$42,MATCH($Q299,'Device Refrigerant Leakage'!$B$2:$B$42,0)),"")</f>
        <v/>
      </c>
      <c r="CZ299" s="145" t="str">
        <f>IF($I299&lt;&gt;"",INDEX('Device Refrigerant Leakage'!$G$2:$G$42,MATCH($Q299,'Device Refrigerant Leakage'!$B$2:$B$42,0)),"")</f>
        <v/>
      </c>
      <c r="DA299" s="145" t="str">
        <f>IF($I299&lt;&gt;"",J299*INDEX('Device Refrigerant Leakage'!$D$2:$D$42,MATCH($Q299,'Device Refrigerant Leakage'!$B$2:$B$42,0))*CX299/2204.62*CW299,"")</f>
        <v/>
      </c>
      <c r="DB299" s="145" t="str">
        <f>IF($I299&lt;&gt;"",J299*(INDEX('Device Refrigerant Leakage'!$D$2:$D$42,MATCH($Q299,'Device Refrigerant Leakage'!$B$2:$B$42,0))-(INDEX('Device Refrigerant Leakage'!$D$2:$D$42,MATCH($Q299,'Device Refrigerant Leakage'!$B$2:$B$42,0)))*CZ299*CX299)*CY299/2204.62*CW299,"")</f>
        <v/>
      </c>
      <c r="DC299" s="135" t="str">
        <f t="shared" si="416"/>
        <v/>
      </c>
      <c r="DE299" s="146" t="str">
        <f>IF(W299&lt;&gt;"AR","",IF(Y299="User Specified", AA299, INDEX('Refrigerant GWPs'!$G$2:$G$154,MATCH(Y299,'Refrigerant GWPs'!$A$2:$A$154,0))))</f>
        <v/>
      </c>
      <c r="DF299" s="146" t="str">
        <f>IF(W299&lt;&gt;"AR","",INDEX('Device Refrigerant Leakage'!$E$2:$E$42,MATCH(X299,'Device Refrigerant Leakage'!$B$2:$B$42,0)))</f>
        <v/>
      </c>
      <c r="DG299" s="146" t="str">
        <f>IF(W299&lt;&gt;"AR","",INDEX('Device Refrigerant Leakage'!$F$2:$F$42,MATCH(X299,'Device Refrigerant Leakage'!$B$2:$B$42,0)))</f>
        <v/>
      </c>
      <c r="DH299" s="146" t="str">
        <f>IF(W299&lt;&gt;"AR","",INDEX('Device Refrigerant Leakage'!$G$2:$G$42,MATCH(X299,'Device Refrigerant Leakage'!$B$2:$B$42,0)))</f>
        <v/>
      </c>
      <c r="DI299" s="146" t="str">
        <f>IF(W299&lt;&gt;"AR","",J299*INDEX('Device Refrigerant Leakage'!$D$2:$D$42,MATCH(X299,'Device Refrigerant Leakage'!$B$2:$B$42,0))*DF299/2204.62*DE299)</f>
        <v/>
      </c>
      <c r="DJ299" s="146" t="str">
        <f>IF(W299&lt;&gt;"AR","",J299*(INDEX('Device Refrigerant Leakage'!$D$2:$D$42,MATCH(X299,'Device Refrigerant Leakage'!$B$2:$B$42,0))-(INDEX('Device Refrigerant Leakage'!$D$2:$D$42,MATCH(X299,'Device Refrigerant Leakage'!$B$2:$B$42,0)))*DH299*DF299)*DG299/2204.62*DE299)</f>
        <v/>
      </c>
      <c r="DK299" s="146" t="str">
        <f>IF(W299&lt;&gt;"AR","",DI299*(K299-AB299)+'Fuel Sub Calcs-Deemed'!DJ299*((K299-AB299)/INDEX('Device Refrigerant Leakage'!$C$2:$C$42,MATCH('Fuel Sub Calcs-Deemed'!X299,'Device Refrigerant Leakage'!$B$2:$B$42,0))))</f>
        <v/>
      </c>
      <c r="DM299" s="56">
        <v>285</v>
      </c>
      <c r="DN299" s="67" t="e">
        <f t="shared" si="398"/>
        <v>#N/A</v>
      </c>
      <c r="DO299" s="45" t="e">
        <f t="shared" si="399"/>
        <v>#N/A</v>
      </c>
      <c r="DP299" s="67" t="e">
        <f t="shared" si="400"/>
        <v>#N/A</v>
      </c>
      <c r="DQ299" s="45" t="e">
        <f t="shared" si="401"/>
        <v>#N/A</v>
      </c>
      <c r="DR299" s="69" t="e">
        <f t="shared" si="402"/>
        <v>#N/A</v>
      </c>
      <c r="DS299" s="34"/>
      <c r="DT299" s="67" t="e">
        <f>((BX299*CJ299)+IF($W299=MAT_AR,(BZ299*CL299),0))*(1+Reference!$E$50+Reference!$E$51)</f>
        <v>#N/A</v>
      </c>
      <c r="DU299" s="67">
        <f>((BY299*CK299)+IF($W299=MAT_AR,(CA299*CM299),0))*(1+Reference!$G$50+Reference!$G$51)</f>
        <v>0</v>
      </c>
      <c r="DV299" s="67" t="e">
        <f t="shared" si="403"/>
        <v>#VALUE!</v>
      </c>
      <c r="DX299" s="56">
        <v>285</v>
      </c>
      <c r="DY299" s="67">
        <f t="shared" si="404"/>
        <v>0</v>
      </c>
      <c r="DZ299" s="45" t="e">
        <f>VLOOKUP($R299,Dropdown!$C$3:$D$4,2,FALSE)</f>
        <v>#N/A</v>
      </c>
      <c r="EA299" s="68">
        <f t="shared" si="405"/>
        <v>0</v>
      </c>
      <c r="EB299" s="68" t="str">
        <f t="shared" si="406"/>
        <v>N/A</v>
      </c>
      <c r="EC299" s="68">
        <f t="shared" si="407"/>
        <v>0</v>
      </c>
      <c r="ED299" s="68" t="str">
        <f t="shared" si="445"/>
        <v>N/A</v>
      </c>
      <c r="EF299" s="56">
        <v>285</v>
      </c>
      <c r="EG299" s="46">
        <f t="shared" si="408"/>
        <v>0</v>
      </c>
      <c r="EH299" s="68" t="e">
        <f t="shared" si="409"/>
        <v>#N/A</v>
      </c>
      <c r="EI299" s="68" t="e">
        <f t="shared" si="410"/>
        <v>#N/A</v>
      </c>
      <c r="EJ299" s="68" t="e">
        <f t="shared" si="411"/>
        <v>#N/A</v>
      </c>
      <c r="EK299" s="68" t="e">
        <f t="shared" si="412"/>
        <v>#N/A</v>
      </c>
      <c r="EL299" s="46">
        <f t="shared" si="413"/>
        <v>0</v>
      </c>
      <c r="EM299" s="46">
        <f t="shared" si="414"/>
        <v>0</v>
      </c>
    </row>
    <row r="300" spans="1:143">
      <c r="A300" s="89"/>
      <c r="B300" s="89"/>
      <c r="C300" s="89"/>
      <c r="D300" s="89"/>
      <c r="E300" s="89"/>
      <c r="F300" s="89"/>
      <c r="G300" s="34"/>
      <c r="H300" s="56">
        <f t="shared" si="415"/>
        <v>286</v>
      </c>
      <c r="I300" s="165"/>
      <c r="J300" s="163"/>
      <c r="K300" s="163"/>
      <c r="L300" s="164"/>
      <c r="M300" s="155"/>
      <c r="N300" s="155"/>
      <c r="O300" s="144"/>
      <c r="P300" s="159" t="str">
        <f>IFERROR(IF(O300&lt;&gt;"User Specified",IF(O300&lt;&gt;"", INDEX('Refrigerant GWPs'!$G$2:$G$154,MATCH(O300,'Refrigerant GWPs'!$A$2:$A$154,0)),""),U300),0)</f>
        <v/>
      </c>
      <c r="Q300" s="155"/>
      <c r="R300" s="155"/>
      <c r="S300" s="144"/>
      <c r="T300" s="159" t="str">
        <f>IF(S300&lt;&gt;"User Specified",IF(AND(S300&lt;&gt;"User Specified",S300&lt;&gt;""), INDEX('Refrigerant GWPs'!$G$2:$G$154,MATCH(S300,'Refrigerant GWPs'!$A$2:$A$154,0)),""),V300)</f>
        <v/>
      </c>
      <c r="U300" s="144"/>
      <c r="V300" s="144"/>
      <c r="W300" s="155"/>
      <c r="X300" s="155"/>
      <c r="Y300" s="144"/>
      <c r="Z300" s="159" t="str">
        <f>IF(AND(Y300&lt;&gt;"User Specified",Y300&lt;&gt;""), INDEX('Refrigerant GWPs'!$G$2:$G$154,MATCH(Y300,'Refrigerant GWPs'!$A$2:$A$154,0)),"")</f>
        <v/>
      </c>
      <c r="AA300" s="155"/>
      <c r="AB300" s="156"/>
      <c r="AC300" s="66"/>
      <c r="AD300" s="66"/>
      <c r="AE300" s="66"/>
      <c r="AF300" s="66"/>
      <c r="AG300" s="66"/>
      <c r="AH300" s="66"/>
      <c r="AI300" s="34"/>
      <c r="AJ300" s="88">
        <f t="shared" si="378"/>
        <v>0</v>
      </c>
      <c r="AK300" s="88">
        <f t="shared" si="379"/>
        <v>0</v>
      </c>
      <c r="AL300" s="88">
        <v>0</v>
      </c>
      <c r="AM300" s="88">
        <v>0</v>
      </c>
      <c r="AN300" s="81" t="str">
        <f t="shared" si="417"/>
        <v/>
      </c>
      <c r="AO300" s="88">
        <f t="shared" si="380"/>
        <v>0</v>
      </c>
      <c r="AP300" s="88">
        <f t="shared" si="381"/>
        <v>0</v>
      </c>
      <c r="AQ300" s="81" t="str">
        <f t="shared" si="382"/>
        <v/>
      </c>
      <c r="AS300" s="41" t="b">
        <f t="shared" si="383"/>
        <v>1</v>
      </c>
      <c r="AT300" s="38">
        <f t="shared" si="384"/>
        <v>0</v>
      </c>
      <c r="AU300" s="60">
        <f t="shared" si="385"/>
        <v>0</v>
      </c>
      <c r="AV300" s="41">
        <f t="shared" si="386"/>
        <v>0</v>
      </c>
      <c r="AW300" s="41" t="b">
        <f t="shared" si="387"/>
        <v>0</v>
      </c>
      <c r="AX300" t="str">
        <f t="shared" si="388"/>
        <v>+00</v>
      </c>
      <c r="AY300" t="str">
        <f t="shared" si="389"/>
        <v>+00</v>
      </c>
      <c r="BA300" s="47" t="b">
        <f t="shared" si="418"/>
        <v>1</v>
      </c>
      <c r="BB300" s="42" t="b">
        <f t="shared" si="419"/>
        <v>1</v>
      </c>
      <c r="BC300" s="42" t="b">
        <f t="shared" si="420"/>
        <v>0</v>
      </c>
      <c r="BD300" s="42" t="b">
        <f t="shared" si="421"/>
        <v>0</v>
      </c>
      <c r="BE300" s="70">
        <f t="shared" si="422"/>
        <v>0</v>
      </c>
      <c r="BF300" s="70">
        <f t="shared" si="423"/>
        <v>0</v>
      </c>
      <c r="BG300" s="34"/>
      <c r="BI300" s="47" t="b">
        <f t="shared" si="424"/>
        <v>1</v>
      </c>
      <c r="BJ300" s="47" t="b">
        <f t="shared" si="425"/>
        <v>1</v>
      </c>
      <c r="BK300" s="42" t="b">
        <f t="shared" si="426"/>
        <v>0</v>
      </c>
      <c r="BL300" s="42" t="b">
        <f t="shared" si="427"/>
        <v>0</v>
      </c>
      <c r="BM300" s="42">
        <f t="shared" si="428"/>
        <v>0</v>
      </c>
      <c r="BN300" s="42">
        <f t="shared" si="429"/>
        <v>0</v>
      </c>
      <c r="BP300" t="e">
        <f t="shared" si="430"/>
        <v>#N/A</v>
      </c>
      <c r="BQ300" t="e">
        <f t="shared" si="431"/>
        <v>#N/A</v>
      </c>
      <c r="BR300" t="e">
        <f t="shared" si="432"/>
        <v>#N/A</v>
      </c>
      <c r="BT300" s="60">
        <f t="shared" si="433"/>
        <v>0</v>
      </c>
      <c r="BU300" s="60">
        <f t="shared" si="434"/>
        <v>0</v>
      </c>
      <c r="BV300" s="60">
        <f t="shared" si="435"/>
        <v>0</v>
      </c>
      <c r="BW300" s="60">
        <f t="shared" si="436"/>
        <v>0</v>
      </c>
      <c r="BX300" s="60">
        <f t="shared" si="437"/>
        <v>0</v>
      </c>
      <c r="BY300" s="60">
        <f t="shared" si="438"/>
        <v>0</v>
      </c>
      <c r="BZ300" s="60">
        <f t="shared" si="439"/>
        <v>0</v>
      </c>
      <c r="CA300" s="60">
        <f t="shared" si="440"/>
        <v>0</v>
      </c>
      <c r="CB300" s="60" t="e">
        <f t="shared" si="390"/>
        <v>#N/A</v>
      </c>
      <c r="CC300" s="60">
        <f t="shared" si="391"/>
        <v>100000</v>
      </c>
      <c r="CD300" s="60" t="e">
        <f t="shared" si="392"/>
        <v>#N/A</v>
      </c>
      <c r="CE300" s="60">
        <f t="shared" si="393"/>
        <v>100000</v>
      </c>
      <c r="CF300" s="83" t="e">
        <f t="shared" si="441"/>
        <v>#N/A</v>
      </c>
      <c r="CG300" s="83">
        <f t="shared" si="442"/>
        <v>0</v>
      </c>
      <c r="CH300" s="83" t="e">
        <f t="shared" si="443"/>
        <v>#N/A</v>
      </c>
      <c r="CI300" s="83">
        <f t="shared" si="444"/>
        <v>0</v>
      </c>
      <c r="CJ300" s="86" t="e">
        <f t="shared" si="394"/>
        <v>#N/A</v>
      </c>
      <c r="CK300" s="82">
        <f t="shared" si="395"/>
        <v>5.3070370403969858E-3</v>
      </c>
      <c r="CL300" s="82" t="e">
        <f t="shared" si="396"/>
        <v>#N/A</v>
      </c>
      <c r="CM300" s="82">
        <f t="shared" si="397"/>
        <v>5.3070370403969858E-3</v>
      </c>
      <c r="CO300" s="149" t="str">
        <f>IF($I300&lt;&gt;"",IF(O300="User Specified",U300,INDEX('Refrigerant GWPs'!$G$2:$G$156,MATCH(O300,'Refrigerant GWPs'!$A$2:$A$156,0))),"")</f>
        <v/>
      </c>
      <c r="CP300" s="138" t="str">
        <f>IF($I300&lt;&gt;"",INDEX('Device Refrigerant Leakage'!$E$2:$E$42,MATCH($M300,'Device Refrigerant Leakage'!$B$2:$B$42,0)),"")</f>
        <v/>
      </c>
      <c r="CQ300" s="138" t="str">
        <f>IF($I300&lt;&gt;"",INDEX('Device Refrigerant Leakage'!$F$2:$F$42,MATCH($M300,'Device Refrigerant Leakage'!$B$2:$B$42,0)),"")</f>
        <v/>
      </c>
      <c r="CR300" s="145" t="str">
        <f>IF($I300&lt;&gt;"",INDEX('Device Refrigerant Leakage'!$G$2:$G$42,MATCH($M300,'Device Refrigerant Leakage'!$B$2:$B$42,0)),"")</f>
        <v/>
      </c>
      <c r="CS300" s="145" t="str">
        <f>IF($I300&lt;&gt;"",INDEX('Device Refrigerant Leakage'!$D$2:$D$42,MATCH($M300,'Device Refrigerant Leakage'!$B$2:$B$42,0))*CP300/2204.62*CO300,"")</f>
        <v/>
      </c>
      <c r="CT300" s="145" t="str">
        <f>IF($I300&lt;&gt;"",J300*(INDEX('Device Refrigerant Leakage'!$D$2:$D$42,MATCH($M300,'Device Refrigerant Leakage'!$B$2:$B$42,0))-(INDEX('Device Refrigerant Leakage'!$D$2:$D$42,MATCH($M300,'Device Refrigerant Leakage'!$B$2:$B$42,0)))*CR300*CP300)*CQ300/2204.62*CO300,"")</f>
        <v/>
      </c>
      <c r="CU300" s="135" t="str">
        <f>IF($I300&lt;&gt;"",J300*IF(W300&lt;&gt;"AR",(CS300*K300)+CT300,(CS300*AB300)+CT300*(AB300/INDEX('Device Refrigerant Leakage'!$C$2:$C$42,MATCH($M300,'Device Refrigerant Leakage'!$B$2:$B$42,0)))),"")</f>
        <v/>
      </c>
      <c r="CW300" s="135" t="str">
        <f>IF($I300&lt;&gt;"",IF(S300="User Specified",V300,INDEX('Refrigerant GWPs'!$G$2:$G$156,MATCH(S300,'Refrigerant GWPs'!$A$2:$A$157,0))),"")</f>
        <v/>
      </c>
      <c r="CX300" s="138" t="str">
        <f>IF($I300&lt;&gt;"",INDEX('Device Refrigerant Leakage'!$E$2:$E$42,MATCH($Q300,'Device Refrigerant Leakage'!$B$2:$B$42,0)),"")</f>
        <v/>
      </c>
      <c r="CY300" s="138" t="str">
        <f>IF($I300&lt;&gt;"",INDEX('Device Refrigerant Leakage'!$F$2:$F$42,MATCH($Q300,'Device Refrigerant Leakage'!$B$2:$B$42,0)),"")</f>
        <v/>
      </c>
      <c r="CZ300" s="145" t="str">
        <f>IF($I300&lt;&gt;"",INDEX('Device Refrigerant Leakage'!$G$2:$G$42,MATCH($Q300,'Device Refrigerant Leakage'!$B$2:$B$42,0)),"")</f>
        <v/>
      </c>
      <c r="DA300" s="145" t="str">
        <f>IF($I300&lt;&gt;"",J300*INDEX('Device Refrigerant Leakage'!$D$2:$D$42,MATCH($Q300,'Device Refrigerant Leakage'!$B$2:$B$42,0))*CX300/2204.62*CW300,"")</f>
        <v/>
      </c>
      <c r="DB300" s="145" t="str">
        <f>IF($I300&lt;&gt;"",J300*(INDEX('Device Refrigerant Leakage'!$D$2:$D$42,MATCH($Q300,'Device Refrigerant Leakage'!$B$2:$B$42,0))-(INDEX('Device Refrigerant Leakage'!$D$2:$D$42,MATCH($Q300,'Device Refrigerant Leakage'!$B$2:$B$42,0)))*CZ300*CX300)*CY300/2204.62*CW300,"")</f>
        <v/>
      </c>
      <c r="DC300" s="135" t="str">
        <f t="shared" si="416"/>
        <v/>
      </c>
      <c r="DE300" s="146" t="str">
        <f>IF(W300&lt;&gt;"AR","",IF(Y300="User Specified", AA300, INDEX('Refrigerant GWPs'!$G$2:$G$154,MATCH(Y300,'Refrigerant GWPs'!$A$2:$A$154,0))))</f>
        <v/>
      </c>
      <c r="DF300" s="146" t="str">
        <f>IF(W300&lt;&gt;"AR","",INDEX('Device Refrigerant Leakage'!$E$2:$E$42,MATCH(X300,'Device Refrigerant Leakage'!$B$2:$B$42,0)))</f>
        <v/>
      </c>
      <c r="DG300" s="146" t="str">
        <f>IF(W300&lt;&gt;"AR","",INDEX('Device Refrigerant Leakage'!$F$2:$F$42,MATCH(X300,'Device Refrigerant Leakage'!$B$2:$B$42,0)))</f>
        <v/>
      </c>
      <c r="DH300" s="146" t="str">
        <f>IF(W300&lt;&gt;"AR","",INDEX('Device Refrigerant Leakage'!$G$2:$G$42,MATCH(X300,'Device Refrigerant Leakage'!$B$2:$B$42,0)))</f>
        <v/>
      </c>
      <c r="DI300" s="146" t="str">
        <f>IF(W300&lt;&gt;"AR","",J300*INDEX('Device Refrigerant Leakage'!$D$2:$D$42,MATCH(X300,'Device Refrigerant Leakage'!$B$2:$B$42,0))*DF300/2204.62*DE300)</f>
        <v/>
      </c>
      <c r="DJ300" s="146" t="str">
        <f>IF(W300&lt;&gt;"AR","",J300*(INDEX('Device Refrigerant Leakage'!$D$2:$D$42,MATCH(X300,'Device Refrigerant Leakage'!$B$2:$B$42,0))-(INDEX('Device Refrigerant Leakage'!$D$2:$D$42,MATCH(X300,'Device Refrigerant Leakage'!$B$2:$B$42,0)))*DH300*DF300)*DG300/2204.62*DE300)</f>
        <v/>
      </c>
      <c r="DK300" s="146" t="str">
        <f>IF(W300&lt;&gt;"AR","",DI300*(K300-AB300)+'Fuel Sub Calcs-Deemed'!DJ300*((K300-AB300)/INDEX('Device Refrigerant Leakage'!$C$2:$C$42,MATCH('Fuel Sub Calcs-Deemed'!X300,'Device Refrigerant Leakage'!$B$2:$B$42,0))))</f>
        <v/>
      </c>
      <c r="DM300" s="56">
        <v>286</v>
      </c>
      <c r="DN300" s="67" t="e">
        <f t="shared" si="398"/>
        <v>#N/A</v>
      </c>
      <c r="DO300" s="45" t="e">
        <f t="shared" si="399"/>
        <v>#N/A</v>
      </c>
      <c r="DP300" s="67" t="e">
        <f t="shared" si="400"/>
        <v>#N/A</v>
      </c>
      <c r="DQ300" s="45" t="e">
        <f t="shared" si="401"/>
        <v>#N/A</v>
      </c>
      <c r="DR300" s="69" t="e">
        <f t="shared" si="402"/>
        <v>#N/A</v>
      </c>
      <c r="DS300" s="34"/>
      <c r="DT300" s="67" t="e">
        <f>((BX300*CJ300)+IF($W300=MAT_AR,(BZ300*CL300),0))*(1+Reference!$E$50+Reference!$E$51)</f>
        <v>#N/A</v>
      </c>
      <c r="DU300" s="67">
        <f>((BY300*CK300)+IF($W300=MAT_AR,(CA300*CM300),0))*(1+Reference!$G$50+Reference!$G$51)</f>
        <v>0</v>
      </c>
      <c r="DV300" s="67" t="e">
        <f t="shared" si="403"/>
        <v>#VALUE!</v>
      </c>
      <c r="DX300" s="56">
        <v>286</v>
      </c>
      <c r="DY300" s="67">
        <f t="shared" si="404"/>
        <v>0</v>
      </c>
      <c r="DZ300" s="45" t="e">
        <f>VLOOKUP($R300,Dropdown!$C$3:$D$4,2,FALSE)</f>
        <v>#N/A</v>
      </c>
      <c r="EA300" s="68">
        <f t="shared" si="405"/>
        <v>0</v>
      </c>
      <c r="EB300" s="68" t="str">
        <f t="shared" si="406"/>
        <v>N/A</v>
      </c>
      <c r="EC300" s="68">
        <f t="shared" si="407"/>
        <v>0</v>
      </c>
      <c r="ED300" s="68" t="str">
        <f t="shared" si="445"/>
        <v>N/A</v>
      </c>
      <c r="EF300" s="56">
        <v>286</v>
      </c>
      <c r="EG300" s="46">
        <f t="shared" si="408"/>
        <v>0</v>
      </c>
      <c r="EH300" s="68" t="e">
        <f t="shared" si="409"/>
        <v>#N/A</v>
      </c>
      <c r="EI300" s="68" t="e">
        <f t="shared" si="410"/>
        <v>#N/A</v>
      </c>
      <c r="EJ300" s="68" t="e">
        <f t="shared" si="411"/>
        <v>#N/A</v>
      </c>
      <c r="EK300" s="68" t="e">
        <f t="shared" si="412"/>
        <v>#N/A</v>
      </c>
      <c r="EL300" s="46">
        <f t="shared" si="413"/>
        <v>0</v>
      </c>
      <c r="EM300" s="46">
        <f t="shared" si="414"/>
        <v>0</v>
      </c>
    </row>
    <row r="301" spans="1:143">
      <c r="A301" s="89"/>
      <c r="B301" s="89"/>
      <c r="C301" s="89"/>
      <c r="D301" s="89"/>
      <c r="E301" s="89"/>
      <c r="F301" s="89"/>
      <c r="G301" s="34"/>
      <c r="H301" s="56">
        <f t="shared" si="415"/>
        <v>287</v>
      </c>
      <c r="I301" s="165"/>
      <c r="J301" s="163"/>
      <c r="K301" s="163"/>
      <c r="L301" s="164"/>
      <c r="M301" s="155"/>
      <c r="N301" s="155"/>
      <c r="O301" s="144"/>
      <c r="P301" s="159" t="str">
        <f>IFERROR(IF(O301&lt;&gt;"User Specified",IF(O301&lt;&gt;"", INDEX('Refrigerant GWPs'!$G$2:$G$154,MATCH(O301,'Refrigerant GWPs'!$A$2:$A$154,0)),""),U301),0)</f>
        <v/>
      </c>
      <c r="Q301" s="155"/>
      <c r="R301" s="155"/>
      <c r="S301" s="144"/>
      <c r="T301" s="159" t="str">
        <f>IF(S301&lt;&gt;"User Specified",IF(AND(S301&lt;&gt;"User Specified",S301&lt;&gt;""), INDEX('Refrigerant GWPs'!$G$2:$G$154,MATCH(S301,'Refrigerant GWPs'!$A$2:$A$154,0)),""),V301)</f>
        <v/>
      </c>
      <c r="U301" s="144"/>
      <c r="V301" s="144"/>
      <c r="W301" s="155"/>
      <c r="X301" s="155"/>
      <c r="Y301" s="144"/>
      <c r="Z301" s="159" t="str">
        <f>IF(AND(Y301&lt;&gt;"User Specified",Y301&lt;&gt;""), INDEX('Refrigerant GWPs'!$G$2:$G$154,MATCH(Y301,'Refrigerant GWPs'!$A$2:$A$154,0)),"")</f>
        <v/>
      </c>
      <c r="AA301" s="155"/>
      <c r="AB301" s="156"/>
      <c r="AC301" s="66"/>
      <c r="AD301" s="66"/>
      <c r="AE301" s="66"/>
      <c r="AF301" s="66"/>
      <c r="AG301" s="66"/>
      <c r="AH301" s="66"/>
      <c r="AI301" s="34"/>
      <c r="AJ301" s="88">
        <f t="shared" si="378"/>
        <v>0</v>
      </c>
      <c r="AK301" s="88">
        <f t="shared" si="379"/>
        <v>0</v>
      </c>
      <c r="AL301" s="88">
        <v>0</v>
      </c>
      <c r="AM301" s="88">
        <v>0</v>
      </c>
      <c r="AN301" s="81" t="str">
        <f t="shared" si="417"/>
        <v/>
      </c>
      <c r="AO301" s="88">
        <f t="shared" si="380"/>
        <v>0</v>
      </c>
      <c r="AP301" s="88">
        <f t="shared" si="381"/>
        <v>0</v>
      </c>
      <c r="AQ301" s="81" t="str">
        <f t="shared" si="382"/>
        <v/>
      </c>
      <c r="AS301" s="41" t="b">
        <f t="shared" si="383"/>
        <v>1</v>
      </c>
      <c r="AT301" s="38">
        <f t="shared" si="384"/>
        <v>0</v>
      </c>
      <c r="AU301" s="60">
        <f t="shared" si="385"/>
        <v>0</v>
      </c>
      <c r="AV301" s="41">
        <f t="shared" si="386"/>
        <v>0</v>
      </c>
      <c r="AW301" s="41" t="b">
        <f t="shared" si="387"/>
        <v>0</v>
      </c>
      <c r="AX301" t="str">
        <f t="shared" si="388"/>
        <v>+00</v>
      </c>
      <c r="AY301" t="str">
        <f t="shared" si="389"/>
        <v>+00</v>
      </c>
      <c r="BA301" s="47" t="b">
        <f t="shared" si="418"/>
        <v>1</v>
      </c>
      <c r="BB301" s="42" t="b">
        <f t="shared" si="419"/>
        <v>1</v>
      </c>
      <c r="BC301" s="42" t="b">
        <f t="shared" si="420"/>
        <v>0</v>
      </c>
      <c r="BD301" s="42" t="b">
        <f t="shared" si="421"/>
        <v>0</v>
      </c>
      <c r="BE301" s="70">
        <f t="shared" si="422"/>
        <v>0</v>
      </c>
      <c r="BF301" s="70">
        <f t="shared" si="423"/>
        <v>0</v>
      </c>
      <c r="BG301" s="34"/>
      <c r="BI301" s="47" t="b">
        <f t="shared" si="424"/>
        <v>1</v>
      </c>
      <c r="BJ301" s="47" t="b">
        <f t="shared" si="425"/>
        <v>1</v>
      </c>
      <c r="BK301" s="42" t="b">
        <f t="shared" si="426"/>
        <v>0</v>
      </c>
      <c r="BL301" s="42" t="b">
        <f t="shared" si="427"/>
        <v>0</v>
      </c>
      <c r="BM301" s="42">
        <f t="shared" si="428"/>
        <v>0</v>
      </c>
      <c r="BN301" s="42">
        <f t="shared" si="429"/>
        <v>0</v>
      </c>
      <c r="BP301" t="e">
        <f t="shared" si="430"/>
        <v>#N/A</v>
      </c>
      <c r="BQ301" t="e">
        <f t="shared" si="431"/>
        <v>#N/A</v>
      </c>
      <c r="BR301" t="e">
        <f t="shared" si="432"/>
        <v>#N/A</v>
      </c>
      <c r="BT301" s="60">
        <f t="shared" si="433"/>
        <v>0</v>
      </c>
      <c r="BU301" s="60">
        <f t="shared" si="434"/>
        <v>0</v>
      </c>
      <c r="BV301" s="60">
        <f t="shared" si="435"/>
        <v>0</v>
      </c>
      <c r="BW301" s="60">
        <f t="shared" si="436"/>
        <v>0</v>
      </c>
      <c r="BX301" s="60">
        <f t="shared" si="437"/>
        <v>0</v>
      </c>
      <c r="BY301" s="60">
        <f t="shared" si="438"/>
        <v>0</v>
      </c>
      <c r="BZ301" s="60">
        <f t="shared" si="439"/>
        <v>0</v>
      </c>
      <c r="CA301" s="60">
        <f t="shared" si="440"/>
        <v>0</v>
      </c>
      <c r="CB301" s="60" t="e">
        <f t="shared" si="390"/>
        <v>#N/A</v>
      </c>
      <c r="CC301" s="60">
        <f t="shared" si="391"/>
        <v>100000</v>
      </c>
      <c r="CD301" s="60" t="e">
        <f t="shared" si="392"/>
        <v>#N/A</v>
      </c>
      <c r="CE301" s="60">
        <f t="shared" si="393"/>
        <v>100000</v>
      </c>
      <c r="CF301" s="83" t="e">
        <f t="shared" si="441"/>
        <v>#N/A</v>
      </c>
      <c r="CG301" s="83">
        <f t="shared" si="442"/>
        <v>0</v>
      </c>
      <c r="CH301" s="83" t="e">
        <f t="shared" si="443"/>
        <v>#N/A</v>
      </c>
      <c r="CI301" s="83">
        <f t="shared" si="444"/>
        <v>0</v>
      </c>
      <c r="CJ301" s="86" t="e">
        <f t="shared" si="394"/>
        <v>#N/A</v>
      </c>
      <c r="CK301" s="82">
        <f t="shared" si="395"/>
        <v>5.3070370403969858E-3</v>
      </c>
      <c r="CL301" s="82" t="e">
        <f t="shared" si="396"/>
        <v>#N/A</v>
      </c>
      <c r="CM301" s="82">
        <f t="shared" si="397"/>
        <v>5.3070370403969858E-3</v>
      </c>
      <c r="CO301" s="149" t="str">
        <f>IF($I301&lt;&gt;"",IF(O301="User Specified",U301,INDEX('Refrigerant GWPs'!$G$2:$G$156,MATCH(O301,'Refrigerant GWPs'!$A$2:$A$156,0))),"")</f>
        <v/>
      </c>
      <c r="CP301" s="138" t="str">
        <f>IF($I301&lt;&gt;"",INDEX('Device Refrigerant Leakage'!$E$2:$E$42,MATCH($M301,'Device Refrigerant Leakage'!$B$2:$B$42,0)),"")</f>
        <v/>
      </c>
      <c r="CQ301" s="138" t="str">
        <f>IF($I301&lt;&gt;"",INDEX('Device Refrigerant Leakage'!$F$2:$F$42,MATCH($M301,'Device Refrigerant Leakage'!$B$2:$B$42,0)),"")</f>
        <v/>
      </c>
      <c r="CR301" s="145" t="str">
        <f>IF($I301&lt;&gt;"",INDEX('Device Refrigerant Leakage'!$G$2:$G$42,MATCH($M301,'Device Refrigerant Leakage'!$B$2:$B$42,0)),"")</f>
        <v/>
      </c>
      <c r="CS301" s="145" t="str">
        <f>IF($I301&lt;&gt;"",INDEX('Device Refrigerant Leakage'!$D$2:$D$42,MATCH($M301,'Device Refrigerant Leakage'!$B$2:$B$42,0))*CP301/2204.62*CO301,"")</f>
        <v/>
      </c>
      <c r="CT301" s="145" t="str">
        <f>IF($I301&lt;&gt;"",J301*(INDEX('Device Refrigerant Leakage'!$D$2:$D$42,MATCH($M301,'Device Refrigerant Leakage'!$B$2:$B$42,0))-(INDEX('Device Refrigerant Leakage'!$D$2:$D$42,MATCH($M301,'Device Refrigerant Leakage'!$B$2:$B$42,0)))*CR301*CP301)*CQ301/2204.62*CO301,"")</f>
        <v/>
      </c>
      <c r="CU301" s="135" t="str">
        <f>IF($I301&lt;&gt;"",J301*IF(W301&lt;&gt;"AR",(CS301*K301)+CT301,(CS301*AB301)+CT301*(AB301/INDEX('Device Refrigerant Leakage'!$C$2:$C$42,MATCH($M301,'Device Refrigerant Leakage'!$B$2:$B$42,0)))),"")</f>
        <v/>
      </c>
      <c r="CW301" s="135" t="str">
        <f>IF($I301&lt;&gt;"",IF(S301="User Specified",V301,INDEX('Refrigerant GWPs'!$G$2:$G$156,MATCH(S301,'Refrigerant GWPs'!$A$2:$A$157,0))),"")</f>
        <v/>
      </c>
      <c r="CX301" s="138" t="str">
        <f>IF($I301&lt;&gt;"",INDEX('Device Refrigerant Leakage'!$E$2:$E$42,MATCH($Q301,'Device Refrigerant Leakage'!$B$2:$B$42,0)),"")</f>
        <v/>
      </c>
      <c r="CY301" s="138" t="str">
        <f>IF($I301&lt;&gt;"",INDEX('Device Refrigerant Leakage'!$F$2:$F$42,MATCH($Q301,'Device Refrigerant Leakage'!$B$2:$B$42,0)),"")</f>
        <v/>
      </c>
      <c r="CZ301" s="145" t="str">
        <f>IF($I301&lt;&gt;"",INDEX('Device Refrigerant Leakage'!$G$2:$G$42,MATCH($Q301,'Device Refrigerant Leakage'!$B$2:$B$42,0)),"")</f>
        <v/>
      </c>
      <c r="DA301" s="145" t="str">
        <f>IF($I301&lt;&gt;"",J301*INDEX('Device Refrigerant Leakage'!$D$2:$D$42,MATCH($Q301,'Device Refrigerant Leakage'!$B$2:$B$42,0))*CX301/2204.62*CW301,"")</f>
        <v/>
      </c>
      <c r="DB301" s="145" t="str">
        <f>IF($I301&lt;&gt;"",J301*(INDEX('Device Refrigerant Leakage'!$D$2:$D$42,MATCH($Q301,'Device Refrigerant Leakage'!$B$2:$B$42,0))-(INDEX('Device Refrigerant Leakage'!$D$2:$D$42,MATCH($Q301,'Device Refrigerant Leakage'!$B$2:$B$42,0)))*CZ301*CX301)*CY301/2204.62*CW301,"")</f>
        <v/>
      </c>
      <c r="DC301" s="135" t="str">
        <f t="shared" si="416"/>
        <v/>
      </c>
      <c r="DE301" s="146" t="str">
        <f>IF(W301&lt;&gt;"AR","",IF(Y301="User Specified", AA301, INDEX('Refrigerant GWPs'!$G$2:$G$154,MATCH(Y301,'Refrigerant GWPs'!$A$2:$A$154,0))))</f>
        <v/>
      </c>
      <c r="DF301" s="146" t="str">
        <f>IF(W301&lt;&gt;"AR","",INDEX('Device Refrigerant Leakage'!$E$2:$E$42,MATCH(X301,'Device Refrigerant Leakage'!$B$2:$B$42,0)))</f>
        <v/>
      </c>
      <c r="DG301" s="146" t="str">
        <f>IF(W301&lt;&gt;"AR","",INDEX('Device Refrigerant Leakage'!$F$2:$F$42,MATCH(X301,'Device Refrigerant Leakage'!$B$2:$B$42,0)))</f>
        <v/>
      </c>
      <c r="DH301" s="146" t="str">
        <f>IF(W301&lt;&gt;"AR","",INDEX('Device Refrigerant Leakage'!$G$2:$G$42,MATCH(X301,'Device Refrigerant Leakage'!$B$2:$B$42,0)))</f>
        <v/>
      </c>
      <c r="DI301" s="146" t="str">
        <f>IF(W301&lt;&gt;"AR","",J301*INDEX('Device Refrigerant Leakage'!$D$2:$D$42,MATCH(X301,'Device Refrigerant Leakage'!$B$2:$B$42,0))*DF301/2204.62*DE301)</f>
        <v/>
      </c>
      <c r="DJ301" s="146" t="str">
        <f>IF(W301&lt;&gt;"AR","",J301*(INDEX('Device Refrigerant Leakage'!$D$2:$D$42,MATCH(X301,'Device Refrigerant Leakage'!$B$2:$B$42,0))-(INDEX('Device Refrigerant Leakage'!$D$2:$D$42,MATCH(X301,'Device Refrigerant Leakage'!$B$2:$B$42,0)))*DH301*DF301)*DG301/2204.62*DE301)</f>
        <v/>
      </c>
      <c r="DK301" s="146" t="str">
        <f>IF(W301&lt;&gt;"AR","",DI301*(K301-AB301)+'Fuel Sub Calcs-Deemed'!DJ301*((K301-AB301)/INDEX('Device Refrigerant Leakage'!$C$2:$C$42,MATCH('Fuel Sub Calcs-Deemed'!X301,'Device Refrigerant Leakage'!$B$2:$B$42,0))))</f>
        <v/>
      </c>
      <c r="DM301" s="56">
        <v>287</v>
      </c>
      <c r="DN301" s="67" t="e">
        <f t="shared" si="398"/>
        <v>#N/A</v>
      </c>
      <c r="DO301" s="45" t="e">
        <f t="shared" si="399"/>
        <v>#N/A</v>
      </c>
      <c r="DP301" s="67" t="e">
        <f t="shared" si="400"/>
        <v>#N/A</v>
      </c>
      <c r="DQ301" s="45" t="e">
        <f t="shared" si="401"/>
        <v>#N/A</v>
      </c>
      <c r="DR301" s="69" t="e">
        <f t="shared" si="402"/>
        <v>#N/A</v>
      </c>
      <c r="DS301" s="34"/>
      <c r="DT301" s="67" t="e">
        <f>((BX301*CJ301)+IF($W301=MAT_AR,(BZ301*CL301),0))*(1+Reference!$E$50+Reference!$E$51)</f>
        <v>#N/A</v>
      </c>
      <c r="DU301" s="67">
        <f>((BY301*CK301)+IF($W301=MAT_AR,(CA301*CM301),0))*(1+Reference!$G$50+Reference!$G$51)</f>
        <v>0</v>
      </c>
      <c r="DV301" s="67" t="e">
        <f t="shared" si="403"/>
        <v>#VALUE!</v>
      </c>
      <c r="DX301" s="56">
        <v>287</v>
      </c>
      <c r="DY301" s="67">
        <f t="shared" si="404"/>
        <v>0</v>
      </c>
      <c r="DZ301" s="45" t="e">
        <f>VLOOKUP($R301,Dropdown!$C$3:$D$4,2,FALSE)</f>
        <v>#N/A</v>
      </c>
      <c r="EA301" s="68">
        <f t="shared" si="405"/>
        <v>0</v>
      </c>
      <c r="EB301" s="68" t="str">
        <f t="shared" si="406"/>
        <v>N/A</v>
      </c>
      <c r="EC301" s="68">
        <f t="shared" si="407"/>
        <v>0</v>
      </c>
      <c r="ED301" s="68" t="str">
        <f t="shared" si="445"/>
        <v>N/A</v>
      </c>
      <c r="EF301" s="56">
        <v>287</v>
      </c>
      <c r="EG301" s="46">
        <f t="shared" si="408"/>
        <v>0</v>
      </c>
      <c r="EH301" s="68" t="e">
        <f t="shared" si="409"/>
        <v>#N/A</v>
      </c>
      <c r="EI301" s="68" t="e">
        <f t="shared" si="410"/>
        <v>#N/A</v>
      </c>
      <c r="EJ301" s="68" t="e">
        <f t="shared" si="411"/>
        <v>#N/A</v>
      </c>
      <c r="EK301" s="68" t="e">
        <f t="shared" si="412"/>
        <v>#N/A</v>
      </c>
      <c r="EL301" s="46">
        <f t="shared" si="413"/>
        <v>0</v>
      </c>
      <c r="EM301" s="46">
        <f t="shared" si="414"/>
        <v>0</v>
      </c>
    </row>
    <row r="302" spans="1:143">
      <c r="A302" s="89"/>
      <c r="B302" s="89"/>
      <c r="C302" s="89"/>
      <c r="D302" s="89"/>
      <c r="E302" s="89"/>
      <c r="F302" s="89"/>
      <c r="G302" s="34"/>
      <c r="H302" s="56">
        <f t="shared" si="415"/>
        <v>288</v>
      </c>
      <c r="I302" s="165"/>
      <c r="J302" s="163"/>
      <c r="K302" s="163"/>
      <c r="L302" s="164"/>
      <c r="M302" s="155"/>
      <c r="N302" s="155"/>
      <c r="O302" s="144"/>
      <c r="P302" s="159" t="str">
        <f>IFERROR(IF(O302&lt;&gt;"User Specified",IF(O302&lt;&gt;"", INDEX('Refrigerant GWPs'!$G$2:$G$154,MATCH(O302,'Refrigerant GWPs'!$A$2:$A$154,0)),""),U302),0)</f>
        <v/>
      </c>
      <c r="Q302" s="155"/>
      <c r="R302" s="155"/>
      <c r="S302" s="144"/>
      <c r="T302" s="159" t="str">
        <f>IF(S302&lt;&gt;"User Specified",IF(AND(S302&lt;&gt;"User Specified",S302&lt;&gt;""), INDEX('Refrigerant GWPs'!$G$2:$G$154,MATCH(S302,'Refrigerant GWPs'!$A$2:$A$154,0)),""),V302)</f>
        <v/>
      </c>
      <c r="U302" s="144"/>
      <c r="V302" s="144"/>
      <c r="W302" s="155"/>
      <c r="X302" s="155"/>
      <c r="Y302" s="144"/>
      <c r="Z302" s="159" t="str">
        <f>IF(AND(Y302&lt;&gt;"User Specified",Y302&lt;&gt;""), INDEX('Refrigerant GWPs'!$G$2:$G$154,MATCH(Y302,'Refrigerant GWPs'!$A$2:$A$154,0)),"")</f>
        <v/>
      </c>
      <c r="AA302" s="155"/>
      <c r="AB302" s="156"/>
      <c r="AC302" s="66"/>
      <c r="AD302" s="66"/>
      <c r="AE302" s="66"/>
      <c r="AF302" s="66"/>
      <c r="AG302" s="66"/>
      <c r="AH302" s="66"/>
      <c r="AI302" s="34"/>
      <c r="AJ302" s="88">
        <f t="shared" si="378"/>
        <v>0</v>
      </c>
      <c r="AK302" s="88">
        <f t="shared" si="379"/>
        <v>0</v>
      </c>
      <c r="AL302" s="88">
        <v>0</v>
      </c>
      <c r="AM302" s="88">
        <v>0</v>
      </c>
      <c r="AN302" s="81" t="str">
        <f t="shared" si="417"/>
        <v/>
      </c>
      <c r="AO302" s="88">
        <f t="shared" si="380"/>
        <v>0</v>
      </c>
      <c r="AP302" s="88">
        <f t="shared" si="381"/>
        <v>0</v>
      </c>
      <c r="AQ302" s="81" t="str">
        <f t="shared" si="382"/>
        <v/>
      </c>
      <c r="AS302" s="41" t="b">
        <f t="shared" si="383"/>
        <v>1</v>
      </c>
      <c r="AT302" s="38">
        <f t="shared" si="384"/>
        <v>0</v>
      </c>
      <c r="AU302" s="60">
        <f t="shared" si="385"/>
        <v>0</v>
      </c>
      <c r="AV302" s="41">
        <f t="shared" si="386"/>
        <v>0</v>
      </c>
      <c r="AW302" s="41" t="b">
        <f t="shared" si="387"/>
        <v>0</v>
      </c>
      <c r="AX302" t="str">
        <f t="shared" si="388"/>
        <v>+00</v>
      </c>
      <c r="AY302" t="str">
        <f t="shared" si="389"/>
        <v>+00</v>
      </c>
      <c r="BA302" s="47" t="b">
        <f t="shared" si="418"/>
        <v>1</v>
      </c>
      <c r="BB302" s="42" t="b">
        <f t="shared" si="419"/>
        <v>1</v>
      </c>
      <c r="BC302" s="42" t="b">
        <f t="shared" si="420"/>
        <v>0</v>
      </c>
      <c r="BD302" s="42" t="b">
        <f t="shared" si="421"/>
        <v>0</v>
      </c>
      <c r="BE302" s="70">
        <f t="shared" si="422"/>
        <v>0</v>
      </c>
      <c r="BF302" s="70">
        <f t="shared" si="423"/>
        <v>0</v>
      </c>
      <c r="BG302" s="34"/>
      <c r="BI302" s="47" t="b">
        <f t="shared" si="424"/>
        <v>1</v>
      </c>
      <c r="BJ302" s="47" t="b">
        <f t="shared" si="425"/>
        <v>1</v>
      </c>
      <c r="BK302" s="42" t="b">
        <f t="shared" si="426"/>
        <v>0</v>
      </c>
      <c r="BL302" s="42" t="b">
        <f t="shared" si="427"/>
        <v>0</v>
      </c>
      <c r="BM302" s="42">
        <f t="shared" si="428"/>
        <v>0</v>
      </c>
      <c r="BN302" s="42">
        <f t="shared" si="429"/>
        <v>0</v>
      </c>
      <c r="BP302" t="e">
        <f t="shared" si="430"/>
        <v>#N/A</v>
      </c>
      <c r="BQ302" t="e">
        <f t="shared" si="431"/>
        <v>#N/A</v>
      </c>
      <c r="BR302" t="e">
        <f t="shared" si="432"/>
        <v>#N/A</v>
      </c>
      <c r="BT302" s="60">
        <f t="shared" si="433"/>
        <v>0</v>
      </c>
      <c r="BU302" s="60">
        <f t="shared" si="434"/>
        <v>0</v>
      </c>
      <c r="BV302" s="60">
        <f t="shared" si="435"/>
        <v>0</v>
      </c>
      <c r="BW302" s="60">
        <f t="shared" si="436"/>
        <v>0</v>
      </c>
      <c r="BX302" s="60">
        <f t="shared" si="437"/>
        <v>0</v>
      </c>
      <c r="BY302" s="60">
        <f t="shared" si="438"/>
        <v>0</v>
      </c>
      <c r="BZ302" s="60">
        <f t="shared" si="439"/>
        <v>0</v>
      </c>
      <c r="CA302" s="60">
        <f t="shared" si="440"/>
        <v>0</v>
      </c>
      <c r="CB302" s="60" t="e">
        <f t="shared" si="390"/>
        <v>#N/A</v>
      </c>
      <c r="CC302" s="60">
        <f t="shared" si="391"/>
        <v>100000</v>
      </c>
      <c r="CD302" s="60" t="e">
        <f t="shared" si="392"/>
        <v>#N/A</v>
      </c>
      <c r="CE302" s="60">
        <f t="shared" si="393"/>
        <v>100000</v>
      </c>
      <c r="CF302" s="83" t="e">
        <f t="shared" si="441"/>
        <v>#N/A</v>
      </c>
      <c r="CG302" s="83">
        <f t="shared" si="442"/>
        <v>0</v>
      </c>
      <c r="CH302" s="83" t="e">
        <f t="shared" si="443"/>
        <v>#N/A</v>
      </c>
      <c r="CI302" s="83">
        <f t="shared" si="444"/>
        <v>0</v>
      </c>
      <c r="CJ302" s="86" t="e">
        <f t="shared" si="394"/>
        <v>#N/A</v>
      </c>
      <c r="CK302" s="82">
        <f t="shared" si="395"/>
        <v>5.3070370403969858E-3</v>
      </c>
      <c r="CL302" s="82" t="e">
        <f t="shared" si="396"/>
        <v>#N/A</v>
      </c>
      <c r="CM302" s="82">
        <f t="shared" si="397"/>
        <v>5.3070370403969858E-3</v>
      </c>
      <c r="CO302" s="149" t="str">
        <f>IF($I302&lt;&gt;"",IF(O302="User Specified",U302,INDEX('Refrigerant GWPs'!$G$2:$G$156,MATCH(O302,'Refrigerant GWPs'!$A$2:$A$156,0))),"")</f>
        <v/>
      </c>
      <c r="CP302" s="138" t="str">
        <f>IF($I302&lt;&gt;"",INDEX('Device Refrigerant Leakage'!$E$2:$E$42,MATCH($M302,'Device Refrigerant Leakage'!$B$2:$B$42,0)),"")</f>
        <v/>
      </c>
      <c r="CQ302" s="138" t="str">
        <f>IF($I302&lt;&gt;"",INDEX('Device Refrigerant Leakage'!$F$2:$F$42,MATCH($M302,'Device Refrigerant Leakage'!$B$2:$B$42,0)),"")</f>
        <v/>
      </c>
      <c r="CR302" s="145" t="str">
        <f>IF($I302&lt;&gt;"",INDEX('Device Refrigerant Leakage'!$G$2:$G$42,MATCH($M302,'Device Refrigerant Leakage'!$B$2:$B$42,0)),"")</f>
        <v/>
      </c>
      <c r="CS302" s="145" t="str">
        <f>IF($I302&lt;&gt;"",INDEX('Device Refrigerant Leakage'!$D$2:$D$42,MATCH($M302,'Device Refrigerant Leakage'!$B$2:$B$42,0))*CP302/2204.62*CO302,"")</f>
        <v/>
      </c>
      <c r="CT302" s="145" t="str">
        <f>IF($I302&lt;&gt;"",J302*(INDEX('Device Refrigerant Leakage'!$D$2:$D$42,MATCH($M302,'Device Refrigerant Leakage'!$B$2:$B$42,0))-(INDEX('Device Refrigerant Leakage'!$D$2:$D$42,MATCH($M302,'Device Refrigerant Leakage'!$B$2:$B$42,0)))*CR302*CP302)*CQ302/2204.62*CO302,"")</f>
        <v/>
      </c>
      <c r="CU302" s="135" t="str">
        <f>IF($I302&lt;&gt;"",J302*IF(W302&lt;&gt;"AR",(CS302*K302)+CT302,(CS302*AB302)+CT302*(AB302/INDEX('Device Refrigerant Leakage'!$C$2:$C$42,MATCH($M302,'Device Refrigerant Leakage'!$B$2:$B$42,0)))),"")</f>
        <v/>
      </c>
      <c r="CW302" s="135" t="str">
        <f>IF($I302&lt;&gt;"",IF(S302="User Specified",V302,INDEX('Refrigerant GWPs'!$G$2:$G$156,MATCH(S302,'Refrigerant GWPs'!$A$2:$A$157,0))),"")</f>
        <v/>
      </c>
      <c r="CX302" s="138" t="str">
        <f>IF($I302&lt;&gt;"",INDEX('Device Refrigerant Leakage'!$E$2:$E$42,MATCH($Q302,'Device Refrigerant Leakage'!$B$2:$B$42,0)),"")</f>
        <v/>
      </c>
      <c r="CY302" s="138" t="str">
        <f>IF($I302&lt;&gt;"",INDEX('Device Refrigerant Leakage'!$F$2:$F$42,MATCH($Q302,'Device Refrigerant Leakage'!$B$2:$B$42,0)),"")</f>
        <v/>
      </c>
      <c r="CZ302" s="145" t="str">
        <f>IF($I302&lt;&gt;"",INDEX('Device Refrigerant Leakage'!$G$2:$G$42,MATCH($Q302,'Device Refrigerant Leakage'!$B$2:$B$42,0)),"")</f>
        <v/>
      </c>
      <c r="DA302" s="145" t="str">
        <f>IF($I302&lt;&gt;"",J302*INDEX('Device Refrigerant Leakage'!$D$2:$D$42,MATCH($Q302,'Device Refrigerant Leakage'!$B$2:$B$42,0))*CX302/2204.62*CW302,"")</f>
        <v/>
      </c>
      <c r="DB302" s="145" t="str">
        <f>IF($I302&lt;&gt;"",J302*(INDEX('Device Refrigerant Leakage'!$D$2:$D$42,MATCH($Q302,'Device Refrigerant Leakage'!$B$2:$B$42,0))-(INDEX('Device Refrigerant Leakage'!$D$2:$D$42,MATCH($Q302,'Device Refrigerant Leakage'!$B$2:$B$42,0)))*CZ302*CX302)*CY302/2204.62*CW302,"")</f>
        <v/>
      </c>
      <c r="DC302" s="135" t="str">
        <f t="shared" si="416"/>
        <v/>
      </c>
      <c r="DE302" s="146" t="str">
        <f>IF(W302&lt;&gt;"AR","",IF(Y302="User Specified", AA302, INDEX('Refrigerant GWPs'!$G$2:$G$154,MATCH(Y302,'Refrigerant GWPs'!$A$2:$A$154,0))))</f>
        <v/>
      </c>
      <c r="DF302" s="146" t="str">
        <f>IF(W302&lt;&gt;"AR","",INDEX('Device Refrigerant Leakage'!$E$2:$E$42,MATCH(X302,'Device Refrigerant Leakage'!$B$2:$B$42,0)))</f>
        <v/>
      </c>
      <c r="DG302" s="146" t="str">
        <f>IF(W302&lt;&gt;"AR","",INDEX('Device Refrigerant Leakage'!$F$2:$F$42,MATCH(X302,'Device Refrigerant Leakage'!$B$2:$B$42,0)))</f>
        <v/>
      </c>
      <c r="DH302" s="146" t="str">
        <f>IF(W302&lt;&gt;"AR","",INDEX('Device Refrigerant Leakage'!$G$2:$G$42,MATCH(X302,'Device Refrigerant Leakage'!$B$2:$B$42,0)))</f>
        <v/>
      </c>
      <c r="DI302" s="146" t="str">
        <f>IF(W302&lt;&gt;"AR","",J302*INDEX('Device Refrigerant Leakage'!$D$2:$D$42,MATCH(X302,'Device Refrigerant Leakage'!$B$2:$B$42,0))*DF302/2204.62*DE302)</f>
        <v/>
      </c>
      <c r="DJ302" s="146" t="str">
        <f>IF(W302&lt;&gt;"AR","",J302*(INDEX('Device Refrigerant Leakage'!$D$2:$D$42,MATCH(X302,'Device Refrigerant Leakage'!$B$2:$B$42,0))-(INDEX('Device Refrigerant Leakage'!$D$2:$D$42,MATCH(X302,'Device Refrigerant Leakage'!$B$2:$B$42,0)))*DH302*DF302)*DG302/2204.62*DE302)</f>
        <v/>
      </c>
      <c r="DK302" s="146" t="str">
        <f>IF(W302&lt;&gt;"AR","",DI302*(K302-AB302)+'Fuel Sub Calcs-Deemed'!DJ302*((K302-AB302)/INDEX('Device Refrigerant Leakage'!$C$2:$C$42,MATCH('Fuel Sub Calcs-Deemed'!X302,'Device Refrigerant Leakage'!$B$2:$B$42,0))))</f>
        <v/>
      </c>
      <c r="DM302" s="56">
        <v>288</v>
      </c>
      <c r="DN302" s="67" t="e">
        <f t="shared" si="398"/>
        <v>#N/A</v>
      </c>
      <c r="DO302" s="45" t="e">
        <f t="shared" si="399"/>
        <v>#N/A</v>
      </c>
      <c r="DP302" s="67" t="e">
        <f t="shared" si="400"/>
        <v>#N/A</v>
      </c>
      <c r="DQ302" s="45" t="e">
        <f t="shared" si="401"/>
        <v>#N/A</v>
      </c>
      <c r="DR302" s="69" t="e">
        <f t="shared" si="402"/>
        <v>#N/A</v>
      </c>
      <c r="DS302" s="34"/>
      <c r="DT302" s="67" t="e">
        <f>((BX302*CJ302)+IF($W302=MAT_AR,(BZ302*CL302),0))*(1+Reference!$E$50+Reference!$E$51)</f>
        <v>#N/A</v>
      </c>
      <c r="DU302" s="67">
        <f>((BY302*CK302)+IF($W302=MAT_AR,(CA302*CM302),0))*(1+Reference!$G$50+Reference!$G$51)</f>
        <v>0</v>
      </c>
      <c r="DV302" s="67" t="e">
        <f t="shared" si="403"/>
        <v>#VALUE!</v>
      </c>
      <c r="DX302" s="56">
        <v>288</v>
      </c>
      <c r="DY302" s="67">
        <f t="shared" si="404"/>
        <v>0</v>
      </c>
      <c r="DZ302" s="45" t="e">
        <f>VLOOKUP($R302,Dropdown!$C$3:$D$4,2,FALSE)</f>
        <v>#N/A</v>
      </c>
      <c r="EA302" s="68">
        <f t="shared" si="405"/>
        <v>0</v>
      </c>
      <c r="EB302" s="68" t="str">
        <f t="shared" si="406"/>
        <v>N/A</v>
      </c>
      <c r="EC302" s="68">
        <f t="shared" si="407"/>
        <v>0</v>
      </c>
      <c r="ED302" s="68" t="str">
        <f t="shared" si="445"/>
        <v>N/A</v>
      </c>
      <c r="EF302" s="56">
        <v>288</v>
      </c>
      <c r="EG302" s="46">
        <f t="shared" si="408"/>
        <v>0</v>
      </c>
      <c r="EH302" s="68" t="e">
        <f t="shared" si="409"/>
        <v>#N/A</v>
      </c>
      <c r="EI302" s="68" t="e">
        <f t="shared" si="410"/>
        <v>#N/A</v>
      </c>
      <c r="EJ302" s="68" t="e">
        <f t="shared" si="411"/>
        <v>#N/A</v>
      </c>
      <c r="EK302" s="68" t="e">
        <f t="shared" si="412"/>
        <v>#N/A</v>
      </c>
      <c r="EL302" s="46">
        <f t="shared" si="413"/>
        <v>0</v>
      </c>
      <c r="EM302" s="46">
        <f t="shared" si="414"/>
        <v>0</v>
      </c>
    </row>
    <row r="303" spans="1:143">
      <c r="A303" s="89"/>
      <c r="B303" s="89"/>
      <c r="C303" s="89"/>
      <c r="D303" s="89"/>
      <c r="E303" s="89"/>
      <c r="F303" s="89"/>
      <c r="G303" s="34"/>
      <c r="H303" s="56">
        <f t="shared" si="415"/>
        <v>289</v>
      </c>
      <c r="I303" s="165"/>
      <c r="J303" s="163"/>
      <c r="K303" s="163"/>
      <c r="L303" s="164"/>
      <c r="M303" s="155"/>
      <c r="N303" s="155"/>
      <c r="O303" s="144"/>
      <c r="P303" s="159" t="str">
        <f>IFERROR(IF(O303&lt;&gt;"User Specified",IF(O303&lt;&gt;"", INDEX('Refrigerant GWPs'!$G$2:$G$154,MATCH(O303,'Refrigerant GWPs'!$A$2:$A$154,0)),""),U303),0)</f>
        <v/>
      </c>
      <c r="Q303" s="155"/>
      <c r="R303" s="155"/>
      <c r="S303" s="144"/>
      <c r="T303" s="159" t="str">
        <f>IF(S303&lt;&gt;"User Specified",IF(AND(S303&lt;&gt;"User Specified",S303&lt;&gt;""), INDEX('Refrigerant GWPs'!$G$2:$G$154,MATCH(S303,'Refrigerant GWPs'!$A$2:$A$154,0)),""),V303)</f>
        <v/>
      </c>
      <c r="U303" s="144"/>
      <c r="V303" s="144"/>
      <c r="W303" s="155"/>
      <c r="X303" s="155"/>
      <c r="Y303" s="144"/>
      <c r="Z303" s="159" t="str">
        <f>IF(AND(Y303&lt;&gt;"User Specified",Y303&lt;&gt;""), INDEX('Refrigerant GWPs'!$G$2:$G$154,MATCH(Y303,'Refrigerant GWPs'!$A$2:$A$154,0)),"")</f>
        <v/>
      </c>
      <c r="AA303" s="155"/>
      <c r="AB303" s="156"/>
      <c r="AC303" s="66"/>
      <c r="AD303" s="66"/>
      <c r="AE303" s="66"/>
      <c r="AF303" s="66"/>
      <c r="AG303" s="66"/>
      <c r="AH303" s="66"/>
      <c r="AI303" s="34"/>
      <c r="AJ303" s="88">
        <f t="shared" si="378"/>
        <v>0</v>
      </c>
      <c r="AK303" s="88">
        <f t="shared" si="379"/>
        <v>0</v>
      </c>
      <c r="AL303" s="88">
        <v>0</v>
      </c>
      <c r="AM303" s="88">
        <v>0</v>
      </c>
      <c r="AN303" s="81" t="str">
        <f t="shared" si="417"/>
        <v/>
      </c>
      <c r="AO303" s="88">
        <f t="shared" si="380"/>
        <v>0</v>
      </c>
      <c r="AP303" s="88">
        <f t="shared" si="381"/>
        <v>0</v>
      </c>
      <c r="AQ303" s="81" t="str">
        <f t="shared" si="382"/>
        <v/>
      </c>
      <c r="AS303" s="41" t="b">
        <f t="shared" si="383"/>
        <v>1</v>
      </c>
      <c r="AT303" s="38">
        <f t="shared" si="384"/>
        <v>0</v>
      </c>
      <c r="AU303" s="60">
        <f t="shared" si="385"/>
        <v>0</v>
      </c>
      <c r="AV303" s="41">
        <f t="shared" si="386"/>
        <v>0</v>
      </c>
      <c r="AW303" s="41" t="b">
        <f t="shared" si="387"/>
        <v>0</v>
      </c>
      <c r="AX303" t="str">
        <f t="shared" si="388"/>
        <v>+00</v>
      </c>
      <c r="AY303" t="str">
        <f t="shared" si="389"/>
        <v>+00</v>
      </c>
      <c r="BA303" s="47" t="b">
        <f t="shared" si="418"/>
        <v>1</v>
      </c>
      <c r="BB303" s="42" t="b">
        <f t="shared" si="419"/>
        <v>1</v>
      </c>
      <c r="BC303" s="42" t="b">
        <f t="shared" si="420"/>
        <v>0</v>
      </c>
      <c r="BD303" s="42" t="b">
        <f t="shared" si="421"/>
        <v>0</v>
      </c>
      <c r="BE303" s="70">
        <f t="shared" si="422"/>
        <v>0</v>
      </c>
      <c r="BF303" s="70">
        <f t="shared" si="423"/>
        <v>0</v>
      </c>
      <c r="BG303" s="34"/>
      <c r="BI303" s="47" t="b">
        <f t="shared" si="424"/>
        <v>1</v>
      </c>
      <c r="BJ303" s="47" t="b">
        <f t="shared" si="425"/>
        <v>1</v>
      </c>
      <c r="BK303" s="42" t="b">
        <f t="shared" si="426"/>
        <v>0</v>
      </c>
      <c r="BL303" s="42" t="b">
        <f t="shared" si="427"/>
        <v>0</v>
      </c>
      <c r="BM303" s="42">
        <f t="shared" si="428"/>
        <v>0</v>
      </c>
      <c r="BN303" s="42">
        <f t="shared" si="429"/>
        <v>0</v>
      </c>
      <c r="BP303" t="e">
        <f t="shared" si="430"/>
        <v>#N/A</v>
      </c>
      <c r="BQ303" t="e">
        <f t="shared" si="431"/>
        <v>#N/A</v>
      </c>
      <c r="BR303" t="e">
        <f t="shared" si="432"/>
        <v>#N/A</v>
      </c>
      <c r="BT303" s="60">
        <f t="shared" si="433"/>
        <v>0</v>
      </c>
      <c r="BU303" s="60">
        <f t="shared" si="434"/>
        <v>0</v>
      </c>
      <c r="BV303" s="60">
        <f t="shared" si="435"/>
        <v>0</v>
      </c>
      <c r="BW303" s="60">
        <f t="shared" si="436"/>
        <v>0</v>
      </c>
      <c r="BX303" s="60">
        <f t="shared" si="437"/>
        <v>0</v>
      </c>
      <c r="BY303" s="60">
        <f t="shared" si="438"/>
        <v>0</v>
      </c>
      <c r="BZ303" s="60">
        <f t="shared" si="439"/>
        <v>0</v>
      </c>
      <c r="CA303" s="60">
        <f t="shared" si="440"/>
        <v>0</v>
      </c>
      <c r="CB303" s="60" t="e">
        <f t="shared" si="390"/>
        <v>#N/A</v>
      </c>
      <c r="CC303" s="60">
        <f t="shared" si="391"/>
        <v>100000</v>
      </c>
      <c r="CD303" s="60" t="e">
        <f t="shared" si="392"/>
        <v>#N/A</v>
      </c>
      <c r="CE303" s="60">
        <f t="shared" si="393"/>
        <v>100000</v>
      </c>
      <c r="CF303" s="83" t="e">
        <f t="shared" si="441"/>
        <v>#N/A</v>
      </c>
      <c r="CG303" s="83">
        <f t="shared" si="442"/>
        <v>0</v>
      </c>
      <c r="CH303" s="83" t="e">
        <f t="shared" si="443"/>
        <v>#N/A</v>
      </c>
      <c r="CI303" s="83">
        <f t="shared" si="444"/>
        <v>0</v>
      </c>
      <c r="CJ303" s="86" t="e">
        <f t="shared" si="394"/>
        <v>#N/A</v>
      </c>
      <c r="CK303" s="82">
        <f t="shared" si="395"/>
        <v>5.3070370403969858E-3</v>
      </c>
      <c r="CL303" s="82" t="e">
        <f t="shared" si="396"/>
        <v>#N/A</v>
      </c>
      <c r="CM303" s="82">
        <f t="shared" si="397"/>
        <v>5.3070370403969858E-3</v>
      </c>
      <c r="CO303" s="149" t="str">
        <f>IF($I303&lt;&gt;"",IF(O303="User Specified",U303,INDEX('Refrigerant GWPs'!$G$2:$G$156,MATCH(O303,'Refrigerant GWPs'!$A$2:$A$156,0))),"")</f>
        <v/>
      </c>
      <c r="CP303" s="138" t="str">
        <f>IF($I303&lt;&gt;"",INDEX('Device Refrigerant Leakage'!$E$2:$E$42,MATCH($M303,'Device Refrigerant Leakage'!$B$2:$B$42,0)),"")</f>
        <v/>
      </c>
      <c r="CQ303" s="138" t="str">
        <f>IF($I303&lt;&gt;"",INDEX('Device Refrigerant Leakage'!$F$2:$F$42,MATCH($M303,'Device Refrigerant Leakage'!$B$2:$B$42,0)),"")</f>
        <v/>
      </c>
      <c r="CR303" s="145" t="str">
        <f>IF($I303&lt;&gt;"",INDEX('Device Refrigerant Leakage'!$G$2:$G$42,MATCH($M303,'Device Refrigerant Leakage'!$B$2:$B$42,0)),"")</f>
        <v/>
      </c>
      <c r="CS303" s="145" t="str">
        <f>IF($I303&lt;&gt;"",INDEX('Device Refrigerant Leakage'!$D$2:$D$42,MATCH($M303,'Device Refrigerant Leakage'!$B$2:$B$42,0))*CP303/2204.62*CO303,"")</f>
        <v/>
      </c>
      <c r="CT303" s="145" t="str">
        <f>IF($I303&lt;&gt;"",J303*(INDEX('Device Refrigerant Leakage'!$D$2:$D$42,MATCH($M303,'Device Refrigerant Leakage'!$B$2:$B$42,0))-(INDEX('Device Refrigerant Leakage'!$D$2:$D$42,MATCH($M303,'Device Refrigerant Leakage'!$B$2:$B$42,0)))*CR303*CP303)*CQ303/2204.62*CO303,"")</f>
        <v/>
      </c>
      <c r="CU303" s="135" t="str">
        <f>IF($I303&lt;&gt;"",J303*IF(W303&lt;&gt;"AR",(CS303*K303)+CT303,(CS303*AB303)+CT303*(AB303/INDEX('Device Refrigerant Leakage'!$C$2:$C$42,MATCH($M303,'Device Refrigerant Leakage'!$B$2:$B$42,0)))),"")</f>
        <v/>
      </c>
      <c r="CW303" s="135" t="str">
        <f>IF($I303&lt;&gt;"",IF(S303="User Specified",V303,INDEX('Refrigerant GWPs'!$G$2:$G$156,MATCH(S303,'Refrigerant GWPs'!$A$2:$A$157,0))),"")</f>
        <v/>
      </c>
      <c r="CX303" s="138" t="str">
        <f>IF($I303&lt;&gt;"",INDEX('Device Refrigerant Leakage'!$E$2:$E$42,MATCH($Q303,'Device Refrigerant Leakage'!$B$2:$B$42,0)),"")</f>
        <v/>
      </c>
      <c r="CY303" s="138" t="str">
        <f>IF($I303&lt;&gt;"",INDEX('Device Refrigerant Leakage'!$F$2:$F$42,MATCH($Q303,'Device Refrigerant Leakage'!$B$2:$B$42,0)),"")</f>
        <v/>
      </c>
      <c r="CZ303" s="145" t="str">
        <f>IF($I303&lt;&gt;"",INDEX('Device Refrigerant Leakage'!$G$2:$G$42,MATCH($Q303,'Device Refrigerant Leakage'!$B$2:$B$42,0)),"")</f>
        <v/>
      </c>
      <c r="DA303" s="145" t="str">
        <f>IF($I303&lt;&gt;"",J303*INDEX('Device Refrigerant Leakage'!$D$2:$D$42,MATCH($Q303,'Device Refrigerant Leakage'!$B$2:$B$42,0))*CX303/2204.62*CW303,"")</f>
        <v/>
      </c>
      <c r="DB303" s="145" t="str">
        <f>IF($I303&lt;&gt;"",J303*(INDEX('Device Refrigerant Leakage'!$D$2:$D$42,MATCH($Q303,'Device Refrigerant Leakage'!$B$2:$B$42,0))-(INDEX('Device Refrigerant Leakage'!$D$2:$D$42,MATCH($Q303,'Device Refrigerant Leakage'!$B$2:$B$42,0)))*CZ303*CX303)*CY303/2204.62*CW303,"")</f>
        <v/>
      </c>
      <c r="DC303" s="135" t="str">
        <f t="shared" si="416"/>
        <v/>
      </c>
      <c r="DE303" s="146" t="str">
        <f>IF(W303&lt;&gt;"AR","",IF(Y303="User Specified", AA303, INDEX('Refrigerant GWPs'!$G$2:$G$154,MATCH(Y303,'Refrigerant GWPs'!$A$2:$A$154,0))))</f>
        <v/>
      </c>
      <c r="DF303" s="146" t="str">
        <f>IF(W303&lt;&gt;"AR","",INDEX('Device Refrigerant Leakage'!$E$2:$E$42,MATCH(X303,'Device Refrigerant Leakage'!$B$2:$B$42,0)))</f>
        <v/>
      </c>
      <c r="DG303" s="146" t="str">
        <f>IF(W303&lt;&gt;"AR","",INDEX('Device Refrigerant Leakage'!$F$2:$F$42,MATCH(X303,'Device Refrigerant Leakage'!$B$2:$B$42,0)))</f>
        <v/>
      </c>
      <c r="DH303" s="146" t="str">
        <f>IF(W303&lt;&gt;"AR","",INDEX('Device Refrigerant Leakage'!$G$2:$G$42,MATCH(X303,'Device Refrigerant Leakage'!$B$2:$B$42,0)))</f>
        <v/>
      </c>
      <c r="DI303" s="146" t="str">
        <f>IF(W303&lt;&gt;"AR","",J303*INDEX('Device Refrigerant Leakage'!$D$2:$D$42,MATCH(X303,'Device Refrigerant Leakage'!$B$2:$B$42,0))*DF303/2204.62*DE303)</f>
        <v/>
      </c>
      <c r="DJ303" s="146" t="str">
        <f>IF(W303&lt;&gt;"AR","",J303*(INDEX('Device Refrigerant Leakage'!$D$2:$D$42,MATCH(X303,'Device Refrigerant Leakage'!$B$2:$B$42,0))-(INDEX('Device Refrigerant Leakage'!$D$2:$D$42,MATCH(X303,'Device Refrigerant Leakage'!$B$2:$B$42,0)))*DH303*DF303)*DG303/2204.62*DE303)</f>
        <v/>
      </c>
      <c r="DK303" s="146" t="str">
        <f>IF(W303&lt;&gt;"AR","",DI303*(K303-AB303)+'Fuel Sub Calcs-Deemed'!DJ303*((K303-AB303)/INDEX('Device Refrigerant Leakage'!$C$2:$C$42,MATCH('Fuel Sub Calcs-Deemed'!X303,'Device Refrigerant Leakage'!$B$2:$B$42,0))))</f>
        <v/>
      </c>
      <c r="DM303" s="56">
        <v>289</v>
      </c>
      <c r="DN303" s="67" t="e">
        <f t="shared" si="398"/>
        <v>#N/A</v>
      </c>
      <c r="DO303" s="45" t="e">
        <f t="shared" si="399"/>
        <v>#N/A</v>
      </c>
      <c r="DP303" s="67" t="e">
        <f t="shared" si="400"/>
        <v>#N/A</v>
      </c>
      <c r="DQ303" s="45" t="e">
        <f t="shared" si="401"/>
        <v>#N/A</v>
      </c>
      <c r="DR303" s="69" t="e">
        <f t="shared" si="402"/>
        <v>#N/A</v>
      </c>
      <c r="DS303" s="34"/>
      <c r="DT303" s="67" t="e">
        <f>((BX303*CJ303)+IF($W303=MAT_AR,(BZ303*CL303),0))*(1+Reference!$E$50+Reference!$E$51)</f>
        <v>#N/A</v>
      </c>
      <c r="DU303" s="67">
        <f>((BY303*CK303)+IF($W303=MAT_AR,(CA303*CM303),0))*(1+Reference!$G$50+Reference!$G$51)</f>
        <v>0</v>
      </c>
      <c r="DV303" s="67" t="e">
        <f t="shared" si="403"/>
        <v>#VALUE!</v>
      </c>
      <c r="DX303" s="56">
        <v>289</v>
      </c>
      <c r="DY303" s="67">
        <f t="shared" si="404"/>
        <v>0</v>
      </c>
      <c r="DZ303" s="45" t="e">
        <f>VLOOKUP($R303,Dropdown!$C$3:$D$4,2,FALSE)</f>
        <v>#N/A</v>
      </c>
      <c r="EA303" s="68">
        <f t="shared" si="405"/>
        <v>0</v>
      </c>
      <c r="EB303" s="68" t="str">
        <f t="shared" si="406"/>
        <v>N/A</v>
      </c>
      <c r="EC303" s="68">
        <f t="shared" si="407"/>
        <v>0</v>
      </c>
      <c r="ED303" s="68" t="str">
        <f t="shared" si="445"/>
        <v>N/A</v>
      </c>
      <c r="EF303" s="56">
        <v>289</v>
      </c>
      <c r="EG303" s="46">
        <f t="shared" si="408"/>
        <v>0</v>
      </c>
      <c r="EH303" s="68" t="e">
        <f t="shared" si="409"/>
        <v>#N/A</v>
      </c>
      <c r="EI303" s="68" t="e">
        <f t="shared" si="410"/>
        <v>#N/A</v>
      </c>
      <c r="EJ303" s="68" t="e">
        <f t="shared" si="411"/>
        <v>#N/A</v>
      </c>
      <c r="EK303" s="68" t="e">
        <f t="shared" si="412"/>
        <v>#N/A</v>
      </c>
      <c r="EL303" s="46">
        <f t="shared" si="413"/>
        <v>0</v>
      </c>
      <c r="EM303" s="46">
        <f t="shared" si="414"/>
        <v>0</v>
      </c>
    </row>
    <row r="304" spans="1:143">
      <c r="A304" s="89"/>
      <c r="B304" s="89"/>
      <c r="C304" s="89"/>
      <c r="D304" s="89"/>
      <c r="E304" s="89"/>
      <c r="F304" s="89"/>
      <c r="G304" s="34"/>
      <c r="H304" s="56">
        <f t="shared" si="415"/>
        <v>290</v>
      </c>
      <c r="I304" s="165"/>
      <c r="J304" s="163"/>
      <c r="K304" s="163"/>
      <c r="L304" s="164"/>
      <c r="M304" s="155"/>
      <c r="N304" s="155"/>
      <c r="O304" s="144"/>
      <c r="P304" s="159" t="str">
        <f>IFERROR(IF(O304&lt;&gt;"User Specified",IF(O304&lt;&gt;"", INDEX('Refrigerant GWPs'!$G$2:$G$154,MATCH(O304,'Refrigerant GWPs'!$A$2:$A$154,0)),""),U304),0)</f>
        <v/>
      </c>
      <c r="Q304" s="155"/>
      <c r="R304" s="155"/>
      <c r="S304" s="144"/>
      <c r="T304" s="159" t="str">
        <f>IF(S304&lt;&gt;"User Specified",IF(AND(S304&lt;&gt;"User Specified",S304&lt;&gt;""), INDEX('Refrigerant GWPs'!$G$2:$G$154,MATCH(S304,'Refrigerant GWPs'!$A$2:$A$154,0)),""),V304)</f>
        <v/>
      </c>
      <c r="U304" s="144"/>
      <c r="V304" s="144"/>
      <c r="W304" s="155"/>
      <c r="X304" s="155"/>
      <c r="Y304" s="144"/>
      <c r="Z304" s="159" t="str">
        <f>IF(AND(Y304&lt;&gt;"User Specified",Y304&lt;&gt;""), INDEX('Refrigerant GWPs'!$G$2:$G$154,MATCH(Y304,'Refrigerant GWPs'!$A$2:$A$154,0)),"")</f>
        <v/>
      </c>
      <c r="AA304" s="155"/>
      <c r="AB304" s="156"/>
      <c r="AC304" s="66"/>
      <c r="AD304" s="66"/>
      <c r="AE304" s="66"/>
      <c r="AF304" s="66"/>
      <c r="AG304" s="66"/>
      <c r="AH304" s="66"/>
      <c r="AI304" s="34"/>
      <c r="AJ304" s="88">
        <f t="shared" si="378"/>
        <v>0</v>
      </c>
      <c r="AK304" s="88">
        <f t="shared" si="379"/>
        <v>0</v>
      </c>
      <c r="AL304" s="88">
        <v>0</v>
      </c>
      <c r="AM304" s="88">
        <v>0</v>
      </c>
      <c r="AN304" s="81" t="str">
        <f t="shared" si="417"/>
        <v/>
      </c>
      <c r="AO304" s="88">
        <f t="shared" si="380"/>
        <v>0</v>
      </c>
      <c r="AP304" s="88">
        <f t="shared" si="381"/>
        <v>0</v>
      </c>
      <c r="AQ304" s="81" t="str">
        <f t="shared" si="382"/>
        <v/>
      </c>
      <c r="AS304" s="41" t="b">
        <f t="shared" si="383"/>
        <v>1</v>
      </c>
      <c r="AT304" s="38">
        <f t="shared" si="384"/>
        <v>0</v>
      </c>
      <c r="AU304" s="60">
        <f t="shared" si="385"/>
        <v>0</v>
      </c>
      <c r="AV304" s="41">
        <f t="shared" si="386"/>
        <v>0</v>
      </c>
      <c r="AW304" s="41" t="b">
        <f t="shared" si="387"/>
        <v>0</v>
      </c>
      <c r="AX304" t="str">
        <f t="shared" si="388"/>
        <v>+00</v>
      </c>
      <c r="AY304" t="str">
        <f t="shared" si="389"/>
        <v>+00</v>
      </c>
      <c r="BA304" s="47" t="b">
        <f t="shared" si="418"/>
        <v>1</v>
      </c>
      <c r="BB304" s="42" t="b">
        <f t="shared" si="419"/>
        <v>1</v>
      </c>
      <c r="BC304" s="42" t="b">
        <f t="shared" si="420"/>
        <v>0</v>
      </c>
      <c r="BD304" s="42" t="b">
        <f t="shared" si="421"/>
        <v>0</v>
      </c>
      <c r="BE304" s="70">
        <f t="shared" si="422"/>
        <v>0</v>
      </c>
      <c r="BF304" s="70">
        <f t="shared" si="423"/>
        <v>0</v>
      </c>
      <c r="BG304" s="34"/>
      <c r="BI304" s="47" t="b">
        <f t="shared" si="424"/>
        <v>1</v>
      </c>
      <c r="BJ304" s="47" t="b">
        <f t="shared" si="425"/>
        <v>1</v>
      </c>
      <c r="BK304" s="42" t="b">
        <f t="shared" si="426"/>
        <v>0</v>
      </c>
      <c r="BL304" s="42" t="b">
        <f t="shared" si="427"/>
        <v>0</v>
      </c>
      <c r="BM304" s="42">
        <f t="shared" si="428"/>
        <v>0</v>
      </c>
      <c r="BN304" s="42">
        <f t="shared" si="429"/>
        <v>0</v>
      </c>
      <c r="BP304" t="e">
        <f t="shared" si="430"/>
        <v>#N/A</v>
      </c>
      <c r="BQ304" t="e">
        <f t="shared" si="431"/>
        <v>#N/A</v>
      </c>
      <c r="BR304" t="e">
        <f t="shared" si="432"/>
        <v>#N/A</v>
      </c>
      <c r="BT304" s="60">
        <f t="shared" si="433"/>
        <v>0</v>
      </c>
      <c r="BU304" s="60">
        <f t="shared" si="434"/>
        <v>0</v>
      </c>
      <c r="BV304" s="60">
        <f t="shared" si="435"/>
        <v>0</v>
      </c>
      <c r="BW304" s="60">
        <f t="shared" si="436"/>
        <v>0</v>
      </c>
      <c r="BX304" s="60">
        <f t="shared" si="437"/>
        <v>0</v>
      </c>
      <c r="BY304" s="60">
        <f t="shared" si="438"/>
        <v>0</v>
      </c>
      <c r="BZ304" s="60">
        <f t="shared" si="439"/>
        <v>0</v>
      </c>
      <c r="CA304" s="60">
        <f t="shared" si="440"/>
        <v>0</v>
      </c>
      <c r="CB304" s="60" t="e">
        <f t="shared" si="390"/>
        <v>#N/A</v>
      </c>
      <c r="CC304" s="60">
        <f t="shared" si="391"/>
        <v>100000</v>
      </c>
      <c r="CD304" s="60" t="e">
        <f t="shared" si="392"/>
        <v>#N/A</v>
      </c>
      <c r="CE304" s="60">
        <f t="shared" si="393"/>
        <v>100000</v>
      </c>
      <c r="CF304" s="83" t="e">
        <f t="shared" si="441"/>
        <v>#N/A</v>
      </c>
      <c r="CG304" s="83">
        <f t="shared" si="442"/>
        <v>0</v>
      </c>
      <c r="CH304" s="83" t="e">
        <f t="shared" si="443"/>
        <v>#N/A</v>
      </c>
      <c r="CI304" s="83">
        <f t="shared" si="444"/>
        <v>0</v>
      </c>
      <c r="CJ304" s="86" t="e">
        <f t="shared" si="394"/>
        <v>#N/A</v>
      </c>
      <c r="CK304" s="82">
        <f t="shared" si="395"/>
        <v>5.3070370403969858E-3</v>
      </c>
      <c r="CL304" s="82" t="e">
        <f t="shared" si="396"/>
        <v>#N/A</v>
      </c>
      <c r="CM304" s="82">
        <f t="shared" si="397"/>
        <v>5.3070370403969858E-3</v>
      </c>
      <c r="CO304" s="149" t="str">
        <f>IF($I304&lt;&gt;"",IF(O304="User Specified",U304,INDEX('Refrigerant GWPs'!$G$2:$G$156,MATCH(O304,'Refrigerant GWPs'!$A$2:$A$156,0))),"")</f>
        <v/>
      </c>
      <c r="CP304" s="138" t="str">
        <f>IF($I304&lt;&gt;"",INDEX('Device Refrigerant Leakage'!$E$2:$E$42,MATCH($M304,'Device Refrigerant Leakage'!$B$2:$B$42,0)),"")</f>
        <v/>
      </c>
      <c r="CQ304" s="138" t="str">
        <f>IF($I304&lt;&gt;"",INDEX('Device Refrigerant Leakage'!$F$2:$F$42,MATCH($M304,'Device Refrigerant Leakage'!$B$2:$B$42,0)),"")</f>
        <v/>
      </c>
      <c r="CR304" s="145" t="str">
        <f>IF($I304&lt;&gt;"",INDEX('Device Refrigerant Leakage'!$G$2:$G$42,MATCH($M304,'Device Refrigerant Leakage'!$B$2:$B$42,0)),"")</f>
        <v/>
      </c>
      <c r="CS304" s="145" t="str">
        <f>IF($I304&lt;&gt;"",INDEX('Device Refrigerant Leakage'!$D$2:$D$42,MATCH($M304,'Device Refrigerant Leakage'!$B$2:$B$42,0))*CP304/2204.62*CO304,"")</f>
        <v/>
      </c>
      <c r="CT304" s="145" t="str">
        <f>IF($I304&lt;&gt;"",J304*(INDEX('Device Refrigerant Leakage'!$D$2:$D$42,MATCH($M304,'Device Refrigerant Leakage'!$B$2:$B$42,0))-(INDEX('Device Refrigerant Leakage'!$D$2:$D$42,MATCH($M304,'Device Refrigerant Leakage'!$B$2:$B$42,0)))*CR304*CP304)*CQ304/2204.62*CO304,"")</f>
        <v/>
      </c>
      <c r="CU304" s="135" t="str">
        <f>IF($I304&lt;&gt;"",J304*IF(W304&lt;&gt;"AR",(CS304*K304)+CT304,(CS304*AB304)+CT304*(AB304/INDEX('Device Refrigerant Leakage'!$C$2:$C$42,MATCH($M304,'Device Refrigerant Leakage'!$B$2:$B$42,0)))),"")</f>
        <v/>
      </c>
      <c r="CW304" s="135" t="str">
        <f>IF($I304&lt;&gt;"",IF(S304="User Specified",V304,INDEX('Refrigerant GWPs'!$G$2:$G$156,MATCH(S304,'Refrigerant GWPs'!$A$2:$A$157,0))),"")</f>
        <v/>
      </c>
      <c r="CX304" s="138" t="str">
        <f>IF($I304&lt;&gt;"",INDEX('Device Refrigerant Leakage'!$E$2:$E$42,MATCH($Q304,'Device Refrigerant Leakage'!$B$2:$B$42,0)),"")</f>
        <v/>
      </c>
      <c r="CY304" s="138" t="str">
        <f>IF($I304&lt;&gt;"",INDEX('Device Refrigerant Leakage'!$F$2:$F$42,MATCH($Q304,'Device Refrigerant Leakage'!$B$2:$B$42,0)),"")</f>
        <v/>
      </c>
      <c r="CZ304" s="145" t="str">
        <f>IF($I304&lt;&gt;"",INDEX('Device Refrigerant Leakage'!$G$2:$G$42,MATCH($Q304,'Device Refrigerant Leakage'!$B$2:$B$42,0)),"")</f>
        <v/>
      </c>
      <c r="DA304" s="145" t="str">
        <f>IF($I304&lt;&gt;"",J304*INDEX('Device Refrigerant Leakage'!$D$2:$D$42,MATCH($Q304,'Device Refrigerant Leakage'!$B$2:$B$42,0))*CX304/2204.62*CW304,"")</f>
        <v/>
      </c>
      <c r="DB304" s="145" t="str">
        <f>IF($I304&lt;&gt;"",J304*(INDEX('Device Refrigerant Leakage'!$D$2:$D$42,MATCH($Q304,'Device Refrigerant Leakage'!$B$2:$B$42,0))-(INDEX('Device Refrigerant Leakage'!$D$2:$D$42,MATCH($Q304,'Device Refrigerant Leakage'!$B$2:$B$42,0)))*CZ304*CX304)*CY304/2204.62*CW304,"")</f>
        <v/>
      </c>
      <c r="DC304" s="135" t="str">
        <f t="shared" si="416"/>
        <v/>
      </c>
      <c r="DE304" s="146" t="str">
        <f>IF(W304&lt;&gt;"AR","",IF(Y304="User Specified", AA304, INDEX('Refrigerant GWPs'!$G$2:$G$154,MATCH(Y304,'Refrigerant GWPs'!$A$2:$A$154,0))))</f>
        <v/>
      </c>
      <c r="DF304" s="146" t="str">
        <f>IF(W304&lt;&gt;"AR","",INDEX('Device Refrigerant Leakage'!$E$2:$E$42,MATCH(X304,'Device Refrigerant Leakage'!$B$2:$B$42,0)))</f>
        <v/>
      </c>
      <c r="DG304" s="146" t="str">
        <f>IF(W304&lt;&gt;"AR","",INDEX('Device Refrigerant Leakage'!$F$2:$F$42,MATCH(X304,'Device Refrigerant Leakage'!$B$2:$B$42,0)))</f>
        <v/>
      </c>
      <c r="DH304" s="146" t="str">
        <f>IF(W304&lt;&gt;"AR","",INDEX('Device Refrigerant Leakage'!$G$2:$G$42,MATCH(X304,'Device Refrigerant Leakage'!$B$2:$B$42,0)))</f>
        <v/>
      </c>
      <c r="DI304" s="146" t="str">
        <f>IF(W304&lt;&gt;"AR","",J304*INDEX('Device Refrigerant Leakage'!$D$2:$D$42,MATCH(X304,'Device Refrigerant Leakage'!$B$2:$B$42,0))*DF304/2204.62*DE304)</f>
        <v/>
      </c>
      <c r="DJ304" s="146" t="str">
        <f>IF(W304&lt;&gt;"AR","",J304*(INDEX('Device Refrigerant Leakage'!$D$2:$D$42,MATCH(X304,'Device Refrigerant Leakage'!$B$2:$B$42,0))-(INDEX('Device Refrigerant Leakage'!$D$2:$D$42,MATCH(X304,'Device Refrigerant Leakage'!$B$2:$B$42,0)))*DH304*DF304)*DG304/2204.62*DE304)</f>
        <v/>
      </c>
      <c r="DK304" s="146" t="str">
        <f>IF(W304&lt;&gt;"AR","",DI304*(K304-AB304)+'Fuel Sub Calcs-Deemed'!DJ304*((K304-AB304)/INDEX('Device Refrigerant Leakage'!$C$2:$C$42,MATCH('Fuel Sub Calcs-Deemed'!X304,'Device Refrigerant Leakage'!$B$2:$B$42,0))))</f>
        <v/>
      </c>
      <c r="DM304" s="56">
        <v>290</v>
      </c>
      <c r="DN304" s="67" t="e">
        <f t="shared" si="398"/>
        <v>#N/A</v>
      </c>
      <c r="DO304" s="45" t="e">
        <f t="shared" si="399"/>
        <v>#N/A</v>
      </c>
      <c r="DP304" s="67" t="e">
        <f t="shared" si="400"/>
        <v>#N/A</v>
      </c>
      <c r="DQ304" s="45" t="e">
        <f t="shared" si="401"/>
        <v>#N/A</v>
      </c>
      <c r="DR304" s="69" t="e">
        <f t="shared" si="402"/>
        <v>#N/A</v>
      </c>
      <c r="DS304" s="34"/>
      <c r="DT304" s="67" t="e">
        <f>((BX304*CJ304)+IF($W304=MAT_AR,(BZ304*CL304),0))*(1+Reference!$E$50+Reference!$E$51)</f>
        <v>#N/A</v>
      </c>
      <c r="DU304" s="67">
        <f>((BY304*CK304)+IF($W304=MAT_AR,(CA304*CM304),0))*(1+Reference!$G$50+Reference!$G$51)</f>
        <v>0</v>
      </c>
      <c r="DV304" s="67" t="e">
        <f t="shared" si="403"/>
        <v>#VALUE!</v>
      </c>
      <c r="DX304" s="56">
        <v>290</v>
      </c>
      <c r="DY304" s="67">
        <f t="shared" si="404"/>
        <v>0</v>
      </c>
      <c r="DZ304" s="45" t="e">
        <f>VLOOKUP($R304,Dropdown!$C$3:$D$4,2,FALSE)</f>
        <v>#N/A</v>
      </c>
      <c r="EA304" s="68">
        <f t="shared" si="405"/>
        <v>0</v>
      </c>
      <c r="EB304" s="68" t="str">
        <f t="shared" si="406"/>
        <v>N/A</v>
      </c>
      <c r="EC304" s="68">
        <f t="shared" si="407"/>
        <v>0</v>
      </c>
      <c r="ED304" s="68" t="str">
        <f t="shared" si="445"/>
        <v>N/A</v>
      </c>
      <c r="EF304" s="56">
        <v>290</v>
      </c>
      <c r="EG304" s="46">
        <f t="shared" si="408"/>
        <v>0</v>
      </c>
      <c r="EH304" s="68" t="e">
        <f t="shared" si="409"/>
        <v>#N/A</v>
      </c>
      <c r="EI304" s="68" t="e">
        <f t="shared" si="410"/>
        <v>#N/A</v>
      </c>
      <c r="EJ304" s="68" t="e">
        <f t="shared" si="411"/>
        <v>#N/A</v>
      </c>
      <c r="EK304" s="68" t="e">
        <f t="shared" si="412"/>
        <v>#N/A</v>
      </c>
      <c r="EL304" s="46">
        <f t="shared" si="413"/>
        <v>0</v>
      </c>
      <c r="EM304" s="46">
        <f t="shared" si="414"/>
        <v>0</v>
      </c>
    </row>
    <row r="305" spans="1:143">
      <c r="A305" s="89"/>
      <c r="B305" s="89"/>
      <c r="C305" s="89"/>
      <c r="D305" s="89"/>
      <c r="E305" s="89"/>
      <c r="F305" s="89"/>
      <c r="G305" s="34"/>
      <c r="H305" s="56">
        <f t="shared" si="415"/>
        <v>291</v>
      </c>
      <c r="I305" s="165"/>
      <c r="J305" s="163"/>
      <c r="K305" s="163"/>
      <c r="L305" s="164"/>
      <c r="M305" s="155"/>
      <c r="N305" s="155"/>
      <c r="O305" s="144"/>
      <c r="P305" s="159" t="str">
        <f>IFERROR(IF(O305&lt;&gt;"User Specified",IF(O305&lt;&gt;"", INDEX('Refrigerant GWPs'!$G$2:$G$154,MATCH(O305,'Refrigerant GWPs'!$A$2:$A$154,0)),""),U305),0)</f>
        <v/>
      </c>
      <c r="Q305" s="155"/>
      <c r="R305" s="155"/>
      <c r="S305" s="144"/>
      <c r="T305" s="159" t="str">
        <f>IF(S305&lt;&gt;"User Specified",IF(AND(S305&lt;&gt;"User Specified",S305&lt;&gt;""), INDEX('Refrigerant GWPs'!$G$2:$G$154,MATCH(S305,'Refrigerant GWPs'!$A$2:$A$154,0)),""),V305)</f>
        <v/>
      </c>
      <c r="U305" s="144"/>
      <c r="V305" s="144"/>
      <c r="W305" s="155"/>
      <c r="X305" s="155"/>
      <c r="Y305" s="144"/>
      <c r="Z305" s="159" t="str">
        <f>IF(AND(Y305&lt;&gt;"User Specified",Y305&lt;&gt;""), INDEX('Refrigerant GWPs'!$G$2:$G$154,MATCH(Y305,'Refrigerant GWPs'!$A$2:$A$154,0)),"")</f>
        <v/>
      </c>
      <c r="AA305" s="155"/>
      <c r="AB305" s="156"/>
      <c r="AC305" s="66"/>
      <c r="AD305" s="66"/>
      <c r="AE305" s="66"/>
      <c r="AF305" s="66"/>
      <c r="AG305" s="66"/>
      <c r="AH305" s="66"/>
      <c r="AI305" s="34"/>
      <c r="AJ305" s="88">
        <f t="shared" si="378"/>
        <v>0</v>
      </c>
      <c r="AK305" s="88">
        <f t="shared" si="379"/>
        <v>0</v>
      </c>
      <c r="AL305" s="88">
        <v>0</v>
      </c>
      <c r="AM305" s="88">
        <v>0</v>
      </c>
      <c r="AN305" s="81" t="str">
        <f t="shared" si="417"/>
        <v/>
      </c>
      <c r="AO305" s="88">
        <f t="shared" si="380"/>
        <v>0</v>
      </c>
      <c r="AP305" s="88">
        <f t="shared" si="381"/>
        <v>0</v>
      </c>
      <c r="AQ305" s="81" t="str">
        <f t="shared" si="382"/>
        <v/>
      </c>
      <c r="AS305" s="41" t="b">
        <f t="shared" si="383"/>
        <v>1</v>
      </c>
      <c r="AT305" s="38">
        <f t="shared" si="384"/>
        <v>0</v>
      </c>
      <c r="AU305" s="60">
        <f t="shared" si="385"/>
        <v>0</v>
      </c>
      <c r="AV305" s="41">
        <f t="shared" si="386"/>
        <v>0</v>
      </c>
      <c r="AW305" s="41" t="b">
        <f t="shared" si="387"/>
        <v>0</v>
      </c>
      <c r="AX305" t="str">
        <f t="shared" si="388"/>
        <v>+00</v>
      </c>
      <c r="AY305" t="str">
        <f t="shared" si="389"/>
        <v>+00</v>
      </c>
      <c r="BA305" s="47" t="b">
        <f t="shared" si="418"/>
        <v>1</v>
      </c>
      <c r="BB305" s="42" t="b">
        <f t="shared" si="419"/>
        <v>1</v>
      </c>
      <c r="BC305" s="42" t="b">
        <f t="shared" si="420"/>
        <v>0</v>
      </c>
      <c r="BD305" s="42" t="b">
        <f t="shared" si="421"/>
        <v>0</v>
      </c>
      <c r="BE305" s="70">
        <f t="shared" si="422"/>
        <v>0</v>
      </c>
      <c r="BF305" s="70">
        <f t="shared" si="423"/>
        <v>0</v>
      </c>
      <c r="BG305" s="34"/>
      <c r="BI305" s="47" t="b">
        <f t="shared" si="424"/>
        <v>1</v>
      </c>
      <c r="BJ305" s="47" t="b">
        <f t="shared" si="425"/>
        <v>1</v>
      </c>
      <c r="BK305" s="42" t="b">
        <f t="shared" si="426"/>
        <v>0</v>
      </c>
      <c r="BL305" s="42" t="b">
        <f t="shared" si="427"/>
        <v>0</v>
      </c>
      <c r="BM305" s="42">
        <f t="shared" si="428"/>
        <v>0</v>
      </c>
      <c r="BN305" s="42">
        <f t="shared" si="429"/>
        <v>0</v>
      </c>
      <c r="BP305" t="e">
        <f t="shared" si="430"/>
        <v>#N/A</v>
      </c>
      <c r="BQ305" t="e">
        <f t="shared" si="431"/>
        <v>#N/A</v>
      </c>
      <c r="BR305" t="e">
        <f t="shared" si="432"/>
        <v>#N/A</v>
      </c>
      <c r="BT305" s="60">
        <f t="shared" si="433"/>
        <v>0</v>
      </c>
      <c r="BU305" s="60">
        <f t="shared" si="434"/>
        <v>0</v>
      </c>
      <c r="BV305" s="60">
        <f t="shared" si="435"/>
        <v>0</v>
      </c>
      <c r="BW305" s="60">
        <f t="shared" si="436"/>
        <v>0</v>
      </c>
      <c r="BX305" s="60">
        <f t="shared" si="437"/>
        <v>0</v>
      </c>
      <c r="BY305" s="60">
        <f t="shared" si="438"/>
        <v>0</v>
      </c>
      <c r="BZ305" s="60">
        <f t="shared" si="439"/>
        <v>0</v>
      </c>
      <c r="CA305" s="60">
        <f t="shared" si="440"/>
        <v>0</v>
      </c>
      <c r="CB305" s="60" t="e">
        <f t="shared" si="390"/>
        <v>#N/A</v>
      </c>
      <c r="CC305" s="60">
        <f t="shared" si="391"/>
        <v>100000</v>
      </c>
      <c r="CD305" s="60" t="e">
        <f t="shared" si="392"/>
        <v>#N/A</v>
      </c>
      <c r="CE305" s="60">
        <f t="shared" si="393"/>
        <v>100000</v>
      </c>
      <c r="CF305" s="83" t="e">
        <f t="shared" si="441"/>
        <v>#N/A</v>
      </c>
      <c r="CG305" s="83">
        <f t="shared" si="442"/>
        <v>0</v>
      </c>
      <c r="CH305" s="83" t="e">
        <f t="shared" si="443"/>
        <v>#N/A</v>
      </c>
      <c r="CI305" s="83">
        <f t="shared" si="444"/>
        <v>0</v>
      </c>
      <c r="CJ305" s="86" t="e">
        <f t="shared" si="394"/>
        <v>#N/A</v>
      </c>
      <c r="CK305" s="82">
        <f t="shared" si="395"/>
        <v>5.3070370403969858E-3</v>
      </c>
      <c r="CL305" s="82" t="e">
        <f t="shared" si="396"/>
        <v>#N/A</v>
      </c>
      <c r="CM305" s="82">
        <f t="shared" si="397"/>
        <v>5.3070370403969858E-3</v>
      </c>
      <c r="CO305" s="149" t="str">
        <f>IF($I305&lt;&gt;"",IF(O305="User Specified",U305,INDEX('Refrigerant GWPs'!$G$2:$G$156,MATCH(O305,'Refrigerant GWPs'!$A$2:$A$156,0))),"")</f>
        <v/>
      </c>
      <c r="CP305" s="138" t="str">
        <f>IF($I305&lt;&gt;"",INDEX('Device Refrigerant Leakage'!$E$2:$E$42,MATCH($M305,'Device Refrigerant Leakage'!$B$2:$B$42,0)),"")</f>
        <v/>
      </c>
      <c r="CQ305" s="138" t="str">
        <f>IF($I305&lt;&gt;"",INDEX('Device Refrigerant Leakage'!$F$2:$F$42,MATCH($M305,'Device Refrigerant Leakage'!$B$2:$B$42,0)),"")</f>
        <v/>
      </c>
      <c r="CR305" s="145" t="str">
        <f>IF($I305&lt;&gt;"",INDEX('Device Refrigerant Leakage'!$G$2:$G$42,MATCH($M305,'Device Refrigerant Leakage'!$B$2:$B$42,0)),"")</f>
        <v/>
      </c>
      <c r="CS305" s="145" t="str">
        <f>IF($I305&lt;&gt;"",INDEX('Device Refrigerant Leakage'!$D$2:$D$42,MATCH($M305,'Device Refrigerant Leakage'!$B$2:$B$42,0))*CP305/2204.62*CO305,"")</f>
        <v/>
      </c>
      <c r="CT305" s="145" t="str">
        <f>IF($I305&lt;&gt;"",J305*(INDEX('Device Refrigerant Leakage'!$D$2:$D$42,MATCH($M305,'Device Refrigerant Leakage'!$B$2:$B$42,0))-(INDEX('Device Refrigerant Leakage'!$D$2:$D$42,MATCH($M305,'Device Refrigerant Leakage'!$B$2:$B$42,0)))*CR305*CP305)*CQ305/2204.62*CO305,"")</f>
        <v/>
      </c>
      <c r="CU305" s="135" t="str">
        <f>IF($I305&lt;&gt;"",J305*IF(W305&lt;&gt;"AR",(CS305*K305)+CT305,(CS305*AB305)+CT305*(AB305/INDEX('Device Refrigerant Leakage'!$C$2:$C$42,MATCH($M305,'Device Refrigerant Leakage'!$B$2:$B$42,0)))),"")</f>
        <v/>
      </c>
      <c r="CW305" s="135" t="str">
        <f>IF($I305&lt;&gt;"",IF(S305="User Specified",V305,INDEX('Refrigerant GWPs'!$G$2:$G$156,MATCH(S305,'Refrigerant GWPs'!$A$2:$A$157,0))),"")</f>
        <v/>
      </c>
      <c r="CX305" s="138" t="str">
        <f>IF($I305&lt;&gt;"",INDEX('Device Refrigerant Leakage'!$E$2:$E$42,MATCH($Q305,'Device Refrigerant Leakage'!$B$2:$B$42,0)),"")</f>
        <v/>
      </c>
      <c r="CY305" s="138" t="str">
        <f>IF($I305&lt;&gt;"",INDEX('Device Refrigerant Leakage'!$F$2:$F$42,MATCH($Q305,'Device Refrigerant Leakage'!$B$2:$B$42,0)),"")</f>
        <v/>
      </c>
      <c r="CZ305" s="145" t="str">
        <f>IF($I305&lt;&gt;"",INDEX('Device Refrigerant Leakage'!$G$2:$G$42,MATCH($Q305,'Device Refrigerant Leakage'!$B$2:$B$42,0)),"")</f>
        <v/>
      </c>
      <c r="DA305" s="145" t="str">
        <f>IF($I305&lt;&gt;"",J305*INDEX('Device Refrigerant Leakage'!$D$2:$D$42,MATCH($Q305,'Device Refrigerant Leakage'!$B$2:$B$42,0))*CX305/2204.62*CW305,"")</f>
        <v/>
      </c>
      <c r="DB305" s="145" t="str">
        <f>IF($I305&lt;&gt;"",J305*(INDEX('Device Refrigerant Leakage'!$D$2:$D$42,MATCH($Q305,'Device Refrigerant Leakage'!$B$2:$B$42,0))-(INDEX('Device Refrigerant Leakage'!$D$2:$D$42,MATCH($Q305,'Device Refrigerant Leakage'!$B$2:$B$42,0)))*CZ305*CX305)*CY305/2204.62*CW305,"")</f>
        <v/>
      </c>
      <c r="DC305" s="135" t="str">
        <f t="shared" si="416"/>
        <v/>
      </c>
      <c r="DE305" s="146" t="str">
        <f>IF(W305&lt;&gt;"AR","",IF(Y305="User Specified", AA305, INDEX('Refrigerant GWPs'!$G$2:$G$154,MATCH(Y305,'Refrigerant GWPs'!$A$2:$A$154,0))))</f>
        <v/>
      </c>
      <c r="DF305" s="146" t="str">
        <f>IF(W305&lt;&gt;"AR","",INDEX('Device Refrigerant Leakage'!$E$2:$E$42,MATCH(X305,'Device Refrigerant Leakage'!$B$2:$B$42,0)))</f>
        <v/>
      </c>
      <c r="DG305" s="146" t="str">
        <f>IF(W305&lt;&gt;"AR","",INDEX('Device Refrigerant Leakage'!$F$2:$F$42,MATCH(X305,'Device Refrigerant Leakage'!$B$2:$B$42,0)))</f>
        <v/>
      </c>
      <c r="DH305" s="146" t="str">
        <f>IF(W305&lt;&gt;"AR","",INDEX('Device Refrigerant Leakage'!$G$2:$G$42,MATCH(X305,'Device Refrigerant Leakage'!$B$2:$B$42,0)))</f>
        <v/>
      </c>
      <c r="DI305" s="146" t="str">
        <f>IF(W305&lt;&gt;"AR","",J305*INDEX('Device Refrigerant Leakage'!$D$2:$D$42,MATCH(X305,'Device Refrigerant Leakage'!$B$2:$B$42,0))*DF305/2204.62*DE305)</f>
        <v/>
      </c>
      <c r="DJ305" s="146" t="str">
        <f>IF(W305&lt;&gt;"AR","",J305*(INDEX('Device Refrigerant Leakage'!$D$2:$D$42,MATCH(X305,'Device Refrigerant Leakage'!$B$2:$B$42,0))-(INDEX('Device Refrigerant Leakage'!$D$2:$D$42,MATCH(X305,'Device Refrigerant Leakage'!$B$2:$B$42,0)))*DH305*DF305)*DG305/2204.62*DE305)</f>
        <v/>
      </c>
      <c r="DK305" s="146" t="str">
        <f>IF(W305&lt;&gt;"AR","",DI305*(K305-AB305)+'Fuel Sub Calcs-Deemed'!DJ305*((K305-AB305)/INDEX('Device Refrigerant Leakage'!$C$2:$C$42,MATCH('Fuel Sub Calcs-Deemed'!X305,'Device Refrigerant Leakage'!$B$2:$B$42,0))))</f>
        <v/>
      </c>
      <c r="DM305" s="56">
        <v>291</v>
      </c>
      <c r="DN305" s="67" t="e">
        <f t="shared" si="398"/>
        <v>#N/A</v>
      </c>
      <c r="DO305" s="45" t="e">
        <f t="shared" si="399"/>
        <v>#N/A</v>
      </c>
      <c r="DP305" s="67" t="e">
        <f t="shared" si="400"/>
        <v>#N/A</v>
      </c>
      <c r="DQ305" s="45" t="e">
        <f t="shared" si="401"/>
        <v>#N/A</v>
      </c>
      <c r="DR305" s="69" t="e">
        <f t="shared" si="402"/>
        <v>#N/A</v>
      </c>
      <c r="DS305" s="34"/>
      <c r="DT305" s="67" t="e">
        <f>((BX305*CJ305)+IF($W305=MAT_AR,(BZ305*CL305),0))*(1+Reference!$E$50+Reference!$E$51)</f>
        <v>#N/A</v>
      </c>
      <c r="DU305" s="67">
        <f>((BY305*CK305)+IF($W305=MAT_AR,(CA305*CM305),0))*(1+Reference!$G$50+Reference!$G$51)</f>
        <v>0</v>
      </c>
      <c r="DV305" s="67" t="e">
        <f t="shared" si="403"/>
        <v>#VALUE!</v>
      </c>
      <c r="DX305" s="56">
        <v>291</v>
      </c>
      <c r="DY305" s="67">
        <f t="shared" si="404"/>
        <v>0</v>
      </c>
      <c r="DZ305" s="45" t="e">
        <f>VLOOKUP($R305,Dropdown!$C$3:$D$4,2,FALSE)</f>
        <v>#N/A</v>
      </c>
      <c r="EA305" s="68">
        <f t="shared" si="405"/>
        <v>0</v>
      </c>
      <c r="EB305" s="68" t="str">
        <f t="shared" si="406"/>
        <v>N/A</v>
      </c>
      <c r="EC305" s="68">
        <f t="shared" si="407"/>
        <v>0</v>
      </c>
      <c r="ED305" s="68" t="str">
        <f t="shared" si="445"/>
        <v>N/A</v>
      </c>
      <c r="EF305" s="56">
        <v>291</v>
      </c>
      <c r="EG305" s="46">
        <f t="shared" si="408"/>
        <v>0</v>
      </c>
      <c r="EH305" s="68" t="e">
        <f t="shared" si="409"/>
        <v>#N/A</v>
      </c>
      <c r="EI305" s="68" t="e">
        <f t="shared" si="410"/>
        <v>#N/A</v>
      </c>
      <c r="EJ305" s="68" t="e">
        <f t="shared" si="411"/>
        <v>#N/A</v>
      </c>
      <c r="EK305" s="68" t="e">
        <f t="shared" si="412"/>
        <v>#N/A</v>
      </c>
      <c r="EL305" s="46">
        <f t="shared" si="413"/>
        <v>0</v>
      </c>
      <c r="EM305" s="46">
        <f t="shared" si="414"/>
        <v>0</v>
      </c>
    </row>
    <row r="306" spans="1:143">
      <c r="A306" s="89"/>
      <c r="B306" s="89"/>
      <c r="C306" s="89"/>
      <c r="D306" s="89"/>
      <c r="E306" s="89"/>
      <c r="F306" s="89"/>
      <c r="G306" s="34"/>
      <c r="H306" s="56">
        <f t="shared" si="415"/>
        <v>292</v>
      </c>
      <c r="I306" s="165"/>
      <c r="J306" s="163"/>
      <c r="K306" s="163"/>
      <c r="L306" s="164"/>
      <c r="M306" s="155"/>
      <c r="N306" s="155"/>
      <c r="O306" s="144"/>
      <c r="P306" s="159" t="str">
        <f>IFERROR(IF(O306&lt;&gt;"User Specified",IF(O306&lt;&gt;"", INDEX('Refrigerant GWPs'!$G$2:$G$154,MATCH(O306,'Refrigerant GWPs'!$A$2:$A$154,0)),""),U306),0)</f>
        <v/>
      </c>
      <c r="Q306" s="155"/>
      <c r="R306" s="155"/>
      <c r="S306" s="144"/>
      <c r="T306" s="159" t="str">
        <f>IF(S306&lt;&gt;"User Specified",IF(AND(S306&lt;&gt;"User Specified",S306&lt;&gt;""), INDEX('Refrigerant GWPs'!$G$2:$G$154,MATCH(S306,'Refrigerant GWPs'!$A$2:$A$154,0)),""),V306)</f>
        <v/>
      </c>
      <c r="U306" s="144"/>
      <c r="V306" s="144"/>
      <c r="W306" s="155"/>
      <c r="X306" s="155"/>
      <c r="Y306" s="144"/>
      <c r="Z306" s="159" t="str">
        <f>IF(AND(Y306&lt;&gt;"User Specified",Y306&lt;&gt;""), INDEX('Refrigerant GWPs'!$G$2:$G$154,MATCH(Y306,'Refrigerant GWPs'!$A$2:$A$154,0)),"")</f>
        <v/>
      </c>
      <c r="AA306" s="155"/>
      <c r="AB306" s="156"/>
      <c r="AC306" s="66"/>
      <c r="AD306" s="66"/>
      <c r="AE306" s="66"/>
      <c r="AF306" s="66"/>
      <c r="AG306" s="66"/>
      <c r="AH306" s="66"/>
      <c r="AI306" s="34"/>
      <c r="AJ306" s="88">
        <f t="shared" si="378"/>
        <v>0</v>
      </c>
      <c r="AK306" s="88">
        <f t="shared" si="379"/>
        <v>0</v>
      </c>
      <c r="AL306" s="88">
        <v>0</v>
      </c>
      <c r="AM306" s="88">
        <v>0</v>
      </c>
      <c r="AN306" s="81" t="str">
        <f t="shared" si="417"/>
        <v/>
      </c>
      <c r="AO306" s="88">
        <f t="shared" si="380"/>
        <v>0</v>
      </c>
      <c r="AP306" s="88">
        <f t="shared" si="381"/>
        <v>0</v>
      </c>
      <c r="AQ306" s="81" t="str">
        <f t="shared" si="382"/>
        <v/>
      </c>
      <c r="AS306" s="41" t="b">
        <f t="shared" si="383"/>
        <v>1</v>
      </c>
      <c r="AT306" s="38">
        <f t="shared" si="384"/>
        <v>0</v>
      </c>
      <c r="AU306" s="60">
        <f t="shared" si="385"/>
        <v>0</v>
      </c>
      <c r="AV306" s="41">
        <f t="shared" si="386"/>
        <v>0</v>
      </c>
      <c r="AW306" s="41" t="b">
        <f t="shared" si="387"/>
        <v>0</v>
      </c>
      <c r="AX306" t="str">
        <f t="shared" si="388"/>
        <v>+00</v>
      </c>
      <c r="AY306" t="str">
        <f t="shared" si="389"/>
        <v>+00</v>
      </c>
      <c r="BA306" s="47" t="b">
        <f t="shared" si="418"/>
        <v>1</v>
      </c>
      <c r="BB306" s="42" t="b">
        <f t="shared" si="419"/>
        <v>1</v>
      </c>
      <c r="BC306" s="42" t="b">
        <f t="shared" si="420"/>
        <v>0</v>
      </c>
      <c r="BD306" s="42" t="b">
        <f t="shared" si="421"/>
        <v>0</v>
      </c>
      <c r="BE306" s="70">
        <f t="shared" si="422"/>
        <v>0</v>
      </c>
      <c r="BF306" s="70">
        <f t="shared" si="423"/>
        <v>0</v>
      </c>
      <c r="BG306" s="34"/>
      <c r="BI306" s="47" t="b">
        <f t="shared" si="424"/>
        <v>1</v>
      </c>
      <c r="BJ306" s="47" t="b">
        <f t="shared" si="425"/>
        <v>1</v>
      </c>
      <c r="BK306" s="42" t="b">
        <f t="shared" si="426"/>
        <v>0</v>
      </c>
      <c r="BL306" s="42" t="b">
        <f t="shared" si="427"/>
        <v>0</v>
      </c>
      <c r="BM306" s="42">
        <f t="shared" si="428"/>
        <v>0</v>
      </c>
      <c r="BN306" s="42">
        <f t="shared" si="429"/>
        <v>0</v>
      </c>
      <c r="BP306" t="e">
        <f t="shared" si="430"/>
        <v>#N/A</v>
      </c>
      <c r="BQ306" t="e">
        <f t="shared" si="431"/>
        <v>#N/A</v>
      </c>
      <c r="BR306" t="e">
        <f t="shared" si="432"/>
        <v>#N/A</v>
      </c>
      <c r="BT306" s="60">
        <f t="shared" si="433"/>
        <v>0</v>
      </c>
      <c r="BU306" s="60">
        <f t="shared" si="434"/>
        <v>0</v>
      </c>
      <c r="BV306" s="60">
        <f t="shared" si="435"/>
        <v>0</v>
      </c>
      <c r="BW306" s="60">
        <f t="shared" si="436"/>
        <v>0</v>
      </c>
      <c r="BX306" s="60">
        <f t="shared" si="437"/>
        <v>0</v>
      </c>
      <c r="BY306" s="60">
        <f t="shared" si="438"/>
        <v>0</v>
      </c>
      <c r="BZ306" s="60">
        <f t="shared" si="439"/>
        <v>0</v>
      </c>
      <c r="CA306" s="60">
        <f t="shared" si="440"/>
        <v>0</v>
      </c>
      <c r="CB306" s="60" t="e">
        <f t="shared" si="390"/>
        <v>#N/A</v>
      </c>
      <c r="CC306" s="60">
        <f t="shared" si="391"/>
        <v>100000</v>
      </c>
      <c r="CD306" s="60" t="e">
        <f t="shared" si="392"/>
        <v>#N/A</v>
      </c>
      <c r="CE306" s="60">
        <f t="shared" si="393"/>
        <v>100000</v>
      </c>
      <c r="CF306" s="83" t="e">
        <f t="shared" si="441"/>
        <v>#N/A</v>
      </c>
      <c r="CG306" s="83">
        <f t="shared" si="442"/>
        <v>0</v>
      </c>
      <c r="CH306" s="83" t="e">
        <f t="shared" si="443"/>
        <v>#N/A</v>
      </c>
      <c r="CI306" s="83">
        <f t="shared" si="444"/>
        <v>0</v>
      </c>
      <c r="CJ306" s="86" t="e">
        <f t="shared" si="394"/>
        <v>#N/A</v>
      </c>
      <c r="CK306" s="82">
        <f t="shared" si="395"/>
        <v>5.3070370403969858E-3</v>
      </c>
      <c r="CL306" s="82" t="e">
        <f t="shared" si="396"/>
        <v>#N/A</v>
      </c>
      <c r="CM306" s="82">
        <f t="shared" si="397"/>
        <v>5.3070370403969858E-3</v>
      </c>
      <c r="CO306" s="149" t="str">
        <f>IF($I306&lt;&gt;"",IF(O306="User Specified",U306,INDEX('Refrigerant GWPs'!$G$2:$G$156,MATCH(O306,'Refrigerant GWPs'!$A$2:$A$156,0))),"")</f>
        <v/>
      </c>
      <c r="CP306" s="138" t="str">
        <f>IF($I306&lt;&gt;"",INDEX('Device Refrigerant Leakage'!$E$2:$E$42,MATCH($M306,'Device Refrigerant Leakage'!$B$2:$B$42,0)),"")</f>
        <v/>
      </c>
      <c r="CQ306" s="138" t="str">
        <f>IF($I306&lt;&gt;"",INDEX('Device Refrigerant Leakage'!$F$2:$F$42,MATCH($M306,'Device Refrigerant Leakage'!$B$2:$B$42,0)),"")</f>
        <v/>
      </c>
      <c r="CR306" s="145" t="str">
        <f>IF($I306&lt;&gt;"",INDEX('Device Refrigerant Leakage'!$G$2:$G$42,MATCH($M306,'Device Refrigerant Leakage'!$B$2:$B$42,0)),"")</f>
        <v/>
      </c>
      <c r="CS306" s="145" t="str">
        <f>IF($I306&lt;&gt;"",INDEX('Device Refrigerant Leakage'!$D$2:$D$42,MATCH($M306,'Device Refrigerant Leakage'!$B$2:$B$42,0))*CP306/2204.62*CO306,"")</f>
        <v/>
      </c>
      <c r="CT306" s="145" t="str">
        <f>IF($I306&lt;&gt;"",J306*(INDEX('Device Refrigerant Leakage'!$D$2:$D$42,MATCH($M306,'Device Refrigerant Leakage'!$B$2:$B$42,0))-(INDEX('Device Refrigerant Leakage'!$D$2:$D$42,MATCH($M306,'Device Refrigerant Leakage'!$B$2:$B$42,0)))*CR306*CP306)*CQ306/2204.62*CO306,"")</f>
        <v/>
      </c>
      <c r="CU306" s="135" t="str">
        <f>IF($I306&lt;&gt;"",J306*IF(W306&lt;&gt;"AR",(CS306*K306)+CT306,(CS306*AB306)+CT306*(AB306/INDEX('Device Refrigerant Leakage'!$C$2:$C$42,MATCH($M306,'Device Refrigerant Leakage'!$B$2:$B$42,0)))),"")</f>
        <v/>
      </c>
      <c r="CW306" s="135" t="str">
        <f>IF($I306&lt;&gt;"",IF(S306="User Specified",V306,INDEX('Refrigerant GWPs'!$G$2:$G$156,MATCH(S306,'Refrigerant GWPs'!$A$2:$A$157,0))),"")</f>
        <v/>
      </c>
      <c r="CX306" s="138" t="str">
        <f>IF($I306&lt;&gt;"",INDEX('Device Refrigerant Leakage'!$E$2:$E$42,MATCH($Q306,'Device Refrigerant Leakage'!$B$2:$B$42,0)),"")</f>
        <v/>
      </c>
      <c r="CY306" s="138" t="str">
        <f>IF($I306&lt;&gt;"",INDEX('Device Refrigerant Leakage'!$F$2:$F$42,MATCH($Q306,'Device Refrigerant Leakage'!$B$2:$B$42,0)),"")</f>
        <v/>
      </c>
      <c r="CZ306" s="145" t="str">
        <f>IF($I306&lt;&gt;"",INDEX('Device Refrigerant Leakage'!$G$2:$G$42,MATCH($Q306,'Device Refrigerant Leakage'!$B$2:$B$42,0)),"")</f>
        <v/>
      </c>
      <c r="DA306" s="145" t="str">
        <f>IF($I306&lt;&gt;"",J306*INDEX('Device Refrigerant Leakage'!$D$2:$D$42,MATCH($Q306,'Device Refrigerant Leakage'!$B$2:$B$42,0))*CX306/2204.62*CW306,"")</f>
        <v/>
      </c>
      <c r="DB306" s="145" t="str">
        <f>IF($I306&lt;&gt;"",J306*(INDEX('Device Refrigerant Leakage'!$D$2:$D$42,MATCH($Q306,'Device Refrigerant Leakage'!$B$2:$B$42,0))-(INDEX('Device Refrigerant Leakage'!$D$2:$D$42,MATCH($Q306,'Device Refrigerant Leakage'!$B$2:$B$42,0)))*CZ306*CX306)*CY306/2204.62*CW306,"")</f>
        <v/>
      </c>
      <c r="DC306" s="135" t="str">
        <f t="shared" si="416"/>
        <v/>
      </c>
      <c r="DE306" s="146" t="str">
        <f>IF(W306&lt;&gt;"AR","",IF(Y306="User Specified", AA306, INDEX('Refrigerant GWPs'!$G$2:$G$154,MATCH(Y306,'Refrigerant GWPs'!$A$2:$A$154,0))))</f>
        <v/>
      </c>
      <c r="DF306" s="146" t="str">
        <f>IF(W306&lt;&gt;"AR","",INDEX('Device Refrigerant Leakage'!$E$2:$E$42,MATCH(X306,'Device Refrigerant Leakage'!$B$2:$B$42,0)))</f>
        <v/>
      </c>
      <c r="DG306" s="146" t="str">
        <f>IF(W306&lt;&gt;"AR","",INDEX('Device Refrigerant Leakage'!$F$2:$F$42,MATCH(X306,'Device Refrigerant Leakage'!$B$2:$B$42,0)))</f>
        <v/>
      </c>
      <c r="DH306" s="146" t="str">
        <f>IF(W306&lt;&gt;"AR","",INDEX('Device Refrigerant Leakage'!$G$2:$G$42,MATCH(X306,'Device Refrigerant Leakage'!$B$2:$B$42,0)))</f>
        <v/>
      </c>
      <c r="DI306" s="146" t="str">
        <f>IF(W306&lt;&gt;"AR","",J306*INDEX('Device Refrigerant Leakage'!$D$2:$D$42,MATCH(X306,'Device Refrigerant Leakage'!$B$2:$B$42,0))*DF306/2204.62*DE306)</f>
        <v/>
      </c>
      <c r="DJ306" s="146" t="str">
        <f>IF(W306&lt;&gt;"AR","",J306*(INDEX('Device Refrigerant Leakage'!$D$2:$D$42,MATCH(X306,'Device Refrigerant Leakage'!$B$2:$B$42,0))-(INDEX('Device Refrigerant Leakage'!$D$2:$D$42,MATCH(X306,'Device Refrigerant Leakage'!$B$2:$B$42,0)))*DH306*DF306)*DG306/2204.62*DE306)</f>
        <v/>
      </c>
      <c r="DK306" s="146" t="str">
        <f>IF(W306&lt;&gt;"AR","",DI306*(K306-AB306)+'Fuel Sub Calcs-Deemed'!DJ306*((K306-AB306)/INDEX('Device Refrigerant Leakage'!$C$2:$C$42,MATCH('Fuel Sub Calcs-Deemed'!X306,'Device Refrigerant Leakage'!$B$2:$B$42,0))))</f>
        <v/>
      </c>
      <c r="DM306" s="56">
        <v>292</v>
      </c>
      <c r="DN306" s="67" t="e">
        <f t="shared" si="398"/>
        <v>#N/A</v>
      </c>
      <c r="DO306" s="45" t="e">
        <f t="shared" si="399"/>
        <v>#N/A</v>
      </c>
      <c r="DP306" s="67" t="e">
        <f t="shared" si="400"/>
        <v>#N/A</v>
      </c>
      <c r="DQ306" s="45" t="e">
        <f t="shared" si="401"/>
        <v>#N/A</v>
      </c>
      <c r="DR306" s="69" t="e">
        <f t="shared" si="402"/>
        <v>#N/A</v>
      </c>
      <c r="DS306" s="34"/>
      <c r="DT306" s="67" t="e">
        <f>((BX306*CJ306)+IF($W306=MAT_AR,(BZ306*CL306),0))*(1+Reference!$E$50+Reference!$E$51)</f>
        <v>#N/A</v>
      </c>
      <c r="DU306" s="67">
        <f>((BY306*CK306)+IF($W306=MAT_AR,(CA306*CM306),0))*(1+Reference!$G$50+Reference!$G$51)</f>
        <v>0</v>
      </c>
      <c r="DV306" s="67" t="e">
        <f t="shared" si="403"/>
        <v>#VALUE!</v>
      </c>
      <c r="DX306" s="56">
        <v>292</v>
      </c>
      <c r="DY306" s="67">
        <f t="shared" si="404"/>
        <v>0</v>
      </c>
      <c r="DZ306" s="45" t="e">
        <f>VLOOKUP($R306,Dropdown!$C$3:$D$4,2,FALSE)</f>
        <v>#N/A</v>
      </c>
      <c r="EA306" s="68">
        <f t="shared" si="405"/>
        <v>0</v>
      </c>
      <c r="EB306" s="68" t="str">
        <f t="shared" si="406"/>
        <v>N/A</v>
      </c>
      <c r="EC306" s="68">
        <f t="shared" si="407"/>
        <v>0</v>
      </c>
      <c r="ED306" s="68" t="str">
        <f t="shared" si="445"/>
        <v>N/A</v>
      </c>
      <c r="EF306" s="56">
        <v>292</v>
      </c>
      <c r="EG306" s="46">
        <f t="shared" si="408"/>
        <v>0</v>
      </c>
      <c r="EH306" s="68" t="e">
        <f t="shared" si="409"/>
        <v>#N/A</v>
      </c>
      <c r="EI306" s="68" t="e">
        <f t="shared" si="410"/>
        <v>#N/A</v>
      </c>
      <c r="EJ306" s="68" t="e">
        <f t="shared" si="411"/>
        <v>#N/A</v>
      </c>
      <c r="EK306" s="68" t="e">
        <f t="shared" si="412"/>
        <v>#N/A</v>
      </c>
      <c r="EL306" s="46">
        <f t="shared" si="413"/>
        <v>0</v>
      </c>
      <c r="EM306" s="46">
        <f t="shared" si="414"/>
        <v>0</v>
      </c>
    </row>
    <row r="307" spans="1:143">
      <c r="A307" s="89"/>
      <c r="B307" s="89"/>
      <c r="C307" s="89"/>
      <c r="D307" s="89"/>
      <c r="E307" s="89"/>
      <c r="F307" s="89"/>
      <c r="G307" s="34"/>
      <c r="H307" s="56">
        <f t="shared" si="415"/>
        <v>293</v>
      </c>
      <c r="I307" s="165"/>
      <c r="J307" s="163"/>
      <c r="K307" s="163"/>
      <c r="L307" s="164"/>
      <c r="M307" s="155"/>
      <c r="N307" s="155"/>
      <c r="O307" s="144"/>
      <c r="P307" s="159" t="str">
        <f>IFERROR(IF(O307&lt;&gt;"User Specified",IF(O307&lt;&gt;"", INDEX('Refrigerant GWPs'!$G$2:$G$154,MATCH(O307,'Refrigerant GWPs'!$A$2:$A$154,0)),""),U307),0)</f>
        <v/>
      </c>
      <c r="Q307" s="155"/>
      <c r="R307" s="155"/>
      <c r="S307" s="144"/>
      <c r="T307" s="159" t="str">
        <f>IF(S307&lt;&gt;"User Specified",IF(AND(S307&lt;&gt;"User Specified",S307&lt;&gt;""), INDEX('Refrigerant GWPs'!$G$2:$G$154,MATCH(S307,'Refrigerant GWPs'!$A$2:$A$154,0)),""),V307)</f>
        <v/>
      </c>
      <c r="U307" s="144"/>
      <c r="V307" s="144"/>
      <c r="W307" s="155"/>
      <c r="X307" s="155"/>
      <c r="Y307" s="144"/>
      <c r="Z307" s="159" t="str">
        <f>IF(AND(Y307&lt;&gt;"User Specified",Y307&lt;&gt;""), INDEX('Refrigerant GWPs'!$G$2:$G$154,MATCH(Y307,'Refrigerant GWPs'!$A$2:$A$154,0)),"")</f>
        <v/>
      </c>
      <c r="AA307" s="155"/>
      <c r="AB307" s="156"/>
      <c r="AC307" s="66"/>
      <c r="AD307" s="66"/>
      <c r="AE307" s="66"/>
      <c r="AF307" s="66"/>
      <c r="AG307" s="66"/>
      <c r="AH307" s="66"/>
      <c r="AI307" s="34"/>
      <c r="AJ307" s="88">
        <f t="shared" si="378"/>
        <v>0</v>
      </c>
      <c r="AK307" s="88">
        <f t="shared" si="379"/>
        <v>0</v>
      </c>
      <c r="AL307" s="88">
        <v>0</v>
      </c>
      <c r="AM307" s="88">
        <v>0</v>
      </c>
      <c r="AN307" s="81" t="str">
        <f t="shared" si="417"/>
        <v/>
      </c>
      <c r="AO307" s="88">
        <f t="shared" si="380"/>
        <v>0</v>
      </c>
      <c r="AP307" s="88">
        <f t="shared" si="381"/>
        <v>0</v>
      </c>
      <c r="AQ307" s="81" t="str">
        <f t="shared" si="382"/>
        <v/>
      </c>
      <c r="AS307" s="41" t="b">
        <f t="shared" si="383"/>
        <v>1</v>
      </c>
      <c r="AT307" s="38">
        <f t="shared" si="384"/>
        <v>0</v>
      </c>
      <c r="AU307" s="60">
        <f t="shared" si="385"/>
        <v>0</v>
      </c>
      <c r="AV307" s="41">
        <f t="shared" si="386"/>
        <v>0</v>
      </c>
      <c r="AW307" s="41" t="b">
        <f t="shared" si="387"/>
        <v>0</v>
      </c>
      <c r="AX307" t="str">
        <f t="shared" si="388"/>
        <v>+00</v>
      </c>
      <c r="AY307" t="str">
        <f t="shared" si="389"/>
        <v>+00</v>
      </c>
      <c r="BA307" s="47" t="b">
        <f t="shared" si="418"/>
        <v>1</v>
      </c>
      <c r="BB307" s="42" t="b">
        <f t="shared" si="419"/>
        <v>1</v>
      </c>
      <c r="BC307" s="42" t="b">
        <f t="shared" si="420"/>
        <v>0</v>
      </c>
      <c r="BD307" s="42" t="b">
        <f t="shared" si="421"/>
        <v>0</v>
      </c>
      <c r="BE307" s="70">
        <f t="shared" si="422"/>
        <v>0</v>
      </c>
      <c r="BF307" s="70">
        <f t="shared" si="423"/>
        <v>0</v>
      </c>
      <c r="BG307" s="34"/>
      <c r="BI307" s="47" t="b">
        <f t="shared" si="424"/>
        <v>1</v>
      </c>
      <c r="BJ307" s="47" t="b">
        <f t="shared" si="425"/>
        <v>1</v>
      </c>
      <c r="BK307" s="42" t="b">
        <f t="shared" si="426"/>
        <v>0</v>
      </c>
      <c r="BL307" s="42" t="b">
        <f t="shared" si="427"/>
        <v>0</v>
      </c>
      <c r="BM307" s="42">
        <f t="shared" si="428"/>
        <v>0</v>
      </c>
      <c r="BN307" s="42">
        <f t="shared" si="429"/>
        <v>0</v>
      </c>
      <c r="BP307" t="e">
        <f t="shared" si="430"/>
        <v>#N/A</v>
      </c>
      <c r="BQ307" t="e">
        <f t="shared" si="431"/>
        <v>#N/A</v>
      </c>
      <c r="BR307" t="e">
        <f t="shared" si="432"/>
        <v>#N/A</v>
      </c>
      <c r="BT307" s="60">
        <f t="shared" si="433"/>
        <v>0</v>
      </c>
      <c r="BU307" s="60">
        <f t="shared" si="434"/>
        <v>0</v>
      </c>
      <c r="BV307" s="60">
        <f t="shared" si="435"/>
        <v>0</v>
      </c>
      <c r="BW307" s="60">
        <f t="shared" si="436"/>
        <v>0</v>
      </c>
      <c r="BX307" s="60">
        <f t="shared" si="437"/>
        <v>0</v>
      </c>
      <c r="BY307" s="60">
        <f t="shared" si="438"/>
        <v>0</v>
      </c>
      <c r="BZ307" s="60">
        <f t="shared" si="439"/>
        <v>0</v>
      </c>
      <c r="CA307" s="60">
        <f t="shared" si="440"/>
        <v>0</v>
      </c>
      <c r="CB307" s="60" t="e">
        <f t="shared" si="390"/>
        <v>#N/A</v>
      </c>
      <c r="CC307" s="60">
        <f t="shared" si="391"/>
        <v>100000</v>
      </c>
      <c r="CD307" s="60" t="e">
        <f t="shared" si="392"/>
        <v>#N/A</v>
      </c>
      <c r="CE307" s="60">
        <f t="shared" si="393"/>
        <v>100000</v>
      </c>
      <c r="CF307" s="83" t="e">
        <f t="shared" si="441"/>
        <v>#N/A</v>
      </c>
      <c r="CG307" s="83">
        <f t="shared" si="442"/>
        <v>0</v>
      </c>
      <c r="CH307" s="83" t="e">
        <f t="shared" si="443"/>
        <v>#N/A</v>
      </c>
      <c r="CI307" s="83">
        <f t="shared" si="444"/>
        <v>0</v>
      </c>
      <c r="CJ307" s="86" t="e">
        <f t="shared" si="394"/>
        <v>#N/A</v>
      </c>
      <c r="CK307" s="82">
        <f t="shared" si="395"/>
        <v>5.3070370403969858E-3</v>
      </c>
      <c r="CL307" s="82" t="e">
        <f t="shared" si="396"/>
        <v>#N/A</v>
      </c>
      <c r="CM307" s="82">
        <f t="shared" si="397"/>
        <v>5.3070370403969858E-3</v>
      </c>
      <c r="CO307" s="149" t="str">
        <f>IF($I307&lt;&gt;"",IF(O307="User Specified",U307,INDEX('Refrigerant GWPs'!$G$2:$G$156,MATCH(O307,'Refrigerant GWPs'!$A$2:$A$156,0))),"")</f>
        <v/>
      </c>
      <c r="CP307" s="138" t="str">
        <f>IF($I307&lt;&gt;"",INDEX('Device Refrigerant Leakage'!$E$2:$E$42,MATCH($M307,'Device Refrigerant Leakage'!$B$2:$B$42,0)),"")</f>
        <v/>
      </c>
      <c r="CQ307" s="138" t="str">
        <f>IF($I307&lt;&gt;"",INDEX('Device Refrigerant Leakage'!$F$2:$F$42,MATCH($M307,'Device Refrigerant Leakage'!$B$2:$B$42,0)),"")</f>
        <v/>
      </c>
      <c r="CR307" s="145" t="str">
        <f>IF($I307&lt;&gt;"",INDEX('Device Refrigerant Leakage'!$G$2:$G$42,MATCH($M307,'Device Refrigerant Leakage'!$B$2:$B$42,0)),"")</f>
        <v/>
      </c>
      <c r="CS307" s="145" t="str">
        <f>IF($I307&lt;&gt;"",INDEX('Device Refrigerant Leakage'!$D$2:$D$42,MATCH($M307,'Device Refrigerant Leakage'!$B$2:$B$42,0))*CP307/2204.62*CO307,"")</f>
        <v/>
      </c>
      <c r="CT307" s="145" t="str">
        <f>IF($I307&lt;&gt;"",J307*(INDEX('Device Refrigerant Leakage'!$D$2:$D$42,MATCH($M307,'Device Refrigerant Leakage'!$B$2:$B$42,0))-(INDEX('Device Refrigerant Leakage'!$D$2:$D$42,MATCH($M307,'Device Refrigerant Leakage'!$B$2:$B$42,0)))*CR307*CP307)*CQ307/2204.62*CO307,"")</f>
        <v/>
      </c>
      <c r="CU307" s="135" t="str">
        <f>IF($I307&lt;&gt;"",J307*IF(W307&lt;&gt;"AR",(CS307*K307)+CT307,(CS307*AB307)+CT307*(AB307/INDEX('Device Refrigerant Leakage'!$C$2:$C$42,MATCH($M307,'Device Refrigerant Leakage'!$B$2:$B$42,0)))),"")</f>
        <v/>
      </c>
      <c r="CW307" s="135" t="str">
        <f>IF($I307&lt;&gt;"",IF(S307="User Specified",V307,INDEX('Refrigerant GWPs'!$G$2:$G$156,MATCH(S307,'Refrigerant GWPs'!$A$2:$A$157,0))),"")</f>
        <v/>
      </c>
      <c r="CX307" s="138" t="str">
        <f>IF($I307&lt;&gt;"",INDEX('Device Refrigerant Leakage'!$E$2:$E$42,MATCH($Q307,'Device Refrigerant Leakage'!$B$2:$B$42,0)),"")</f>
        <v/>
      </c>
      <c r="CY307" s="138" t="str">
        <f>IF($I307&lt;&gt;"",INDEX('Device Refrigerant Leakage'!$F$2:$F$42,MATCH($Q307,'Device Refrigerant Leakage'!$B$2:$B$42,0)),"")</f>
        <v/>
      </c>
      <c r="CZ307" s="145" t="str">
        <f>IF($I307&lt;&gt;"",INDEX('Device Refrigerant Leakage'!$G$2:$G$42,MATCH($Q307,'Device Refrigerant Leakage'!$B$2:$B$42,0)),"")</f>
        <v/>
      </c>
      <c r="DA307" s="145" t="str">
        <f>IF($I307&lt;&gt;"",J307*INDEX('Device Refrigerant Leakage'!$D$2:$D$42,MATCH($Q307,'Device Refrigerant Leakage'!$B$2:$B$42,0))*CX307/2204.62*CW307,"")</f>
        <v/>
      </c>
      <c r="DB307" s="145" t="str">
        <f>IF($I307&lt;&gt;"",J307*(INDEX('Device Refrigerant Leakage'!$D$2:$D$42,MATCH($Q307,'Device Refrigerant Leakage'!$B$2:$B$42,0))-(INDEX('Device Refrigerant Leakage'!$D$2:$D$42,MATCH($Q307,'Device Refrigerant Leakage'!$B$2:$B$42,0)))*CZ307*CX307)*CY307/2204.62*CW307,"")</f>
        <v/>
      </c>
      <c r="DC307" s="135" t="str">
        <f t="shared" si="416"/>
        <v/>
      </c>
      <c r="DE307" s="146" t="str">
        <f>IF(W307&lt;&gt;"AR","",IF(Y307="User Specified", AA307, INDEX('Refrigerant GWPs'!$G$2:$G$154,MATCH(Y307,'Refrigerant GWPs'!$A$2:$A$154,0))))</f>
        <v/>
      </c>
      <c r="DF307" s="146" t="str">
        <f>IF(W307&lt;&gt;"AR","",INDEX('Device Refrigerant Leakage'!$E$2:$E$42,MATCH(X307,'Device Refrigerant Leakage'!$B$2:$B$42,0)))</f>
        <v/>
      </c>
      <c r="DG307" s="146" t="str">
        <f>IF(W307&lt;&gt;"AR","",INDEX('Device Refrigerant Leakage'!$F$2:$F$42,MATCH(X307,'Device Refrigerant Leakage'!$B$2:$B$42,0)))</f>
        <v/>
      </c>
      <c r="DH307" s="146" t="str">
        <f>IF(W307&lt;&gt;"AR","",INDEX('Device Refrigerant Leakage'!$G$2:$G$42,MATCH(X307,'Device Refrigerant Leakage'!$B$2:$B$42,0)))</f>
        <v/>
      </c>
      <c r="DI307" s="146" t="str">
        <f>IF(W307&lt;&gt;"AR","",J307*INDEX('Device Refrigerant Leakage'!$D$2:$D$42,MATCH(X307,'Device Refrigerant Leakage'!$B$2:$B$42,0))*DF307/2204.62*DE307)</f>
        <v/>
      </c>
      <c r="DJ307" s="146" t="str">
        <f>IF(W307&lt;&gt;"AR","",J307*(INDEX('Device Refrigerant Leakage'!$D$2:$D$42,MATCH(X307,'Device Refrigerant Leakage'!$B$2:$B$42,0))-(INDEX('Device Refrigerant Leakage'!$D$2:$D$42,MATCH(X307,'Device Refrigerant Leakage'!$B$2:$B$42,0)))*DH307*DF307)*DG307/2204.62*DE307)</f>
        <v/>
      </c>
      <c r="DK307" s="146" t="str">
        <f>IF(W307&lt;&gt;"AR","",DI307*(K307-AB307)+'Fuel Sub Calcs-Deemed'!DJ307*((K307-AB307)/INDEX('Device Refrigerant Leakage'!$C$2:$C$42,MATCH('Fuel Sub Calcs-Deemed'!X307,'Device Refrigerant Leakage'!$B$2:$B$42,0))))</f>
        <v/>
      </c>
      <c r="DM307" s="56">
        <v>293</v>
      </c>
      <c r="DN307" s="67" t="e">
        <f t="shared" si="398"/>
        <v>#N/A</v>
      </c>
      <c r="DO307" s="45" t="e">
        <f t="shared" si="399"/>
        <v>#N/A</v>
      </c>
      <c r="DP307" s="67" t="e">
        <f t="shared" si="400"/>
        <v>#N/A</v>
      </c>
      <c r="DQ307" s="45" t="e">
        <f t="shared" si="401"/>
        <v>#N/A</v>
      </c>
      <c r="DR307" s="69" t="e">
        <f t="shared" si="402"/>
        <v>#N/A</v>
      </c>
      <c r="DS307" s="34"/>
      <c r="DT307" s="67" t="e">
        <f>((BX307*CJ307)+IF($W307=MAT_AR,(BZ307*CL307),0))*(1+Reference!$E$50+Reference!$E$51)</f>
        <v>#N/A</v>
      </c>
      <c r="DU307" s="67">
        <f>((BY307*CK307)+IF($W307=MAT_AR,(CA307*CM307),0))*(1+Reference!$G$50+Reference!$G$51)</f>
        <v>0</v>
      </c>
      <c r="DV307" s="67" t="e">
        <f t="shared" si="403"/>
        <v>#VALUE!</v>
      </c>
      <c r="DX307" s="56">
        <v>293</v>
      </c>
      <c r="DY307" s="67">
        <f t="shared" si="404"/>
        <v>0</v>
      </c>
      <c r="DZ307" s="45" t="e">
        <f>VLOOKUP($R307,Dropdown!$C$3:$D$4,2,FALSE)</f>
        <v>#N/A</v>
      </c>
      <c r="EA307" s="68">
        <f t="shared" si="405"/>
        <v>0</v>
      </c>
      <c r="EB307" s="68" t="str">
        <f t="shared" si="406"/>
        <v>N/A</v>
      </c>
      <c r="EC307" s="68">
        <f t="shared" si="407"/>
        <v>0</v>
      </c>
      <c r="ED307" s="68" t="str">
        <f t="shared" si="445"/>
        <v>N/A</v>
      </c>
      <c r="EF307" s="56">
        <v>293</v>
      </c>
      <c r="EG307" s="46">
        <f t="shared" si="408"/>
        <v>0</v>
      </c>
      <c r="EH307" s="68" t="e">
        <f t="shared" si="409"/>
        <v>#N/A</v>
      </c>
      <c r="EI307" s="68" t="e">
        <f t="shared" si="410"/>
        <v>#N/A</v>
      </c>
      <c r="EJ307" s="68" t="e">
        <f t="shared" si="411"/>
        <v>#N/A</v>
      </c>
      <c r="EK307" s="68" t="e">
        <f t="shared" si="412"/>
        <v>#N/A</v>
      </c>
      <c r="EL307" s="46">
        <f t="shared" si="413"/>
        <v>0</v>
      </c>
      <c r="EM307" s="46">
        <f t="shared" si="414"/>
        <v>0</v>
      </c>
    </row>
    <row r="308" spans="1:143">
      <c r="A308" s="89"/>
      <c r="B308" s="89"/>
      <c r="C308" s="89"/>
      <c r="D308" s="89"/>
      <c r="E308" s="89"/>
      <c r="F308" s="89"/>
      <c r="G308" s="34"/>
      <c r="H308" s="56">
        <f t="shared" si="415"/>
        <v>294</v>
      </c>
      <c r="I308" s="165"/>
      <c r="J308" s="163"/>
      <c r="K308" s="163"/>
      <c r="L308" s="164"/>
      <c r="M308" s="155"/>
      <c r="N308" s="155"/>
      <c r="O308" s="144"/>
      <c r="P308" s="159" t="str">
        <f>IFERROR(IF(O308&lt;&gt;"User Specified",IF(O308&lt;&gt;"", INDEX('Refrigerant GWPs'!$G$2:$G$154,MATCH(O308,'Refrigerant GWPs'!$A$2:$A$154,0)),""),U308),0)</f>
        <v/>
      </c>
      <c r="Q308" s="155"/>
      <c r="R308" s="155"/>
      <c r="S308" s="144"/>
      <c r="T308" s="159" t="str">
        <f>IF(S308&lt;&gt;"User Specified",IF(AND(S308&lt;&gt;"User Specified",S308&lt;&gt;""), INDEX('Refrigerant GWPs'!$G$2:$G$154,MATCH(S308,'Refrigerant GWPs'!$A$2:$A$154,0)),""),V308)</f>
        <v/>
      </c>
      <c r="U308" s="144"/>
      <c r="V308" s="144"/>
      <c r="W308" s="155"/>
      <c r="X308" s="155"/>
      <c r="Y308" s="144"/>
      <c r="Z308" s="159" t="str">
        <f>IF(AND(Y308&lt;&gt;"User Specified",Y308&lt;&gt;""), INDEX('Refrigerant GWPs'!$G$2:$G$154,MATCH(Y308,'Refrigerant GWPs'!$A$2:$A$154,0)),"")</f>
        <v/>
      </c>
      <c r="AA308" s="155"/>
      <c r="AB308" s="156"/>
      <c r="AC308" s="66"/>
      <c r="AD308" s="66"/>
      <c r="AE308" s="66"/>
      <c r="AF308" s="66"/>
      <c r="AG308" s="66"/>
      <c r="AH308" s="66"/>
      <c r="AI308" s="34"/>
      <c r="AJ308" s="88">
        <f t="shared" si="378"/>
        <v>0</v>
      </c>
      <c r="AK308" s="88">
        <f t="shared" si="379"/>
        <v>0</v>
      </c>
      <c r="AL308" s="88">
        <v>0</v>
      </c>
      <c r="AM308" s="88">
        <v>0</v>
      </c>
      <c r="AN308" s="81" t="str">
        <f t="shared" si="417"/>
        <v/>
      </c>
      <c r="AO308" s="88">
        <f t="shared" si="380"/>
        <v>0</v>
      </c>
      <c r="AP308" s="88">
        <f t="shared" si="381"/>
        <v>0</v>
      </c>
      <c r="AQ308" s="81" t="str">
        <f t="shared" si="382"/>
        <v/>
      </c>
      <c r="AS308" s="41" t="b">
        <f t="shared" si="383"/>
        <v>1</v>
      </c>
      <c r="AT308" s="38">
        <f t="shared" si="384"/>
        <v>0</v>
      </c>
      <c r="AU308" s="60">
        <f t="shared" si="385"/>
        <v>0</v>
      </c>
      <c r="AV308" s="41">
        <f t="shared" si="386"/>
        <v>0</v>
      </c>
      <c r="AW308" s="41" t="b">
        <f t="shared" si="387"/>
        <v>0</v>
      </c>
      <c r="AX308" t="str">
        <f t="shared" si="388"/>
        <v>+00</v>
      </c>
      <c r="AY308" t="str">
        <f t="shared" si="389"/>
        <v>+00</v>
      </c>
      <c r="BA308" s="47" t="b">
        <f t="shared" si="418"/>
        <v>1</v>
      </c>
      <c r="BB308" s="42" t="b">
        <f t="shared" si="419"/>
        <v>1</v>
      </c>
      <c r="BC308" s="42" t="b">
        <f t="shared" si="420"/>
        <v>0</v>
      </c>
      <c r="BD308" s="42" t="b">
        <f t="shared" si="421"/>
        <v>0</v>
      </c>
      <c r="BE308" s="70">
        <f t="shared" si="422"/>
        <v>0</v>
      </c>
      <c r="BF308" s="70">
        <f t="shared" si="423"/>
        <v>0</v>
      </c>
      <c r="BG308" s="34"/>
      <c r="BI308" s="47" t="b">
        <f t="shared" si="424"/>
        <v>1</v>
      </c>
      <c r="BJ308" s="47" t="b">
        <f t="shared" si="425"/>
        <v>1</v>
      </c>
      <c r="BK308" s="42" t="b">
        <f t="shared" si="426"/>
        <v>0</v>
      </c>
      <c r="BL308" s="42" t="b">
        <f t="shared" si="427"/>
        <v>0</v>
      </c>
      <c r="BM308" s="42">
        <f t="shared" si="428"/>
        <v>0</v>
      </c>
      <c r="BN308" s="42">
        <f t="shared" si="429"/>
        <v>0</v>
      </c>
      <c r="BP308" t="e">
        <f t="shared" si="430"/>
        <v>#N/A</v>
      </c>
      <c r="BQ308" t="e">
        <f t="shared" si="431"/>
        <v>#N/A</v>
      </c>
      <c r="BR308" t="e">
        <f t="shared" si="432"/>
        <v>#N/A</v>
      </c>
      <c r="BT308" s="60">
        <f t="shared" si="433"/>
        <v>0</v>
      </c>
      <c r="BU308" s="60">
        <f t="shared" si="434"/>
        <v>0</v>
      </c>
      <c r="BV308" s="60">
        <f t="shared" si="435"/>
        <v>0</v>
      </c>
      <c r="BW308" s="60">
        <f t="shared" si="436"/>
        <v>0</v>
      </c>
      <c r="BX308" s="60">
        <f t="shared" si="437"/>
        <v>0</v>
      </c>
      <c r="BY308" s="60">
        <f t="shared" si="438"/>
        <v>0</v>
      </c>
      <c r="BZ308" s="60">
        <f t="shared" si="439"/>
        <v>0</v>
      </c>
      <c r="CA308" s="60">
        <f t="shared" si="440"/>
        <v>0</v>
      </c>
      <c r="CB308" s="60" t="e">
        <f t="shared" si="390"/>
        <v>#N/A</v>
      </c>
      <c r="CC308" s="60">
        <f t="shared" si="391"/>
        <v>100000</v>
      </c>
      <c r="CD308" s="60" t="e">
        <f t="shared" si="392"/>
        <v>#N/A</v>
      </c>
      <c r="CE308" s="60">
        <f t="shared" si="393"/>
        <v>100000</v>
      </c>
      <c r="CF308" s="83" t="e">
        <f t="shared" si="441"/>
        <v>#N/A</v>
      </c>
      <c r="CG308" s="83">
        <f t="shared" si="442"/>
        <v>0</v>
      </c>
      <c r="CH308" s="83" t="e">
        <f t="shared" si="443"/>
        <v>#N/A</v>
      </c>
      <c r="CI308" s="83">
        <f t="shared" si="444"/>
        <v>0</v>
      </c>
      <c r="CJ308" s="86" t="e">
        <f t="shared" si="394"/>
        <v>#N/A</v>
      </c>
      <c r="CK308" s="82">
        <f t="shared" si="395"/>
        <v>5.3070370403969858E-3</v>
      </c>
      <c r="CL308" s="82" t="e">
        <f t="shared" si="396"/>
        <v>#N/A</v>
      </c>
      <c r="CM308" s="82">
        <f t="shared" si="397"/>
        <v>5.3070370403969858E-3</v>
      </c>
      <c r="CO308" s="149" t="str">
        <f>IF($I308&lt;&gt;"",IF(O308="User Specified",U308,INDEX('Refrigerant GWPs'!$G$2:$G$156,MATCH(O308,'Refrigerant GWPs'!$A$2:$A$156,0))),"")</f>
        <v/>
      </c>
      <c r="CP308" s="138" t="str">
        <f>IF($I308&lt;&gt;"",INDEX('Device Refrigerant Leakage'!$E$2:$E$42,MATCH($M308,'Device Refrigerant Leakage'!$B$2:$B$42,0)),"")</f>
        <v/>
      </c>
      <c r="CQ308" s="138" t="str">
        <f>IF($I308&lt;&gt;"",INDEX('Device Refrigerant Leakage'!$F$2:$F$42,MATCH($M308,'Device Refrigerant Leakage'!$B$2:$B$42,0)),"")</f>
        <v/>
      </c>
      <c r="CR308" s="145" t="str">
        <f>IF($I308&lt;&gt;"",INDEX('Device Refrigerant Leakage'!$G$2:$G$42,MATCH($M308,'Device Refrigerant Leakage'!$B$2:$B$42,0)),"")</f>
        <v/>
      </c>
      <c r="CS308" s="145" t="str">
        <f>IF($I308&lt;&gt;"",INDEX('Device Refrigerant Leakage'!$D$2:$D$42,MATCH($M308,'Device Refrigerant Leakage'!$B$2:$B$42,0))*CP308/2204.62*CO308,"")</f>
        <v/>
      </c>
      <c r="CT308" s="145" t="str">
        <f>IF($I308&lt;&gt;"",J308*(INDEX('Device Refrigerant Leakage'!$D$2:$D$42,MATCH($M308,'Device Refrigerant Leakage'!$B$2:$B$42,0))-(INDEX('Device Refrigerant Leakage'!$D$2:$D$42,MATCH($M308,'Device Refrigerant Leakage'!$B$2:$B$42,0)))*CR308*CP308)*CQ308/2204.62*CO308,"")</f>
        <v/>
      </c>
      <c r="CU308" s="135" t="str">
        <f>IF($I308&lt;&gt;"",J308*IF(W308&lt;&gt;"AR",(CS308*K308)+CT308,(CS308*AB308)+CT308*(AB308/INDEX('Device Refrigerant Leakage'!$C$2:$C$42,MATCH($M308,'Device Refrigerant Leakage'!$B$2:$B$42,0)))),"")</f>
        <v/>
      </c>
      <c r="CW308" s="135" t="str">
        <f>IF($I308&lt;&gt;"",IF(S308="User Specified",V308,INDEX('Refrigerant GWPs'!$G$2:$G$156,MATCH(S308,'Refrigerant GWPs'!$A$2:$A$157,0))),"")</f>
        <v/>
      </c>
      <c r="CX308" s="138" t="str">
        <f>IF($I308&lt;&gt;"",INDEX('Device Refrigerant Leakage'!$E$2:$E$42,MATCH($Q308,'Device Refrigerant Leakage'!$B$2:$B$42,0)),"")</f>
        <v/>
      </c>
      <c r="CY308" s="138" t="str">
        <f>IF($I308&lt;&gt;"",INDEX('Device Refrigerant Leakage'!$F$2:$F$42,MATCH($Q308,'Device Refrigerant Leakage'!$B$2:$B$42,0)),"")</f>
        <v/>
      </c>
      <c r="CZ308" s="145" t="str">
        <f>IF($I308&lt;&gt;"",INDEX('Device Refrigerant Leakage'!$G$2:$G$42,MATCH($Q308,'Device Refrigerant Leakage'!$B$2:$B$42,0)),"")</f>
        <v/>
      </c>
      <c r="DA308" s="145" t="str">
        <f>IF($I308&lt;&gt;"",J308*INDEX('Device Refrigerant Leakage'!$D$2:$D$42,MATCH($Q308,'Device Refrigerant Leakage'!$B$2:$B$42,0))*CX308/2204.62*CW308,"")</f>
        <v/>
      </c>
      <c r="DB308" s="145" t="str">
        <f>IF($I308&lt;&gt;"",J308*(INDEX('Device Refrigerant Leakage'!$D$2:$D$42,MATCH($Q308,'Device Refrigerant Leakage'!$B$2:$B$42,0))-(INDEX('Device Refrigerant Leakage'!$D$2:$D$42,MATCH($Q308,'Device Refrigerant Leakage'!$B$2:$B$42,0)))*CZ308*CX308)*CY308/2204.62*CW308,"")</f>
        <v/>
      </c>
      <c r="DC308" s="135" t="str">
        <f t="shared" si="416"/>
        <v/>
      </c>
      <c r="DE308" s="146" t="str">
        <f>IF(W308&lt;&gt;"AR","",IF(Y308="User Specified", AA308, INDEX('Refrigerant GWPs'!$G$2:$G$154,MATCH(Y308,'Refrigerant GWPs'!$A$2:$A$154,0))))</f>
        <v/>
      </c>
      <c r="DF308" s="146" t="str">
        <f>IF(W308&lt;&gt;"AR","",INDEX('Device Refrigerant Leakage'!$E$2:$E$42,MATCH(X308,'Device Refrigerant Leakage'!$B$2:$B$42,0)))</f>
        <v/>
      </c>
      <c r="DG308" s="146" t="str">
        <f>IF(W308&lt;&gt;"AR","",INDEX('Device Refrigerant Leakage'!$F$2:$F$42,MATCH(X308,'Device Refrigerant Leakage'!$B$2:$B$42,0)))</f>
        <v/>
      </c>
      <c r="DH308" s="146" t="str">
        <f>IF(W308&lt;&gt;"AR","",INDEX('Device Refrigerant Leakage'!$G$2:$G$42,MATCH(X308,'Device Refrigerant Leakage'!$B$2:$B$42,0)))</f>
        <v/>
      </c>
      <c r="DI308" s="146" t="str">
        <f>IF(W308&lt;&gt;"AR","",J308*INDEX('Device Refrigerant Leakage'!$D$2:$D$42,MATCH(X308,'Device Refrigerant Leakage'!$B$2:$B$42,0))*DF308/2204.62*DE308)</f>
        <v/>
      </c>
      <c r="DJ308" s="146" t="str">
        <f>IF(W308&lt;&gt;"AR","",J308*(INDEX('Device Refrigerant Leakage'!$D$2:$D$42,MATCH(X308,'Device Refrigerant Leakage'!$B$2:$B$42,0))-(INDEX('Device Refrigerant Leakage'!$D$2:$D$42,MATCH(X308,'Device Refrigerant Leakage'!$B$2:$B$42,0)))*DH308*DF308)*DG308/2204.62*DE308)</f>
        <v/>
      </c>
      <c r="DK308" s="146" t="str">
        <f>IF(W308&lt;&gt;"AR","",DI308*(K308-AB308)+'Fuel Sub Calcs-Deemed'!DJ308*((K308-AB308)/INDEX('Device Refrigerant Leakage'!$C$2:$C$42,MATCH('Fuel Sub Calcs-Deemed'!X308,'Device Refrigerant Leakage'!$B$2:$B$42,0))))</f>
        <v/>
      </c>
      <c r="DM308" s="56">
        <v>294</v>
      </c>
      <c r="DN308" s="67" t="e">
        <f t="shared" si="398"/>
        <v>#N/A</v>
      </c>
      <c r="DO308" s="45" t="e">
        <f t="shared" si="399"/>
        <v>#N/A</v>
      </c>
      <c r="DP308" s="67" t="e">
        <f t="shared" si="400"/>
        <v>#N/A</v>
      </c>
      <c r="DQ308" s="45" t="e">
        <f t="shared" si="401"/>
        <v>#N/A</v>
      </c>
      <c r="DR308" s="69" t="e">
        <f t="shared" si="402"/>
        <v>#N/A</v>
      </c>
      <c r="DS308" s="34"/>
      <c r="DT308" s="67" t="e">
        <f>((BX308*CJ308)+IF($W308=MAT_AR,(BZ308*CL308),0))*(1+Reference!$E$50+Reference!$E$51)</f>
        <v>#N/A</v>
      </c>
      <c r="DU308" s="67">
        <f>((BY308*CK308)+IF($W308=MAT_AR,(CA308*CM308),0))*(1+Reference!$G$50+Reference!$G$51)</f>
        <v>0</v>
      </c>
      <c r="DV308" s="67" t="e">
        <f t="shared" si="403"/>
        <v>#VALUE!</v>
      </c>
      <c r="DX308" s="56">
        <v>294</v>
      </c>
      <c r="DY308" s="67">
        <f t="shared" si="404"/>
        <v>0</v>
      </c>
      <c r="DZ308" s="45" t="e">
        <f>VLOOKUP($R308,Dropdown!$C$3:$D$4,2,FALSE)</f>
        <v>#N/A</v>
      </c>
      <c r="EA308" s="68">
        <f t="shared" si="405"/>
        <v>0</v>
      </c>
      <c r="EB308" s="68" t="str">
        <f t="shared" si="406"/>
        <v>N/A</v>
      </c>
      <c r="EC308" s="68">
        <f t="shared" si="407"/>
        <v>0</v>
      </c>
      <c r="ED308" s="68" t="str">
        <f t="shared" si="445"/>
        <v>N/A</v>
      </c>
      <c r="EF308" s="56">
        <v>294</v>
      </c>
      <c r="EG308" s="46">
        <f t="shared" si="408"/>
        <v>0</v>
      </c>
      <c r="EH308" s="68" t="e">
        <f t="shared" si="409"/>
        <v>#N/A</v>
      </c>
      <c r="EI308" s="68" t="e">
        <f t="shared" si="410"/>
        <v>#N/A</v>
      </c>
      <c r="EJ308" s="68" t="e">
        <f t="shared" si="411"/>
        <v>#N/A</v>
      </c>
      <c r="EK308" s="68" t="e">
        <f t="shared" si="412"/>
        <v>#N/A</v>
      </c>
      <c r="EL308" s="46">
        <f t="shared" si="413"/>
        <v>0</v>
      </c>
      <c r="EM308" s="46">
        <f t="shared" si="414"/>
        <v>0</v>
      </c>
    </row>
    <row r="309" spans="1:143">
      <c r="A309" s="89"/>
      <c r="B309" s="89"/>
      <c r="C309" s="89"/>
      <c r="D309" s="89"/>
      <c r="E309" s="89"/>
      <c r="F309" s="89"/>
      <c r="G309" s="34"/>
      <c r="H309" s="56">
        <f t="shared" si="415"/>
        <v>295</v>
      </c>
      <c r="I309" s="165"/>
      <c r="J309" s="163"/>
      <c r="K309" s="163"/>
      <c r="L309" s="164"/>
      <c r="M309" s="155"/>
      <c r="N309" s="155"/>
      <c r="O309" s="144"/>
      <c r="P309" s="159" t="str">
        <f>IFERROR(IF(O309&lt;&gt;"User Specified",IF(O309&lt;&gt;"", INDEX('Refrigerant GWPs'!$G$2:$G$154,MATCH(O309,'Refrigerant GWPs'!$A$2:$A$154,0)),""),U309),0)</f>
        <v/>
      </c>
      <c r="Q309" s="155"/>
      <c r="R309" s="155"/>
      <c r="S309" s="144"/>
      <c r="T309" s="159" t="str">
        <f>IF(S309&lt;&gt;"User Specified",IF(AND(S309&lt;&gt;"User Specified",S309&lt;&gt;""), INDEX('Refrigerant GWPs'!$G$2:$G$154,MATCH(S309,'Refrigerant GWPs'!$A$2:$A$154,0)),""),V309)</f>
        <v/>
      </c>
      <c r="U309" s="144"/>
      <c r="V309" s="144"/>
      <c r="W309" s="155"/>
      <c r="X309" s="155"/>
      <c r="Y309" s="144"/>
      <c r="Z309" s="159" t="str">
        <f>IF(AND(Y309&lt;&gt;"User Specified",Y309&lt;&gt;""), INDEX('Refrigerant GWPs'!$G$2:$G$154,MATCH(Y309,'Refrigerant GWPs'!$A$2:$A$154,0)),"")</f>
        <v/>
      </c>
      <c r="AA309" s="155"/>
      <c r="AB309" s="156"/>
      <c r="AC309" s="66"/>
      <c r="AD309" s="66"/>
      <c r="AE309" s="66"/>
      <c r="AF309" s="66"/>
      <c r="AG309" s="66"/>
      <c r="AH309" s="66"/>
      <c r="AI309" s="34"/>
      <c r="AJ309" s="88">
        <f t="shared" si="378"/>
        <v>0</v>
      </c>
      <c r="AK309" s="88">
        <f t="shared" si="379"/>
        <v>0</v>
      </c>
      <c r="AL309" s="88">
        <v>0</v>
      </c>
      <c r="AM309" s="88">
        <v>0</v>
      </c>
      <c r="AN309" s="81" t="str">
        <f t="shared" si="417"/>
        <v/>
      </c>
      <c r="AO309" s="88">
        <f t="shared" si="380"/>
        <v>0</v>
      </c>
      <c r="AP309" s="88">
        <f t="shared" si="381"/>
        <v>0</v>
      </c>
      <c r="AQ309" s="81" t="str">
        <f t="shared" si="382"/>
        <v/>
      </c>
      <c r="AS309" s="41" t="b">
        <f t="shared" si="383"/>
        <v>1</v>
      </c>
      <c r="AT309" s="38">
        <f t="shared" si="384"/>
        <v>0</v>
      </c>
      <c r="AU309" s="60">
        <f t="shared" si="385"/>
        <v>0</v>
      </c>
      <c r="AV309" s="41">
        <f t="shared" si="386"/>
        <v>0</v>
      </c>
      <c r="AW309" s="41" t="b">
        <f t="shared" si="387"/>
        <v>0</v>
      </c>
      <c r="AX309" t="str">
        <f t="shared" si="388"/>
        <v>+00</v>
      </c>
      <c r="AY309" t="str">
        <f t="shared" si="389"/>
        <v>+00</v>
      </c>
      <c r="BA309" s="47" t="b">
        <f t="shared" si="418"/>
        <v>1</v>
      </c>
      <c r="BB309" s="42" t="b">
        <f t="shared" si="419"/>
        <v>1</v>
      </c>
      <c r="BC309" s="42" t="b">
        <f t="shared" si="420"/>
        <v>0</v>
      </c>
      <c r="BD309" s="42" t="b">
        <f t="shared" si="421"/>
        <v>0</v>
      </c>
      <c r="BE309" s="70">
        <f t="shared" si="422"/>
        <v>0</v>
      </c>
      <c r="BF309" s="70">
        <f t="shared" si="423"/>
        <v>0</v>
      </c>
      <c r="BG309" s="34"/>
      <c r="BI309" s="47" t="b">
        <f t="shared" si="424"/>
        <v>1</v>
      </c>
      <c r="BJ309" s="47" t="b">
        <f t="shared" si="425"/>
        <v>1</v>
      </c>
      <c r="BK309" s="42" t="b">
        <f t="shared" si="426"/>
        <v>0</v>
      </c>
      <c r="BL309" s="42" t="b">
        <f t="shared" si="427"/>
        <v>0</v>
      </c>
      <c r="BM309" s="42">
        <f t="shared" si="428"/>
        <v>0</v>
      </c>
      <c r="BN309" s="42">
        <f t="shared" si="429"/>
        <v>0</v>
      </c>
      <c r="BP309" t="e">
        <f t="shared" si="430"/>
        <v>#N/A</v>
      </c>
      <c r="BQ309" t="e">
        <f t="shared" si="431"/>
        <v>#N/A</v>
      </c>
      <c r="BR309" t="e">
        <f t="shared" si="432"/>
        <v>#N/A</v>
      </c>
      <c r="BT309" s="60">
        <f t="shared" si="433"/>
        <v>0</v>
      </c>
      <c r="BU309" s="60">
        <f t="shared" si="434"/>
        <v>0</v>
      </c>
      <c r="BV309" s="60">
        <f t="shared" si="435"/>
        <v>0</v>
      </c>
      <c r="BW309" s="60">
        <f t="shared" si="436"/>
        <v>0</v>
      </c>
      <c r="BX309" s="60">
        <f t="shared" si="437"/>
        <v>0</v>
      </c>
      <c r="BY309" s="60">
        <f t="shared" si="438"/>
        <v>0</v>
      </c>
      <c r="BZ309" s="60">
        <f t="shared" si="439"/>
        <v>0</v>
      </c>
      <c r="CA309" s="60">
        <f t="shared" si="440"/>
        <v>0</v>
      </c>
      <c r="CB309" s="60" t="e">
        <f t="shared" si="390"/>
        <v>#N/A</v>
      </c>
      <c r="CC309" s="60">
        <f t="shared" si="391"/>
        <v>100000</v>
      </c>
      <c r="CD309" s="60" t="e">
        <f t="shared" si="392"/>
        <v>#N/A</v>
      </c>
      <c r="CE309" s="60">
        <f t="shared" si="393"/>
        <v>100000</v>
      </c>
      <c r="CF309" s="83" t="e">
        <f t="shared" si="441"/>
        <v>#N/A</v>
      </c>
      <c r="CG309" s="83">
        <f t="shared" si="442"/>
        <v>0</v>
      </c>
      <c r="CH309" s="83" t="e">
        <f t="shared" si="443"/>
        <v>#N/A</v>
      </c>
      <c r="CI309" s="83">
        <f t="shared" si="444"/>
        <v>0</v>
      </c>
      <c r="CJ309" s="86" t="e">
        <f t="shared" si="394"/>
        <v>#N/A</v>
      </c>
      <c r="CK309" s="82">
        <f t="shared" si="395"/>
        <v>5.3070370403969858E-3</v>
      </c>
      <c r="CL309" s="82" t="e">
        <f t="shared" si="396"/>
        <v>#N/A</v>
      </c>
      <c r="CM309" s="82">
        <f t="shared" si="397"/>
        <v>5.3070370403969858E-3</v>
      </c>
      <c r="CO309" s="149" t="str">
        <f>IF($I309&lt;&gt;"",IF(O309="User Specified",U309,INDEX('Refrigerant GWPs'!$G$2:$G$156,MATCH(O309,'Refrigerant GWPs'!$A$2:$A$156,0))),"")</f>
        <v/>
      </c>
      <c r="CP309" s="138" t="str">
        <f>IF($I309&lt;&gt;"",INDEX('Device Refrigerant Leakage'!$E$2:$E$42,MATCH($M309,'Device Refrigerant Leakage'!$B$2:$B$42,0)),"")</f>
        <v/>
      </c>
      <c r="CQ309" s="138" t="str">
        <f>IF($I309&lt;&gt;"",INDEX('Device Refrigerant Leakage'!$F$2:$F$42,MATCH($M309,'Device Refrigerant Leakage'!$B$2:$B$42,0)),"")</f>
        <v/>
      </c>
      <c r="CR309" s="145" t="str">
        <f>IF($I309&lt;&gt;"",INDEX('Device Refrigerant Leakage'!$G$2:$G$42,MATCH($M309,'Device Refrigerant Leakage'!$B$2:$B$42,0)),"")</f>
        <v/>
      </c>
      <c r="CS309" s="145" t="str">
        <f>IF($I309&lt;&gt;"",INDEX('Device Refrigerant Leakage'!$D$2:$D$42,MATCH($M309,'Device Refrigerant Leakage'!$B$2:$B$42,0))*CP309/2204.62*CO309,"")</f>
        <v/>
      </c>
      <c r="CT309" s="145" t="str">
        <f>IF($I309&lt;&gt;"",J309*(INDEX('Device Refrigerant Leakage'!$D$2:$D$42,MATCH($M309,'Device Refrigerant Leakage'!$B$2:$B$42,0))-(INDEX('Device Refrigerant Leakage'!$D$2:$D$42,MATCH($M309,'Device Refrigerant Leakage'!$B$2:$B$42,0)))*CR309*CP309)*CQ309/2204.62*CO309,"")</f>
        <v/>
      </c>
      <c r="CU309" s="135" t="str">
        <f>IF($I309&lt;&gt;"",J309*IF(W309&lt;&gt;"AR",(CS309*K309)+CT309,(CS309*AB309)+CT309*(AB309/INDEX('Device Refrigerant Leakage'!$C$2:$C$42,MATCH($M309,'Device Refrigerant Leakage'!$B$2:$B$42,0)))),"")</f>
        <v/>
      </c>
      <c r="CW309" s="135" t="str">
        <f>IF($I309&lt;&gt;"",IF(S309="User Specified",V309,INDEX('Refrigerant GWPs'!$G$2:$G$156,MATCH(S309,'Refrigerant GWPs'!$A$2:$A$157,0))),"")</f>
        <v/>
      </c>
      <c r="CX309" s="138" t="str">
        <f>IF($I309&lt;&gt;"",INDEX('Device Refrigerant Leakage'!$E$2:$E$42,MATCH($Q309,'Device Refrigerant Leakage'!$B$2:$B$42,0)),"")</f>
        <v/>
      </c>
      <c r="CY309" s="138" t="str">
        <f>IF($I309&lt;&gt;"",INDEX('Device Refrigerant Leakage'!$F$2:$F$42,MATCH($Q309,'Device Refrigerant Leakage'!$B$2:$B$42,0)),"")</f>
        <v/>
      </c>
      <c r="CZ309" s="145" t="str">
        <f>IF($I309&lt;&gt;"",INDEX('Device Refrigerant Leakage'!$G$2:$G$42,MATCH($Q309,'Device Refrigerant Leakage'!$B$2:$B$42,0)),"")</f>
        <v/>
      </c>
      <c r="DA309" s="145" t="str">
        <f>IF($I309&lt;&gt;"",J309*INDEX('Device Refrigerant Leakage'!$D$2:$D$42,MATCH($Q309,'Device Refrigerant Leakage'!$B$2:$B$42,0))*CX309/2204.62*CW309,"")</f>
        <v/>
      </c>
      <c r="DB309" s="145" t="str">
        <f>IF($I309&lt;&gt;"",J309*(INDEX('Device Refrigerant Leakage'!$D$2:$D$42,MATCH($Q309,'Device Refrigerant Leakage'!$B$2:$B$42,0))-(INDEX('Device Refrigerant Leakage'!$D$2:$D$42,MATCH($Q309,'Device Refrigerant Leakage'!$B$2:$B$42,0)))*CZ309*CX309)*CY309/2204.62*CW309,"")</f>
        <v/>
      </c>
      <c r="DC309" s="135" t="str">
        <f t="shared" si="416"/>
        <v/>
      </c>
      <c r="DE309" s="146" t="str">
        <f>IF(W309&lt;&gt;"AR","",IF(Y309="User Specified", AA309, INDEX('Refrigerant GWPs'!$G$2:$G$154,MATCH(Y309,'Refrigerant GWPs'!$A$2:$A$154,0))))</f>
        <v/>
      </c>
      <c r="DF309" s="146" t="str">
        <f>IF(W309&lt;&gt;"AR","",INDEX('Device Refrigerant Leakage'!$E$2:$E$42,MATCH(X309,'Device Refrigerant Leakage'!$B$2:$B$42,0)))</f>
        <v/>
      </c>
      <c r="DG309" s="146" t="str">
        <f>IF(W309&lt;&gt;"AR","",INDEX('Device Refrigerant Leakage'!$F$2:$F$42,MATCH(X309,'Device Refrigerant Leakage'!$B$2:$B$42,0)))</f>
        <v/>
      </c>
      <c r="DH309" s="146" t="str">
        <f>IF(W309&lt;&gt;"AR","",INDEX('Device Refrigerant Leakage'!$G$2:$G$42,MATCH(X309,'Device Refrigerant Leakage'!$B$2:$B$42,0)))</f>
        <v/>
      </c>
      <c r="DI309" s="146" t="str">
        <f>IF(W309&lt;&gt;"AR","",J309*INDEX('Device Refrigerant Leakage'!$D$2:$D$42,MATCH(X309,'Device Refrigerant Leakage'!$B$2:$B$42,0))*DF309/2204.62*DE309)</f>
        <v/>
      </c>
      <c r="DJ309" s="146" t="str">
        <f>IF(W309&lt;&gt;"AR","",J309*(INDEX('Device Refrigerant Leakage'!$D$2:$D$42,MATCH(X309,'Device Refrigerant Leakage'!$B$2:$B$42,0))-(INDEX('Device Refrigerant Leakage'!$D$2:$D$42,MATCH(X309,'Device Refrigerant Leakage'!$B$2:$B$42,0)))*DH309*DF309)*DG309/2204.62*DE309)</f>
        <v/>
      </c>
      <c r="DK309" s="146" t="str">
        <f>IF(W309&lt;&gt;"AR","",DI309*(K309-AB309)+'Fuel Sub Calcs-Deemed'!DJ309*((K309-AB309)/INDEX('Device Refrigerant Leakage'!$C$2:$C$42,MATCH('Fuel Sub Calcs-Deemed'!X309,'Device Refrigerant Leakage'!$B$2:$B$42,0))))</f>
        <v/>
      </c>
      <c r="DM309" s="56">
        <v>295</v>
      </c>
      <c r="DN309" s="67" t="e">
        <f t="shared" si="398"/>
        <v>#N/A</v>
      </c>
      <c r="DO309" s="45" t="e">
        <f t="shared" si="399"/>
        <v>#N/A</v>
      </c>
      <c r="DP309" s="67" t="e">
        <f t="shared" si="400"/>
        <v>#N/A</v>
      </c>
      <c r="DQ309" s="45" t="e">
        <f t="shared" si="401"/>
        <v>#N/A</v>
      </c>
      <c r="DR309" s="69" t="e">
        <f t="shared" si="402"/>
        <v>#N/A</v>
      </c>
      <c r="DS309" s="34"/>
      <c r="DT309" s="67" t="e">
        <f>((BX309*CJ309)+IF($W309=MAT_AR,(BZ309*CL309),0))*(1+Reference!$E$50+Reference!$E$51)</f>
        <v>#N/A</v>
      </c>
      <c r="DU309" s="67">
        <f>((BY309*CK309)+IF($W309=MAT_AR,(CA309*CM309),0))*(1+Reference!$G$50+Reference!$G$51)</f>
        <v>0</v>
      </c>
      <c r="DV309" s="67" t="e">
        <f t="shared" si="403"/>
        <v>#VALUE!</v>
      </c>
      <c r="DX309" s="56">
        <v>295</v>
      </c>
      <c r="DY309" s="67">
        <f t="shared" si="404"/>
        <v>0</v>
      </c>
      <c r="DZ309" s="45" t="e">
        <f>VLOOKUP($R309,Dropdown!$C$3:$D$4,2,FALSE)</f>
        <v>#N/A</v>
      </c>
      <c r="EA309" s="68">
        <f t="shared" si="405"/>
        <v>0</v>
      </c>
      <c r="EB309" s="68" t="str">
        <f t="shared" si="406"/>
        <v>N/A</v>
      </c>
      <c r="EC309" s="68">
        <f t="shared" si="407"/>
        <v>0</v>
      </c>
      <c r="ED309" s="68" t="str">
        <f t="shared" si="445"/>
        <v>N/A</v>
      </c>
      <c r="EF309" s="56">
        <v>295</v>
      </c>
      <c r="EG309" s="46">
        <f t="shared" si="408"/>
        <v>0</v>
      </c>
      <c r="EH309" s="68" t="e">
        <f t="shared" si="409"/>
        <v>#N/A</v>
      </c>
      <c r="EI309" s="68" t="e">
        <f t="shared" si="410"/>
        <v>#N/A</v>
      </c>
      <c r="EJ309" s="68" t="e">
        <f t="shared" si="411"/>
        <v>#N/A</v>
      </c>
      <c r="EK309" s="68" t="e">
        <f t="shared" si="412"/>
        <v>#N/A</v>
      </c>
      <c r="EL309" s="46">
        <f t="shared" si="413"/>
        <v>0</v>
      </c>
      <c r="EM309" s="46">
        <f t="shared" si="414"/>
        <v>0</v>
      </c>
    </row>
    <row r="310" spans="1:143">
      <c r="A310" s="89"/>
      <c r="B310" s="89"/>
      <c r="C310" s="89"/>
      <c r="D310" s="89"/>
      <c r="E310" s="89"/>
      <c r="F310" s="89"/>
      <c r="G310" s="34"/>
      <c r="H310" s="56">
        <f t="shared" si="415"/>
        <v>296</v>
      </c>
      <c r="I310" s="165"/>
      <c r="J310" s="163"/>
      <c r="K310" s="163"/>
      <c r="L310" s="164"/>
      <c r="M310" s="155"/>
      <c r="N310" s="155"/>
      <c r="O310" s="144"/>
      <c r="P310" s="159" t="str">
        <f>IFERROR(IF(O310&lt;&gt;"User Specified",IF(O310&lt;&gt;"", INDEX('Refrigerant GWPs'!$G$2:$G$154,MATCH(O310,'Refrigerant GWPs'!$A$2:$A$154,0)),""),U310),0)</f>
        <v/>
      </c>
      <c r="Q310" s="155"/>
      <c r="R310" s="155"/>
      <c r="S310" s="144"/>
      <c r="T310" s="159" t="str">
        <f>IF(S310&lt;&gt;"User Specified",IF(AND(S310&lt;&gt;"User Specified",S310&lt;&gt;""), INDEX('Refrigerant GWPs'!$G$2:$G$154,MATCH(S310,'Refrigerant GWPs'!$A$2:$A$154,0)),""),V310)</f>
        <v/>
      </c>
      <c r="U310" s="144"/>
      <c r="V310" s="144"/>
      <c r="W310" s="155"/>
      <c r="X310" s="155"/>
      <c r="Y310" s="144"/>
      <c r="Z310" s="159" t="str">
        <f>IF(AND(Y310&lt;&gt;"User Specified",Y310&lt;&gt;""), INDEX('Refrigerant GWPs'!$G$2:$G$154,MATCH(Y310,'Refrigerant GWPs'!$A$2:$A$154,0)),"")</f>
        <v/>
      </c>
      <c r="AA310" s="155"/>
      <c r="AB310" s="156"/>
      <c r="AC310" s="66"/>
      <c r="AD310" s="66"/>
      <c r="AE310" s="66"/>
      <c r="AF310" s="66"/>
      <c r="AG310" s="66"/>
      <c r="AH310" s="66"/>
      <c r="AI310" s="34"/>
      <c r="AJ310" s="88">
        <f t="shared" si="378"/>
        <v>0</v>
      </c>
      <c r="AK310" s="88">
        <f t="shared" si="379"/>
        <v>0</v>
      </c>
      <c r="AL310" s="88">
        <v>0</v>
      </c>
      <c r="AM310" s="88">
        <v>0</v>
      </c>
      <c r="AN310" s="81" t="str">
        <f t="shared" si="417"/>
        <v/>
      </c>
      <c r="AO310" s="88">
        <f t="shared" si="380"/>
        <v>0</v>
      </c>
      <c r="AP310" s="88">
        <f t="shared" si="381"/>
        <v>0</v>
      </c>
      <c r="AQ310" s="81" t="str">
        <f t="shared" si="382"/>
        <v/>
      </c>
      <c r="AS310" s="41" t="b">
        <f t="shared" si="383"/>
        <v>1</v>
      </c>
      <c r="AT310" s="38">
        <f t="shared" si="384"/>
        <v>0</v>
      </c>
      <c r="AU310" s="60">
        <f t="shared" si="385"/>
        <v>0</v>
      </c>
      <c r="AV310" s="41">
        <f t="shared" si="386"/>
        <v>0</v>
      </c>
      <c r="AW310" s="41" t="b">
        <f t="shared" si="387"/>
        <v>0</v>
      </c>
      <c r="AX310" t="str">
        <f t="shared" si="388"/>
        <v>+00</v>
      </c>
      <c r="AY310" t="str">
        <f t="shared" si="389"/>
        <v>+00</v>
      </c>
      <c r="BA310" s="47" t="b">
        <f t="shared" si="418"/>
        <v>1</v>
      </c>
      <c r="BB310" s="42" t="b">
        <f t="shared" si="419"/>
        <v>1</v>
      </c>
      <c r="BC310" s="42" t="b">
        <f t="shared" si="420"/>
        <v>0</v>
      </c>
      <c r="BD310" s="42" t="b">
        <f t="shared" si="421"/>
        <v>0</v>
      </c>
      <c r="BE310" s="70">
        <f t="shared" si="422"/>
        <v>0</v>
      </c>
      <c r="BF310" s="70">
        <f t="shared" si="423"/>
        <v>0</v>
      </c>
      <c r="BG310" s="34"/>
      <c r="BI310" s="47" t="b">
        <f t="shared" si="424"/>
        <v>1</v>
      </c>
      <c r="BJ310" s="47" t="b">
        <f t="shared" si="425"/>
        <v>1</v>
      </c>
      <c r="BK310" s="42" t="b">
        <f t="shared" si="426"/>
        <v>0</v>
      </c>
      <c r="BL310" s="42" t="b">
        <f t="shared" si="427"/>
        <v>0</v>
      </c>
      <c r="BM310" s="42">
        <f t="shared" si="428"/>
        <v>0</v>
      </c>
      <c r="BN310" s="42">
        <f t="shared" si="429"/>
        <v>0</v>
      </c>
      <c r="BP310" t="e">
        <f t="shared" si="430"/>
        <v>#N/A</v>
      </c>
      <c r="BQ310" t="e">
        <f t="shared" si="431"/>
        <v>#N/A</v>
      </c>
      <c r="BR310" t="e">
        <f t="shared" si="432"/>
        <v>#N/A</v>
      </c>
      <c r="BT310" s="60">
        <f t="shared" si="433"/>
        <v>0</v>
      </c>
      <c r="BU310" s="60">
        <f t="shared" si="434"/>
        <v>0</v>
      </c>
      <c r="BV310" s="60">
        <f t="shared" si="435"/>
        <v>0</v>
      </c>
      <c r="BW310" s="60">
        <f t="shared" si="436"/>
        <v>0</v>
      </c>
      <c r="BX310" s="60">
        <f t="shared" si="437"/>
        <v>0</v>
      </c>
      <c r="BY310" s="60">
        <f t="shared" si="438"/>
        <v>0</v>
      </c>
      <c r="BZ310" s="60">
        <f t="shared" si="439"/>
        <v>0</v>
      </c>
      <c r="CA310" s="60">
        <f t="shared" si="440"/>
        <v>0</v>
      </c>
      <c r="CB310" s="60" t="e">
        <f t="shared" si="390"/>
        <v>#N/A</v>
      </c>
      <c r="CC310" s="60">
        <f t="shared" si="391"/>
        <v>100000</v>
      </c>
      <c r="CD310" s="60" t="e">
        <f t="shared" si="392"/>
        <v>#N/A</v>
      </c>
      <c r="CE310" s="60">
        <f t="shared" si="393"/>
        <v>100000</v>
      </c>
      <c r="CF310" s="83" t="e">
        <f t="shared" si="441"/>
        <v>#N/A</v>
      </c>
      <c r="CG310" s="83">
        <f t="shared" si="442"/>
        <v>0</v>
      </c>
      <c r="CH310" s="83" t="e">
        <f t="shared" si="443"/>
        <v>#N/A</v>
      </c>
      <c r="CI310" s="83">
        <f t="shared" si="444"/>
        <v>0</v>
      </c>
      <c r="CJ310" s="86" t="e">
        <f t="shared" si="394"/>
        <v>#N/A</v>
      </c>
      <c r="CK310" s="82">
        <f t="shared" si="395"/>
        <v>5.3070370403969858E-3</v>
      </c>
      <c r="CL310" s="82" t="e">
        <f t="shared" si="396"/>
        <v>#N/A</v>
      </c>
      <c r="CM310" s="82">
        <f t="shared" si="397"/>
        <v>5.3070370403969858E-3</v>
      </c>
      <c r="CO310" s="149" t="str">
        <f>IF($I310&lt;&gt;"",IF(O310="User Specified",U310,INDEX('Refrigerant GWPs'!$G$2:$G$156,MATCH(O310,'Refrigerant GWPs'!$A$2:$A$156,0))),"")</f>
        <v/>
      </c>
      <c r="CP310" s="138" t="str">
        <f>IF($I310&lt;&gt;"",INDEX('Device Refrigerant Leakage'!$E$2:$E$42,MATCH($M310,'Device Refrigerant Leakage'!$B$2:$B$42,0)),"")</f>
        <v/>
      </c>
      <c r="CQ310" s="138" t="str">
        <f>IF($I310&lt;&gt;"",INDEX('Device Refrigerant Leakage'!$F$2:$F$42,MATCH($M310,'Device Refrigerant Leakage'!$B$2:$B$42,0)),"")</f>
        <v/>
      </c>
      <c r="CR310" s="145" t="str">
        <f>IF($I310&lt;&gt;"",INDEX('Device Refrigerant Leakage'!$G$2:$G$42,MATCH($M310,'Device Refrigerant Leakage'!$B$2:$B$42,0)),"")</f>
        <v/>
      </c>
      <c r="CS310" s="145" t="str">
        <f>IF($I310&lt;&gt;"",INDEX('Device Refrigerant Leakage'!$D$2:$D$42,MATCH($M310,'Device Refrigerant Leakage'!$B$2:$B$42,0))*CP310/2204.62*CO310,"")</f>
        <v/>
      </c>
      <c r="CT310" s="145" t="str">
        <f>IF($I310&lt;&gt;"",J310*(INDEX('Device Refrigerant Leakage'!$D$2:$D$42,MATCH($M310,'Device Refrigerant Leakage'!$B$2:$B$42,0))-(INDEX('Device Refrigerant Leakage'!$D$2:$D$42,MATCH($M310,'Device Refrigerant Leakage'!$B$2:$B$42,0)))*CR310*CP310)*CQ310/2204.62*CO310,"")</f>
        <v/>
      </c>
      <c r="CU310" s="135" t="str">
        <f>IF($I310&lt;&gt;"",J310*IF(W310&lt;&gt;"AR",(CS310*K310)+CT310,(CS310*AB310)+CT310*(AB310/INDEX('Device Refrigerant Leakage'!$C$2:$C$42,MATCH($M310,'Device Refrigerant Leakage'!$B$2:$B$42,0)))),"")</f>
        <v/>
      </c>
      <c r="CW310" s="135" t="str">
        <f>IF($I310&lt;&gt;"",IF(S310="User Specified",V310,INDEX('Refrigerant GWPs'!$G$2:$G$156,MATCH(S310,'Refrigerant GWPs'!$A$2:$A$157,0))),"")</f>
        <v/>
      </c>
      <c r="CX310" s="138" t="str">
        <f>IF($I310&lt;&gt;"",INDEX('Device Refrigerant Leakage'!$E$2:$E$42,MATCH($Q310,'Device Refrigerant Leakage'!$B$2:$B$42,0)),"")</f>
        <v/>
      </c>
      <c r="CY310" s="138" t="str">
        <f>IF($I310&lt;&gt;"",INDEX('Device Refrigerant Leakage'!$F$2:$F$42,MATCH($Q310,'Device Refrigerant Leakage'!$B$2:$B$42,0)),"")</f>
        <v/>
      </c>
      <c r="CZ310" s="145" t="str">
        <f>IF($I310&lt;&gt;"",INDEX('Device Refrigerant Leakage'!$G$2:$G$42,MATCH($Q310,'Device Refrigerant Leakage'!$B$2:$B$42,0)),"")</f>
        <v/>
      </c>
      <c r="DA310" s="145" t="str">
        <f>IF($I310&lt;&gt;"",J310*INDEX('Device Refrigerant Leakage'!$D$2:$D$42,MATCH($Q310,'Device Refrigerant Leakage'!$B$2:$B$42,0))*CX310/2204.62*CW310,"")</f>
        <v/>
      </c>
      <c r="DB310" s="145" t="str">
        <f>IF($I310&lt;&gt;"",J310*(INDEX('Device Refrigerant Leakage'!$D$2:$D$42,MATCH($Q310,'Device Refrigerant Leakage'!$B$2:$B$42,0))-(INDEX('Device Refrigerant Leakage'!$D$2:$D$42,MATCH($Q310,'Device Refrigerant Leakage'!$B$2:$B$42,0)))*CZ310*CX310)*CY310/2204.62*CW310,"")</f>
        <v/>
      </c>
      <c r="DC310" s="135" t="str">
        <f t="shared" si="416"/>
        <v/>
      </c>
      <c r="DE310" s="146" t="str">
        <f>IF(W310&lt;&gt;"AR","",IF(Y310="User Specified", AA310, INDEX('Refrigerant GWPs'!$G$2:$G$154,MATCH(Y310,'Refrigerant GWPs'!$A$2:$A$154,0))))</f>
        <v/>
      </c>
      <c r="DF310" s="146" t="str">
        <f>IF(W310&lt;&gt;"AR","",INDEX('Device Refrigerant Leakage'!$E$2:$E$42,MATCH(X310,'Device Refrigerant Leakage'!$B$2:$B$42,0)))</f>
        <v/>
      </c>
      <c r="DG310" s="146" t="str">
        <f>IF(W310&lt;&gt;"AR","",INDEX('Device Refrigerant Leakage'!$F$2:$F$42,MATCH(X310,'Device Refrigerant Leakage'!$B$2:$B$42,0)))</f>
        <v/>
      </c>
      <c r="DH310" s="146" t="str">
        <f>IF(W310&lt;&gt;"AR","",INDEX('Device Refrigerant Leakage'!$G$2:$G$42,MATCH(X310,'Device Refrigerant Leakage'!$B$2:$B$42,0)))</f>
        <v/>
      </c>
      <c r="DI310" s="146" t="str">
        <f>IF(W310&lt;&gt;"AR","",J310*INDEX('Device Refrigerant Leakage'!$D$2:$D$42,MATCH(X310,'Device Refrigerant Leakage'!$B$2:$B$42,0))*DF310/2204.62*DE310)</f>
        <v/>
      </c>
      <c r="DJ310" s="146" t="str">
        <f>IF(W310&lt;&gt;"AR","",J310*(INDEX('Device Refrigerant Leakage'!$D$2:$D$42,MATCH(X310,'Device Refrigerant Leakage'!$B$2:$B$42,0))-(INDEX('Device Refrigerant Leakage'!$D$2:$D$42,MATCH(X310,'Device Refrigerant Leakage'!$B$2:$B$42,0)))*DH310*DF310)*DG310/2204.62*DE310)</f>
        <v/>
      </c>
      <c r="DK310" s="146" t="str">
        <f>IF(W310&lt;&gt;"AR","",DI310*(K310-AB310)+'Fuel Sub Calcs-Deemed'!DJ310*((K310-AB310)/INDEX('Device Refrigerant Leakage'!$C$2:$C$42,MATCH('Fuel Sub Calcs-Deemed'!X310,'Device Refrigerant Leakage'!$B$2:$B$42,0))))</f>
        <v/>
      </c>
      <c r="DM310" s="56">
        <v>296</v>
      </c>
      <c r="DN310" s="67" t="e">
        <f t="shared" si="398"/>
        <v>#N/A</v>
      </c>
      <c r="DO310" s="45" t="e">
        <f t="shared" si="399"/>
        <v>#N/A</v>
      </c>
      <c r="DP310" s="67" t="e">
        <f t="shared" si="400"/>
        <v>#N/A</v>
      </c>
      <c r="DQ310" s="45" t="e">
        <f t="shared" si="401"/>
        <v>#N/A</v>
      </c>
      <c r="DR310" s="69" t="e">
        <f t="shared" si="402"/>
        <v>#N/A</v>
      </c>
      <c r="DS310" s="34"/>
      <c r="DT310" s="67" t="e">
        <f>((BX310*CJ310)+IF($W310=MAT_AR,(BZ310*CL310),0))*(1+Reference!$E$50+Reference!$E$51)</f>
        <v>#N/A</v>
      </c>
      <c r="DU310" s="67">
        <f>((BY310*CK310)+IF($W310=MAT_AR,(CA310*CM310),0))*(1+Reference!$G$50+Reference!$G$51)</f>
        <v>0</v>
      </c>
      <c r="DV310" s="67" t="e">
        <f t="shared" si="403"/>
        <v>#VALUE!</v>
      </c>
      <c r="DX310" s="56">
        <v>296</v>
      </c>
      <c r="DY310" s="67">
        <f t="shared" si="404"/>
        <v>0</v>
      </c>
      <c r="DZ310" s="45" t="e">
        <f>VLOOKUP($R310,Dropdown!$C$3:$D$4,2,FALSE)</f>
        <v>#N/A</v>
      </c>
      <c r="EA310" s="68">
        <f t="shared" si="405"/>
        <v>0</v>
      </c>
      <c r="EB310" s="68" t="str">
        <f t="shared" si="406"/>
        <v>N/A</v>
      </c>
      <c r="EC310" s="68">
        <f t="shared" si="407"/>
        <v>0</v>
      </c>
      <c r="ED310" s="68" t="str">
        <f t="shared" si="445"/>
        <v>N/A</v>
      </c>
      <c r="EF310" s="56">
        <v>296</v>
      </c>
      <c r="EG310" s="46">
        <f t="shared" si="408"/>
        <v>0</v>
      </c>
      <c r="EH310" s="68" t="e">
        <f t="shared" si="409"/>
        <v>#N/A</v>
      </c>
      <c r="EI310" s="68" t="e">
        <f t="shared" si="410"/>
        <v>#N/A</v>
      </c>
      <c r="EJ310" s="68" t="e">
        <f t="shared" si="411"/>
        <v>#N/A</v>
      </c>
      <c r="EK310" s="68" t="e">
        <f t="shared" si="412"/>
        <v>#N/A</v>
      </c>
      <c r="EL310" s="46">
        <f t="shared" si="413"/>
        <v>0</v>
      </c>
      <c r="EM310" s="46">
        <f t="shared" si="414"/>
        <v>0</v>
      </c>
    </row>
    <row r="311" spans="1:143">
      <c r="A311" s="89"/>
      <c r="B311" s="89"/>
      <c r="C311" s="89"/>
      <c r="D311" s="89"/>
      <c r="E311" s="89"/>
      <c r="F311" s="89"/>
      <c r="G311" s="34"/>
      <c r="H311" s="56">
        <f t="shared" si="415"/>
        <v>297</v>
      </c>
      <c r="I311" s="165"/>
      <c r="J311" s="163"/>
      <c r="K311" s="163"/>
      <c r="L311" s="164"/>
      <c r="M311" s="155"/>
      <c r="N311" s="155"/>
      <c r="O311" s="144"/>
      <c r="P311" s="159" t="str">
        <f>IFERROR(IF(O311&lt;&gt;"User Specified",IF(O311&lt;&gt;"", INDEX('Refrigerant GWPs'!$G$2:$G$154,MATCH(O311,'Refrigerant GWPs'!$A$2:$A$154,0)),""),U311),0)</f>
        <v/>
      </c>
      <c r="Q311" s="155"/>
      <c r="R311" s="155"/>
      <c r="S311" s="144"/>
      <c r="T311" s="159" t="str">
        <f>IF(S311&lt;&gt;"User Specified",IF(AND(S311&lt;&gt;"User Specified",S311&lt;&gt;""), INDEX('Refrigerant GWPs'!$G$2:$G$154,MATCH(S311,'Refrigerant GWPs'!$A$2:$A$154,0)),""),V311)</f>
        <v/>
      </c>
      <c r="U311" s="144"/>
      <c r="V311" s="144"/>
      <c r="W311" s="155"/>
      <c r="X311" s="155"/>
      <c r="Y311" s="144"/>
      <c r="Z311" s="159" t="str">
        <f>IF(AND(Y311&lt;&gt;"User Specified",Y311&lt;&gt;""), INDEX('Refrigerant GWPs'!$G$2:$G$154,MATCH(Y311,'Refrigerant GWPs'!$A$2:$A$154,0)),"")</f>
        <v/>
      </c>
      <c r="AA311" s="155"/>
      <c r="AB311" s="156"/>
      <c r="AC311" s="66"/>
      <c r="AD311" s="66"/>
      <c r="AE311" s="66"/>
      <c r="AF311" s="66"/>
      <c r="AG311" s="66"/>
      <c r="AH311" s="66"/>
      <c r="AI311" s="34"/>
      <c r="AJ311" s="88">
        <f t="shared" si="378"/>
        <v>0</v>
      </c>
      <c r="AK311" s="88">
        <f t="shared" si="379"/>
        <v>0</v>
      </c>
      <c r="AL311" s="88">
        <v>0</v>
      </c>
      <c r="AM311" s="88">
        <v>0</v>
      </c>
      <c r="AN311" s="81" t="str">
        <f t="shared" si="417"/>
        <v/>
      </c>
      <c r="AO311" s="88">
        <f t="shared" si="380"/>
        <v>0</v>
      </c>
      <c r="AP311" s="88">
        <f t="shared" si="381"/>
        <v>0</v>
      </c>
      <c r="AQ311" s="81" t="str">
        <f t="shared" si="382"/>
        <v/>
      </c>
      <c r="AS311" s="41" t="b">
        <f t="shared" si="383"/>
        <v>1</v>
      </c>
      <c r="AT311" s="38">
        <f t="shared" si="384"/>
        <v>0</v>
      </c>
      <c r="AU311" s="60">
        <f t="shared" si="385"/>
        <v>0</v>
      </c>
      <c r="AV311" s="41">
        <f t="shared" si="386"/>
        <v>0</v>
      </c>
      <c r="AW311" s="41" t="b">
        <f t="shared" si="387"/>
        <v>0</v>
      </c>
      <c r="AX311" t="str">
        <f t="shared" si="388"/>
        <v>+00</v>
      </c>
      <c r="AY311" t="str">
        <f t="shared" si="389"/>
        <v>+00</v>
      </c>
      <c r="BA311" s="47" t="b">
        <f t="shared" si="418"/>
        <v>1</v>
      </c>
      <c r="BB311" s="42" t="b">
        <f t="shared" si="419"/>
        <v>1</v>
      </c>
      <c r="BC311" s="42" t="b">
        <f t="shared" si="420"/>
        <v>0</v>
      </c>
      <c r="BD311" s="42" t="b">
        <f t="shared" si="421"/>
        <v>0</v>
      </c>
      <c r="BE311" s="70">
        <f t="shared" si="422"/>
        <v>0</v>
      </c>
      <c r="BF311" s="70">
        <f t="shared" si="423"/>
        <v>0</v>
      </c>
      <c r="BG311" s="34"/>
      <c r="BI311" s="47" t="b">
        <f t="shared" si="424"/>
        <v>1</v>
      </c>
      <c r="BJ311" s="47" t="b">
        <f t="shared" si="425"/>
        <v>1</v>
      </c>
      <c r="BK311" s="42" t="b">
        <f t="shared" si="426"/>
        <v>0</v>
      </c>
      <c r="BL311" s="42" t="b">
        <f t="shared" si="427"/>
        <v>0</v>
      </c>
      <c r="BM311" s="42">
        <f t="shared" si="428"/>
        <v>0</v>
      </c>
      <c r="BN311" s="42">
        <f t="shared" si="429"/>
        <v>0</v>
      </c>
      <c r="BP311" t="e">
        <f t="shared" si="430"/>
        <v>#N/A</v>
      </c>
      <c r="BQ311" t="e">
        <f t="shared" si="431"/>
        <v>#N/A</v>
      </c>
      <c r="BR311" t="e">
        <f t="shared" si="432"/>
        <v>#N/A</v>
      </c>
      <c r="BT311" s="60">
        <f t="shared" si="433"/>
        <v>0</v>
      </c>
      <c r="BU311" s="60">
        <f t="shared" si="434"/>
        <v>0</v>
      </c>
      <c r="BV311" s="60">
        <f t="shared" si="435"/>
        <v>0</v>
      </c>
      <c r="BW311" s="60">
        <f t="shared" si="436"/>
        <v>0</v>
      </c>
      <c r="BX311" s="60">
        <f t="shared" si="437"/>
        <v>0</v>
      </c>
      <c r="BY311" s="60">
        <f t="shared" si="438"/>
        <v>0</v>
      </c>
      <c r="BZ311" s="60">
        <f t="shared" si="439"/>
        <v>0</v>
      </c>
      <c r="CA311" s="60">
        <f t="shared" si="440"/>
        <v>0</v>
      </c>
      <c r="CB311" s="60" t="e">
        <f t="shared" si="390"/>
        <v>#N/A</v>
      </c>
      <c r="CC311" s="60">
        <f t="shared" si="391"/>
        <v>100000</v>
      </c>
      <c r="CD311" s="60" t="e">
        <f t="shared" si="392"/>
        <v>#N/A</v>
      </c>
      <c r="CE311" s="60">
        <f t="shared" si="393"/>
        <v>100000</v>
      </c>
      <c r="CF311" s="83" t="e">
        <f t="shared" si="441"/>
        <v>#N/A</v>
      </c>
      <c r="CG311" s="83">
        <f t="shared" si="442"/>
        <v>0</v>
      </c>
      <c r="CH311" s="83" t="e">
        <f t="shared" si="443"/>
        <v>#N/A</v>
      </c>
      <c r="CI311" s="83">
        <f t="shared" si="444"/>
        <v>0</v>
      </c>
      <c r="CJ311" s="86" t="e">
        <f t="shared" si="394"/>
        <v>#N/A</v>
      </c>
      <c r="CK311" s="82">
        <f t="shared" si="395"/>
        <v>5.3070370403969858E-3</v>
      </c>
      <c r="CL311" s="82" t="e">
        <f t="shared" si="396"/>
        <v>#N/A</v>
      </c>
      <c r="CM311" s="82">
        <f t="shared" si="397"/>
        <v>5.3070370403969858E-3</v>
      </c>
      <c r="CO311" s="149" t="str">
        <f>IF($I311&lt;&gt;"",IF(O311="User Specified",U311,INDEX('Refrigerant GWPs'!$G$2:$G$156,MATCH(O311,'Refrigerant GWPs'!$A$2:$A$156,0))),"")</f>
        <v/>
      </c>
      <c r="CP311" s="138" t="str">
        <f>IF($I311&lt;&gt;"",INDEX('Device Refrigerant Leakage'!$E$2:$E$42,MATCH($M311,'Device Refrigerant Leakage'!$B$2:$B$42,0)),"")</f>
        <v/>
      </c>
      <c r="CQ311" s="138" t="str">
        <f>IF($I311&lt;&gt;"",INDEX('Device Refrigerant Leakage'!$F$2:$F$42,MATCH($M311,'Device Refrigerant Leakage'!$B$2:$B$42,0)),"")</f>
        <v/>
      </c>
      <c r="CR311" s="145" t="str">
        <f>IF($I311&lt;&gt;"",INDEX('Device Refrigerant Leakage'!$G$2:$G$42,MATCH($M311,'Device Refrigerant Leakage'!$B$2:$B$42,0)),"")</f>
        <v/>
      </c>
      <c r="CS311" s="145" t="str">
        <f>IF($I311&lt;&gt;"",INDEX('Device Refrigerant Leakage'!$D$2:$D$42,MATCH($M311,'Device Refrigerant Leakage'!$B$2:$B$42,0))*CP311/2204.62*CO311,"")</f>
        <v/>
      </c>
      <c r="CT311" s="145" t="str">
        <f>IF($I311&lt;&gt;"",J311*(INDEX('Device Refrigerant Leakage'!$D$2:$D$42,MATCH($M311,'Device Refrigerant Leakage'!$B$2:$B$42,0))-(INDEX('Device Refrigerant Leakage'!$D$2:$D$42,MATCH($M311,'Device Refrigerant Leakage'!$B$2:$B$42,0)))*CR311*CP311)*CQ311/2204.62*CO311,"")</f>
        <v/>
      </c>
      <c r="CU311" s="135" t="str">
        <f>IF($I311&lt;&gt;"",J311*IF(W311&lt;&gt;"AR",(CS311*K311)+CT311,(CS311*AB311)+CT311*(AB311/INDEX('Device Refrigerant Leakage'!$C$2:$C$42,MATCH($M311,'Device Refrigerant Leakage'!$B$2:$B$42,0)))),"")</f>
        <v/>
      </c>
      <c r="CW311" s="135" t="str">
        <f>IF($I311&lt;&gt;"",IF(S311="User Specified",V311,INDEX('Refrigerant GWPs'!$G$2:$G$156,MATCH(S311,'Refrigerant GWPs'!$A$2:$A$157,0))),"")</f>
        <v/>
      </c>
      <c r="CX311" s="138" t="str">
        <f>IF($I311&lt;&gt;"",INDEX('Device Refrigerant Leakage'!$E$2:$E$42,MATCH($Q311,'Device Refrigerant Leakage'!$B$2:$B$42,0)),"")</f>
        <v/>
      </c>
      <c r="CY311" s="138" t="str">
        <f>IF($I311&lt;&gt;"",INDEX('Device Refrigerant Leakage'!$F$2:$F$42,MATCH($Q311,'Device Refrigerant Leakage'!$B$2:$B$42,0)),"")</f>
        <v/>
      </c>
      <c r="CZ311" s="145" t="str">
        <f>IF($I311&lt;&gt;"",INDEX('Device Refrigerant Leakage'!$G$2:$G$42,MATCH($Q311,'Device Refrigerant Leakage'!$B$2:$B$42,0)),"")</f>
        <v/>
      </c>
      <c r="DA311" s="145" t="str">
        <f>IF($I311&lt;&gt;"",J311*INDEX('Device Refrigerant Leakage'!$D$2:$D$42,MATCH($Q311,'Device Refrigerant Leakage'!$B$2:$B$42,0))*CX311/2204.62*CW311,"")</f>
        <v/>
      </c>
      <c r="DB311" s="145" t="str">
        <f>IF($I311&lt;&gt;"",J311*(INDEX('Device Refrigerant Leakage'!$D$2:$D$42,MATCH($Q311,'Device Refrigerant Leakage'!$B$2:$B$42,0))-(INDEX('Device Refrigerant Leakage'!$D$2:$D$42,MATCH($Q311,'Device Refrigerant Leakage'!$B$2:$B$42,0)))*CZ311*CX311)*CY311/2204.62*CW311,"")</f>
        <v/>
      </c>
      <c r="DC311" s="135" t="str">
        <f t="shared" si="416"/>
        <v/>
      </c>
      <c r="DE311" s="146" t="str">
        <f>IF(W311&lt;&gt;"AR","",IF(Y311="User Specified", AA311, INDEX('Refrigerant GWPs'!$G$2:$G$154,MATCH(Y311,'Refrigerant GWPs'!$A$2:$A$154,0))))</f>
        <v/>
      </c>
      <c r="DF311" s="146" t="str">
        <f>IF(W311&lt;&gt;"AR","",INDEX('Device Refrigerant Leakage'!$E$2:$E$42,MATCH(X311,'Device Refrigerant Leakage'!$B$2:$B$42,0)))</f>
        <v/>
      </c>
      <c r="DG311" s="146" t="str">
        <f>IF(W311&lt;&gt;"AR","",INDEX('Device Refrigerant Leakage'!$F$2:$F$42,MATCH(X311,'Device Refrigerant Leakage'!$B$2:$B$42,0)))</f>
        <v/>
      </c>
      <c r="DH311" s="146" t="str">
        <f>IF(W311&lt;&gt;"AR","",INDEX('Device Refrigerant Leakage'!$G$2:$G$42,MATCH(X311,'Device Refrigerant Leakage'!$B$2:$B$42,0)))</f>
        <v/>
      </c>
      <c r="DI311" s="146" t="str">
        <f>IF(W311&lt;&gt;"AR","",J311*INDEX('Device Refrigerant Leakage'!$D$2:$D$42,MATCH(X311,'Device Refrigerant Leakage'!$B$2:$B$42,0))*DF311/2204.62*DE311)</f>
        <v/>
      </c>
      <c r="DJ311" s="146" t="str">
        <f>IF(W311&lt;&gt;"AR","",J311*(INDEX('Device Refrigerant Leakage'!$D$2:$D$42,MATCH(X311,'Device Refrigerant Leakage'!$B$2:$B$42,0))-(INDEX('Device Refrigerant Leakage'!$D$2:$D$42,MATCH(X311,'Device Refrigerant Leakage'!$B$2:$B$42,0)))*DH311*DF311)*DG311/2204.62*DE311)</f>
        <v/>
      </c>
      <c r="DK311" s="146" t="str">
        <f>IF(W311&lt;&gt;"AR","",DI311*(K311-AB311)+'Fuel Sub Calcs-Deemed'!DJ311*((K311-AB311)/INDEX('Device Refrigerant Leakage'!$C$2:$C$42,MATCH('Fuel Sub Calcs-Deemed'!X311,'Device Refrigerant Leakage'!$B$2:$B$42,0))))</f>
        <v/>
      </c>
      <c r="DM311" s="56">
        <v>297</v>
      </c>
      <c r="DN311" s="67" t="e">
        <f t="shared" si="398"/>
        <v>#N/A</v>
      </c>
      <c r="DO311" s="45" t="e">
        <f t="shared" si="399"/>
        <v>#N/A</v>
      </c>
      <c r="DP311" s="67" t="e">
        <f t="shared" si="400"/>
        <v>#N/A</v>
      </c>
      <c r="DQ311" s="45" t="e">
        <f t="shared" si="401"/>
        <v>#N/A</v>
      </c>
      <c r="DR311" s="69" t="e">
        <f t="shared" si="402"/>
        <v>#N/A</v>
      </c>
      <c r="DS311" s="34"/>
      <c r="DT311" s="67" t="e">
        <f>((BX311*CJ311)+IF($W311=MAT_AR,(BZ311*CL311),0))*(1+Reference!$E$50+Reference!$E$51)</f>
        <v>#N/A</v>
      </c>
      <c r="DU311" s="67">
        <f>((BY311*CK311)+IF($W311=MAT_AR,(CA311*CM311),0))*(1+Reference!$G$50+Reference!$G$51)</f>
        <v>0</v>
      </c>
      <c r="DV311" s="67" t="e">
        <f t="shared" si="403"/>
        <v>#VALUE!</v>
      </c>
      <c r="DX311" s="56">
        <v>297</v>
      </c>
      <c r="DY311" s="67">
        <f t="shared" si="404"/>
        <v>0</v>
      </c>
      <c r="DZ311" s="45" t="e">
        <f>VLOOKUP($R311,Dropdown!$C$3:$D$4,2,FALSE)</f>
        <v>#N/A</v>
      </c>
      <c r="EA311" s="68">
        <f t="shared" si="405"/>
        <v>0</v>
      </c>
      <c r="EB311" s="68" t="str">
        <f t="shared" si="406"/>
        <v>N/A</v>
      </c>
      <c r="EC311" s="68">
        <f t="shared" si="407"/>
        <v>0</v>
      </c>
      <c r="ED311" s="68" t="str">
        <f t="shared" si="445"/>
        <v>N/A</v>
      </c>
      <c r="EF311" s="56">
        <v>297</v>
      </c>
      <c r="EG311" s="46">
        <f t="shared" si="408"/>
        <v>0</v>
      </c>
      <c r="EH311" s="68" t="e">
        <f t="shared" si="409"/>
        <v>#N/A</v>
      </c>
      <c r="EI311" s="68" t="e">
        <f t="shared" si="410"/>
        <v>#N/A</v>
      </c>
      <c r="EJ311" s="68" t="e">
        <f t="shared" si="411"/>
        <v>#N/A</v>
      </c>
      <c r="EK311" s="68" t="e">
        <f t="shared" si="412"/>
        <v>#N/A</v>
      </c>
      <c r="EL311" s="46">
        <f t="shared" si="413"/>
        <v>0</v>
      </c>
      <c r="EM311" s="46">
        <f t="shared" si="414"/>
        <v>0</v>
      </c>
    </row>
    <row r="312" spans="1:143">
      <c r="A312" s="89"/>
      <c r="B312" s="89"/>
      <c r="C312" s="89"/>
      <c r="D312" s="89"/>
      <c r="E312" s="89"/>
      <c r="F312" s="89"/>
      <c r="G312" s="34"/>
      <c r="H312" s="56">
        <f t="shared" si="415"/>
        <v>298</v>
      </c>
      <c r="I312" s="165"/>
      <c r="J312" s="163"/>
      <c r="K312" s="163"/>
      <c r="L312" s="164"/>
      <c r="M312" s="155"/>
      <c r="N312" s="155"/>
      <c r="O312" s="144"/>
      <c r="P312" s="159" t="str">
        <f>IFERROR(IF(O312&lt;&gt;"User Specified",IF(O312&lt;&gt;"", INDEX('Refrigerant GWPs'!$G$2:$G$154,MATCH(O312,'Refrigerant GWPs'!$A$2:$A$154,0)),""),U312),0)</f>
        <v/>
      </c>
      <c r="Q312" s="155"/>
      <c r="R312" s="155"/>
      <c r="S312" s="144"/>
      <c r="T312" s="159" t="str">
        <f>IF(S312&lt;&gt;"User Specified",IF(AND(S312&lt;&gt;"User Specified",S312&lt;&gt;""), INDEX('Refrigerant GWPs'!$G$2:$G$154,MATCH(S312,'Refrigerant GWPs'!$A$2:$A$154,0)),""),V312)</f>
        <v/>
      </c>
      <c r="U312" s="144"/>
      <c r="V312" s="144"/>
      <c r="W312" s="155"/>
      <c r="X312" s="155"/>
      <c r="Y312" s="144"/>
      <c r="Z312" s="159" t="str">
        <f>IF(AND(Y312&lt;&gt;"User Specified",Y312&lt;&gt;""), INDEX('Refrigerant GWPs'!$G$2:$G$154,MATCH(Y312,'Refrigerant GWPs'!$A$2:$A$154,0)),"")</f>
        <v/>
      </c>
      <c r="AA312" s="155"/>
      <c r="AB312" s="156"/>
      <c r="AC312" s="66"/>
      <c r="AD312" s="66"/>
      <c r="AE312" s="66"/>
      <c r="AF312" s="66"/>
      <c r="AG312" s="66"/>
      <c r="AH312" s="66"/>
      <c r="AI312" s="34"/>
      <c r="AJ312" s="88">
        <f t="shared" si="378"/>
        <v>0</v>
      </c>
      <c r="AK312" s="88">
        <f t="shared" si="379"/>
        <v>0</v>
      </c>
      <c r="AL312" s="88">
        <v>0</v>
      </c>
      <c r="AM312" s="88">
        <v>0</v>
      </c>
      <c r="AN312" s="81" t="str">
        <f t="shared" si="417"/>
        <v/>
      </c>
      <c r="AO312" s="88">
        <f t="shared" si="380"/>
        <v>0</v>
      </c>
      <c r="AP312" s="88">
        <f t="shared" si="381"/>
        <v>0</v>
      </c>
      <c r="AQ312" s="81" t="str">
        <f t="shared" si="382"/>
        <v/>
      </c>
      <c r="AS312" s="41" t="b">
        <f t="shared" si="383"/>
        <v>1</v>
      </c>
      <c r="AT312" s="38">
        <f t="shared" si="384"/>
        <v>0</v>
      </c>
      <c r="AU312" s="60">
        <f t="shared" si="385"/>
        <v>0</v>
      </c>
      <c r="AV312" s="41">
        <f t="shared" si="386"/>
        <v>0</v>
      </c>
      <c r="AW312" s="41" t="b">
        <f t="shared" si="387"/>
        <v>0</v>
      </c>
      <c r="AX312" t="str">
        <f t="shared" si="388"/>
        <v>+00</v>
      </c>
      <c r="AY312" t="str">
        <f t="shared" si="389"/>
        <v>+00</v>
      </c>
      <c r="BA312" s="47" t="b">
        <f t="shared" si="418"/>
        <v>1</v>
      </c>
      <c r="BB312" s="42" t="b">
        <f t="shared" si="419"/>
        <v>1</v>
      </c>
      <c r="BC312" s="42" t="b">
        <f t="shared" si="420"/>
        <v>0</v>
      </c>
      <c r="BD312" s="42" t="b">
        <f t="shared" si="421"/>
        <v>0</v>
      </c>
      <c r="BE312" s="70">
        <f t="shared" si="422"/>
        <v>0</v>
      </c>
      <c r="BF312" s="70">
        <f t="shared" si="423"/>
        <v>0</v>
      </c>
      <c r="BG312" s="34"/>
      <c r="BI312" s="47" t="b">
        <f t="shared" si="424"/>
        <v>1</v>
      </c>
      <c r="BJ312" s="47" t="b">
        <f t="shared" si="425"/>
        <v>1</v>
      </c>
      <c r="BK312" s="42" t="b">
        <f t="shared" si="426"/>
        <v>0</v>
      </c>
      <c r="BL312" s="42" t="b">
        <f t="shared" si="427"/>
        <v>0</v>
      </c>
      <c r="BM312" s="42">
        <f t="shared" si="428"/>
        <v>0</v>
      </c>
      <c r="BN312" s="42">
        <f t="shared" si="429"/>
        <v>0</v>
      </c>
      <c r="BP312" t="e">
        <f t="shared" si="430"/>
        <v>#N/A</v>
      </c>
      <c r="BQ312" t="e">
        <f t="shared" si="431"/>
        <v>#N/A</v>
      </c>
      <c r="BR312" t="e">
        <f t="shared" si="432"/>
        <v>#N/A</v>
      </c>
      <c r="BT312" s="60">
        <f t="shared" si="433"/>
        <v>0</v>
      </c>
      <c r="BU312" s="60">
        <f t="shared" si="434"/>
        <v>0</v>
      </c>
      <c r="BV312" s="60">
        <f t="shared" si="435"/>
        <v>0</v>
      </c>
      <c r="BW312" s="60">
        <f t="shared" si="436"/>
        <v>0</v>
      </c>
      <c r="BX312" s="60">
        <f t="shared" si="437"/>
        <v>0</v>
      </c>
      <c r="BY312" s="60">
        <f t="shared" si="438"/>
        <v>0</v>
      </c>
      <c r="BZ312" s="60">
        <f t="shared" si="439"/>
        <v>0</v>
      </c>
      <c r="CA312" s="60">
        <f t="shared" si="440"/>
        <v>0</v>
      </c>
      <c r="CB312" s="60" t="e">
        <f t="shared" si="390"/>
        <v>#N/A</v>
      </c>
      <c r="CC312" s="60">
        <f t="shared" si="391"/>
        <v>100000</v>
      </c>
      <c r="CD312" s="60" t="e">
        <f t="shared" si="392"/>
        <v>#N/A</v>
      </c>
      <c r="CE312" s="60">
        <f t="shared" si="393"/>
        <v>100000</v>
      </c>
      <c r="CF312" s="83" t="e">
        <f t="shared" si="441"/>
        <v>#N/A</v>
      </c>
      <c r="CG312" s="83">
        <f t="shared" si="442"/>
        <v>0</v>
      </c>
      <c r="CH312" s="83" t="e">
        <f t="shared" si="443"/>
        <v>#N/A</v>
      </c>
      <c r="CI312" s="83">
        <f t="shared" si="444"/>
        <v>0</v>
      </c>
      <c r="CJ312" s="86" t="e">
        <f t="shared" si="394"/>
        <v>#N/A</v>
      </c>
      <c r="CK312" s="82">
        <f t="shared" si="395"/>
        <v>5.3070370403969858E-3</v>
      </c>
      <c r="CL312" s="82" t="e">
        <f t="shared" si="396"/>
        <v>#N/A</v>
      </c>
      <c r="CM312" s="82">
        <f t="shared" si="397"/>
        <v>5.3070370403969858E-3</v>
      </c>
      <c r="CO312" s="149" t="str">
        <f>IF($I312&lt;&gt;"",IF(O312="User Specified",U312,INDEX('Refrigerant GWPs'!$G$2:$G$156,MATCH(O312,'Refrigerant GWPs'!$A$2:$A$156,0))),"")</f>
        <v/>
      </c>
      <c r="CP312" s="138" t="str">
        <f>IF($I312&lt;&gt;"",INDEX('Device Refrigerant Leakage'!$E$2:$E$42,MATCH($M312,'Device Refrigerant Leakage'!$B$2:$B$42,0)),"")</f>
        <v/>
      </c>
      <c r="CQ312" s="138" t="str">
        <f>IF($I312&lt;&gt;"",INDEX('Device Refrigerant Leakage'!$F$2:$F$42,MATCH($M312,'Device Refrigerant Leakage'!$B$2:$B$42,0)),"")</f>
        <v/>
      </c>
      <c r="CR312" s="145" t="str">
        <f>IF($I312&lt;&gt;"",INDEX('Device Refrigerant Leakage'!$G$2:$G$42,MATCH($M312,'Device Refrigerant Leakage'!$B$2:$B$42,0)),"")</f>
        <v/>
      </c>
      <c r="CS312" s="145" t="str">
        <f>IF($I312&lt;&gt;"",INDEX('Device Refrigerant Leakage'!$D$2:$D$42,MATCH($M312,'Device Refrigerant Leakage'!$B$2:$B$42,0))*CP312/2204.62*CO312,"")</f>
        <v/>
      </c>
      <c r="CT312" s="145" t="str">
        <f>IF($I312&lt;&gt;"",J312*(INDEX('Device Refrigerant Leakage'!$D$2:$D$42,MATCH($M312,'Device Refrigerant Leakage'!$B$2:$B$42,0))-(INDEX('Device Refrigerant Leakage'!$D$2:$D$42,MATCH($M312,'Device Refrigerant Leakage'!$B$2:$B$42,0)))*CR312*CP312)*CQ312/2204.62*CO312,"")</f>
        <v/>
      </c>
      <c r="CU312" s="135" t="str">
        <f>IF($I312&lt;&gt;"",J312*IF(W312&lt;&gt;"AR",(CS312*K312)+CT312,(CS312*AB312)+CT312*(AB312/INDEX('Device Refrigerant Leakage'!$C$2:$C$42,MATCH($M312,'Device Refrigerant Leakage'!$B$2:$B$42,0)))),"")</f>
        <v/>
      </c>
      <c r="CW312" s="135" t="str">
        <f>IF($I312&lt;&gt;"",IF(S312="User Specified",V312,INDEX('Refrigerant GWPs'!$G$2:$G$156,MATCH(S312,'Refrigerant GWPs'!$A$2:$A$157,0))),"")</f>
        <v/>
      </c>
      <c r="CX312" s="138" t="str">
        <f>IF($I312&lt;&gt;"",INDEX('Device Refrigerant Leakage'!$E$2:$E$42,MATCH($Q312,'Device Refrigerant Leakage'!$B$2:$B$42,0)),"")</f>
        <v/>
      </c>
      <c r="CY312" s="138" t="str">
        <f>IF($I312&lt;&gt;"",INDEX('Device Refrigerant Leakage'!$F$2:$F$42,MATCH($Q312,'Device Refrigerant Leakage'!$B$2:$B$42,0)),"")</f>
        <v/>
      </c>
      <c r="CZ312" s="145" t="str">
        <f>IF($I312&lt;&gt;"",INDEX('Device Refrigerant Leakage'!$G$2:$G$42,MATCH($Q312,'Device Refrigerant Leakage'!$B$2:$B$42,0)),"")</f>
        <v/>
      </c>
      <c r="DA312" s="145" t="str">
        <f>IF($I312&lt;&gt;"",J312*INDEX('Device Refrigerant Leakage'!$D$2:$D$42,MATCH($Q312,'Device Refrigerant Leakage'!$B$2:$B$42,0))*CX312/2204.62*CW312,"")</f>
        <v/>
      </c>
      <c r="DB312" s="145" t="str">
        <f>IF($I312&lt;&gt;"",J312*(INDEX('Device Refrigerant Leakage'!$D$2:$D$42,MATCH($Q312,'Device Refrigerant Leakage'!$B$2:$B$42,0))-(INDEX('Device Refrigerant Leakage'!$D$2:$D$42,MATCH($Q312,'Device Refrigerant Leakage'!$B$2:$B$42,0)))*CZ312*CX312)*CY312/2204.62*CW312,"")</f>
        <v/>
      </c>
      <c r="DC312" s="135" t="str">
        <f t="shared" si="416"/>
        <v/>
      </c>
      <c r="DE312" s="146" t="str">
        <f>IF(W312&lt;&gt;"AR","",IF(Y312="User Specified", AA312, INDEX('Refrigerant GWPs'!$G$2:$G$154,MATCH(Y312,'Refrigerant GWPs'!$A$2:$A$154,0))))</f>
        <v/>
      </c>
      <c r="DF312" s="146" t="str">
        <f>IF(W312&lt;&gt;"AR","",INDEX('Device Refrigerant Leakage'!$E$2:$E$42,MATCH(X312,'Device Refrigerant Leakage'!$B$2:$B$42,0)))</f>
        <v/>
      </c>
      <c r="DG312" s="146" t="str">
        <f>IF(W312&lt;&gt;"AR","",INDEX('Device Refrigerant Leakage'!$F$2:$F$42,MATCH(X312,'Device Refrigerant Leakage'!$B$2:$B$42,0)))</f>
        <v/>
      </c>
      <c r="DH312" s="146" t="str">
        <f>IF(W312&lt;&gt;"AR","",INDEX('Device Refrigerant Leakage'!$G$2:$G$42,MATCH(X312,'Device Refrigerant Leakage'!$B$2:$B$42,0)))</f>
        <v/>
      </c>
      <c r="DI312" s="146" t="str">
        <f>IF(W312&lt;&gt;"AR","",J312*INDEX('Device Refrigerant Leakage'!$D$2:$D$42,MATCH(X312,'Device Refrigerant Leakage'!$B$2:$B$42,0))*DF312/2204.62*DE312)</f>
        <v/>
      </c>
      <c r="DJ312" s="146" t="str">
        <f>IF(W312&lt;&gt;"AR","",J312*(INDEX('Device Refrigerant Leakage'!$D$2:$D$42,MATCH(X312,'Device Refrigerant Leakage'!$B$2:$B$42,0))-(INDEX('Device Refrigerant Leakage'!$D$2:$D$42,MATCH(X312,'Device Refrigerant Leakage'!$B$2:$B$42,0)))*DH312*DF312)*DG312/2204.62*DE312)</f>
        <v/>
      </c>
      <c r="DK312" s="146" t="str">
        <f>IF(W312&lt;&gt;"AR","",DI312*(K312-AB312)+'Fuel Sub Calcs-Deemed'!DJ312*((K312-AB312)/INDEX('Device Refrigerant Leakage'!$C$2:$C$42,MATCH('Fuel Sub Calcs-Deemed'!X312,'Device Refrigerant Leakage'!$B$2:$B$42,0))))</f>
        <v/>
      </c>
      <c r="DM312" s="56">
        <v>298</v>
      </c>
      <c r="DN312" s="67" t="e">
        <f t="shared" si="398"/>
        <v>#N/A</v>
      </c>
      <c r="DO312" s="45" t="e">
        <f t="shared" si="399"/>
        <v>#N/A</v>
      </c>
      <c r="DP312" s="67" t="e">
        <f t="shared" si="400"/>
        <v>#N/A</v>
      </c>
      <c r="DQ312" s="45" t="e">
        <f t="shared" si="401"/>
        <v>#N/A</v>
      </c>
      <c r="DR312" s="69" t="e">
        <f t="shared" si="402"/>
        <v>#N/A</v>
      </c>
      <c r="DS312" s="34"/>
      <c r="DT312" s="67" t="e">
        <f>((BX312*CJ312)+IF($W312=MAT_AR,(BZ312*CL312),0))*(1+Reference!$E$50+Reference!$E$51)</f>
        <v>#N/A</v>
      </c>
      <c r="DU312" s="67">
        <f>((BY312*CK312)+IF($W312=MAT_AR,(CA312*CM312),0))*(1+Reference!$G$50+Reference!$G$51)</f>
        <v>0</v>
      </c>
      <c r="DV312" s="67" t="e">
        <f t="shared" si="403"/>
        <v>#VALUE!</v>
      </c>
      <c r="DX312" s="56">
        <v>298</v>
      </c>
      <c r="DY312" s="67">
        <f t="shared" si="404"/>
        <v>0</v>
      </c>
      <c r="DZ312" s="45" t="e">
        <f>VLOOKUP($R312,Dropdown!$C$3:$D$4,2,FALSE)</f>
        <v>#N/A</v>
      </c>
      <c r="EA312" s="68">
        <f t="shared" si="405"/>
        <v>0</v>
      </c>
      <c r="EB312" s="68" t="str">
        <f t="shared" si="406"/>
        <v>N/A</v>
      </c>
      <c r="EC312" s="68">
        <f t="shared" si="407"/>
        <v>0</v>
      </c>
      <c r="ED312" s="68" t="str">
        <f t="shared" si="445"/>
        <v>N/A</v>
      </c>
      <c r="EF312" s="56">
        <v>298</v>
      </c>
      <c r="EG312" s="46">
        <f t="shared" si="408"/>
        <v>0</v>
      </c>
      <c r="EH312" s="68" t="e">
        <f t="shared" si="409"/>
        <v>#N/A</v>
      </c>
      <c r="EI312" s="68" t="e">
        <f t="shared" si="410"/>
        <v>#N/A</v>
      </c>
      <c r="EJ312" s="68" t="e">
        <f t="shared" si="411"/>
        <v>#N/A</v>
      </c>
      <c r="EK312" s="68" t="e">
        <f t="shared" si="412"/>
        <v>#N/A</v>
      </c>
      <c r="EL312" s="46">
        <f t="shared" si="413"/>
        <v>0</v>
      </c>
      <c r="EM312" s="46">
        <f t="shared" si="414"/>
        <v>0</v>
      </c>
    </row>
    <row r="313" spans="1:143">
      <c r="A313" s="89"/>
      <c r="B313" s="89"/>
      <c r="C313" s="89"/>
      <c r="D313" s="89"/>
      <c r="E313" s="89"/>
      <c r="F313" s="89"/>
      <c r="G313" s="34"/>
      <c r="H313" s="56">
        <f t="shared" si="415"/>
        <v>299</v>
      </c>
      <c r="I313" s="165"/>
      <c r="J313" s="163"/>
      <c r="K313" s="163"/>
      <c r="L313" s="164"/>
      <c r="M313" s="155"/>
      <c r="N313" s="155"/>
      <c r="O313" s="144"/>
      <c r="P313" s="159" t="str">
        <f>IFERROR(IF(O313&lt;&gt;"User Specified",IF(O313&lt;&gt;"", INDEX('Refrigerant GWPs'!$G$2:$G$154,MATCH(O313,'Refrigerant GWPs'!$A$2:$A$154,0)),""),U313),0)</f>
        <v/>
      </c>
      <c r="Q313" s="155"/>
      <c r="R313" s="155"/>
      <c r="S313" s="144"/>
      <c r="T313" s="159" t="str">
        <f>IF(S313&lt;&gt;"User Specified",IF(AND(S313&lt;&gt;"User Specified",S313&lt;&gt;""), INDEX('Refrigerant GWPs'!$G$2:$G$154,MATCH(S313,'Refrigerant GWPs'!$A$2:$A$154,0)),""),V313)</f>
        <v/>
      </c>
      <c r="U313" s="144"/>
      <c r="V313" s="144"/>
      <c r="W313" s="155"/>
      <c r="X313" s="155"/>
      <c r="Y313" s="144"/>
      <c r="Z313" s="159" t="str">
        <f>IF(AND(Y313&lt;&gt;"User Specified",Y313&lt;&gt;""), INDEX('Refrigerant GWPs'!$G$2:$G$154,MATCH(Y313,'Refrigerant GWPs'!$A$2:$A$154,0)),"")</f>
        <v/>
      </c>
      <c r="AA313" s="155"/>
      <c r="AB313" s="156"/>
      <c r="AC313" s="66"/>
      <c r="AD313" s="66"/>
      <c r="AE313" s="66"/>
      <c r="AF313" s="66"/>
      <c r="AG313" s="66"/>
      <c r="AH313" s="66"/>
      <c r="AI313" s="34"/>
      <c r="AJ313" s="88">
        <f t="shared" si="378"/>
        <v>0</v>
      </c>
      <c r="AK313" s="88">
        <f t="shared" si="379"/>
        <v>0</v>
      </c>
      <c r="AL313" s="88">
        <v>0</v>
      </c>
      <c r="AM313" s="88">
        <v>0</v>
      </c>
      <c r="AN313" s="81" t="str">
        <f t="shared" si="417"/>
        <v/>
      </c>
      <c r="AO313" s="88">
        <f t="shared" si="380"/>
        <v>0</v>
      </c>
      <c r="AP313" s="88">
        <f t="shared" si="381"/>
        <v>0</v>
      </c>
      <c r="AQ313" s="81" t="str">
        <f t="shared" si="382"/>
        <v/>
      </c>
      <c r="AS313" s="41" t="b">
        <f t="shared" si="383"/>
        <v>1</v>
      </c>
      <c r="AT313" s="38">
        <f t="shared" si="384"/>
        <v>0</v>
      </c>
      <c r="AU313" s="60">
        <f t="shared" si="385"/>
        <v>0</v>
      </c>
      <c r="AV313" s="41">
        <f t="shared" si="386"/>
        <v>0</v>
      </c>
      <c r="AW313" s="41" t="b">
        <f t="shared" si="387"/>
        <v>0</v>
      </c>
      <c r="AX313" t="str">
        <f t="shared" si="388"/>
        <v>+00</v>
      </c>
      <c r="AY313" t="str">
        <f t="shared" si="389"/>
        <v>+00</v>
      </c>
      <c r="BA313" s="47" t="b">
        <f t="shared" si="418"/>
        <v>1</v>
      </c>
      <c r="BB313" s="42" t="b">
        <f t="shared" si="419"/>
        <v>1</v>
      </c>
      <c r="BC313" s="42" t="b">
        <f t="shared" si="420"/>
        <v>0</v>
      </c>
      <c r="BD313" s="42" t="b">
        <f t="shared" si="421"/>
        <v>0</v>
      </c>
      <c r="BE313" s="70">
        <f t="shared" si="422"/>
        <v>0</v>
      </c>
      <c r="BF313" s="70">
        <f t="shared" si="423"/>
        <v>0</v>
      </c>
      <c r="BG313" s="34"/>
      <c r="BI313" s="47" t="b">
        <f t="shared" si="424"/>
        <v>1</v>
      </c>
      <c r="BJ313" s="47" t="b">
        <f t="shared" si="425"/>
        <v>1</v>
      </c>
      <c r="BK313" s="42" t="b">
        <f t="shared" si="426"/>
        <v>0</v>
      </c>
      <c r="BL313" s="42" t="b">
        <f t="shared" si="427"/>
        <v>0</v>
      </c>
      <c r="BM313" s="42">
        <f t="shared" si="428"/>
        <v>0</v>
      </c>
      <c r="BN313" s="42">
        <f t="shared" si="429"/>
        <v>0</v>
      </c>
      <c r="BP313" t="e">
        <f t="shared" si="430"/>
        <v>#N/A</v>
      </c>
      <c r="BQ313" t="e">
        <f t="shared" si="431"/>
        <v>#N/A</v>
      </c>
      <c r="BR313" t="e">
        <f t="shared" si="432"/>
        <v>#N/A</v>
      </c>
      <c r="BT313" s="60">
        <f t="shared" si="433"/>
        <v>0</v>
      </c>
      <c r="BU313" s="60">
        <f t="shared" si="434"/>
        <v>0</v>
      </c>
      <c r="BV313" s="60">
        <f t="shared" si="435"/>
        <v>0</v>
      </c>
      <c r="BW313" s="60">
        <f t="shared" si="436"/>
        <v>0</v>
      </c>
      <c r="BX313" s="60">
        <f t="shared" si="437"/>
        <v>0</v>
      </c>
      <c r="BY313" s="60">
        <f t="shared" si="438"/>
        <v>0</v>
      </c>
      <c r="BZ313" s="60">
        <f t="shared" si="439"/>
        <v>0</v>
      </c>
      <c r="CA313" s="60">
        <f t="shared" si="440"/>
        <v>0</v>
      </c>
      <c r="CB313" s="60" t="e">
        <f t="shared" si="390"/>
        <v>#N/A</v>
      </c>
      <c r="CC313" s="60">
        <f t="shared" si="391"/>
        <v>100000</v>
      </c>
      <c r="CD313" s="60" t="e">
        <f t="shared" si="392"/>
        <v>#N/A</v>
      </c>
      <c r="CE313" s="60">
        <f t="shared" si="393"/>
        <v>100000</v>
      </c>
      <c r="CF313" s="83" t="e">
        <f t="shared" si="441"/>
        <v>#N/A</v>
      </c>
      <c r="CG313" s="83">
        <f t="shared" si="442"/>
        <v>0</v>
      </c>
      <c r="CH313" s="83" t="e">
        <f t="shared" si="443"/>
        <v>#N/A</v>
      </c>
      <c r="CI313" s="83">
        <f t="shared" si="444"/>
        <v>0</v>
      </c>
      <c r="CJ313" s="86" t="e">
        <f t="shared" si="394"/>
        <v>#N/A</v>
      </c>
      <c r="CK313" s="82">
        <f t="shared" si="395"/>
        <v>5.3070370403969858E-3</v>
      </c>
      <c r="CL313" s="82" t="e">
        <f t="shared" si="396"/>
        <v>#N/A</v>
      </c>
      <c r="CM313" s="82">
        <f t="shared" si="397"/>
        <v>5.3070370403969858E-3</v>
      </c>
      <c r="CO313" s="149" t="str">
        <f>IF($I313&lt;&gt;"",IF(O313="User Specified",U313,INDEX('Refrigerant GWPs'!$G$2:$G$156,MATCH(O313,'Refrigerant GWPs'!$A$2:$A$156,0))),"")</f>
        <v/>
      </c>
      <c r="CP313" s="138" t="str">
        <f>IF($I313&lt;&gt;"",INDEX('Device Refrigerant Leakage'!$E$2:$E$42,MATCH($M313,'Device Refrigerant Leakage'!$B$2:$B$42,0)),"")</f>
        <v/>
      </c>
      <c r="CQ313" s="138" t="str">
        <f>IF($I313&lt;&gt;"",INDEX('Device Refrigerant Leakage'!$F$2:$F$42,MATCH($M313,'Device Refrigerant Leakage'!$B$2:$B$42,0)),"")</f>
        <v/>
      </c>
      <c r="CR313" s="145" t="str">
        <f>IF($I313&lt;&gt;"",INDEX('Device Refrigerant Leakage'!$G$2:$G$42,MATCH($M313,'Device Refrigerant Leakage'!$B$2:$B$42,0)),"")</f>
        <v/>
      </c>
      <c r="CS313" s="145" t="str">
        <f>IF($I313&lt;&gt;"",INDEX('Device Refrigerant Leakage'!$D$2:$D$42,MATCH($M313,'Device Refrigerant Leakage'!$B$2:$B$42,0))*CP313/2204.62*CO313,"")</f>
        <v/>
      </c>
      <c r="CT313" s="145" t="str">
        <f>IF($I313&lt;&gt;"",J313*(INDEX('Device Refrigerant Leakage'!$D$2:$D$42,MATCH($M313,'Device Refrigerant Leakage'!$B$2:$B$42,0))-(INDEX('Device Refrigerant Leakage'!$D$2:$D$42,MATCH($M313,'Device Refrigerant Leakage'!$B$2:$B$42,0)))*CR313*CP313)*CQ313/2204.62*CO313,"")</f>
        <v/>
      </c>
      <c r="CU313" s="135" t="str">
        <f>IF($I313&lt;&gt;"",J313*IF(W313&lt;&gt;"AR",(CS313*K313)+CT313,(CS313*AB313)+CT313*(AB313/INDEX('Device Refrigerant Leakage'!$C$2:$C$42,MATCH($M313,'Device Refrigerant Leakage'!$B$2:$B$42,0)))),"")</f>
        <v/>
      </c>
      <c r="CW313" s="135" t="str">
        <f>IF($I313&lt;&gt;"",IF(S313="User Specified",V313,INDEX('Refrigerant GWPs'!$G$2:$G$156,MATCH(S313,'Refrigerant GWPs'!$A$2:$A$157,0))),"")</f>
        <v/>
      </c>
      <c r="CX313" s="138" t="str">
        <f>IF($I313&lt;&gt;"",INDEX('Device Refrigerant Leakage'!$E$2:$E$42,MATCH($Q313,'Device Refrigerant Leakage'!$B$2:$B$42,0)),"")</f>
        <v/>
      </c>
      <c r="CY313" s="138" t="str">
        <f>IF($I313&lt;&gt;"",INDEX('Device Refrigerant Leakage'!$F$2:$F$42,MATCH($Q313,'Device Refrigerant Leakage'!$B$2:$B$42,0)),"")</f>
        <v/>
      </c>
      <c r="CZ313" s="145" t="str">
        <f>IF($I313&lt;&gt;"",INDEX('Device Refrigerant Leakage'!$G$2:$G$42,MATCH($Q313,'Device Refrigerant Leakage'!$B$2:$B$42,0)),"")</f>
        <v/>
      </c>
      <c r="DA313" s="145" t="str">
        <f>IF($I313&lt;&gt;"",J313*INDEX('Device Refrigerant Leakage'!$D$2:$D$42,MATCH($Q313,'Device Refrigerant Leakage'!$B$2:$B$42,0))*CX313/2204.62*CW313,"")</f>
        <v/>
      </c>
      <c r="DB313" s="145" t="str">
        <f>IF($I313&lt;&gt;"",J313*(INDEX('Device Refrigerant Leakage'!$D$2:$D$42,MATCH($Q313,'Device Refrigerant Leakage'!$B$2:$B$42,0))-(INDEX('Device Refrigerant Leakage'!$D$2:$D$42,MATCH($Q313,'Device Refrigerant Leakage'!$B$2:$B$42,0)))*CZ313*CX313)*CY313/2204.62*CW313,"")</f>
        <v/>
      </c>
      <c r="DC313" s="135" t="str">
        <f t="shared" si="416"/>
        <v/>
      </c>
      <c r="DE313" s="146" t="str">
        <f>IF(W313&lt;&gt;"AR","",IF(Y313="User Specified", AA313, INDEX('Refrigerant GWPs'!$G$2:$G$154,MATCH(Y313,'Refrigerant GWPs'!$A$2:$A$154,0))))</f>
        <v/>
      </c>
      <c r="DF313" s="146" t="str">
        <f>IF(W313&lt;&gt;"AR","",INDEX('Device Refrigerant Leakage'!$E$2:$E$42,MATCH(X313,'Device Refrigerant Leakage'!$B$2:$B$42,0)))</f>
        <v/>
      </c>
      <c r="DG313" s="146" t="str">
        <f>IF(W313&lt;&gt;"AR","",INDEX('Device Refrigerant Leakage'!$F$2:$F$42,MATCH(X313,'Device Refrigerant Leakage'!$B$2:$B$42,0)))</f>
        <v/>
      </c>
      <c r="DH313" s="146" t="str">
        <f>IF(W313&lt;&gt;"AR","",INDEX('Device Refrigerant Leakage'!$G$2:$G$42,MATCH(X313,'Device Refrigerant Leakage'!$B$2:$B$42,0)))</f>
        <v/>
      </c>
      <c r="DI313" s="146" t="str">
        <f>IF(W313&lt;&gt;"AR","",J313*INDEX('Device Refrigerant Leakage'!$D$2:$D$42,MATCH(X313,'Device Refrigerant Leakage'!$B$2:$B$42,0))*DF313/2204.62*DE313)</f>
        <v/>
      </c>
      <c r="DJ313" s="146" t="str">
        <f>IF(W313&lt;&gt;"AR","",J313*(INDEX('Device Refrigerant Leakage'!$D$2:$D$42,MATCH(X313,'Device Refrigerant Leakage'!$B$2:$B$42,0))-(INDEX('Device Refrigerant Leakage'!$D$2:$D$42,MATCH(X313,'Device Refrigerant Leakage'!$B$2:$B$42,0)))*DH313*DF313)*DG313/2204.62*DE313)</f>
        <v/>
      </c>
      <c r="DK313" s="146" t="str">
        <f>IF(W313&lt;&gt;"AR","",DI313*(K313-AB313)+'Fuel Sub Calcs-Deemed'!DJ313*((K313-AB313)/INDEX('Device Refrigerant Leakage'!$C$2:$C$42,MATCH('Fuel Sub Calcs-Deemed'!X313,'Device Refrigerant Leakage'!$B$2:$B$42,0))))</f>
        <v/>
      </c>
      <c r="DM313" s="56">
        <v>299</v>
      </c>
      <c r="DN313" s="67" t="e">
        <f t="shared" si="398"/>
        <v>#N/A</v>
      </c>
      <c r="DO313" s="45" t="e">
        <f t="shared" si="399"/>
        <v>#N/A</v>
      </c>
      <c r="DP313" s="67" t="e">
        <f t="shared" si="400"/>
        <v>#N/A</v>
      </c>
      <c r="DQ313" s="45" t="e">
        <f t="shared" si="401"/>
        <v>#N/A</v>
      </c>
      <c r="DR313" s="69" t="e">
        <f t="shared" si="402"/>
        <v>#N/A</v>
      </c>
      <c r="DS313" s="34"/>
      <c r="DT313" s="67" t="e">
        <f>((BX313*CJ313)+IF($W313=MAT_AR,(BZ313*CL313),0))*(1+Reference!$E$50+Reference!$E$51)</f>
        <v>#N/A</v>
      </c>
      <c r="DU313" s="67">
        <f>((BY313*CK313)+IF($W313=MAT_AR,(CA313*CM313),0))*(1+Reference!$G$50+Reference!$G$51)</f>
        <v>0</v>
      </c>
      <c r="DV313" s="67" t="e">
        <f t="shared" si="403"/>
        <v>#VALUE!</v>
      </c>
      <c r="DX313" s="56">
        <v>299</v>
      </c>
      <c r="DY313" s="67">
        <f t="shared" si="404"/>
        <v>0</v>
      </c>
      <c r="DZ313" s="45" t="e">
        <f>VLOOKUP($R313,Dropdown!$C$3:$D$4,2,FALSE)</f>
        <v>#N/A</v>
      </c>
      <c r="EA313" s="68">
        <f t="shared" si="405"/>
        <v>0</v>
      </c>
      <c r="EB313" s="68" t="str">
        <f t="shared" si="406"/>
        <v>N/A</v>
      </c>
      <c r="EC313" s="68">
        <f t="shared" si="407"/>
        <v>0</v>
      </c>
      <c r="ED313" s="68" t="str">
        <f t="shared" si="445"/>
        <v>N/A</v>
      </c>
      <c r="EF313" s="56">
        <v>299</v>
      </c>
      <c r="EG313" s="46">
        <f t="shared" si="408"/>
        <v>0</v>
      </c>
      <c r="EH313" s="68" t="e">
        <f t="shared" si="409"/>
        <v>#N/A</v>
      </c>
      <c r="EI313" s="68" t="e">
        <f t="shared" si="410"/>
        <v>#N/A</v>
      </c>
      <c r="EJ313" s="68" t="e">
        <f t="shared" si="411"/>
        <v>#N/A</v>
      </c>
      <c r="EK313" s="68" t="e">
        <f t="shared" si="412"/>
        <v>#N/A</v>
      </c>
      <c r="EL313" s="46">
        <f t="shared" si="413"/>
        <v>0</v>
      </c>
      <c r="EM313" s="46">
        <f t="shared" si="414"/>
        <v>0</v>
      </c>
    </row>
    <row r="314" spans="1:143">
      <c r="A314" s="89"/>
      <c r="B314" s="89"/>
      <c r="C314" s="89"/>
      <c r="D314" s="89"/>
      <c r="E314" s="89"/>
      <c r="F314" s="89"/>
      <c r="G314" s="34"/>
      <c r="H314" s="56">
        <f t="shared" si="415"/>
        <v>300</v>
      </c>
      <c r="I314" s="165"/>
      <c r="J314" s="163"/>
      <c r="K314" s="163"/>
      <c r="L314" s="164"/>
      <c r="M314" s="155"/>
      <c r="N314" s="155"/>
      <c r="O314" s="144"/>
      <c r="P314" s="159" t="str">
        <f>IFERROR(IF(O314&lt;&gt;"User Specified",IF(O314&lt;&gt;"", INDEX('Refrigerant GWPs'!$G$2:$G$154,MATCH(O314,'Refrigerant GWPs'!$A$2:$A$154,0)),""),U314),0)</f>
        <v/>
      </c>
      <c r="Q314" s="155"/>
      <c r="R314" s="155"/>
      <c r="S314" s="144"/>
      <c r="T314" s="159" t="str">
        <f>IF(S314&lt;&gt;"User Specified",IF(AND(S314&lt;&gt;"User Specified",S314&lt;&gt;""), INDEX('Refrigerant GWPs'!$G$2:$G$154,MATCH(S314,'Refrigerant GWPs'!$A$2:$A$154,0)),""),V314)</f>
        <v/>
      </c>
      <c r="U314" s="144"/>
      <c r="V314" s="144"/>
      <c r="W314" s="155"/>
      <c r="X314" s="155"/>
      <c r="Y314" s="144"/>
      <c r="Z314" s="159" t="str">
        <f>IF(AND(Y314&lt;&gt;"User Specified",Y314&lt;&gt;""), INDEX('Refrigerant GWPs'!$G$2:$G$154,MATCH(Y314,'Refrigerant GWPs'!$A$2:$A$154,0)),"")</f>
        <v/>
      </c>
      <c r="AA314" s="155"/>
      <c r="AB314" s="156"/>
      <c r="AC314" s="66"/>
      <c r="AD314" s="66"/>
      <c r="AE314" s="66"/>
      <c r="AF314" s="66"/>
      <c r="AG314" s="66"/>
      <c r="AH314" s="66"/>
      <c r="AI314" s="34"/>
      <c r="AJ314" s="88">
        <f t="shared" si="378"/>
        <v>0</v>
      </c>
      <c r="AK314" s="88">
        <f t="shared" si="379"/>
        <v>0</v>
      </c>
      <c r="AL314" s="88">
        <v>0</v>
      </c>
      <c r="AM314" s="88">
        <v>0</v>
      </c>
      <c r="AN314" s="81" t="str">
        <f t="shared" si="417"/>
        <v/>
      </c>
      <c r="AO314" s="88">
        <f t="shared" si="380"/>
        <v>0</v>
      </c>
      <c r="AP314" s="88">
        <f t="shared" si="381"/>
        <v>0</v>
      </c>
      <c r="AQ314" s="81" t="str">
        <f t="shared" si="382"/>
        <v/>
      </c>
      <c r="AS314" s="41" t="b">
        <f t="shared" si="383"/>
        <v>1</v>
      </c>
      <c r="AT314" s="38">
        <f t="shared" si="384"/>
        <v>0</v>
      </c>
      <c r="AU314" s="60">
        <f t="shared" si="385"/>
        <v>0</v>
      </c>
      <c r="AV314" s="41">
        <f t="shared" si="386"/>
        <v>0</v>
      </c>
      <c r="AW314" s="41" t="b">
        <f t="shared" si="387"/>
        <v>0</v>
      </c>
      <c r="AX314" t="str">
        <f t="shared" si="388"/>
        <v>+00</v>
      </c>
      <c r="AY314" t="str">
        <f t="shared" si="389"/>
        <v>+00</v>
      </c>
      <c r="BA314" s="47" t="b">
        <f t="shared" si="418"/>
        <v>1</v>
      </c>
      <c r="BB314" s="42" t="b">
        <f t="shared" si="419"/>
        <v>1</v>
      </c>
      <c r="BC314" s="42" t="b">
        <f t="shared" si="420"/>
        <v>0</v>
      </c>
      <c r="BD314" s="42" t="b">
        <f t="shared" si="421"/>
        <v>0</v>
      </c>
      <c r="BE314" s="70">
        <f t="shared" si="422"/>
        <v>0</v>
      </c>
      <c r="BF314" s="70">
        <f t="shared" si="423"/>
        <v>0</v>
      </c>
      <c r="BG314" s="34"/>
      <c r="BI314" s="47" t="b">
        <f t="shared" si="424"/>
        <v>1</v>
      </c>
      <c r="BJ314" s="47" t="b">
        <f t="shared" si="425"/>
        <v>1</v>
      </c>
      <c r="BK314" s="42" t="b">
        <f t="shared" si="426"/>
        <v>0</v>
      </c>
      <c r="BL314" s="42" t="b">
        <f t="shared" si="427"/>
        <v>0</v>
      </c>
      <c r="BM314" s="42">
        <f t="shared" si="428"/>
        <v>0</v>
      </c>
      <c r="BN314" s="42">
        <f t="shared" si="429"/>
        <v>0</v>
      </c>
      <c r="BP314" t="e">
        <f t="shared" si="430"/>
        <v>#N/A</v>
      </c>
      <c r="BQ314" t="e">
        <f t="shared" si="431"/>
        <v>#N/A</v>
      </c>
      <c r="BR314" t="e">
        <f t="shared" si="432"/>
        <v>#N/A</v>
      </c>
      <c r="BT314" s="60">
        <f t="shared" si="433"/>
        <v>0</v>
      </c>
      <c r="BU314" s="60">
        <f t="shared" si="434"/>
        <v>0</v>
      </c>
      <c r="BV314" s="60">
        <f t="shared" si="435"/>
        <v>0</v>
      </c>
      <c r="BW314" s="60">
        <f t="shared" si="436"/>
        <v>0</v>
      </c>
      <c r="BX314" s="60">
        <f t="shared" si="437"/>
        <v>0</v>
      </c>
      <c r="BY314" s="60">
        <f t="shared" si="438"/>
        <v>0</v>
      </c>
      <c r="BZ314" s="60">
        <f t="shared" si="439"/>
        <v>0</v>
      </c>
      <c r="CA314" s="60">
        <f t="shared" si="440"/>
        <v>0</v>
      </c>
      <c r="CB314" s="60" t="e">
        <f t="shared" si="390"/>
        <v>#N/A</v>
      </c>
      <c r="CC314" s="60">
        <f t="shared" si="391"/>
        <v>100000</v>
      </c>
      <c r="CD314" s="60" t="e">
        <f t="shared" si="392"/>
        <v>#N/A</v>
      </c>
      <c r="CE314" s="60">
        <f t="shared" si="393"/>
        <v>100000</v>
      </c>
      <c r="CF314" s="83" t="e">
        <f t="shared" si="441"/>
        <v>#N/A</v>
      </c>
      <c r="CG314" s="83">
        <f t="shared" si="442"/>
        <v>0</v>
      </c>
      <c r="CH314" s="83" t="e">
        <f t="shared" si="443"/>
        <v>#N/A</v>
      </c>
      <c r="CI314" s="83">
        <f t="shared" si="444"/>
        <v>0</v>
      </c>
      <c r="CJ314" s="86" t="e">
        <f t="shared" si="394"/>
        <v>#N/A</v>
      </c>
      <c r="CK314" s="82">
        <f t="shared" si="395"/>
        <v>5.3070370403969858E-3</v>
      </c>
      <c r="CL314" s="82" t="e">
        <f t="shared" si="396"/>
        <v>#N/A</v>
      </c>
      <c r="CM314" s="82">
        <f t="shared" si="397"/>
        <v>5.3070370403969858E-3</v>
      </c>
      <c r="CO314" s="149" t="str">
        <f>IF($I314&lt;&gt;"",IF(O314="User Specified",U314,INDEX('Refrigerant GWPs'!$G$2:$G$156,MATCH(O314,'Refrigerant GWPs'!$A$2:$A$156,0))),"")</f>
        <v/>
      </c>
      <c r="CP314" s="138" t="str">
        <f>IF($I314&lt;&gt;"",INDEX('Device Refrigerant Leakage'!$E$2:$E$42,MATCH($M314,'Device Refrigerant Leakage'!$B$2:$B$42,0)),"")</f>
        <v/>
      </c>
      <c r="CQ314" s="138" t="str">
        <f>IF($I314&lt;&gt;"",INDEX('Device Refrigerant Leakage'!$F$2:$F$42,MATCH($M314,'Device Refrigerant Leakage'!$B$2:$B$42,0)),"")</f>
        <v/>
      </c>
      <c r="CR314" s="145" t="str">
        <f>IF($I314&lt;&gt;"",INDEX('Device Refrigerant Leakage'!$G$2:$G$42,MATCH($M314,'Device Refrigerant Leakage'!$B$2:$B$42,0)),"")</f>
        <v/>
      </c>
      <c r="CS314" s="145" t="str">
        <f>IF($I314&lt;&gt;"",INDEX('Device Refrigerant Leakage'!$D$2:$D$42,MATCH($M314,'Device Refrigerant Leakage'!$B$2:$B$42,0))*CP314/2204.62*CO314,"")</f>
        <v/>
      </c>
      <c r="CT314" s="145" t="str">
        <f>IF($I314&lt;&gt;"",J314*(INDEX('Device Refrigerant Leakage'!$D$2:$D$42,MATCH($M314,'Device Refrigerant Leakage'!$B$2:$B$42,0))-(INDEX('Device Refrigerant Leakage'!$D$2:$D$42,MATCH($M314,'Device Refrigerant Leakage'!$B$2:$B$42,0)))*CR314*CP314)*CQ314/2204.62*CO314,"")</f>
        <v/>
      </c>
      <c r="CU314" s="135" t="str">
        <f>IF($I314&lt;&gt;"",J314*IF(W314&lt;&gt;"AR",(CS314*K314)+CT314,(CS314*AB314)+CT314*(AB314/INDEX('Device Refrigerant Leakage'!$C$2:$C$42,MATCH($M314,'Device Refrigerant Leakage'!$B$2:$B$42,0)))),"")</f>
        <v/>
      </c>
      <c r="CW314" s="135" t="str">
        <f>IF($I314&lt;&gt;"",IF(S314="User Specified",V314,INDEX('Refrigerant GWPs'!$G$2:$G$156,MATCH(S314,'Refrigerant GWPs'!$A$2:$A$157,0))),"")</f>
        <v/>
      </c>
      <c r="CX314" s="138" t="str">
        <f>IF($I314&lt;&gt;"",INDEX('Device Refrigerant Leakage'!$E$2:$E$42,MATCH($Q314,'Device Refrigerant Leakage'!$B$2:$B$42,0)),"")</f>
        <v/>
      </c>
      <c r="CY314" s="138" t="str">
        <f>IF($I314&lt;&gt;"",INDEX('Device Refrigerant Leakage'!$F$2:$F$42,MATCH($Q314,'Device Refrigerant Leakage'!$B$2:$B$42,0)),"")</f>
        <v/>
      </c>
      <c r="CZ314" s="145" t="str">
        <f>IF($I314&lt;&gt;"",INDEX('Device Refrigerant Leakage'!$G$2:$G$42,MATCH($Q314,'Device Refrigerant Leakage'!$B$2:$B$42,0)),"")</f>
        <v/>
      </c>
      <c r="DA314" s="145" t="str">
        <f>IF($I314&lt;&gt;"",J314*INDEX('Device Refrigerant Leakage'!$D$2:$D$42,MATCH($Q314,'Device Refrigerant Leakage'!$B$2:$B$42,0))*CX314/2204.62*CW314,"")</f>
        <v/>
      </c>
      <c r="DB314" s="145" t="str">
        <f>IF($I314&lt;&gt;"",J314*(INDEX('Device Refrigerant Leakage'!$D$2:$D$42,MATCH($Q314,'Device Refrigerant Leakage'!$B$2:$B$42,0))-(INDEX('Device Refrigerant Leakage'!$D$2:$D$42,MATCH($Q314,'Device Refrigerant Leakage'!$B$2:$B$42,0)))*CZ314*CX314)*CY314/2204.62*CW314,"")</f>
        <v/>
      </c>
      <c r="DC314" s="135" t="str">
        <f t="shared" si="416"/>
        <v/>
      </c>
      <c r="DE314" s="146" t="str">
        <f>IF(W314&lt;&gt;"AR","",IF(Y314="User Specified", AA314, INDEX('Refrigerant GWPs'!$G$2:$G$154,MATCH(Y314,'Refrigerant GWPs'!$A$2:$A$154,0))))</f>
        <v/>
      </c>
      <c r="DF314" s="146" t="str">
        <f>IF(W314&lt;&gt;"AR","",INDEX('Device Refrigerant Leakage'!$E$2:$E$42,MATCH(X314,'Device Refrigerant Leakage'!$B$2:$B$42,0)))</f>
        <v/>
      </c>
      <c r="DG314" s="146" t="str">
        <f>IF(W314&lt;&gt;"AR","",INDEX('Device Refrigerant Leakage'!$F$2:$F$42,MATCH(X314,'Device Refrigerant Leakage'!$B$2:$B$42,0)))</f>
        <v/>
      </c>
      <c r="DH314" s="146" t="str">
        <f>IF(W314&lt;&gt;"AR","",INDEX('Device Refrigerant Leakage'!$G$2:$G$42,MATCH(X314,'Device Refrigerant Leakage'!$B$2:$B$42,0)))</f>
        <v/>
      </c>
      <c r="DI314" s="146" t="str">
        <f>IF(W314&lt;&gt;"AR","",J314*INDEX('Device Refrigerant Leakage'!$D$2:$D$42,MATCH(X314,'Device Refrigerant Leakage'!$B$2:$B$42,0))*DF314/2204.62*DE314)</f>
        <v/>
      </c>
      <c r="DJ314" s="146" t="str">
        <f>IF(W314&lt;&gt;"AR","",J314*(INDEX('Device Refrigerant Leakage'!$D$2:$D$42,MATCH(X314,'Device Refrigerant Leakage'!$B$2:$B$42,0))-(INDEX('Device Refrigerant Leakage'!$D$2:$D$42,MATCH(X314,'Device Refrigerant Leakage'!$B$2:$B$42,0)))*DH314*DF314)*DG314/2204.62*DE314)</f>
        <v/>
      </c>
      <c r="DK314" s="146" t="str">
        <f>IF(W314&lt;&gt;"AR","",DI314*(K314-AB314)+'Fuel Sub Calcs-Deemed'!DJ314*((K314-AB314)/INDEX('Device Refrigerant Leakage'!$C$2:$C$42,MATCH('Fuel Sub Calcs-Deemed'!X314,'Device Refrigerant Leakage'!$B$2:$B$42,0))))</f>
        <v/>
      </c>
      <c r="DM314" s="56">
        <v>300</v>
      </c>
      <c r="DN314" s="67" t="e">
        <f t="shared" si="398"/>
        <v>#N/A</v>
      </c>
      <c r="DO314" s="45" t="e">
        <f t="shared" si="399"/>
        <v>#N/A</v>
      </c>
      <c r="DP314" s="67" t="e">
        <f t="shared" si="400"/>
        <v>#N/A</v>
      </c>
      <c r="DQ314" s="45" t="e">
        <f t="shared" si="401"/>
        <v>#N/A</v>
      </c>
      <c r="DR314" s="69" t="e">
        <f t="shared" si="402"/>
        <v>#N/A</v>
      </c>
      <c r="DS314" s="34"/>
      <c r="DT314" s="67" t="e">
        <f>((BX314*CJ314)+IF($W314=MAT_AR,(BZ314*CL314),0))*(1+Reference!$E$50+Reference!$E$51)</f>
        <v>#N/A</v>
      </c>
      <c r="DU314" s="67">
        <f>((BY314*CK314)+IF($W314=MAT_AR,(CA314*CM314),0))*(1+Reference!$G$50+Reference!$G$51)</f>
        <v>0</v>
      </c>
      <c r="DV314" s="67" t="e">
        <f t="shared" si="403"/>
        <v>#VALUE!</v>
      </c>
      <c r="DX314" s="56">
        <v>300</v>
      </c>
      <c r="DY314" s="67">
        <f t="shared" si="404"/>
        <v>0</v>
      </c>
      <c r="DZ314" s="45" t="e">
        <f>VLOOKUP($R314,Dropdown!$C$3:$D$4,2,FALSE)</f>
        <v>#N/A</v>
      </c>
      <c r="EA314" s="68">
        <f t="shared" si="405"/>
        <v>0</v>
      </c>
      <c r="EB314" s="68" t="str">
        <f t="shared" si="406"/>
        <v>N/A</v>
      </c>
      <c r="EC314" s="68">
        <f t="shared" si="407"/>
        <v>0</v>
      </c>
      <c r="ED314" s="68" t="str">
        <f t="shared" si="445"/>
        <v>N/A</v>
      </c>
      <c r="EF314" s="56">
        <v>300</v>
      </c>
      <c r="EG314" s="46">
        <f t="shared" si="408"/>
        <v>0</v>
      </c>
      <c r="EH314" s="68" t="e">
        <f t="shared" si="409"/>
        <v>#N/A</v>
      </c>
      <c r="EI314" s="68" t="e">
        <f t="shared" si="410"/>
        <v>#N/A</v>
      </c>
      <c r="EJ314" s="68" t="e">
        <f t="shared" si="411"/>
        <v>#N/A</v>
      </c>
      <c r="EK314" s="68" t="e">
        <f t="shared" si="412"/>
        <v>#N/A</v>
      </c>
      <c r="EL314" s="46">
        <f t="shared" si="413"/>
        <v>0</v>
      </c>
      <c r="EM314" s="46">
        <f t="shared" si="414"/>
        <v>0</v>
      </c>
    </row>
    <row r="315" spans="1:143">
      <c r="A315" s="89"/>
      <c r="B315" s="89"/>
      <c r="C315" s="89"/>
      <c r="D315" s="89"/>
      <c r="E315" s="89"/>
      <c r="F315" s="89"/>
      <c r="G315" s="34"/>
      <c r="H315" s="56">
        <f t="shared" si="415"/>
        <v>301</v>
      </c>
      <c r="I315" s="165"/>
      <c r="J315" s="163"/>
      <c r="K315" s="163"/>
      <c r="L315" s="164"/>
      <c r="M315" s="155"/>
      <c r="N315" s="155"/>
      <c r="O315" s="144"/>
      <c r="P315" s="159" t="str">
        <f>IFERROR(IF(O315&lt;&gt;"User Specified",IF(O315&lt;&gt;"", INDEX('Refrigerant GWPs'!$G$2:$G$154,MATCH(O315,'Refrigerant GWPs'!$A$2:$A$154,0)),""),U315),0)</f>
        <v/>
      </c>
      <c r="Q315" s="155"/>
      <c r="R315" s="155"/>
      <c r="S315" s="144"/>
      <c r="T315" s="159" t="str">
        <f>IF(S315&lt;&gt;"User Specified",IF(AND(S315&lt;&gt;"User Specified",S315&lt;&gt;""), INDEX('Refrigerant GWPs'!$G$2:$G$154,MATCH(S315,'Refrigerant GWPs'!$A$2:$A$154,0)),""),V315)</f>
        <v/>
      </c>
      <c r="U315" s="144"/>
      <c r="V315" s="144"/>
      <c r="W315" s="155"/>
      <c r="X315" s="155"/>
      <c r="Y315" s="144"/>
      <c r="Z315" s="159" t="str">
        <f>IF(AND(Y315&lt;&gt;"User Specified",Y315&lt;&gt;""), INDEX('Refrigerant GWPs'!$G$2:$G$154,MATCH(Y315,'Refrigerant GWPs'!$A$2:$A$154,0)),"")</f>
        <v/>
      </c>
      <c r="AA315" s="155"/>
      <c r="AB315" s="156"/>
      <c r="AC315" s="66"/>
      <c r="AD315" s="66"/>
      <c r="AE315" s="66"/>
      <c r="AF315" s="66"/>
      <c r="AG315" s="66"/>
      <c r="AH315" s="66"/>
      <c r="AI315" s="34"/>
      <c r="AJ315" s="88">
        <f t="shared" si="378"/>
        <v>0</v>
      </c>
      <c r="AK315" s="88">
        <f t="shared" si="379"/>
        <v>0</v>
      </c>
      <c r="AL315" s="88">
        <v>0</v>
      </c>
      <c r="AM315" s="88">
        <v>0</v>
      </c>
      <c r="AN315" s="81" t="str">
        <f t="shared" si="417"/>
        <v/>
      </c>
      <c r="AO315" s="88">
        <f t="shared" si="380"/>
        <v>0</v>
      </c>
      <c r="AP315" s="88">
        <f t="shared" si="381"/>
        <v>0</v>
      </c>
      <c r="AQ315" s="81" t="str">
        <f t="shared" si="382"/>
        <v/>
      </c>
      <c r="AS315" s="41" t="b">
        <f t="shared" si="383"/>
        <v>1</v>
      </c>
      <c r="AT315" s="38">
        <f t="shared" si="384"/>
        <v>0</v>
      </c>
      <c r="AU315" s="60">
        <f t="shared" si="385"/>
        <v>0</v>
      </c>
      <c r="AV315" s="41">
        <f t="shared" si="386"/>
        <v>0</v>
      </c>
      <c r="AW315" s="41" t="b">
        <f t="shared" si="387"/>
        <v>0</v>
      </c>
      <c r="AX315" t="str">
        <f t="shared" si="388"/>
        <v>+00</v>
      </c>
      <c r="AY315" t="str">
        <f t="shared" si="389"/>
        <v>+00</v>
      </c>
      <c r="BA315" s="47" t="b">
        <f t="shared" si="418"/>
        <v>1</v>
      </c>
      <c r="BB315" s="42" t="b">
        <f t="shared" si="419"/>
        <v>1</v>
      </c>
      <c r="BC315" s="42" t="b">
        <f t="shared" si="420"/>
        <v>0</v>
      </c>
      <c r="BD315" s="42" t="b">
        <f t="shared" si="421"/>
        <v>0</v>
      </c>
      <c r="BE315" s="70">
        <f t="shared" si="422"/>
        <v>0</v>
      </c>
      <c r="BF315" s="70">
        <f t="shared" si="423"/>
        <v>0</v>
      </c>
      <c r="BG315" s="34"/>
      <c r="BI315" s="47" t="b">
        <f t="shared" si="424"/>
        <v>1</v>
      </c>
      <c r="BJ315" s="47" t="b">
        <f t="shared" si="425"/>
        <v>1</v>
      </c>
      <c r="BK315" s="42" t="b">
        <f t="shared" si="426"/>
        <v>0</v>
      </c>
      <c r="BL315" s="42" t="b">
        <f t="shared" si="427"/>
        <v>0</v>
      </c>
      <c r="BM315" s="42">
        <f t="shared" si="428"/>
        <v>0</v>
      </c>
      <c r="BN315" s="42">
        <f t="shared" si="429"/>
        <v>0</v>
      </c>
      <c r="BP315" t="e">
        <f t="shared" si="430"/>
        <v>#N/A</v>
      </c>
      <c r="BQ315" t="e">
        <f t="shared" si="431"/>
        <v>#N/A</v>
      </c>
      <c r="BR315" t="e">
        <f t="shared" si="432"/>
        <v>#N/A</v>
      </c>
      <c r="BT315" s="60">
        <f t="shared" si="433"/>
        <v>0</v>
      </c>
      <c r="BU315" s="60">
        <f t="shared" si="434"/>
        <v>0</v>
      </c>
      <c r="BV315" s="60">
        <f t="shared" si="435"/>
        <v>0</v>
      </c>
      <c r="BW315" s="60">
        <f t="shared" si="436"/>
        <v>0</v>
      </c>
      <c r="BX315" s="60">
        <f t="shared" si="437"/>
        <v>0</v>
      </c>
      <c r="BY315" s="60">
        <f t="shared" si="438"/>
        <v>0</v>
      </c>
      <c r="BZ315" s="60">
        <f t="shared" si="439"/>
        <v>0</v>
      </c>
      <c r="CA315" s="60">
        <f t="shared" si="440"/>
        <v>0</v>
      </c>
      <c r="CB315" s="60" t="e">
        <f t="shared" si="390"/>
        <v>#N/A</v>
      </c>
      <c r="CC315" s="60">
        <f t="shared" si="391"/>
        <v>100000</v>
      </c>
      <c r="CD315" s="60" t="e">
        <f t="shared" si="392"/>
        <v>#N/A</v>
      </c>
      <c r="CE315" s="60">
        <f t="shared" si="393"/>
        <v>100000</v>
      </c>
      <c r="CF315" s="83" t="e">
        <f t="shared" si="441"/>
        <v>#N/A</v>
      </c>
      <c r="CG315" s="83">
        <f t="shared" si="442"/>
        <v>0</v>
      </c>
      <c r="CH315" s="83" t="e">
        <f t="shared" si="443"/>
        <v>#N/A</v>
      </c>
      <c r="CI315" s="83">
        <f t="shared" si="444"/>
        <v>0</v>
      </c>
      <c r="CJ315" s="86" t="e">
        <f t="shared" si="394"/>
        <v>#N/A</v>
      </c>
      <c r="CK315" s="82">
        <f t="shared" si="395"/>
        <v>5.3070370403969858E-3</v>
      </c>
      <c r="CL315" s="82" t="e">
        <f t="shared" si="396"/>
        <v>#N/A</v>
      </c>
      <c r="CM315" s="82">
        <f t="shared" si="397"/>
        <v>5.3070370403969858E-3</v>
      </c>
      <c r="CO315" s="149" t="str">
        <f>IF($I315&lt;&gt;"",IF(O315="User Specified",U315,INDEX('Refrigerant GWPs'!$G$2:$G$156,MATCH(O315,'Refrigerant GWPs'!$A$2:$A$156,0))),"")</f>
        <v/>
      </c>
      <c r="CP315" s="138" t="str">
        <f>IF($I315&lt;&gt;"",INDEX('Device Refrigerant Leakage'!$E$2:$E$42,MATCH($M315,'Device Refrigerant Leakage'!$B$2:$B$42,0)),"")</f>
        <v/>
      </c>
      <c r="CQ315" s="138" t="str">
        <f>IF($I315&lt;&gt;"",INDEX('Device Refrigerant Leakage'!$F$2:$F$42,MATCH($M315,'Device Refrigerant Leakage'!$B$2:$B$42,0)),"")</f>
        <v/>
      </c>
      <c r="CR315" s="145" t="str">
        <f>IF($I315&lt;&gt;"",INDEX('Device Refrigerant Leakage'!$G$2:$G$42,MATCH($M315,'Device Refrigerant Leakage'!$B$2:$B$42,0)),"")</f>
        <v/>
      </c>
      <c r="CS315" s="145" t="str">
        <f>IF($I315&lt;&gt;"",INDEX('Device Refrigerant Leakage'!$D$2:$D$42,MATCH($M315,'Device Refrigerant Leakage'!$B$2:$B$42,0))*CP315/2204.62*CO315,"")</f>
        <v/>
      </c>
      <c r="CT315" s="145" t="str">
        <f>IF($I315&lt;&gt;"",J315*(INDEX('Device Refrigerant Leakage'!$D$2:$D$42,MATCH($M315,'Device Refrigerant Leakage'!$B$2:$B$42,0))-(INDEX('Device Refrigerant Leakage'!$D$2:$D$42,MATCH($M315,'Device Refrigerant Leakage'!$B$2:$B$42,0)))*CR315*CP315)*CQ315/2204.62*CO315,"")</f>
        <v/>
      </c>
      <c r="CU315" s="135" t="str">
        <f>IF($I315&lt;&gt;"",J315*IF(W315&lt;&gt;"AR",(CS315*K315)+CT315,(CS315*AB315)+CT315*(AB315/INDEX('Device Refrigerant Leakage'!$C$2:$C$42,MATCH($M315,'Device Refrigerant Leakage'!$B$2:$B$42,0)))),"")</f>
        <v/>
      </c>
      <c r="CW315" s="135" t="str">
        <f>IF($I315&lt;&gt;"",IF(S315="User Specified",V315,INDEX('Refrigerant GWPs'!$G$2:$G$156,MATCH(S315,'Refrigerant GWPs'!$A$2:$A$157,0))),"")</f>
        <v/>
      </c>
      <c r="CX315" s="138" t="str">
        <f>IF($I315&lt;&gt;"",INDEX('Device Refrigerant Leakage'!$E$2:$E$42,MATCH($Q315,'Device Refrigerant Leakage'!$B$2:$B$42,0)),"")</f>
        <v/>
      </c>
      <c r="CY315" s="138" t="str">
        <f>IF($I315&lt;&gt;"",INDEX('Device Refrigerant Leakage'!$F$2:$F$42,MATCH($Q315,'Device Refrigerant Leakage'!$B$2:$B$42,0)),"")</f>
        <v/>
      </c>
      <c r="CZ315" s="145" t="str">
        <f>IF($I315&lt;&gt;"",INDEX('Device Refrigerant Leakage'!$G$2:$G$42,MATCH($Q315,'Device Refrigerant Leakage'!$B$2:$B$42,0)),"")</f>
        <v/>
      </c>
      <c r="DA315" s="145" t="str">
        <f>IF($I315&lt;&gt;"",J315*INDEX('Device Refrigerant Leakage'!$D$2:$D$42,MATCH($Q315,'Device Refrigerant Leakage'!$B$2:$B$42,0))*CX315/2204.62*CW315,"")</f>
        <v/>
      </c>
      <c r="DB315" s="145" t="str">
        <f>IF($I315&lt;&gt;"",J315*(INDEX('Device Refrigerant Leakage'!$D$2:$D$42,MATCH($Q315,'Device Refrigerant Leakage'!$B$2:$B$42,0))-(INDEX('Device Refrigerant Leakage'!$D$2:$D$42,MATCH($Q315,'Device Refrigerant Leakage'!$B$2:$B$42,0)))*CZ315*CX315)*CY315/2204.62*CW315,"")</f>
        <v/>
      </c>
      <c r="DC315" s="135" t="str">
        <f t="shared" si="416"/>
        <v/>
      </c>
      <c r="DE315" s="146" t="str">
        <f>IF(W315&lt;&gt;"AR","",IF(Y315="User Specified", AA315, INDEX('Refrigerant GWPs'!$G$2:$G$154,MATCH(Y315,'Refrigerant GWPs'!$A$2:$A$154,0))))</f>
        <v/>
      </c>
      <c r="DF315" s="146" t="str">
        <f>IF(W315&lt;&gt;"AR","",INDEX('Device Refrigerant Leakage'!$E$2:$E$42,MATCH(X315,'Device Refrigerant Leakage'!$B$2:$B$42,0)))</f>
        <v/>
      </c>
      <c r="DG315" s="146" t="str">
        <f>IF(W315&lt;&gt;"AR","",INDEX('Device Refrigerant Leakage'!$F$2:$F$42,MATCH(X315,'Device Refrigerant Leakage'!$B$2:$B$42,0)))</f>
        <v/>
      </c>
      <c r="DH315" s="146" t="str">
        <f>IF(W315&lt;&gt;"AR","",INDEX('Device Refrigerant Leakage'!$G$2:$G$42,MATCH(X315,'Device Refrigerant Leakage'!$B$2:$B$42,0)))</f>
        <v/>
      </c>
      <c r="DI315" s="146" t="str">
        <f>IF(W315&lt;&gt;"AR","",J315*INDEX('Device Refrigerant Leakage'!$D$2:$D$42,MATCH(X315,'Device Refrigerant Leakage'!$B$2:$B$42,0))*DF315/2204.62*DE315)</f>
        <v/>
      </c>
      <c r="DJ315" s="146" t="str">
        <f>IF(W315&lt;&gt;"AR","",J315*(INDEX('Device Refrigerant Leakage'!$D$2:$D$42,MATCH(X315,'Device Refrigerant Leakage'!$B$2:$B$42,0))-(INDEX('Device Refrigerant Leakage'!$D$2:$D$42,MATCH(X315,'Device Refrigerant Leakage'!$B$2:$B$42,0)))*DH315*DF315)*DG315/2204.62*DE315)</f>
        <v/>
      </c>
      <c r="DK315" s="146" t="str">
        <f>IF(W315&lt;&gt;"AR","",DI315*(K315-AB315)+'Fuel Sub Calcs-Deemed'!DJ315*((K315-AB315)/INDEX('Device Refrigerant Leakage'!$C$2:$C$42,MATCH('Fuel Sub Calcs-Deemed'!X315,'Device Refrigerant Leakage'!$B$2:$B$42,0))))</f>
        <v/>
      </c>
      <c r="DM315" s="56">
        <v>301</v>
      </c>
      <c r="DN315" s="67" t="e">
        <f t="shared" si="398"/>
        <v>#N/A</v>
      </c>
      <c r="DO315" s="45" t="e">
        <f t="shared" si="399"/>
        <v>#N/A</v>
      </c>
      <c r="DP315" s="67" t="e">
        <f t="shared" si="400"/>
        <v>#N/A</v>
      </c>
      <c r="DQ315" s="45" t="e">
        <f t="shared" si="401"/>
        <v>#N/A</v>
      </c>
      <c r="DR315" s="69" t="e">
        <f t="shared" si="402"/>
        <v>#N/A</v>
      </c>
      <c r="DS315" s="34"/>
      <c r="DT315" s="67" t="e">
        <f>((BX315*CJ315)+IF($W315=MAT_AR,(BZ315*CL315),0))*(1+Reference!$E$50+Reference!$E$51)</f>
        <v>#N/A</v>
      </c>
      <c r="DU315" s="67">
        <f>((BY315*CK315)+IF($W315=MAT_AR,(CA315*CM315),0))*(1+Reference!$G$50+Reference!$G$51)</f>
        <v>0</v>
      </c>
      <c r="DV315" s="67" t="e">
        <f t="shared" si="403"/>
        <v>#VALUE!</v>
      </c>
      <c r="DX315" s="56">
        <v>301</v>
      </c>
      <c r="DY315" s="67">
        <f t="shared" si="404"/>
        <v>0</v>
      </c>
      <c r="DZ315" s="45" t="e">
        <f>VLOOKUP($R315,Dropdown!$C$3:$D$4,2,FALSE)</f>
        <v>#N/A</v>
      </c>
      <c r="EA315" s="68">
        <f t="shared" si="405"/>
        <v>0</v>
      </c>
      <c r="EB315" s="68" t="str">
        <f t="shared" si="406"/>
        <v>N/A</v>
      </c>
      <c r="EC315" s="68">
        <f t="shared" si="407"/>
        <v>0</v>
      </c>
      <c r="ED315" s="68" t="str">
        <f t="shared" si="445"/>
        <v>N/A</v>
      </c>
      <c r="EF315" s="56">
        <v>301</v>
      </c>
      <c r="EG315" s="46">
        <f t="shared" si="408"/>
        <v>0</v>
      </c>
      <c r="EH315" s="68" t="e">
        <f t="shared" si="409"/>
        <v>#N/A</v>
      </c>
      <c r="EI315" s="68" t="e">
        <f t="shared" si="410"/>
        <v>#N/A</v>
      </c>
      <c r="EJ315" s="68" t="e">
        <f t="shared" si="411"/>
        <v>#N/A</v>
      </c>
      <c r="EK315" s="68" t="e">
        <f t="shared" si="412"/>
        <v>#N/A</v>
      </c>
      <c r="EL315" s="46">
        <f t="shared" si="413"/>
        <v>0</v>
      </c>
      <c r="EM315" s="46">
        <f t="shared" si="414"/>
        <v>0</v>
      </c>
    </row>
    <row r="316" spans="1:143">
      <c r="A316" s="89"/>
      <c r="B316" s="89"/>
      <c r="C316" s="89"/>
      <c r="D316" s="89"/>
      <c r="E316" s="89"/>
      <c r="F316" s="89"/>
      <c r="G316" s="34"/>
      <c r="H316" s="56">
        <f t="shared" si="415"/>
        <v>302</v>
      </c>
      <c r="I316" s="165"/>
      <c r="J316" s="163"/>
      <c r="K316" s="163"/>
      <c r="L316" s="164"/>
      <c r="M316" s="155"/>
      <c r="N316" s="155"/>
      <c r="O316" s="144"/>
      <c r="P316" s="159" t="str">
        <f>IFERROR(IF(O316&lt;&gt;"User Specified",IF(O316&lt;&gt;"", INDEX('Refrigerant GWPs'!$G$2:$G$154,MATCH(O316,'Refrigerant GWPs'!$A$2:$A$154,0)),""),U316),0)</f>
        <v/>
      </c>
      <c r="Q316" s="155"/>
      <c r="R316" s="155"/>
      <c r="S316" s="144"/>
      <c r="T316" s="159" t="str">
        <f>IF(S316&lt;&gt;"User Specified",IF(AND(S316&lt;&gt;"User Specified",S316&lt;&gt;""), INDEX('Refrigerant GWPs'!$G$2:$G$154,MATCH(S316,'Refrigerant GWPs'!$A$2:$A$154,0)),""),V316)</f>
        <v/>
      </c>
      <c r="U316" s="144"/>
      <c r="V316" s="144"/>
      <c r="W316" s="155"/>
      <c r="X316" s="155"/>
      <c r="Y316" s="144"/>
      <c r="Z316" s="159" t="str">
        <f>IF(AND(Y316&lt;&gt;"User Specified",Y316&lt;&gt;""), INDEX('Refrigerant GWPs'!$G$2:$G$154,MATCH(Y316,'Refrigerant GWPs'!$A$2:$A$154,0)),"")</f>
        <v/>
      </c>
      <c r="AA316" s="155"/>
      <c r="AB316" s="156"/>
      <c r="AC316" s="66"/>
      <c r="AD316" s="66"/>
      <c r="AE316" s="66"/>
      <c r="AF316" s="66"/>
      <c r="AG316" s="66"/>
      <c r="AH316" s="66"/>
      <c r="AI316" s="34"/>
      <c r="AJ316" s="88">
        <f t="shared" si="378"/>
        <v>0</v>
      </c>
      <c r="AK316" s="88">
        <f t="shared" si="379"/>
        <v>0</v>
      </c>
      <c r="AL316" s="88">
        <v>0</v>
      </c>
      <c r="AM316" s="88">
        <v>0</v>
      </c>
      <c r="AN316" s="81" t="str">
        <f t="shared" si="417"/>
        <v/>
      </c>
      <c r="AO316" s="88">
        <f t="shared" si="380"/>
        <v>0</v>
      </c>
      <c r="AP316" s="88">
        <f t="shared" si="381"/>
        <v>0</v>
      </c>
      <c r="AQ316" s="81" t="str">
        <f t="shared" si="382"/>
        <v/>
      </c>
      <c r="AS316" s="41" t="b">
        <f t="shared" si="383"/>
        <v>1</v>
      </c>
      <c r="AT316" s="38">
        <f t="shared" si="384"/>
        <v>0</v>
      </c>
      <c r="AU316" s="60">
        <f t="shared" si="385"/>
        <v>0</v>
      </c>
      <c r="AV316" s="41">
        <f t="shared" si="386"/>
        <v>0</v>
      </c>
      <c r="AW316" s="41" t="b">
        <f t="shared" si="387"/>
        <v>0</v>
      </c>
      <c r="AX316" t="str">
        <f t="shared" si="388"/>
        <v>+00</v>
      </c>
      <c r="AY316" t="str">
        <f t="shared" si="389"/>
        <v>+00</v>
      </c>
      <c r="BA316" s="47" t="b">
        <f t="shared" si="418"/>
        <v>1</v>
      </c>
      <c r="BB316" s="42" t="b">
        <f t="shared" si="419"/>
        <v>1</v>
      </c>
      <c r="BC316" s="42" t="b">
        <f t="shared" si="420"/>
        <v>0</v>
      </c>
      <c r="BD316" s="42" t="b">
        <f t="shared" si="421"/>
        <v>0</v>
      </c>
      <c r="BE316" s="70">
        <f t="shared" si="422"/>
        <v>0</v>
      </c>
      <c r="BF316" s="70">
        <f t="shared" si="423"/>
        <v>0</v>
      </c>
      <c r="BG316" s="34"/>
      <c r="BI316" s="47" t="b">
        <f t="shared" si="424"/>
        <v>1</v>
      </c>
      <c r="BJ316" s="47" t="b">
        <f t="shared" si="425"/>
        <v>1</v>
      </c>
      <c r="BK316" s="42" t="b">
        <f t="shared" si="426"/>
        <v>0</v>
      </c>
      <c r="BL316" s="42" t="b">
        <f t="shared" si="427"/>
        <v>0</v>
      </c>
      <c r="BM316" s="42">
        <f t="shared" si="428"/>
        <v>0</v>
      </c>
      <c r="BN316" s="42">
        <f t="shared" si="429"/>
        <v>0</v>
      </c>
      <c r="BP316" t="e">
        <f t="shared" si="430"/>
        <v>#N/A</v>
      </c>
      <c r="BQ316" t="e">
        <f t="shared" si="431"/>
        <v>#N/A</v>
      </c>
      <c r="BR316" t="e">
        <f t="shared" si="432"/>
        <v>#N/A</v>
      </c>
      <c r="BT316" s="60">
        <f t="shared" si="433"/>
        <v>0</v>
      </c>
      <c r="BU316" s="60">
        <f t="shared" si="434"/>
        <v>0</v>
      </c>
      <c r="BV316" s="60">
        <f t="shared" si="435"/>
        <v>0</v>
      </c>
      <c r="BW316" s="60">
        <f t="shared" si="436"/>
        <v>0</v>
      </c>
      <c r="BX316" s="60">
        <f t="shared" si="437"/>
        <v>0</v>
      </c>
      <c r="BY316" s="60">
        <f t="shared" si="438"/>
        <v>0</v>
      </c>
      <c r="BZ316" s="60">
        <f t="shared" si="439"/>
        <v>0</v>
      </c>
      <c r="CA316" s="60">
        <f t="shared" si="440"/>
        <v>0</v>
      </c>
      <c r="CB316" s="60" t="e">
        <f t="shared" si="390"/>
        <v>#N/A</v>
      </c>
      <c r="CC316" s="60">
        <f t="shared" si="391"/>
        <v>100000</v>
      </c>
      <c r="CD316" s="60" t="e">
        <f t="shared" si="392"/>
        <v>#N/A</v>
      </c>
      <c r="CE316" s="60">
        <f t="shared" si="393"/>
        <v>100000</v>
      </c>
      <c r="CF316" s="83" t="e">
        <f t="shared" si="441"/>
        <v>#N/A</v>
      </c>
      <c r="CG316" s="83">
        <f t="shared" si="442"/>
        <v>0</v>
      </c>
      <c r="CH316" s="83" t="e">
        <f t="shared" si="443"/>
        <v>#N/A</v>
      </c>
      <c r="CI316" s="83">
        <f t="shared" si="444"/>
        <v>0</v>
      </c>
      <c r="CJ316" s="86" t="e">
        <f t="shared" si="394"/>
        <v>#N/A</v>
      </c>
      <c r="CK316" s="82">
        <f t="shared" si="395"/>
        <v>5.3070370403969858E-3</v>
      </c>
      <c r="CL316" s="82" t="e">
        <f t="shared" si="396"/>
        <v>#N/A</v>
      </c>
      <c r="CM316" s="82">
        <f t="shared" si="397"/>
        <v>5.3070370403969858E-3</v>
      </c>
      <c r="CO316" s="149" t="str">
        <f>IF($I316&lt;&gt;"",IF(O316="User Specified",U316,INDEX('Refrigerant GWPs'!$G$2:$G$156,MATCH(O316,'Refrigerant GWPs'!$A$2:$A$156,0))),"")</f>
        <v/>
      </c>
      <c r="CP316" s="138" t="str">
        <f>IF($I316&lt;&gt;"",INDEX('Device Refrigerant Leakage'!$E$2:$E$42,MATCH($M316,'Device Refrigerant Leakage'!$B$2:$B$42,0)),"")</f>
        <v/>
      </c>
      <c r="CQ316" s="138" t="str">
        <f>IF($I316&lt;&gt;"",INDEX('Device Refrigerant Leakage'!$F$2:$F$42,MATCH($M316,'Device Refrigerant Leakage'!$B$2:$B$42,0)),"")</f>
        <v/>
      </c>
      <c r="CR316" s="145" t="str">
        <f>IF($I316&lt;&gt;"",INDEX('Device Refrigerant Leakage'!$G$2:$G$42,MATCH($M316,'Device Refrigerant Leakage'!$B$2:$B$42,0)),"")</f>
        <v/>
      </c>
      <c r="CS316" s="145" t="str">
        <f>IF($I316&lt;&gt;"",INDEX('Device Refrigerant Leakage'!$D$2:$D$42,MATCH($M316,'Device Refrigerant Leakage'!$B$2:$B$42,0))*CP316/2204.62*CO316,"")</f>
        <v/>
      </c>
      <c r="CT316" s="145" t="str">
        <f>IF($I316&lt;&gt;"",J316*(INDEX('Device Refrigerant Leakage'!$D$2:$D$42,MATCH($M316,'Device Refrigerant Leakage'!$B$2:$B$42,0))-(INDEX('Device Refrigerant Leakage'!$D$2:$D$42,MATCH($M316,'Device Refrigerant Leakage'!$B$2:$B$42,0)))*CR316*CP316)*CQ316/2204.62*CO316,"")</f>
        <v/>
      </c>
      <c r="CU316" s="135" t="str">
        <f>IF($I316&lt;&gt;"",J316*IF(W316&lt;&gt;"AR",(CS316*K316)+CT316,(CS316*AB316)+CT316*(AB316/INDEX('Device Refrigerant Leakage'!$C$2:$C$42,MATCH($M316,'Device Refrigerant Leakage'!$B$2:$B$42,0)))),"")</f>
        <v/>
      </c>
      <c r="CW316" s="135" t="str">
        <f>IF($I316&lt;&gt;"",IF(S316="User Specified",V316,INDEX('Refrigerant GWPs'!$G$2:$G$156,MATCH(S316,'Refrigerant GWPs'!$A$2:$A$157,0))),"")</f>
        <v/>
      </c>
      <c r="CX316" s="138" t="str">
        <f>IF($I316&lt;&gt;"",INDEX('Device Refrigerant Leakage'!$E$2:$E$42,MATCH($Q316,'Device Refrigerant Leakage'!$B$2:$B$42,0)),"")</f>
        <v/>
      </c>
      <c r="CY316" s="138" t="str">
        <f>IF($I316&lt;&gt;"",INDEX('Device Refrigerant Leakage'!$F$2:$F$42,MATCH($Q316,'Device Refrigerant Leakage'!$B$2:$B$42,0)),"")</f>
        <v/>
      </c>
      <c r="CZ316" s="145" t="str">
        <f>IF($I316&lt;&gt;"",INDEX('Device Refrigerant Leakage'!$G$2:$G$42,MATCH($Q316,'Device Refrigerant Leakage'!$B$2:$B$42,0)),"")</f>
        <v/>
      </c>
      <c r="DA316" s="145" t="str">
        <f>IF($I316&lt;&gt;"",J316*INDEX('Device Refrigerant Leakage'!$D$2:$D$42,MATCH($Q316,'Device Refrigerant Leakage'!$B$2:$B$42,0))*CX316/2204.62*CW316,"")</f>
        <v/>
      </c>
      <c r="DB316" s="145" t="str">
        <f>IF($I316&lt;&gt;"",J316*(INDEX('Device Refrigerant Leakage'!$D$2:$D$42,MATCH($Q316,'Device Refrigerant Leakage'!$B$2:$B$42,0))-(INDEX('Device Refrigerant Leakage'!$D$2:$D$42,MATCH($Q316,'Device Refrigerant Leakage'!$B$2:$B$42,0)))*CZ316*CX316)*CY316/2204.62*CW316,"")</f>
        <v/>
      </c>
      <c r="DC316" s="135" t="str">
        <f t="shared" si="416"/>
        <v/>
      </c>
      <c r="DE316" s="146" t="str">
        <f>IF(W316&lt;&gt;"AR","",IF(Y316="User Specified", AA316, INDEX('Refrigerant GWPs'!$G$2:$G$154,MATCH(Y316,'Refrigerant GWPs'!$A$2:$A$154,0))))</f>
        <v/>
      </c>
      <c r="DF316" s="146" t="str">
        <f>IF(W316&lt;&gt;"AR","",INDEX('Device Refrigerant Leakage'!$E$2:$E$42,MATCH(X316,'Device Refrigerant Leakage'!$B$2:$B$42,0)))</f>
        <v/>
      </c>
      <c r="DG316" s="146" t="str">
        <f>IF(W316&lt;&gt;"AR","",INDEX('Device Refrigerant Leakage'!$F$2:$F$42,MATCH(X316,'Device Refrigerant Leakage'!$B$2:$B$42,0)))</f>
        <v/>
      </c>
      <c r="DH316" s="146" t="str">
        <f>IF(W316&lt;&gt;"AR","",INDEX('Device Refrigerant Leakage'!$G$2:$G$42,MATCH(X316,'Device Refrigerant Leakage'!$B$2:$B$42,0)))</f>
        <v/>
      </c>
      <c r="DI316" s="146" t="str">
        <f>IF(W316&lt;&gt;"AR","",J316*INDEX('Device Refrigerant Leakage'!$D$2:$D$42,MATCH(X316,'Device Refrigerant Leakage'!$B$2:$B$42,0))*DF316/2204.62*DE316)</f>
        <v/>
      </c>
      <c r="DJ316" s="146" t="str">
        <f>IF(W316&lt;&gt;"AR","",J316*(INDEX('Device Refrigerant Leakage'!$D$2:$D$42,MATCH(X316,'Device Refrigerant Leakage'!$B$2:$B$42,0))-(INDEX('Device Refrigerant Leakage'!$D$2:$D$42,MATCH(X316,'Device Refrigerant Leakage'!$B$2:$B$42,0)))*DH316*DF316)*DG316/2204.62*DE316)</f>
        <v/>
      </c>
      <c r="DK316" s="146" t="str">
        <f>IF(W316&lt;&gt;"AR","",DI316*(K316-AB316)+'Fuel Sub Calcs-Deemed'!DJ316*((K316-AB316)/INDEX('Device Refrigerant Leakage'!$C$2:$C$42,MATCH('Fuel Sub Calcs-Deemed'!X316,'Device Refrigerant Leakage'!$B$2:$B$42,0))))</f>
        <v/>
      </c>
      <c r="DM316" s="56">
        <v>302</v>
      </c>
      <c r="DN316" s="67" t="e">
        <f t="shared" si="398"/>
        <v>#N/A</v>
      </c>
      <c r="DO316" s="45" t="e">
        <f t="shared" si="399"/>
        <v>#N/A</v>
      </c>
      <c r="DP316" s="67" t="e">
        <f t="shared" si="400"/>
        <v>#N/A</v>
      </c>
      <c r="DQ316" s="45" t="e">
        <f t="shared" si="401"/>
        <v>#N/A</v>
      </c>
      <c r="DR316" s="69" t="e">
        <f t="shared" si="402"/>
        <v>#N/A</v>
      </c>
      <c r="DS316" s="34"/>
      <c r="DT316" s="67" t="e">
        <f>((BX316*CJ316)+IF($W316=MAT_AR,(BZ316*CL316),0))*(1+Reference!$E$50+Reference!$E$51)</f>
        <v>#N/A</v>
      </c>
      <c r="DU316" s="67">
        <f>((BY316*CK316)+IF($W316=MAT_AR,(CA316*CM316),0))*(1+Reference!$G$50+Reference!$G$51)</f>
        <v>0</v>
      </c>
      <c r="DV316" s="67" t="e">
        <f t="shared" si="403"/>
        <v>#VALUE!</v>
      </c>
      <c r="DX316" s="56">
        <v>302</v>
      </c>
      <c r="DY316" s="67">
        <f t="shared" si="404"/>
        <v>0</v>
      </c>
      <c r="DZ316" s="45" t="e">
        <f>VLOOKUP($R316,Dropdown!$C$3:$D$4,2,FALSE)</f>
        <v>#N/A</v>
      </c>
      <c r="EA316" s="68">
        <f t="shared" si="405"/>
        <v>0</v>
      </c>
      <c r="EB316" s="68" t="str">
        <f t="shared" si="406"/>
        <v>N/A</v>
      </c>
      <c r="EC316" s="68">
        <f t="shared" si="407"/>
        <v>0</v>
      </c>
      <c r="ED316" s="68" t="str">
        <f t="shared" si="445"/>
        <v>N/A</v>
      </c>
      <c r="EF316" s="56">
        <v>302</v>
      </c>
      <c r="EG316" s="46">
        <f t="shared" si="408"/>
        <v>0</v>
      </c>
      <c r="EH316" s="68" t="e">
        <f t="shared" si="409"/>
        <v>#N/A</v>
      </c>
      <c r="EI316" s="68" t="e">
        <f t="shared" si="410"/>
        <v>#N/A</v>
      </c>
      <c r="EJ316" s="68" t="e">
        <f t="shared" si="411"/>
        <v>#N/A</v>
      </c>
      <c r="EK316" s="68" t="e">
        <f t="shared" si="412"/>
        <v>#N/A</v>
      </c>
      <c r="EL316" s="46">
        <f t="shared" si="413"/>
        <v>0</v>
      </c>
      <c r="EM316" s="46">
        <f t="shared" si="414"/>
        <v>0</v>
      </c>
    </row>
    <row r="317" spans="1:143">
      <c r="A317" s="89"/>
      <c r="B317" s="89"/>
      <c r="C317" s="89"/>
      <c r="D317" s="89"/>
      <c r="E317" s="89"/>
      <c r="F317" s="89"/>
      <c r="G317" s="34"/>
      <c r="H317" s="56">
        <f t="shared" si="415"/>
        <v>303</v>
      </c>
      <c r="I317" s="165"/>
      <c r="J317" s="163"/>
      <c r="K317" s="163"/>
      <c r="L317" s="164"/>
      <c r="M317" s="155"/>
      <c r="N317" s="155"/>
      <c r="O317" s="144"/>
      <c r="P317" s="159" t="str">
        <f>IFERROR(IF(O317&lt;&gt;"User Specified",IF(O317&lt;&gt;"", INDEX('Refrigerant GWPs'!$G$2:$G$154,MATCH(O317,'Refrigerant GWPs'!$A$2:$A$154,0)),""),U317),0)</f>
        <v/>
      </c>
      <c r="Q317" s="155"/>
      <c r="R317" s="155"/>
      <c r="S317" s="144"/>
      <c r="T317" s="159" t="str">
        <f>IF(S317&lt;&gt;"User Specified",IF(AND(S317&lt;&gt;"User Specified",S317&lt;&gt;""), INDEX('Refrigerant GWPs'!$G$2:$G$154,MATCH(S317,'Refrigerant GWPs'!$A$2:$A$154,0)),""),V317)</f>
        <v/>
      </c>
      <c r="U317" s="144"/>
      <c r="V317" s="144"/>
      <c r="W317" s="155"/>
      <c r="X317" s="155"/>
      <c r="Y317" s="144"/>
      <c r="Z317" s="159" t="str">
        <f>IF(AND(Y317&lt;&gt;"User Specified",Y317&lt;&gt;""), INDEX('Refrigerant GWPs'!$G$2:$G$154,MATCH(Y317,'Refrigerant GWPs'!$A$2:$A$154,0)),"")</f>
        <v/>
      </c>
      <c r="AA317" s="155"/>
      <c r="AB317" s="156"/>
      <c r="AC317" s="66"/>
      <c r="AD317" s="66"/>
      <c r="AE317" s="66"/>
      <c r="AF317" s="66"/>
      <c r="AG317" s="66"/>
      <c r="AH317" s="66"/>
      <c r="AI317" s="34"/>
      <c r="AJ317" s="88">
        <f t="shared" si="378"/>
        <v>0</v>
      </c>
      <c r="AK317" s="88">
        <f t="shared" si="379"/>
        <v>0</v>
      </c>
      <c r="AL317" s="88">
        <v>0</v>
      </c>
      <c r="AM317" s="88">
        <v>0</v>
      </c>
      <c r="AN317" s="81" t="str">
        <f t="shared" si="417"/>
        <v/>
      </c>
      <c r="AO317" s="88">
        <f t="shared" si="380"/>
        <v>0</v>
      </c>
      <c r="AP317" s="88">
        <f t="shared" si="381"/>
        <v>0</v>
      </c>
      <c r="AQ317" s="81" t="str">
        <f t="shared" si="382"/>
        <v/>
      </c>
      <c r="AS317" s="41" t="b">
        <f t="shared" si="383"/>
        <v>1</v>
      </c>
      <c r="AT317" s="38">
        <f t="shared" si="384"/>
        <v>0</v>
      </c>
      <c r="AU317" s="60">
        <f t="shared" si="385"/>
        <v>0</v>
      </c>
      <c r="AV317" s="41">
        <f t="shared" si="386"/>
        <v>0</v>
      </c>
      <c r="AW317" s="41" t="b">
        <f t="shared" si="387"/>
        <v>0</v>
      </c>
      <c r="AX317" t="str">
        <f t="shared" si="388"/>
        <v>+00</v>
      </c>
      <c r="AY317" t="str">
        <f t="shared" si="389"/>
        <v>+00</v>
      </c>
      <c r="BA317" s="47" t="b">
        <f t="shared" si="418"/>
        <v>1</v>
      </c>
      <c r="BB317" s="42" t="b">
        <f t="shared" si="419"/>
        <v>1</v>
      </c>
      <c r="BC317" s="42" t="b">
        <f t="shared" si="420"/>
        <v>0</v>
      </c>
      <c r="BD317" s="42" t="b">
        <f t="shared" si="421"/>
        <v>0</v>
      </c>
      <c r="BE317" s="70">
        <f t="shared" si="422"/>
        <v>0</v>
      </c>
      <c r="BF317" s="70">
        <f t="shared" si="423"/>
        <v>0</v>
      </c>
      <c r="BG317" s="34"/>
      <c r="BI317" s="47" t="b">
        <f t="shared" si="424"/>
        <v>1</v>
      </c>
      <c r="BJ317" s="47" t="b">
        <f t="shared" si="425"/>
        <v>1</v>
      </c>
      <c r="BK317" s="42" t="b">
        <f t="shared" si="426"/>
        <v>0</v>
      </c>
      <c r="BL317" s="42" t="b">
        <f t="shared" si="427"/>
        <v>0</v>
      </c>
      <c r="BM317" s="42">
        <f t="shared" si="428"/>
        <v>0</v>
      </c>
      <c r="BN317" s="42">
        <f t="shared" si="429"/>
        <v>0</v>
      </c>
      <c r="BP317" t="e">
        <f t="shared" si="430"/>
        <v>#N/A</v>
      </c>
      <c r="BQ317" t="e">
        <f t="shared" si="431"/>
        <v>#N/A</v>
      </c>
      <c r="BR317" t="e">
        <f t="shared" si="432"/>
        <v>#N/A</v>
      </c>
      <c r="BT317" s="60">
        <f t="shared" si="433"/>
        <v>0</v>
      </c>
      <c r="BU317" s="60">
        <f t="shared" si="434"/>
        <v>0</v>
      </c>
      <c r="BV317" s="60">
        <f t="shared" si="435"/>
        <v>0</v>
      </c>
      <c r="BW317" s="60">
        <f t="shared" si="436"/>
        <v>0</v>
      </c>
      <c r="BX317" s="60">
        <f t="shared" si="437"/>
        <v>0</v>
      </c>
      <c r="BY317" s="60">
        <f t="shared" si="438"/>
        <v>0</v>
      </c>
      <c r="BZ317" s="60">
        <f t="shared" si="439"/>
        <v>0</v>
      </c>
      <c r="CA317" s="60">
        <f t="shared" si="440"/>
        <v>0</v>
      </c>
      <c r="CB317" s="60" t="e">
        <f t="shared" si="390"/>
        <v>#N/A</v>
      </c>
      <c r="CC317" s="60">
        <f t="shared" si="391"/>
        <v>100000</v>
      </c>
      <c r="CD317" s="60" t="e">
        <f t="shared" si="392"/>
        <v>#N/A</v>
      </c>
      <c r="CE317" s="60">
        <f t="shared" si="393"/>
        <v>100000</v>
      </c>
      <c r="CF317" s="83" t="e">
        <f t="shared" si="441"/>
        <v>#N/A</v>
      </c>
      <c r="CG317" s="83">
        <f t="shared" si="442"/>
        <v>0</v>
      </c>
      <c r="CH317" s="83" t="e">
        <f t="shared" si="443"/>
        <v>#N/A</v>
      </c>
      <c r="CI317" s="83">
        <f t="shared" si="444"/>
        <v>0</v>
      </c>
      <c r="CJ317" s="86" t="e">
        <f t="shared" si="394"/>
        <v>#N/A</v>
      </c>
      <c r="CK317" s="82">
        <f t="shared" si="395"/>
        <v>5.3070370403969858E-3</v>
      </c>
      <c r="CL317" s="82" t="e">
        <f t="shared" si="396"/>
        <v>#N/A</v>
      </c>
      <c r="CM317" s="82">
        <f t="shared" si="397"/>
        <v>5.3070370403969858E-3</v>
      </c>
      <c r="CO317" s="149" t="str">
        <f>IF($I317&lt;&gt;"",IF(O317="User Specified",U317,INDEX('Refrigerant GWPs'!$G$2:$G$156,MATCH(O317,'Refrigerant GWPs'!$A$2:$A$156,0))),"")</f>
        <v/>
      </c>
      <c r="CP317" s="138" t="str">
        <f>IF($I317&lt;&gt;"",INDEX('Device Refrigerant Leakage'!$E$2:$E$42,MATCH($M317,'Device Refrigerant Leakage'!$B$2:$B$42,0)),"")</f>
        <v/>
      </c>
      <c r="CQ317" s="138" t="str">
        <f>IF($I317&lt;&gt;"",INDEX('Device Refrigerant Leakage'!$F$2:$F$42,MATCH($M317,'Device Refrigerant Leakage'!$B$2:$B$42,0)),"")</f>
        <v/>
      </c>
      <c r="CR317" s="145" t="str">
        <f>IF($I317&lt;&gt;"",INDEX('Device Refrigerant Leakage'!$G$2:$G$42,MATCH($M317,'Device Refrigerant Leakage'!$B$2:$B$42,0)),"")</f>
        <v/>
      </c>
      <c r="CS317" s="145" t="str">
        <f>IF($I317&lt;&gt;"",INDEX('Device Refrigerant Leakage'!$D$2:$D$42,MATCH($M317,'Device Refrigerant Leakage'!$B$2:$B$42,0))*CP317/2204.62*CO317,"")</f>
        <v/>
      </c>
      <c r="CT317" s="145" t="str">
        <f>IF($I317&lt;&gt;"",J317*(INDEX('Device Refrigerant Leakage'!$D$2:$D$42,MATCH($M317,'Device Refrigerant Leakage'!$B$2:$B$42,0))-(INDEX('Device Refrigerant Leakage'!$D$2:$D$42,MATCH($M317,'Device Refrigerant Leakage'!$B$2:$B$42,0)))*CR317*CP317)*CQ317/2204.62*CO317,"")</f>
        <v/>
      </c>
      <c r="CU317" s="135" t="str">
        <f>IF($I317&lt;&gt;"",J317*IF(W317&lt;&gt;"AR",(CS317*K317)+CT317,(CS317*AB317)+CT317*(AB317/INDEX('Device Refrigerant Leakage'!$C$2:$C$42,MATCH($M317,'Device Refrigerant Leakage'!$B$2:$B$42,0)))),"")</f>
        <v/>
      </c>
      <c r="CW317" s="135" t="str">
        <f>IF($I317&lt;&gt;"",IF(S317="User Specified",V317,INDEX('Refrigerant GWPs'!$G$2:$G$156,MATCH(S317,'Refrigerant GWPs'!$A$2:$A$157,0))),"")</f>
        <v/>
      </c>
      <c r="CX317" s="138" t="str">
        <f>IF($I317&lt;&gt;"",INDEX('Device Refrigerant Leakage'!$E$2:$E$42,MATCH($Q317,'Device Refrigerant Leakage'!$B$2:$B$42,0)),"")</f>
        <v/>
      </c>
      <c r="CY317" s="138" t="str">
        <f>IF($I317&lt;&gt;"",INDEX('Device Refrigerant Leakage'!$F$2:$F$42,MATCH($Q317,'Device Refrigerant Leakage'!$B$2:$B$42,0)),"")</f>
        <v/>
      </c>
      <c r="CZ317" s="145" t="str">
        <f>IF($I317&lt;&gt;"",INDEX('Device Refrigerant Leakage'!$G$2:$G$42,MATCH($Q317,'Device Refrigerant Leakage'!$B$2:$B$42,0)),"")</f>
        <v/>
      </c>
      <c r="DA317" s="145" t="str">
        <f>IF($I317&lt;&gt;"",J317*INDEX('Device Refrigerant Leakage'!$D$2:$D$42,MATCH($Q317,'Device Refrigerant Leakage'!$B$2:$B$42,0))*CX317/2204.62*CW317,"")</f>
        <v/>
      </c>
      <c r="DB317" s="145" t="str">
        <f>IF($I317&lt;&gt;"",J317*(INDEX('Device Refrigerant Leakage'!$D$2:$D$42,MATCH($Q317,'Device Refrigerant Leakage'!$B$2:$B$42,0))-(INDEX('Device Refrigerant Leakage'!$D$2:$D$42,MATCH($Q317,'Device Refrigerant Leakage'!$B$2:$B$42,0)))*CZ317*CX317)*CY317/2204.62*CW317,"")</f>
        <v/>
      </c>
      <c r="DC317" s="135" t="str">
        <f t="shared" si="416"/>
        <v/>
      </c>
      <c r="DE317" s="146" t="str">
        <f>IF(W317&lt;&gt;"AR","",IF(Y317="User Specified", AA317, INDEX('Refrigerant GWPs'!$G$2:$G$154,MATCH(Y317,'Refrigerant GWPs'!$A$2:$A$154,0))))</f>
        <v/>
      </c>
      <c r="DF317" s="146" t="str">
        <f>IF(W317&lt;&gt;"AR","",INDEX('Device Refrigerant Leakage'!$E$2:$E$42,MATCH(X317,'Device Refrigerant Leakage'!$B$2:$B$42,0)))</f>
        <v/>
      </c>
      <c r="DG317" s="146" t="str">
        <f>IF(W317&lt;&gt;"AR","",INDEX('Device Refrigerant Leakage'!$F$2:$F$42,MATCH(X317,'Device Refrigerant Leakage'!$B$2:$B$42,0)))</f>
        <v/>
      </c>
      <c r="DH317" s="146" t="str">
        <f>IF(W317&lt;&gt;"AR","",INDEX('Device Refrigerant Leakage'!$G$2:$G$42,MATCH(X317,'Device Refrigerant Leakage'!$B$2:$B$42,0)))</f>
        <v/>
      </c>
      <c r="DI317" s="146" t="str">
        <f>IF(W317&lt;&gt;"AR","",J317*INDEX('Device Refrigerant Leakage'!$D$2:$D$42,MATCH(X317,'Device Refrigerant Leakage'!$B$2:$B$42,0))*DF317/2204.62*DE317)</f>
        <v/>
      </c>
      <c r="DJ317" s="146" t="str">
        <f>IF(W317&lt;&gt;"AR","",J317*(INDEX('Device Refrigerant Leakage'!$D$2:$D$42,MATCH(X317,'Device Refrigerant Leakage'!$B$2:$B$42,0))-(INDEX('Device Refrigerant Leakage'!$D$2:$D$42,MATCH(X317,'Device Refrigerant Leakage'!$B$2:$B$42,0)))*DH317*DF317)*DG317/2204.62*DE317)</f>
        <v/>
      </c>
      <c r="DK317" s="146" t="str">
        <f>IF(W317&lt;&gt;"AR","",DI317*(K317-AB317)+'Fuel Sub Calcs-Deemed'!DJ317*((K317-AB317)/INDEX('Device Refrigerant Leakage'!$C$2:$C$42,MATCH('Fuel Sub Calcs-Deemed'!X317,'Device Refrigerant Leakage'!$B$2:$B$42,0))))</f>
        <v/>
      </c>
      <c r="DM317" s="56">
        <v>303</v>
      </c>
      <c r="DN317" s="67" t="e">
        <f t="shared" si="398"/>
        <v>#N/A</v>
      </c>
      <c r="DO317" s="45" t="e">
        <f t="shared" si="399"/>
        <v>#N/A</v>
      </c>
      <c r="DP317" s="67" t="e">
        <f t="shared" si="400"/>
        <v>#N/A</v>
      </c>
      <c r="DQ317" s="45" t="e">
        <f t="shared" si="401"/>
        <v>#N/A</v>
      </c>
      <c r="DR317" s="69" t="e">
        <f t="shared" si="402"/>
        <v>#N/A</v>
      </c>
      <c r="DS317" s="34"/>
      <c r="DT317" s="67" t="e">
        <f>((BX317*CJ317)+IF($W317=MAT_AR,(BZ317*CL317),0))*(1+Reference!$E$50+Reference!$E$51)</f>
        <v>#N/A</v>
      </c>
      <c r="DU317" s="67">
        <f>((BY317*CK317)+IF($W317=MAT_AR,(CA317*CM317),0))*(1+Reference!$G$50+Reference!$G$51)</f>
        <v>0</v>
      </c>
      <c r="DV317" s="67" t="e">
        <f t="shared" si="403"/>
        <v>#VALUE!</v>
      </c>
      <c r="DX317" s="56">
        <v>303</v>
      </c>
      <c r="DY317" s="67">
        <f t="shared" si="404"/>
        <v>0</v>
      </c>
      <c r="DZ317" s="45" t="e">
        <f>VLOOKUP($R317,Dropdown!$C$3:$D$4,2,FALSE)</f>
        <v>#N/A</v>
      </c>
      <c r="EA317" s="68">
        <f t="shared" si="405"/>
        <v>0</v>
      </c>
      <c r="EB317" s="68" t="str">
        <f t="shared" si="406"/>
        <v>N/A</v>
      </c>
      <c r="EC317" s="68">
        <f t="shared" si="407"/>
        <v>0</v>
      </c>
      <c r="ED317" s="68" t="str">
        <f t="shared" si="445"/>
        <v>N/A</v>
      </c>
      <c r="EF317" s="56">
        <v>303</v>
      </c>
      <c r="EG317" s="46">
        <f t="shared" si="408"/>
        <v>0</v>
      </c>
      <c r="EH317" s="68" t="e">
        <f t="shared" si="409"/>
        <v>#N/A</v>
      </c>
      <c r="EI317" s="68" t="e">
        <f t="shared" si="410"/>
        <v>#N/A</v>
      </c>
      <c r="EJ317" s="68" t="e">
        <f t="shared" si="411"/>
        <v>#N/A</v>
      </c>
      <c r="EK317" s="68" t="e">
        <f t="shared" si="412"/>
        <v>#N/A</v>
      </c>
      <c r="EL317" s="46">
        <f t="shared" si="413"/>
        <v>0</v>
      </c>
      <c r="EM317" s="46">
        <f t="shared" si="414"/>
        <v>0</v>
      </c>
    </row>
    <row r="318" spans="1:143">
      <c r="A318" s="89"/>
      <c r="B318" s="89"/>
      <c r="C318" s="89"/>
      <c r="D318" s="89"/>
      <c r="E318" s="89"/>
      <c r="F318" s="89"/>
      <c r="G318" s="34"/>
      <c r="H318" s="56">
        <f t="shared" si="415"/>
        <v>304</v>
      </c>
      <c r="I318" s="165"/>
      <c r="J318" s="163"/>
      <c r="K318" s="163"/>
      <c r="L318" s="164"/>
      <c r="M318" s="155"/>
      <c r="N318" s="155"/>
      <c r="O318" s="144"/>
      <c r="P318" s="159" t="str">
        <f>IFERROR(IF(O318&lt;&gt;"User Specified",IF(O318&lt;&gt;"", INDEX('Refrigerant GWPs'!$G$2:$G$154,MATCH(O318,'Refrigerant GWPs'!$A$2:$A$154,0)),""),U318),0)</f>
        <v/>
      </c>
      <c r="Q318" s="155"/>
      <c r="R318" s="155"/>
      <c r="S318" s="144"/>
      <c r="T318" s="159" t="str">
        <f>IF(S318&lt;&gt;"User Specified",IF(AND(S318&lt;&gt;"User Specified",S318&lt;&gt;""), INDEX('Refrigerant GWPs'!$G$2:$G$154,MATCH(S318,'Refrigerant GWPs'!$A$2:$A$154,0)),""),V318)</f>
        <v/>
      </c>
      <c r="U318" s="144"/>
      <c r="V318" s="144"/>
      <c r="W318" s="155"/>
      <c r="X318" s="155"/>
      <c r="Y318" s="144"/>
      <c r="Z318" s="159" t="str">
        <f>IF(AND(Y318&lt;&gt;"User Specified",Y318&lt;&gt;""), INDEX('Refrigerant GWPs'!$G$2:$G$154,MATCH(Y318,'Refrigerant GWPs'!$A$2:$A$154,0)),"")</f>
        <v/>
      </c>
      <c r="AA318" s="155"/>
      <c r="AB318" s="156"/>
      <c r="AC318" s="66"/>
      <c r="AD318" s="66"/>
      <c r="AE318" s="66"/>
      <c r="AF318" s="66"/>
      <c r="AG318" s="66"/>
      <c r="AH318" s="66"/>
      <c r="AI318" s="34"/>
      <c r="AJ318" s="88">
        <f t="shared" si="378"/>
        <v>0</v>
      </c>
      <c r="AK318" s="88">
        <f t="shared" si="379"/>
        <v>0</v>
      </c>
      <c r="AL318" s="88">
        <v>0</v>
      </c>
      <c r="AM318" s="88">
        <v>0</v>
      </c>
      <c r="AN318" s="81" t="str">
        <f t="shared" si="417"/>
        <v/>
      </c>
      <c r="AO318" s="88">
        <f t="shared" si="380"/>
        <v>0</v>
      </c>
      <c r="AP318" s="88">
        <f t="shared" si="381"/>
        <v>0</v>
      </c>
      <c r="AQ318" s="81" t="str">
        <f t="shared" si="382"/>
        <v/>
      </c>
      <c r="AS318" s="41" t="b">
        <f t="shared" si="383"/>
        <v>1</v>
      </c>
      <c r="AT318" s="38">
        <f t="shared" si="384"/>
        <v>0</v>
      </c>
      <c r="AU318" s="60">
        <f t="shared" si="385"/>
        <v>0</v>
      </c>
      <c r="AV318" s="41">
        <f t="shared" si="386"/>
        <v>0</v>
      </c>
      <c r="AW318" s="41" t="b">
        <f t="shared" si="387"/>
        <v>0</v>
      </c>
      <c r="AX318" t="str">
        <f t="shared" si="388"/>
        <v>+00</v>
      </c>
      <c r="AY318" t="str">
        <f t="shared" si="389"/>
        <v>+00</v>
      </c>
      <c r="BA318" s="47" t="b">
        <f t="shared" si="418"/>
        <v>1</v>
      </c>
      <c r="BB318" s="42" t="b">
        <f t="shared" si="419"/>
        <v>1</v>
      </c>
      <c r="BC318" s="42" t="b">
        <f t="shared" si="420"/>
        <v>0</v>
      </c>
      <c r="BD318" s="42" t="b">
        <f t="shared" si="421"/>
        <v>0</v>
      </c>
      <c r="BE318" s="70">
        <f t="shared" si="422"/>
        <v>0</v>
      </c>
      <c r="BF318" s="70">
        <f t="shared" si="423"/>
        <v>0</v>
      </c>
      <c r="BG318" s="34"/>
      <c r="BI318" s="47" t="b">
        <f t="shared" si="424"/>
        <v>1</v>
      </c>
      <c r="BJ318" s="47" t="b">
        <f t="shared" si="425"/>
        <v>1</v>
      </c>
      <c r="BK318" s="42" t="b">
        <f t="shared" si="426"/>
        <v>0</v>
      </c>
      <c r="BL318" s="42" t="b">
        <f t="shared" si="427"/>
        <v>0</v>
      </c>
      <c r="BM318" s="42">
        <f t="shared" si="428"/>
        <v>0</v>
      </c>
      <c r="BN318" s="42">
        <f t="shared" si="429"/>
        <v>0</v>
      </c>
      <c r="BP318" t="e">
        <f t="shared" si="430"/>
        <v>#N/A</v>
      </c>
      <c r="BQ318" t="e">
        <f t="shared" si="431"/>
        <v>#N/A</v>
      </c>
      <c r="BR318" t="e">
        <f t="shared" si="432"/>
        <v>#N/A</v>
      </c>
      <c r="BT318" s="60">
        <f t="shared" si="433"/>
        <v>0</v>
      </c>
      <c r="BU318" s="60">
        <f t="shared" si="434"/>
        <v>0</v>
      </c>
      <c r="BV318" s="60">
        <f t="shared" si="435"/>
        <v>0</v>
      </c>
      <c r="BW318" s="60">
        <f t="shared" si="436"/>
        <v>0</v>
      </c>
      <c r="BX318" s="60">
        <f t="shared" si="437"/>
        <v>0</v>
      </c>
      <c r="BY318" s="60">
        <f t="shared" si="438"/>
        <v>0</v>
      </c>
      <c r="BZ318" s="60">
        <f t="shared" si="439"/>
        <v>0</v>
      </c>
      <c r="CA318" s="60">
        <f t="shared" si="440"/>
        <v>0</v>
      </c>
      <c r="CB318" s="60" t="e">
        <f t="shared" si="390"/>
        <v>#N/A</v>
      </c>
      <c r="CC318" s="60">
        <f t="shared" si="391"/>
        <v>100000</v>
      </c>
      <c r="CD318" s="60" t="e">
        <f t="shared" si="392"/>
        <v>#N/A</v>
      </c>
      <c r="CE318" s="60">
        <f t="shared" si="393"/>
        <v>100000</v>
      </c>
      <c r="CF318" s="83" t="e">
        <f t="shared" si="441"/>
        <v>#N/A</v>
      </c>
      <c r="CG318" s="83">
        <f t="shared" si="442"/>
        <v>0</v>
      </c>
      <c r="CH318" s="83" t="e">
        <f t="shared" si="443"/>
        <v>#N/A</v>
      </c>
      <c r="CI318" s="83">
        <f t="shared" si="444"/>
        <v>0</v>
      </c>
      <c r="CJ318" s="86" t="e">
        <f t="shared" si="394"/>
        <v>#N/A</v>
      </c>
      <c r="CK318" s="82">
        <f t="shared" si="395"/>
        <v>5.3070370403969858E-3</v>
      </c>
      <c r="CL318" s="82" t="e">
        <f t="shared" si="396"/>
        <v>#N/A</v>
      </c>
      <c r="CM318" s="82">
        <f t="shared" si="397"/>
        <v>5.3070370403969858E-3</v>
      </c>
      <c r="CO318" s="149" t="str">
        <f>IF($I318&lt;&gt;"",IF(O318="User Specified",U318,INDEX('Refrigerant GWPs'!$G$2:$G$156,MATCH(O318,'Refrigerant GWPs'!$A$2:$A$156,0))),"")</f>
        <v/>
      </c>
      <c r="CP318" s="138" t="str">
        <f>IF($I318&lt;&gt;"",INDEX('Device Refrigerant Leakage'!$E$2:$E$42,MATCH($M318,'Device Refrigerant Leakage'!$B$2:$B$42,0)),"")</f>
        <v/>
      </c>
      <c r="CQ318" s="138" t="str">
        <f>IF($I318&lt;&gt;"",INDEX('Device Refrigerant Leakage'!$F$2:$F$42,MATCH($M318,'Device Refrigerant Leakage'!$B$2:$B$42,0)),"")</f>
        <v/>
      </c>
      <c r="CR318" s="145" t="str">
        <f>IF($I318&lt;&gt;"",INDEX('Device Refrigerant Leakage'!$G$2:$G$42,MATCH($M318,'Device Refrigerant Leakage'!$B$2:$B$42,0)),"")</f>
        <v/>
      </c>
      <c r="CS318" s="145" t="str">
        <f>IF($I318&lt;&gt;"",INDEX('Device Refrigerant Leakage'!$D$2:$D$42,MATCH($M318,'Device Refrigerant Leakage'!$B$2:$B$42,0))*CP318/2204.62*CO318,"")</f>
        <v/>
      </c>
      <c r="CT318" s="145" t="str">
        <f>IF($I318&lt;&gt;"",J318*(INDEX('Device Refrigerant Leakage'!$D$2:$D$42,MATCH($M318,'Device Refrigerant Leakage'!$B$2:$B$42,0))-(INDEX('Device Refrigerant Leakage'!$D$2:$D$42,MATCH($M318,'Device Refrigerant Leakage'!$B$2:$B$42,0)))*CR318*CP318)*CQ318/2204.62*CO318,"")</f>
        <v/>
      </c>
      <c r="CU318" s="135" t="str">
        <f>IF($I318&lt;&gt;"",J318*IF(W318&lt;&gt;"AR",(CS318*K318)+CT318,(CS318*AB318)+CT318*(AB318/INDEX('Device Refrigerant Leakage'!$C$2:$C$42,MATCH($M318,'Device Refrigerant Leakage'!$B$2:$B$42,0)))),"")</f>
        <v/>
      </c>
      <c r="CW318" s="135" t="str">
        <f>IF($I318&lt;&gt;"",IF(S318="User Specified",V318,INDEX('Refrigerant GWPs'!$G$2:$G$156,MATCH(S318,'Refrigerant GWPs'!$A$2:$A$157,0))),"")</f>
        <v/>
      </c>
      <c r="CX318" s="138" t="str">
        <f>IF($I318&lt;&gt;"",INDEX('Device Refrigerant Leakage'!$E$2:$E$42,MATCH($Q318,'Device Refrigerant Leakage'!$B$2:$B$42,0)),"")</f>
        <v/>
      </c>
      <c r="CY318" s="138" t="str">
        <f>IF($I318&lt;&gt;"",INDEX('Device Refrigerant Leakage'!$F$2:$F$42,MATCH($Q318,'Device Refrigerant Leakage'!$B$2:$B$42,0)),"")</f>
        <v/>
      </c>
      <c r="CZ318" s="145" t="str">
        <f>IF($I318&lt;&gt;"",INDEX('Device Refrigerant Leakage'!$G$2:$G$42,MATCH($Q318,'Device Refrigerant Leakage'!$B$2:$B$42,0)),"")</f>
        <v/>
      </c>
      <c r="DA318" s="145" t="str">
        <f>IF($I318&lt;&gt;"",J318*INDEX('Device Refrigerant Leakage'!$D$2:$D$42,MATCH($Q318,'Device Refrigerant Leakage'!$B$2:$B$42,0))*CX318/2204.62*CW318,"")</f>
        <v/>
      </c>
      <c r="DB318" s="145" t="str">
        <f>IF($I318&lt;&gt;"",J318*(INDEX('Device Refrigerant Leakage'!$D$2:$D$42,MATCH($Q318,'Device Refrigerant Leakage'!$B$2:$B$42,0))-(INDEX('Device Refrigerant Leakage'!$D$2:$D$42,MATCH($Q318,'Device Refrigerant Leakage'!$B$2:$B$42,0)))*CZ318*CX318)*CY318/2204.62*CW318,"")</f>
        <v/>
      </c>
      <c r="DC318" s="135" t="str">
        <f t="shared" si="416"/>
        <v/>
      </c>
      <c r="DE318" s="146" t="str">
        <f>IF(W318&lt;&gt;"AR","",IF(Y318="User Specified", AA318, INDEX('Refrigerant GWPs'!$G$2:$G$154,MATCH(Y318,'Refrigerant GWPs'!$A$2:$A$154,0))))</f>
        <v/>
      </c>
      <c r="DF318" s="146" t="str">
        <f>IF(W318&lt;&gt;"AR","",INDEX('Device Refrigerant Leakage'!$E$2:$E$42,MATCH(X318,'Device Refrigerant Leakage'!$B$2:$B$42,0)))</f>
        <v/>
      </c>
      <c r="DG318" s="146" t="str">
        <f>IF(W318&lt;&gt;"AR","",INDEX('Device Refrigerant Leakage'!$F$2:$F$42,MATCH(X318,'Device Refrigerant Leakage'!$B$2:$B$42,0)))</f>
        <v/>
      </c>
      <c r="DH318" s="146" t="str">
        <f>IF(W318&lt;&gt;"AR","",INDEX('Device Refrigerant Leakage'!$G$2:$G$42,MATCH(X318,'Device Refrigerant Leakage'!$B$2:$B$42,0)))</f>
        <v/>
      </c>
      <c r="DI318" s="146" t="str">
        <f>IF(W318&lt;&gt;"AR","",J318*INDEX('Device Refrigerant Leakage'!$D$2:$D$42,MATCH(X318,'Device Refrigerant Leakage'!$B$2:$B$42,0))*DF318/2204.62*DE318)</f>
        <v/>
      </c>
      <c r="DJ318" s="146" t="str">
        <f>IF(W318&lt;&gt;"AR","",J318*(INDEX('Device Refrigerant Leakage'!$D$2:$D$42,MATCH(X318,'Device Refrigerant Leakage'!$B$2:$B$42,0))-(INDEX('Device Refrigerant Leakage'!$D$2:$D$42,MATCH(X318,'Device Refrigerant Leakage'!$B$2:$B$42,0)))*DH318*DF318)*DG318/2204.62*DE318)</f>
        <v/>
      </c>
      <c r="DK318" s="146" t="str">
        <f>IF(W318&lt;&gt;"AR","",DI318*(K318-AB318)+'Fuel Sub Calcs-Deemed'!DJ318*((K318-AB318)/INDEX('Device Refrigerant Leakage'!$C$2:$C$42,MATCH('Fuel Sub Calcs-Deemed'!X318,'Device Refrigerant Leakage'!$B$2:$B$42,0))))</f>
        <v/>
      </c>
      <c r="DM318" s="56">
        <v>304</v>
      </c>
      <c r="DN318" s="67" t="e">
        <f t="shared" si="398"/>
        <v>#N/A</v>
      </c>
      <c r="DO318" s="45" t="e">
        <f t="shared" si="399"/>
        <v>#N/A</v>
      </c>
      <c r="DP318" s="67" t="e">
        <f t="shared" si="400"/>
        <v>#N/A</v>
      </c>
      <c r="DQ318" s="45" t="e">
        <f t="shared" si="401"/>
        <v>#N/A</v>
      </c>
      <c r="DR318" s="69" t="e">
        <f t="shared" si="402"/>
        <v>#N/A</v>
      </c>
      <c r="DS318" s="34"/>
      <c r="DT318" s="67" t="e">
        <f>((BX318*CJ318)+IF($W318=MAT_AR,(BZ318*CL318),0))*(1+Reference!$E$50+Reference!$E$51)</f>
        <v>#N/A</v>
      </c>
      <c r="DU318" s="67">
        <f>((BY318*CK318)+IF($W318=MAT_AR,(CA318*CM318),0))*(1+Reference!$G$50+Reference!$G$51)</f>
        <v>0</v>
      </c>
      <c r="DV318" s="67" t="e">
        <f t="shared" si="403"/>
        <v>#VALUE!</v>
      </c>
      <c r="DX318" s="56">
        <v>304</v>
      </c>
      <c r="DY318" s="67">
        <f t="shared" si="404"/>
        <v>0</v>
      </c>
      <c r="DZ318" s="45" t="e">
        <f>VLOOKUP($R318,Dropdown!$C$3:$D$4,2,FALSE)</f>
        <v>#N/A</v>
      </c>
      <c r="EA318" s="68">
        <f t="shared" si="405"/>
        <v>0</v>
      </c>
      <c r="EB318" s="68" t="str">
        <f t="shared" si="406"/>
        <v>N/A</v>
      </c>
      <c r="EC318" s="68">
        <f t="shared" si="407"/>
        <v>0</v>
      </c>
      <c r="ED318" s="68" t="str">
        <f t="shared" si="445"/>
        <v>N/A</v>
      </c>
      <c r="EF318" s="56">
        <v>304</v>
      </c>
      <c r="EG318" s="46">
        <f t="shared" si="408"/>
        <v>0</v>
      </c>
      <c r="EH318" s="68" t="e">
        <f t="shared" si="409"/>
        <v>#N/A</v>
      </c>
      <c r="EI318" s="68" t="e">
        <f t="shared" si="410"/>
        <v>#N/A</v>
      </c>
      <c r="EJ318" s="68" t="e">
        <f t="shared" si="411"/>
        <v>#N/A</v>
      </c>
      <c r="EK318" s="68" t="e">
        <f t="shared" si="412"/>
        <v>#N/A</v>
      </c>
      <c r="EL318" s="46">
        <f t="shared" si="413"/>
        <v>0</v>
      </c>
      <c r="EM318" s="46">
        <f t="shared" si="414"/>
        <v>0</v>
      </c>
    </row>
    <row r="319" spans="1:143">
      <c r="A319" s="89"/>
      <c r="B319" s="89"/>
      <c r="C319" s="89"/>
      <c r="D319" s="89"/>
      <c r="E319" s="89"/>
      <c r="F319" s="89"/>
      <c r="G319" s="34"/>
      <c r="H319" s="56">
        <f t="shared" si="415"/>
        <v>305</v>
      </c>
      <c r="I319" s="165"/>
      <c r="J319" s="163"/>
      <c r="K319" s="163"/>
      <c r="L319" s="164"/>
      <c r="M319" s="155"/>
      <c r="N319" s="155"/>
      <c r="O319" s="144"/>
      <c r="P319" s="159" t="str">
        <f>IFERROR(IF(O319&lt;&gt;"User Specified",IF(O319&lt;&gt;"", INDEX('Refrigerant GWPs'!$G$2:$G$154,MATCH(O319,'Refrigerant GWPs'!$A$2:$A$154,0)),""),U319),0)</f>
        <v/>
      </c>
      <c r="Q319" s="155"/>
      <c r="R319" s="155"/>
      <c r="S319" s="144"/>
      <c r="T319" s="159" t="str">
        <f>IF(S319&lt;&gt;"User Specified",IF(AND(S319&lt;&gt;"User Specified",S319&lt;&gt;""), INDEX('Refrigerant GWPs'!$G$2:$G$154,MATCH(S319,'Refrigerant GWPs'!$A$2:$A$154,0)),""),V319)</f>
        <v/>
      </c>
      <c r="U319" s="144"/>
      <c r="V319" s="144"/>
      <c r="W319" s="155"/>
      <c r="X319" s="155"/>
      <c r="Y319" s="144"/>
      <c r="Z319" s="159" t="str">
        <f>IF(AND(Y319&lt;&gt;"User Specified",Y319&lt;&gt;""), INDEX('Refrigerant GWPs'!$G$2:$G$154,MATCH(Y319,'Refrigerant GWPs'!$A$2:$A$154,0)),"")</f>
        <v/>
      </c>
      <c r="AA319" s="155"/>
      <c r="AB319" s="156"/>
      <c r="AC319" s="66"/>
      <c r="AD319" s="66"/>
      <c r="AE319" s="66"/>
      <c r="AF319" s="66"/>
      <c r="AG319" s="66"/>
      <c r="AH319" s="66"/>
      <c r="AI319" s="34"/>
      <c r="AJ319" s="88">
        <f t="shared" si="378"/>
        <v>0</v>
      </c>
      <c r="AK319" s="88">
        <f t="shared" si="379"/>
        <v>0</v>
      </c>
      <c r="AL319" s="88">
        <v>0</v>
      </c>
      <c r="AM319" s="88">
        <v>0</v>
      </c>
      <c r="AN319" s="81" t="str">
        <f t="shared" si="417"/>
        <v/>
      </c>
      <c r="AO319" s="88">
        <f t="shared" si="380"/>
        <v>0</v>
      </c>
      <c r="AP319" s="88">
        <f t="shared" si="381"/>
        <v>0</v>
      </c>
      <c r="AQ319" s="81" t="str">
        <f t="shared" si="382"/>
        <v/>
      </c>
      <c r="AS319" s="41" t="b">
        <f t="shared" si="383"/>
        <v>1</v>
      </c>
      <c r="AT319" s="38">
        <f t="shared" si="384"/>
        <v>0</v>
      </c>
      <c r="AU319" s="60">
        <f t="shared" si="385"/>
        <v>0</v>
      </c>
      <c r="AV319" s="41">
        <f t="shared" si="386"/>
        <v>0</v>
      </c>
      <c r="AW319" s="41" t="b">
        <f t="shared" si="387"/>
        <v>0</v>
      </c>
      <c r="AX319" t="str">
        <f t="shared" si="388"/>
        <v>+00</v>
      </c>
      <c r="AY319" t="str">
        <f t="shared" si="389"/>
        <v>+00</v>
      </c>
      <c r="BA319" s="47" t="b">
        <f t="shared" si="418"/>
        <v>1</v>
      </c>
      <c r="BB319" s="42" t="b">
        <f t="shared" si="419"/>
        <v>1</v>
      </c>
      <c r="BC319" s="42" t="b">
        <f t="shared" si="420"/>
        <v>0</v>
      </c>
      <c r="BD319" s="42" t="b">
        <f t="shared" si="421"/>
        <v>0</v>
      </c>
      <c r="BE319" s="70">
        <f t="shared" si="422"/>
        <v>0</v>
      </c>
      <c r="BF319" s="70">
        <f t="shared" si="423"/>
        <v>0</v>
      </c>
      <c r="BG319" s="34"/>
      <c r="BI319" s="47" t="b">
        <f t="shared" si="424"/>
        <v>1</v>
      </c>
      <c r="BJ319" s="47" t="b">
        <f t="shared" si="425"/>
        <v>1</v>
      </c>
      <c r="BK319" s="42" t="b">
        <f t="shared" si="426"/>
        <v>0</v>
      </c>
      <c r="BL319" s="42" t="b">
        <f t="shared" si="427"/>
        <v>0</v>
      </c>
      <c r="BM319" s="42">
        <f t="shared" si="428"/>
        <v>0</v>
      </c>
      <c r="BN319" s="42">
        <f t="shared" si="429"/>
        <v>0</v>
      </c>
      <c r="BP319" t="e">
        <f t="shared" si="430"/>
        <v>#N/A</v>
      </c>
      <c r="BQ319" t="e">
        <f t="shared" si="431"/>
        <v>#N/A</v>
      </c>
      <c r="BR319" t="e">
        <f t="shared" si="432"/>
        <v>#N/A</v>
      </c>
      <c r="BT319" s="60">
        <f t="shared" si="433"/>
        <v>0</v>
      </c>
      <c r="BU319" s="60">
        <f t="shared" si="434"/>
        <v>0</v>
      </c>
      <c r="BV319" s="60">
        <f t="shared" si="435"/>
        <v>0</v>
      </c>
      <c r="BW319" s="60">
        <f t="shared" si="436"/>
        <v>0</v>
      </c>
      <c r="BX319" s="60">
        <f t="shared" si="437"/>
        <v>0</v>
      </c>
      <c r="BY319" s="60">
        <f t="shared" si="438"/>
        <v>0</v>
      </c>
      <c r="BZ319" s="60">
        <f t="shared" si="439"/>
        <v>0</v>
      </c>
      <c r="CA319" s="60">
        <f t="shared" si="440"/>
        <v>0</v>
      </c>
      <c r="CB319" s="60" t="e">
        <f t="shared" si="390"/>
        <v>#N/A</v>
      </c>
      <c r="CC319" s="60">
        <f t="shared" si="391"/>
        <v>100000</v>
      </c>
      <c r="CD319" s="60" t="e">
        <f t="shared" si="392"/>
        <v>#N/A</v>
      </c>
      <c r="CE319" s="60">
        <f t="shared" si="393"/>
        <v>100000</v>
      </c>
      <c r="CF319" s="83" t="e">
        <f t="shared" si="441"/>
        <v>#N/A</v>
      </c>
      <c r="CG319" s="83">
        <f t="shared" si="442"/>
        <v>0</v>
      </c>
      <c r="CH319" s="83" t="e">
        <f t="shared" si="443"/>
        <v>#N/A</v>
      </c>
      <c r="CI319" s="83">
        <f t="shared" si="444"/>
        <v>0</v>
      </c>
      <c r="CJ319" s="86" t="e">
        <f t="shared" si="394"/>
        <v>#N/A</v>
      </c>
      <c r="CK319" s="82">
        <f t="shared" si="395"/>
        <v>5.3070370403969858E-3</v>
      </c>
      <c r="CL319" s="82" t="e">
        <f t="shared" si="396"/>
        <v>#N/A</v>
      </c>
      <c r="CM319" s="82">
        <f t="shared" si="397"/>
        <v>5.3070370403969858E-3</v>
      </c>
      <c r="CO319" s="149" t="str">
        <f>IF($I319&lt;&gt;"",IF(O319="User Specified",U319,INDEX('Refrigerant GWPs'!$G$2:$G$156,MATCH(O319,'Refrigerant GWPs'!$A$2:$A$156,0))),"")</f>
        <v/>
      </c>
      <c r="CP319" s="138" t="str">
        <f>IF($I319&lt;&gt;"",INDEX('Device Refrigerant Leakage'!$E$2:$E$42,MATCH($M319,'Device Refrigerant Leakage'!$B$2:$B$42,0)),"")</f>
        <v/>
      </c>
      <c r="CQ319" s="138" t="str">
        <f>IF($I319&lt;&gt;"",INDEX('Device Refrigerant Leakage'!$F$2:$F$42,MATCH($M319,'Device Refrigerant Leakage'!$B$2:$B$42,0)),"")</f>
        <v/>
      </c>
      <c r="CR319" s="145" t="str">
        <f>IF($I319&lt;&gt;"",INDEX('Device Refrigerant Leakage'!$G$2:$G$42,MATCH($M319,'Device Refrigerant Leakage'!$B$2:$B$42,0)),"")</f>
        <v/>
      </c>
      <c r="CS319" s="145" t="str">
        <f>IF($I319&lt;&gt;"",INDEX('Device Refrigerant Leakage'!$D$2:$D$42,MATCH($M319,'Device Refrigerant Leakage'!$B$2:$B$42,0))*CP319/2204.62*CO319,"")</f>
        <v/>
      </c>
      <c r="CT319" s="145" t="str">
        <f>IF($I319&lt;&gt;"",J319*(INDEX('Device Refrigerant Leakage'!$D$2:$D$42,MATCH($M319,'Device Refrigerant Leakage'!$B$2:$B$42,0))-(INDEX('Device Refrigerant Leakage'!$D$2:$D$42,MATCH($M319,'Device Refrigerant Leakage'!$B$2:$B$42,0)))*CR319*CP319)*CQ319/2204.62*CO319,"")</f>
        <v/>
      </c>
      <c r="CU319" s="135" t="str">
        <f>IF($I319&lt;&gt;"",J319*IF(W319&lt;&gt;"AR",(CS319*K319)+CT319,(CS319*AB319)+CT319*(AB319/INDEX('Device Refrigerant Leakage'!$C$2:$C$42,MATCH($M319,'Device Refrigerant Leakage'!$B$2:$B$42,0)))),"")</f>
        <v/>
      </c>
      <c r="CW319" s="135" t="str">
        <f>IF($I319&lt;&gt;"",IF(S319="User Specified",V319,INDEX('Refrigerant GWPs'!$G$2:$G$156,MATCH(S319,'Refrigerant GWPs'!$A$2:$A$157,0))),"")</f>
        <v/>
      </c>
      <c r="CX319" s="138" t="str">
        <f>IF($I319&lt;&gt;"",INDEX('Device Refrigerant Leakage'!$E$2:$E$42,MATCH($Q319,'Device Refrigerant Leakage'!$B$2:$B$42,0)),"")</f>
        <v/>
      </c>
      <c r="CY319" s="138" t="str">
        <f>IF($I319&lt;&gt;"",INDEX('Device Refrigerant Leakage'!$F$2:$F$42,MATCH($Q319,'Device Refrigerant Leakage'!$B$2:$B$42,0)),"")</f>
        <v/>
      </c>
      <c r="CZ319" s="145" t="str">
        <f>IF($I319&lt;&gt;"",INDEX('Device Refrigerant Leakage'!$G$2:$G$42,MATCH($Q319,'Device Refrigerant Leakage'!$B$2:$B$42,0)),"")</f>
        <v/>
      </c>
      <c r="DA319" s="145" t="str">
        <f>IF($I319&lt;&gt;"",J319*INDEX('Device Refrigerant Leakage'!$D$2:$D$42,MATCH($Q319,'Device Refrigerant Leakage'!$B$2:$B$42,0))*CX319/2204.62*CW319,"")</f>
        <v/>
      </c>
      <c r="DB319" s="145" t="str">
        <f>IF($I319&lt;&gt;"",J319*(INDEX('Device Refrigerant Leakage'!$D$2:$D$42,MATCH($Q319,'Device Refrigerant Leakage'!$B$2:$B$42,0))-(INDEX('Device Refrigerant Leakage'!$D$2:$D$42,MATCH($Q319,'Device Refrigerant Leakage'!$B$2:$B$42,0)))*CZ319*CX319)*CY319/2204.62*CW319,"")</f>
        <v/>
      </c>
      <c r="DC319" s="135" t="str">
        <f t="shared" si="416"/>
        <v/>
      </c>
      <c r="DE319" s="146" t="str">
        <f>IF(W319&lt;&gt;"AR","",IF(Y319="User Specified", AA319, INDEX('Refrigerant GWPs'!$G$2:$G$154,MATCH(Y319,'Refrigerant GWPs'!$A$2:$A$154,0))))</f>
        <v/>
      </c>
      <c r="DF319" s="146" t="str">
        <f>IF(W319&lt;&gt;"AR","",INDEX('Device Refrigerant Leakage'!$E$2:$E$42,MATCH(X319,'Device Refrigerant Leakage'!$B$2:$B$42,0)))</f>
        <v/>
      </c>
      <c r="DG319" s="146" t="str">
        <f>IF(W319&lt;&gt;"AR","",INDEX('Device Refrigerant Leakage'!$F$2:$F$42,MATCH(X319,'Device Refrigerant Leakage'!$B$2:$B$42,0)))</f>
        <v/>
      </c>
      <c r="DH319" s="146" t="str">
        <f>IF(W319&lt;&gt;"AR","",INDEX('Device Refrigerant Leakage'!$G$2:$G$42,MATCH(X319,'Device Refrigerant Leakage'!$B$2:$B$42,0)))</f>
        <v/>
      </c>
      <c r="DI319" s="146" t="str">
        <f>IF(W319&lt;&gt;"AR","",J319*INDEX('Device Refrigerant Leakage'!$D$2:$D$42,MATCH(X319,'Device Refrigerant Leakage'!$B$2:$B$42,0))*DF319/2204.62*DE319)</f>
        <v/>
      </c>
      <c r="DJ319" s="146" t="str">
        <f>IF(W319&lt;&gt;"AR","",J319*(INDEX('Device Refrigerant Leakage'!$D$2:$D$42,MATCH(X319,'Device Refrigerant Leakage'!$B$2:$B$42,0))-(INDEX('Device Refrigerant Leakage'!$D$2:$D$42,MATCH(X319,'Device Refrigerant Leakage'!$B$2:$B$42,0)))*DH319*DF319)*DG319/2204.62*DE319)</f>
        <v/>
      </c>
      <c r="DK319" s="146" t="str">
        <f>IF(W319&lt;&gt;"AR","",DI319*(K319-AB319)+'Fuel Sub Calcs-Deemed'!DJ319*((K319-AB319)/INDEX('Device Refrigerant Leakage'!$C$2:$C$42,MATCH('Fuel Sub Calcs-Deemed'!X319,'Device Refrigerant Leakage'!$B$2:$B$42,0))))</f>
        <v/>
      </c>
      <c r="DM319" s="56">
        <v>305</v>
      </c>
      <c r="DN319" s="67" t="e">
        <f t="shared" si="398"/>
        <v>#N/A</v>
      </c>
      <c r="DO319" s="45" t="e">
        <f t="shared" si="399"/>
        <v>#N/A</v>
      </c>
      <c r="DP319" s="67" t="e">
        <f t="shared" si="400"/>
        <v>#N/A</v>
      </c>
      <c r="DQ319" s="45" t="e">
        <f t="shared" si="401"/>
        <v>#N/A</v>
      </c>
      <c r="DR319" s="69" t="e">
        <f t="shared" si="402"/>
        <v>#N/A</v>
      </c>
      <c r="DS319" s="34"/>
      <c r="DT319" s="67" t="e">
        <f>((BX319*CJ319)+IF($W319=MAT_AR,(BZ319*CL319),0))*(1+Reference!$E$50+Reference!$E$51)</f>
        <v>#N/A</v>
      </c>
      <c r="DU319" s="67">
        <f>((BY319*CK319)+IF($W319=MAT_AR,(CA319*CM319),0))*(1+Reference!$G$50+Reference!$G$51)</f>
        <v>0</v>
      </c>
      <c r="DV319" s="67" t="e">
        <f t="shared" si="403"/>
        <v>#VALUE!</v>
      </c>
      <c r="DX319" s="56">
        <v>305</v>
      </c>
      <c r="DY319" s="67">
        <f t="shared" si="404"/>
        <v>0</v>
      </c>
      <c r="DZ319" s="45" t="e">
        <f>VLOOKUP($R319,Dropdown!$C$3:$D$4,2,FALSE)</f>
        <v>#N/A</v>
      </c>
      <c r="EA319" s="68">
        <f t="shared" si="405"/>
        <v>0</v>
      </c>
      <c r="EB319" s="68" t="str">
        <f t="shared" si="406"/>
        <v>N/A</v>
      </c>
      <c r="EC319" s="68">
        <f t="shared" si="407"/>
        <v>0</v>
      </c>
      <c r="ED319" s="68" t="str">
        <f t="shared" si="445"/>
        <v>N/A</v>
      </c>
      <c r="EF319" s="56">
        <v>305</v>
      </c>
      <c r="EG319" s="46">
        <f t="shared" si="408"/>
        <v>0</v>
      </c>
      <c r="EH319" s="68" t="e">
        <f t="shared" si="409"/>
        <v>#N/A</v>
      </c>
      <c r="EI319" s="68" t="e">
        <f t="shared" si="410"/>
        <v>#N/A</v>
      </c>
      <c r="EJ319" s="68" t="e">
        <f t="shared" si="411"/>
        <v>#N/A</v>
      </c>
      <c r="EK319" s="68" t="e">
        <f t="shared" si="412"/>
        <v>#N/A</v>
      </c>
      <c r="EL319" s="46">
        <f t="shared" si="413"/>
        <v>0</v>
      </c>
      <c r="EM319" s="46">
        <f t="shared" si="414"/>
        <v>0</v>
      </c>
    </row>
    <row r="320" spans="1:143">
      <c r="A320" s="89"/>
      <c r="B320" s="89"/>
      <c r="C320" s="89"/>
      <c r="D320" s="89"/>
      <c r="E320" s="89"/>
      <c r="F320" s="89"/>
      <c r="G320" s="34"/>
      <c r="H320" s="56">
        <f t="shared" si="415"/>
        <v>306</v>
      </c>
      <c r="I320" s="165"/>
      <c r="J320" s="163"/>
      <c r="K320" s="163"/>
      <c r="L320" s="164"/>
      <c r="M320" s="155"/>
      <c r="N320" s="155"/>
      <c r="O320" s="144"/>
      <c r="P320" s="159" t="str">
        <f>IFERROR(IF(O320&lt;&gt;"User Specified",IF(O320&lt;&gt;"", INDEX('Refrigerant GWPs'!$G$2:$G$154,MATCH(O320,'Refrigerant GWPs'!$A$2:$A$154,0)),""),U320),0)</f>
        <v/>
      </c>
      <c r="Q320" s="155"/>
      <c r="R320" s="155"/>
      <c r="S320" s="144"/>
      <c r="T320" s="159" t="str">
        <f>IF(S320&lt;&gt;"User Specified",IF(AND(S320&lt;&gt;"User Specified",S320&lt;&gt;""), INDEX('Refrigerant GWPs'!$G$2:$G$154,MATCH(S320,'Refrigerant GWPs'!$A$2:$A$154,0)),""),V320)</f>
        <v/>
      </c>
      <c r="U320" s="144"/>
      <c r="V320" s="144"/>
      <c r="W320" s="155"/>
      <c r="X320" s="155"/>
      <c r="Y320" s="144"/>
      <c r="Z320" s="159" t="str">
        <f>IF(AND(Y320&lt;&gt;"User Specified",Y320&lt;&gt;""), INDEX('Refrigerant GWPs'!$G$2:$G$154,MATCH(Y320,'Refrigerant GWPs'!$A$2:$A$154,0)),"")</f>
        <v/>
      </c>
      <c r="AA320" s="155"/>
      <c r="AB320" s="156"/>
      <c r="AC320" s="66"/>
      <c r="AD320" s="66"/>
      <c r="AE320" s="66"/>
      <c r="AF320" s="66"/>
      <c r="AG320" s="66"/>
      <c r="AH320" s="66"/>
      <c r="AI320" s="34"/>
      <c r="AJ320" s="88">
        <f t="shared" si="378"/>
        <v>0</v>
      </c>
      <c r="AK320" s="88">
        <f t="shared" si="379"/>
        <v>0</v>
      </c>
      <c r="AL320" s="88">
        <v>0</v>
      </c>
      <c r="AM320" s="88">
        <v>0</v>
      </c>
      <c r="AN320" s="81" t="str">
        <f t="shared" si="417"/>
        <v/>
      </c>
      <c r="AO320" s="88">
        <f t="shared" si="380"/>
        <v>0</v>
      </c>
      <c r="AP320" s="88">
        <f t="shared" si="381"/>
        <v>0</v>
      </c>
      <c r="AQ320" s="81" t="str">
        <f t="shared" si="382"/>
        <v/>
      </c>
      <c r="AS320" s="41" t="b">
        <f t="shared" si="383"/>
        <v>1</v>
      </c>
      <c r="AT320" s="38">
        <f t="shared" si="384"/>
        <v>0</v>
      </c>
      <c r="AU320" s="60">
        <f t="shared" si="385"/>
        <v>0</v>
      </c>
      <c r="AV320" s="41">
        <f t="shared" si="386"/>
        <v>0</v>
      </c>
      <c r="AW320" s="41" t="b">
        <f t="shared" si="387"/>
        <v>0</v>
      </c>
      <c r="AX320" t="str">
        <f t="shared" si="388"/>
        <v>+00</v>
      </c>
      <c r="AY320" t="str">
        <f t="shared" si="389"/>
        <v>+00</v>
      </c>
      <c r="BA320" s="47" t="b">
        <f t="shared" si="418"/>
        <v>1</v>
      </c>
      <c r="BB320" s="42" t="b">
        <f t="shared" si="419"/>
        <v>1</v>
      </c>
      <c r="BC320" s="42" t="b">
        <f t="shared" si="420"/>
        <v>0</v>
      </c>
      <c r="BD320" s="42" t="b">
        <f t="shared" si="421"/>
        <v>0</v>
      </c>
      <c r="BE320" s="70">
        <f t="shared" si="422"/>
        <v>0</v>
      </c>
      <c r="BF320" s="70">
        <f t="shared" si="423"/>
        <v>0</v>
      </c>
      <c r="BG320" s="34"/>
      <c r="BI320" s="47" t="b">
        <f t="shared" si="424"/>
        <v>1</v>
      </c>
      <c r="BJ320" s="47" t="b">
        <f t="shared" si="425"/>
        <v>1</v>
      </c>
      <c r="BK320" s="42" t="b">
        <f t="shared" si="426"/>
        <v>0</v>
      </c>
      <c r="BL320" s="42" t="b">
        <f t="shared" si="427"/>
        <v>0</v>
      </c>
      <c r="BM320" s="42">
        <f t="shared" si="428"/>
        <v>0</v>
      </c>
      <c r="BN320" s="42">
        <f t="shared" si="429"/>
        <v>0</v>
      </c>
      <c r="BP320" t="e">
        <f t="shared" si="430"/>
        <v>#N/A</v>
      </c>
      <c r="BQ320" t="e">
        <f t="shared" si="431"/>
        <v>#N/A</v>
      </c>
      <c r="BR320" t="e">
        <f t="shared" si="432"/>
        <v>#N/A</v>
      </c>
      <c r="BT320" s="60">
        <f t="shared" si="433"/>
        <v>0</v>
      </c>
      <c r="BU320" s="60">
        <f t="shared" si="434"/>
        <v>0</v>
      </c>
      <c r="BV320" s="60">
        <f t="shared" si="435"/>
        <v>0</v>
      </c>
      <c r="BW320" s="60">
        <f t="shared" si="436"/>
        <v>0</v>
      </c>
      <c r="BX320" s="60">
        <f t="shared" si="437"/>
        <v>0</v>
      </c>
      <c r="BY320" s="60">
        <f t="shared" si="438"/>
        <v>0</v>
      </c>
      <c r="BZ320" s="60">
        <f t="shared" si="439"/>
        <v>0</v>
      </c>
      <c r="CA320" s="60">
        <f t="shared" si="440"/>
        <v>0</v>
      </c>
      <c r="CB320" s="60" t="e">
        <f t="shared" si="390"/>
        <v>#N/A</v>
      </c>
      <c r="CC320" s="60">
        <f t="shared" si="391"/>
        <v>100000</v>
      </c>
      <c r="CD320" s="60" t="e">
        <f t="shared" si="392"/>
        <v>#N/A</v>
      </c>
      <c r="CE320" s="60">
        <f t="shared" si="393"/>
        <v>100000</v>
      </c>
      <c r="CF320" s="83" t="e">
        <f t="shared" si="441"/>
        <v>#N/A</v>
      </c>
      <c r="CG320" s="83">
        <f t="shared" si="442"/>
        <v>0</v>
      </c>
      <c r="CH320" s="83" t="e">
        <f t="shared" si="443"/>
        <v>#N/A</v>
      </c>
      <c r="CI320" s="83">
        <f t="shared" si="444"/>
        <v>0</v>
      </c>
      <c r="CJ320" s="86" t="e">
        <f t="shared" si="394"/>
        <v>#N/A</v>
      </c>
      <c r="CK320" s="82">
        <f t="shared" si="395"/>
        <v>5.3070370403969858E-3</v>
      </c>
      <c r="CL320" s="82" t="e">
        <f t="shared" si="396"/>
        <v>#N/A</v>
      </c>
      <c r="CM320" s="82">
        <f t="shared" si="397"/>
        <v>5.3070370403969858E-3</v>
      </c>
      <c r="CO320" s="149" t="str">
        <f>IF($I320&lt;&gt;"",IF(O320="User Specified",U320,INDEX('Refrigerant GWPs'!$G$2:$G$156,MATCH(O320,'Refrigerant GWPs'!$A$2:$A$156,0))),"")</f>
        <v/>
      </c>
      <c r="CP320" s="138" t="str">
        <f>IF($I320&lt;&gt;"",INDEX('Device Refrigerant Leakage'!$E$2:$E$42,MATCH($M320,'Device Refrigerant Leakage'!$B$2:$B$42,0)),"")</f>
        <v/>
      </c>
      <c r="CQ320" s="138" t="str">
        <f>IF($I320&lt;&gt;"",INDEX('Device Refrigerant Leakage'!$F$2:$F$42,MATCH($M320,'Device Refrigerant Leakage'!$B$2:$B$42,0)),"")</f>
        <v/>
      </c>
      <c r="CR320" s="145" t="str">
        <f>IF($I320&lt;&gt;"",INDEX('Device Refrigerant Leakage'!$G$2:$G$42,MATCH($M320,'Device Refrigerant Leakage'!$B$2:$B$42,0)),"")</f>
        <v/>
      </c>
      <c r="CS320" s="145" t="str">
        <f>IF($I320&lt;&gt;"",INDEX('Device Refrigerant Leakage'!$D$2:$D$42,MATCH($M320,'Device Refrigerant Leakage'!$B$2:$B$42,0))*CP320/2204.62*CO320,"")</f>
        <v/>
      </c>
      <c r="CT320" s="145" t="str">
        <f>IF($I320&lt;&gt;"",J320*(INDEX('Device Refrigerant Leakage'!$D$2:$D$42,MATCH($M320,'Device Refrigerant Leakage'!$B$2:$B$42,0))-(INDEX('Device Refrigerant Leakage'!$D$2:$D$42,MATCH($M320,'Device Refrigerant Leakage'!$B$2:$B$42,0)))*CR320*CP320)*CQ320/2204.62*CO320,"")</f>
        <v/>
      </c>
      <c r="CU320" s="135" t="str">
        <f>IF($I320&lt;&gt;"",J320*IF(W320&lt;&gt;"AR",(CS320*K320)+CT320,(CS320*AB320)+CT320*(AB320/INDEX('Device Refrigerant Leakage'!$C$2:$C$42,MATCH($M320,'Device Refrigerant Leakage'!$B$2:$B$42,0)))),"")</f>
        <v/>
      </c>
      <c r="CW320" s="135" t="str">
        <f>IF($I320&lt;&gt;"",IF(S320="User Specified",V320,INDEX('Refrigerant GWPs'!$G$2:$G$156,MATCH(S320,'Refrigerant GWPs'!$A$2:$A$157,0))),"")</f>
        <v/>
      </c>
      <c r="CX320" s="138" t="str">
        <f>IF($I320&lt;&gt;"",INDEX('Device Refrigerant Leakage'!$E$2:$E$42,MATCH($Q320,'Device Refrigerant Leakage'!$B$2:$B$42,0)),"")</f>
        <v/>
      </c>
      <c r="CY320" s="138" t="str">
        <f>IF($I320&lt;&gt;"",INDEX('Device Refrigerant Leakage'!$F$2:$F$42,MATCH($Q320,'Device Refrigerant Leakage'!$B$2:$B$42,0)),"")</f>
        <v/>
      </c>
      <c r="CZ320" s="145" t="str">
        <f>IF($I320&lt;&gt;"",INDEX('Device Refrigerant Leakage'!$G$2:$G$42,MATCH($Q320,'Device Refrigerant Leakage'!$B$2:$B$42,0)),"")</f>
        <v/>
      </c>
      <c r="DA320" s="145" t="str">
        <f>IF($I320&lt;&gt;"",J320*INDEX('Device Refrigerant Leakage'!$D$2:$D$42,MATCH($Q320,'Device Refrigerant Leakage'!$B$2:$B$42,0))*CX320/2204.62*CW320,"")</f>
        <v/>
      </c>
      <c r="DB320" s="145" t="str">
        <f>IF($I320&lt;&gt;"",J320*(INDEX('Device Refrigerant Leakage'!$D$2:$D$42,MATCH($Q320,'Device Refrigerant Leakage'!$B$2:$B$42,0))-(INDEX('Device Refrigerant Leakage'!$D$2:$D$42,MATCH($Q320,'Device Refrigerant Leakage'!$B$2:$B$42,0)))*CZ320*CX320)*CY320/2204.62*CW320,"")</f>
        <v/>
      </c>
      <c r="DC320" s="135" t="str">
        <f t="shared" si="416"/>
        <v/>
      </c>
      <c r="DE320" s="146" t="str">
        <f>IF(W320&lt;&gt;"AR","",IF(Y320="User Specified", AA320, INDEX('Refrigerant GWPs'!$G$2:$G$154,MATCH(Y320,'Refrigerant GWPs'!$A$2:$A$154,0))))</f>
        <v/>
      </c>
      <c r="DF320" s="146" t="str">
        <f>IF(W320&lt;&gt;"AR","",INDEX('Device Refrigerant Leakage'!$E$2:$E$42,MATCH(X320,'Device Refrigerant Leakage'!$B$2:$B$42,0)))</f>
        <v/>
      </c>
      <c r="DG320" s="146" t="str">
        <f>IF(W320&lt;&gt;"AR","",INDEX('Device Refrigerant Leakage'!$F$2:$F$42,MATCH(X320,'Device Refrigerant Leakage'!$B$2:$B$42,0)))</f>
        <v/>
      </c>
      <c r="DH320" s="146" t="str">
        <f>IF(W320&lt;&gt;"AR","",INDEX('Device Refrigerant Leakage'!$G$2:$G$42,MATCH(X320,'Device Refrigerant Leakage'!$B$2:$B$42,0)))</f>
        <v/>
      </c>
      <c r="DI320" s="146" t="str">
        <f>IF(W320&lt;&gt;"AR","",J320*INDEX('Device Refrigerant Leakage'!$D$2:$D$42,MATCH(X320,'Device Refrigerant Leakage'!$B$2:$B$42,0))*DF320/2204.62*DE320)</f>
        <v/>
      </c>
      <c r="DJ320" s="146" t="str">
        <f>IF(W320&lt;&gt;"AR","",J320*(INDEX('Device Refrigerant Leakage'!$D$2:$D$42,MATCH(X320,'Device Refrigerant Leakage'!$B$2:$B$42,0))-(INDEX('Device Refrigerant Leakage'!$D$2:$D$42,MATCH(X320,'Device Refrigerant Leakage'!$B$2:$B$42,0)))*DH320*DF320)*DG320/2204.62*DE320)</f>
        <v/>
      </c>
      <c r="DK320" s="146" t="str">
        <f>IF(W320&lt;&gt;"AR","",DI320*(K320-AB320)+'Fuel Sub Calcs-Deemed'!DJ320*((K320-AB320)/INDEX('Device Refrigerant Leakage'!$C$2:$C$42,MATCH('Fuel Sub Calcs-Deemed'!X320,'Device Refrigerant Leakage'!$B$2:$B$42,0))))</f>
        <v/>
      </c>
      <c r="DM320" s="56">
        <v>306</v>
      </c>
      <c r="DN320" s="67" t="e">
        <f t="shared" si="398"/>
        <v>#N/A</v>
      </c>
      <c r="DO320" s="45" t="e">
        <f t="shared" si="399"/>
        <v>#N/A</v>
      </c>
      <c r="DP320" s="67" t="e">
        <f t="shared" si="400"/>
        <v>#N/A</v>
      </c>
      <c r="DQ320" s="45" t="e">
        <f t="shared" si="401"/>
        <v>#N/A</v>
      </c>
      <c r="DR320" s="69" t="e">
        <f t="shared" si="402"/>
        <v>#N/A</v>
      </c>
      <c r="DS320" s="34"/>
      <c r="DT320" s="67" t="e">
        <f>((BX320*CJ320)+IF($W320=MAT_AR,(BZ320*CL320),0))*(1+Reference!$E$50+Reference!$E$51)</f>
        <v>#N/A</v>
      </c>
      <c r="DU320" s="67">
        <f>((BY320*CK320)+IF($W320=MAT_AR,(CA320*CM320),0))*(1+Reference!$G$50+Reference!$G$51)</f>
        <v>0</v>
      </c>
      <c r="DV320" s="67" t="e">
        <f t="shared" si="403"/>
        <v>#VALUE!</v>
      </c>
      <c r="DX320" s="56">
        <v>306</v>
      </c>
      <c r="DY320" s="67">
        <f t="shared" si="404"/>
        <v>0</v>
      </c>
      <c r="DZ320" s="45" t="e">
        <f>VLOOKUP($R320,Dropdown!$C$3:$D$4,2,FALSE)</f>
        <v>#N/A</v>
      </c>
      <c r="EA320" s="68">
        <f t="shared" si="405"/>
        <v>0</v>
      </c>
      <c r="EB320" s="68" t="str">
        <f t="shared" si="406"/>
        <v>N/A</v>
      </c>
      <c r="EC320" s="68">
        <f t="shared" si="407"/>
        <v>0</v>
      </c>
      <c r="ED320" s="68" t="str">
        <f t="shared" si="445"/>
        <v>N/A</v>
      </c>
      <c r="EF320" s="56">
        <v>306</v>
      </c>
      <c r="EG320" s="46">
        <f t="shared" si="408"/>
        <v>0</v>
      </c>
      <c r="EH320" s="68" t="e">
        <f t="shared" si="409"/>
        <v>#N/A</v>
      </c>
      <c r="EI320" s="68" t="e">
        <f t="shared" si="410"/>
        <v>#N/A</v>
      </c>
      <c r="EJ320" s="68" t="e">
        <f t="shared" si="411"/>
        <v>#N/A</v>
      </c>
      <c r="EK320" s="68" t="e">
        <f t="shared" si="412"/>
        <v>#N/A</v>
      </c>
      <c r="EL320" s="46">
        <f t="shared" si="413"/>
        <v>0</v>
      </c>
      <c r="EM320" s="46">
        <f t="shared" si="414"/>
        <v>0</v>
      </c>
    </row>
    <row r="321" spans="1:143">
      <c r="A321" s="89"/>
      <c r="B321" s="89"/>
      <c r="C321" s="89"/>
      <c r="D321" s="89"/>
      <c r="E321" s="89"/>
      <c r="F321" s="89"/>
      <c r="G321" s="34"/>
      <c r="H321" s="56">
        <f t="shared" si="415"/>
        <v>307</v>
      </c>
      <c r="I321" s="165"/>
      <c r="J321" s="163"/>
      <c r="K321" s="163"/>
      <c r="L321" s="164"/>
      <c r="M321" s="155"/>
      <c r="N321" s="155"/>
      <c r="O321" s="144"/>
      <c r="P321" s="159" t="str">
        <f>IFERROR(IF(O321&lt;&gt;"User Specified",IF(O321&lt;&gt;"", INDEX('Refrigerant GWPs'!$G$2:$G$154,MATCH(O321,'Refrigerant GWPs'!$A$2:$A$154,0)),""),U321),0)</f>
        <v/>
      </c>
      <c r="Q321" s="155"/>
      <c r="R321" s="155"/>
      <c r="S321" s="144"/>
      <c r="T321" s="159" t="str">
        <f>IF(S321&lt;&gt;"User Specified",IF(AND(S321&lt;&gt;"User Specified",S321&lt;&gt;""), INDEX('Refrigerant GWPs'!$G$2:$G$154,MATCH(S321,'Refrigerant GWPs'!$A$2:$A$154,0)),""),V321)</f>
        <v/>
      </c>
      <c r="U321" s="144"/>
      <c r="V321" s="144"/>
      <c r="W321" s="155"/>
      <c r="X321" s="155"/>
      <c r="Y321" s="144"/>
      <c r="Z321" s="159" t="str">
        <f>IF(AND(Y321&lt;&gt;"User Specified",Y321&lt;&gt;""), INDEX('Refrigerant GWPs'!$G$2:$G$154,MATCH(Y321,'Refrigerant GWPs'!$A$2:$A$154,0)),"")</f>
        <v/>
      </c>
      <c r="AA321" s="155"/>
      <c r="AB321" s="156"/>
      <c r="AC321" s="66"/>
      <c r="AD321" s="66"/>
      <c r="AE321" s="66"/>
      <c r="AF321" s="66"/>
      <c r="AG321" s="66"/>
      <c r="AH321" s="66"/>
      <c r="AI321" s="34"/>
      <c r="AJ321" s="88">
        <f t="shared" si="378"/>
        <v>0</v>
      </c>
      <c r="AK321" s="88">
        <f t="shared" si="379"/>
        <v>0</v>
      </c>
      <c r="AL321" s="88">
        <v>0</v>
      </c>
      <c r="AM321" s="88">
        <v>0</v>
      </c>
      <c r="AN321" s="81" t="str">
        <f t="shared" si="417"/>
        <v/>
      </c>
      <c r="AO321" s="88">
        <f t="shared" si="380"/>
        <v>0</v>
      </c>
      <c r="AP321" s="88">
        <f t="shared" si="381"/>
        <v>0</v>
      </c>
      <c r="AQ321" s="81" t="str">
        <f t="shared" si="382"/>
        <v/>
      </c>
      <c r="AS321" s="41" t="b">
        <f t="shared" si="383"/>
        <v>1</v>
      </c>
      <c r="AT321" s="38">
        <f t="shared" si="384"/>
        <v>0</v>
      </c>
      <c r="AU321" s="60">
        <f t="shared" si="385"/>
        <v>0</v>
      </c>
      <c r="AV321" s="41">
        <f t="shared" si="386"/>
        <v>0</v>
      </c>
      <c r="AW321" s="41" t="b">
        <f t="shared" si="387"/>
        <v>0</v>
      </c>
      <c r="AX321" t="str">
        <f t="shared" si="388"/>
        <v>+00</v>
      </c>
      <c r="AY321" t="str">
        <f t="shared" si="389"/>
        <v>+00</v>
      </c>
      <c r="BA321" s="47" t="b">
        <f t="shared" si="418"/>
        <v>1</v>
      </c>
      <c r="BB321" s="42" t="b">
        <f t="shared" si="419"/>
        <v>1</v>
      </c>
      <c r="BC321" s="42" t="b">
        <f t="shared" si="420"/>
        <v>0</v>
      </c>
      <c r="BD321" s="42" t="b">
        <f t="shared" si="421"/>
        <v>0</v>
      </c>
      <c r="BE321" s="70">
        <f t="shared" si="422"/>
        <v>0</v>
      </c>
      <c r="BF321" s="70">
        <f t="shared" si="423"/>
        <v>0</v>
      </c>
      <c r="BG321" s="34"/>
      <c r="BI321" s="47" t="b">
        <f t="shared" si="424"/>
        <v>1</v>
      </c>
      <c r="BJ321" s="47" t="b">
        <f t="shared" si="425"/>
        <v>1</v>
      </c>
      <c r="BK321" s="42" t="b">
        <f t="shared" si="426"/>
        <v>0</v>
      </c>
      <c r="BL321" s="42" t="b">
        <f t="shared" si="427"/>
        <v>0</v>
      </c>
      <c r="BM321" s="42">
        <f t="shared" si="428"/>
        <v>0</v>
      </c>
      <c r="BN321" s="42">
        <f t="shared" si="429"/>
        <v>0</v>
      </c>
      <c r="BP321" t="e">
        <f t="shared" si="430"/>
        <v>#N/A</v>
      </c>
      <c r="BQ321" t="e">
        <f t="shared" si="431"/>
        <v>#N/A</v>
      </c>
      <c r="BR321" t="e">
        <f t="shared" si="432"/>
        <v>#N/A</v>
      </c>
      <c r="BT321" s="60">
        <f t="shared" si="433"/>
        <v>0</v>
      </c>
      <c r="BU321" s="60">
        <f t="shared" si="434"/>
        <v>0</v>
      </c>
      <c r="BV321" s="60">
        <f t="shared" si="435"/>
        <v>0</v>
      </c>
      <c r="BW321" s="60">
        <f t="shared" si="436"/>
        <v>0</v>
      </c>
      <c r="BX321" s="60">
        <f t="shared" si="437"/>
        <v>0</v>
      </c>
      <c r="BY321" s="60">
        <f t="shared" si="438"/>
        <v>0</v>
      </c>
      <c r="BZ321" s="60">
        <f t="shared" si="439"/>
        <v>0</v>
      </c>
      <c r="CA321" s="60">
        <f t="shared" si="440"/>
        <v>0</v>
      </c>
      <c r="CB321" s="60" t="e">
        <f t="shared" si="390"/>
        <v>#N/A</v>
      </c>
      <c r="CC321" s="60">
        <f t="shared" si="391"/>
        <v>100000</v>
      </c>
      <c r="CD321" s="60" t="e">
        <f t="shared" si="392"/>
        <v>#N/A</v>
      </c>
      <c r="CE321" s="60">
        <f t="shared" si="393"/>
        <v>100000</v>
      </c>
      <c r="CF321" s="83" t="e">
        <f t="shared" si="441"/>
        <v>#N/A</v>
      </c>
      <c r="CG321" s="83">
        <f t="shared" si="442"/>
        <v>0</v>
      </c>
      <c r="CH321" s="83" t="e">
        <f t="shared" si="443"/>
        <v>#N/A</v>
      </c>
      <c r="CI321" s="83">
        <f t="shared" si="444"/>
        <v>0</v>
      </c>
      <c r="CJ321" s="86" t="e">
        <f t="shared" si="394"/>
        <v>#N/A</v>
      </c>
      <c r="CK321" s="82">
        <f t="shared" si="395"/>
        <v>5.3070370403969858E-3</v>
      </c>
      <c r="CL321" s="82" t="e">
        <f t="shared" si="396"/>
        <v>#N/A</v>
      </c>
      <c r="CM321" s="82">
        <f t="shared" si="397"/>
        <v>5.3070370403969858E-3</v>
      </c>
      <c r="CO321" s="149" t="str">
        <f>IF($I321&lt;&gt;"",IF(O321="User Specified",U321,INDEX('Refrigerant GWPs'!$G$2:$G$156,MATCH(O321,'Refrigerant GWPs'!$A$2:$A$156,0))),"")</f>
        <v/>
      </c>
      <c r="CP321" s="138" t="str">
        <f>IF($I321&lt;&gt;"",INDEX('Device Refrigerant Leakage'!$E$2:$E$42,MATCH($M321,'Device Refrigerant Leakage'!$B$2:$B$42,0)),"")</f>
        <v/>
      </c>
      <c r="CQ321" s="138" t="str">
        <f>IF($I321&lt;&gt;"",INDEX('Device Refrigerant Leakage'!$F$2:$F$42,MATCH($M321,'Device Refrigerant Leakage'!$B$2:$B$42,0)),"")</f>
        <v/>
      </c>
      <c r="CR321" s="145" t="str">
        <f>IF($I321&lt;&gt;"",INDEX('Device Refrigerant Leakage'!$G$2:$G$42,MATCH($M321,'Device Refrigerant Leakage'!$B$2:$B$42,0)),"")</f>
        <v/>
      </c>
      <c r="CS321" s="145" t="str">
        <f>IF($I321&lt;&gt;"",INDEX('Device Refrigerant Leakage'!$D$2:$D$42,MATCH($M321,'Device Refrigerant Leakage'!$B$2:$B$42,0))*CP321/2204.62*CO321,"")</f>
        <v/>
      </c>
      <c r="CT321" s="145" t="str">
        <f>IF($I321&lt;&gt;"",J321*(INDEX('Device Refrigerant Leakage'!$D$2:$D$42,MATCH($M321,'Device Refrigerant Leakage'!$B$2:$B$42,0))-(INDEX('Device Refrigerant Leakage'!$D$2:$D$42,MATCH($M321,'Device Refrigerant Leakage'!$B$2:$B$42,0)))*CR321*CP321)*CQ321/2204.62*CO321,"")</f>
        <v/>
      </c>
      <c r="CU321" s="135" t="str">
        <f>IF($I321&lt;&gt;"",J321*IF(W321&lt;&gt;"AR",(CS321*K321)+CT321,(CS321*AB321)+CT321*(AB321/INDEX('Device Refrigerant Leakage'!$C$2:$C$42,MATCH($M321,'Device Refrigerant Leakage'!$B$2:$B$42,0)))),"")</f>
        <v/>
      </c>
      <c r="CW321" s="135" t="str">
        <f>IF($I321&lt;&gt;"",IF(S321="User Specified",V321,INDEX('Refrigerant GWPs'!$G$2:$G$156,MATCH(S321,'Refrigerant GWPs'!$A$2:$A$157,0))),"")</f>
        <v/>
      </c>
      <c r="CX321" s="138" t="str">
        <f>IF($I321&lt;&gt;"",INDEX('Device Refrigerant Leakage'!$E$2:$E$42,MATCH($Q321,'Device Refrigerant Leakage'!$B$2:$B$42,0)),"")</f>
        <v/>
      </c>
      <c r="CY321" s="138" t="str">
        <f>IF($I321&lt;&gt;"",INDEX('Device Refrigerant Leakage'!$F$2:$F$42,MATCH($Q321,'Device Refrigerant Leakage'!$B$2:$B$42,0)),"")</f>
        <v/>
      </c>
      <c r="CZ321" s="145" t="str">
        <f>IF($I321&lt;&gt;"",INDEX('Device Refrigerant Leakage'!$G$2:$G$42,MATCH($Q321,'Device Refrigerant Leakage'!$B$2:$B$42,0)),"")</f>
        <v/>
      </c>
      <c r="DA321" s="145" t="str">
        <f>IF($I321&lt;&gt;"",J321*INDEX('Device Refrigerant Leakage'!$D$2:$D$42,MATCH($Q321,'Device Refrigerant Leakage'!$B$2:$B$42,0))*CX321/2204.62*CW321,"")</f>
        <v/>
      </c>
      <c r="DB321" s="145" t="str">
        <f>IF($I321&lt;&gt;"",J321*(INDEX('Device Refrigerant Leakage'!$D$2:$D$42,MATCH($Q321,'Device Refrigerant Leakage'!$B$2:$B$42,0))-(INDEX('Device Refrigerant Leakage'!$D$2:$D$42,MATCH($Q321,'Device Refrigerant Leakage'!$B$2:$B$42,0)))*CZ321*CX321)*CY321/2204.62*CW321,"")</f>
        <v/>
      </c>
      <c r="DC321" s="135" t="str">
        <f t="shared" si="416"/>
        <v/>
      </c>
      <c r="DE321" s="146" t="str">
        <f>IF(W321&lt;&gt;"AR","",IF(Y321="User Specified", AA321, INDEX('Refrigerant GWPs'!$G$2:$G$154,MATCH(Y321,'Refrigerant GWPs'!$A$2:$A$154,0))))</f>
        <v/>
      </c>
      <c r="DF321" s="146" t="str">
        <f>IF(W321&lt;&gt;"AR","",INDEX('Device Refrigerant Leakage'!$E$2:$E$42,MATCH(X321,'Device Refrigerant Leakage'!$B$2:$B$42,0)))</f>
        <v/>
      </c>
      <c r="DG321" s="146" t="str">
        <f>IF(W321&lt;&gt;"AR","",INDEX('Device Refrigerant Leakage'!$F$2:$F$42,MATCH(X321,'Device Refrigerant Leakage'!$B$2:$B$42,0)))</f>
        <v/>
      </c>
      <c r="DH321" s="146" t="str">
        <f>IF(W321&lt;&gt;"AR","",INDEX('Device Refrigerant Leakage'!$G$2:$G$42,MATCH(X321,'Device Refrigerant Leakage'!$B$2:$B$42,0)))</f>
        <v/>
      </c>
      <c r="DI321" s="146" t="str">
        <f>IF(W321&lt;&gt;"AR","",J321*INDEX('Device Refrigerant Leakage'!$D$2:$D$42,MATCH(X321,'Device Refrigerant Leakage'!$B$2:$B$42,0))*DF321/2204.62*DE321)</f>
        <v/>
      </c>
      <c r="DJ321" s="146" t="str">
        <f>IF(W321&lt;&gt;"AR","",J321*(INDEX('Device Refrigerant Leakage'!$D$2:$D$42,MATCH(X321,'Device Refrigerant Leakage'!$B$2:$B$42,0))-(INDEX('Device Refrigerant Leakage'!$D$2:$D$42,MATCH(X321,'Device Refrigerant Leakage'!$B$2:$B$42,0)))*DH321*DF321)*DG321/2204.62*DE321)</f>
        <v/>
      </c>
      <c r="DK321" s="146" t="str">
        <f>IF(W321&lt;&gt;"AR","",DI321*(K321-AB321)+'Fuel Sub Calcs-Deemed'!DJ321*((K321-AB321)/INDEX('Device Refrigerant Leakage'!$C$2:$C$42,MATCH('Fuel Sub Calcs-Deemed'!X321,'Device Refrigerant Leakage'!$B$2:$B$42,0))))</f>
        <v/>
      </c>
      <c r="DM321" s="56">
        <v>307</v>
      </c>
      <c r="DN321" s="67" t="e">
        <f t="shared" si="398"/>
        <v>#N/A</v>
      </c>
      <c r="DO321" s="45" t="e">
        <f t="shared" si="399"/>
        <v>#N/A</v>
      </c>
      <c r="DP321" s="67" t="e">
        <f t="shared" si="400"/>
        <v>#N/A</v>
      </c>
      <c r="DQ321" s="45" t="e">
        <f t="shared" si="401"/>
        <v>#N/A</v>
      </c>
      <c r="DR321" s="69" t="e">
        <f t="shared" si="402"/>
        <v>#N/A</v>
      </c>
      <c r="DS321" s="34"/>
      <c r="DT321" s="67" t="e">
        <f>((BX321*CJ321)+IF($W321=MAT_AR,(BZ321*CL321),0))*(1+Reference!$E$50+Reference!$E$51)</f>
        <v>#N/A</v>
      </c>
      <c r="DU321" s="67">
        <f>((BY321*CK321)+IF($W321=MAT_AR,(CA321*CM321),0))*(1+Reference!$G$50+Reference!$G$51)</f>
        <v>0</v>
      </c>
      <c r="DV321" s="67" t="e">
        <f t="shared" si="403"/>
        <v>#VALUE!</v>
      </c>
      <c r="DX321" s="56">
        <v>307</v>
      </c>
      <c r="DY321" s="67">
        <f t="shared" si="404"/>
        <v>0</v>
      </c>
      <c r="DZ321" s="45" t="e">
        <f>VLOOKUP($R321,Dropdown!$C$3:$D$4,2,FALSE)</f>
        <v>#N/A</v>
      </c>
      <c r="EA321" s="68">
        <f t="shared" si="405"/>
        <v>0</v>
      </c>
      <c r="EB321" s="68" t="str">
        <f t="shared" si="406"/>
        <v>N/A</v>
      </c>
      <c r="EC321" s="68">
        <f t="shared" si="407"/>
        <v>0</v>
      </c>
      <c r="ED321" s="68" t="str">
        <f t="shared" si="445"/>
        <v>N/A</v>
      </c>
      <c r="EF321" s="56">
        <v>307</v>
      </c>
      <c r="EG321" s="46">
        <f t="shared" si="408"/>
        <v>0</v>
      </c>
      <c r="EH321" s="68" t="e">
        <f t="shared" si="409"/>
        <v>#N/A</v>
      </c>
      <c r="EI321" s="68" t="e">
        <f t="shared" si="410"/>
        <v>#N/A</v>
      </c>
      <c r="EJ321" s="68" t="e">
        <f t="shared" si="411"/>
        <v>#N/A</v>
      </c>
      <c r="EK321" s="68" t="e">
        <f t="shared" si="412"/>
        <v>#N/A</v>
      </c>
      <c r="EL321" s="46">
        <f t="shared" si="413"/>
        <v>0</v>
      </c>
      <c r="EM321" s="46">
        <f t="shared" si="414"/>
        <v>0</v>
      </c>
    </row>
    <row r="322" spans="1:143">
      <c r="A322" s="89"/>
      <c r="B322" s="89"/>
      <c r="C322" s="89"/>
      <c r="D322" s="89"/>
      <c r="E322" s="89"/>
      <c r="F322" s="89"/>
      <c r="G322" s="34"/>
      <c r="H322" s="56">
        <f t="shared" si="415"/>
        <v>308</v>
      </c>
      <c r="I322" s="165"/>
      <c r="J322" s="163"/>
      <c r="K322" s="163"/>
      <c r="L322" s="164"/>
      <c r="M322" s="155"/>
      <c r="N322" s="155"/>
      <c r="O322" s="144"/>
      <c r="P322" s="159" t="str">
        <f>IFERROR(IF(O322&lt;&gt;"User Specified",IF(O322&lt;&gt;"", INDEX('Refrigerant GWPs'!$G$2:$G$154,MATCH(O322,'Refrigerant GWPs'!$A$2:$A$154,0)),""),U322),0)</f>
        <v/>
      </c>
      <c r="Q322" s="155"/>
      <c r="R322" s="155"/>
      <c r="S322" s="144"/>
      <c r="T322" s="159" t="str">
        <f>IF(S322&lt;&gt;"User Specified",IF(AND(S322&lt;&gt;"User Specified",S322&lt;&gt;""), INDEX('Refrigerant GWPs'!$G$2:$G$154,MATCH(S322,'Refrigerant GWPs'!$A$2:$A$154,0)),""),V322)</f>
        <v/>
      </c>
      <c r="U322" s="144"/>
      <c r="V322" s="144"/>
      <c r="W322" s="155"/>
      <c r="X322" s="155"/>
      <c r="Y322" s="144"/>
      <c r="Z322" s="159" t="str">
        <f>IF(AND(Y322&lt;&gt;"User Specified",Y322&lt;&gt;""), INDEX('Refrigerant GWPs'!$G$2:$G$154,MATCH(Y322,'Refrigerant GWPs'!$A$2:$A$154,0)),"")</f>
        <v/>
      </c>
      <c r="AA322" s="155"/>
      <c r="AB322" s="156"/>
      <c r="AC322" s="66"/>
      <c r="AD322" s="66"/>
      <c r="AE322" s="66"/>
      <c r="AF322" s="66"/>
      <c r="AG322" s="66"/>
      <c r="AH322" s="66"/>
      <c r="AI322" s="34"/>
      <c r="AJ322" s="88">
        <f t="shared" si="378"/>
        <v>0</v>
      </c>
      <c r="AK322" s="88">
        <f t="shared" si="379"/>
        <v>0</v>
      </c>
      <c r="AL322" s="88">
        <v>0</v>
      </c>
      <c r="AM322" s="88">
        <v>0</v>
      </c>
      <c r="AN322" s="81" t="str">
        <f t="shared" si="417"/>
        <v/>
      </c>
      <c r="AO322" s="88">
        <f t="shared" si="380"/>
        <v>0</v>
      </c>
      <c r="AP322" s="88">
        <f t="shared" si="381"/>
        <v>0</v>
      </c>
      <c r="AQ322" s="81" t="str">
        <f t="shared" si="382"/>
        <v/>
      </c>
      <c r="AS322" s="41" t="b">
        <f t="shared" si="383"/>
        <v>1</v>
      </c>
      <c r="AT322" s="38">
        <f t="shared" si="384"/>
        <v>0</v>
      </c>
      <c r="AU322" s="60">
        <f t="shared" si="385"/>
        <v>0</v>
      </c>
      <c r="AV322" s="41">
        <f t="shared" si="386"/>
        <v>0</v>
      </c>
      <c r="AW322" s="41" t="b">
        <f t="shared" si="387"/>
        <v>0</v>
      </c>
      <c r="AX322" t="str">
        <f t="shared" si="388"/>
        <v>+00</v>
      </c>
      <c r="AY322" t="str">
        <f t="shared" si="389"/>
        <v>+00</v>
      </c>
      <c r="BA322" s="47" t="b">
        <f t="shared" si="418"/>
        <v>1</v>
      </c>
      <c r="BB322" s="42" t="b">
        <f t="shared" si="419"/>
        <v>1</v>
      </c>
      <c r="BC322" s="42" t="b">
        <f t="shared" si="420"/>
        <v>0</v>
      </c>
      <c r="BD322" s="42" t="b">
        <f t="shared" si="421"/>
        <v>0</v>
      </c>
      <c r="BE322" s="70">
        <f t="shared" si="422"/>
        <v>0</v>
      </c>
      <c r="BF322" s="70">
        <f t="shared" si="423"/>
        <v>0</v>
      </c>
      <c r="BG322" s="34"/>
      <c r="BI322" s="47" t="b">
        <f t="shared" si="424"/>
        <v>1</v>
      </c>
      <c r="BJ322" s="47" t="b">
        <f t="shared" si="425"/>
        <v>1</v>
      </c>
      <c r="BK322" s="42" t="b">
        <f t="shared" si="426"/>
        <v>0</v>
      </c>
      <c r="BL322" s="42" t="b">
        <f t="shared" si="427"/>
        <v>0</v>
      </c>
      <c r="BM322" s="42">
        <f t="shared" si="428"/>
        <v>0</v>
      </c>
      <c r="BN322" s="42">
        <f t="shared" si="429"/>
        <v>0</v>
      </c>
      <c r="BP322" t="e">
        <f t="shared" si="430"/>
        <v>#N/A</v>
      </c>
      <c r="BQ322" t="e">
        <f t="shared" si="431"/>
        <v>#N/A</v>
      </c>
      <c r="BR322" t="e">
        <f t="shared" si="432"/>
        <v>#N/A</v>
      </c>
      <c r="BT322" s="60">
        <f t="shared" si="433"/>
        <v>0</v>
      </c>
      <c r="BU322" s="60">
        <f t="shared" si="434"/>
        <v>0</v>
      </c>
      <c r="BV322" s="60">
        <f t="shared" si="435"/>
        <v>0</v>
      </c>
      <c r="BW322" s="60">
        <f t="shared" si="436"/>
        <v>0</v>
      </c>
      <c r="BX322" s="60">
        <f t="shared" si="437"/>
        <v>0</v>
      </c>
      <c r="BY322" s="60">
        <f t="shared" si="438"/>
        <v>0</v>
      </c>
      <c r="BZ322" s="60">
        <f t="shared" si="439"/>
        <v>0</v>
      </c>
      <c r="CA322" s="60">
        <f t="shared" si="440"/>
        <v>0</v>
      </c>
      <c r="CB322" s="60" t="e">
        <f t="shared" si="390"/>
        <v>#N/A</v>
      </c>
      <c r="CC322" s="60">
        <f t="shared" si="391"/>
        <v>100000</v>
      </c>
      <c r="CD322" s="60" t="e">
        <f t="shared" si="392"/>
        <v>#N/A</v>
      </c>
      <c r="CE322" s="60">
        <f t="shared" si="393"/>
        <v>100000</v>
      </c>
      <c r="CF322" s="83" t="e">
        <f t="shared" si="441"/>
        <v>#N/A</v>
      </c>
      <c r="CG322" s="83">
        <f t="shared" si="442"/>
        <v>0</v>
      </c>
      <c r="CH322" s="83" t="e">
        <f t="shared" si="443"/>
        <v>#N/A</v>
      </c>
      <c r="CI322" s="83">
        <f t="shared" si="444"/>
        <v>0</v>
      </c>
      <c r="CJ322" s="86" t="e">
        <f t="shared" si="394"/>
        <v>#N/A</v>
      </c>
      <c r="CK322" s="82">
        <f t="shared" si="395"/>
        <v>5.3070370403969858E-3</v>
      </c>
      <c r="CL322" s="82" t="e">
        <f t="shared" si="396"/>
        <v>#N/A</v>
      </c>
      <c r="CM322" s="82">
        <f t="shared" si="397"/>
        <v>5.3070370403969858E-3</v>
      </c>
      <c r="CO322" s="149" t="str">
        <f>IF($I322&lt;&gt;"",IF(O322="User Specified",U322,INDEX('Refrigerant GWPs'!$G$2:$G$156,MATCH(O322,'Refrigerant GWPs'!$A$2:$A$156,0))),"")</f>
        <v/>
      </c>
      <c r="CP322" s="138" t="str">
        <f>IF($I322&lt;&gt;"",INDEX('Device Refrigerant Leakage'!$E$2:$E$42,MATCH($M322,'Device Refrigerant Leakage'!$B$2:$B$42,0)),"")</f>
        <v/>
      </c>
      <c r="CQ322" s="138" t="str">
        <f>IF($I322&lt;&gt;"",INDEX('Device Refrigerant Leakage'!$F$2:$F$42,MATCH($M322,'Device Refrigerant Leakage'!$B$2:$B$42,0)),"")</f>
        <v/>
      </c>
      <c r="CR322" s="145" t="str">
        <f>IF($I322&lt;&gt;"",INDEX('Device Refrigerant Leakage'!$G$2:$G$42,MATCH($M322,'Device Refrigerant Leakage'!$B$2:$B$42,0)),"")</f>
        <v/>
      </c>
      <c r="CS322" s="145" t="str">
        <f>IF($I322&lt;&gt;"",INDEX('Device Refrigerant Leakage'!$D$2:$D$42,MATCH($M322,'Device Refrigerant Leakage'!$B$2:$B$42,0))*CP322/2204.62*CO322,"")</f>
        <v/>
      </c>
      <c r="CT322" s="145" t="str">
        <f>IF($I322&lt;&gt;"",J322*(INDEX('Device Refrigerant Leakage'!$D$2:$D$42,MATCH($M322,'Device Refrigerant Leakage'!$B$2:$B$42,0))-(INDEX('Device Refrigerant Leakage'!$D$2:$D$42,MATCH($M322,'Device Refrigerant Leakage'!$B$2:$B$42,0)))*CR322*CP322)*CQ322/2204.62*CO322,"")</f>
        <v/>
      </c>
      <c r="CU322" s="135" t="str">
        <f>IF($I322&lt;&gt;"",J322*IF(W322&lt;&gt;"AR",(CS322*K322)+CT322,(CS322*AB322)+CT322*(AB322/INDEX('Device Refrigerant Leakage'!$C$2:$C$42,MATCH($M322,'Device Refrigerant Leakage'!$B$2:$B$42,0)))),"")</f>
        <v/>
      </c>
      <c r="CW322" s="135" t="str">
        <f>IF($I322&lt;&gt;"",IF(S322="User Specified",V322,INDEX('Refrigerant GWPs'!$G$2:$G$156,MATCH(S322,'Refrigerant GWPs'!$A$2:$A$157,0))),"")</f>
        <v/>
      </c>
      <c r="CX322" s="138" t="str">
        <f>IF($I322&lt;&gt;"",INDEX('Device Refrigerant Leakage'!$E$2:$E$42,MATCH($Q322,'Device Refrigerant Leakage'!$B$2:$B$42,0)),"")</f>
        <v/>
      </c>
      <c r="CY322" s="138" t="str">
        <f>IF($I322&lt;&gt;"",INDEX('Device Refrigerant Leakage'!$F$2:$F$42,MATCH($Q322,'Device Refrigerant Leakage'!$B$2:$B$42,0)),"")</f>
        <v/>
      </c>
      <c r="CZ322" s="145" t="str">
        <f>IF($I322&lt;&gt;"",INDEX('Device Refrigerant Leakage'!$G$2:$G$42,MATCH($Q322,'Device Refrigerant Leakage'!$B$2:$B$42,0)),"")</f>
        <v/>
      </c>
      <c r="DA322" s="145" t="str">
        <f>IF($I322&lt;&gt;"",J322*INDEX('Device Refrigerant Leakage'!$D$2:$D$42,MATCH($Q322,'Device Refrigerant Leakage'!$B$2:$B$42,0))*CX322/2204.62*CW322,"")</f>
        <v/>
      </c>
      <c r="DB322" s="145" t="str">
        <f>IF($I322&lt;&gt;"",J322*(INDEX('Device Refrigerant Leakage'!$D$2:$D$42,MATCH($Q322,'Device Refrigerant Leakage'!$B$2:$B$42,0))-(INDEX('Device Refrigerant Leakage'!$D$2:$D$42,MATCH($Q322,'Device Refrigerant Leakage'!$B$2:$B$42,0)))*CZ322*CX322)*CY322/2204.62*CW322,"")</f>
        <v/>
      </c>
      <c r="DC322" s="135" t="str">
        <f t="shared" si="416"/>
        <v/>
      </c>
      <c r="DE322" s="146" t="str">
        <f>IF(W322&lt;&gt;"AR","",IF(Y322="User Specified", AA322, INDEX('Refrigerant GWPs'!$G$2:$G$154,MATCH(Y322,'Refrigerant GWPs'!$A$2:$A$154,0))))</f>
        <v/>
      </c>
      <c r="DF322" s="146" t="str">
        <f>IF(W322&lt;&gt;"AR","",INDEX('Device Refrigerant Leakage'!$E$2:$E$42,MATCH(X322,'Device Refrigerant Leakage'!$B$2:$B$42,0)))</f>
        <v/>
      </c>
      <c r="DG322" s="146" t="str">
        <f>IF(W322&lt;&gt;"AR","",INDEX('Device Refrigerant Leakage'!$F$2:$F$42,MATCH(X322,'Device Refrigerant Leakage'!$B$2:$B$42,0)))</f>
        <v/>
      </c>
      <c r="DH322" s="146" t="str">
        <f>IF(W322&lt;&gt;"AR","",INDEX('Device Refrigerant Leakage'!$G$2:$G$42,MATCH(X322,'Device Refrigerant Leakage'!$B$2:$B$42,0)))</f>
        <v/>
      </c>
      <c r="DI322" s="146" t="str">
        <f>IF(W322&lt;&gt;"AR","",J322*INDEX('Device Refrigerant Leakage'!$D$2:$D$42,MATCH(X322,'Device Refrigerant Leakage'!$B$2:$B$42,0))*DF322/2204.62*DE322)</f>
        <v/>
      </c>
      <c r="DJ322" s="146" t="str">
        <f>IF(W322&lt;&gt;"AR","",J322*(INDEX('Device Refrigerant Leakage'!$D$2:$D$42,MATCH(X322,'Device Refrigerant Leakage'!$B$2:$B$42,0))-(INDEX('Device Refrigerant Leakage'!$D$2:$D$42,MATCH(X322,'Device Refrigerant Leakage'!$B$2:$B$42,0)))*DH322*DF322)*DG322/2204.62*DE322)</f>
        <v/>
      </c>
      <c r="DK322" s="146" t="str">
        <f>IF(W322&lt;&gt;"AR","",DI322*(K322-AB322)+'Fuel Sub Calcs-Deemed'!DJ322*((K322-AB322)/INDEX('Device Refrigerant Leakage'!$C$2:$C$42,MATCH('Fuel Sub Calcs-Deemed'!X322,'Device Refrigerant Leakage'!$B$2:$B$42,0))))</f>
        <v/>
      </c>
      <c r="DM322" s="56">
        <v>308</v>
      </c>
      <c r="DN322" s="67" t="e">
        <f t="shared" si="398"/>
        <v>#N/A</v>
      </c>
      <c r="DO322" s="45" t="e">
        <f t="shared" si="399"/>
        <v>#N/A</v>
      </c>
      <c r="DP322" s="67" t="e">
        <f t="shared" si="400"/>
        <v>#N/A</v>
      </c>
      <c r="DQ322" s="45" t="e">
        <f t="shared" si="401"/>
        <v>#N/A</v>
      </c>
      <c r="DR322" s="69" t="e">
        <f t="shared" si="402"/>
        <v>#N/A</v>
      </c>
      <c r="DS322" s="34"/>
      <c r="DT322" s="67" t="e">
        <f>((BX322*CJ322)+IF($W322=MAT_AR,(BZ322*CL322),0))*(1+Reference!$E$50+Reference!$E$51)</f>
        <v>#N/A</v>
      </c>
      <c r="DU322" s="67">
        <f>((BY322*CK322)+IF($W322=MAT_AR,(CA322*CM322),0))*(1+Reference!$G$50+Reference!$G$51)</f>
        <v>0</v>
      </c>
      <c r="DV322" s="67" t="e">
        <f t="shared" si="403"/>
        <v>#VALUE!</v>
      </c>
      <c r="DX322" s="56">
        <v>308</v>
      </c>
      <c r="DY322" s="67">
        <f t="shared" si="404"/>
        <v>0</v>
      </c>
      <c r="DZ322" s="45" t="e">
        <f>VLOOKUP($R322,Dropdown!$C$3:$D$4,2,FALSE)</f>
        <v>#N/A</v>
      </c>
      <c r="EA322" s="68">
        <f t="shared" si="405"/>
        <v>0</v>
      </c>
      <c r="EB322" s="68" t="str">
        <f t="shared" si="406"/>
        <v>N/A</v>
      </c>
      <c r="EC322" s="68">
        <f t="shared" si="407"/>
        <v>0</v>
      </c>
      <c r="ED322" s="68" t="str">
        <f t="shared" si="445"/>
        <v>N/A</v>
      </c>
      <c r="EF322" s="56">
        <v>308</v>
      </c>
      <c r="EG322" s="46">
        <f t="shared" si="408"/>
        <v>0</v>
      </c>
      <c r="EH322" s="68" t="e">
        <f t="shared" si="409"/>
        <v>#N/A</v>
      </c>
      <c r="EI322" s="68" t="e">
        <f t="shared" si="410"/>
        <v>#N/A</v>
      </c>
      <c r="EJ322" s="68" t="e">
        <f t="shared" si="411"/>
        <v>#N/A</v>
      </c>
      <c r="EK322" s="68" t="e">
        <f t="shared" si="412"/>
        <v>#N/A</v>
      </c>
      <c r="EL322" s="46">
        <f t="shared" si="413"/>
        <v>0</v>
      </c>
      <c r="EM322" s="46">
        <f t="shared" si="414"/>
        <v>0</v>
      </c>
    </row>
    <row r="323" spans="1:143">
      <c r="A323" s="89"/>
      <c r="B323" s="89"/>
      <c r="C323" s="89"/>
      <c r="D323" s="89"/>
      <c r="E323" s="89"/>
      <c r="F323" s="89"/>
      <c r="G323" s="34"/>
      <c r="H323" s="56">
        <f t="shared" si="415"/>
        <v>309</v>
      </c>
      <c r="I323" s="165"/>
      <c r="J323" s="163"/>
      <c r="K323" s="163"/>
      <c r="L323" s="164"/>
      <c r="M323" s="155"/>
      <c r="N323" s="155"/>
      <c r="O323" s="144"/>
      <c r="P323" s="159" t="str">
        <f>IFERROR(IF(O323&lt;&gt;"User Specified",IF(O323&lt;&gt;"", INDEX('Refrigerant GWPs'!$G$2:$G$154,MATCH(O323,'Refrigerant GWPs'!$A$2:$A$154,0)),""),U323),0)</f>
        <v/>
      </c>
      <c r="Q323" s="155"/>
      <c r="R323" s="155"/>
      <c r="S323" s="144"/>
      <c r="T323" s="159" t="str">
        <f>IF(S323&lt;&gt;"User Specified",IF(AND(S323&lt;&gt;"User Specified",S323&lt;&gt;""), INDEX('Refrigerant GWPs'!$G$2:$G$154,MATCH(S323,'Refrigerant GWPs'!$A$2:$A$154,0)),""),V323)</f>
        <v/>
      </c>
      <c r="U323" s="144"/>
      <c r="V323" s="144"/>
      <c r="W323" s="155"/>
      <c r="X323" s="155"/>
      <c r="Y323" s="144"/>
      <c r="Z323" s="159" t="str">
        <f>IF(AND(Y323&lt;&gt;"User Specified",Y323&lt;&gt;""), INDEX('Refrigerant GWPs'!$G$2:$G$154,MATCH(Y323,'Refrigerant GWPs'!$A$2:$A$154,0)),"")</f>
        <v/>
      </c>
      <c r="AA323" s="155"/>
      <c r="AB323" s="156"/>
      <c r="AC323" s="66"/>
      <c r="AD323" s="66"/>
      <c r="AE323" s="66"/>
      <c r="AF323" s="66"/>
      <c r="AG323" s="66"/>
      <c r="AH323" s="66"/>
      <c r="AI323" s="34"/>
      <c r="AJ323" s="88">
        <f t="shared" si="378"/>
        <v>0</v>
      </c>
      <c r="AK323" s="88">
        <f t="shared" si="379"/>
        <v>0</v>
      </c>
      <c r="AL323" s="88">
        <v>0</v>
      </c>
      <c r="AM323" s="88">
        <v>0</v>
      </c>
      <c r="AN323" s="81" t="str">
        <f t="shared" si="417"/>
        <v/>
      </c>
      <c r="AO323" s="88">
        <f t="shared" si="380"/>
        <v>0</v>
      </c>
      <c r="AP323" s="88">
        <f t="shared" si="381"/>
        <v>0</v>
      </c>
      <c r="AQ323" s="81" t="str">
        <f t="shared" si="382"/>
        <v/>
      </c>
      <c r="AS323" s="41" t="b">
        <f t="shared" si="383"/>
        <v>1</v>
      </c>
      <c r="AT323" s="38">
        <f t="shared" si="384"/>
        <v>0</v>
      </c>
      <c r="AU323" s="60">
        <f t="shared" si="385"/>
        <v>0</v>
      </c>
      <c r="AV323" s="41">
        <f t="shared" si="386"/>
        <v>0</v>
      </c>
      <c r="AW323" s="41" t="b">
        <f t="shared" si="387"/>
        <v>0</v>
      </c>
      <c r="AX323" t="str">
        <f t="shared" si="388"/>
        <v>+00</v>
      </c>
      <c r="AY323" t="str">
        <f t="shared" si="389"/>
        <v>+00</v>
      </c>
      <c r="BA323" s="47" t="b">
        <f t="shared" si="418"/>
        <v>1</v>
      </c>
      <c r="BB323" s="42" t="b">
        <f t="shared" si="419"/>
        <v>1</v>
      </c>
      <c r="BC323" s="42" t="b">
        <f t="shared" si="420"/>
        <v>0</v>
      </c>
      <c r="BD323" s="42" t="b">
        <f t="shared" si="421"/>
        <v>0</v>
      </c>
      <c r="BE323" s="70">
        <f t="shared" si="422"/>
        <v>0</v>
      </c>
      <c r="BF323" s="70">
        <f t="shared" si="423"/>
        <v>0</v>
      </c>
      <c r="BG323" s="34"/>
      <c r="BI323" s="47" t="b">
        <f t="shared" si="424"/>
        <v>1</v>
      </c>
      <c r="BJ323" s="47" t="b">
        <f t="shared" si="425"/>
        <v>1</v>
      </c>
      <c r="BK323" s="42" t="b">
        <f t="shared" si="426"/>
        <v>0</v>
      </c>
      <c r="BL323" s="42" t="b">
        <f t="shared" si="427"/>
        <v>0</v>
      </c>
      <c r="BM323" s="42">
        <f t="shared" si="428"/>
        <v>0</v>
      </c>
      <c r="BN323" s="42">
        <f t="shared" si="429"/>
        <v>0</v>
      </c>
      <c r="BP323" t="e">
        <f t="shared" si="430"/>
        <v>#N/A</v>
      </c>
      <c r="BQ323" t="e">
        <f t="shared" si="431"/>
        <v>#N/A</v>
      </c>
      <c r="BR323" t="e">
        <f t="shared" si="432"/>
        <v>#N/A</v>
      </c>
      <c r="BT323" s="60">
        <f t="shared" si="433"/>
        <v>0</v>
      </c>
      <c r="BU323" s="60">
        <f t="shared" si="434"/>
        <v>0</v>
      </c>
      <c r="BV323" s="60">
        <f t="shared" si="435"/>
        <v>0</v>
      </c>
      <c r="BW323" s="60">
        <f t="shared" si="436"/>
        <v>0</v>
      </c>
      <c r="BX323" s="60">
        <f t="shared" si="437"/>
        <v>0</v>
      </c>
      <c r="BY323" s="60">
        <f t="shared" si="438"/>
        <v>0</v>
      </c>
      <c r="BZ323" s="60">
        <f t="shared" si="439"/>
        <v>0</v>
      </c>
      <c r="CA323" s="60">
        <f t="shared" si="440"/>
        <v>0</v>
      </c>
      <c r="CB323" s="60" t="e">
        <f t="shared" si="390"/>
        <v>#N/A</v>
      </c>
      <c r="CC323" s="60">
        <f t="shared" si="391"/>
        <v>100000</v>
      </c>
      <c r="CD323" s="60" t="e">
        <f t="shared" si="392"/>
        <v>#N/A</v>
      </c>
      <c r="CE323" s="60">
        <f t="shared" si="393"/>
        <v>100000</v>
      </c>
      <c r="CF323" s="83" t="e">
        <f t="shared" si="441"/>
        <v>#N/A</v>
      </c>
      <c r="CG323" s="83">
        <f t="shared" si="442"/>
        <v>0</v>
      </c>
      <c r="CH323" s="83" t="e">
        <f t="shared" si="443"/>
        <v>#N/A</v>
      </c>
      <c r="CI323" s="83">
        <f t="shared" si="444"/>
        <v>0</v>
      </c>
      <c r="CJ323" s="86" t="e">
        <f t="shared" si="394"/>
        <v>#N/A</v>
      </c>
      <c r="CK323" s="82">
        <f t="shared" si="395"/>
        <v>5.3070370403969858E-3</v>
      </c>
      <c r="CL323" s="82" t="e">
        <f t="shared" si="396"/>
        <v>#N/A</v>
      </c>
      <c r="CM323" s="82">
        <f t="shared" si="397"/>
        <v>5.3070370403969858E-3</v>
      </c>
      <c r="CO323" s="149" t="str">
        <f>IF($I323&lt;&gt;"",IF(O323="User Specified",U323,INDEX('Refrigerant GWPs'!$G$2:$G$156,MATCH(O323,'Refrigerant GWPs'!$A$2:$A$156,0))),"")</f>
        <v/>
      </c>
      <c r="CP323" s="138" t="str">
        <f>IF($I323&lt;&gt;"",INDEX('Device Refrigerant Leakage'!$E$2:$E$42,MATCH($M323,'Device Refrigerant Leakage'!$B$2:$B$42,0)),"")</f>
        <v/>
      </c>
      <c r="CQ323" s="138" t="str">
        <f>IF($I323&lt;&gt;"",INDEX('Device Refrigerant Leakage'!$F$2:$F$42,MATCH($M323,'Device Refrigerant Leakage'!$B$2:$B$42,0)),"")</f>
        <v/>
      </c>
      <c r="CR323" s="145" t="str">
        <f>IF($I323&lt;&gt;"",INDEX('Device Refrigerant Leakage'!$G$2:$G$42,MATCH($M323,'Device Refrigerant Leakage'!$B$2:$B$42,0)),"")</f>
        <v/>
      </c>
      <c r="CS323" s="145" t="str">
        <f>IF($I323&lt;&gt;"",INDEX('Device Refrigerant Leakage'!$D$2:$D$42,MATCH($M323,'Device Refrigerant Leakage'!$B$2:$B$42,0))*CP323/2204.62*CO323,"")</f>
        <v/>
      </c>
      <c r="CT323" s="145" t="str">
        <f>IF($I323&lt;&gt;"",J323*(INDEX('Device Refrigerant Leakage'!$D$2:$D$42,MATCH($M323,'Device Refrigerant Leakage'!$B$2:$B$42,0))-(INDEX('Device Refrigerant Leakage'!$D$2:$D$42,MATCH($M323,'Device Refrigerant Leakage'!$B$2:$B$42,0)))*CR323*CP323)*CQ323/2204.62*CO323,"")</f>
        <v/>
      </c>
      <c r="CU323" s="135" t="str">
        <f>IF($I323&lt;&gt;"",J323*IF(W323&lt;&gt;"AR",(CS323*K323)+CT323,(CS323*AB323)+CT323*(AB323/INDEX('Device Refrigerant Leakage'!$C$2:$C$42,MATCH($M323,'Device Refrigerant Leakage'!$B$2:$B$42,0)))),"")</f>
        <v/>
      </c>
      <c r="CW323" s="135" t="str">
        <f>IF($I323&lt;&gt;"",IF(S323="User Specified",V323,INDEX('Refrigerant GWPs'!$G$2:$G$156,MATCH(S323,'Refrigerant GWPs'!$A$2:$A$157,0))),"")</f>
        <v/>
      </c>
      <c r="CX323" s="138" t="str">
        <f>IF($I323&lt;&gt;"",INDEX('Device Refrigerant Leakage'!$E$2:$E$42,MATCH($Q323,'Device Refrigerant Leakage'!$B$2:$B$42,0)),"")</f>
        <v/>
      </c>
      <c r="CY323" s="138" t="str">
        <f>IF($I323&lt;&gt;"",INDEX('Device Refrigerant Leakage'!$F$2:$F$42,MATCH($Q323,'Device Refrigerant Leakage'!$B$2:$B$42,0)),"")</f>
        <v/>
      </c>
      <c r="CZ323" s="145" t="str">
        <f>IF($I323&lt;&gt;"",INDEX('Device Refrigerant Leakage'!$G$2:$G$42,MATCH($Q323,'Device Refrigerant Leakage'!$B$2:$B$42,0)),"")</f>
        <v/>
      </c>
      <c r="DA323" s="145" t="str">
        <f>IF($I323&lt;&gt;"",J323*INDEX('Device Refrigerant Leakage'!$D$2:$D$42,MATCH($Q323,'Device Refrigerant Leakage'!$B$2:$B$42,0))*CX323/2204.62*CW323,"")</f>
        <v/>
      </c>
      <c r="DB323" s="145" t="str">
        <f>IF($I323&lt;&gt;"",J323*(INDEX('Device Refrigerant Leakage'!$D$2:$D$42,MATCH($Q323,'Device Refrigerant Leakage'!$B$2:$B$42,0))-(INDEX('Device Refrigerant Leakage'!$D$2:$D$42,MATCH($Q323,'Device Refrigerant Leakage'!$B$2:$B$42,0)))*CZ323*CX323)*CY323/2204.62*CW323,"")</f>
        <v/>
      </c>
      <c r="DC323" s="135" t="str">
        <f t="shared" si="416"/>
        <v/>
      </c>
      <c r="DE323" s="146" t="str">
        <f>IF(W323&lt;&gt;"AR","",IF(Y323="User Specified", AA323, INDEX('Refrigerant GWPs'!$G$2:$G$154,MATCH(Y323,'Refrigerant GWPs'!$A$2:$A$154,0))))</f>
        <v/>
      </c>
      <c r="DF323" s="146" t="str">
        <f>IF(W323&lt;&gt;"AR","",INDEX('Device Refrigerant Leakage'!$E$2:$E$42,MATCH(X323,'Device Refrigerant Leakage'!$B$2:$B$42,0)))</f>
        <v/>
      </c>
      <c r="DG323" s="146" t="str">
        <f>IF(W323&lt;&gt;"AR","",INDEX('Device Refrigerant Leakage'!$F$2:$F$42,MATCH(X323,'Device Refrigerant Leakage'!$B$2:$B$42,0)))</f>
        <v/>
      </c>
      <c r="DH323" s="146" t="str">
        <f>IF(W323&lt;&gt;"AR","",INDEX('Device Refrigerant Leakage'!$G$2:$G$42,MATCH(X323,'Device Refrigerant Leakage'!$B$2:$B$42,0)))</f>
        <v/>
      </c>
      <c r="DI323" s="146" t="str">
        <f>IF(W323&lt;&gt;"AR","",J323*INDEX('Device Refrigerant Leakage'!$D$2:$D$42,MATCH(X323,'Device Refrigerant Leakage'!$B$2:$B$42,0))*DF323/2204.62*DE323)</f>
        <v/>
      </c>
      <c r="DJ323" s="146" t="str">
        <f>IF(W323&lt;&gt;"AR","",J323*(INDEX('Device Refrigerant Leakage'!$D$2:$D$42,MATCH(X323,'Device Refrigerant Leakage'!$B$2:$B$42,0))-(INDEX('Device Refrigerant Leakage'!$D$2:$D$42,MATCH(X323,'Device Refrigerant Leakage'!$B$2:$B$42,0)))*DH323*DF323)*DG323/2204.62*DE323)</f>
        <v/>
      </c>
      <c r="DK323" s="146" t="str">
        <f>IF(W323&lt;&gt;"AR","",DI323*(K323-AB323)+'Fuel Sub Calcs-Deemed'!DJ323*((K323-AB323)/INDEX('Device Refrigerant Leakage'!$C$2:$C$42,MATCH('Fuel Sub Calcs-Deemed'!X323,'Device Refrigerant Leakage'!$B$2:$B$42,0))))</f>
        <v/>
      </c>
      <c r="DM323" s="56">
        <v>309</v>
      </c>
      <c r="DN323" s="67" t="e">
        <f t="shared" si="398"/>
        <v>#N/A</v>
      </c>
      <c r="DO323" s="45" t="e">
        <f t="shared" si="399"/>
        <v>#N/A</v>
      </c>
      <c r="DP323" s="67" t="e">
        <f t="shared" si="400"/>
        <v>#N/A</v>
      </c>
      <c r="DQ323" s="45" t="e">
        <f t="shared" si="401"/>
        <v>#N/A</v>
      </c>
      <c r="DR323" s="69" t="e">
        <f t="shared" si="402"/>
        <v>#N/A</v>
      </c>
      <c r="DS323" s="34"/>
      <c r="DT323" s="67" t="e">
        <f>((BX323*CJ323)+IF($W323=MAT_AR,(BZ323*CL323),0))*(1+Reference!$E$50+Reference!$E$51)</f>
        <v>#N/A</v>
      </c>
      <c r="DU323" s="67">
        <f>((BY323*CK323)+IF($W323=MAT_AR,(CA323*CM323),0))*(1+Reference!$G$50+Reference!$G$51)</f>
        <v>0</v>
      </c>
      <c r="DV323" s="67" t="e">
        <f t="shared" si="403"/>
        <v>#VALUE!</v>
      </c>
      <c r="DX323" s="56">
        <v>309</v>
      </c>
      <c r="DY323" s="67">
        <f t="shared" si="404"/>
        <v>0</v>
      </c>
      <c r="DZ323" s="45" t="e">
        <f>VLOOKUP($R323,Dropdown!$C$3:$D$4,2,FALSE)</f>
        <v>#N/A</v>
      </c>
      <c r="EA323" s="68">
        <f t="shared" si="405"/>
        <v>0</v>
      </c>
      <c r="EB323" s="68" t="str">
        <f t="shared" si="406"/>
        <v>N/A</v>
      </c>
      <c r="EC323" s="68">
        <f t="shared" si="407"/>
        <v>0</v>
      </c>
      <c r="ED323" s="68" t="str">
        <f t="shared" si="445"/>
        <v>N/A</v>
      </c>
      <c r="EF323" s="56">
        <v>309</v>
      </c>
      <c r="EG323" s="46">
        <f t="shared" si="408"/>
        <v>0</v>
      </c>
      <c r="EH323" s="68" t="e">
        <f t="shared" si="409"/>
        <v>#N/A</v>
      </c>
      <c r="EI323" s="68" t="e">
        <f t="shared" si="410"/>
        <v>#N/A</v>
      </c>
      <c r="EJ323" s="68" t="e">
        <f t="shared" si="411"/>
        <v>#N/A</v>
      </c>
      <c r="EK323" s="68" t="e">
        <f t="shared" si="412"/>
        <v>#N/A</v>
      </c>
      <c r="EL323" s="46">
        <f t="shared" si="413"/>
        <v>0</v>
      </c>
      <c r="EM323" s="46">
        <f t="shared" si="414"/>
        <v>0</v>
      </c>
    </row>
    <row r="324" spans="1:143">
      <c r="A324" s="89"/>
      <c r="B324" s="89"/>
      <c r="C324" s="89"/>
      <c r="D324" s="89"/>
      <c r="E324" s="89"/>
      <c r="F324" s="89"/>
      <c r="G324" s="34"/>
      <c r="H324" s="56">
        <f t="shared" si="415"/>
        <v>310</v>
      </c>
      <c r="I324" s="165"/>
      <c r="J324" s="163"/>
      <c r="K324" s="163"/>
      <c r="L324" s="164"/>
      <c r="M324" s="155"/>
      <c r="N324" s="155"/>
      <c r="O324" s="144"/>
      <c r="P324" s="159" t="str">
        <f>IFERROR(IF(O324&lt;&gt;"User Specified",IF(O324&lt;&gt;"", INDEX('Refrigerant GWPs'!$G$2:$G$154,MATCH(O324,'Refrigerant GWPs'!$A$2:$A$154,0)),""),U324),0)</f>
        <v/>
      </c>
      <c r="Q324" s="155"/>
      <c r="R324" s="155"/>
      <c r="S324" s="144"/>
      <c r="T324" s="159" t="str">
        <f>IF(S324&lt;&gt;"User Specified",IF(AND(S324&lt;&gt;"User Specified",S324&lt;&gt;""), INDEX('Refrigerant GWPs'!$G$2:$G$154,MATCH(S324,'Refrigerant GWPs'!$A$2:$A$154,0)),""),V324)</f>
        <v/>
      </c>
      <c r="U324" s="144"/>
      <c r="V324" s="144"/>
      <c r="W324" s="155"/>
      <c r="X324" s="155"/>
      <c r="Y324" s="144"/>
      <c r="Z324" s="159" t="str">
        <f>IF(AND(Y324&lt;&gt;"User Specified",Y324&lt;&gt;""), INDEX('Refrigerant GWPs'!$G$2:$G$154,MATCH(Y324,'Refrigerant GWPs'!$A$2:$A$154,0)),"")</f>
        <v/>
      </c>
      <c r="AA324" s="155"/>
      <c r="AB324" s="156"/>
      <c r="AC324" s="66"/>
      <c r="AD324" s="66"/>
      <c r="AE324" s="66"/>
      <c r="AF324" s="66"/>
      <c r="AG324" s="66"/>
      <c r="AH324" s="66"/>
      <c r="AI324" s="34"/>
      <c r="AJ324" s="88">
        <f t="shared" si="378"/>
        <v>0</v>
      </c>
      <c r="AK324" s="88">
        <f t="shared" si="379"/>
        <v>0</v>
      </c>
      <c r="AL324" s="88">
        <v>0</v>
      </c>
      <c r="AM324" s="88">
        <v>0</v>
      </c>
      <c r="AN324" s="81" t="str">
        <f t="shared" si="417"/>
        <v/>
      </c>
      <c r="AO324" s="88">
        <f t="shared" si="380"/>
        <v>0</v>
      </c>
      <c r="AP324" s="88">
        <f t="shared" si="381"/>
        <v>0</v>
      </c>
      <c r="AQ324" s="81" t="str">
        <f t="shared" si="382"/>
        <v/>
      </c>
      <c r="AS324" s="41" t="b">
        <f t="shared" si="383"/>
        <v>1</v>
      </c>
      <c r="AT324" s="38">
        <f t="shared" si="384"/>
        <v>0</v>
      </c>
      <c r="AU324" s="60">
        <f t="shared" si="385"/>
        <v>0</v>
      </c>
      <c r="AV324" s="41">
        <f t="shared" si="386"/>
        <v>0</v>
      </c>
      <c r="AW324" s="41" t="b">
        <f t="shared" si="387"/>
        <v>0</v>
      </c>
      <c r="AX324" t="str">
        <f t="shared" si="388"/>
        <v>+00</v>
      </c>
      <c r="AY324" t="str">
        <f t="shared" si="389"/>
        <v>+00</v>
      </c>
      <c r="BA324" s="47" t="b">
        <f t="shared" si="418"/>
        <v>1</v>
      </c>
      <c r="BB324" s="42" t="b">
        <f t="shared" si="419"/>
        <v>1</v>
      </c>
      <c r="BC324" s="42" t="b">
        <f t="shared" si="420"/>
        <v>0</v>
      </c>
      <c r="BD324" s="42" t="b">
        <f t="shared" si="421"/>
        <v>0</v>
      </c>
      <c r="BE324" s="70">
        <f t="shared" si="422"/>
        <v>0</v>
      </c>
      <c r="BF324" s="70">
        <f t="shared" si="423"/>
        <v>0</v>
      </c>
      <c r="BG324" s="34"/>
      <c r="BI324" s="47" t="b">
        <f t="shared" si="424"/>
        <v>1</v>
      </c>
      <c r="BJ324" s="47" t="b">
        <f t="shared" si="425"/>
        <v>1</v>
      </c>
      <c r="BK324" s="42" t="b">
        <f t="shared" si="426"/>
        <v>0</v>
      </c>
      <c r="BL324" s="42" t="b">
        <f t="shared" si="427"/>
        <v>0</v>
      </c>
      <c r="BM324" s="42">
        <f t="shared" si="428"/>
        <v>0</v>
      </c>
      <c r="BN324" s="42">
        <f t="shared" si="429"/>
        <v>0</v>
      </c>
      <c r="BP324" t="e">
        <f t="shared" si="430"/>
        <v>#N/A</v>
      </c>
      <c r="BQ324" t="e">
        <f t="shared" si="431"/>
        <v>#N/A</v>
      </c>
      <c r="BR324" t="e">
        <f t="shared" si="432"/>
        <v>#N/A</v>
      </c>
      <c r="BT324" s="60">
        <f t="shared" si="433"/>
        <v>0</v>
      </c>
      <c r="BU324" s="60">
        <f t="shared" si="434"/>
        <v>0</v>
      </c>
      <c r="BV324" s="60">
        <f t="shared" si="435"/>
        <v>0</v>
      </c>
      <c r="BW324" s="60">
        <f t="shared" si="436"/>
        <v>0</v>
      </c>
      <c r="BX324" s="60">
        <f t="shared" si="437"/>
        <v>0</v>
      </c>
      <c r="BY324" s="60">
        <f t="shared" si="438"/>
        <v>0</v>
      </c>
      <c r="BZ324" s="60">
        <f t="shared" si="439"/>
        <v>0</v>
      </c>
      <c r="CA324" s="60">
        <f t="shared" si="440"/>
        <v>0</v>
      </c>
      <c r="CB324" s="60" t="e">
        <f t="shared" si="390"/>
        <v>#N/A</v>
      </c>
      <c r="CC324" s="60">
        <f t="shared" si="391"/>
        <v>100000</v>
      </c>
      <c r="CD324" s="60" t="e">
        <f t="shared" si="392"/>
        <v>#N/A</v>
      </c>
      <c r="CE324" s="60">
        <f t="shared" si="393"/>
        <v>100000</v>
      </c>
      <c r="CF324" s="83" t="e">
        <f t="shared" si="441"/>
        <v>#N/A</v>
      </c>
      <c r="CG324" s="83">
        <f t="shared" si="442"/>
        <v>0</v>
      </c>
      <c r="CH324" s="83" t="e">
        <f t="shared" si="443"/>
        <v>#N/A</v>
      </c>
      <c r="CI324" s="83">
        <f t="shared" si="444"/>
        <v>0</v>
      </c>
      <c r="CJ324" s="86" t="e">
        <f t="shared" si="394"/>
        <v>#N/A</v>
      </c>
      <c r="CK324" s="82">
        <f t="shared" si="395"/>
        <v>5.3070370403969858E-3</v>
      </c>
      <c r="CL324" s="82" t="e">
        <f t="shared" si="396"/>
        <v>#N/A</v>
      </c>
      <c r="CM324" s="82">
        <f t="shared" si="397"/>
        <v>5.3070370403969858E-3</v>
      </c>
      <c r="CO324" s="149" t="str">
        <f>IF($I324&lt;&gt;"",IF(O324="User Specified",U324,INDEX('Refrigerant GWPs'!$G$2:$G$156,MATCH(O324,'Refrigerant GWPs'!$A$2:$A$156,0))),"")</f>
        <v/>
      </c>
      <c r="CP324" s="138" t="str">
        <f>IF($I324&lt;&gt;"",INDEX('Device Refrigerant Leakage'!$E$2:$E$42,MATCH($M324,'Device Refrigerant Leakage'!$B$2:$B$42,0)),"")</f>
        <v/>
      </c>
      <c r="CQ324" s="138" t="str">
        <f>IF($I324&lt;&gt;"",INDEX('Device Refrigerant Leakage'!$F$2:$F$42,MATCH($M324,'Device Refrigerant Leakage'!$B$2:$B$42,0)),"")</f>
        <v/>
      </c>
      <c r="CR324" s="145" t="str">
        <f>IF($I324&lt;&gt;"",INDEX('Device Refrigerant Leakage'!$G$2:$G$42,MATCH($M324,'Device Refrigerant Leakage'!$B$2:$B$42,0)),"")</f>
        <v/>
      </c>
      <c r="CS324" s="145" t="str">
        <f>IF($I324&lt;&gt;"",INDEX('Device Refrigerant Leakage'!$D$2:$D$42,MATCH($M324,'Device Refrigerant Leakage'!$B$2:$B$42,0))*CP324/2204.62*CO324,"")</f>
        <v/>
      </c>
      <c r="CT324" s="145" t="str">
        <f>IF($I324&lt;&gt;"",J324*(INDEX('Device Refrigerant Leakage'!$D$2:$D$42,MATCH($M324,'Device Refrigerant Leakage'!$B$2:$B$42,0))-(INDEX('Device Refrigerant Leakage'!$D$2:$D$42,MATCH($M324,'Device Refrigerant Leakage'!$B$2:$B$42,0)))*CR324*CP324)*CQ324/2204.62*CO324,"")</f>
        <v/>
      </c>
      <c r="CU324" s="135" t="str">
        <f>IF($I324&lt;&gt;"",J324*IF(W324&lt;&gt;"AR",(CS324*K324)+CT324,(CS324*AB324)+CT324*(AB324/INDEX('Device Refrigerant Leakage'!$C$2:$C$42,MATCH($M324,'Device Refrigerant Leakage'!$B$2:$B$42,0)))),"")</f>
        <v/>
      </c>
      <c r="CW324" s="135" t="str">
        <f>IF($I324&lt;&gt;"",IF(S324="User Specified",V324,INDEX('Refrigerant GWPs'!$G$2:$G$156,MATCH(S324,'Refrigerant GWPs'!$A$2:$A$157,0))),"")</f>
        <v/>
      </c>
      <c r="CX324" s="138" t="str">
        <f>IF($I324&lt;&gt;"",INDEX('Device Refrigerant Leakage'!$E$2:$E$42,MATCH($Q324,'Device Refrigerant Leakage'!$B$2:$B$42,0)),"")</f>
        <v/>
      </c>
      <c r="CY324" s="138" t="str">
        <f>IF($I324&lt;&gt;"",INDEX('Device Refrigerant Leakage'!$F$2:$F$42,MATCH($Q324,'Device Refrigerant Leakage'!$B$2:$B$42,0)),"")</f>
        <v/>
      </c>
      <c r="CZ324" s="145" t="str">
        <f>IF($I324&lt;&gt;"",INDEX('Device Refrigerant Leakage'!$G$2:$G$42,MATCH($Q324,'Device Refrigerant Leakage'!$B$2:$B$42,0)),"")</f>
        <v/>
      </c>
      <c r="DA324" s="145" t="str">
        <f>IF($I324&lt;&gt;"",J324*INDEX('Device Refrigerant Leakage'!$D$2:$D$42,MATCH($Q324,'Device Refrigerant Leakage'!$B$2:$B$42,0))*CX324/2204.62*CW324,"")</f>
        <v/>
      </c>
      <c r="DB324" s="145" t="str">
        <f>IF($I324&lt;&gt;"",J324*(INDEX('Device Refrigerant Leakage'!$D$2:$D$42,MATCH($Q324,'Device Refrigerant Leakage'!$B$2:$B$42,0))-(INDEX('Device Refrigerant Leakage'!$D$2:$D$42,MATCH($Q324,'Device Refrigerant Leakage'!$B$2:$B$42,0)))*CZ324*CX324)*CY324/2204.62*CW324,"")</f>
        <v/>
      </c>
      <c r="DC324" s="135" t="str">
        <f t="shared" si="416"/>
        <v/>
      </c>
      <c r="DE324" s="146" t="str">
        <f>IF(W324&lt;&gt;"AR","",IF(Y324="User Specified", AA324, INDEX('Refrigerant GWPs'!$G$2:$G$154,MATCH(Y324,'Refrigerant GWPs'!$A$2:$A$154,0))))</f>
        <v/>
      </c>
      <c r="DF324" s="146" t="str">
        <f>IF(W324&lt;&gt;"AR","",INDEX('Device Refrigerant Leakage'!$E$2:$E$42,MATCH(X324,'Device Refrigerant Leakage'!$B$2:$B$42,0)))</f>
        <v/>
      </c>
      <c r="DG324" s="146" t="str">
        <f>IF(W324&lt;&gt;"AR","",INDEX('Device Refrigerant Leakage'!$F$2:$F$42,MATCH(X324,'Device Refrigerant Leakage'!$B$2:$B$42,0)))</f>
        <v/>
      </c>
      <c r="DH324" s="146" t="str">
        <f>IF(W324&lt;&gt;"AR","",INDEX('Device Refrigerant Leakage'!$G$2:$G$42,MATCH(X324,'Device Refrigerant Leakage'!$B$2:$B$42,0)))</f>
        <v/>
      </c>
      <c r="DI324" s="146" t="str">
        <f>IF(W324&lt;&gt;"AR","",J324*INDEX('Device Refrigerant Leakage'!$D$2:$D$42,MATCH(X324,'Device Refrigerant Leakage'!$B$2:$B$42,0))*DF324/2204.62*DE324)</f>
        <v/>
      </c>
      <c r="DJ324" s="146" t="str">
        <f>IF(W324&lt;&gt;"AR","",J324*(INDEX('Device Refrigerant Leakage'!$D$2:$D$42,MATCH(X324,'Device Refrigerant Leakage'!$B$2:$B$42,0))-(INDEX('Device Refrigerant Leakage'!$D$2:$D$42,MATCH(X324,'Device Refrigerant Leakage'!$B$2:$B$42,0)))*DH324*DF324)*DG324/2204.62*DE324)</f>
        <v/>
      </c>
      <c r="DK324" s="146" t="str">
        <f>IF(W324&lt;&gt;"AR","",DI324*(K324-AB324)+'Fuel Sub Calcs-Deemed'!DJ324*((K324-AB324)/INDEX('Device Refrigerant Leakage'!$C$2:$C$42,MATCH('Fuel Sub Calcs-Deemed'!X324,'Device Refrigerant Leakage'!$B$2:$B$42,0))))</f>
        <v/>
      </c>
      <c r="DM324" s="56">
        <v>310</v>
      </c>
      <c r="DN324" s="67" t="e">
        <f t="shared" si="398"/>
        <v>#N/A</v>
      </c>
      <c r="DO324" s="45" t="e">
        <f t="shared" si="399"/>
        <v>#N/A</v>
      </c>
      <c r="DP324" s="67" t="e">
        <f t="shared" si="400"/>
        <v>#N/A</v>
      </c>
      <c r="DQ324" s="45" t="e">
        <f t="shared" si="401"/>
        <v>#N/A</v>
      </c>
      <c r="DR324" s="69" t="e">
        <f t="shared" si="402"/>
        <v>#N/A</v>
      </c>
      <c r="DS324" s="34"/>
      <c r="DT324" s="67" t="e">
        <f>((BX324*CJ324)+IF($W324=MAT_AR,(BZ324*CL324),0))*(1+Reference!$E$50+Reference!$E$51)</f>
        <v>#N/A</v>
      </c>
      <c r="DU324" s="67">
        <f>((BY324*CK324)+IF($W324=MAT_AR,(CA324*CM324),0))*(1+Reference!$G$50+Reference!$G$51)</f>
        <v>0</v>
      </c>
      <c r="DV324" s="67" t="e">
        <f t="shared" si="403"/>
        <v>#VALUE!</v>
      </c>
      <c r="DX324" s="56">
        <v>310</v>
      </c>
      <c r="DY324" s="67">
        <f t="shared" si="404"/>
        <v>0</v>
      </c>
      <c r="DZ324" s="45" t="e">
        <f>VLOOKUP($R324,Dropdown!$C$3:$D$4,2,FALSE)</f>
        <v>#N/A</v>
      </c>
      <c r="EA324" s="68">
        <f t="shared" si="405"/>
        <v>0</v>
      </c>
      <c r="EB324" s="68" t="str">
        <f t="shared" si="406"/>
        <v>N/A</v>
      </c>
      <c r="EC324" s="68">
        <f t="shared" si="407"/>
        <v>0</v>
      </c>
      <c r="ED324" s="68" t="str">
        <f t="shared" si="445"/>
        <v>N/A</v>
      </c>
      <c r="EF324" s="56">
        <v>310</v>
      </c>
      <c r="EG324" s="46">
        <f t="shared" si="408"/>
        <v>0</v>
      </c>
      <c r="EH324" s="68" t="e">
        <f t="shared" si="409"/>
        <v>#N/A</v>
      </c>
      <c r="EI324" s="68" t="e">
        <f t="shared" si="410"/>
        <v>#N/A</v>
      </c>
      <c r="EJ324" s="68" t="e">
        <f t="shared" si="411"/>
        <v>#N/A</v>
      </c>
      <c r="EK324" s="68" t="e">
        <f t="shared" si="412"/>
        <v>#N/A</v>
      </c>
      <c r="EL324" s="46">
        <f t="shared" si="413"/>
        <v>0</v>
      </c>
      <c r="EM324" s="46">
        <f t="shared" si="414"/>
        <v>0</v>
      </c>
    </row>
    <row r="325" spans="1:143">
      <c r="A325" s="89"/>
      <c r="B325" s="89"/>
      <c r="C325" s="89"/>
      <c r="D325" s="89"/>
      <c r="E325" s="89"/>
      <c r="F325" s="89"/>
      <c r="G325" s="34"/>
      <c r="H325" s="56">
        <f t="shared" si="415"/>
        <v>311</v>
      </c>
      <c r="I325" s="165"/>
      <c r="J325" s="163"/>
      <c r="K325" s="163"/>
      <c r="L325" s="164"/>
      <c r="M325" s="155"/>
      <c r="N325" s="155"/>
      <c r="O325" s="144"/>
      <c r="P325" s="159" t="str">
        <f>IFERROR(IF(O325&lt;&gt;"User Specified",IF(O325&lt;&gt;"", INDEX('Refrigerant GWPs'!$G$2:$G$154,MATCH(O325,'Refrigerant GWPs'!$A$2:$A$154,0)),""),U325),0)</f>
        <v/>
      </c>
      <c r="Q325" s="155"/>
      <c r="R325" s="155"/>
      <c r="S325" s="144"/>
      <c r="T325" s="159" t="str">
        <f>IF(S325&lt;&gt;"User Specified",IF(AND(S325&lt;&gt;"User Specified",S325&lt;&gt;""), INDEX('Refrigerant GWPs'!$G$2:$G$154,MATCH(S325,'Refrigerant GWPs'!$A$2:$A$154,0)),""),V325)</f>
        <v/>
      </c>
      <c r="U325" s="144"/>
      <c r="V325" s="144"/>
      <c r="W325" s="155"/>
      <c r="X325" s="155"/>
      <c r="Y325" s="144"/>
      <c r="Z325" s="159" t="str">
        <f>IF(AND(Y325&lt;&gt;"User Specified",Y325&lt;&gt;""), INDEX('Refrigerant GWPs'!$G$2:$G$154,MATCH(Y325,'Refrigerant GWPs'!$A$2:$A$154,0)),"")</f>
        <v/>
      </c>
      <c r="AA325" s="155"/>
      <c r="AB325" s="156"/>
      <c r="AC325" s="66"/>
      <c r="AD325" s="66"/>
      <c r="AE325" s="66"/>
      <c r="AF325" s="66"/>
      <c r="AG325" s="66"/>
      <c r="AH325" s="66"/>
      <c r="AI325" s="34"/>
      <c r="AJ325" s="88">
        <f t="shared" si="378"/>
        <v>0</v>
      </c>
      <c r="AK325" s="88">
        <f t="shared" si="379"/>
        <v>0</v>
      </c>
      <c r="AL325" s="88">
        <v>0</v>
      </c>
      <c r="AM325" s="88">
        <v>0</v>
      </c>
      <c r="AN325" s="81" t="str">
        <f t="shared" si="417"/>
        <v/>
      </c>
      <c r="AO325" s="88">
        <f t="shared" si="380"/>
        <v>0</v>
      </c>
      <c r="AP325" s="88">
        <f t="shared" si="381"/>
        <v>0</v>
      </c>
      <c r="AQ325" s="81" t="str">
        <f t="shared" si="382"/>
        <v/>
      </c>
      <c r="AS325" s="41" t="b">
        <f t="shared" si="383"/>
        <v>1</v>
      </c>
      <c r="AT325" s="38">
        <f t="shared" si="384"/>
        <v>0</v>
      </c>
      <c r="AU325" s="60">
        <f t="shared" si="385"/>
        <v>0</v>
      </c>
      <c r="AV325" s="41">
        <f t="shared" si="386"/>
        <v>0</v>
      </c>
      <c r="AW325" s="41" t="b">
        <f t="shared" si="387"/>
        <v>0</v>
      </c>
      <c r="AX325" t="str">
        <f t="shared" si="388"/>
        <v>+00</v>
      </c>
      <c r="AY325" t="str">
        <f t="shared" si="389"/>
        <v>+00</v>
      </c>
      <c r="BA325" s="47" t="b">
        <f t="shared" si="418"/>
        <v>1</v>
      </c>
      <c r="BB325" s="42" t="b">
        <f t="shared" si="419"/>
        <v>1</v>
      </c>
      <c r="BC325" s="42" t="b">
        <f t="shared" si="420"/>
        <v>0</v>
      </c>
      <c r="BD325" s="42" t="b">
        <f t="shared" si="421"/>
        <v>0</v>
      </c>
      <c r="BE325" s="70">
        <f t="shared" si="422"/>
        <v>0</v>
      </c>
      <c r="BF325" s="70">
        <f t="shared" si="423"/>
        <v>0</v>
      </c>
      <c r="BG325" s="34"/>
      <c r="BI325" s="47" t="b">
        <f t="shared" si="424"/>
        <v>1</v>
      </c>
      <c r="BJ325" s="47" t="b">
        <f t="shared" si="425"/>
        <v>1</v>
      </c>
      <c r="BK325" s="42" t="b">
        <f t="shared" si="426"/>
        <v>0</v>
      </c>
      <c r="BL325" s="42" t="b">
        <f t="shared" si="427"/>
        <v>0</v>
      </c>
      <c r="BM325" s="42">
        <f t="shared" si="428"/>
        <v>0</v>
      </c>
      <c r="BN325" s="42">
        <f t="shared" si="429"/>
        <v>0</v>
      </c>
      <c r="BP325" t="e">
        <f t="shared" si="430"/>
        <v>#N/A</v>
      </c>
      <c r="BQ325" t="e">
        <f t="shared" si="431"/>
        <v>#N/A</v>
      </c>
      <c r="BR325" t="e">
        <f t="shared" si="432"/>
        <v>#N/A</v>
      </c>
      <c r="BT325" s="60">
        <f t="shared" si="433"/>
        <v>0</v>
      </c>
      <c r="BU325" s="60">
        <f t="shared" si="434"/>
        <v>0</v>
      </c>
      <c r="BV325" s="60">
        <f t="shared" si="435"/>
        <v>0</v>
      </c>
      <c r="BW325" s="60">
        <f t="shared" si="436"/>
        <v>0</v>
      </c>
      <c r="BX325" s="60">
        <f t="shared" si="437"/>
        <v>0</v>
      </c>
      <c r="BY325" s="60">
        <f t="shared" si="438"/>
        <v>0</v>
      </c>
      <c r="BZ325" s="60">
        <f t="shared" si="439"/>
        <v>0</v>
      </c>
      <c r="CA325" s="60">
        <f t="shared" si="440"/>
        <v>0</v>
      </c>
      <c r="CB325" s="60" t="e">
        <f t="shared" si="390"/>
        <v>#N/A</v>
      </c>
      <c r="CC325" s="60">
        <f t="shared" si="391"/>
        <v>100000</v>
      </c>
      <c r="CD325" s="60" t="e">
        <f t="shared" si="392"/>
        <v>#N/A</v>
      </c>
      <c r="CE325" s="60">
        <f t="shared" si="393"/>
        <v>100000</v>
      </c>
      <c r="CF325" s="83" t="e">
        <f t="shared" si="441"/>
        <v>#N/A</v>
      </c>
      <c r="CG325" s="83">
        <f t="shared" si="442"/>
        <v>0</v>
      </c>
      <c r="CH325" s="83" t="e">
        <f t="shared" si="443"/>
        <v>#N/A</v>
      </c>
      <c r="CI325" s="83">
        <f t="shared" si="444"/>
        <v>0</v>
      </c>
      <c r="CJ325" s="86" t="e">
        <f t="shared" si="394"/>
        <v>#N/A</v>
      </c>
      <c r="CK325" s="82">
        <f t="shared" si="395"/>
        <v>5.3070370403969858E-3</v>
      </c>
      <c r="CL325" s="82" t="e">
        <f t="shared" si="396"/>
        <v>#N/A</v>
      </c>
      <c r="CM325" s="82">
        <f t="shared" si="397"/>
        <v>5.3070370403969858E-3</v>
      </c>
      <c r="CO325" s="149" t="str">
        <f>IF($I325&lt;&gt;"",IF(O325="User Specified",U325,INDEX('Refrigerant GWPs'!$G$2:$G$156,MATCH(O325,'Refrigerant GWPs'!$A$2:$A$156,0))),"")</f>
        <v/>
      </c>
      <c r="CP325" s="138" t="str">
        <f>IF($I325&lt;&gt;"",INDEX('Device Refrigerant Leakage'!$E$2:$E$42,MATCH($M325,'Device Refrigerant Leakage'!$B$2:$B$42,0)),"")</f>
        <v/>
      </c>
      <c r="CQ325" s="138" t="str">
        <f>IF($I325&lt;&gt;"",INDEX('Device Refrigerant Leakage'!$F$2:$F$42,MATCH($M325,'Device Refrigerant Leakage'!$B$2:$B$42,0)),"")</f>
        <v/>
      </c>
      <c r="CR325" s="145" t="str">
        <f>IF($I325&lt;&gt;"",INDEX('Device Refrigerant Leakage'!$G$2:$G$42,MATCH($M325,'Device Refrigerant Leakage'!$B$2:$B$42,0)),"")</f>
        <v/>
      </c>
      <c r="CS325" s="145" t="str">
        <f>IF($I325&lt;&gt;"",INDEX('Device Refrigerant Leakage'!$D$2:$D$42,MATCH($M325,'Device Refrigerant Leakage'!$B$2:$B$42,0))*CP325/2204.62*CO325,"")</f>
        <v/>
      </c>
      <c r="CT325" s="145" t="str">
        <f>IF($I325&lt;&gt;"",J325*(INDEX('Device Refrigerant Leakage'!$D$2:$D$42,MATCH($M325,'Device Refrigerant Leakage'!$B$2:$B$42,0))-(INDEX('Device Refrigerant Leakage'!$D$2:$D$42,MATCH($M325,'Device Refrigerant Leakage'!$B$2:$B$42,0)))*CR325*CP325)*CQ325/2204.62*CO325,"")</f>
        <v/>
      </c>
      <c r="CU325" s="135" t="str">
        <f>IF($I325&lt;&gt;"",J325*IF(W325&lt;&gt;"AR",(CS325*K325)+CT325,(CS325*AB325)+CT325*(AB325/INDEX('Device Refrigerant Leakage'!$C$2:$C$42,MATCH($M325,'Device Refrigerant Leakage'!$B$2:$B$42,0)))),"")</f>
        <v/>
      </c>
      <c r="CW325" s="135" t="str">
        <f>IF($I325&lt;&gt;"",IF(S325="User Specified",V325,INDEX('Refrigerant GWPs'!$G$2:$G$156,MATCH(S325,'Refrigerant GWPs'!$A$2:$A$157,0))),"")</f>
        <v/>
      </c>
      <c r="CX325" s="138" t="str">
        <f>IF($I325&lt;&gt;"",INDEX('Device Refrigerant Leakage'!$E$2:$E$42,MATCH($Q325,'Device Refrigerant Leakage'!$B$2:$B$42,0)),"")</f>
        <v/>
      </c>
      <c r="CY325" s="138" t="str">
        <f>IF($I325&lt;&gt;"",INDEX('Device Refrigerant Leakage'!$F$2:$F$42,MATCH($Q325,'Device Refrigerant Leakage'!$B$2:$B$42,0)),"")</f>
        <v/>
      </c>
      <c r="CZ325" s="145" t="str">
        <f>IF($I325&lt;&gt;"",INDEX('Device Refrigerant Leakage'!$G$2:$G$42,MATCH($Q325,'Device Refrigerant Leakage'!$B$2:$B$42,0)),"")</f>
        <v/>
      </c>
      <c r="DA325" s="145" t="str">
        <f>IF($I325&lt;&gt;"",J325*INDEX('Device Refrigerant Leakage'!$D$2:$D$42,MATCH($Q325,'Device Refrigerant Leakage'!$B$2:$B$42,0))*CX325/2204.62*CW325,"")</f>
        <v/>
      </c>
      <c r="DB325" s="145" t="str">
        <f>IF($I325&lt;&gt;"",J325*(INDEX('Device Refrigerant Leakage'!$D$2:$D$42,MATCH($Q325,'Device Refrigerant Leakage'!$B$2:$B$42,0))-(INDEX('Device Refrigerant Leakage'!$D$2:$D$42,MATCH($Q325,'Device Refrigerant Leakage'!$B$2:$B$42,0)))*CZ325*CX325)*CY325/2204.62*CW325,"")</f>
        <v/>
      </c>
      <c r="DC325" s="135" t="str">
        <f t="shared" si="416"/>
        <v/>
      </c>
      <c r="DE325" s="146" t="str">
        <f>IF(W325&lt;&gt;"AR","",IF(Y325="User Specified", AA325, INDEX('Refrigerant GWPs'!$G$2:$G$154,MATCH(Y325,'Refrigerant GWPs'!$A$2:$A$154,0))))</f>
        <v/>
      </c>
      <c r="DF325" s="146" t="str">
        <f>IF(W325&lt;&gt;"AR","",INDEX('Device Refrigerant Leakage'!$E$2:$E$42,MATCH(X325,'Device Refrigerant Leakage'!$B$2:$B$42,0)))</f>
        <v/>
      </c>
      <c r="DG325" s="146" t="str">
        <f>IF(W325&lt;&gt;"AR","",INDEX('Device Refrigerant Leakage'!$F$2:$F$42,MATCH(X325,'Device Refrigerant Leakage'!$B$2:$B$42,0)))</f>
        <v/>
      </c>
      <c r="DH325" s="146" t="str">
        <f>IF(W325&lt;&gt;"AR","",INDEX('Device Refrigerant Leakage'!$G$2:$G$42,MATCH(X325,'Device Refrigerant Leakage'!$B$2:$B$42,0)))</f>
        <v/>
      </c>
      <c r="DI325" s="146" t="str">
        <f>IF(W325&lt;&gt;"AR","",J325*INDEX('Device Refrigerant Leakage'!$D$2:$D$42,MATCH(X325,'Device Refrigerant Leakage'!$B$2:$B$42,0))*DF325/2204.62*DE325)</f>
        <v/>
      </c>
      <c r="DJ325" s="146" t="str">
        <f>IF(W325&lt;&gt;"AR","",J325*(INDEX('Device Refrigerant Leakage'!$D$2:$D$42,MATCH(X325,'Device Refrigerant Leakage'!$B$2:$B$42,0))-(INDEX('Device Refrigerant Leakage'!$D$2:$D$42,MATCH(X325,'Device Refrigerant Leakage'!$B$2:$B$42,0)))*DH325*DF325)*DG325/2204.62*DE325)</f>
        <v/>
      </c>
      <c r="DK325" s="146" t="str">
        <f>IF(W325&lt;&gt;"AR","",DI325*(K325-AB325)+'Fuel Sub Calcs-Deemed'!DJ325*((K325-AB325)/INDEX('Device Refrigerant Leakage'!$C$2:$C$42,MATCH('Fuel Sub Calcs-Deemed'!X325,'Device Refrigerant Leakage'!$B$2:$B$42,0))))</f>
        <v/>
      </c>
      <c r="DM325" s="56">
        <v>311</v>
      </c>
      <c r="DN325" s="67" t="e">
        <f t="shared" si="398"/>
        <v>#N/A</v>
      </c>
      <c r="DO325" s="45" t="e">
        <f t="shared" si="399"/>
        <v>#N/A</v>
      </c>
      <c r="DP325" s="67" t="e">
        <f t="shared" si="400"/>
        <v>#N/A</v>
      </c>
      <c r="DQ325" s="45" t="e">
        <f t="shared" si="401"/>
        <v>#N/A</v>
      </c>
      <c r="DR325" s="69" t="e">
        <f t="shared" si="402"/>
        <v>#N/A</v>
      </c>
      <c r="DS325" s="34"/>
      <c r="DT325" s="67" t="e">
        <f>((BX325*CJ325)+IF($W325=MAT_AR,(BZ325*CL325),0))*(1+Reference!$E$50+Reference!$E$51)</f>
        <v>#N/A</v>
      </c>
      <c r="DU325" s="67">
        <f>((BY325*CK325)+IF($W325=MAT_AR,(CA325*CM325),0))*(1+Reference!$G$50+Reference!$G$51)</f>
        <v>0</v>
      </c>
      <c r="DV325" s="67" t="e">
        <f t="shared" si="403"/>
        <v>#VALUE!</v>
      </c>
      <c r="DX325" s="56">
        <v>311</v>
      </c>
      <c r="DY325" s="67">
        <f t="shared" si="404"/>
        <v>0</v>
      </c>
      <c r="DZ325" s="45" t="e">
        <f>VLOOKUP($R325,Dropdown!$C$3:$D$4,2,FALSE)</f>
        <v>#N/A</v>
      </c>
      <c r="EA325" s="68">
        <f t="shared" si="405"/>
        <v>0</v>
      </c>
      <c r="EB325" s="68" t="str">
        <f t="shared" si="406"/>
        <v>N/A</v>
      </c>
      <c r="EC325" s="68">
        <f t="shared" si="407"/>
        <v>0</v>
      </c>
      <c r="ED325" s="68" t="str">
        <f t="shared" si="445"/>
        <v>N/A</v>
      </c>
      <c r="EF325" s="56">
        <v>311</v>
      </c>
      <c r="EG325" s="46">
        <f t="shared" si="408"/>
        <v>0</v>
      </c>
      <c r="EH325" s="68" t="e">
        <f t="shared" si="409"/>
        <v>#N/A</v>
      </c>
      <c r="EI325" s="68" t="e">
        <f t="shared" si="410"/>
        <v>#N/A</v>
      </c>
      <c r="EJ325" s="68" t="e">
        <f t="shared" si="411"/>
        <v>#N/A</v>
      </c>
      <c r="EK325" s="68" t="e">
        <f t="shared" si="412"/>
        <v>#N/A</v>
      </c>
      <c r="EL325" s="46">
        <f t="shared" si="413"/>
        <v>0</v>
      </c>
      <c r="EM325" s="46">
        <f t="shared" si="414"/>
        <v>0</v>
      </c>
    </row>
    <row r="326" spans="1:143">
      <c r="A326" s="89"/>
      <c r="B326" s="89"/>
      <c r="C326" s="89"/>
      <c r="D326" s="89"/>
      <c r="E326" s="89"/>
      <c r="F326" s="89"/>
      <c r="G326" s="34"/>
      <c r="H326" s="56">
        <f t="shared" si="415"/>
        <v>312</v>
      </c>
      <c r="I326" s="165"/>
      <c r="J326" s="163"/>
      <c r="K326" s="163"/>
      <c r="L326" s="164"/>
      <c r="M326" s="155"/>
      <c r="N326" s="155"/>
      <c r="O326" s="144"/>
      <c r="P326" s="159" t="str">
        <f>IFERROR(IF(O326&lt;&gt;"User Specified",IF(O326&lt;&gt;"", INDEX('Refrigerant GWPs'!$G$2:$G$154,MATCH(O326,'Refrigerant GWPs'!$A$2:$A$154,0)),""),U326),0)</f>
        <v/>
      </c>
      <c r="Q326" s="155"/>
      <c r="R326" s="155"/>
      <c r="S326" s="144"/>
      <c r="T326" s="159" t="str">
        <f>IF(S326&lt;&gt;"User Specified",IF(AND(S326&lt;&gt;"User Specified",S326&lt;&gt;""), INDEX('Refrigerant GWPs'!$G$2:$G$154,MATCH(S326,'Refrigerant GWPs'!$A$2:$A$154,0)),""),V326)</f>
        <v/>
      </c>
      <c r="U326" s="144"/>
      <c r="V326" s="144"/>
      <c r="W326" s="155"/>
      <c r="X326" s="155"/>
      <c r="Y326" s="144"/>
      <c r="Z326" s="159" t="str">
        <f>IF(AND(Y326&lt;&gt;"User Specified",Y326&lt;&gt;""), INDEX('Refrigerant GWPs'!$G$2:$G$154,MATCH(Y326,'Refrigerant GWPs'!$A$2:$A$154,0)),"")</f>
        <v/>
      </c>
      <c r="AA326" s="155"/>
      <c r="AB326" s="156"/>
      <c r="AC326" s="66"/>
      <c r="AD326" s="66"/>
      <c r="AE326" s="66"/>
      <c r="AF326" s="66"/>
      <c r="AG326" s="66"/>
      <c r="AH326" s="66"/>
      <c r="AI326" s="34"/>
      <c r="AJ326" s="88">
        <f t="shared" si="378"/>
        <v>0</v>
      </c>
      <c r="AK326" s="88">
        <f t="shared" si="379"/>
        <v>0</v>
      </c>
      <c r="AL326" s="88">
        <v>0</v>
      </c>
      <c r="AM326" s="88">
        <v>0</v>
      </c>
      <c r="AN326" s="81" t="str">
        <f t="shared" si="417"/>
        <v/>
      </c>
      <c r="AO326" s="88">
        <f t="shared" si="380"/>
        <v>0</v>
      </c>
      <c r="AP326" s="88">
        <f t="shared" si="381"/>
        <v>0</v>
      </c>
      <c r="AQ326" s="81" t="str">
        <f t="shared" si="382"/>
        <v/>
      </c>
      <c r="AS326" s="41" t="b">
        <f t="shared" si="383"/>
        <v>1</v>
      </c>
      <c r="AT326" s="38">
        <f t="shared" si="384"/>
        <v>0</v>
      </c>
      <c r="AU326" s="60">
        <f t="shared" si="385"/>
        <v>0</v>
      </c>
      <c r="AV326" s="41">
        <f t="shared" si="386"/>
        <v>0</v>
      </c>
      <c r="AW326" s="41" t="b">
        <f t="shared" si="387"/>
        <v>0</v>
      </c>
      <c r="AX326" t="str">
        <f t="shared" si="388"/>
        <v>+00</v>
      </c>
      <c r="AY326" t="str">
        <f t="shared" si="389"/>
        <v>+00</v>
      </c>
      <c r="BA326" s="47" t="b">
        <f t="shared" si="418"/>
        <v>1</v>
      </c>
      <c r="BB326" s="42" t="b">
        <f t="shared" si="419"/>
        <v>1</v>
      </c>
      <c r="BC326" s="42" t="b">
        <f t="shared" si="420"/>
        <v>0</v>
      </c>
      <c r="BD326" s="42" t="b">
        <f t="shared" si="421"/>
        <v>0</v>
      </c>
      <c r="BE326" s="70">
        <f t="shared" si="422"/>
        <v>0</v>
      </c>
      <c r="BF326" s="70">
        <f t="shared" si="423"/>
        <v>0</v>
      </c>
      <c r="BG326" s="34"/>
      <c r="BI326" s="47" t="b">
        <f t="shared" si="424"/>
        <v>1</v>
      </c>
      <c r="BJ326" s="47" t="b">
        <f t="shared" si="425"/>
        <v>1</v>
      </c>
      <c r="BK326" s="42" t="b">
        <f t="shared" si="426"/>
        <v>0</v>
      </c>
      <c r="BL326" s="42" t="b">
        <f t="shared" si="427"/>
        <v>0</v>
      </c>
      <c r="BM326" s="42">
        <f t="shared" si="428"/>
        <v>0</v>
      </c>
      <c r="BN326" s="42">
        <f t="shared" si="429"/>
        <v>0</v>
      </c>
      <c r="BP326" t="e">
        <f t="shared" si="430"/>
        <v>#N/A</v>
      </c>
      <c r="BQ326" t="e">
        <f t="shared" si="431"/>
        <v>#N/A</v>
      </c>
      <c r="BR326" t="e">
        <f t="shared" si="432"/>
        <v>#N/A</v>
      </c>
      <c r="BT326" s="60">
        <f t="shared" si="433"/>
        <v>0</v>
      </c>
      <c r="BU326" s="60">
        <f t="shared" si="434"/>
        <v>0</v>
      </c>
      <c r="BV326" s="60">
        <f t="shared" si="435"/>
        <v>0</v>
      </c>
      <c r="BW326" s="60">
        <f t="shared" si="436"/>
        <v>0</v>
      </c>
      <c r="BX326" s="60">
        <f t="shared" si="437"/>
        <v>0</v>
      </c>
      <c r="BY326" s="60">
        <f t="shared" si="438"/>
        <v>0</v>
      </c>
      <c r="BZ326" s="60">
        <f t="shared" si="439"/>
        <v>0</v>
      </c>
      <c r="CA326" s="60">
        <f t="shared" si="440"/>
        <v>0</v>
      </c>
      <c r="CB326" s="60" t="e">
        <f t="shared" si="390"/>
        <v>#N/A</v>
      </c>
      <c r="CC326" s="60">
        <f t="shared" si="391"/>
        <v>100000</v>
      </c>
      <c r="CD326" s="60" t="e">
        <f t="shared" si="392"/>
        <v>#N/A</v>
      </c>
      <c r="CE326" s="60">
        <f t="shared" si="393"/>
        <v>100000</v>
      </c>
      <c r="CF326" s="83" t="e">
        <f t="shared" si="441"/>
        <v>#N/A</v>
      </c>
      <c r="CG326" s="83">
        <f t="shared" si="442"/>
        <v>0</v>
      </c>
      <c r="CH326" s="83" t="e">
        <f t="shared" si="443"/>
        <v>#N/A</v>
      </c>
      <c r="CI326" s="83">
        <f t="shared" si="444"/>
        <v>0</v>
      </c>
      <c r="CJ326" s="86" t="e">
        <f t="shared" si="394"/>
        <v>#N/A</v>
      </c>
      <c r="CK326" s="82">
        <f t="shared" si="395"/>
        <v>5.3070370403969858E-3</v>
      </c>
      <c r="CL326" s="82" t="e">
        <f t="shared" si="396"/>
        <v>#N/A</v>
      </c>
      <c r="CM326" s="82">
        <f t="shared" si="397"/>
        <v>5.3070370403969858E-3</v>
      </c>
      <c r="CO326" s="149" t="str">
        <f>IF($I326&lt;&gt;"",IF(O326="User Specified",U326,INDEX('Refrigerant GWPs'!$G$2:$G$156,MATCH(O326,'Refrigerant GWPs'!$A$2:$A$156,0))),"")</f>
        <v/>
      </c>
      <c r="CP326" s="138" t="str">
        <f>IF($I326&lt;&gt;"",INDEX('Device Refrigerant Leakage'!$E$2:$E$42,MATCH($M326,'Device Refrigerant Leakage'!$B$2:$B$42,0)),"")</f>
        <v/>
      </c>
      <c r="CQ326" s="138" t="str">
        <f>IF($I326&lt;&gt;"",INDEX('Device Refrigerant Leakage'!$F$2:$F$42,MATCH($M326,'Device Refrigerant Leakage'!$B$2:$B$42,0)),"")</f>
        <v/>
      </c>
      <c r="CR326" s="145" t="str">
        <f>IF($I326&lt;&gt;"",INDEX('Device Refrigerant Leakage'!$G$2:$G$42,MATCH($M326,'Device Refrigerant Leakage'!$B$2:$B$42,0)),"")</f>
        <v/>
      </c>
      <c r="CS326" s="145" t="str">
        <f>IF($I326&lt;&gt;"",INDEX('Device Refrigerant Leakage'!$D$2:$D$42,MATCH($M326,'Device Refrigerant Leakage'!$B$2:$B$42,0))*CP326/2204.62*CO326,"")</f>
        <v/>
      </c>
      <c r="CT326" s="145" t="str">
        <f>IF($I326&lt;&gt;"",J326*(INDEX('Device Refrigerant Leakage'!$D$2:$D$42,MATCH($M326,'Device Refrigerant Leakage'!$B$2:$B$42,0))-(INDEX('Device Refrigerant Leakage'!$D$2:$D$42,MATCH($M326,'Device Refrigerant Leakage'!$B$2:$B$42,0)))*CR326*CP326)*CQ326/2204.62*CO326,"")</f>
        <v/>
      </c>
      <c r="CU326" s="135" t="str">
        <f>IF($I326&lt;&gt;"",J326*IF(W326&lt;&gt;"AR",(CS326*K326)+CT326,(CS326*AB326)+CT326*(AB326/INDEX('Device Refrigerant Leakage'!$C$2:$C$42,MATCH($M326,'Device Refrigerant Leakage'!$B$2:$B$42,0)))),"")</f>
        <v/>
      </c>
      <c r="CW326" s="135" t="str">
        <f>IF($I326&lt;&gt;"",IF(S326="User Specified",V326,INDEX('Refrigerant GWPs'!$G$2:$G$156,MATCH(S326,'Refrigerant GWPs'!$A$2:$A$157,0))),"")</f>
        <v/>
      </c>
      <c r="CX326" s="138" t="str">
        <f>IF($I326&lt;&gt;"",INDEX('Device Refrigerant Leakage'!$E$2:$E$42,MATCH($Q326,'Device Refrigerant Leakage'!$B$2:$B$42,0)),"")</f>
        <v/>
      </c>
      <c r="CY326" s="138" t="str">
        <f>IF($I326&lt;&gt;"",INDEX('Device Refrigerant Leakage'!$F$2:$F$42,MATCH($Q326,'Device Refrigerant Leakage'!$B$2:$B$42,0)),"")</f>
        <v/>
      </c>
      <c r="CZ326" s="145" t="str">
        <f>IF($I326&lt;&gt;"",INDEX('Device Refrigerant Leakage'!$G$2:$G$42,MATCH($Q326,'Device Refrigerant Leakage'!$B$2:$B$42,0)),"")</f>
        <v/>
      </c>
      <c r="DA326" s="145" t="str">
        <f>IF($I326&lt;&gt;"",J326*INDEX('Device Refrigerant Leakage'!$D$2:$D$42,MATCH($Q326,'Device Refrigerant Leakage'!$B$2:$B$42,0))*CX326/2204.62*CW326,"")</f>
        <v/>
      </c>
      <c r="DB326" s="145" t="str">
        <f>IF($I326&lt;&gt;"",J326*(INDEX('Device Refrigerant Leakage'!$D$2:$D$42,MATCH($Q326,'Device Refrigerant Leakage'!$B$2:$B$42,0))-(INDEX('Device Refrigerant Leakage'!$D$2:$D$42,MATCH($Q326,'Device Refrigerant Leakage'!$B$2:$B$42,0)))*CZ326*CX326)*CY326/2204.62*CW326,"")</f>
        <v/>
      </c>
      <c r="DC326" s="135" t="str">
        <f t="shared" si="416"/>
        <v/>
      </c>
      <c r="DE326" s="146" t="str">
        <f>IF(W326&lt;&gt;"AR","",IF(Y326="User Specified", AA326, INDEX('Refrigerant GWPs'!$G$2:$G$154,MATCH(Y326,'Refrigerant GWPs'!$A$2:$A$154,0))))</f>
        <v/>
      </c>
      <c r="DF326" s="146" t="str">
        <f>IF(W326&lt;&gt;"AR","",INDEX('Device Refrigerant Leakage'!$E$2:$E$42,MATCH(X326,'Device Refrigerant Leakage'!$B$2:$B$42,0)))</f>
        <v/>
      </c>
      <c r="DG326" s="146" t="str">
        <f>IF(W326&lt;&gt;"AR","",INDEX('Device Refrigerant Leakage'!$F$2:$F$42,MATCH(X326,'Device Refrigerant Leakage'!$B$2:$B$42,0)))</f>
        <v/>
      </c>
      <c r="DH326" s="146" t="str">
        <f>IF(W326&lt;&gt;"AR","",INDEX('Device Refrigerant Leakage'!$G$2:$G$42,MATCH(X326,'Device Refrigerant Leakage'!$B$2:$B$42,0)))</f>
        <v/>
      </c>
      <c r="DI326" s="146" t="str">
        <f>IF(W326&lt;&gt;"AR","",J326*INDEX('Device Refrigerant Leakage'!$D$2:$D$42,MATCH(X326,'Device Refrigerant Leakage'!$B$2:$B$42,0))*DF326/2204.62*DE326)</f>
        <v/>
      </c>
      <c r="DJ326" s="146" t="str">
        <f>IF(W326&lt;&gt;"AR","",J326*(INDEX('Device Refrigerant Leakage'!$D$2:$D$42,MATCH(X326,'Device Refrigerant Leakage'!$B$2:$B$42,0))-(INDEX('Device Refrigerant Leakage'!$D$2:$D$42,MATCH(X326,'Device Refrigerant Leakage'!$B$2:$B$42,0)))*DH326*DF326)*DG326/2204.62*DE326)</f>
        <v/>
      </c>
      <c r="DK326" s="146" t="str">
        <f>IF(W326&lt;&gt;"AR","",DI326*(K326-AB326)+'Fuel Sub Calcs-Deemed'!DJ326*((K326-AB326)/INDEX('Device Refrigerant Leakage'!$C$2:$C$42,MATCH('Fuel Sub Calcs-Deemed'!X326,'Device Refrigerant Leakage'!$B$2:$B$42,0))))</f>
        <v/>
      </c>
      <c r="DM326" s="56">
        <v>312</v>
      </c>
      <c r="DN326" s="67" t="e">
        <f t="shared" si="398"/>
        <v>#N/A</v>
      </c>
      <c r="DO326" s="45" t="e">
        <f t="shared" si="399"/>
        <v>#N/A</v>
      </c>
      <c r="DP326" s="67" t="e">
        <f t="shared" si="400"/>
        <v>#N/A</v>
      </c>
      <c r="DQ326" s="45" t="e">
        <f t="shared" si="401"/>
        <v>#N/A</v>
      </c>
      <c r="DR326" s="69" t="e">
        <f t="shared" si="402"/>
        <v>#N/A</v>
      </c>
      <c r="DS326" s="34"/>
      <c r="DT326" s="67" t="e">
        <f>((BX326*CJ326)+IF($W326=MAT_AR,(BZ326*CL326),0))*(1+Reference!$E$50+Reference!$E$51)</f>
        <v>#N/A</v>
      </c>
      <c r="DU326" s="67">
        <f>((BY326*CK326)+IF($W326=MAT_AR,(CA326*CM326),0))*(1+Reference!$G$50+Reference!$G$51)</f>
        <v>0</v>
      </c>
      <c r="DV326" s="67" t="e">
        <f t="shared" si="403"/>
        <v>#VALUE!</v>
      </c>
      <c r="DX326" s="56">
        <v>312</v>
      </c>
      <c r="DY326" s="67">
        <f t="shared" si="404"/>
        <v>0</v>
      </c>
      <c r="DZ326" s="45" t="e">
        <f>VLOOKUP($R326,Dropdown!$C$3:$D$4,2,FALSE)</f>
        <v>#N/A</v>
      </c>
      <c r="EA326" s="68">
        <f t="shared" si="405"/>
        <v>0</v>
      </c>
      <c r="EB326" s="68" t="str">
        <f t="shared" si="406"/>
        <v>N/A</v>
      </c>
      <c r="EC326" s="68">
        <f t="shared" si="407"/>
        <v>0</v>
      </c>
      <c r="ED326" s="68" t="str">
        <f t="shared" si="445"/>
        <v>N/A</v>
      </c>
      <c r="EF326" s="56">
        <v>312</v>
      </c>
      <c r="EG326" s="46">
        <f t="shared" si="408"/>
        <v>0</v>
      </c>
      <c r="EH326" s="68" t="e">
        <f t="shared" si="409"/>
        <v>#N/A</v>
      </c>
      <c r="EI326" s="68" t="e">
        <f t="shared" si="410"/>
        <v>#N/A</v>
      </c>
      <c r="EJ326" s="68" t="e">
        <f t="shared" si="411"/>
        <v>#N/A</v>
      </c>
      <c r="EK326" s="68" t="e">
        <f t="shared" si="412"/>
        <v>#N/A</v>
      </c>
      <c r="EL326" s="46">
        <f t="shared" si="413"/>
        <v>0</v>
      </c>
      <c r="EM326" s="46">
        <f t="shared" si="414"/>
        <v>0</v>
      </c>
    </row>
    <row r="327" spans="1:143">
      <c r="A327" s="89"/>
      <c r="B327" s="89"/>
      <c r="C327" s="89"/>
      <c r="D327" s="89"/>
      <c r="E327" s="89"/>
      <c r="F327" s="89"/>
      <c r="G327" s="34"/>
      <c r="H327" s="56">
        <f t="shared" si="415"/>
        <v>313</v>
      </c>
      <c r="I327" s="165"/>
      <c r="J327" s="163"/>
      <c r="K327" s="163"/>
      <c r="L327" s="164"/>
      <c r="M327" s="155"/>
      <c r="N327" s="155"/>
      <c r="O327" s="144"/>
      <c r="P327" s="159" t="str">
        <f>IFERROR(IF(O327&lt;&gt;"User Specified",IF(O327&lt;&gt;"", INDEX('Refrigerant GWPs'!$G$2:$G$154,MATCH(O327,'Refrigerant GWPs'!$A$2:$A$154,0)),""),U327),0)</f>
        <v/>
      </c>
      <c r="Q327" s="155"/>
      <c r="R327" s="155"/>
      <c r="S327" s="144"/>
      <c r="T327" s="159" t="str">
        <f>IF(S327&lt;&gt;"User Specified",IF(AND(S327&lt;&gt;"User Specified",S327&lt;&gt;""), INDEX('Refrigerant GWPs'!$G$2:$G$154,MATCH(S327,'Refrigerant GWPs'!$A$2:$A$154,0)),""),V327)</f>
        <v/>
      </c>
      <c r="U327" s="144"/>
      <c r="V327" s="144"/>
      <c r="W327" s="155"/>
      <c r="X327" s="155"/>
      <c r="Y327" s="144"/>
      <c r="Z327" s="159" t="str">
        <f>IF(AND(Y327&lt;&gt;"User Specified",Y327&lt;&gt;""), INDEX('Refrigerant GWPs'!$G$2:$G$154,MATCH(Y327,'Refrigerant GWPs'!$A$2:$A$154,0)),"")</f>
        <v/>
      </c>
      <c r="AA327" s="155"/>
      <c r="AB327" s="156"/>
      <c r="AC327" s="66"/>
      <c r="AD327" s="66"/>
      <c r="AE327" s="66"/>
      <c r="AF327" s="66"/>
      <c r="AG327" s="66"/>
      <c r="AH327" s="66"/>
      <c r="AI327" s="34"/>
      <c r="AJ327" s="88">
        <f t="shared" si="378"/>
        <v>0</v>
      </c>
      <c r="AK327" s="88">
        <f t="shared" si="379"/>
        <v>0</v>
      </c>
      <c r="AL327" s="88">
        <v>0</v>
      </c>
      <c r="AM327" s="88">
        <v>0</v>
      </c>
      <c r="AN327" s="81" t="str">
        <f t="shared" si="417"/>
        <v/>
      </c>
      <c r="AO327" s="88">
        <f t="shared" si="380"/>
        <v>0</v>
      </c>
      <c r="AP327" s="88">
        <f t="shared" si="381"/>
        <v>0</v>
      </c>
      <c r="AQ327" s="81" t="str">
        <f t="shared" si="382"/>
        <v/>
      </c>
      <c r="AS327" s="41" t="b">
        <f t="shared" si="383"/>
        <v>1</v>
      </c>
      <c r="AT327" s="38">
        <f t="shared" si="384"/>
        <v>0</v>
      </c>
      <c r="AU327" s="60">
        <f t="shared" si="385"/>
        <v>0</v>
      </c>
      <c r="AV327" s="41">
        <f t="shared" si="386"/>
        <v>0</v>
      </c>
      <c r="AW327" s="41" t="b">
        <f t="shared" si="387"/>
        <v>0</v>
      </c>
      <c r="AX327" t="str">
        <f t="shared" si="388"/>
        <v>+00</v>
      </c>
      <c r="AY327" t="str">
        <f t="shared" si="389"/>
        <v>+00</v>
      </c>
      <c r="BA327" s="47" t="b">
        <f t="shared" si="418"/>
        <v>1</v>
      </c>
      <c r="BB327" s="42" t="b">
        <f t="shared" si="419"/>
        <v>1</v>
      </c>
      <c r="BC327" s="42" t="b">
        <f t="shared" si="420"/>
        <v>0</v>
      </c>
      <c r="BD327" s="42" t="b">
        <f t="shared" si="421"/>
        <v>0</v>
      </c>
      <c r="BE327" s="70">
        <f t="shared" si="422"/>
        <v>0</v>
      </c>
      <c r="BF327" s="70">
        <f t="shared" si="423"/>
        <v>0</v>
      </c>
      <c r="BG327" s="34"/>
      <c r="BI327" s="47" t="b">
        <f t="shared" si="424"/>
        <v>1</v>
      </c>
      <c r="BJ327" s="47" t="b">
        <f t="shared" si="425"/>
        <v>1</v>
      </c>
      <c r="BK327" s="42" t="b">
        <f t="shared" si="426"/>
        <v>0</v>
      </c>
      <c r="BL327" s="42" t="b">
        <f t="shared" si="427"/>
        <v>0</v>
      </c>
      <c r="BM327" s="42">
        <f t="shared" si="428"/>
        <v>0</v>
      </c>
      <c r="BN327" s="42">
        <f t="shared" si="429"/>
        <v>0</v>
      </c>
      <c r="BP327" t="e">
        <f t="shared" si="430"/>
        <v>#N/A</v>
      </c>
      <c r="BQ327" t="e">
        <f t="shared" si="431"/>
        <v>#N/A</v>
      </c>
      <c r="BR327" t="e">
        <f t="shared" si="432"/>
        <v>#N/A</v>
      </c>
      <c r="BT327" s="60">
        <f t="shared" si="433"/>
        <v>0</v>
      </c>
      <c r="BU327" s="60">
        <f t="shared" si="434"/>
        <v>0</v>
      </c>
      <c r="BV327" s="60">
        <f t="shared" si="435"/>
        <v>0</v>
      </c>
      <c r="BW327" s="60">
        <f t="shared" si="436"/>
        <v>0</v>
      </c>
      <c r="BX327" s="60">
        <f t="shared" si="437"/>
        <v>0</v>
      </c>
      <c r="BY327" s="60">
        <f t="shared" si="438"/>
        <v>0</v>
      </c>
      <c r="BZ327" s="60">
        <f t="shared" si="439"/>
        <v>0</v>
      </c>
      <c r="CA327" s="60">
        <f t="shared" si="440"/>
        <v>0</v>
      </c>
      <c r="CB327" s="60" t="e">
        <f t="shared" si="390"/>
        <v>#N/A</v>
      </c>
      <c r="CC327" s="60">
        <f t="shared" si="391"/>
        <v>100000</v>
      </c>
      <c r="CD327" s="60" t="e">
        <f t="shared" si="392"/>
        <v>#N/A</v>
      </c>
      <c r="CE327" s="60">
        <f t="shared" si="393"/>
        <v>100000</v>
      </c>
      <c r="CF327" s="83" t="e">
        <f t="shared" si="441"/>
        <v>#N/A</v>
      </c>
      <c r="CG327" s="83">
        <f t="shared" si="442"/>
        <v>0</v>
      </c>
      <c r="CH327" s="83" t="e">
        <f t="shared" si="443"/>
        <v>#N/A</v>
      </c>
      <c r="CI327" s="83">
        <f t="shared" si="444"/>
        <v>0</v>
      </c>
      <c r="CJ327" s="86" t="e">
        <f t="shared" si="394"/>
        <v>#N/A</v>
      </c>
      <c r="CK327" s="82">
        <f t="shared" si="395"/>
        <v>5.3070370403969858E-3</v>
      </c>
      <c r="CL327" s="82" t="e">
        <f t="shared" si="396"/>
        <v>#N/A</v>
      </c>
      <c r="CM327" s="82">
        <f t="shared" si="397"/>
        <v>5.3070370403969858E-3</v>
      </c>
      <c r="CO327" s="149" t="str">
        <f>IF($I327&lt;&gt;"",IF(O327="User Specified",U327,INDEX('Refrigerant GWPs'!$G$2:$G$156,MATCH(O327,'Refrigerant GWPs'!$A$2:$A$156,0))),"")</f>
        <v/>
      </c>
      <c r="CP327" s="138" t="str">
        <f>IF($I327&lt;&gt;"",INDEX('Device Refrigerant Leakage'!$E$2:$E$42,MATCH($M327,'Device Refrigerant Leakage'!$B$2:$B$42,0)),"")</f>
        <v/>
      </c>
      <c r="CQ327" s="138" t="str">
        <f>IF($I327&lt;&gt;"",INDEX('Device Refrigerant Leakage'!$F$2:$F$42,MATCH($M327,'Device Refrigerant Leakage'!$B$2:$B$42,0)),"")</f>
        <v/>
      </c>
      <c r="CR327" s="145" t="str">
        <f>IF($I327&lt;&gt;"",INDEX('Device Refrigerant Leakage'!$G$2:$G$42,MATCH($M327,'Device Refrigerant Leakage'!$B$2:$B$42,0)),"")</f>
        <v/>
      </c>
      <c r="CS327" s="145" t="str">
        <f>IF($I327&lt;&gt;"",INDEX('Device Refrigerant Leakage'!$D$2:$D$42,MATCH($M327,'Device Refrigerant Leakage'!$B$2:$B$42,0))*CP327/2204.62*CO327,"")</f>
        <v/>
      </c>
      <c r="CT327" s="145" t="str">
        <f>IF($I327&lt;&gt;"",J327*(INDEX('Device Refrigerant Leakage'!$D$2:$D$42,MATCH($M327,'Device Refrigerant Leakage'!$B$2:$B$42,0))-(INDEX('Device Refrigerant Leakage'!$D$2:$D$42,MATCH($M327,'Device Refrigerant Leakage'!$B$2:$B$42,0)))*CR327*CP327)*CQ327/2204.62*CO327,"")</f>
        <v/>
      </c>
      <c r="CU327" s="135" t="str">
        <f>IF($I327&lt;&gt;"",J327*IF(W327&lt;&gt;"AR",(CS327*K327)+CT327,(CS327*AB327)+CT327*(AB327/INDEX('Device Refrigerant Leakage'!$C$2:$C$42,MATCH($M327,'Device Refrigerant Leakage'!$B$2:$B$42,0)))),"")</f>
        <v/>
      </c>
      <c r="CW327" s="135" t="str">
        <f>IF($I327&lt;&gt;"",IF(S327="User Specified",V327,INDEX('Refrigerant GWPs'!$G$2:$G$156,MATCH(S327,'Refrigerant GWPs'!$A$2:$A$157,0))),"")</f>
        <v/>
      </c>
      <c r="CX327" s="138" t="str">
        <f>IF($I327&lt;&gt;"",INDEX('Device Refrigerant Leakage'!$E$2:$E$42,MATCH($Q327,'Device Refrigerant Leakage'!$B$2:$B$42,0)),"")</f>
        <v/>
      </c>
      <c r="CY327" s="138" t="str">
        <f>IF($I327&lt;&gt;"",INDEX('Device Refrigerant Leakage'!$F$2:$F$42,MATCH($Q327,'Device Refrigerant Leakage'!$B$2:$B$42,0)),"")</f>
        <v/>
      </c>
      <c r="CZ327" s="145" t="str">
        <f>IF($I327&lt;&gt;"",INDEX('Device Refrigerant Leakage'!$G$2:$G$42,MATCH($Q327,'Device Refrigerant Leakage'!$B$2:$B$42,0)),"")</f>
        <v/>
      </c>
      <c r="DA327" s="145" t="str">
        <f>IF($I327&lt;&gt;"",J327*INDEX('Device Refrigerant Leakage'!$D$2:$D$42,MATCH($Q327,'Device Refrigerant Leakage'!$B$2:$B$42,0))*CX327/2204.62*CW327,"")</f>
        <v/>
      </c>
      <c r="DB327" s="145" t="str">
        <f>IF($I327&lt;&gt;"",J327*(INDEX('Device Refrigerant Leakage'!$D$2:$D$42,MATCH($Q327,'Device Refrigerant Leakage'!$B$2:$B$42,0))-(INDEX('Device Refrigerant Leakage'!$D$2:$D$42,MATCH($Q327,'Device Refrigerant Leakage'!$B$2:$B$42,0)))*CZ327*CX327)*CY327/2204.62*CW327,"")</f>
        <v/>
      </c>
      <c r="DC327" s="135" t="str">
        <f t="shared" si="416"/>
        <v/>
      </c>
      <c r="DE327" s="146" t="str">
        <f>IF(W327&lt;&gt;"AR","",IF(Y327="User Specified", AA327, INDEX('Refrigerant GWPs'!$G$2:$G$154,MATCH(Y327,'Refrigerant GWPs'!$A$2:$A$154,0))))</f>
        <v/>
      </c>
      <c r="DF327" s="146" t="str">
        <f>IF(W327&lt;&gt;"AR","",INDEX('Device Refrigerant Leakage'!$E$2:$E$42,MATCH(X327,'Device Refrigerant Leakage'!$B$2:$B$42,0)))</f>
        <v/>
      </c>
      <c r="DG327" s="146" t="str">
        <f>IF(W327&lt;&gt;"AR","",INDEX('Device Refrigerant Leakage'!$F$2:$F$42,MATCH(X327,'Device Refrigerant Leakage'!$B$2:$B$42,0)))</f>
        <v/>
      </c>
      <c r="DH327" s="146" t="str">
        <f>IF(W327&lt;&gt;"AR","",INDEX('Device Refrigerant Leakage'!$G$2:$G$42,MATCH(X327,'Device Refrigerant Leakage'!$B$2:$B$42,0)))</f>
        <v/>
      </c>
      <c r="DI327" s="146" t="str">
        <f>IF(W327&lt;&gt;"AR","",J327*INDEX('Device Refrigerant Leakage'!$D$2:$D$42,MATCH(X327,'Device Refrigerant Leakage'!$B$2:$B$42,0))*DF327/2204.62*DE327)</f>
        <v/>
      </c>
      <c r="DJ327" s="146" t="str">
        <f>IF(W327&lt;&gt;"AR","",J327*(INDEX('Device Refrigerant Leakage'!$D$2:$D$42,MATCH(X327,'Device Refrigerant Leakage'!$B$2:$B$42,0))-(INDEX('Device Refrigerant Leakage'!$D$2:$D$42,MATCH(X327,'Device Refrigerant Leakage'!$B$2:$B$42,0)))*DH327*DF327)*DG327/2204.62*DE327)</f>
        <v/>
      </c>
      <c r="DK327" s="146" t="str">
        <f>IF(W327&lt;&gt;"AR","",DI327*(K327-AB327)+'Fuel Sub Calcs-Deemed'!DJ327*((K327-AB327)/INDEX('Device Refrigerant Leakage'!$C$2:$C$42,MATCH('Fuel Sub Calcs-Deemed'!X327,'Device Refrigerant Leakage'!$B$2:$B$42,0))))</f>
        <v/>
      </c>
      <c r="DM327" s="56">
        <v>313</v>
      </c>
      <c r="DN327" s="67" t="e">
        <f t="shared" si="398"/>
        <v>#N/A</v>
      </c>
      <c r="DO327" s="45" t="e">
        <f t="shared" si="399"/>
        <v>#N/A</v>
      </c>
      <c r="DP327" s="67" t="e">
        <f t="shared" si="400"/>
        <v>#N/A</v>
      </c>
      <c r="DQ327" s="45" t="e">
        <f t="shared" si="401"/>
        <v>#N/A</v>
      </c>
      <c r="DR327" s="69" t="e">
        <f t="shared" si="402"/>
        <v>#N/A</v>
      </c>
      <c r="DS327" s="34"/>
      <c r="DT327" s="67" t="e">
        <f>((BX327*CJ327)+IF($W327=MAT_AR,(BZ327*CL327),0))*(1+Reference!$E$50+Reference!$E$51)</f>
        <v>#N/A</v>
      </c>
      <c r="DU327" s="67">
        <f>((BY327*CK327)+IF($W327=MAT_AR,(CA327*CM327),0))*(1+Reference!$G$50+Reference!$G$51)</f>
        <v>0</v>
      </c>
      <c r="DV327" s="67" t="e">
        <f t="shared" si="403"/>
        <v>#VALUE!</v>
      </c>
      <c r="DX327" s="56">
        <v>313</v>
      </c>
      <c r="DY327" s="67">
        <f t="shared" si="404"/>
        <v>0</v>
      </c>
      <c r="DZ327" s="45" t="e">
        <f>VLOOKUP($R327,Dropdown!$C$3:$D$4,2,FALSE)</f>
        <v>#N/A</v>
      </c>
      <c r="EA327" s="68">
        <f t="shared" si="405"/>
        <v>0</v>
      </c>
      <c r="EB327" s="68" t="str">
        <f t="shared" si="406"/>
        <v>N/A</v>
      </c>
      <c r="EC327" s="68">
        <f t="shared" si="407"/>
        <v>0</v>
      </c>
      <c r="ED327" s="68" t="str">
        <f t="shared" si="445"/>
        <v>N/A</v>
      </c>
      <c r="EF327" s="56">
        <v>313</v>
      </c>
      <c r="EG327" s="46">
        <f t="shared" si="408"/>
        <v>0</v>
      </c>
      <c r="EH327" s="68" t="e">
        <f t="shared" si="409"/>
        <v>#N/A</v>
      </c>
      <c r="EI327" s="68" t="e">
        <f t="shared" si="410"/>
        <v>#N/A</v>
      </c>
      <c r="EJ327" s="68" t="e">
        <f t="shared" si="411"/>
        <v>#N/A</v>
      </c>
      <c r="EK327" s="68" t="e">
        <f t="shared" si="412"/>
        <v>#N/A</v>
      </c>
      <c r="EL327" s="46">
        <f t="shared" si="413"/>
        <v>0</v>
      </c>
      <c r="EM327" s="46">
        <f t="shared" si="414"/>
        <v>0</v>
      </c>
    </row>
    <row r="328" spans="1:143">
      <c r="A328" s="89"/>
      <c r="B328" s="89"/>
      <c r="C328" s="89"/>
      <c r="D328" s="89"/>
      <c r="E328" s="89"/>
      <c r="F328" s="89"/>
      <c r="G328" s="34"/>
      <c r="H328" s="56">
        <f t="shared" si="415"/>
        <v>314</v>
      </c>
      <c r="I328" s="165"/>
      <c r="J328" s="163"/>
      <c r="K328" s="163"/>
      <c r="L328" s="164"/>
      <c r="M328" s="155"/>
      <c r="N328" s="155"/>
      <c r="O328" s="144"/>
      <c r="P328" s="159" t="str">
        <f>IFERROR(IF(O328&lt;&gt;"User Specified",IF(O328&lt;&gt;"", INDEX('Refrigerant GWPs'!$G$2:$G$154,MATCH(O328,'Refrigerant GWPs'!$A$2:$A$154,0)),""),U328),0)</f>
        <v/>
      </c>
      <c r="Q328" s="155"/>
      <c r="R328" s="155"/>
      <c r="S328" s="144"/>
      <c r="T328" s="159" t="str">
        <f>IF(S328&lt;&gt;"User Specified",IF(AND(S328&lt;&gt;"User Specified",S328&lt;&gt;""), INDEX('Refrigerant GWPs'!$G$2:$G$154,MATCH(S328,'Refrigerant GWPs'!$A$2:$A$154,0)),""),V328)</f>
        <v/>
      </c>
      <c r="U328" s="144"/>
      <c r="V328" s="144"/>
      <c r="W328" s="155"/>
      <c r="X328" s="155"/>
      <c r="Y328" s="144"/>
      <c r="Z328" s="159" t="str">
        <f>IF(AND(Y328&lt;&gt;"User Specified",Y328&lt;&gt;""), INDEX('Refrigerant GWPs'!$G$2:$G$154,MATCH(Y328,'Refrigerant GWPs'!$A$2:$A$154,0)),"")</f>
        <v/>
      </c>
      <c r="AA328" s="155"/>
      <c r="AB328" s="156"/>
      <c r="AC328" s="66"/>
      <c r="AD328" s="66"/>
      <c r="AE328" s="66"/>
      <c r="AF328" s="66"/>
      <c r="AG328" s="66"/>
      <c r="AH328" s="66"/>
      <c r="AI328" s="34"/>
      <c r="AJ328" s="88">
        <f t="shared" si="378"/>
        <v>0</v>
      </c>
      <c r="AK328" s="88">
        <f t="shared" si="379"/>
        <v>0</v>
      </c>
      <c r="AL328" s="88">
        <v>0</v>
      </c>
      <c r="AM328" s="88">
        <v>0</v>
      </c>
      <c r="AN328" s="81" t="str">
        <f t="shared" si="417"/>
        <v/>
      </c>
      <c r="AO328" s="88">
        <f t="shared" si="380"/>
        <v>0</v>
      </c>
      <c r="AP328" s="88">
        <f t="shared" si="381"/>
        <v>0</v>
      </c>
      <c r="AQ328" s="81" t="str">
        <f t="shared" si="382"/>
        <v/>
      </c>
      <c r="AS328" s="41" t="b">
        <f t="shared" si="383"/>
        <v>1</v>
      </c>
      <c r="AT328" s="38">
        <f t="shared" si="384"/>
        <v>0</v>
      </c>
      <c r="AU328" s="60">
        <f t="shared" si="385"/>
        <v>0</v>
      </c>
      <c r="AV328" s="41">
        <f t="shared" si="386"/>
        <v>0</v>
      </c>
      <c r="AW328" s="41" t="b">
        <f t="shared" si="387"/>
        <v>0</v>
      </c>
      <c r="AX328" t="str">
        <f t="shared" si="388"/>
        <v>+00</v>
      </c>
      <c r="AY328" t="str">
        <f t="shared" si="389"/>
        <v>+00</v>
      </c>
      <c r="BA328" s="47" t="b">
        <f t="shared" si="418"/>
        <v>1</v>
      </c>
      <c r="BB328" s="42" t="b">
        <f t="shared" si="419"/>
        <v>1</v>
      </c>
      <c r="BC328" s="42" t="b">
        <f t="shared" si="420"/>
        <v>0</v>
      </c>
      <c r="BD328" s="42" t="b">
        <f t="shared" si="421"/>
        <v>0</v>
      </c>
      <c r="BE328" s="70">
        <f t="shared" si="422"/>
        <v>0</v>
      </c>
      <c r="BF328" s="70">
        <f t="shared" si="423"/>
        <v>0</v>
      </c>
      <c r="BG328" s="34"/>
      <c r="BI328" s="47" t="b">
        <f t="shared" si="424"/>
        <v>1</v>
      </c>
      <c r="BJ328" s="47" t="b">
        <f t="shared" si="425"/>
        <v>1</v>
      </c>
      <c r="BK328" s="42" t="b">
        <f t="shared" si="426"/>
        <v>0</v>
      </c>
      <c r="BL328" s="42" t="b">
        <f t="shared" si="427"/>
        <v>0</v>
      </c>
      <c r="BM328" s="42">
        <f t="shared" si="428"/>
        <v>0</v>
      </c>
      <c r="BN328" s="42">
        <f t="shared" si="429"/>
        <v>0</v>
      </c>
      <c r="BP328" t="e">
        <f t="shared" si="430"/>
        <v>#N/A</v>
      </c>
      <c r="BQ328" t="e">
        <f t="shared" si="431"/>
        <v>#N/A</v>
      </c>
      <c r="BR328" t="e">
        <f t="shared" si="432"/>
        <v>#N/A</v>
      </c>
      <c r="BT328" s="60">
        <f t="shared" si="433"/>
        <v>0</v>
      </c>
      <c r="BU328" s="60">
        <f t="shared" si="434"/>
        <v>0</v>
      </c>
      <c r="BV328" s="60">
        <f t="shared" si="435"/>
        <v>0</v>
      </c>
      <c r="BW328" s="60">
        <f t="shared" si="436"/>
        <v>0</v>
      </c>
      <c r="BX328" s="60">
        <f t="shared" si="437"/>
        <v>0</v>
      </c>
      <c r="BY328" s="60">
        <f t="shared" si="438"/>
        <v>0</v>
      </c>
      <c r="BZ328" s="60">
        <f t="shared" si="439"/>
        <v>0</v>
      </c>
      <c r="CA328" s="60">
        <f t="shared" si="440"/>
        <v>0</v>
      </c>
      <c r="CB328" s="60" t="e">
        <f t="shared" si="390"/>
        <v>#N/A</v>
      </c>
      <c r="CC328" s="60">
        <f t="shared" si="391"/>
        <v>100000</v>
      </c>
      <c r="CD328" s="60" t="e">
        <f t="shared" si="392"/>
        <v>#N/A</v>
      </c>
      <c r="CE328" s="60">
        <f t="shared" si="393"/>
        <v>100000</v>
      </c>
      <c r="CF328" s="83" t="e">
        <f t="shared" si="441"/>
        <v>#N/A</v>
      </c>
      <c r="CG328" s="83">
        <f t="shared" si="442"/>
        <v>0</v>
      </c>
      <c r="CH328" s="83" t="e">
        <f t="shared" si="443"/>
        <v>#N/A</v>
      </c>
      <c r="CI328" s="83">
        <f t="shared" si="444"/>
        <v>0</v>
      </c>
      <c r="CJ328" s="86" t="e">
        <f t="shared" si="394"/>
        <v>#N/A</v>
      </c>
      <c r="CK328" s="82">
        <f t="shared" si="395"/>
        <v>5.3070370403969858E-3</v>
      </c>
      <c r="CL328" s="82" t="e">
        <f t="shared" si="396"/>
        <v>#N/A</v>
      </c>
      <c r="CM328" s="82">
        <f t="shared" si="397"/>
        <v>5.3070370403969858E-3</v>
      </c>
      <c r="CO328" s="149" t="str">
        <f>IF($I328&lt;&gt;"",IF(O328="User Specified",U328,INDEX('Refrigerant GWPs'!$G$2:$G$156,MATCH(O328,'Refrigerant GWPs'!$A$2:$A$156,0))),"")</f>
        <v/>
      </c>
      <c r="CP328" s="138" t="str">
        <f>IF($I328&lt;&gt;"",INDEX('Device Refrigerant Leakage'!$E$2:$E$42,MATCH($M328,'Device Refrigerant Leakage'!$B$2:$B$42,0)),"")</f>
        <v/>
      </c>
      <c r="CQ328" s="138" t="str">
        <f>IF($I328&lt;&gt;"",INDEX('Device Refrigerant Leakage'!$F$2:$F$42,MATCH($M328,'Device Refrigerant Leakage'!$B$2:$B$42,0)),"")</f>
        <v/>
      </c>
      <c r="CR328" s="145" t="str">
        <f>IF($I328&lt;&gt;"",INDEX('Device Refrigerant Leakage'!$G$2:$G$42,MATCH($M328,'Device Refrigerant Leakage'!$B$2:$B$42,0)),"")</f>
        <v/>
      </c>
      <c r="CS328" s="145" t="str">
        <f>IF($I328&lt;&gt;"",INDEX('Device Refrigerant Leakage'!$D$2:$D$42,MATCH($M328,'Device Refrigerant Leakage'!$B$2:$B$42,0))*CP328/2204.62*CO328,"")</f>
        <v/>
      </c>
      <c r="CT328" s="145" t="str">
        <f>IF($I328&lt;&gt;"",J328*(INDEX('Device Refrigerant Leakage'!$D$2:$D$42,MATCH($M328,'Device Refrigerant Leakage'!$B$2:$B$42,0))-(INDEX('Device Refrigerant Leakage'!$D$2:$D$42,MATCH($M328,'Device Refrigerant Leakage'!$B$2:$B$42,0)))*CR328*CP328)*CQ328/2204.62*CO328,"")</f>
        <v/>
      </c>
      <c r="CU328" s="135" t="str">
        <f>IF($I328&lt;&gt;"",J328*IF(W328&lt;&gt;"AR",(CS328*K328)+CT328,(CS328*AB328)+CT328*(AB328/INDEX('Device Refrigerant Leakage'!$C$2:$C$42,MATCH($M328,'Device Refrigerant Leakage'!$B$2:$B$42,0)))),"")</f>
        <v/>
      </c>
      <c r="CW328" s="135" t="str">
        <f>IF($I328&lt;&gt;"",IF(S328="User Specified",V328,INDEX('Refrigerant GWPs'!$G$2:$G$156,MATCH(S328,'Refrigerant GWPs'!$A$2:$A$157,0))),"")</f>
        <v/>
      </c>
      <c r="CX328" s="138" t="str">
        <f>IF($I328&lt;&gt;"",INDEX('Device Refrigerant Leakage'!$E$2:$E$42,MATCH($Q328,'Device Refrigerant Leakage'!$B$2:$B$42,0)),"")</f>
        <v/>
      </c>
      <c r="CY328" s="138" t="str">
        <f>IF($I328&lt;&gt;"",INDEX('Device Refrigerant Leakage'!$F$2:$F$42,MATCH($Q328,'Device Refrigerant Leakage'!$B$2:$B$42,0)),"")</f>
        <v/>
      </c>
      <c r="CZ328" s="145" t="str">
        <f>IF($I328&lt;&gt;"",INDEX('Device Refrigerant Leakage'!$G$2:$G$42,MATCH($Q328,'Device Refrigerant Leakage'!$B$2:$B$42,0)),"")</f>
        <v/>
      </c>
      <c r="DA328" s="145" t="str">
        <f>IF($I328&lt;&gt;"",J328*INDEX('Device Refrigerant Leakage'!$D$2:$D$42,MATCH($Q328,'Device Refrigerant Leakage'!$B$2:$B$42,0))*CX328/2204.62*CW328,"")</f>
        <v/>
      </c>
      <c r="DB328" s="145" t="str">
        <f>IF($I328&lt;&gt;"",J328*(INDEX('Device Refrigerant Leakage'!$D$2:$D$42,MATCH($Q328,'Device Refrigerant Leakage'!$B$2:$B$42,0))-(INDEX('Device Refrigerant Leakage'!$D$2:$D$42,MATCH($Q328,'Device Refrigerant Leakage'!$B$2:$B$42,0)))*CZ328*CX328)*CY328/2204.62*CW328,"")</f>
        <v/>
      </c>
      <c r="DC328" s="135" t="str">
        <f t="shared" si="416"/>
        <v/>
      </c>
      <c r="DE328" s="146" t="str">
        <f>IF(W328&lt;&gt;"AR","",IF(Y328="User Specified", AA328, INDEX('Refrigerant GWPs'!$G$2:$G$154,MATCH(Y328,'Refrigerant GWPs'!$A$2:$A$154,0))))</f>
        <v/>
      </c>
      <c r="DF328" s="146" t="str">
        <f>IF(W328&lt;&gt;"AR","",INDEX('Device Refrigerant Leakage'!$E$2:$E$42,MATCH(X328,'Device Refrigerant Leakage'!$B$2:$B$42,0)))</f>
        <v/>
      </c>
      <c r="DG328" s="146" t="str">
        <f>IF(W328&lt;&gt;"AR","",INDEX('Device Refrigerant Leakage'!$F$2:$F$42,MATCH(X328,'Device Refrigerant Leakage'!$B$2:$B$42,0)))</f>
        <v/>
      </c>
      <c r="DH328" s="146" t="str">
        <f>IF(W328&lt;&gt;"AR","",INDEX('Device Refrigerant Leakage'!$G$2:$G$42,MATCH(X328,'Device Refrigerant Leakage'!$B$2:$B$42,0)))</f>
        <v/>
      </c>
      <c r="DI328" s="146" t="str">
        <f>IF(W328&lt;&gt;"AR","",J328*INDEX('Device Refrigerant Leakage'!$D$2:$D$42,MATCH(X328,'Device Refrigerant Leakage'!$B$2:$B$42,0))*DF328/2204.62*DE328)</f>
        <v/>
      </c>
      <c r="DJ328" s="146" t="str">
        <f>IF(W328&lt;&gt;"AR","",J328*(INDEX('Device Refrigerant Leakage'!$D$2:$D$42,MATCH(X328,'Device Refrigerant Leakage'!$B$2:$B$42,0))-(INDEX('Device Refrigerant Leakage'!$D$2:$D$42,MATCH(X328,'Device Refrigerant Leakage'!$B$2:$B$42,0)))*DH328*DF328)*DG328/2204.62*DE328)</f>
        <v/>
      </c>
      <c r="DK328" s="146" t="str">
        <f>IF(W328&lt;&gt;"AR","",DI328*(K328-AB328)+'Fuel Sub Calcs-Deemed'!DJ328*((K328-AB328)/INDEX('Device Refrigerant Leakage'!$C$2:$C$42,MATCH('Fuel Sub Calcs-Deemed'!X328,'Device Refrigerant Leakage'!$B$2:$B$42,0))))</f>
        <v/>
      </c>
      <c r="DM328" s="56">
        <v>314</v>
      </c>
      <c r="DN328" s="67" t="e">
        <f t="shared" si="398"/>
        <v>#N/A</v>
      </c>
      <c r="DO328" s="45" t="e">
        <f t="shared" si="399"/>
        <v>#N/A</v>
      </c>
      <c r="DP328" s="67" t="e">
        <f t="shared" si="400"/>
        <v>#N/A</v>
      </c>
      <c r="DQ328" s="45" t="e">
        <f t="shared" si="401"/>
        <v>#N/A</v>
      </c>
      <c r="DR328" s="69" t="e">
        <f t="shared" si="402"/>
        <v>#N/A</v>
      </c>
      <c r="DS328" s="34"/>
      <c r="DT328" s="67" t="e">
        <f>((BX328*CJ328)+IF($W328=MAT_AR,(BZ328*CL328),0))*(1+Reference!$E$50+Reference!$E$51)</f>
        <v>#N/A</v>
      </c>
      <c r="DU328" s="67">
        <f>((BY328*CK328)+IF($W328=MAT_AR,(CA328*CM328),0))*(1+Reference!$G$50+Reference!$G$51)</f>
        <v>0</v>
      </c>
      <c r="DV328" s="67" t="e">
        <f t="shared" si="403"/>
        <v>#VALUE!</v>
      </c>
      <c r="DX328" s="56">
        <v>314</v>
      </c>
      <c r="DY328" s="67">
        <f t="shared" si="404"/>
        <v>0</v>
      </c>
      <c r="DZ328" s="45" t="e">
        <f>VLOOKUP($R328,Dropdown!$C$3:$D$4,2,FALSE)</f>
        <v>#N/A</v>
      </c>
      <c r="EA328" s="68">
        <f t="shared" si="405"/>
        <v>0</v>
      </c>
      <c r="EB328" s="68" t="str">
        <f t="shared" si="406"/>
        <v>N/A</v>
      </c>
      <c r="EC328" s="68">
        <f t="shared" si="407"/>
        <v>0</v>
      </c>
      <c r="ED328" s="68" t="str">
        <f t="shared" si="445"/>
        <v>N/A</v>
      </c>
      <c r="EF328" s="56">
        <v>314</v>
      </c>
      <c r="EG328" s="46">
        <f t="shared" si="408"/>
        <v>0</v>
      </c>
      <c r="EH328" s="68" t="e">
        <f t="shared" si="409"/>
        <v>#N/A</v>
      </c>
      <c r="EI328" s="68" t="e">
        <f t="shared" si="410"/>
        <v>#N/A</v>
      </c>
      <c r="EJ328" s="68" t="e">
        <f t="shared" si="411"/>
        <v>#N/A</v>
      </c>
      <c r="EK328" s="68" t="e">
        <f t="shared" si="412"/>
        <v>#N/A</v>
      </c>
      <c r="EL328" s="46">
        <f t="shared" si="413"/>
        <v>0</v>
      </c>
      <c r="EM328" s="46">
        <f t="shared" si="414"/>
        <v>0</v>
      </c>
    </row>
    <row r="329" spans="1:143">
      <c r="A329" s="89"/>
      <c r="B329" s="89"/>
      <c r="C329" s="89"/>
      <c r="D329" s="89"/>
      <c r="E329" s="89"/>
      <c r="F329" s="89"/>
      <c r="G329" s="34"/>
      <c r="H329" s="56">
        <f t="shared" si="415"/>
        <v>315</v>
      </c>
      <c r="I329" s="165"/>
      <c r="J329" s="163"/>
      <c r="K329" s="163"/>
      <c r="L329" s="164"/>
      <c r="M329" s="155"/>
      <c r="N329" s="155"/>
      <c r="O329" s="144"/>
      <c r="P329" s="159" t="str">
        <f>IFERROR(IF(O329&lt;&gt;"User Specified",IF(O329&lt;&gt;"", INDEX('Refrigerant GWPs'!$G$2:$G$154,MATCH(O329,'Refrigerant GWPs'!$A$2:$A$154,0)),""),U329),0)</f>
        <v/>
      </c>
      <c r="Q329" s="155"/>
      <c r="R329" s="155"/>
      <c r="S329" s="144"/>
      <c r="T329" s="159" t="str">
        <f>IF(S329&lt;&gt;"User Specified",IF(AND(S329&lt;&gt;"User Specified",S329&lt;&gt;""), INDEX('Refrigerant GWPs'!$G$2:$G$154,MATCH(S329,'Refrigerant GWPs'!$A$2:$A$154,0)),""),V329)</f>
        <v/>
      </c>
      <c r="U329" s="144"/>
      <c r="V329" s="144"/>
      <c r="W329" s="155"/>
      <c r="X329" s="155"/>
      <c r="Y329" s="144"/>
      <c r="Z329" s="159" t="str">
        <f>IF(AND(Y329&lt;&gt;"User Specified",Y329&lt;&gt;""), INDEX('Refrigerant GWPs'!$G$2:$G$154,MATCH(Y329,'Refrigerant GWPs'!$A$2:$A$154,0)),"")</f>
        <v/>
      </c>
      <c r="AA329" s="155"/>
      <c r="AB329" s="156"/>
      <c r="AC329" s="66"/>
      <c r="AD329" s="66"/>
      <c r="AE329" s="66"/>
      <c r="AF329" s="66"/>
      <c r="AG329" s="66"/>
      <c r="AH329" s="66"/>
      <c r="AI329" s="34"/>
      <c r="AJ329" s="88">
        <f t="shared" si="378"/>
        <v>0</v>
      </c>
      <c r="AK329" s="88">
        <f t="shared" si="379"/>
        <v>0</v>
      </c>
      <c r="AL329" s="88">
        <v>0</v>
      </c>
      <c r="AM329" s="88">
        <v>0</v>
      </c>
      <c r="AN329" s="81" t="str">
        <f t="shared" si="417"/>
        <v/>
      </c>
      <c r="AO329" s="88">
        <f t="shared" si="380"/>
        <v>0</v>
      </c>
      <c r="AP329" s="88">
        <f t="shared" si="381"/>
        <v>0</v>
      </c>
      <c r="AQ329" s="81" t="str">
        <f t="shared" si="382"/>
        <v/>
      </c>
      <c r="AS329" s="41" t="b">
        <f t="shared" si="383"/>
        <v>1</v>
      </c>
      <c r="AT329" s="38">
        <f t="shared" si="384"/>
        <v>0</v>
      </c>
      <c r="AU329" s="60">
        <f t="shared" si="385"/>
        <v>0</v>
      </c>
      <c r="AV329" s="41">
        <f t="shared" si="386"/>
        <v>0</v>
      </c>
      <c r="AW329" s="41" t="b">
        <f t="shared" si="387"/>
        <v>0</v>
      </c>
      <c r="AX329" t="str">
        <f t="shared" si="388"/>
        <v>+00</v>
      </c>
      <c r="AY329" t="str">
        <f t="shared" si="389"/>
        <v>+00</v>
      </c>
      <c r="BA329" s="47" t="b">
        <f t="shared" si="418"/>
        <v>1</v>
      </c>
      <c r="BB329" s="42" t="b">
        <f t="shared" si="419"/>
        <v>1</v>
      </c>
      <c r="BC329" s="42" t="b">
        <f t="shared" si="420"/>
        <v>0</v>
      </c>
      <c r="BD329" s="42" t="b">
        <f t="shared" si="421"/>
        <v>0</v>
      </c>
      <c r="BE329" s="70">
        <f t="shared" si="422"/>
        <v>0</v>
      </c>
      <c r="BF329" s="70">
        <f t="shared" si="423"/>
        <v>0</v>
      </c>
      <c r="BG329" s="34"/>
      <c r="BI329" s="47" t="b">
        <f t="shared" si="424"/>
        <v>1</v>
      </c>
      <c r="BJ329" s="47" t="b">
        <f t="shared" si="425"/>
        <v>1</v>
      </c>
      <c r="BK329" s="42" t="b">
        <f t="shared" si="426"/>
        <v>0</v>
      </c>
      <c r="BL329" s="42" t="b">
        <f t="shared" si="427"/>
        <v>0</v>
      </c>
      <c r="BM329" s="42">
        <f t="shared" si="428"/>
        <v>0</v>
      </c>
      <c r="BN329" s="42">
        <f t="shared" si="429"/>
        <v>0</v>
      </c>
      <c r="BP329" t="e">
        <f t="shared" si="430"/>
        <v>#N/A</v>
      </c>
      <c r="BQ329" t="e">
        <f t="shared" si="431"/>
        <v>#N/A</v>
      </c>
      <c r="BR329" t="e">
        <f t="shared" si="432"/>
        <v>#N/A</v>
      </c>
      <c r="BT329" s="60">
        <f t="shared" si="433"/>
        <v>0</v>
      </c>
      <c r="BU329" s="60">
        <f t="shared" si="434"/>
        <v>0</v>
      </c>
      <c r="BV329" s="60">
        <f t="shared" si="435"/>
        <v>0</v>
      </c>
      <c r="BW329" s="60">
        <f t="shared" si="436"/>
        <v>0</v>
      </c>
      <c r="BX329" s="60">
        <f t="shared" si="437"/>
        <v>0</v>
      </c>
      <c r="BY329" s="60">
        <f t="shared" si="438"/>
        <v>0</v>
      </c>
      <c r="BZ329" s="60">
        <f t="shared" si="439"/>
        <v>0</v>
      </c>
      <c r="CA329" s="60">
        <f t="shared" si="440"/>
        <v>0</v>
      </c>
      <c r="CB329" s="60" t="e">
        <f t="shared" si="390"/>
        <v>#N/A</v>
      </c>
      <c r="CC329" s="60">
        <f t="shared" si="391"/>
        <v>100000</v>
      </c>
      <c r="CD329" s="60" t="e">
        <f t="shared" si="392"/>
        <v>#N/A</v>
      </c>
      <c r="CE329" s="60">
        <f t="shared" si="393"/>
        <v>100000</v>
      </c>
      <c r="CF329" s="83" t="e">
        <f t="shared" si="441"/>
        <v>#N/A</v>
      </c>
      <c r="CG329" s="83">
        <f t="shared" si="442"/>
        <v>0</v>
      </c>
      <c r="CH329" s="83" t="e">
        <f t="shared" si="443"/>
        <v>#N/A</v>
      </c>
      <c r="CI329" s="83">
        <f t="shared" si="444"/>
        <v>0</v>
      </c>
      <c r="CJ329" s="86" t="e">
        <f t="shared" si="394"/>
        <v>#N/A</v>
      </c>
      <c r="CK329" s="82">
        <f t="shared" si="395"/>
        <v>5.3070370403969858E-3</v>
      </c>
      <c r="CL329" s="82" t="e">
        <f t="shared" si="396"/>
        <v>#N/A</v>
      </c>
      <c r="CM329" s="82">
        <f t="shared" si="397"/>
        <v>5.3070370403969858E-3</v>
      </c>
      <c r="CO329" s="149" t="str">
        <f>IF($I329&lt;&gt;"",IF(O329="User Specified",U329,INDEX('Refrigerant GWPs'!$G$2:$G$156,MATCH(O329,'Refrigerant GWPs'!$A$2:$A$156,0))),"")</f>
        <v/>
      </c>
      <c r="CP329" s="138" t="str">
        <f>IF($I329&lt;&gt;"",INDEX('Device Refrigerant Leakage'!$E$2:$E$42,MATCH($M329,'Device Refrigerant Leakage'!$B$2:$B$42,0)),"")</f>
        <v/>
      </c>
      <c r="CQ329" s="138" t="str">
        <f>IF($I329&lt;&gt;"",INDEX('Device Refrigerant Leakage'!$F$2:$F$42,MATCH($M329,'Device Refrigerant Leakage'!$B$2:$B$42,0)),"")</f>
        <v/>
      </c>
      <c r="CR329" s="145" t="str">
        <f>IF($I329&lt;&gt;"",INDEX('Device Refrigerant Leakage'!$G$2:$G$42,MATCH($M329,'Device Refrigerant Leakage'!$B$2:$B$42,0)),"")</f>
        <v/>
      </c>
      <c r="CS329" s="145" t="str">
        <f>IF($I329&lt;&gt;"",INDEX('Device Refrigerant Leakage'!$D$2:$D$42,MATCH($M329,'Device Refrigerant Leakage'!$B$2:$B$42,0))*CP329/2204.62*CO329,"")</f>
        <v/>
      </c>
      <c r="CT329" s="145" t="str">
        <f>IF($I329&lt;&gt;"",J329*(INDEX('Device Refrigerant Leakage'!$D$2:$D$42,MATCH($M329,'Device Refrigerant Leakage'!$B$2:$B$42,0))-(INDEX('Device Refrigerant Leakage'!$D$2:$D$42,MATCH($M329,'Device Refrigerant Leakage'!$B$2:$B$42,0)))*CR329*CP329)*CQ329/2204.62*CO329,"")</f>
        <v/>
      </c>
      <c r="CU329" s="135" t="str">
        <f>IF($I329&lt;&gt;"",J329*IF(W329&lt;&gt;"AR",(CS329*K329)+CT329,(CS329*AB329)+CT329*(AB329/INDEX('Device Refrigerant Leakage'!$C$2:$C$42,MATCH($M329,'Device Refrigerant Leakage'!$B$2:$B$42,0)))),"")</f>
        <v/>
      </c>
      <c r="CW329" s="135" t="str">
        <f>IF($I329&lt;&gt;"",IF(S329="User Specified",V329,INDEX('Refrigerant GWPs'!$G$2:$G$156,MATCH(S329,'Refrigerant GWPs'!$A$2:$A$157,0))),"")</f>
        <v/>
      </c>
      <c r="CX329" s="138" t="str">
        <f>IF($I329&lt;&gt;"",INDEX('Device Refrigerant Leakage'!$E$2:$E$42,MATCH($Q329,'Device Refrigerant Leakage'!$B$2:$B$42,0)),"")</f>
        <v/>
      </c>
      <c r="CY329" s="138" t="str">
        <f>IF($I329&lt;&gt;"",INDEX('Device Refrigerant Leakage'!$F$2:$F$42,MATCH($Q329,'Device Refrigerant Leakage'!$B$2:$B$42,0)),"")</f>
        <v/>
      </c>
      <c r="CZ329" s="145" t="str">
        <f>IF($I329&lt;&gt;"",INDEX('Device Refrigerant Leakage'!$G$2:$G$42,MATCH($Q329,'Device Refrigerant Leakage'!$B$2:$B$42,0)),"")</f>
        <v/>
      </c>
      <c r="DA329" s="145" t="str">
        <f>IF($I329&lt;&gt;"",J329*INDEX('Device Refrigerant Leakage'!$D$2:$D$42,MATCH($Q329,'Device Refrigerant Leakage'!$B$2:$B$42,0))*CX329/2204.62*CW329,"")</f>
        <v/>
      </c>
      <c r="DB329" s="145" t="str">
        <f>IF($I329&lt;&gt;"",J329*(INDEX('Device Refrigerant Leakage'!$D$2:$D$42,MATCH($Q329,'Device Refrigerant Leakage'!$B$2:$B$42,0))-(INDEX('Device Refrigerant Leakage'!$D$2:$D$42,MATCH($Q329,'Device Refrigerant Leakage'!$B$2:$B$42,0)))*CZ329*CX329)*CY329/2204.62*CW329,"")</f>
        <v/>
      </c>
      <c r="DC329" s="135" t="str">
        <f t="shared" si="416"/>
        <v/>
      </c>
      <c r="DE329" s="146" t="str">
        <f>IF(W329&lt;&gt;"AR","",IF(Y329="User Specified", AA329, INDEX('Refrigerant GWPs'!$G$2:$G$154,MATCH(Y329,'Refrigerant GWPs'!$A$2:$A$154,0))))</f>
        <v/>
      </c>
      <c r="DF329" s="146" t="str">
        <f>IF(W329&lt;&gt;"AR","",INDEX('Device Refrigerant Leakage'!$E$2:$E$42,MATCH(X329,'Device Refrigerant Leakage'!$B$2:$B$42,0)))</f>
        <v/>
      </c>
      <c r="DG329" s="146" t="str">
        <f>IF(W329&lt;&gt;"AR","",INDEX('Device Refrigerant Leakage'!$F$2:$F$42,MATCH(X329,'Device Refrigerant Leakage'!$B$2:$B$42,0)))</f>
        <v/>
      </c>
      <c r="DH329" s="146" t="str">
        <f>IF(W329&lt;&gt;"AR","",INDEX('Device Refrigerant Leakage'!$G$2:$G$42,MATCH(X329,'Device Refrigerant Leakage'!$B$2:$B$42,0)))</f>
        <v/>
      </c>
      <c r="DI329" s="146" t="str">
        <f>IF(W329&lt;&gt;"AR","",J329*INDEX('Device Refrigerant Leakage'!$D$2:$D$42,MATCH(X329,'Device Refrigerant Leakage'!$B$2:$B$42,0))*DF329/2204.62*DE329)</f>
        <v/>
      </c>
      <c r="DJ329" s="146" t="str">
        <f>IF(W329&lt;&gt;"AR","",J329*(INDEX('Device Refrigerant Leakage'!$D$2:$D$42,MATCH(X329,'Device Refrigerant Leakage'!$B$2:$B$42,0))-(INDEX('Device Refrigerant Leakage'!$D$2:$D$42,MATCH(X329,'Device Refrigerant Leakage'!$B$2:$B$42,0)))*DH329*DF329)*DG329/2204.62*DE329)</f>
        <v/>
      </c>
      <c r="DK329" s="146" t="str">
        <f>IF(W329&lt;&gt;"AR","",DI329*(K329-AB329)+'Fuel Sub Calcs-Deemed'!DJ329*((K329-AB329)/INDEX('Device Refrigerant Leakage'!$C$2:$C$42,MATCH('Fuel Sub Calcs-Deemed'!X329,'Device Refrigerant Leakage'!$B$2:$B$42,0))))</f>
        <v/>
      </c>
      <c r="DM329" s="56">
        <v>315</v>
      </c>
      <c r="DN329" s="67" t="e">
        <f t="shared" si="398"/>
        <v>#N/A</v>
      </c>
      <c r="DO329" s="45" t="e">
        <f t="shared" si="399"/>
        <v>#N/A</v>
      </c>
      <c r="DP329" s="67" t="e">
        <f t="shared" si="400"/>
        <v>#N/A</v>
      </c>
      <c r="DQ329" s="45" t="e">
        <f t="shared" si="401"/>
        <v>#N/A</v>
      </c>
      <c r="DR329" s="69" t="e">
        <f t="shared" si="402"/>
        <v>#N/A</v>
      </c>
      <c r="DS329" s="34"/>
      <c r="DT329" s="67" t="e">
        <f>((BX329*CJ329)+IF($W329=MAT_AR,(BZ329*CL329),0))*(1+Reference!$E$50+Reference!$E$51)</f>
        <v>#N/A</v>
      </c>
      <c r="DU329" s="67">
        <f>((BY329*CK329)+IF($W329=MAT_AR,(CA329*CM329),0))*(1+Reference!$G$50+Reference!$G$51)</f>
        <v>0</v>
      </c>
      <c r="DV329" s="67" t="e">
        <f t="shared" si="403"/>
        <v>#VALUE!</v>
      </c>
      <c r="DX329" s="56">
        <v>315</v>
      </c>
      <c r="DY329" s="67">
        <f t="shared" si="404"/>
        <v>0</v>
      </c>
      <c r="DZ329" s="45" t="e">
        <f>VLOOKUP($R329,Dropdown!$C$3:$D$4,2,FALSE)</f>
        <v>#N/A</v>
      </c>
      <c r="EA329" s="68">
        <f t="shared" si="405"/>
        <v>0</v>
      </c>
      <c r="EB329" s="68" t="str">
        <f t="shared" si="406"/>
        <v>N/A</v>
      </c>
      <c r="EC329" s="68">
        <f t="shared" si="407"/>
        <v>0</v>
      </c>
      <c r="ED329" s="68" t="str">
        <f t="shared" si="445"/>
        <v>N/A</v>
      </c>
      <c r="EF329" s="56">
        <v>315</v>
      </c>
      <c r="EG329" s="46">
        <f t="shared" si="408"/>
        <v>0</v>
      </c>
      <c r="EH329" s="68" t="e">
        <f t="shared" si="409"/>
        <v>#N/A</v>
      </c>
      <c r="EI329" s="68" t="e">
        <f t="shared" si="410"/>
        <v>#N/A</v>
      </c>
      <c r="EJ329" s="68" t="e">
        <f t="shared" si="411"/>
        <v>#N/A</v>
      </c>
      <c r="EK329" s="68" t="e">
        <f t="shared" si="412"/>
        <v>#N/A</v>
      </c>
      <c r="EL329" s="46">
        <f t="shared" si="413"/>
        <v>0</v>
      </c>
      <c r="EM329" s="46">
        <f t="shared" si="414"/>
        <v>0</v>
      </c>
    </row>
    <row r="330" spans="1:143">
      <c r="A330" s="89"/>
      <c r="B330" s="89"/>
      <c r="C330" s="89"/>
      <c r="D330" s="89"/>
      <c r="E330" s="89"/>
      <c r="F330" s="89"/>
      <c r="G330" s="34"/>
      <c r="H330" s="56">
        <f t="shared" si="415"/>
        <v>316</v>
      </c>
      <c r="I330" s="165"/>
      <c r="J330" s="163"/>
      <c r="K330" s="163"/>
      <c r="L330" s="164"/>
      <c r="M330" s="155"/>
      <c r="N330" s="155"/>
      <c r="O330" s="144"/>
      <c r="P330" s="159" t="str">
        <f>IFERROR(IF(O330&lt;&gt;"User Specified",IF(O330&lt;&gt;"", INDEX('Refrigerant GWPs'!$G$2:$G$154,MATCH(O330,'Refrigerant GWPs'!$A$2:$A$154,0)),""),U330),0)</f>
        <v/>
      </c>
      <c r="Q330" s="155"/>
      <c r="R330" s="155"/>
      <c r="S330" s="144"/>
      <c r="T330" s="159" t="str">
        <f>IF(S330&lt;&gt;"User Specified",IF(AND(S330&lt;&gt;"User Specified",S330&lt;&gt;""), INDEX('Refrigerant GWPs'!$G$2:$G$154,MATCH(S330,'Refrigerant GWPs'!$A$2:$A$154,0)),""),V330)</f>
        <v/>
      </c>
      <c r="U330" s="144"/>
      <c r="V330" s="144"/>
      <c r="W330" s="155"/>
      <c r="X330" s="155"/>
      <c r="Y330" s="144"/>
      <c r="Z330" s="159" t="str">
        <f>IF(AND(Y330&lt;&gt;"User Specified",Y330&lt;&gt;""), INDEX('Refrigerant GWPs'!$G$2:$G$154,MATCH(Y330,'Refrigerant GWPs'!$A$2:$A$154,0)),"")</f>
        <v/>
      </c>
      <c r="AA330" s="155"/>
      <c r="AB330" s="156"/>
      <c r="AC330" s="66"/>
      <c r="AD330" s="66"/>
      <c r="AE330" s="66"/>
      <c r="AF330" s="66"/>
      <c r="AG330" s="66"/>
      <c r="AH330" s="66"/>
      <c r="AI330" s="34"/>
      <c r="AJ330" s="88">
        <f t="shared" si="378"/>
        <v>0</v>
      </c>
      <c r="AK330" s="88">
        <f t="shared" si="379"/>
        <v>0</v>
      </c>
      <c r="AL330" s="88">
        <v>0</v>
      </c>
      <c r="AM330" s="88">
        <v>0</v>
      </c>
      <c r="AN330" s="81" t="str">
        <f t="shared" si="417"/>
        <v/>
      </c>
      <c r="AO330" s="88">
        <f t="shared" si="380"/>
        <v>0</v>
      </c>
      <c r="AP330" s="88">
        <f t="shared" si="381"/>
        <v>0</v>
      </c>
      <c r="AQ330" s="81" t="str">
        <f t="shared" si="382"/>
        <v/>
      </c>
      <c r="AS330" s="41" t="b">
        <f t="shared" si="383"/>
        <v>1</v>
      </c>
      <c r="AT330" s="38">
        <f t="shared" si="384"/>
        <v>0</v>
      </c>
      <c r="AU330" s="60">
        <f t="shared" si="385"/>
        <v>0</v>
      </c>
      <c r="AV330" s="41">
        <f t="shared" si="386"/>
        <v>0</v>
      </c>
      <c r="AW330" s="41" t="b">
        <f t="shared" si="387"/>
        <v>0</v>
      </c>
      <c r="AX330" t="str">
        <f t="shared" si="388"/>
        <v>+00</v>
      </c>
      <c r="AY330" t="str">
        <f t="shared" si="389"/>
        <v>+00</v>
      </c>
      <c r="BA330" s="47" t="b">
        <f t="shared" si="418"/>
        <v>1</v>
      </c>
      <c r="BB330" s="42" t="b">
        <f t="shared" si="419"/>
        <v>1</v>
      </c>
      <c r="BC330" s="42" t="b">
        <f t="shared" si="420"/>
        <v>0</v>
      </c>
      <c r="BD330" s="42" t="b">
        <f t="shared" si="421"/>
        <v>0</v>
      </c>
      <c r="BE330" s="70">
        <f t="shared" si="422"/>
        <v>0</v>
      </c>
      <c r="BF330" s="70">
        <f t="shared" si="423"/>
        <v>0</v>
      </c>
      <c r="BG330" s="34"/>
      <c r="BI330" s="47" t="b">
        <f t="shared" si="424"/>
        <v>1</v>
      </c>
      <c r="BJ330" s="47" t="b">
        <f t="shared" si="425"/>
        <v>1</v>
      </c>
      <c r="BK330" s="42" t="b">
        <f t="shared" si="426"/>
        <v>0</v>
      </c>
      <c r="BL330" s="42" t="b">
        <f t="shared" si="427"/>
        <v>0</v>
      </c>
      <c r="BM330" s="42">
        <f t="shared" si="428"/>
        <v>0</v>
      </c>
      <c r="BN330" s="42">
        <f t="shared" si="429"/>
        <v>0</v>
      </c>
      <c r="BP330" t="e">
        <f t="shared" si="430"/>
        <v>#N/A</v>
      </c>
      <c r="BQ330" t="e">
        <f t="shared" si="431"/>
        <v>#N/A</v>
      </c>
      <c r="BR330" t="e">
        <f t="shared" si="432"/>
        <v>#N/A</v>
      </c>
      <c r="BT330" s="60">
        <f t="shared" si="433"/>
        <v>0</v>
      </c>
      <c r="BU330" s="60">
        <f t="shared" si="434"/>
        <v>0</v>
      </c>
      <c r="BV330" s="60">
        <f t="shared" si="435"/>
        <v>0</v>
      </c>
      <c r="BW330" s="60">
        <f t="shared" si="436"/>
        <v>0</v>
      </c>
      <c r="BX330" s="60">
        <f t="shared" si="437"/>
        <v>0</v>
      </c>
      <c r="BY330" s="60">
        <f t="shared" si="438"/>
        <v>0</v>
      </c>
      <c r="BZ330" s="60">
        <f t="shared" si="439"/>
        <v>0</v>
      </c>
      <c r="CA330" s="60">
        <f t="shared" si="440"/>
        <v>0</v>
      </c>
      <c r="CB330" s="60" t="e">
        <f t="shared" si="390"/>
        <v>#N/A</v>
      </c>
      <c r="CC330" s="60">
        <f t="shared" si="391"/>
        <v>100000</v>
      </c>
      <c r="CD330" s="60" t="e">
        <f t="shared" si="392"/>
        <v>#N/A</v>
      </c>
      <c r="CE330" s="60">
        <f t="shared" si="393"/>
        <v>100000</v>
      </c>
      <c r="CF330" s="83" t="e">
        <f t="shared" si="441"/>
        <v>#N/A</v>
      </c>
      <c r="CG330" s="83">
        <f t="shared" si="442"/>
        <v>0</v>
      </c>
      <c r="CH330" s="83" t="e">
        <f t="shared" si="443"/>
        <v>#N/A</v>
      </c>
      <c r="CI330" s="83">
        <f t="shared" si="444"/>
        <v>0</v>
      </c>
      <c r="CJ330" s="86" t="e">
        <f t="shared" si="394"/>
        <v>#N/A</v>
      </c>
      <c r="CK330" s="82">
        <f t="shared" si="395"/>
        <v>5.3070370403969858E-3</v>
      </c>
      <c r="CL330" s="82" t="e">
        <f t="shared" si="396"/>
        <v>#N/A</v>
      </c>
      <c r="CM330" s="82">
        <f t="shared" si="397"/>
        <v>5.3070370403969858E-3</v>
      </c>
      <c r="CO330" s="149" t="str">
        <f>IF($I330&lt;&gt;"",IF(O330="User Specified",U330,INDEX('Refrigerant GWPs'!$G$2:$G$156,MATCH(O330,'Refrigerant GWPs'!$A$2:$A$156,0))),"")</f>
        <v/>
      </c>
      <c r="CP330" s="138" t="str">
        <f>IF($I330&lt;&gt;"",INDEX('Device Refrigerant Leakage'!$E$2:$E$42,MATCH($M330,'Device Refrigerant Leakage'!$B$2:$B$42,0)),"")</f>
        <v/>
      </c>
      <c r="CQ330" s="138" t="str">
        <f>IF($I330&lt;&gt;"",INDEX('Device Refrigerant Leakage'!$F$2:$F$42,MATCH($M330,'Device Refrigerant Leakage'!$B$2:$B$42,0)),"")</f>
        <v/>
      </c>
      <c r="CR330" s="145" t="str">
        <f>IF($I330&lt;&gt;"",INDEX('Device Refrigerant Leakage'!$G$2:$G$42,MATCH($M330,'Device Refrigerant Leakage'!$B$2:$B$42,0)),"")</f>
        <v/>
      </c>
      <c r="CS330" s="145" t="str">
        <f>IF($I330&lt;&gt;"",INDEX('Device Refrigerant Leakage'!$D$2:$D$42,MATCH($M330,'Device Refrigerant Leakage'!$B$2:$B$42,0))*CP330/2204.62*CO330,"")</f>
        <v/>
      </c>
      <c r="CT330" s="145" t="str">
        <f>IF($I330&lt;&gt;"",J330*(INDEX('Device Refrigerant Leakage'!$D$2:$D$42,MATCH($M330,'Device Refrigerant Leakage'!$B$2:$B$42,0))-(INDEX('Device Refrigerant Leakage'!$D$2:$D$42,MATCH($M330,'Device Refrigerant Leakage'!$B$2:$B$42,0)))*CR330*CP330)*CQ330/2204.62*CO330,"")</f>
        <v/>
      </c>
      <c r="CU330" s="135" t="str">
        <f>IF($I330&lt;&gt;"",J330*IF(W330&lt;&gt;"AR",(CS330*K330)+CT330,(CS330*AB330)+CT330*(AB330/INDEX('Device Refrigerant Leakage'!$C$2:$C$42,MATCH($M330,'Device Refrigerant Leakage'!$B$2:$B$42,0)))),"")</f>
        <v/>
      </c>
      <c r="CW330" s="135" t="str">
        <f>IF($I330&lt;&gt;"",IF(S330="User Specified",V330,INDEX('Refrigerant GWPs'!$G$2:$G$156,MATCH(S330,'Refrigerant GWPs'!$A$2:$A$157,0))),"")</f>
        <v/>
      </c>
      <c r="CX330" s="138" t="str">
        <f>IF($I330&lt;&gt;"",INDEX('Device Refrigerant Leakage'!$E$2:$E$42,MATCH($Q330,'Device Refrigerant Leakage'!$B$2:$B$42,0)),"")</f>
        <v/>
      </c>
      <c r="CY330" s="138" t="str">
        <f>IF($I330&lt;&gt;"",INDEX('Device Refrigerant Leakage'!$F$2:$F$42,MATCH($Q330,'Device Refrigerant Leakage'!$B$2:$B$42,0)),"")</f>
        <v/>
      </c>
      <c r="CZ330" s="145" t="str">
        <f>IF($I330&lt;&gt;"",INDEX('Device Refrigerant Leakage'!$G$2:$G$42,MATCH($Q330,'Device Refrigerant Leakage'!$B$2:$B$42,0)),"")</f>
        <v/>
      </c>
      <c r="DA330" s="145" t="str">
        <f>IF($I330&lt;&gt;"",J330*INDEX('Device Refrigerant Leakage'!$D$2:$D$42,MATCH($Q330,'Device Refrigerant Leakage'!$B$2:$B$42,0))*CX330/2204.62*CW330,"")</f>
        <v/>
      </c>
      <c r="DB330" s="145" t="str">
        <f>IF($I330&lt;&gt;"",J330*(INDEX('Device Refrigerant Leakage'!$D$2:$D$42,MATCH($Q330,'Device Refrigerant Leakage'!$B$2:$B$42,0))-(INDEX('Device Refrigerant Leakage'!$D$2:$D$42,MATCH($Q330,'Device Refrigerant Leakage'!$B$2:$B$42,0)))*CZ330*CX330)*CY330/2204.62*CW330,"")</f>
        <v/>
      </c>
      <c r="DC330" s="135" t="str">
        <f t="shared" si="416"/>
        <v/>
      </c>
      <c r="DE330" s="146" t="str">
        <f>IF(W330&lt;&gt;"AR","",IF(Y330="User Specified", AA330, INDEX('Refrigerant GWPs'!$G$2:$G$154,MATCH(Y330,'Refrigerant GWPs'!$A$2:$A$154,0))))</f>
        <v/>
      </c>
      <c r="DF330" s="146" t="str">
        <f>IF(W330&lt;&gt;"AR","",INDEX('Device Refrigerant Leakage'!$E$2:$E$42,MATCH(X330,'Device Refrigerant Leakage'!$B$2:$B$42,0)))</f>
        <v/>
      </c>
      <c r="DG330" s="146" t="str">
        <f>IF(W330&lt;&gt;"AR","",INDEX('Device Refrigerant Leakage'!$F$2:$F$42,MATCH(X330,'Device Refrigerant Leakage'!$B$2:$B$42,0)))</f>
        <v/>
      </c>
      <c r="DH330" s="146" t="str">
        <f>IF(W330&lt;&gt;"AR","",INDEX('Device Refrigerant Leakage'!$G$2:$G$42,MATCH(X330,'Device Refrigerant Leakage'!$B$2:$B$42,0)))</f>
        <v/>
      </c>
      <c r="DI330" s="146" t="str">
        <f>IF(W330&lt;&gt;"AR","",J330*INDEX('Device Refrigerant Leakage'!$D$2:$D$42,MATCH(X330,'Device Refrigerant Leakage'!$B$2:$B$42,0))*DF330/2204.62*DE330)</f>
        <v/>
      </c>
      <c r="DJ330" s="146" t="str">
        <f>IF(W330&lt;&gt;"AR","",J330*(INDEX('Device Refrigerant Leakage'!$D$2:$D$42,MATCH(X330,'Device Refrigerant Leakage'!$B$2:$B$42,0))-(INDEX('Device Refrigerant Leakage'!$D$2:$D$42,MATCH(X330,'Device Refrigerant Leakage'!$B$2:$B$42,0)))*DH330*DF330)*DG330/2204.62*DE330)</f>
        <v/>
      </c>
      <c r="DK330" s="146" t="str">
        <f>IF(W330&lt;&gt;"AR","",DI330*(K330-AB330)+'Fuel Sub Calcs-Deemed'!DJ330*((K330-AB330)/INDEX('Device Refrigerant Leakage'!$C$2:$C$42,MATCH('Fuel Sub Calcs-Deemed'!X330,'Device Refrigerant Leakage'!$B$2:$B$42,0))))</f>
        <v/>
      </c>
      <c r="DM330" s="56">
        <v>316</v>
      </c>
      <c r="DN330" s="67" t="e">
        <f t="shared" si="398"/>
        <v>#N/A</v>
      </c>
      <c r="DO330" s="45" t="e">
        <f t="shared" si="399"/>
        <v>#N/A</v>
      </c>
      <c r="DP330" s="67" t="e">
        <f t="shared" si="400"/>
        <v>#N/A</v>
      </c>
      <c r="DQ330" s="45" t="e">
        <f t="shared" si="401"/>
        <v>#N/A</v>
      </c>
      <c r="DR330" s="69" t="e">
        <f t="shared" si="402"/>
        <v>#N/A</v>
      </c>
      <c r="DS330" s="34"/>
      <c r="DT330" s="67" t="e">
        <f>((BX330*CJ330)+IF($W330=MAT_AR,(BZ330*CL330),0))*(1+Reference!$E$50+Reference!$E$51)</f>
        <v>#N/A</v>
      </c>
      <c r="DU330" s="67">
        <f>((BY330*CK330)+IF($W330=MAT_AR,(CA330*CM330),0))*(1+Reference!$G$50+Reference!$G$51)</f>
        <v>0</v>
      </c>
      <c r="DV330" s="67" t="e">
        <f t="shared" si="403"/>
        <v>#VALUE!</v>
      </c>
      <c r="DX330" s="56">
        <v>316</v>
      </c>
      <c r="DY330" s="67">
        <f t="shared" si="404"/>
        <v>0</v>
      </c>
      <c r="DZ330" s="45" t="e">
        <f>VLOOKUP($R330,Dropdown!$C$3:$D$4,2,FALSE)</f>
        <v>#N/A</v>
      </c>
      <c r="EA330" s="68">
        <f t="shared" si="405"/>
        <v>0</v>
      </c>
      <c r="EB330" s="68" t="str">
        <f t="shared" si="406"/>
        <v>N/A</v>
      </c>
      <c r="EC330" s="68">
        <f t="shared" si="407"/>
        <v>0</v>
      </c>
      <c r="ED330" s="68" t="str">
        <f t="shared" si="445"/>
        <v>N/A</v>
      </c>
      <c r="EF330" s="56">
        <v>316</v>
      </c>
      <c r="EG330" s="46">
        <f t="shared" si="408"/>
        <v>0</v>
      </c>
      <c r="EH330" s="68" t="e">
        <f t="shared" si="409"/>
        <v>#N/A</v>
      </c>
      <c r="EI330" s="68" t="e">
        <f t="shared" si="410"/>
        <v>#N/A</v>
      </c>
      <c r="EJ330" s="68" t="e">
        <f t="shared" si="411"/>
        <v>#N/A</v>
      </c>
      <c r="EK330" s="68" t="e">
        <f t="shared" si="412"/>
        <v>#N/A</v>
      </c>
      <c r="EL330" s="46">
        <f t="shared" si="413"/>
        <v>0</v>
      </c>
      <c r="EM330" s="46">
        <f t="shared" si="414"/>
        <v>0</v>
      </c>
    </row>
    <row r="331" spans="1:143">
      <c r="A331" s="89"/>
      <c r="B331" s="89"/>
      <c r="C331" s="89"/>
      <c r="D331" s="89"/>
      <c r="E331" s="89"/>
      <c r="F331" s="89"/>
      <c r="G331" s="34"/>
      <c r="H331" s="56">
        <f t="shared" si="415"/>
        <v>317</v>
      </c>
      <c r="I331" s="165"/>
      <c r="J331" s="163"/>
      <c r="K331" s="163"/>
      <c r="L331" s="164"/>
      <c r="M331" s="155"/>
      <c r="N331" s="155"/>
      <c r="O331" s="144"/>
      <c r="P331" s="159" t="str">
        <f>IFERROR(IF(O331&lt;&gt;"User Specified",IF(O331&lt;&gt;"", INDEX('Refrigerant GWPs'!$G$2:$G$154,MATCH(O331,'Refrigerant GWPs'!$A$2:$A$154,0)),""),U331),0)</f>
        <v/>
      </c>
      <c r="Q331" s="155"/>
      <c r="R331" s="155"/>
      <c r="S331" s="144"/>
      <c r="T331" s="159" t="str">
        <f>IF(S331&lt;&gt;"User Specified",IF(AND(S331&lt;&gt;"User Specified",S331&lt;&gt;""), INDEX('Refrigerant GWPs'!$G$2:$G$154,MATCH(S331,'Refrigerant GWPs'!$A$2:$A$154,0)),""),V331)</f>
        <v/>
      </c>
      <c r="U331" s="144"/>
      <c r="V331" s="144"/>
      <c r="W331" s="155"/>
      <c r="X331" s="155"/>
      <c r="Y331" s="144"/>
      <c r="Z331" s="159" t="str">
        <f>IF(AND(Y331&lt;&gt;"User Specified",Y331&lt;&gt;""), INDEX('Refrigerant GWPs'!$G$2:$G$154,MATCH(Y331,'Refrigerant GWPs'!$A$2:$A$154,0)),"")</f>
        <v/>
      </c>
      <c r="AA331" s="155"/>
      <c r="AB331" s="156"/>
      <c r="AC331" s="66"/>
      <c r="AD331" s="66"/>
      <c r="AE331" s="66"/>
      <c r="AF331" s="66"/>
      <c r="AG331" s="66"/>
      <c r="AH331" s="66"/>
      <c r="AI331" s="34"/>
      <c r="AJ331" s="88">
        <f t="shared" si="378"/>
        <v>0</v>
      </c>
      <c r="AK331" s="88">
        <f t="shared" si="379"/>
        <v>0</v>
      </c>
      <c r="AL331" s="88">
        <v>0</v>
      </c>
      <c r="AM331" s="88">
        <v>0</v>
      </c>
      <c r="AN331" s="81" t="str">
        <f t="shared" si="417"/>
        <v/>
      </c>
      <c r="AO331" s="88">
        <f t="shared" si="380"/>
        <v>0</v>
      </c>
      <c r="AP331" s="88">
        <f t="shared" si="381"/>
        <v>0</v>
      </c>
      <c r="AQ331" s="81" t="str">
        <f t="shared" si="382"/>
        <v/>
      </c>
      <c r="AS331" s="41" t="b">
        <f t="shared" si="383"/>
        <v>1</v>
      </c>
      <c r="AT331" s="38">
        <f t="shared" si="384"/>
        <v>0</v>
      </c>
      <c r="AU331" s="60">
        <f t="shared" si="385"/>
        <v>0</v>
      </c>
      <c r="AV331" s="41">
        <f t="shared" si="386"/>
        <v>0</v>
      </c>
      <c r="AW331" s="41" t="b">
        <f t="shared" si="387"/>
        <v>0</v>
      </c>
      <c r="AX331" t="str">
        <f t="shared" si="388"/>
        <v>+00</v>
      </c>
      <c r="AY331" t="str">
        <f t="shared" si="389"/>
        <v>+00</v>
      </c>
      <c r="BA331" s="47" t="b">
        <f t="shared" si="418"/>
        <v>1</v>
      </c>
      <c r="BB331" s="42" t="b">
        <f t="shared" si="419"/>
        <v>1</v>
      </c>
      <c r="BC331" s="42" t="b">
        <f t="shared" si="420"/>
        <v>0</v>
      </c>
      <c r="BD331" s="42" t="b">
        <f t="shared" si="421"/>
        <v>0</v>
      </c>
      <c r="BE331" s="70">
        <f t="shared" si="422"/>
        <v>0</v>
      </c>
      <c r="BF331" s="70">
        <f t="shared" si="423"/>
        <v>0</v>
      </c>
      <c r="BG331" s="34"/>
      <c r="BI331" s="47" t="b">
        <f t="shared" si="424"/>
        <v>1</v>
      </c>
      <c r="BJ331" s="47" t="b">
        <f t="shared" si="425"/>
        <v>1</v>
      </c>
      <c r="BK331" s="42" t="b">
        <f t="shared" si="426"/>
        <v>0</v>
      </c>
      <c r="BL331" s="42" t="b">
        <f t="shared" si="427"/>
        <v>0</v>
      </c>
      <c r="BM331" s="42">
        <f t="shared" si="428"/>
        <v>0</v>
      </c>
      <c r="BN331" s="42">
        <f t="shared" si="429"/>
        <v>0</v>
      </c>
      <c r="BP331" t="e">
        <f t="shared" si="430"/>
        <v>#N/A</v>
      </c>
      <c r="BQ331" t="e">
        <f t="shared" si="431"/>
        <v>#N/A</v>
      </c>
      <c r="BR331" t="e">
        <f t="shared" si="432"/>
        <v>#N/A</v>
      </c>
      <c r="BT331" s="60">
        <f t="shared" si="433"/>
        <v>0</v>
      </c>
      <c r="BU331" s="60">
        <f t="shared" si="434"/>
        <v>0</v>
      </c>
      <c r="BV331" s="60">
        <f t="shared" si="435"/>
        <v>0</v>
      </c>
      <c r="BW331" s="60">
        <f t="shared" si="436"/>
        <v>0</v>
      </c>
      <c r="BX331" s="60">
        <f t="shared" si="437"/>
        <v>0</v>
      </c>
      <c r="BY331" s="60">
        <f t="shared" si="438"/>
        <v>0</v>
      </c>
      <c r="BZ331" s="60">
        <f t="shared" si="439"/>
        <v>0</v>
      </c>
      <c r="CA331" s="60">
        <f t="shared" si="440"/>
        <v>0</v>
      </c>
      <c r="CB331" s="60" t="e">
        <f t="shared" si="390"/>
        <v>#N/A</v>
      </c>
      <c r="CC331" s="60">
        <f t="shared" si="391"/>
        <v>100000</v>
      </c>
      <c r="CD331" s="60" t="e">
        <f t="shared" si="392"/>
        <v>#N/A</v>
      </c>
      <c r="CE331" s="60">
        <f t="shared" si="393"/>
        <v>100000</v>
      </c>
      <c r="CF331" s="83" t="e">
        <f t="shared" si="441"/>
        <v>#N/A</v>
      </c>
      <c r="CG331" s="83">
        <f t="shared" si="442"/>
        <v>0</v>
      </c>
      <c r="CH331" s="83" t="e">
        <f t="shared" si="443"/>
        <v>#N/A</v>
      </c>
      <c r="CI331" s="83">
        <f t="shared" si="444"/>
        <v>0</v>
      </c>
      <c r="CJ331" s="86" t="e">
        <f t="shared" si="394"/>
        <v>#N/A</v>
      </c>
      <c r="CK331" s="82">
        <f t="shared" si="395"/>
        <v>5.3070370403969858E-3</v>
      </c>
      <c r="CL331" s="82" t="e">
        <f t="shared" si="396"/>
        <v>#N/A</v>
      </c>
      <c r="CM331" s="82">
        <f t="shared" si="397"/>
        <v>5.3070370403969858E-3</v>
      </c>
      <c r="CO331" s="149" t="str">
        <f>IF($I331&lt;&gt;"",IF(O331="User Specified",U331,INDEX('Refrigerant GWPs'!$G$2:$G$156,MATCH(O331,'Refrigerant GWPs'!$A$2:$A$156,0))),"")</f>
        <v/>
      </c>
      <c r="CP331" s="138" t="str">
        <f>IF($I331&lt;&gt;"",INDEX('Device Refrigerant Leakage'!$E$2:$E$42,MATCH($M331,'Device Refrigerant Leakage'!$B$2:$B$42,0)),"")</f>
        <v/>
      </c>
      <c r="CQ331" s="138" t="str">
        <f>IF($I331&lt;&gt;"",INDEX('Device Refrigerant Leakage'!$F$2:$F$42,MATCH($M331,'Device Refrigerant Leakage'!$B$2:$B$42,0)),"")</f>
        <v/>
      </c>
      <c r="CR331" s="145" t="str">
        <f>IF($I331&lt;&gt;"",INDEX('Device Refrigerant Leakage'!$G$2:$G$42,MATCH($M331,'Device Refrigerant Leakage'!$B$2:$B$42,0)),"")</f>
        <v/>
      </c>
      <c r="CS331" s="145" t="str">
        <f>IF($I331&lt;&gt;"",INDEX('Device Refrigerant Leakage'!$D$2:$D$42,MATCH($M331,'Device Refrigerant Leakage'!$B$2:$B$42,0))*CP331/2204.62*CO331,"")</f>
        <v/>
      </c>
      <c r="CT331" s="145" t="str">
        <f>IF($I331&lt;&gt;"",J331*(INDEX('Device Refrigerant Leakage'!$D$2:$D$42,MATCH($M331,'Device Refrigerant Leakage'!$B$2:$B$42,0))-(INDEX('Device Refrigerant Leakage'!$D$2:$D$42,MATCH($M331,'Device Refrigerant Leakage'!$B$2:$B$42,0)))*CR331*CP331)*CQ331/2204.62*CO331,"")</f>
        <v/>
      </c>
      <c r="CU331" s="135" t="str">
        <f>IF($I331&lt;&gt;"",J331*IF(W331&lt;&gt;"AR",(CS331*K331)+CT331,(CS331*AB331)+CT331*(AB331/INDEX('Device Refrigerant Leakage'!$C$2:$C$42,MATCH($M331,'Device Refrigerant Leakage'!$B$2:$B$42,0)))),"")</f>
        <v/>
      </c>
      <c r="CW331" s="135" t="str">
        <f>IF($I331&lt;&gt;"",IF(S331="User Specified",V331,INDEX('Refrigerant GWPs'!$G$2:$G$156,MATCH(S331,'Refrigerant GWPs'!$A$2:$A$157,0))),"")</f>
        <v/>
      </c>
      <c r="CX331" s="138" t="str">
        <f>IF($I331&lt;&gt;"",INDEX('Device Refrigerant Leakage'!$E$2:$E$42,MATCH($Q331,'Device Refrigerant Leakage'!$B$2:$B$42,0)),"")</f>
        <v/>
      </c>
      <c r="CY331" s="138" t="str">
        <f>IF($I331&lt;&gt;"",INDEX('Device Refrigerant Leakage'!$F$2:$F$42,MATCH($Q331,'Device Refrigerant Leakage'!$B$2:$B$42,0)),"")</f>
        <v/>
      </c>
      <c r="CZ331" s="145" t="str">
        <f>IF($I331&lt;&gt;"",INDEX('Device Refrigerant Leakage'!$G$2:$G$42,MATCH($Q331,'Device Refrigerant Leakage'!$B$2:$B$42,0)),"")</f>
        <v/>
      </c>
      <c r="DA331" s="145" t="str">
        <f>IF($I331&lt;&gt;"",J331*INDEX('Device Refrigerant Leakage'!$D$2:$D$42,MATCH($Q331,'Device Refrigerant Leakage'!$B$2:$B$42,0))*CX331/2204.62*CW331,"")</f>
        <v/>
      </c>
      <c r="DB331" s="145" t="str">
        <f>IF($I331&lt;&gt;"",J331*(INDEX('Device Refrigerant Leakage'!$D$2:$D$42,MATCH($Q331,'Device Refrigerant Leakage'!$B$2:$B$42,0))-(INDEX('Device Refrigerant Leakage'!$D$2:$D$42,MATCH($Q331,'Device Refrigerant Leakage'!$B$2:$B$42,0)))*CZ331*CX331)*CY331/2204.62*CW331,"")</f>
        <v/>
      </c>
      <c r="DC331" s="135" t="str">
        <f t="shared" si="416"/>
        <v/>
      </c>
      <c r="DE331" s="146" t="str">
        <f>IF(W331&lt;&gt;"AR","",IF(Y331="User Specified", AA331, INDEX('Refrigerant GWPs'!$G$2:$G$154,MATCH(Y331,'Refrigerant GWPs'!$A$2:$A$154,0))))</f>
        <v/>
      </c>
      <c r="DF331" s="146" t="str">
        <f>IF(W331&lt;&gt;"AR","",INDEX('Device Refrigerant Leakage'!$E$2:$E$42,MATCH(X331,'Device Refrigerant Leakage'!$B$2:$B$42,0)))</f>
        <v/>
      </c>
      <c r="DG331" s="146" t="str">
        <f>IF(W331&lt;&gt;"AR","",INDEX('Device Refrigerant Leakage'!$F$2:$F$42,MATCH(X331,'Device Refrigerant Leakage'!$B$2:$B$42,0)))</f>
        <v/>
      </c>
      <c r="DH331" s="146" t="str">
        <f>IF(W331&lt;&gt;"AR","",INDEX('Device Refrigerant Leakage'!$G$2:$G$42,MATCH(X331,'Device Refrigerant Leakage'!$B$2:$B$42,0)))</f>
        <v/>
      </c>
      <c r="DI331" s="146" t="str">
        <f>IF(W331&lt;&gt;"AR","",J331*INDEX('Device Refrigerant Leakage'!$D$2:$D$42,MATCH(X331,'Device Refrigerant Leakage'!$B$2:$B$42,0))*DF331/2204.62*DE331)</f>
        <v/>
      </c>
      <c r="DJ331" s="146" t="str">
        <f>IF(W331&lt;&gt;"AR","",J331*(INDEX('Device Refrigerant Leakage'!$D$2:$D$42,MATCH(X331,'Device Refrigerant Leakage'!$B$2:$B$42,0))-(INDEX('Device Refrigerant Leakage'!$D$2:$D$42,MATCH(X331,'Device Refrigerant Leakage'!$B$2:$B$42,0)))*DH331*DF331)*DG331/2204.62*DE331)</f>
        <v/>
      </c>
      <c r="DK331" s="146" t="str">
        <f>IF(W331&lt;&gt;"AR","",DI331*(K331-AB331)+'Fuel Sub Calcs-Deemed'!DJ331*((K331-AB331)/INDEX('Device Refrigerant Leakage'!$C$2:$C$42,MATCH('Fuel Sub Calcs-Deemed'!X331,'Device Refrigerant Leakage'!$B$2:$B$42,0))))</f>
        <v/>
      </c>
      <c r="DM331" s="56">
        <v>317</v>
      </c>
      <c r="DN331" s="67" t="e">
        <f t="shared" si="398"/>
        <v>#N/A</v>
      </c>
      <c r="DO331" s="45" t="e">
        <f t="shared" si="399"/>
        <v>#N/A</v>
      </c>
      <c r="DP331" s="67" t="e">
        <f t="shared" si="400"/>
        <v>#N/A</v>
      </c>
      <c r="DQ331" s="45" t="e">
        <f t="shared" si="401"/>
        <v>#N/A</v>
      </c>
      <c r="DR331" s="69" t="e">
        <f t="shared" si="402"/>
        <v>#N/A</v>
      </c>
      <c r="DS331" s="34"/>
      <c r="DT331" s="67" t="e">
        <f>((BX331*CJ331)+IF($W331=MAT_AR,(BZ331*CL331),0))*(1+Reference!$E$50+Reference!$E$51)</f>
        <v>#N/A</v>
      </c>
      <c r="DU331" s="67">
        <f>((BY331*CK331)+IF($W331=MAT_AR,(CA331*CM331),0))*(1+Reference!$G$50+Reference!$G$51)</f>
        <v>0</v>
      </c>
      <c r="DV331" s="67" t="e">
        <f t="shared" si="403"/>
        <v>#VALUE!</v>
      </c>
      <c r="DX331" s="56">
        <v>317</v>
      </c>
      <c r="DY331" s="67">
        <f t="shared" si="404"/>
        <v>0</v>
      </c>
      <c r="DZ331" s="45" t="e">
        <f>VLOOKUP($R331,Dropdown!$C$3:$D$4,2,FALSE)</f>
        <v>#N/A</v>
      </c>
      <c r="EA331" s="68">
        <f t="shared" si="405"/>
        <v>0</v>
      </c>
      <c r="EB331" s="68" t="str">
        <f t="shared" si="406"/>
        <v>N/A</v>
      </c>
      <c r="EC331" s="68">
        <f t="shared" si="407"/>
        <v>0</v>
      </c>
      <c r="ED331" s="68" t="str">
        <f t="shared" si="445"/>
        <v>N/A</v>
      </c>
      <c r="EF331" s="56">
        <v>317</v>
      </c>
      <c r="EG331" s="46">
        <f t="shared" si="408"/>
        <v>0</v>
      </c>
      <c r="EH331" s="68" t="e">
        <f t="shared" si="409"/>
        <v>#N/A</v>
      </c>
      <c r="EI331" s="68" t="e">
        <f t="shared" si="410"/>
        <v>#N/A</v>
      </c>
      <c r="EJ331" s="68" t="e">
        <f t="shared" si="411"/>
        <v>#N/A</v>
      </c>
      <c r="EK331" s="68" t="e">
        <f t="shared" si="412"/>
        <v>#N/A</v>
      </c>
      <c r="EL331" s="46">
        <f t="shared" si="413"/>
        <v>0</v>
      </c>
      <c r="EM331" s="46">
        <f t="shared" si="414"/>
        <v>0</v>
      </c>
    </row>
    <row r="332" spans="1:143">
      <c r="A332" s="89"/>
      <c r="B332" s="89"/>
      <c r="C332" s="89"/>
      <c r="D332" s="89"/>
      <c r="E332" s="89"/>
      <c r="F332" s="89"/>
      <c r="G332" s="34"/>
      <c r="H332" s="56">
        <f t="shared" si="415"/>
        <v>318</v>
      </c>
      <c r="I332" s="165"/>
      <c r="J332" s="163"/>
      <c r="K332" s="163"/>
      <c r="L332" s="164"/>
      <c r="M332" s="155"/>
      <c r="N332" s="155"/>
      <c r="O332" s="144"/>
      <c r="P332" s="159" t="str">
        <f>IFERROR(IF(O332&lt;&gt;"User Specified",IF(O332&lt;&gt;"", INDEX('Refrigerant GWPs'!$G$2:$G$154,MATCH(O332,'Refrigerant GWPs'!$A$2:$A$154,0)),""),U332),0)</f>
        <v/>
      </c>
      <c r="Q332" s="155"/>
      <c r="R332" s="155"/>
      <c r="S332" s="144"/>
      <c r="T332" s="159" t="str">
        <f>IF(S332&lt;&gt;"User Specified",IF(AND(S332&lt;&gt;"User Specified",S332&lt;&gt;""), INDEX('Refrigerant GWPs'!$G$2:$G$154,MATCH(S332,'Refrigerant GWPs'!$A$2:$A$154,0)),""),V332)</f>
        <v/>
      </c>
      <c r="U332" s="144"/>
      <c r="V332" s="144"/>
      <c r="W332" s="155"/>
      <c r="X332" s="155"/>
      <c r="Y332" s="144"/>
      <c r="Z332" s="159" t="str">
        <f>IF(AND(Y332&lt;&gt;"User Specified",Y332&lt;&gt;""), INDEX('Refrigerant GWPs'!$G$2:$G$154,MATCH(Y332,'Refrigerant GWPs'!$A$2:$A$154,0)),"")</f>
        <v/>
      </c>
      <c r="AA332" s="155"/>
      <c r="AB332" s="156"/>
      <c r="AC332" s="66"/>
      <c r="AD332" s="66"/>
      <c r="AE332" s="66"/>
      <c r="AF332" s="66"/>
      <c r="AG332" s="66"/>
      <c r="AH332" s="66"/>
      <c r="AI332" s="34"/>
      <c r="AJ332" s="88">
        <f t="shared" si="378"/>
        <v>0</v>
      </c>
      <c r="AK332" s="88">
        <f t="shared" si="379"/>
        <v>0</v>
      </c>
      <c r="AL332" s="88">
        <v>0</v>
      </c>
      <c r="AM332" s="88">
        <v>0</v>
      </c>
      <c r="AN332" s="81" t="str">
        <f t="shared" si="417"/>
        <v/>
      </c>
      <c r="AO332" s="88">
        <f t="shared" si="380"/>
        <v>0</v>
      </c>
      <c r="AP332" s="88">
        <f t="shared" si="381"/>
        <v>0</v>
      </c>
      <c r="AQ332" s="81" t="str">
        <f t="shared" si="382"/>
        <v/>
      </c>
      <c r="AS332" s="41" t="b">
        <f t="shared" si="383"/>
        <v>1</v>
      </c>
      <c r="AT332" s="38">
        <f t="shared" si="384"/>
        <v>0</v>
      </c>
      <c r="AU332" s="60">
        <f t="shared" si="385"/>
        <v>0</v>
      </c>
      <c r="AV332" s="41">
        <f t="shared" si="386"/>
        <v>0</v>
      </c>
      <c r="AW332" s="41" t="b">
        <f t="shared" si="387"/>
        <v>0</v>
      </c>
      <c r="AX332" t="str">
        <f t="shared" si="388"/>
        <v>+00</v>
      </c>
      <c r="AY332" t="str">
        <f t="shared" si="389"/>
        <v>+00</v>
      </c>
      <c r="BA332" s="47" t="b">
        <f t="shared" si="418"/>
        <v>1</v>
      </c>
      <c r="BB332" s="42" t="b">
        <f t="shared" si="419"/>
        <v>1</v>
      </c>
      <c r="BC332" s="42" t="b">
        <f t="shared" si="420"/>
        <v>0</v>
      </c>
      <c r="BD332" s="42" t="b">
        <f t="shared" si="421"/>
        <v>0</v>
      </c>
      <c r="BE332" s="70">
        <f t="shared" si="422"/>
        <v>0</v>
      </c>
      <c r="BF332" s="70">
        <f t="shared" si="423"/>
        <v>0</v>
      </c>
      <c r="BG332" s="34"/>
      <c r="BI332" s="47" t="b">
        <f t="shared" si="424"/>
        <v>1</v>
      </c>
      <c r="BJ332" s="47" t="b">
        <f t="shared" si="425"/>
        <v>1</v>
      </c>
      <c r="BK332" s="42" t="b">
        <f t="shared" si="426"/>
        <v>0</v>
      </c>
      <c r="BL332" s="42" t="b">
        <f t="shared" si="427"/>
        <v>0</v>
      </c>
      <c r="BM332" s="42">
        <f t="shared" si="428"/>
        <v>0</v>
      </c>
      <c r="BN332" s="42">
        <f t="shared" si="429"/>
        <v>0</v>
      </c>
      <c r="BP332" t="e">
        <f t="shared" si="430"/>
        <v>#N/A</v>
      </c>
      <c r="BQ332" t="e">
        <f t="shared" si="431"/>
        <v>#N/A</v>
      </c>
      <c r="BR332" t="e">
        <f t="shared" si="432"/>
        <v>#N/A</v>
      </c>
      <c r="BT332" s="60">
        <f t="shared" si="433"/>
        <v>0</v>
      </c>
      <c r="BU332" s="60">
        <f t="shared" si="434"/>
        <v>0</v>
      </c>
      <c r="BV332" s="60">
        <f t="shared" si="435"/>
        <v>0</v>
      </c>
      <c r="BW332" s="60">
        <f t="shared" si="436"/>
        <v>0</v>
      </c>
      <c r="BX332" s="60">
        <f t="shared" si="437"/>
        <v>0</v>
      </c>
      <c r="BY332" s="60">
        <f t="shared" si="438"/>
        <v>0</v>
      </c>
      <c r="BZ332" s="60">
        <f t="shared" si="439"/>
        <v>0</v>
      </c>
      <c r="CA332" s="60">
        <f t="shared" si="440"/>
        <v>0</v>
      </c>
      <c r="CB332" s="60" t="e">
        <f t="shared" si="390"/>
        <v>#N/A</v>
      </c>
      <c r="CC332" s="60">
        <f t="shared" si="391"/>
        <v>100000</v>
      </c>
      <c r="CD332" s="60" t="e">
        <f t="shared" si="392"/>
        <v>#N/A</v>
      </c>
      <c r="CE332" s="60">
        <f t="shared" si="393"/>
        <v>100000</v>
      </c>
      <c r="CF332" s="83" t="e">
        <f t="shared" si="441"/>
        <v>#N/A</v>
      </c>
      <c r="CG332" s="83">
        <f t="shared" si="442"/>
        <v>0</v>
      </c>
      <c r="CH332" s="83" t="e">
        <f t="shared" si="443"/>
        <v>#N/A</v>
      </c>
      <c r="CI332" s="83">
        <f t="shared" si="444"/>
        <v>0</v>
      </c>
      <c r="CJ332" s="86" t="e">
        <f t="shared" si="394"/>
        <v>#N/A</v>
      </c>
      <c r="CK332" s="82">
        <f t="shared" si="395"/>
        <v>5.3070370403969858E-3</v>
      </c>
      <c r="CL332" s="82" t="e">
        <f t="shared" si="396"/>
        <v>#N/A</v>
      </c>
      <c r="CM332" s="82">
        <f t="shared" si="397"/>
        <v>5.3070370403969858E-3</v>
      </c>
      <c r="CO332" s="149" t="str">
        <f>IF($I332&lt;&gt;"",IF(O332="User Specified",U332,INDEX('Refrigerant GWPs'!$G$2:$G$156,MATCH(O332,'Refrigerant GWPs'!$A$2:$A$156,0))),"")</f>
        <v/>
      </c>
      <c r="CP332" s="138" t="str">
        <f>IF($I332&lt;&gt;"",INDEX('Device Refrigerant Leakage'!$E$2:$E$42,MATCH($M332,'Device Refrigerant Leakage'!$B$2:$B$42,0)),"")</f>
        <v/>
      </c>
      <c r="CQ332" s="138" t="str">
        <f>IF($I332&lt;&gt;"",INDEX('Device Refrigerant Leakage'!$F$2:$F$42,MATCH($M332,'Device Refrigerant Leakage'!$B$2:$B$42,0)),"")</f>
        <v/>
      </c>
      <c r="CR332" s="145" t="str">
        <f>IF($I332&lt;&gt;"",INDEX('Device Refrigerant Leakage'!$G$2:$G$42,MATCH($M332,'Device Refrigerant Leakage'!$B$2:$B$42,0)),"")</f>
        <v/>
      </c>
      <c r="CS332" s="145" t="str">
        <f>IF($I332&lt;&gt;"",INDEX('Device Refrigerant Leakage'!$D$2:$D$42,MATCH($M332,'Device Refrigerant Leakage'!$B$2:$B$42,0))*CP332/2204.62*CO332,"")</f>
        <v/>
      </c>
      <c r="CT332" s="145" t="str">
        <f>IF($I332&lt;&gt;"",J332*(INDEX('Device Refrigerant Leakage'!$D$2:$D$42,MATCH($M332,'Device Refrigerant Leakage'!$B$2:$B$42,0))-(INDEX('Device Refrigerant Leakage'!$D$2:$D$42,MATCH($M332,'Device Refrigerant Leakage'!$B$2:$B$42,0)))*CR332*CP332)*CQ332/2204.62*CO332,"")</f>
        <v/>
      </c>
      <c r="CU332" s="135" t="str">
        <f>IF($I332&lt;&gt;"",J332*IF(W332&lt;&gt;"AR",(CS332*K332)+CT332,(CS332*AB332)+CT332*(AB332/INDEX('Device Refrigerant Leakage'!$C$2:$C$42,MATCH($M332,'Device Refrigerant Leakage'!$B$2:$B$42,0)))),"")</f>
        <v/>
      </c>
      <c r="CW332" s="135" t="str">
        <f>IF($I332&lt;&gt;"",IF(S332="User Specified",V332,INDEX('Refrigerant GWPs'!$G$2:$G$156,MATCH(S332,'Refrigerant GWPs'!$A$2:$A$157,0))),"")</f>
        <v/>
      </c>
      <c r="CX332" s="138" t="str">
        <f>IF($I332&lt;&gt;"",INDEX('Device Refrigerant Leakage'!$E$2:$E$42,MATCH($Q332,'Device Refrigerant Leakage'!$B$2:$B$42,0)),"")</f>
        <v/>
      </c>
      <c r="CY332" s="138" t="str">
        <f>IF($I332&lt;&gt;"",INDEX('Device Refrigerant Leakage'!$F$2:$F$42,MATCH($Q332,'Device Refrigerant Leakage'!$B$2:$B$42,0)),"")</f>
        <v/>
      </c>
      <c r="CZ332" s="145" t="str">
        <f>IF($I332&lt;&gt;"",INDEX('Device Refrigerant Leakage'!$G$2:$G$42,MATCH($Q332,'Device Refrigerant Leakage'!$B$2:$B$42,0)),"")</f>
        <v/>
      </c>
      <c r="DA332" s="145" t="str">
        <f>IF($I332&lt;&gt;"",J332*INDEX('Device Refrigerant Leakage'!$D$2:$D$42,MATCH($Q332,'Device Refrigerant Leakage'!$B$2:$B$42,0))*CX332/2204.62*CW332,"")</f>
        <v/>
      </c>
      <c r="DB332" s="145" t="str">
        <f>IF($I332&lt;&gt;"",J332*(INDEX('Device Refrigerant Leakage'!$D$2:$D$42,MATCH($Q332,'Device Refrigerant Leakage'!$B$2:$B$42,0))-(INDEX('Device Refrigerant Leakage'!$D$2:$D$42,MATCH($Q332,'Device Refrigerant Leakage'!$B$2:$B$42,0)))*CZ332*CX332)*CY332/2204.62*CW332,"")</f>
        <v/>
      </c>
      <c r="DC332" s="135" t="str">
        <f t="shared" si="416"/>
        <v/>
      </c>
      <c r="DE332" s="146" t="str">
        <f>IF(W332&lt;&gt;"AR","",IF(Y332="User Specified", AA332, INDEX('Refrigerant GWPs'!$G$2:$G$154,MATCH(Y332,'Refrigerant GWPs'!$A$2:$A$154,0))))</f>
        <v/>
      </c>
      <c r="DF332" s="146" t="str">
        <f>IF(W332&lt;&gt;"AR","",INDEX('Device Refrigerant Leakage'!$E$2:$E$42,MATCH(X332,'Device Refrigerant Leakage'!$B$2:$B$42,0)))</f>
        <v/>
      </c>
      <c r="DG332" s="146" t="str">
        <f>IF(W332&lt;&gt;"AR","",INDEX('Device Refrigerant Leakage'!$F$2:$F$42,MATCH(X332,'Device Refrigerant Leakage'!$B$2:$B$42,0)))</f>
        <v/>
      </c>
      <c r="DH332" s="146" t="str">
        <f>IF(W332&lt;&gt;"AR","",INDEX('Device Refrigerant Leakage'!$G$2:$G$42,MATCH(X332,'Device Refrigerant Leakage'!$B$2:$B$42,0)))</f>
        <v/>
      </c>
      <c r="DI332" s="146" t="str">
        <f>IF(W332&lt;&gt;"AR","",J332*INDEX('Device Refrigerant Leakage'!$D$2:$D$42,MATCH(X332,'Device Refrigerant Leakage'!$B$2:$B$42,0))*DF332/2204.62*DE332)</f>
        <v/>
      </c>
      <c r="DJ332" s="146" t="str">
        <f>IF(W332&lt;&gt;"AR","",J332*(INDEX('Device Refrigerant Leakage'!$D$2:$D$42,MATCH(X332,'Device Refrigerant Leakage'!$B$2:$B$42,0))-(INDEX('Device Refrigerant Leakage'!$D$2:$D$42,MATCH(X332,'Device Refrigerant Leakage'!$B$2:$B$42,0)))*DH332*DF332)*DG332/2204.62*DE332)</f>
        <v/>
      </c>
      <c r="DK332" s="146" t="str">
        <f>IF(W332&lt;&gt;"AR","",DI332*(K332-AB332)+'Fuel Sub Calcs-Deemed'!DJ332*((K332-AB332)/INDEX('Device Refrigerant Leakage'!$C$2:$C$42,MATCH('Fuel Sub Calcs-Deemed'!X332,'Device Refrigerant Leakage'!$B$2:$B$42,0))))</f>
        <v/>
      </c>
      <c r="DM332" s="56">
        <v>318</v>
      </c>
      <c r="DN332" s="67" t="e">
        <f t="shared" si="398"/>
        <v>#N/A</v>
      </c>
      <c r="DO332" s="45" t="e">
        <f t="shared" si="399"/>
        <v>#N/A</v>
      </c>
      <c r="DP332" s="67" t="e">
        <f t="shared" si="400"/>
        <v>#N/A</v>
      </c>
      <c r="DQ332" s="45" t="e">
        <f t="shared" si="401"/>
        <v>#N/A</v>
      </c>
      <c r="DR332" s="69" t="e">
        <f t="shared" si="402"/>
        <v>#N/A</v>
      </c>
      <c r="DS332" s="34"/>
      <c r="DT332" s="67" t="e">
        <f>((BX332*CJ332)+IF($W332=MAT_AR,(BZ332*CL332),0))*(1+Reference!$E$50+Reference!$E$51)</f>
        <v>#N/A</v>
      </c>
      <c r="DU332" s="67">
        <f>((BY332*CK332)+IF($W332=MAT_AR,(CA332*CM332),0))*(1+Reference!$G$50+Reference!$G$51)</f>
        <v>0</v>
      </c>
      <c r="DV332" s="67" t="e">
        <f t="shared" si="403"/>
        <v>#VALUE!</v>
      </c>
      <c r="DX332" s="56">
        <v>318</v>
      </c>
      <c r="DY332" s="67">
        <f t="shared" si="404"/>
        <v>0</v>
      </c>
      <c r="DZ332" s="45" t="e">
        <f>VLOOKUP($R332,Dropdown!$C$3:$D$4,2,FALSE)</f>
        <v>#N/A</v>
      </c>
      <c r="EA332" s="68">
        <f t="shared" si="405"/>
        <v>0</v>
      </c>
      <c r="EB332" s="68" t="str">
        <f t="shared" si="406"/>
        <v>N/A</v>
      </c>
      <c r="EC332" s="68">
        <f t="shared" si="407"/>
        <v>0</v>
      </c>
      <c r="ED332" s="68" t="str">
        <f t="shared" si="445"/>
        <v>N/A</v>
      </c>
      <c r="EF332" s="56">
        <v>318</v>
      </c>
      <c r="EG332" s="46">
        <f t="shared" si="408"/>
        <v>0</v>
      </c>
      <c r="EH332" s="68" t="e">
        <f t="shared" si="409"/>
        <v>#N/A</v>
      </c>
      <c r="EI332" s="68" t="e">
        <f t="shared" si="410"/>
        <v>#N/A</v>
      </c>
      <c r="EJ332" s="68" t="e">
        <f t="shared" si="411"/>
        <v>#N/A</v>
      </c>
      <c r="EK332" s="68" t="e">
        <f t="shared" si="412"/>
        <v>#N/A</v>
      </c>
      <c r="EL332" s="46">
        <f t="shared" si="413"/>
        <v>0</v>
      </c>
      <c r="EM332" s="46">
        <f t="shared" si="414"/>
        <v>0</v>
      </c>
    </row>
    <row r="333" spans="1:143">
      <c r="A333" s="89"/>
      <c r="B333" s="89"/>
      <c r="C333" s="89"/>
      <c r="D333" s="89"/>
      <c r="E333" s="89"/>
      <c r="F333" s="89"/>
      <c r="G333" s="34"/>
      <c r="H333" s="56">
        <f t="shared" si="415"/>
        <v>319</v>
      </c>
      <c r="I333" s="165"/>
      <c r="J333" s="163"/>
      <c r="K333" s="163"/>
      <c r="L333" s="164"/>
      <c r="M333" s="155"/>
      <c r="N333" s="155"/>
      <c r="O333" s="144"/>
      <c r="P333" s="159" t="str">
        <f>IFERROR(IF(O333&lt;&gt;"User Specified",IF(O333&lt;&gt;"", INDEX('Refrigerant GWPs'!$G$2:$G$154,MATCH(O333,'Refrigerant GWPs'!$A$2:$A$154,0)),""),U333),0)</f>
        <v/>
      </c>
      <c r="Q333" s="155"/>
      <c r="R333" s="155"/>
      <c r="S333" s="144"/>
      <c r="T333" s="159" t="str">
        <f>IF(S333&lt;&gt;"User Specified",IF(AND(S333&lt;&gt;"User Specified",S333&lt;&gt;""), INDEX('Refrigerant GWPs'!$G$2:$G$154,MATCH(S333,'Refrigerant GWPs'!$A$2:$A$154,0)),""),V333)</f>
        <v/>
      </c>
      <c r="U333" s="144"/>
      <c r="V333" s="144"/>
      <c r="W333" s="155"/>
      <c r="X333" s="155"/>
      <c r="Y333" s="144"/>
      <c r="Z333" s="159" t="str">
        <f>IF(AND(Y333&lt;&gt;"User Specified",Y333&lt;&gt;""), INDEX('Refrigerant GWPs'!$G$2:$G$154,MATCH(Y333,'Refrigerant GWPs'!$A$2:$A$154,0)),"")</f>
        <v/>
      </c>
      <c r="AA333" s="155"/>
      <c r="AB333" s="156"/>
      <c r="AC333" s="66"/>
      <c r="AD333" s="66"/>
      <c r="AE333" s="66"/>
      <c r="AF333" s="66"/>
      <c r="AG333" s="66"/>
      <c r="AH333" s="66"/>
      <c r="AI333" s="34"/>
      <c r="AJ333" s="88">
        <f t="shared" si="378"/>
        <v>0</v>
      </c>
      <c r="AK333" s="88">
        <f t="shared" si="379"/>
        <v>0</v>
      </c>
      <c r="AL333" s="88">
        <v>0</v>
      </c>
      <c r="AM333" s="88">
        <v>0</v>
      </c>
      <c r="AN333" s="81" t="str">
        <f t="shared" si="417"/>
        <v/>
      </c>
      <c r="AO333" s="88">
        <f t="shared" si="380"/>
        <v>0</v>
      </c>
      <c r="AP333" s="88">
        <f t="shared" si="381"/>
        <v>0</v>
      </c>
      <c r="AQ333" s="81" t="str">
        <f t="shared" si="382"/>
        <v/>
      </c>
      <c r="AS333" s="41" t="b">
        <f t="shared" si="383"/>
        <v>1</v>
      </c>
      <c r="AT333" s="38">
        <f t="shared" si="384"/>
        <v>0</v>
      </c>
      <c r="AU333" s="60">
        <f t="shared" si="385"/>
        <v>0</v>
      </c>
      <c r="AV333" s="41">
        <f t="shared" si="386"/>
        <v>0</v>
      </c>
      <c r="AW333" s="41" t="b">
        <f t="shared" si="387"/>
        <v>0</v>
      </c>
      <c r="AX333" t="str">
        <f t="shared" si="388"/>
        <v>+00</v>
      </c>
      <c r="AY333" t="str">
        <f t="shared" si="389"/>
        <v>+00</v>
      </c>
      <c r="BA333" s="47" t="b">
        <f t="shared" si="418"/>
        <v>1</v>
      </c>
      <c r="BB333" s="42" t="b">
        <f t="shared" si="419"/>
        <v>1</v>
      </c>
      <c r="BC333" s="42" t="b">
        <f t="shared" si="420"/>
        <v>0</v>
      </c>
      <c r="BD333" s="42" t="b">
        <f t="shared" si="421"/>
        <v>0</v>
      </c>
      <c r="BE333" s="70">
        <f t="shared" si="422"/>
        <v>0</v>
      </c>
      <c r="BF333" s="70">
        <f t="shared" si="423"/>
        <v>0</v>
      </c>
      <c r="BG333" s="34"/>
      <c r="BI333" s="47" t="b">
        <f t="shared" si="424"/>
        <v>1</v>
      </c>
      <c r="BJ333" s="47" t="b">
        <f t="shared" si="425"/>
        <v>1</v>
      </c>
      <c r="BK333" s="42" t="b">
        <f t="shared" si="426"/>
        <v>0</v>
      </c>
      <c r="BL333" s="42" t="b">
        <f t="shared" si="427"/>
        <v>0</v>
      </c>
      <c r="BM333" s="42">
        <f t="shared" si="428"/>
        <v>0</v>
      </c>
      <c r="BN333" s="42">
        <f t="shared" si="429"/>
        <v>0</v>
      </c>
      <c r="BP333" t="e">
        <f t="shared" si="430"/>
        <v>#N/A</v>
      </c>
      <c r="BQ333" t="e">
        <f t="shared" si="431"/>
        <v>#N/A</v>
      </c>
      <c r="BR333" t="e">
        <f t="shared" si="432"/>
        <v>#N/A</v>
      </c>
      <c r="BT333" s="60">
        <f t="shared" si="433"/>
        <v>0</v>
      </c>
      <c r="BU333" s="60">
        <f t="shared" si="434"/>
        <v>0</v>
      </c>
      <c r="BV333" s="60">
        <f t="shared" si="435"/>
        <v>0</v>
      </c>
      <c r="BW333" s="60">
        <f t="shared" si="436"/>
        <v>0</v>
      </c>
      <c r="BX333" s="60">
        <f t="shared" si="437"/>
        <v>0</v>
      </c>
      <c r="BY333" s="60">
        <f t="shared" si="438"/>
        <v>0</v>
      </c>
      <c r="BZ333" s="60">
        <f t="shared" si="439"/>
        <v>0</v>
      </c>
      <c r="CA333" s="60">
        <f t="shared" si="440"/>
        <v>0</v>
      </c>
      <c r="CB333" s="60" t="e">
        <f t="shared" si="390"/>
        <v>#N/A</v>
      </c>
      <c r="CC333" s="60">
        <f t="shared" si="391"/>
        <v>100000</v>
      </c>
      <c r="CD333" s="60" t="e">
        <f t="shared" si="392"/>
        <v>#N/A</v>
      </c>
      <c r="CE333" s="60">
        <f t="shared" si="393"/>
        <v>100000</v>
      </c>
      <c r="CF333" s="83" t="e">
        <f t="shared" si="441"/>
        <v>#N/A</v>
      </c>
      <c r="CG333" s="83">
        <f t="shared" si="442"/>
        <v>0</v>
      </c>
      <c r="CH333" s="83" t="e">
        <f t="shared" si="443"/>
        <v>#N/A</v>
      </c>
      <c r="CI333" s="83">
        <f t="shared" si="444"/>
        <v>0</v>
      </c>
      <c r="CJ333" s="86" t="e">
        <f t="shared" si="394"/>
        <v>#N/A</v>
      </c>
      <c r="CK333" s="82">
        <f t="shared" si="395"/>
        <v>5.3070370403969858E-3</v>
      </c>
      <c r="CL333" s="82" t="e">
        <f t="shared" si="396"/>
        <v>#N/A</v>
      </c>
      <c r="CM333" s="82">
        <f t="shared" si="397"/>
        <v>5.3070370403969858E-3</v>
      </c>
      <c r="CO333" s="149" t="str">
        <f>IF($I333&lt;&gt;"",IF(O333="User Specified",U333,INDEX('Refrigerant GWPs'!$G$2:$G$156,MATCH(O333,'Refrigerant GWPs'!$A$2:$A$156,0))),"")</f>
        <v/>
      </c>
      <c r="CP333" s="138" t="str">
        <f>IF($I333&lt;&gt;"",INDEX('Device Refrigerant Leakage'!$E$2:$E$42,MATCH($M333,'Device Refrigerant Leakage'!$B$2:$B$42,0)),"")</f>
        <v/>
      </c>
      <c r="CQ333" s="138" t="str">
        <f>IF($I333&lt;&gt;"",INDEX('Device Refrigerant Leakage'!$F$2:$F$42,MATCH($M333,'Device Refrigerant Leakage'!$B$2:$B$42,0)),"")</f>
        <v/>
      </c>
      <c r="CR333" s="145" t="str">
        <f>IF($I333&lt;&gt;"",INDEX('Device Refrigerant Leakage'!$G$2:$G$42,MATCH($M333,'Device Refrigerant Leakage'!$B$2:$B$42,0)),"")</f>
        <v/>
      </c>
      <c r="CS333" s="145" t="str">
        <f>IF($I333&lt;&gt;"",INDEX('Device Refrigerant Leakage'!$D$2:$D$42,MATCH($M333,'Device Refrigerant Leakage'!$B$2:$B$42,0))*CP333/2204.62*CO333,"")</f>
        <v/>
      </c>
      <c r="CT333" s="145" t="str">
        <f>IF($I333&lt;&gt;"",J333*(INDEX('Device Refrigerant Leakage'!$D$2:$D$42,MATCH($M333,'Device Refrigerant Leakage'!$B$2:$B$42,0))-(INDEX('Device Refrigerant Leakage'!$D$2:$D$42,MATCH($M333,'Device Refrigerant Leakage'!$B$2:$B$42,0)))*CR333*CP333)*CQ333/2204.62*CO333,"")</f>
        <v/>
      </c>
      <c r="CU333" s="135" t="str">
        <f>IF($I333&lt;&gt;"",J333*IF(W333&lt;&gt;"AR",(CS333*K333)+CT333,(CS333*AB333)+CT333*(AB333/INDEX('Device Refrigerant Leakage'!$C$2:$C$42,MATCH($M333,'Device Refrigerant Leakage'!$B$2:$B$42,0)))),"")</f>
        <v/>
      </c>
      <c r="CW333" s="135" t="str">
        <f>IF($I333&lt;&gt;"",IF(S333="User Specified",V333,INDEX('Refrigerant GWPs'!$G$2:$G$156,MATCH(S333,'Refrigerant GWPs'!$A$2:$A$157,0))),"")</f>
        <v/>
      </c>
      <c r="CX333" s="138" t="str">
        <f>IF($I333&lt;&gt;"",INDEX('Device Refrigerant Leakage'!$E$2:$E$42,MATCH($Q333,'Device Refrigerant Leakage'!$B$2:$B$42,0)),"")</f>
        <v/>
      </c>
      <c r="CY333" s="138" t="str">
        <f>IF($I333&lt;&gt;"",INDEX('Device Refrigerant Leakage'!$F$2:$F$42,MATCH($Q333,'Device Refrigerant Leakage'!$B$2:$B$42,0)),"")</f>
        <v/>
      </c>
      <c r="CZ333" s="145" t="str">
        <f>IF($I333&lt;&gt;"",INDEX('Device Refrigerant Leakage'!$G$2:$G$42,MATCH($Q333,'Device Refrigerant Leakage'!$B$2:$B$42,0)),"")</f>
        <v/>
      </c>
      <c r="DA333" s="145" t="str">
        <f>IF($I333&lt;&gt;"",J333*INDEX('Device Refrigerant Leakage'!$D$2:$D$42,MATCH($Q333,'Device Refrigerant Leakage'!$B$2:$B$42,0))*CX333/2204.62*CW333,"")</f>
        <v/>
      </c>
      <c r="DB333" s="145" t="str">
        <f>IF($I333&lt;&gt;"",J333*(INDEX('Device Refrigerant Leakage'!$D$2:$D$42,MATCH($Q333,'Device Refrigerant Leakage'!$B$2:$B$42,0))-(INDEX('Device Refrigerant Leakage'!$D$2:$D$42,MATCH($Q333,'Device Refrigerant Leakage'!$B$2:$B$42,0)))*CZ333*CX333)*CY333/2204.62*CW333,"")</f>
        <v/>
      </c>
      <c r="DC333" s="135" t="str">
        <f t="shared" si="416"/>
        <v/>
      </c>
      <c r="DE333" s="146" t="str">
        <f>IF(W333&lt;&gt;"AR","",IF(Y333="User Specified", AA333, INDEX('Refrigerant GWPs'!$G$2:$G$154,MATCH(Y333,'Refrigerant GWPs'!$A$2:$A$154,0))))</f>
        <v/>
      </c>
      <c r="DF333" s="146" t="str">
        <f>IF(W333&lt;&gt;"AR","",INDEX('Device Refrigerant Leakage'!$E$2:$E$42,MATCH(X333,'Device Refrigerant Leakage'!$B$2:$B$42,0)))</f>
        <v/>
      </c>
      <c r="DG333" s="146" t="str">
        <f>IF(W333&lt;&gt;"AR","",INDEX('Device Refrigerant Leakage'!$F$2:$F$42,MATCH(X333,'Device Refrigerant Leakage'!$B$2:$B$42,0)))</f>
        <v/>
      </c>
      <c r="DH333" s="146" t="str">
        <f>IF(W333&lt;&gt;"AR","",INDEX('Device Refrigerant Leakage'!$G$2:$G$42,MATCH(X333,'Device Refrigerant Leakage'!$B$2:$B$42,0)))</f>
        <v/>
      </c>
      <c r="DI333" s="146" t="str">
        <f>IF(W333&lt;&gt;"AR","",J333*INDEX('Device Refrigerant Leakage'!$D$2:$D$42,MATCH(X333,'Device Refrigerant Leakage'!$B$2:$B$42,0))*DF333/2204.62*DE333)</f>
        <v/>
      </c>
      <c r="DJ333" s="146" t="str">
        <f>IF(W333&lt;&gt;"AR","",J333*(INDEX('Device Refrigerant Leakage'!$D$2:$D$42,MATCH(X333,'Device Refrigerant Leakage'!$B$2:$B$42,0))-(INDEX('Device Refrigerant Leakage'!$D$2:$D$42,MATCH(X333,'Device Refrigerant Leakage'!$B$2:$B$42,0)))*DH333*DF333)*DG333/2204.62*DE333)</f>
        <v/>
      </c>
      <c r="DK333" s="146" t="str">
        <f>IF(W333&lt;&gt;"AR","",DI333*(K333-AB333)+'Fuel Sub Calcs-Deemed'!DJ333*((K333-AB333)/INDEX('Device Refrigerant Leakage'!$C$2:$C$42,MATCH('Fuel Sub Calcs-Deemed'!X333,'Device Refrigerant Leakage'!$B$2:$B$42,0))))</f>
        <v/>
      </c>
      <c r="DM333" s="56">
        <v>319</v>
      </c>
      <c r="DN333" s="67" t="e">
        <f t="shared" si="398"/>
        <v>#N/A</v>
      </c>
      <c r="DO333" s="45" t="e">
        <f t="shared" si="399"/>
        <v>#N/A</v>
      </c>
      <c r="DP333" s="67" t="e">
        <f t="shared" si="400"/>
        <v>#N/A</v>
      </c>
      <c r="DQ333" s="45" t="e">
        <f t="shared" si="401"/>
        <v>#N/A</v>
      </c>
      <c r="DR333" s="69" t="e">
        <f t="shared" si="402"/>
        <v>#N/A</v>
      </c>
      <c r="DS333" s="34"/>
      <c r="DT333" s="67" t="e">
        <f>((BX333*CJ333)+IF($W333=MAT_AR,(BZ333*CL333),0))*(1+Reference!$E$50+Reference!$E$51)</f>
        <v>#N/A</v>
      </c>
      <c r="DU333" s="67">
        <f>((BY333*CK333)+IF($W333=MAT_AR,(CA333*CM333),0))*(1+Reference!$G$50+Reference!$G$51)</f>
        <v>0</v>
      </c>
      <c r="DV333" s="67" t="e">
        <f t="shared" si="403"/>
        <v>#VALUE!</v>
      </c>
      <c r="DX333" s="56">
        <v>319</v>
      </c>
      <c r="DY333" s="67">
        <f t="shared" si="404"/>
        <v>0</v>
      </c>
      <c r="DZ333" s="45" t="e">
        <f>VLOOKUP($R333,Dropdown!$C$3:$D$4,2,FALSE)</f>
        <v>#N/A</v>
      </c>
      <c r="EA333" s="68">
        <f t="shared" si="405"/>
        <v>0</v>
      </c>
      <c r="EB333" s="68" t="str">
        <f t="shared" si="406"/>
        <v>N/A</v>
      </c>
      <c r="EC333" s="68">
        <f t="shared" si="407"/>
        <v>0</v>
      </c>
      <c r="ED333" s="68" t="str">
        <f t="shared" si="445"/>
        <v>N/A</v>
      </c>
      <c r="EF333" s="56">
        <v>319</v>
      </c>
      <c r="EG333" s="46">
        <f t="shared" si="408"/>
        <v>0</v>
      </c>
      <c r="EH333" s="68" t="e">
        <f t="shared" si="409"/>
        <v>#N/A</v>
      </c>
      <c r="EI333" s="68" t="e">
        <f t="shared" si="410"/>
        <v>#N/A</v>
      </c>
      <c r="EJ333" s="68" t="e">
        <f t="shared" si="411"/>
        <v>#N/A</v>
      </c>
      <c r="EK333" s="68" t="e">
        <f t="shared" si="412"/>
        <v>#N/A</v>
      </c>
      <c r="EL333" s="46">
        <f t="shared" si="413"/>
        <v>0</v>
      </c>
      <c r="EM333" s="46">
        <f t="shared" si="414"/>
        <v>0</v>
      </c>
    </row>
    <row r="334" spans="1:143">
      <c r="A334" s="89"/>
      <c r="B334" s="89"/>
      <c r="C334" s="89"/>
      <c r="D334" s="89"/>
      <c r="E334" s="89"/>
      <c r="F334" s="89"/>
      <c r="G334" s="34"/>
      <c r="H334" s="56">
        <f t="shared" si="415"/>
        <v>320</v>
      </c>
      <c r="I334" s="165"/>
      <c r="J334" s="163"/>
      <c r="K334" s="163"/>
      <c r="L334" s="164"/>
      <c r="M334" s="155"/>
      <c r="N334" s="155"/>
      <c r="O334" s="144"/>
      <c r="P334" s="159" t="str">
        <f>IFERROR(IF(O334&lt;&gt;"User Specified",IF(O334&lt;&gt;"", INDEX('Refrigerant GWPs'!$G$2:$G$154,MATCH(O334,'Refrigerant GWPs'!$A$2:$A$154,0)),""),U334),0)</f>
        <v/>
      </c>
      <c r="Q334" s="155"/>
      <c r="R334" s="155"/>
      <c r="S334" s="144"/>
      <c r="T334" s="159" t="str">
        <f>IF(S334&lt;&gt;"User Specified",IF(AND(S334&lt;&gt;"User Specified",S334&lt;&gt;""), INDEX('Refrigerant GWPs'!$G$2:$G$154,MATCH(S334,'Refrigerant GWPs'!$A$2:$A$154,0)),""),V334)</f>
        <v/>
      </c>
      <c r="U334" s="144"/>
      <c r="V334" s="144"/>
      <c r="W334" s="155"/>
      <c r="X334" s="155"/>
      <c r="Y334" s="144"/>
      <c r="Z334" s="159" t="str">
        <f>IF(AND(Y334&lt;&gt;"User Specified",Y334&lt;&gt;""), INDEX('Refrigerant GWPs'!$G$2:$G$154,MATCH(Y334,'Refrigerant GWPs'!$A$2:$A$154,0)),"")</f>
        <v/>
      </c>
      <c r="AA334" s="155"/>
      <c r="AB334" s="156"/>
      <c r="AC334" s="66"/>
      <c r="AD334" s="66"/>
      <c r="AE334" s="66"/>
      <c r="AF334" s="66"/>
      <c r="AG334" s="66"/>
      <c r="AH334" s="66"/>
      <c r="AI334" s="34"/>
      <c r="AJ334" s="88">
        <f t="shared" si="378"/>
        <v>0</v>
      </c>
      <c r="AK334" s="88">
        <f t="shared" si="379"/>
        <v>0</v>
      </c>
      <c r="AL334" s="88">
        <v>0</v>
      </c>
      <c r="AM334" s="88">
        <v>0</v>
      </c>
      <c r="AN334" s="81" t="str">
        <f t="shared" si="417"/>
        <v/>
      </c>
      <c r="AO334" s="88">
        <f t="shared" si="380"/>
        <v>0</v>
      </c>
      <c r="AP334" s="88">
        <f t="shared" si="381"/>
        <v>0</v>
      </c>
      <c r="AQ334" s="81" t="str">
        <f t="shared" si="382"/>
        <v/>
      </c>
      <c r="AS334" s="41" t="b">
        <f t="shared" si="383"/>
        <v>1</v>
      </c>
      <c r="AT334" s="38">
        <f t="shared" si="384"/>
        <v>0</v>
      </c>
      <c r="AU334" s="60">
        <f t="shared" si="385"/>
        <v>0</v>
      </c>
      <c r="AV334" s="41">
        <f t="shared" si="386"/>
        <v>0</v>
      </c>
      <c r="AW334" s="41" t="b">
        <f t="shared" si="387"/>
        <v>0</v>
      </c>
      <c r="AX334" t="str">
        <f t="shared" si="388"/>
        <v>+00</v>
      </c>
      <c r="AY334" t="str">
        <f t="shared" si="389"/>
        <v>+00</v>
      </c>
      <c r="BA334" s="47" t="b">
        <f t="shared" si="418"/>
        <v>1</v>
      </c>
      <c r="BB334" s="42" t="b">
        <f t="shared" si="419"/>
        <v>1</v>
      </c>
      <c r="BC334" s="42" t="b">
        <f t="shared" si="420"/>
        <v>0</v>
      </c>
      <c r="BD334" s="42" t="b">
        <f t="shared" si="421"/>
        <v>0</v>
      </c>
      <c r="BE334" s="70">
        <f t="shared" si="422"/>
        <v>0</v>
      </c>
      <c r="BF334" s="70">
        <f t="shared" si="423"/>
        <v>0</v>
      </c>
      <c r="BG334" s="34"/>
      <c r="BI334" s="47" t="b">
        <f t="shared" si="424"/>
        <v>1</v>
      </c>
      <c r="BJ334" s="47" t="b">
        <f t="shared" si="425"/>
        <v>1</v>
      </c>
      <c r="BK334" s="42" t="b">
        <f t="shared" si="426"/>
        <v>0</v>
      </c>
      <c r="BL334" s="42" t="b">
        <f t="shared" si="427"/>
        <v>0</v>
      </c>
      <c r="BM334" s="42">
        <f t="shared" si="428"/>
        <v>0</v>
      </c>
      <c r="BN334" s="42">
        <f t="shared" si="429"/>
        <v>0</v>
      </c>
      <c r="BP334" t="e">
        <f t="shared" si="430"/>
        <v>#N/A</v>
      </c>
      <c r="BQ334" t="e">
        <f t="shared" si="431"/>
        <v>#N/A</v>
      </c>
      <c r="BR334" t="e">
        <f t="shared" si="432"/>
        <v>#N/A</v>
      </c>
      <c r="BT334" s="60">
        <f t="shared" si="433"/>
        <v>0</v>
      </c>
      <c r="BU334" s="60">
        <f t="shared" si="434"/>
        <v>0</v>
      </c>
      <c r="BV334" s="60">
        <f t="shared" si="435"/>
        <v>0</v>
      </c>
      <c r="BW334" s="60">
        <f t="shared" si="436"/>
        <v>0</v>
      </c>
      <c r="BX334" s="60">
        <f t="shared" si="437"/>
        <v>0</v>
      </c>
      <c r="BY334" s="60">
        <f t="shared" si="438"/>
        <v>0</v>
      </c>
      <c r="BZ334" s="60">
        <f t="shared" si="439"/>
        <v>0</v>
      </c>
      <c r="CA334" s="60">
        <f t="shared" si="440"/>
        <v>0</v>
      </c>
      <c r="CB334" s="60" t="e">
        <f t="shared" si="390"/>
        <v>#N/A</v>
      </c>
      <c r="CC334" s="60">
        <f t="shared" si="391"/>
        <v>100000</v>
      </c>
      <c r="CD334" s="60" t="e">
        <f t="shared" si="392"/>
        <v>#N/A</v>
      </c>
      <c r="CE334" s="60">
        <f t="shared" si="393"/>
        <v>100000</v>
      </c>
      <c r="CF334" s="83" t="e">
        <f t="shared" si="441"/>
        <v>#N/A</v>
      </c>
      <c r="CG334" s="83">
        <f t="shared" si="442"/>
        <v>0</v>
      </c>
      <c r="CH334" s="83" t="e">
        <f t="shared" si="443"/>
        <v>#N/A</v>
      </c>
      <c r="CI334" s="83">
        <f t="shared" si="444"/>
        <v>0</v>
      </c>
      <c r="CJ334" s="86" t="e">
        <f t="shared" si="394"/>
        <v>#N/A</v>
      </c>
      <c r="CK334" s="82">
        <f t="shared" si="395"/>
        <v>5.3070370403969858E-3</v>
      </c>
      <c r="CL334" s="82" t="e">
        <f t="shared" si="396"/>
        <v>#N/A</v>
      </c>
      <c r="CM334" s="82">
        <f t="shared" si="397"/>
        <v>5.3070370403969858E-3</v>
      </c>
      <c r="CO334" s="149" t="str">
        <f>IF($I334&lt;&gt;"",IF(O334="User Specified",U334,INDEX('Refrigerant GWPs'!$G$2:$G$156,MATCH(O334,'Refrigerant GWPs'!$A$2:$A$156,0))),"")</f>
        <v/>
      </c>
      <c r="CP334" s="138" t="str">
        <f>IF($I334&lt;&gt;"",INDEX('Device Refrigerant Leakage'!$E$2:$E$42,MATCH($M334,'Device Refrigerant Leakage'!$B$2:$B$42,0)),"")</f>
        <v/>
      </c>
      <c r="CQ334" s="138" t="str">
        <f>IF($I334&lt;&gt;"",INDEX('Device Refrigerant Leakage'!$F$2:$F$42,MATCH($M334,'Device Refrigerant Leakage'!$B$2:$B$42,0)),"")</f>
        <v/>
      </c>
      <c r="CR334" s="145" t="str">
        <f>IF($I334&lt;&gt;"",INDEX('Device Refrigerant Leakage'!$G$2:$G$42,MATCH($M334,'Device Refrigerant Leakage'!$B$2:$B$42,0)),"")</f>
        <v/>
      </c>
      <c r="CS334" s="145" t="str">
        <f>IF($I334&lt;&gt;"",INDEX('Device Refrigerant Leakage'!$D$2:$D$42,MATCH($M334,'Device Refrigerant Leakage'!$B$2:$B$42,0))*CP334/2204.62*CO334,"")</f>
        <v/>
      </c>
      <c r="CT334" s="145" t="str">
        <f>IF($I334&lt;&gt;"",J334*(INDEX('Device Refrigerant Leakage'!$D$2:$D$42,MATCH($M334,'Device Refrigerant Leakage'!$B$2:$B$42,0))-(INDEX('Device Refrigerant Leakage'!$D$2:$D$42,MATCH($M334,'Device Refrigerant Leakage'!$B$2:$B$42,0)))*CR334*CP334)*CQ334/2204.62*CO334,"")</f>
        <v/>
      </c>
      <c r="CU334" s="135" t="str">
        <f>IF($I334&lt;&gt;"",J334*IF(W334&lt;&gt;"AR",(CS334*K334)+CT334,(CS334*AB334)+CT334*(AB334/INDEX('Device Refrigerant Leakage'!$C$2:$C$42,MATCH($M334,'Device Refrigerant Leakage'!$B$2:$B$42,0)))),"")</f>
        <v/>
      </c>
      <c r="CW334" s="135" t="str">
        <f>IF($I334&lt;&gt;"",IF(S334="User Specified",V334,INDEX('Refrigerant GWPs'!$G$2:$G$156,MATCH(S334,'Refrigerant GWPs'!$A$2:$A$157,0))),"")</f>
        <v/>
      </c>
      <c r="CX334" s="138" t="str">
        <f>IF($I334&lt;&gt;"",INDEX('Device Refrigerant Leakage'!$E$2:$E$42,MATCH($Q334,'Device Refrigerant Leakage'!$B$2:$B$42,0)),"")</f>
        <v/>
      </c>
      <c r="CY334" s="138" t="str">
        <f>IF($I334&lt;&gt;"",INDEX('Device Refrigerant Leakage'!$F$2:$F$42,MATCH($Q334,'Device Refrigerant Leakage'!$B$2:$B$42,0)),"")</f>
        <v/>
      </c>
      <c r="CZ334" s="145" t="str">
        <f>IF($I334&lt;&gt;"",INDEX('Device Refrigerant Leakage'!$G$2:$G$42,MATCH($Q334,'Device Refrigerant Leakage'!$B$2:$B$42,0)),"")</f>
        <v/>
      </c>
      <c r="DA334" s="145" t="str">
        <f>IF($I334&lt;&gt;"",J334*INDEX('Device Refrigerant Leakage'!$D$2:$D$42,MATCH($Q334,'Device Refrigerant Leakage'!$B$2:$B$42,0))*CX334/2204.62*CW334,"")</f>
        <v/>
      </c>
      <c r="DB334" s="145" t="str">
        <f>IF($I334&lt;&gt;"",J334*(INDEX('Device Refrigerant Leakage'!$D$2:$D$42,MATCH($Q334,'Device Refrigerant Leakage'!$B$2:$B$42,0))-(INDEX('Device Refrigerant Leakage'!$D$2:$D$42,MATCH($Q334,'Device Refrigerant Leakage'!$B$2:$B$42,0)))*CZ334*CX334)*CY334/2204.62*CW334,"")</f>
        <v/>
      </c>
      <c r="DC334" s="135" t="str">
        <f t="shared" si="416"/>
        <v/>
      </c>
      <c r="DE334" s="146" t="str">
        <f>IF(W334&lt;&gt;"AR","",IF(Y334="User Specified", AA334, INDEX('Refrigerant GWPs'!$G$2:$G$154,MATCH(Y334,'Refrigerant GWPs'!$A$2:$A$154,0))))</f>
        <v/>
      </c>
      <c r="DF334" s="146" t="str">
        <f>IF(W334&lt;&gt;"AR","",INDEX('Device Refrigerant Leakage'!$E$2:$E$42,MATCH(X334,'Device Refrigerant Leakage'!$B$2:$B$42,0)))</f>
        <v/>
      </c>
      <c r="DG334" s="146" t="str">
        <f>IF(W334&lt;&gt;"AR","",INDEX('Device Refrigerant Leakage'!$F$2:$F$42,MATCH(X334,'Device Refrigerant Leakage'!$B$2:$B$42,0)))</f>
        <v/>
      </c>
      <c r="DH334" s="146" t="str">
        <f>IF(W334&lt;&gt;"AR","",INDEX('Device Refrigerant Leakage'!$G$2:$G$42,MATCH(X334,'Device Refrigerant Leakage'!$B$2:$B$42,0)))</f>
        <v/>
      </c>
      <c r="DI334" s="146" t="str">
        <f>IF(W334&lt;&gt;"AR","",J334*INDEX('Device Refrigerant Leakage'!$D$2:$D$42,MATCH(X334,'Device Refrigerant Leakage'!$B$2:$B$42,0))*DF334/2204.62*DE334)</f>
        <v/>
      </c>
      <c r="DJ334" s="146" t="str">
        <f>IF(W334&lt;&gt;"AR","",J334*(INDEX('Device Refrigerant Leakage'!$D$2:$D$42,MATCH(X334,'Device Refrigerant Leakage'!$B$2:$B$42,0))-(INDEX('Device Refrigerant Leakage'!$D$2:$D$42,MATCH(X334,'Device Refrigerant Leakage'!$B$2:$B$42,0)))*DH334*DF334)*DG334/2204.62*DE334)</f>
        <v/>
      </c>
      <c r="DK334" s="146" t="str">
        <f>IF(W334&lt;&gt;"AR","",DI334*(K334-AB334)+'Fuel Sub Calcs-Deemed'!DJ334*((K334-AB334)/INDEX('Device Refrigerant Leakage'!$C$2:$C$42,MATCH('Fuel Sub Calcs-Deemed'!X334,'Device Refrigerant Leakage'!$B$2:$B$42,0))))</f>
        <v/>
      </c>
      <c r="DM334" s="56">
        <v>320</v>
      </c>
      <c r="DN334" s="67" t="e">
        <f t="shared" si="398"/>
        <v>#N/A</v>
      </c>
      <c r="DO334" s="45" t="e">
        <f t="shared" si="399"/>
        <v>#N/A</v>
      </c>
      <c r="DP334" s="67" t="e">
        <f t="shared" si="400"/>
        <v>#N/A</v>
      </c>
      <c r="DQ334" s="45" t="e">
        <f t="shared" si="401"/>
        <v>#N/A</v>
      </c>
      <c r="DR334" s="69" t="e">
        <f t="shared" si="402"/>
        <v>#N/A</v>
      </c>
      <c r="DS334" s="34"/>
      <c r="DT334" s="67" t="e">
        <f>((BX334*CJ334)+IF($W334=MAT_AR,(BZ334*CL334),0))*(1+Reference!$E$50+Reference!$E$51)</f>
        <v>#N/A</v>
      </c>
      <c r="DU334" s="67">
        <f>((BY334*CK334)+IF($W334=MAT_AR,(CA334*CM334),0))*(1+Reference!$G$50+Reference!$G$51)</f>
        <v>0</v>
      </c>
      <c r="DV334" s="67" t="e">
        <f t="shared" si="403"/>
        <v>#VALUE!</v>
      </c>
      <c r="DX334" s="56">
        <v>320</v>
      </c>
      <c r="DY334" s="67">
        <f t="shared" si="404"/>
        <v>0</v>
      </c>
      <c r="DZ334" s="45" t="e">
        <f>VLOOKUP($R334,Dropdown!$C$3:$D$4,2,FALSE)</f>
        <v>#N/A</v>
      </c>
      <c r="EA334" s="68">
        <f t="shared" si="405"/>
        <v>0</v>
      </c>
      <c r="EB334" s="68" t="str">
        <f t="shared" si="406"/>
        <v>N/A</v>
      </c>
      <c r="EC334" s="68">
        <f t="shared" si="407"/>
        <v>0</v>
      </c>
      <c r="ED334" s="68" t="str">
        <f t="shared" si="445"/>
        <v>N/A</v>
      </c>
      <c r="EF334" s="56">
        <v>320</v>
      </c>
      <c r="EG334" s="46">
        <f t="shared" si="408"/>
        <v>0</v>
      </c>
      <c r="EH334" s="68" t="e">
        <f t="shared" si="409"/>
        <v>#N/A</v>
      </c>
      <c r="EI334" s="68" t="e">
        <f t="shared" si="410"/>
        <v>#N/A</v>
      </c>
      <c r="EJ334" s="68" t="e">
        <f t="shared" si="411"/>
        <v>#N/A</v>
      </c>
      <c r="EK334" s="68" t="e">
        <f t="shared" si="412"/>
        <v>#N/A</v>
      </c>
      <c r="EL334" s="46">
        <f t="shared" si="413"/>
        <v>0</v>
      </c>
      <c r="EM334" s="46">
        <f t="shared" si="414"/>
        <v>0</v>
      </c>
    </row>
    <row r="335" spans="1:143">
      <c r="A335" s="89"/>
      <c r="B335" s="89"/>
      <c r="C335" s="89"/>
      <c r="D335" s="89"/>
      <c r="E335" s="89"/>
      <c r="F335" s="89"/>
      <c r="G335" s="34"/>
      <c r="H335" s="56">
        <f t="shared" si="415"/>
        <v>321</v>
      </c>
      <c r="I335" s="165"/>
      <c r="J335" s="163"/>
      <c r="K335" s="163"/>
      <c r="L335" s="164"/>
      <c r="M335" s="155"/>
      <c r="N335" s="155"/>
      <c r="O335" s="144"/>
      <c r="P335" s="159" t="str">
        <f>IFERROR(IF(O335&lt;&gt;"User Specified",IF(O335&lt;&gt;"", INDEX('Refrigerant GWPs'!$G$2:$G$154,MATCH(O335,'Refrigerant GWPs'!$A$2:$A$154,0)),""),U335),0)</f>
        <v/>
      </c>
      <c r="Q335" s="155"/>
      <c r="R335" s="155"/>
      <c r="S335" s="144"/>
      <c r="T335" s="159" t="str">
        <f>IF(S335&lt;&gt;"User Specified",IF(AND(S335&lt;&gt;"User Specified",S335&lt;&gt;""), INDEX('Refrigerant GWPs'!$G$2:$G$154,MATCH(S335,'Refrigerant GWPs'!$A$2:$A$154,0)),""),V335)</f>
        <v/>
      </c>
      <c r="U335" s="144"/>
      <c r="V335" s="144"/>
      <c r="W335" s="155"/>
      <c r="X335" s="155"/>
      <c r="Y335" s="144"/>
      <c r="Z335" s="159" t="str">
        <f>IF(AND(Y335&lt;&gt;"User Specified",Y335&lt;&gt;""), INDEX('Refrigerant GWPs'!$G$2:$G$154,MATCH(Y335,'Refrigerant GWPs'!$A$2:$A$154,0)),"")</f>
        <v/>
      </c>
      <c r="AA335" s="155"/>
      <c r="AB335" s="156"/>
      <c r="AC335" s="66"/>
      <c r="AD335" s="66"/>
      <c r="AE335" s="66"/>
      <c r="AF335" s="66"/>
      <c r="AG335" s="66"/>
      <c r="AH335" s="66"/>
      <c r="AI335" s="34"/>
      <c r="AJ335" s="88">
        <f t="shared" ref="AJ335:AJ398" si="446">IF($W335=MAT_AR,AC335,AF335)</f>
        <v>0</v>
      </c>
      <c r="AK335" s="88">
        <f t="shared" ref="AK335:AK398" si="447">IF($W335=MAT_AR,AE335,AH335)</f>
        <v>0</v>
      </c>
      <c r="AL335" s="88">
        <v>0</v>
      </c>
      <c r="AM335" s="88">
        <v>0</v>
      </c>
      <c r="AN335" s="81" t="str">
        <f t="shared" si="417"/>
        <v/>
      </c>
      <c r="AO335" s="88">
        <f t="shared" ref="AO335:AO398" si="448">IF($W335=MAT_AR,AF335,0)</f>
        <v>0</v>
      </c>
      <c r="AP335" s="88">
        <f t="shared" ref="AP335:AP398" si="449">IF($W335=MAT_AR,AH335,0)</f>
        <v>0</v>
      </c>
      <c r="AQ335" s="81" t="str">
        <f t="shared" ref="AQ335:AQ398" si="450">IF(AND(W335=MAT_AR,OR(BK335:BL335)),"Warning: Need to enter baseline and measure consumption","")</f>
        <v/>
      </c>
      <c r="AS335" s="41" t="b">
        <f t="shared" ref="AS335:AS398" si="451">NOT(W335=MAT_AR)</f>
        <v>1</v>
      </c>
      <c r="AT335" s="38">
        <f t="shared" ref="AT335:AT398" si="452">IF(W335=MAT_AR,AB335,K335)</f>
        <v>0</v>
      </c>
      <c r="AU335" s="60">
        <f t="shared" ref="AU335:AU398" si="453">K335-AT335</f>
        <v>0</v>
      </c>
      <c r="AV335" s="41">
        <f t="shared" ref="AV335:AV398" si="454">IF(W335=MAT_AR,AB335,0)</f>
        <v>0</v>
      </c>
      <c r="AW335" s="41" t="b">
        <f t="shared" ref="AW335:AW398" si="455">AND(NOT(ISBLANK(I335)),NOT(ISBLANK(J335)),NOT(ISBLANK(K335)),NOT(ISBLANK(L335)),NOT(ISBLANK(N335)),NOT(ISBLANK(R335)),NOT(OR(BC335:BD335)),NOT(ISBLANK(W335)))</f>
        <v>0</v>
      </c>
      <c r="AX335" t="str">
        <f t="shared" ref="AX335:AX398" si="456">$L335&amp;"+"&amp;TEXT(ROUND($AT335,0),"00")</f>
        <v>+00</v>
      </c>
      <c r="AY335" t="str">
        <f t="shared" ref="AY335:AY398" si="457">TEXT(ROUND($L335+$AT335,0),"#")&amp;"+"&amp;TEXT(ROUND($AU335,0),"00")</f>
        <v>+00</v>
      </c>
      <c r="BA335" s="47" t="b">
        <f t="shared" si="418"/>
        <v>1</v>
      </c>
      <c r="BB335" s="42" t="b">
        <f t="shared" si="419"/>
        <v>1</v>
      </c>
      <c r="BC335" s="42" t="b">
        <f t="shared" si="420"/>
        <v>0</v>
      </c>
      <c r="BD335" s="42" t="b">
        <f t="shared" si="421"/>
        <v>0</v>
      </c>
      <c r="BE335" s="70">
        <f t="shared" si="422"/>
        <v>0</v>
      </c>
      <c r="BF335" s="70">
        <f t="shared" si="423"/>
        <v>0</v>
      </c>
      <c r="BG335" s="34"/>
      <c r="BI335" s="47" t="b">
        <f t="shared" si="424"/>
        <v>1</v>
      </c>
      <c r="BJ335" s="47" t="b">
        <f t="shared" si="425"/>
        <v>1</v>
      </c>
      <c r="BK335" s="42" t="b">
        <f t="shared" si="426"/>
        <v>0</v>
      </c>
      <c r="BL335" s="42" t="b">
        <f t="shared" si="427"/>
        <v>0</v>
      </c>
      <c r="BM335" s="42">
        <f t="shared" si="428"/>
        <v>0</v>
      </c>
      <c r="BN335" s="42">
        <f t="shared" si="429"/>
        <v>0</v>
      </c>
      <c r="BP335" t="e">
        <f t="shared" si="430"/>
        <v>#N/A</v>
      </c>
      <c r="BQ335" t="e">
        <f t="shared" si="431"/>
        <v>#N/A</v>
      </c>
      <c r="BR335" t="e">
        <f t="shared" si="432"/>
        <v>#N/A</v>
      </c>
      <c r="BT335" s="60">
        <f t="shared" si="433"/>
        <v>0</v>
      </c>
      <c r="BU335" s="60">
        <f t="shared" si="434"/>
        <v>0</v>
      </c>
      <c r="BV335" s="60">
        <f t="shared" si="435"/>
        <v>0</v>
      </c>
      <c r="BW335" s="60">
        <f t="shared" si="436"/>
        <v>0</v>
      </c>
      <c r="BX335" s="60">
        <f t="shared" si="437"/>
        <v>0</v>
      </c>
      <c r="BY335" s="60">
        <f t="shared" si="438"/>
        <v>0</v>
      </c>
      <c r="BZ335" s="60">
        <f t="shared" si="439"/>
        <v>0</v>
      </c>
      <c r="CA335" s="60">
        <f t="shared" si="440"/>
        <v>0</v>
      </c>
      <c r="CB335" s="60" t="e">
        <f t="shared" ref="CB335:CB398" si="458">INDEX(AFL_Source_Energy_Btu_per_kWh,MATCH($AX335,AFL_IndexB,0))</f>
        <v>#N/A</v>
      </c>
      <c r="CC335" s="60">
        <f t="shared" ref="CC335:CC398" si="459">Btu_therm</f>
        <v>100000</v>
      </c>
      <c r="CD335" s="60" t="e">
        <f t="shared" ref="CD335:CD398" si="460">INDEX(AFL_Source_Energy_Btu_per_kWh,MATCH($AY335,AFL_IndexB,0))</f>
        <v>#N/A</v>
      </c>
      <c r="CE335" s="60">
        <f t="shared" ref="CE335:CE398" si="461">Btu_therm</f>
        <v>100000</v>
      </c>
      <c r="CF335" s="83" t="e">
        <f t="shared" si="441"/>
        <v>#N/A</v>
      </c>
      <c r="CG335" s="83">
        <f t="shared" si="442"/>
        <v>0</v>
      </c>
      <c r="CH335" s="83" t="e">
        <f t="shared" si="443"/>
        <v>#N/A</v>
      </c>
      <c r="CI335" s="83">
        <f t="shared" si="444"/>
        <v>0</v>
      </c>
      <c r="CJ335" s="86" t="e">
        <f t="shared" ref="CJ335:CJ398" si="462">INDEX(AFL_Emissions_Intensity_metric_tonnes_per_MWh,MATCH($AX335,AFL_IndexB,0))/1000</f>
        <v>#N/A</v>
      </c>
      <c r="CK335" s="82">
        <f t="shared" ref="CK335:CK398" si="463">NG_metric_tonne_CO2_therm</f>
        <v>5.3070370403969858E-3</v>
      </c>
      <c r="CL335" s="82" t="e">
        <f t="shared" ref="CL335:CL398" si="464">INDEX(AFL_Emissions_Intensity_metric_tonnes_per_MWh,MATCH($AY335,AFL_IndexB,0))/1000</f>
        <v>#N/A</v>
      </c>
      <c r="CM335" s="82">
        <f t="shared" ref="CM335:CM398" si="465">NG_metric_tonne_CO2_therm</f>
        <v>5.3070370403969858E-3</v>
      </c>
      <c r="CO335" s="149" t="str">
        <f>IF($I335&lt;&gt;"",IF(O335="User Specified",U335,INDEX('Refrigerant GWPs'!$G$2:$G$156,MATCH(O335,'Refrigerant GWPs'!$A$2:$A$156,0))),"")</f>
        <v/>
      </c>
      <c r="CP335" s="138" t="str">
        <f>IF($I335&lt;&gt;"",INDEX('Device Refrigerant Leakage'!$E$2:$E$42,MATCH($M335,'Device Refrigerant Leakage'!$B$2:$B$42,0)),"")</f>
        <v/>
      </c>
      <c r="CQ335" s="138" t="str">
        <f>IF($I335&lt;&gt;"",INDEX('Device Refrigerant Leakage'!$F$2:$F$42,MATCH($M335,'Device Refrigerant Leakage'!$B$2:$B$42,0)),"")</f>
        <v/>
      </c>
      <c r="CR335" s="145" t="str">
        <f>IF($I335&lt;&gt;"",INDEX('Device Refrigerant Leakage'!$G$2:$G$42,MATCH($M335,'Device Refrigerant Leakage'!$B$2:$B$42,0)),"")</f>
        <v/>
      </c>
      <c r="CS335" s="145" t="str">
        <f>IF($I335&lt;&gt;"",INDEX('Device Refrigerant Leakage'!$D$2:$D$42,MATCH($M335,'Device Refrigerant Leakage'!$B$2:$B$42,0))*CP335/2204.62*CO335,"")</f>
        <v/>
      </c>
      <c r="CT335" s="145" t="str">
        <f>IF($I335&lt;&gt;"",J335*(INDEX('Device Refrigerant Leakage'!$D$2:$D$42,MATCH($M335,'Device Refrigerant Leakage'!$B$2:$B$42,0))-(INDEX('Device Refrigerant Leakage'!$D$2:$D$42,MATCH($M335,'Device Refrigerant Leakage'!$B$2:$B$42,0)))*CR335*CP335)*CQ335/2204.62*CO335,"")</f>
        <v/>
      </c>
      <c r="CU335" s="135" t="str">
        <f>IF($I335&lt;&gt;"",J335*IF(W335&lt;&gt;"AR",(CS335*K335)+CT335,(CS335*AB335)+CT335*(AB335/INDEX('Device Refrigerant Leakage'!$C$2:$C$42,MATCH($M335,'Device Refrigerant Leakage'!$B$2:$B$42,0)))),"")</f>
        <v/>
      </c>
      <c r="CW335" s="135" t="str">
        <f>IF($I335&lt;&gt;"",IF(S335="User Specified",V335,INDEX('Refrigerant GWPs'!$G$2:$G$156,MATCH(S335,'Refrigerant GWPs'!$A$2:$A$157,0))),"")</f>
        <v/>
      </c>
      <c r="CX335" s="138" t="str">
        <f>IF($I335&lt;&gt;"",INDEX('Device Refrigerant Leakage'!$E$2:$E$42,MATCH($Q335,'Device Refrigerant Leakage'!$B$2:$B$42,0)),"")</f>
        <v/>
      </c>
      <c r="CY335" s="138" t="str">
        <f>IF($I335&lt;&gt;"",INDEX('Device Refrigerant Leakage'!$F$2:$F$42,MATCH($Q335,'Device Refrigerant Leakage'!$B$2:$B$42,0)),"")</f>
        <v/>
      </c>
      <c r="CZ335" s="145" t="str">
        <f>IF($I335&lt;&gt;"",INDEX('Device Refrigerant Leakage'!$G$2:$G$42,MATCH($Q335,'Device Refrigerant Leakage'!$B$2:$B$42,0)),"")</f>
        <v/>
      </c>
      <c r="DA335" s="145" t="str">
        <f>IF($I335&lt;&gt;"",J335*INDEX('Device Refrigerant Leakage'!$D$2:$D$42,MATCH($Q335,'Device Refrigerant Leakage'!$B$2:$B$42,0))*CX335/2204.62*CW335,"")</f>
        <v/>
      </c>
      <c r="DB335" s="145" t="str">
        <f>IF($I335&lt;&gt;"",J335*(INDEX('Device Refrigerant Leakage'!$D$2:$D$42,MATCH($Q335,'Device Refrigerant Leakage'!$B$2:$B$42,0))-(INDEX('Device Refrigerant Leakage'!$D$2:$D$42,MATCH($Q335,'Device Refrigerant Leakage'!$B$2:$B$42,0)))*CZ335*CX335)*CY335/2204.62*CW335,"")</f>
        <v/>
      </c>
      <c r="DC335" s="135" t="str">
        <f t="shared" si="416"/>
        <v/>
      </c>
      <c r="DE335" s="146" t="str">
        <f>IF(W335&lt;&gt;"AR","",IF(Y335="User Specified", AA335, INDEX('Refrigerant GWPs'!$G$2:$G$154,MATCH(Y335,'Refrigerant GWPs'!$A$2:$A$154,0))))</f>
        <v/>
      </c>
      <c r="DF335" s="146" t="str">
        <f>IF(W335&lt;&gt;"AR","",INDEX('Device Refrigerant Leakage'!$E$2:$E$42,MATCH(X335,'Device Refrigerant Leakage'!$B$2:$B$42,0)))</f>
        <v/>
      </c>
      <c r="DG335" s="146" t="str">
        <f>IF(W335&lt;&gt;"AR","",INDEX('Device Refrigerant Leakage'!$F$2:$F$42,MATCH(X335,'Device Refrigerant Leakage'!$B$2:$B$42,0)))</f>
        <v/>
      </c>
      <c r="DH335" s="146" t="str">
        <f>IF(W335&lt;&gt;"AR","",INDEX('Device Refrigerant Leakage'!$G$2:$G$42,MATCH(X335,'Device Refrigerant Leakage'!$B$2:$B$42,0)))</f>
        <v/>
      </c>
      <c r="DI335" s="146" t="str">
        <f>IF(W335&lt;&gt;"AR","",J335*INDEX('Device Refrigerant Leakage'!$D$2:$D$42,MATCH(X335,'Device Refrigerant Leakage'!$B$2:$B$42,0))*DF335/2204.62*DE335)</f>
        <v/>
      </c>
      <c r="DJ335" s="146" t="str">
        <f>IF(W335&lt;&gt;"AR","",J335*(INDEX('Device Refrigerant Leakage'!$D$2:$D$42,MATCH(X335,'Device Refrigerant Leakage'!$B$2:$B$42,0))-(INDEX('Device Refrigerant Leakage'!$D$2:$D$42,MATCH(X335,'Device Refrigerant Leakage'!$B$2:$B$42,0)))*DH335*DF335)*DG335/2204.62*DE335)</f>
        <v/>
      </c>
      <c r="DK335" s="146" t="str">
        <f>IF(W335&lt;&gt;"AR","",DI335*(K335-AB335)+'Fuel Sub Calcs-Deemed'!DJ335*((K335-AB335)/INDEX('Device Refrigerant Leakage'!$C$2:$C$42,MATCH('Fuel Sub Calcs-Deemed'!X335,'Device Refrigerant Leakage'!$B$2:$B$42,0))))</f>
        <v/>
      </c>
      <c r="DM335" s="56">
        <v>321</v>
      </c>
      <c r="DN335" s="67" t="e">
        <f t="shared" ref="DN335:DN398" si="466">(CB335*BX335+BY335*CE335)/10^6+IF($W335=MAT_AR,(BZ335*CD335+CA335*CE335)/10^6,0)</f>
        <v>#N/A</v>
      </c>
      <c r="DO335" s="45" t="e">
        <f t="shared" ref="DO335:DO398" si="467">IF(BP335,"PASS","FAIL")</f>
        <v>#N/A</v>
      </c>
      <c r="DP335" s="67" t="e">
        <f t="shared" ref="DP335:DP398" si="468">(DT335+DU335+DV335)</f>
        <v>#N/A</v>
      </c>
      <c r="DQ335" s="45" t="e">
        <f t="shared" ref="DQ335:DQ398" si="469">IF(BQ335,"PASS","FAIL")</f>
        <v>#N/A</v>
      </c>
      <c r="DR335" s="69" t="e">
        <f t="shared" ref="DR335:DR398" si="470">IF(BR335,"Eligible","Not eligible")</f>
        <v>#N/A</v>
      </c>
      <c r="DS335" s="34"/>
      <c r="DT335" s="67" t="e">
        <f>((BX335*CJ335)+IF($W335=MAT_AR,(BZ335*CL335),0))*(1+Reference!$E$50+Reference!$E$51)</f>
        <v>#N/A</v>
      </c>
      <c r="DU335" s="67">
        <f>((BY335*CK335)+IF($W335=MAT_AR,(CA335*CM335),0))*(1+Reference!$G$50+Reference!$G$51)</f>
        <v>0</v>
      </c>
      <c r="DV335" s="67" t="e">
        <f t="shared" ref="DV335:DV398" si="471">IF(W335="NR",CU335-DC335,(CU335+DK335)-DC335)</f>
        <v>#VALUE!</v>
      </c>
      <c r="DX335" s="56">
        <v>321</v>
      </c>
      <c r="DY335" s="67">
        <f t="shared" ref="DY335:DY398" si="472">(Btu_per_kWh*BT335+Btu_therm*BU335)/10^6</f>
        <v>0</v>
      </c>
      <c r="DZ335" s="45" t="e">
        <f>VLOOKUP($R335,Dropdown!$C$3:$D$4,2,FALSE)</f>
        <v>#N/A</v>
      </c>
      <c r="EA335" s="68">
        <f t="shared" ref="EA335:EA398" si="473">IF($R335=fuel_electricity,$DY335*10^6/Btu_per_kWh,0)</f>
        <v>0</v>
      </c>
      <c r="EB335" s="68" t="str">
        <f t="shared" ref="EB335:EB398" si="474">IF($R335=fuel_natural_gas,$DY335/MMBtu_per_therm,"N/A")</f>
        <v>N/A</v>
      </c>
      <c r="EC335" s="68">
        <f t="shared" ref="EC335:EC398" si="475">IF($R335=fuel_electricity,"N/A",AJ335)</f>
        <v>0</v>
      </c>
      <c r="ED335" s="68" t="str">
        <f t="shared" si="445"/>
        <v>N/A</v>
      </c>
      <c r="EF335" s="56">
        <v>321</v>
      </c>
      <c r="EG335" s="46">
        <f t="shared" ref="EG335:EG398" si="476">J335</f>
        <v>0</v>
      </c>
      <c r="EH335" s="68" t="e">
        <f t="shared" ref="EH335:EH398" si="477">IF($BR335,BE335,0)</f>
        <v>#N/A</v>
      </c>
      <c r="EI335" s="68" t="e">
        <f t="shared" ref="EI335:EI398" si="478">IF($BR335,BF335,0)</f>
        <v>#N/A</v>
      </c>
      <c r="EJ335" s="68" t="e">
        <f t="shared" ref="EJ335:EJ398" si="479">IF($BR335,BM335,0)</f>
        <v>#N/A</v>
      </c>
      <c r="EK335" s="68" t="e">
        <f t="shared" ref="EK335:EK398" si="480">IF($BR335,BN335,0)</f>
        <v>#N/A</v>
      </c>
      <c r="EL335" s="46">
        <f t="shared" ref="EL335:EL398" si="481">K335</f>
        <v>0</v>
      </c>
      <c r="EM335" s="46">
        <f t="shared" ref="EM335:EM398" si="482">AV335</f>
        <v>0</v>
      </c>
    </row>
    <row r="336" spans="1:143">
      <c r="A336" s="89"/>
      <c r="B336" s="89"/>
      <c r="C336" s="89"/>
      <c r="D336" s="89"/>
      <c r="E336" s="89"/>
      <c r="F336" s="89"/>
      <c r="G336" s="34"/>
      <c r="H336" s="56">
        <f t="shared" ref="H336:H399" si="483">ROW($H336)-ROW($H$14)</f>
        <v>322</v>
      </c>
      <c r="I336" s="165"/>
      <c r="J336" s="163"/>
      <c r="K336" s="163"/>
      <c r="L336" s="164"/>
      <c r="M336" s="155"/>
      <c r="N336" s="155"/>
      <c r="O336" s="144"/>
      <c r="P336" s="159" t="str">
        <f>IFERROR(IF(O336&lt;&gt;"User Specified",IF(O336&lt;&gt;"", INDEX('Refrigerant GWPs'!$G$2:$G$154,MATCH(O336,'Refrigerant GWPs'!$A$2:$A$154,0)),""),U336),0)</f>
        <v/>
      </c>
      <c r="Q336" s="155"/>
      <c r="R336" s="155"/>
      <c r="S336" s="144"/>
      <c r="T336" s="159" t="str">
        <f>IF(S336&lt;&gt;"User Specified",IF(AND(S336&lt;&gt;"User Specified",S336&lt;&gt;""), INDEX('Refrigerant GWPs'!$G$2:$G$154,MATCH(S336,'Refrigerant GWPs'!$A$2:$A$154,0)),""),V336)</f>
        <v/>
      </c>
      <c r="U336" s="144"/>
      <c r="V336" s="144"/>
      <c r="W336" s="155"/>
      <c r="X336" s="155"/>
      <c r="Y336" s="144"/>
      <c r="Z336" s="159" t="str">
        <f>IF(AND(Y336&lt;&gt;"User Specified",Y336&lt;&gt;""), INDEX('Refrigerant GWPs'!$G$2:$G$154,MATCH(Y336,'Refrigerant GWPs'!$A$2:$A$154,0)),"")</f>
        <v/>
      </c>
      <c r="AA336" s="155"/>
      <c r="AB336" s="156"/>
      <c r="AC336" s="66"/>
      <c r="AD336" s="66"/>
      <c r="AE336" s="66"/>
      <c r="AF336" s="66"/>
      <c r="AG336" s="66"/>
      <c r="AH336" s="66"/>
      <c r="AI336" s="34"/>
      <c r="AJ336" s="88">
        <f t="shared" si="446"/>
        <v>0</v>
      </c>
      <c r="AK336" s="88">
        <f t="shared" si="447"/>
        <v>0</v>
      </c>
      <c r="AL336" s="88">
        <v>0</v>
      </c>
      <c r="AM336" s="88">
        <v>0</v>
      </c>
      <c r="AN336" s="81" t="str">
        <f t="shared" si="417"/>
        <v/>
      </c>
      <c r="AO336" s="88">
        <f t="shared" si="448"/>
        <v>0</v>
      </c>
      <c r="AP336" s="88">
        <f t="shared" si="449"/>
        <v>0</v>
      </c>
      <c r="AQ336" s="81" t="str">
        <f t="shared" si="450"/>
        <v/>
      </c>
      <c r="AS336" s="41" t="b">
        <f t="shared" si="451"/>
        <v>1</v>
      </c>
      <c r="AT336" s="38">
        <f t="shared" si="452"/>
        <v>0</v>
      </c>
      <c r="AU336" s="60">
        <f t="shared" si="453"/>
        <v>0</v>
      </c>
      <c r="AV336" s="41">
        <f t="shared" si="454"/>
        <v>0</v>
      </c>
      <c r="AW336" s="41" t="b">
        <f t="shared" si="455"/>
        <v>0</v>
      </c>
      <c r="AX336" t="str">
        <f t="shared" si="456"/>
        <v>+00</v>
      </c>
      <c r="AY336" t="str">
        <f t="shared" si="457"/>
        <v>+00</v>
      </c>
      <c r="BA336" s="47" t="b">
        <f t="shared" si="418"/>
        <v>1</v>
      </c>
      <c r="BB336" s="42" t="b">
        <f t="shared" si="419"/>
        <v>1</v>
      </c>
      <c r="BC336" s="42" t="b">
        <f t="shared" si="420"/>
        <v>0</v>
      </c>
      <c r="BD336" s="42" t="b">
        <f t="shared" si="421"/>
        <v>0</v>
      </c>
      <c r="BE336" s="70">
        <f t="shared" si="422"/>
        <v>0</v>
      </c>
      <c r="BF336" s="70">
        <f t="shared" si="423"/>
        <v>0</v>
      </c>
      <c r="BG336" s="34"/>
      <c r="BI336" s="47" t="b">
        <f t="shared" si="424"/>
        <v>1</v>
      </c>
      <c r="BJ336" s="47" t="b">
        <f t="shared" si="425"/>
        <v>1</v>
      </c>
      <c r="BK336" s="42" t="b">
        <f t="shared" si="426"/>
        <v>0</v>
      </c>
      <c r="BL336" s="42" t="b">
        <f t="shared" si="427"/>
        <v>0</v>
      </c>
      <c r="BM336" s="42">
        <f t="shared" si="428"/>
        <v>0</v>
      </c>
      <c r="BN336" s="42">
        <f t="shared" si="429"/>
        <v>0</v>
      </c>
      <c r="BP336" t="e">
        <f t="shared" si="430"/>
        <v>#N/A</v>
      </c>
      <c r="BQ336" t="e">
        <f t="shared" si="431"/>
        <v>#N/A</v>
      </c>
      <c r="BR336" t="e">
        <f t="shared" si="432"/>
        <v>#N/A</v>
      </c>
      <c r="BT336" s="60">
        <f t="shared" si="433"/>
        <v>0</v>
      </c>
      <c r="BU336" s="60">
        <f t="shared" si="434"/>
        <v>0</v>
      </c>
      <c r="BV336" s="60">
        <f t="shared" si="435"/>
        <v>0</v>
      </c>
      <c r="BW336" s="60">
        <f t="shared" si="436"/>
        <v>0</v>
      </c>
      <c r="BX336" s="60">
        <f t="shared" si="437"/>
        <v>0</v>
      </c>
      <c r="BY336" s="60">
        <f t="shared" si="438"/>
        <v>0</v>
      </c>
      <c r="BZ336" s="60">
        <f t="shared" si="439"/>
        <v>0</v>
      </c>
      <c r="CA336" s="60">
        <f t="shared" si="440"/>
        <v>0</v>
      </c>
      <c r="CB336" s="60" t="e">
        <f t="shared" si="458"/>
        <v>#N/A</v>
      </c>
      <c r="CC336" s="60">
        <f t="shared" si="459"/>
        <v>100000</v>
      </c>
      <c r="CD336" s="60" t="e">
        <f t="shared" si="460"/>
        <v>#N/A</v>
      </c>
      <c r="CE336" s="60">
        <f t="shared" si="461"/>
        <v>100000</v>
      </c>
      <c r="CF336" s="83" t="e">
        <f t="shared" si="441"/>
        <v>#N/A</v>
      </c>
      <c r="CG336" s="83">
        <f t="shared" si="442"/>
        <v>0</v>
      </c>
      <c r="CH336" s="83" t="e">
        <f t="shared" si="443"/>
        <v>#N/A</v>
      </c>
      <c r="CI336" s="83">
        <f t="shared" si="444"/>
        <v>0</v>
      </c>
      <c r="CJ336" s="86" t="e">
        <f t="shared" si="462"/>
        <v>#N/A</v>
      </c>
      <c r="CK336" s="82">
        <f t="shared" si="463"/>
        <v>5.3070370403969858E-3</v>
      </c>
      <c r="CL336" s="82" t="e">
        <f t="shared" si="464"/>
        <v>#N/A</v>
      </c>
      <c r="CM336" s="82">
        <f t="shared" si="465"/>
        <v>5.3070370403969858E-3</v>
      </c>
      <c r="CO336" s="149" t="str">
        <f>IF($I336&lt;&gt;"",IF(O336="User Specified",U336,INDEX('Refrigerant GWPs'!$G$2:$G$156,MATCH(O336,'Refrigerant GWPs'!$A$2:$A$156,0))),"")</f>
        <v/>
      </c>
      <c r="CP336" s="138" t="str">
        <f>IF($I336&lt;&gt;"",INDEX('Device Refrigerant Leakage'!$E$2:$E$42,MATCH($M336,'Device Refrigerant Leakage'!$B$2:$B$42,0)),"")</f>
        <v/>
      </c>
      <c r="CQ336" s="138" t="str">
        <f>IF($I336&lt;&gt;"",INDEX('Device Refrigerant Leakage'!$F$2:$F$42,MATCH($M336,'Device Refrigerant Leakage'!$B$2:$B$42,0)),"")</f>
        <v/>
      </c>
      <c r="CR336" s="145" t="str">
        <f>IF($I336&lt;&gt;"",INDEX('Device Refrigerant Leakage'!$G$2:$G$42,MATCH($M336,'Device Refrigerant Leakage'!$B$2:$B$42,0)),"")</f>
        <v/>
      </c>
      <c r="CS336" s="145" t="str">
        <f>IF($I336&lt;&gt;"",INDEX('Device Refrigerant Leakage'!$D$2:$D$42,MATCH($M336,'Device Refrigerant Leakage'!$B$2:$B$42,0))*CP336/2204.62*CO336,"")</f>
        <v/>
      </c>
      <c r="CT336" s="145" t="str">
        <f>IF($I336&lt;&gt;"",J336*(INDEX('Device Refrigerant Leakage'!$D$2:$D$42,MATCH($M336,'Device Refrigerant Leakage'!$B$2:$B$42,0))-(INDEX('Device Refrigerant Leakage'!$D$2:$D$42,MATCH($M336,'Device Refrigerant Leakage'!$B$2:$B$42,0)))*CR336*CP336)*CQ336/2204.62*CO336,"")</f>
        <v/>
      </c>
      <c r="CU336" s="135" t="str">
        <f>IF($I336&lt;&gt;"",J336*IF(W336&lt;&gt;"AR",(CS336*K336)+CT336,(CS336*AB336)+CT336*(AB336/INDEX('Device Refrigerant Leakage'!$C$2:$C$42,MATCH($M336,'Device Refrigerant Leakage'!$B$2:$B$42,0)))),"")</f>
        <v/>
      </c>
      <c r="CW336" s="135" t="str">
        <f>IF($I336&lt;&gt;"",IF(S336="User Specified",V336,INDEX('Refrigerant GWPs'!$G$2:$G$156,MATCH(S336,'Refrigerant GWPs'!$A$2:$A$157,0))),"")</f>
        <v/>
      </c>
      <c r="CX336" s="138" t="str">
        <f>IF($I336&lt;&gt;"",INDEX('Device Refrigerant Leakage'!$E$2:$E$42,MATCH($Q336,'Device Refrigerant Leakage'!$B$2:$B$42,0)),"")</f>
        <v/>
      </c>
      <c r="CY336" s="138" t="str">
        <f>IF($I336&lt;&gt;"",INDEX('Device Refrigerant Leakage'!$F$2:$F$42,MATCH($Q336,'Device Refrigerant Leakage'!$B$2:$B$42,0)),"")</f>
        <v/>
      </c>
      <c r="CZ336" s="145" t="str">
        <f>IF($I336&lt;&gt;"",INDEX('Device Refrigerant Leakage'!$G$2:$G$42,MATCH($Q336,'Device Refrigerant Leakage'!$B$2:$B$42,0)),"")</f>
        <v/>
      </c>
      <c r="DA336" s="145" t="str">
        <f>IF($I336&lt;&gt;"",J336*INDEX('Device Refrigerant Leakage'!$D$2:$D$42,MATCH($Q336,'Device Refrigerant Leakage'!$B$2:$B$42,0))*CX336/2204.62*CW336,"")</f>
        <v/>
      </c>
      <c r="DB336" s="145" t="str">
        <f>IF($I336&lt;&gt;"",J336*(INDEX('Device Refrigerant Leakage'!$D$2:$D$42,MATCH($Q336,'Device Refrigerant Leakage'!$B$2:$B$42,0))-(INDEX('Device Refrigerant Leakage'!$D$2:$D$42,MATCH($Q336,'Device Refrigerant Leakage'!$B$2:$B$42,0)))*CZ336*CX336)*CY336/2204.62*CW336,"")</f>
        <v/>
      </c>
      <c r="DC336" s="135" t="str">
        <f t="shared" ref="DC336:DC399" si="484">IF($I336&lt;&gt;"",(DA336*K336)+DB336,"")</f>
        <v/>
      </c>
      <c r="DE336" s="146" t="str">
        <f>IF(W336&lt;&gt;"AR","",IF(Y336="User Specified", AA336, INDEX('Refrigerant GWPs'!$G$2:$G$154,MATCH(Y336,'Refrigerant GWPs'!$A$2:$A$154,0))))</f>
        <v/>
      </c>
      <c r="DF336" s="146" t="str">
        <f>IF(W336&lt;&gt;"AR","",INDEX('Device Refrigerant Leakage'!$E$2:$E$42,MATCH(X336,'Device Refrigerant Leakage'!$B$2:$B$42,0)))</f>
        <v/>
      </c>
      <c r="DG336" s="146" t="str">
        <f>IF(W336&lt;&gt;"AR","",INDEX('Device Refrigerant Leakage'!$F$2:$F$42,MATCH(X336,'Device Refrigerant Leakage'!$B$2:$B$42,0)))</f>
        <v/>
      </c>
      <c r="DH336" s="146" t="str">
        <f>IF(W336&lt;&gt;"AR","",INDEX('Device Refrigerant Leakage'!$G$2:$G$42,MATCH(X336,'Device Refrigerant Leakage'!$B$2:$B$42,0)))</f>
        <v/>
      </c>
      <c r="DI336" s="146" t="str">
        <f>IF(W336&lt;&gt;"AR","",J336*INDEX('Device Refrigerant Leakage'!$D$2:$D$42,MATCH(X336,'Device Refrigerant Leakage'!$B$2:$B$42,0))*DF336/2204.62*DE336)</f>
        <v/>
      </c>
      <c r="DJ336" s="146" t="str">
        <f>IF(W336&lt;&gt;"AR","",J336*(INDEX('Device Refrigerant Leakage'!$D$2:$D$42,MATCH(X336,'Device Refrigerant Leakage'!$B$2:$B$42,0))-(INDEX('Device Refrigerant Leakage'!$D$2:$D$42,MATCH(X336,'Device Refrigerant Leakage'!$B$2:$B$42,0)))*DH336*DF336)*DG336/2204.62*DE336)</f>
        <v/>
      </c>
      <c r="DK336" s="146" t="str">
        <f>IF(W336&lt;&gt;"AR","",DI336*(K336-AB336)+'Fuel Sub Calcs-Deemed'!DJ336*((K336-AB336)/INDEX('Device Refrigerant Leakage'!$C$2:$C$42,MATCH('Fuel Sub Calcs-Deemed'!X336,'Device Refrigerant Leakage'!$B$2:$B$42,0))))</f>
        <v/>
      </c>
      <c r="DM336" s="56">
        <v>322</v>
      </c>
      <c r="DN336" s="67" t="e">
        <f t="shared" si="466"/>
        <v>#N/A</v>
      </c>
      <c r="DO336" s="45" t="e">
        <f t="shared" si="467"/>
        <v>#N/A</v>
      </c>
      <c r="DP336" s="67" t="e">
        <f t="shared" si="468"/>
        <v>#N/A</v>
      </c>
      <c r="DQ336" s="45" t="e">
        <f t="shared" si="469"/>
        <v>#N/A</v>
      </c>
      <c r="DR336" s="69" t="e">
        <f t="shared" si="470"/>
        <v>#N/A</v>
      </c>
      <c r="DS336" s="34"/>
      <c r="DT336" s="67" t="e">
        <f>((BX336*CJ336)+IF($W336=MAT_AR,(BZ336*CL336),0))*(1+Reference!$E$50+Reference!$E$51)</f>
        <v>#N/A</v>
      </c>
      <c r="DU336" s="67">
        <f>((BY336*CK336)+IF($W336=MAT_AR,(CA336*CM336),0))*(1+Reference!$G$50+Reference!$G$51)</f>
        <v>0</v>
      </c>
      <c r="DV336" s="67" t="e">
        <f t="shared" si="471"/>
        <v>#VALUE!</v>
      </c>
      <c r="DX336" s="56">
        <v>322</v>
      </c>
      <c r="DY336" s="67">
        <f t="shared" si="472"/>
        <v>0</v>
      </c>
      <c r="DZ336" s="45" t="e">
        <f>VLOOKUP($R336,Dropdown!$C$3:$D$4,2,FALSE)</f>
        <v>#N/A</v>
      </c>
      <c r="EA336" s="68">
        <f t="shared" si="473"/>
        <v>0</v>
      </c>
      <c r="EB336" s="68" t="str">
        <f t="shared" si="474"/>
        <v>N/A</v>
      </c>
      <c r="EC336" s="68">
        <f t="shared" si="475"/>
        <v>0</v>
      </c>
      <c r="ED336" s="68" t="str">
        <f t="shared" si="445"/>
        <v>N/A</v>
      </c>
      <c r="EF336" s="56">
        <v>322</v>
      </c>
      <c r="EG336" s="46">
        <f t="shared" si="476"/>
        <v>0</v>
      </c>
      <c r="EH336" s="68" t="e">
        <f t="shared" si="477"/>
        <v>#N/A</v>
      </c>
      <c r="EI336" s="68" t="e">
        <f t="shared" si="478"/>
        <v>#N/A</v>
      </c>
      <c r="EJ336" s="68" t="e">
        <f t="shared" si="479"/>
        <v>#N/A</v>
      </c>
      <c r="EK336" s="68" t="e">
        <f t="shared" si="480"/>
        <v>#N/A</v>
      </c>
      <c r="EL336" s="46">
        <f t="shared" si="481"/>
        <v>0</v>
      </c>
      <c r="EM336" s="46">
        <f t="shared" si="482"/>
        <v>0</v>
      </c>
    </row>
    <row r="337" spans="1:143">
      <c r="A337" s="89"/>
      <c r="B337" s="89"/>
      <c r="C337" s="89"/>
      <c r="D337" s="89"/>
      <c r="E337" s="89"/>
      <c r="F337" s="89"/>
      <c r="G337" s="34"/>
      <c r="H337" s="56">
        <f t="shared" si="483"/>
        <v>323</v>
      </c>
      <c r="I337" s="165"/>
      <c r="J337" s="163"/>
      <c r="K337" s="163"/>
      <c r="L337" s="164"/>
      <c r="M337" s="155"/>
      <c r="N337" s="155"/>
      <c r="O337" s="144"/>
      <c r="P337" s="159" t="str">
        <f>IFERROR(IF(O337&lt;&gt;"User Specified",IF(O337&lt;&gt;"", INDEX('Refrigerant GWPs'!$G$2:$G$154,MATCH(O337,'Refrigerant GWPs'!$A$2:$A$154,0)),""),U337),0)</f>
        <v/>
      </c>
      <c r="Q337" s="155"/>
      <c r="R337" s="155"/>
      <c r="S337" s="144"/>
      <c r="T337" s="159" t="str">
        <f>IF(S337&lt;&gt;"User Specified",IF(AND(S337&lt;&gt;"User Specified",S337&lt;&gt;""), INDEX('Refrigerant GWPs'!$G$2:$G$154,MATCH(S337,'Refrigerant GWPs'!$A$2:$A$154,0)),""),V337)</f>
        <v/>
      </c>
      <c r="U337" s="144"/>
      <c r="V337" s="144"/>
      <c r="W337" s="155"/>
      <c r="X337" s="155"/>
      <c r="Y337" s="144"/>
      <c r="Z337" s="159" t="str">
        <f>IF(AND(Y337&lt;&gt;"User Specified",Y337&lt;&gt;""), INDEX('Refrigerant GWPs'!$G$2:$G$154,MATCH(Y337,'Refrigerant GWPs'!$A$2:$A$154,0)),"")</f>
        <v/>
      </c>
      <c r="AA337" s="155"/>
      <c r="AB337" s="156"/>
      <c r="AC337" s="66"/>
      <c r="AD337" s="66"/>
      <c r="AE337" s="66"/>
      <c r="AF337" s="66"/>
      <c r="AG337" s="66"/>
      <c r="AH337" s="66"/>
      <c r="AI337" s="34"/>
      <c r="AJ337" s="88">
        <f t="shared" si="446"/>
        <v>0</v>
      </c>
      <c r="AK337" s="88">
        <f t="shared" si="447"/>
        <v>0</v>
      </c>
      <c r="AL337" s="88">
        <v>0</v>
      </c>
      <c r="AM337" s="88">
        <v>0</v>
      </c>
      <c r="AN337" s="81" t="str">
        <f t="shared" si="417"/>
        <v/>
      </c>
      <c r="AO337" s="88">
        <f t="shared" si="448"/>
        <v>0</v>
      </c>
      <c r="AP337" s="88">
        <f t="shared" si="449"/>
        <v>0</v>
      </c>
      <c r="AQ337" s="81" t="str">
        <f t="shared" si="450"/>
        <v/>
      </c>
      <c r="AS337" s="41" t="b">
        <f t="shared" si="451"/>
        <v>1</v>
      </c>
      <c r="AT337" s="38">
        <f t="shared" si="452"/>
        <v>0</v>
      </c>
      <c r="AU337" s="60">
        <f t="shared" si="453"/>
        <v>0</v>
      </c>
      <c r="AV337" s="41">
        <f t="shared" si="454"/>
        <v>0</v>
      </c>
      <c r="AW337" s="41" t="b">
        <f t="shared" si="455"/>
        <v>0</v>
      </c>
      <c r="AX337" t="str">
        <f t="shared" si="456"/>
        <v>+00</v>
      </c>
      <c r="AY337" t="str">
        <f t="shared" si="457"/>
        <v>+00</v>
      </c>
      <c r="BA337" s="47" t="b">
        <f t="shared" si="418"/>
        <v>1</v>
      </c>
      <c r="BB337" s="42" t="b">
        <f t="shared" si="419"/>
        <v>1</v>
      </c>
      <c r="BC337" s="42" t="b">
        <f t="shared" si="420"/>
        <v>0</v>
      </c>
      <c r="BD337" s="42" t="b">
        <f t="shared" si="421"/>
        <v>0</v>
      </c>
      <c r="BE337" s="70">
        <f t="shared" si="422"/>
        <v>0</v>
      </c>
      <c r="BF337" s="70">
        <f t="shared" si="423"/>
        <v>0</v>
      </c>
      <c r="BG337" s="34"/>
      <c r="BI337" s="47" t="b">
        <f t="shared" si="424"/>
        <v>1</v>
      </c>
      <c r="BJ337" s="47" t="b">
        <f t="shared" si="425"/>
        <v>1</v>
      </c>
      <c r="BK337" s="42" t="b">
        <f t="shared" si="426"/>
        <v>0</v>
      </c>
      <c r="BL337" s="42" t="b">
        <f t="shared" si="427"/>
        <v>0</v>
      </c>
      <c r="BM337" s="42">
        <f t="shared" si="428"/>
        <v>0</v>
      </c>
      <c r="BN337" s="42">
        <f t="shared" si="429"/>
        <v>0</v>
      </c>
      <c r="BP337" t="e">
        <f t="shared" si="430"/>
        <v>#N/A</v>
      </c>
      <c r="BQ337" t="e">
        <f t="shared" si="431"/>
        <v>#N/A</v>
      </c>
      <c r="BR337" t="e">
        <f t="shared" si="432"/>
        <v>#N/A</v>
      </c>
      <c r="BT337" s="60">
        <f t="shared" si="433"/>
        <v>0</v>
      </c>
      <c r="BU337" s="60">
        <f t="shared" si="434"/>
        <v>0</v>
      </c>
      <c r="BV337" s="60">
        <f t="shared" si="435"/>
        <v>0</v>
      </c>
      <c r="BW337" s="60">
        <f t="shared" si="436"/>
        <v>0</v>
      </c>
      <c r="BX337" s="60">
        <f t="shared" si="437"/>
        <v>0</v>
      </c>
      <c r="BY337" s="60">
        <f t="shared" si="438"/>
        <v>0</v>
      </c>
      <c r="BZ337" s="60">
        <f t="shared" si="439"/>
        <v>0</v>
      </c>
      <c r="CA337" s="60">
        <f t="shared" si="440"/>
        <v>0</v>
      </c>
      <c r="CB337" s="60" t="e">
        <f t="shared" si="458"/>
        <v>#N/A</v>
      </c>
      <c r="CC337" s="60">
        <f t="shared" si="459"/>
        <v>100000</v>
      </c>
      <c r="CD337" s="60" t="e">
        <f t="shared" si="460"/>
        <v>#N/A</v>
      </c>
      <c r="CE337" s="60">
        <f t="shared" si="461"/>
        <v>100000</v>
      </c>
      <c r="CF337" s="83" t="e">
        <f t="shared" si="441"/>
        <v>#N/A</v>
      </c>
      <c r="CG337" s="83">
        <f t="shared" si="442"/>
        <v>0</v>
      </c>
      <c r="CH337" s="83" t="e">
        <f t="shared" si="443"/>
        <v>#N/A</v>
      </c>
      <c r="CI337" s="83">
        <f t="shared" si="444"/>
        <v>0</v>
      </c>
      <c r="CJ337" s="86" t="e">
        <f t="shared" si="462"/>
        <v>#N/A</v>
      </c>
      <c r="CK337" s="82">
        <f t="shared" si="463"/>
        <v>5.3070370403969858E-3</v>
      </c>
      <c r="CL337" s="82" t="e">
        <f t="shared" si="464"/>
        <v>#N/A</v>
      </c>
      <c r="CM337" s="82">
        <f t="shared" si="465"/>
        <v>5.3070370403969858E-3</v>
      </c>
      <c r="CO337" s="149" t="str">
        <f>IF($I337&lt;&gt;"",IF(O337="User Specified",U337,INDEX('Refrigerant GWPs'!$G$2:$G$156,MATCH(O337,'Refrigerant GWPs'!$A$2:$A$156,0))),"")</f>
        <v/>
      </c>
      <c r="CP337" s="138" t="str">
        <f>IF($I337&lt;&gt;"",INDEX('Device Refrigerant Leakage'!$E$2:$E$42,MATCH($M337,'Device Refrigerant Leakage'!$B$2:$B$42,0)),"")</f>
        <v/>
      </c>
      <c r="CQ337" s="138" t="str">
        <f>IF($I337&lt;&gt;"",INDEX('Device Refrigerant Leakage'!$F$2:$F$42,MATCH($M337,'Device Refrigerant Leakage'!$B$2:$B$42,0)),"")</f>
        <v/>
      </c>
      <c r="CR337" s="145" t="str">
        <f>IF($I337&lt;&gt;"",INDEX('Device Refrigerant Leakage'!$G$2:$G$42,MATCH($M337,'Device Refrigerant Leakage'!$B$2:$B$42,0)),"")</f>
        <v/>
      </c>
      <c r="CS337" s="145" t="str">
        <f>IF($I337&lt;&gt;"",INDEX('Device Refrigerant Leakage'!$D$2:$D$42,MATCH($M337,'Device Refrigerant Leakage'!$B$2:$B$42,0))*CP337/2204.62*CO337,"")</f>
        <v/>
      </c>
      <c r="CT337" s="145" t="str">
        <f>IF($I337&lt;&gt;"",J337*(INDEX('Device Refrigerant Leakage'!$D$2:$D$42,MATCH($M337,'Device Refrigerant Leakage'!$B$2:$B$42,0))-(INDEX('Device Refrigerant Leakage'!$D$2:$D$42,MATCH($M337,'Device Refrigerant Leakage'!$B$2:$B$42,0)))*CR337*CP337)*CQ337/2204.62*CO337,"")</f>
        <v/>
      </c>
      <c r="CU337" s="135" t="str">
        <f>IF($I337&lt;&gt;"",J337*IF(W337&lt;&gt;"AR",(CS337*K337)+CT337,(CS337*AB337)+CT337*(AB337/INDEX('Device Refrigerant Leakage'!$C$2:$C$42,MATCH($M337,'Device Refrigerant Leakage'!$B$2:$B$42,0)))),"")</f>
        <v/>
      </c>
      <c r="CW337" s="135" t="str">
        <f>IF($I337&lt;&gt;"",IF(S337="User Specified",V337,INDEX('Refrigerant GWPs'!$G$2:$G$156,MATCH(S337,'Refrigerant GWPs'!$A$2:$A$157,0))),"")</f>
        <v/>
      </c>
      <c r="CX337" s="138" t="str">
        <f>IF($I337&lt;&gt;"",INDEX('Device Refrigerant Leakage'!$E$2:$E$42,MATCH($Q337,'Device Refrigerant Leakage'!$B$2:$B$42,0)),"")</f>
        <v/>
      </c>
      <c r="CY337" s="138" t="str">
        <f>IF($I337&lt;&gt;"",INDEX('Device Refrigerant Leakage'!$F$2:$F$42,MATCH($Q337,'Device Refrigerant Leakage'!$B$2:$B$42,0)),"")</f>
        <v/>
      </c>
      <c r="CZ337" s="145" t="str">
        <f>IF($I337&lt;&gt;"",INDEX('Device Refrigerant Leakage'!$G$2:$G$42,MATCH($Q337,'Device Refrigerant Leakage'!$B$2:$B$42,0)),"")</f>
        <v/>
      </c>
      <c r="DA337" s="145" t="str">
        <f>IF($I337&lt;&gt;"",J337*INDEX('Device Refrigerant Leakage'!$D$2:$D$42,MATCH($Q337,'Device Refrigerant Leakage'!$B$2:$B$42,0))*CX337/2204.62*CW337,"")</f>
        <v/>
      </c>
      <c r="DB337" s="145" t="str">
        <f>IF($I337&lt;&gt;"",J337*(INDEX('Device Refrigerant Leakage'!$D$2:$D$42,MATCH($Q337,'Device Refrigerant Leakage'!$B$2:$B$42,0))-(INDEX('Device Refrigerant Leakage'!$D$2:$D$42,MATCH($Q337,'Device Refrigerant Leakage'!$B$2:$B$42,0)))*CZ337*CX337)*CY337/2204.62*CW337,"")</f>
        <v/>
      </c>
      <c r="DC337" s="135" t="str">
        <f t="shared" si="484"/>
        <v/>
      </c>
      <c r="DE337" s="146" t="str">
        <f>IF(W337&lt;&gt;"AR","",IF(Y337="User Specified", AA337, INDEX('Refrigerant GWPs'!$G$2:$G$154,MATCH(Y337,'Refrigerant GWPs'!$A$2:$A$154,0))))</f>
        <v/>
      </c>
      <c r="DF337" s="146" t="str">
        <f>IF(W337&lt;&gt;"AR","",INDEX('Device Refrigerant Leakage'!$E$2:$E$42,MATCH(X337,'Device Refrigerant Leakage'!$B$2:$B$42,0)))</f>
        <v/>
      </c>
      <c r="DG337" s="146" t="str">
        <f>IF(W337&lt;&gt;"AR","",INDEX('Device Refrigerant Leakage'!$F$2:$F$42,MATCH(X337,'Device Refrigerant Leakage'!$B$2:$B$42,0)))</f>
        <v/>
      </c>
      <c r="DH337" s="146" t="str">
        <f>IF(W337&lt;&gt;"AR","",INDEX('Device Refrigerant Leakage'!$G$2:$G$42,MATCH(X337,'Device Refrigerant Leakage'!$B$2:$B$42,0)))</f>
        <v/>
      </c>
      <c r="DI337" s="146" t="str">
        <f>IF(W337&lt;&gt;"AR","",J337*INDEX('Device Refrigerant Leakage'!$D$2:$D$42,MATCH(X337,'Device Refrigerant Leakage'!$B$2:$B$42,0))*DF337/2204.62*DE337)</f>
        <v/>
      </c>
      <c r="DJ337" s="146" t="str">
        <f>IF(W337&lt;&gt;"AR","",J337*(INDEX('Device Refrigerant Leakage'!$D$2:$D$42,MATCH(X337,'Device Refrigerant Leakage'!$B$2:$B$42,0))-(INDEX('Device Refrigerant Leakage'!$D$2:$D$42,MATCH(X337,'Device Refrigerant Leakage'!$B$2:$B$42,0)))*DH337*DF337)*DG337/2204.62*DE337)</f>
        <v/>
      </c>
      <c r="DK337" s="146" t="str">
        <f>IF(W337&lt;&gt;"AR","",DI337*(K337-AB337)+'Fuel Sub Calcs-Deemed'!DJ337*((K337-AB337)/INDEX('Device Refrigerant Leakage'!$C$2:$C$42,MATCH('Fuel Sub Calcs-Deemed'!X337,'Device Refrigerant Leakage'!$B$2:$B$42,0))))</f>
        <v/>
      </c>
      <c r="DM337" s="56">
        <v>323</v>
      </c>
      <c r="DN337" s="67" t="e">
        <f t="shared" si="466"/>
        <v>#N/A</v>
      </c>
      <c r="DO337" s="45" t="e">
        <f t="shared" si="467"/>
        <v>#N/A</v>
      </c>
      <c r="DP337" s="67" t="e">
        <f t="shared" si="468"/>
        <v>#N/A</v>
      </c>
      <c r="DQ337" s="45" t="e">
        <f t="shared" si="469"/>
        <v>#N/A</v>
      </c>
      <c r="DR337" s="69" t="e">
        <f t="shared" si="470"/>
        <v>#N/A</v>
      </c>
      <c r="DS337" s="34"/>
      <c r="DT337" s="67" t="e">
        <f>((BX337*CJ337)+IF($W337=MAT_AR,(BZ337*CL337),0))*(1+Reference!$E$50+Reference!$E$51)</f>
        <v>#N/A</v>
      </c>
      <c r="DU337" s="67">
        <f>((BY337*CK337)+IF($W337=MAT_AR,(CA337*CM337),0))*(1+Reference!$G$50+Reference!$G$51)</f>
        <v>0</v>
      </c>
      <c r="DV337" s="67" t="e">
        <f t="shared" si="471"/>
        <v>#VALUE!</v>
      </c>
      <c r="DX337" s="56">
        <v>323</v>
      </c>
      <c r="DY337" s="67">
        <f t="shared" si="472"/>
        <v>0</v>
      </c>
      <c r="DZ337" s="45" t="e">
        <f>VLOOKUP($R337,Dropdown!$C$3:$D$4,2,FALSE)</f>
        <v>#N/A</v>
      </c>
      <c r="EA337" s="68">
        <f t="shared" si="473"/>
        <v>0</v>
      </c>
      <c r="EB337" s="68" t="str">
        <f t="shared" si="474"/>
        <v>N/A</v>
      </c>
      <c r="EC337" s="68">
        <f t="shared" si="475"/>
        <v>0</v>
      </c>
      <c r="ED337" s="68" t="str">
        <f t="shared" si="445"/>
        <v>N/A</v>
      </c>
      <c r="EF337" s="56">
        <v>323</v>
      </c>
      <c r="EG337" s="46">
        <f t="shared" si="476"/>
        <v>0</v>
      </c>
      <c r="EH337" s="68" t="e">
        <f t="shared" si="477"/>
        <v>#N/A</v>
      </c>
      <c r="EI337" s="68" t="e">
        <f t="shared" si="478"/>
        <v>#N/A</v>
      </c>
      <c r="EJ337" s="68" t="e">
        <f t="shared" si="479"/>
        <v>#N/A</v>
      </c>
      <c r="EK337" s="68" t="e">
        <f t="shared" si="480"/>
        <v>#N/A</v>
      </c>
      <c r="EL337" s="46">
        <f t="shared" si="481"/>
        <v>0</v>
      </c>
      <c r="EM337" s="46">
        <f t="shared" si="482"/>
        <v>0</v>
      </c>
    </row>
    <row r="338" spans="1:143">
      <c r="A338" s="89"/>
      <c r="B338" s="89"/>
      <c r="C338" s="89"/>
      <c r="D338" s="89"/>
      <c r="E338" s="89"/>
      <c r="F338" s="89"/>
      <c r="G338" s="34"/>
      <c r="H338" s="56">
        <f t="shared" si="483"/>
        <v>324</v>
      </c>
      <c r="I338" s="165"/>
      <c r="J338" s="163"/>
      <c r="K338" s="163"/>
      <c r="L338" s="164"/>
      <c r="M338" s="155"/>
      <c r="N338" s="155"/>
      <c r="O338" s="144"/>
      <c r="P338" s="159" t="str">
        <f>IFERROR(IF(O338&lt;&gt;"User Specified",IF(O338&lt;&gt;"", INDEX('Refrigerant GWPs'!$G$2:$G$154,MATCH(O338,'Refrigerant GWPs'!$A$2:$A$154,0)),""),U338),0)</f>
        <v/>
      </c>
      <c r="Q338" s="155"/>
      <c r="R338" s="155"/>
      <c r="S338" s="144"/>
      <c r="T338" s="159" t="str">
        <f>IF(S338&lt;&gt;"User Specified",IF(AND(S338&lt;&gt;"User Specified",S338&lt;&gt;""), INDEX('Refrigerant GWPs'!$G$2:$G$154,MATCH(S338,'Refrigerant GWPs'!$A$2:$A$154,0)),""),V338)</f>
        <v/>
      </c>
      <c r="U338" s="144"/>
      <c r="V338" s="144"/>
      <c r="W338" s="155"/>
      <c r="X338" s="155"/>
      <c r="Y338" s="144"/>
      <c r="Z338" s="159" t="str">
        <f>IF(AND(Y338&lt;&gt;"User Specified",Y338&lt;&gt;""), INDEX('Refrigerant GWPs'!$G$2:$G$154,MATCH(Y338,'Refrigerant GWPs'!$A$2:$A$154,0)),"")</f>
        <v/>
      </c>
      <c r="AA338" s="155"/>
      <c r="AB338" s="156"/>
      <c r="AC338" s="66"/>
      <c r="AD338" s="66"/>
      <c r="AE338" s="66"/>
      <c r="AF338" s="66"/>
      <c r="AG338" s="66"/>
      <c r="AH338" s="66"/>
      <c r="AI338" s="34"/>
      <c r="AJ338" s="88">
        <f t="shared" si="446"/>
        <v>0</v>
      </c>
      <c r="AK338" s="88">
        <f t="shared" si="447"/>
        <v>0</v>
      </c>
      <c r="AL338" s="88">
        <v>0</v>
      </c>
      <c r="AM338" s="88">
        <v>0</v>
      </c>
      <c r="AN338" s="81" t="str">
        <f t="shared" si="417"/>
        <v/>
      </c>
      <c r="AO338" s="88">
        <f t="shared" si="448"/>
        <v>0</v>
      </c>
      <c r="AP338" s="88">
        <f t="shared" si="449"/>
        <v>0</v>
      </c>
      <c r="AQ338" s="81" t="str">
        <f t="shared" si="450"/>
        <v/>
      </c>
      <c r="AS338" s="41" t="b">
        <f t="shared" si="451"/>
        <v>1</v>
      </c>
      <c r="AT338" s="38">
        <f t="shared" si="452"/>
        <v>0</v>
      </c>
      <c r="AU338" s="60">
        <f t="shared" si="453"/>
        <v>0</v>
      </c>
      <c r="AV338" s="41">
        <f t="shared" si="454"/>
        <v>0</v>
      </c>
      <c r="AW338" s="41" t="b">
        <f t="shared" si="455"/>
        <v>0</v>
      </c>
      <c r="AX338" t="str">
        <f t="shared" si="456"/>
        <v>+00</v>
      </c>
      <c r="AY338" t="str">
        <f t="shared" si="457"/>
        <v>+00</v>
      </c>
      <c r="BA338" s="47" t="b">
        <f t="shared" si="418"/>
        <v>1</v>
      </c>
      <c r="BB338" s="42" t="b">
        <f t="shared" si="419"/>
        <v>1</v>
      </c>
      <c r="BC338" s="42" t="b">
        <f t="shared" si="420"/>
        <v>0</v>
      </c>
      <c r="BD338" s="42" t="b">
        <f t="shared" si="421"/>
        <v>0</v>
      </c>
      <c r="BE338" s="70">
        <f t="shared" si="422"/>
        <v>0</v>
      </c>
      <c r="BF338" s="70">
        <f t="shared" si="423"/>
        <v>0</v>
      </c>
      <c r="BG338" s="34"/>
      <c r="BI338" s="47" t="b">
        <f t="shared" si="424"/>
        <v>1</v>
      </c>
      <c r="BJ338" s="47" t="b">
        <f t="shared" si="425"/>
        <v>1</v>
      </c>
      <c r="BK338" s="42" t="b">
        <f t="shared" si="426"/>
        <v>0</v>
      </c>
      <c r="BL338" s="42" t="b">
        <f t="shared" si="427"/>
        <v>0</v>
      </c>
      <c r="BM338" s="42">
        <f t="shared" si="428"/>
        <v>0</v>
      </c>
      <c r="BN338" s="42">
        <f t="shared" si="429"/>
        <v>0</v>
      </c>
      <c r="BP338" t="e">
        <f t="shared" si="430"/>
        <v>#N/A</v>
      </c>
      <c r="BQ338" t="e">
        <f t="shared" si="431"/>
        <v>#N/A</v>
      </c>
      <c r="BR338" t="e">
        <f t="shared" si="432"/>
        <v>#N/A</v>
      </c>
      <c r="BT338" s="60">
        <f t="shared" si="433"/>
        <v>0</v>
      </c>
      <c r="BU338" s="60">
        <f t="shared" si="434"/>
        <v>0</v>
      </c>
      <c r="BV338" s="60">
        <f t="shared" si="435"/>
        <v>0</v>
      </c>
      <c r="BW338" s="60">
        <f t="shared" si="436"/>
        <v>0</v>
      </c>
      <c r="BX338" s="60">
        <f t="shared" si="437"/>
        <v>0</v>
      </c>
      <c r="BY338" s="60">
        <f t="shared" si="438"/>
        <v>0</v>
      </c>
      <c r="BZ338" s="60">
        <f t="shared" si="439"/>
        <v>0</v>
      </c>
      <c r="CA338" s="60">
        <f t="shared" si="440"/>
        <v>0</v>
      </c>
      <c r="CB338" s="60" t="e">
        <f t="shared" si="458"/>
        <v>#N/A</v>
      </c>
      <c r="CC338" s="60">
        <f t="shared" si="459"/>
        <v>100000</v>
      </c>
      <c r="CD338" s="60" t="e">
        <f t="shared" si="460"/>
        <v>#N/A</v>
      </c>
      <c r="CE338" s="60">
        <f t="shared" si="461"/>
        <v>100000</v>
      </c>
      <c r="CF338" s="83" t="e">
        <f t="shared" si="441"/>
        <v>#N/A</v>
      </c>
      <c r="CG338" s="83">
        <f t="shared" si="442"/>
        <v>0</v>
      </c>
      <c r="CH338" s="83" t="e">
        <f t="shared" si="443"/>
        <v>#N/A</v>
      </c>
      <c r="CI338" s="83">
        <f t="shared" si="444"/>
        <v>0</v>
      </c>
      <c r="CJ338" s="86" t="e">
        <f t="shared" si="462"/>
        <v>#N/A</v>
      </c>
      <c r="CK338" s="82">
        <f t="shared" si="463"/>
        <v>5.3070370403969858E-3</v>
      </c>
      <c r="CL338" s="82" t="e">
        <f t="shared" si="464"/>
        <v>#N/A</v>
      </c>
      <c r="CM338" s="82">
        <f t="shared" si="465"/>
        <v>5.3070370403969858E-3</v>
      </c>
      <c r="CO338" s="149" t="str">
        <f>IF($I338&lt;&gt;"",IF(O338="User Specified",U338,INDEX('Refrigerant GWPs'!$G$2:$G$156,MATCH(O338,'Refrigerant GWPs'!$A$2:$A$156,0))),"")</f>
        <v/>
      </c>
      <c r="CP338" s="138" t="str">
        <f>IF($I338&lt;&gt;"",INDEX('Device Refrigerant Leakage'!$E$2:$E$42,MATCH($M338,'Device Refrigerant Leakage'!$B$2:$B$42,0)),"")</f>
        <v/>
      </c>
      <c r="CQ338" s="138" t="str">
        <f>IF($I338&lt;&gt;"",INDEX('Device Refrigerant Leakage'!$F$2:$F$42,MATCH($M338,'Device Refrigerant Leakage'!$B$2:$B$42,0)),"")</f>
        <v/>
      </c>
      <c r="CR338" s="145" t="str">
        <f>IF($I338&lt;&gt;"",INDEX('Device Refrigerant Leakage'!$G$2:$G$42,MATCH($M338,'Device Refrigerant Leakage'!$B$2:$B$42,0)),"")</f>
        <v/>
      </c>
      <c r="CS338" s="145" t="str">
        <f>IF($I338&lt;&gt;"",INDEX('Device Refrigerant Leakage'!$D$2:$D$42,MATCH($M338,'Device Refrigerant Leakage'!$B$2:$B$42,0))*CP338/2204.62*CO338,"")</f>
        <v/>
      </c>
      <c r="CT338" s="145" t="str">
        <f>IF($I338&lt;&gt;"",J338*(INDEX('Device Refrigerant Leakage'!$D$2:$D$42,MATCH($M338,'Device Refrigerant Leakage'!$B$2:$B$42,0))-(INDEX('Device Refrigerant Leakage'!$D$2:$D$42,MATCH($M338,'Device Refrigerant Leakage'!$B$2:$B$42,0)))*CR338*CP338)*CQ338/2204.62*CO338,"")</f>
        <v/>
      </c>
      <c r="CU338" s="135" t="str">
        <f>IF($I338&lt;&gt;"",J338*IF(W338&lt;&gt;"AR",(CS338*K338)+CT338,(CS338*AB338)+CT338*(AB338/INDEX('Device Refrigerant Leakage'!$C$2:$C$42,MATCH($M338,'Device Refrigerant Leakage'!$B$2:$B$42,0)))),"")</f>
        <v/>
      </c>
      <c r="CW338" s="135" t="str">
        <f>IF($I338&lt;&gt;"",IF(S338="User Specified",V338,INDEX('Refrigerant GWPs'!$G$2:$G$156,MATCH(S338,'Refrigerant GWPs'!$A$2:$A$157,0))),"")</f>
        <v/>
      </c>
      <c r="CX338" s="138" t="str">
        <f>IF($I338&lt;&gt;"",INDEX('Device Refrigerant Leakage'!$E$2:$E$42,MATCH($Q338,'Device Refrigerant Leakage'!$B$2:$B$42,0)),"")</f>
        <v/>
      </c>
      <c r="CY338" s="138" t="str">
        <f>IF($I338&lt;&gt;"",INDEX('Device Refrigerant Leakage'!$F$2:$F$42,MATCH($Q338,'Device Refrigerant Leakage'!$B$2:$B$42,0)),"")</f>
        <v/>
      </c>
      <c r="CZ338" s="145" t="str">
        <f>IF($I338&lt;&gt;"",INDEX('Device Refrigerant Leakage'!$G$2:$G$42,MATCH($Q338,'Device Refrigerant Leakage'!$B$2:$B$42,0)),"")</f>
        <v/>
      </c>
      <c r="DA338" s="145" t="str">
        <f>IF($I338&lt;&gt;"",J338*INDEX('Device Refrigerant Leakage'!$D$2:$D$42,MATCH($Q338,'Device Refrigerant Leakage'!$B$2:$B$42,0))*CX338/2204.62*CW338,"")</f>
        <v/>
      </c>
      <c r="DB338" s="145" t="str">
        <f>IF($I338&lt;&gt;"",J338*(INDEX('Device Refrigerant Leakage'!$D$2:$D$42,MATCH($Q338,'Device Refrigerant Leakage'!$B$2:$B$42,0))-(INDEX('Device Refrigerant Leakage'!$D$2:$D$42,MATCH($Q338,'Device Refrigerant Leakage'!$B$2:$B$42,0)))*CZ338*CX338)*CY338/2204.62*CW338,"")</f>
        <v/>
      </c>
      <c r="DC338" s="135" t="str">
        <f t="shared" si="484"/>
        <v/>
      </c>
      <c r="DE338" s="146" t="str">
        <f>IF(W338&lt;&gt;"AR","",IF(Y338="User Specified", AA338, INDEX('Refrigerant GWPs'!$G$2:$G$154,MATCH(Y338,'Refrigerant GWPs'!$A$2:$A$154,0))))</f>
        <v/>
      </c>
      <c r="DF338" s="146" t="str">
        <f>IF(W338&lt;&gt;"AR","",INDEX('Device Refrigerant Leakage'!$E$2:$E$42,MATCH(X338,'Device Refrigerant Leakage'!$B$2:$B$42,0)))</f>
        <v/>
      </c>
      <c r="DG338" s="146" t="str">
        <f>IF(W338&lt;&gt;"AR","",INDEX('Device Refrigerant Leakage'!$F$2:$F$42,MATCH(X338,'Device Refrigerant Leakage'!$B$2:$B$42,0)))</f>
        <v/>
      </c>
      <c r="DH338" s="146" t="str">
        <f>IF(W338&lt;&gt;"AR","",INDEX('Device Refrigerant Leakage'!$G$2:$G$42,MATCH(X338,'Device Refrigerant Leakage'!$B$2:$B$42,0)))</f>
        <v/>
      </c>
      <c r="DI338" s="146" t="str">
        <f>IF(W338&lt;&gt;"AR","",J338*INDEX('Device Refrigerant Leakage'!$D$2:$D$42,MATCH(X338,'Device Refrigerant Leakage'!$B$2:$B$42,0))*DF338/2204.62*DE338)</f>
        <v/>
      </c>
      <c r="DJ338" s="146" t="str">
        <f>IF(W338&lt;&gt;"AR","",J338*(INDEX('Device Refrigerant Leakage'!$D$2:$D$42,MATCH(X338,'Device Refrigerant Leakage'!$B$2:$B$42,0))-(INDEX('Device Refrigerant Leakage'!$D$2:$D$42,MATCH(X338,'Device Refrigerant Leakage'!$B$2:$B$42,0)))*DH338*DF338)*DG338/2204.62*DE338)</f>
        <v/>
      </c>
      <c r="DK338" s="146" t="str">
        <f>IF(W338&lt;&gt;"AR","",DI338*(K338-AB338)+'Fuel Sub Calcs-Deemed'!DJ338*((K338-AB338)/INDEX('Device Refrigerant Leakage'!$C$2:$C$42,MATCH('Fuel Sub Calcs-Deemed'!X338,'Device Refrigerant Leakage'!$B$2:$B$42,0))))</f>
        <v/>
      </c>
      <c r="DM338" s="56">
        <v>324</v>
      </c>
      <c r="DN338" s="67" t="e">
        <f t="shared" si="466"/>
        <v>#N/A</v>
      </c>
      <c r="DO338" s="45" t="e">
        <f t="shared" si="467"/>
        <v>#N/A</v>
      </c>
      <c r="DP338" s="67" t="e">
        <f t="shared" si="468"/>
        <v>#N/A</v>
      </c>
      <c r="DQ338" s="45" t="e">
        <f t="shared" si="469"/>
        <v>#N/A</v>
      </c>
      <c r="DR338" s="69" t="e">
        <f t="shared" si="470"/>
        <v>#N/A</v>
      </c>
      <c r="DS338" s="34"/>
      <c r="DT338" s="67" t="e">
        <f>((BX338*CJ338)+IF($W338=MAT_AR,(BZ338*CL338),0))*(1+Reference!$E$50+Reference!$E$51)</f>
        <v>#N/A</v>
      </c>
      <c r="DU338" s="67">
        <f>((BY338*CK338)+IF($W338=MAT_AR,(CA338*CM338),0))*(1+Reference!$G$50+Reference!$G$51)</f>
        <v>0</v>
      </c>
      <c r="DV338" s="67" t="e">
        <f t="shared" si="471"/>
        <v>#VALUE!</v>
      </c>
      <c r="DX338" s="56">
        <v>324</v>
      </c>
      <c r="DY338" s="67">
        <f t="shared" si="472"/>
        <v>0</v>
      </c>
      <c r="DZ338" s="45" t="e">
        <f>VLOOKUP($R338,Dropdown!$C$3:$D$4,2,FALSE)</f>
        <v>#N/A</v>
      </c>
      <c r="EA338" s="68">
        <f t="shared" si="473"/>
        <v>0</v>
      </c>
      <c r="EB338" s="68" t="str">
        <f t="shared" si="474"/>
        <v>N/A</v>
      </c>
      <c r="EC338" s="68">
        <f t="shared" si="475"/>
        <v>0</v>
      </c>
      <c r="ED338" s="68" t="str">
        <f t="shared" si="445"/>
        <v>N/A</v>
      </c>
      <c r="EF338" s="56">
        <v>324</v>
      </c>
      <c r="EG338" s="46">
        <f t="shared" si="476"/>
        <v>0</v>
      </c>
      <c r="EH338" s="68" t="e">
        <f t="shared" si="477"/>
        <v>#N/A</v>
      </c>
      <c r="EI338" s="68" t="e">
        <f t="shared" si="478"/>
        <v>#N/A</v>
      </c>
      <c r="EJ338" s="68" t="e">
        <f t="shared" si="479"/>
        <v>#N/A</v>
      </c>
      <c r="EK338" s="68" t="e">
        <f t="shared" si="480"/>
        <v>#N/A</v>
      </c>
      <c r="EL338" s="46">
        <f t="shared" si="481"/>
        <v>0</v>
      </c>
      <c r="EM338" s="46">
        <f t="shared" si="482"/>
        <v>0</v>
      </c>
    </row>
    <row r="339" spans="1:143">
      <c r="A339" s="89"/>
      <c r="B339" s="89"/>
      <c r="C339" s="89"/>
      <c r="D339" s="89"/>
      <c r="E339" s="89"/>
      <c r="F339" s="89"/>
      <c r="G339" s="34"/>
      <c r="H339" s="56">
        <f t="shared" si="483"/>
        <v>325</v>
      </c>
      <c r="I339" s="165"/>
      <c r="J339" s="163"/>
      <c r="K339" s="163"/>
      <c r="L339" s="164"/>
      <c r="M339" s="155"/>
      <c r="N339" s="155"/>
      <c r="O339" s="144"/>
      <c r="P339" s="159" t="str">
        <f>IFERROR(IF(O339&lt;&gt;"User Specified",IF(O339&lt;&gt;"", INDEX('Refrigerant GWPs'!$G$2:$G$154,MATCH(O339,'Refrigerant GWPs'!$A$2:$A$154,0)),""),U339),0)</f>
        <v/>
      </c>
      <c r="Q339" s="155"/>
      <c r="R339" s="155"/>
      <c r="S339" s="144"/>
      <c r="T339" s="159" t="str">
        <f>IF(S339&lt;&gt;"User Specified",IF(AND(S339&lt;&gt;"User Specified",S339&lt;&gt;""), INDEX('Refrigerant GWPs'!$G$2:$G$154,MATCH(S339,'Refrigerant GWPs'!$A$2:$A$154,0)),""),V339)</f>
        <v/>
      </c>
      <c r="U339" s="144"/>
      <c r="V339" s="144"/>
      <c r="W339" s="155"/>
      <c r="X339" s="155"/>
      <c r="Y339" s="144"/>
      <c r="Z339" s="159" t="str">
        <f>IF(AND(Y339&lt;&gt;"User Specified",Y339&lt;&gt;""), INDEX('Refrigerant GWPs'!$G$2:$G$154,MATCH(Y339,'Refrigerant GWPs'!$A$2:$A$154,0)),"")</f>
        <v/>
      </c>
      <c r="AA339" s="155"/>
      <c r="AB339" s="156"/>
      <c r="AC339" s="66"/>
      <c r="AD339" s="66"/>
      <c r="AE339" s="66"/>
      <c r="AF339" s="66"/>
      <c r="AG339" s="66"/>
      <c r="AH339" s="66"/>
      <c r="AI339" s="34"/>
      <c r="AJ339" s="88">
        <f t="shared" si="446"/>
        <v>0</v>
      </c>
      <c r="AK339" s="88">
        <f t="shared" si="447"/>
        <v>0</v>
      </c>
      <c r="AL339" s="88">
        <v>0</v>
      </c>
      <c r="AM339" s="88">
        <v>0</v>
      </c>
      <c r="AN339" s="81" t="str">
        <f t="shared" si="417"/>
        <v/>
      </c>
      <c r="AO339" s="88">
        <f t="shared" si="448"/>
        <v>0</v>
      </c>
      <c r="AP339" s="88">
        <f t="shared" si="449"/>
        <v>0</v>
      </c>
      <c r="AQ339" s="81" t="str">
        <f t="shared" si="450"/>
        <v/>
      </c>
      <c r="AS339" s="41" t="b">
        <f t="shared" si="451"/>
        <v>1</v>
      </c>
      <c r="AT339" s="38">
        <f t="shared" si="452"/>
        <v>0</v>
      </c>
      <c r="AU339" s="60">
        <f t="shared" si="453"/>
        <v>0</v>
      </c>
      <c r="AV339" s="41">
        <f t="shared" si="454"/>
        <v>0</v>
      </c>
      <c r="AW339" s="41" t="b">
        <f t="shared" si="455"/>
        <v>0</v>
      </c>
      <c r="AX339" t="str">
        <f t="shared" si="456"/>
        <v>+00</v>
      </c>
      <c r="AY339" t="str">
        <f t="shared" si="457"/>
        <v>+00</v>
      </c>
      <c r="BA339" s="47" t="b">
        <f t="shared" si="418"/>
        <v>1</v>
      </c>
      <c r="BB339" s="42" t="b">
        <f t="shared" si="419"/>
        <v>1</v>
      </c>
      <c r="BC339" s="42" t="b">
        <f t="shared" si="420"/>
        <v>0</v>
      </c>
      <c r="BD339" s="42" t="b">
        <f t="shared" si="421"/>
        <v>0</v>
      </c>
      <c r="BE339" s="70">
        <f t="shared" si="422"/>
        <v>0</v>
      </c>
      <c r="BF339" s="70">
        <f t="shared" si="423"/>
        <v>0</v>
      </c>
      <c r="BG339" s="34"/>
      <c r="BI339" s="47" t="b">
        <f t="shared" si="424"/>
        <v>1</v>
      </c>
      <c r="BJ339" s="47" t="b">
        <f t="shared" si="425"/>
        <v>1</v>
      </c>
      <c r="BK339" s="42" t="b">
        <f t="shared" si="426"/>
        <v>0</v>
      </c>
      <c r="BL339" s="42" t="b">
        <f t="shared" si="427"/>
        <v>0</v>
      </c>
      <c r="BM339" s="42">
        <f t="shared" si="428"/>
        <v>0</v>
      </c>
      <c r="BN339" s="42">
        <f t="shared" si="429"/>
        <v>0</v>
      </c>
      <c r="BP339" t="e">
        <f t="shared" si="430"/>
        <v>#N/A</v>
      </c>
      <c r="BQ339" t="e">
        <f t="shared" si="431"/>
        <v>#N/A</v>
      </c>
      <c r="BR339" t="e">
        <f t="shared" si="432"/>
        <v>#N/A</v>
      </c>
      <c r="BT339" s="60">
        <f t="shared" si="433"/>
        <v>0</v>
      </c>
      <c r="BU339" s="60">
        <f t="shared" si="434"/>
        <v>0</v>
      </c>
      <c r="BV339" s="60">
        <f t="shared" si="435"/>
        <v>0</v>
      </c>
      <c r="BW339" s="60">
        <f t="shared" si="436"/>
        <v>0</v>
      </c>
      <c r="BX339" s="60">
        <f t="shared" si="437"/>
        <v>0</v>
      </c>
      <c r="BY339" s="60">
        <f t="shared" si="438"/>
        <v>0</v>
      </c>
      <c r="BZ339" s="60">
        <f t="shared" si="439"/>
        <v>0</v>
      </c>
      <c r="CA339" s="60">
        <f t="shared" si="440"/>
        <v>0</v>
      </c>
      <c r="CB339" s="60" t="e">
        <f t="shared" si="458"/>
        <v>#N/A</v>
      </c>
      <c r="CC339" s="60">
        <f t="shared" si="459"/>
        <v>100000</v>
      </c>
      <c r="CD339" s="60" t="e">
        <f t="shared" si="460"/>
        <v>#N/A</v>
      </c>
      <c r="CE339" s="60">
        <f t="shared" si="461"/>
        <v>100000</v>
      </c>
      <c r="CF339" s="83" t="e">
        <f t="shared" si="441"/>
        <v>#N/A</v>
      </c>
      <c r="CG339" s="83">
        <f t="shared" si="442"/>
        <v>0</v>
      </c>
      <c r="CH339" s="83" t="e">
        <f t="shared" si="443"/>
        <v>#N/A</v>
      </c>
      <c r="CI339" s="83">
        <f t="shared" si="444"/>
        <v>0</v>
      </c>
      <c r="CJ339" s="86" t="e">
        <f t="shared" si="462"/>
        <v>#N/A</v>
      </c>
      <c r="CK339" s="82">
        <f t="shared" si="463"/>
        <v>5.3070370403969858E-3</v>
      </c>
      <c r="CL339" s="82" t="e">
        <f t="shared" si="464"/>
        <v>#N/A</v>
      </c>
      <c r="CM339" s="82">
        <f t="shared" si="465"/>
        <v>5.3070370403969858E-3</v>
      </c>
      <c r="CO339" s="149" t="str">
        <f>IF($I339&lt;&gt;"",IF(O339="User Specified",U339,INDEX('Refrigerant GWPs'!$G$2:$G$156,MATCH(O339,'Refrigerant GWPs'!$A$2:$A$156,0))),"")</f>
        <v/>
      </c>
      <c r="CP339" s="138" t="str">
        <f>IF($I339&lt;&gt;"",INDEX('Device Refrigerant Leakage'!$E$2:$E$42,MATCH($M339,'Device Refrigerant Leakage'!$B$2:$B$42,0)),"")</f>
        <v/>
      </c>
      <c r="CQ339" s="138" t="str">
        <f>IF($I339&lt;&gt;"",INDEX('Device Refrigerant Leakage'!$F$2:$F$42,MATCH($M339,'Device Refrigerant Leakage'!$B$2:$B$42,0)),"")</f>
        <v/>
      </c>
      <c r="CR339" s="145" t="str">
        <f>IF($I339&lt;&gt;"",INDEX('Device Refrigerant Leakage'!$G$2:$G$42,MATCH($M339,'Device Refrigerant Leakage'!$B$2:$B$42,0)),"")</f>
        <v/>
      </c>
      <c r="CS339" s="145" t="str">
        <f>IF($I339&lt;&gt;"",INDEX('Device Refrigerant Leakage'!$D$2:$D$42,MATCH($M339,'Device Refrigerant Leakage'!$B$2:$B$42,0))*CP339/2204.62*CO339,"")</f>
        <v/>
      </c>
      <c r="CT339" s="145" t="str">
        <f>IF($I339&lt;&gt;"",J339*(INDEX('Device Refrigerant Leakage'!$D$2:$D$42,MATCH($M339,'Device Refrigerant Leakage'!$B$2:$B$42,0))-(INDEX('Device Refrigerant Leakage'!$D$2:$D$42,MATCH($M339,'Device Refrigerant Leakage'!$B$2:$B$42,0)))*CR339*CP339)*CQ339/2204.62*CO339,"")</f>
        <v/>
      </c>
      <c r="CU339" s="135" t="str">
        <f>IF($I339&lt;&gt;"",J339*IF(W339&lt;&gt;"AR",(CS339*K339)+CT339,(CS339*AB339)+CT339*(AB339/INDEX('Device Refrigerant Leakage'!$C$2:$C$42,MATCH($M339,'Device Refrigerant Leakage'!$B$2:$B$42,0)))),"")</f>
        <v/>
      </c>
      <c r="CW339" s="135" t="str">
        <f>IF($I339&lt;&gt;"",IF(S339="User Specified",V339,INDEX('Refrigerant GWPs'!$G$2:$G$156,MATCH(S339,'Refrigerant GWPs'!$A$2:$A$157,0))),"")</f>
        <v/>
      </c>
      <c r="CX339" s="138" t="str">
        <f>IF($I339&lt;&gt;"",INDEX('Device Refrigerant Leakage'!$E$2:$E$42,MATCH($Q339,'Device Refrigerant Leakage'!$B$2:$B$42,0)),"")</f>
        <v/>
      </c>
      <c r="CY339" s="138" t="str">
        <f>IF($I339&lt;&gt;"",INDEX('Device Refrigerant Leakage'!$F$2:$F$42,MATCH($Q339,'Device Refrigerant Leakage'!$B$2:$B$42,0)),"")</f>
        <v/>
      </c>
      <c r="CZ339" s="145" t="str">
        <f>IF($I339&lt;&gt;"",INDEX('Device Refrigerant Leakage'!$G$2:$G$42,MATCH($Q339,'Device Refrigerant Leakage'!$B$2:$B$42,0)),"")</f>
        <v/>
      </c>
      <c r="DA339" s="145" t="str">
        <f>IF($I339&lt;&gt;"",J339*INDEX('Device Refrigerant Leakage'!$D$2:$D$42,MATCH($Q339,'Device Refrigerant Leakage'!$B$2:$B$42,0))*CX339/2204.62*CW339,"")</f>
        <v/>
      </c>
      <c r="DB339" s="145" t="str">
        <f>IF($I339&lt;&gt;"",J339*(INDEX('Device Refrigerant Leakage'!$D$2:$D$42,MATCH($Q339,'Device Refrigerant Leakage'!$B$2:$B$42,0))-(INDEX('Device Refrigerant Leakage'!$D$2:$D$42,MATCH($Q339,'Device Refrigerant Leakage'!$B$2:$B$42,0)))*CZ339*CX339)*CY339/2204.62*CW339,"")</f>
        <v/>
      </c>
      <c r="DC339" s="135" t="str">
        <f t="shared" si="484"/>
        <v/>
      </c>
      <c r="DE339" s="146" t="str">
        <f>IF(W339&lt;&gt;"AR","",IF(Y339="User Specified", AA339, INDEX('Refrigerant GWPs'!$G$2:$G$154,MATCH(Y339,'Refrigerant GWPs'!$A$2:$A$154,0))))</f>
        <v/>
      </c>
      <c r="DF339" s="146" t="str">
        <f>IF(W339&lt;&gt;"AR","",INDEX('Device Refrigerant Leakage'!$E$2:$E$42,MATCH(X339,'Device Refrigerant Leakage'!$B$2:$B$42,0)))</f>
        <v/>
      </c>
      <c r="DG339" s="146" t="str">
        <f>IF(W339&lt;&gt;"AR","",INDEX('Device Refrigerant Leakage'!$F$2:$F$42,MATCH(X339,'Device Refrigerant Leakage'!$B$2:$B$42,0)))</f>
        <v/>
      </c>
      <c r="DH339" s="146" t="str">
        <f>IF(W339&lt;&gt;"AR","",INDEX('Device Refrigerant Leakage'!$G$2:$G$42,MATCH(X339,'Device Refrigerant Leakage'!$B$2:$B$42,0)))</f>
        <v/>
      </c>
      <c r="DI339" s="146" t="str">
        <f>IF(W339&lt;&gt;"AR","",J339*INDEX('Device Refrigerant Leakage'!$D$2:$D$42,MATCH(X339,'Device Refrigerant Leakage'!$B$2:$B$42,0))*DF339/2204.62*DE339)</f>
        <v/>
      </c>
      <c r="DJ339" s="146" t="str">
        <f>IF(W339&lt;&gt;"AR","",J339*(INDEX('Device Refrigerant Leakage'!$D$2:$D$42,MATCH(X339,'Device Refrigerant Leakage'!$B$2:$B$42,0))-(INDEX('Device Refrigerant Leakage'!$D$2:$D$42,MATCH(X339,'Device Refrigerant Leakage'!$B$2:$B$42,0)))*DH339*DF339)*DG339/2204.62*DE339)</f>
        <v/>
      </c>
      <c r="DK339" s="146" t="str">
        <f>IF(W339&lt;&gt;"AR","",DI339*(K339-AB339)+'Fuel Sub Calcs-Deemed'!DJ339*((K339-AB339)/INDEX('Device Refrigerant Leakage'!$C$2:$C$42,MATCH('Fuel Sub Calcs-Deemed'!X339,'Device Refrigerant Leakage'!$B$2:$B$42,0))))</f>
        <v/>
      </c>
      <c r="DM339" s="56">
        <v>325</v>
      </c>
      <c r="DN339" s="67" t="e">
        <f t="shared" si="466"/>
        <v>#N/A</v>
      </c>
      <c r="DO339" s="45" t="e">
        <f t="shared" si="467"/>
        <v>#N/A</v>
      </c>
      <c r="DP339" s="67" t="e">
        <f t="shared" si="468"/>
        <v>#N/A</v>
      </c>
      <c r="DQ339" s="45" t="e">
        <f t="shared" si="469"/>
        <v>#N/A</v>
      </c>
      <c r="DR339" s="69" t="e">
        <f t="shared" si="470"/>
        <v>#N/A</v>
      </c>
      <c r="DS339" s="34"/>
      <c r="DT339" s="67" t="e">
        <f>((BX339*CJ339)+IF($W339=MAT_AR,(BZ339*CL339),0))*(1+Reference!$E$50+Reference!$E$51)</f>
        <v>#N/A</v>
      </c>
      <c r="DU339" s="67">
        <f>((BY339*CK339)+IF($W339=MAT_AR,(CA339*CM339),0))*(1+Reference!$G$50+Reference!$G$51)</f>
        <v>0</v>
      </c>
      <c r="DV339" s="67" t="e">
        <f t="shared" si="471"/>
        <v>#VALUE!</v>
      </c>
      <c r="DX339" s="56">
        <v>325</v>
      </c>
      <c r="DY339" s="67">
        <f t="shared" si="472"/>
        <v>0</v>
      </c>
      <c r="DZ339" s="45" t="e">
        <f>VLOOKUP($R339,Dropdown!$C$3:$D$4,2,FALSE)</f>
        <v>#N/A</v>
      </c>
      <c r="EA339" s="68">
        <f t="shared" si="473"/>
        <v>0</v>
      </c>
      <c r="EB339" s="68" t="str">
        <f t="shared" si="474"/>
        <v>N/A</v>
      </c>
      <c r="EC339" s="68">
        <f t="shared" si="475"/>
        <v>0</v>
      </c>
      <c r="ED339" s="68" t="str">
        <f t="shared" si="445"/>
        <v>N/A</v>
      </c>
      <c r="EF339" s="56">
        <v>325</v>
      </c>
      <c r="EG339" s="46">
        <f t="shared" si="476"/>
        <v>0</v>
      </c>
      <c r="EH339" s="68" t="e">
        <f t="shared" si="477"/>
        <v>#N/A</v>
      </c>
      <c r="EI339" s="68" t="e">
        <f t="shared" si="478"/>
        <v>#N/A</v>
      </c>
      <c r="EJ339" s="68" t="e">
        <f t="shared" si="479"/>
        <v>#N/A</v>
      </c>
      <c r="EK339" s="68" t="e">
        <f t="shared" si="480"/>
        <v>#N/A</v>
      </c>
      <c r="EL339" s="46">
        <f t="shared" si="481"/>
        <v>0</v>
      </c>
      <c r="EM339" s="46">
        <f t="shared" si="482"/>
        <v>0</v>
      </c>
    </row>
    <row r="340" spans="1:143">
      <c r="A340" s="89"/>
      <c r="B340" s="89"/>
      <c r="C340" s="89"/>
      <c r="D340" s="89"/>
      <c r="E340" s="89"/>
      <c r="F340" s="89"/>
      <c r="G340" s="34"/>
      <c r="H340" s="56">
        <f t="shared" si="483"/>
        <v>326</v>
      </c>
      <c r="I340" s="165"/>
      <c r="J340" s="163"/>
      <c r="K340" s="163"/>
      <c r="L340" s="164"/>
      <c r="M340" s="155"/>
      <c r="N340" s="155"/>
      <c r="O340" s="144"/>
      <c r="P340" s="159" t="str">
        <f>IFERROR(IF(O340&lt;&gt;"User Specified",IF(O340&lt;&gt;"", INDEX('Refrigerant GWPs'!$G$2:$G$154,MATCH(O340,'Refrigerant GWPs'!$A$2:$A$154,0)),""),U340),0)</f>
        <v/>
      </c>
      <c r="Q340" s="155"/>
      <c r="R340" s="155"/>
      <c r="S340" s="144"/>
      <c r="T340" s="159" t="str">
        <f>IF(S340&lt;&gt;"User Specified",IF(AND(S340&lt;&gt;"User Specified",S340&lt;&gt;""), INDEX('Refrigerant GWPs'!$G$2:$G$154,MATCH(S340,'Refrigerant GWPs'!$A$2:$A$154,0)),""),V340)</f>
        <v/>
      </c>
      <c r="U340" s="144"/>
      <c r="V340" s="144"/>
      <c r="W340" s="155"/>
      <c r="X340" s="155"/>
      <c r="Y340" s="144"/>
      <c r="Z340" s="159" t="str">
        <f>IF(AND(Y340&lt;&gt;"User Specified",Y340&lt;&gt;""), INDEX('Refrigerant GWPs'!$G$2:$G$154,MATCH(Y340,'Refrigerant GWPs'!$A$2:$A$154,0)),"")</f>
        <v/>
      </c>
      <c r="AA340" s="155"/>
      <c r="AB340" s="156"/>
      <c r="AC340" s="66"/>
      <c r="AD340" s="66"/>
      <c r="AE340" s="66"/>
      <c r="AF340" s="66"/>
      <c r="AG340" s="66"/>
      <c r="AH340" s="66"/>
      <c r="AI340" s="34"/>
      <c r="AJ340" s="88">
        <f t="shared" si="446"/>
        <v>0</v>
      </c>
      <c r="AK340" s="88">
        <f t="shared" si="447"/>
        <v>0</v>
      </c>
      <c r="AL340" s="88">
        <v>0</v>
      </c>
      <c r="AM340" s="88">
        <v>0</v>
      </c>
      <c r="AN340" s="81" t="str">
        <f t="shared" si="417"/>
        <v/>
      </c>
      <c r="AO340" s="88">
        <f t="shared" si="448"/>
        <v>0</v>
      </c>
      <c r="AP340" s="88">
        <f t="shared" si="449"/>
        <v>0</v>
      </c>
      <c r="AQ340" s="81" t="str">
        <f t="shared" si="450"/>
        <v/>
      </c>
      <c r="AS340" s="41" t="b">
        <f t="shared" si="451"/>
        <v>1</v>
      </c>
      <c r="AT340" s="38">
        <f t="shared" si="452"/>
        <v>0</v>
      </c>
      <c r="AU340" s="60">
        <f t="shared" si="453"/>
        <v>0</v>
      </c>
      <c r="AV340" s="41">
        <f t="shared" si="454"/>
        <v>0</v>
      </c>
      <c r="AW340" s="41" t="b">
        <f t="shared" si="455"/>
        <v>0</v>
      </c>
      <c r="AX340" t="str">
        <f t="shared" si="456"/>
        <v>+00</v>
      </c>
      <c r="AY340" t="str">
        <f t="shared" si="457"/>
        <v>+00</v>
      </c>
      <c r="BA340" s="47" t="b">
        <f t="shared" si="418"/>
        <v>1</v>
      </c>
      <c r="BB340" s="42" t="b">
        <f t="shared" si="419"/>
        <v>1</v>
      </c>
      <c r="BC340" s="42" t="b">
        <f t="shared" si="420"/>
        <v>0</v>
      </c>
      <c r="BD340" s="42" t="b">
        <f t="shared" si="421"/>
        <v>0</v>
      </c>
      <c r="BE340" s="70">
        <f t="shared" si="422"/>
        <v>0</v>
      </c>
      <c r="BF340" s="70">
        <f t="shared" si="423"/>
        <v>0</v>
      </c>
      <c r="BG340" s="34"/>
      <c r="BI340" s="47" t="b">
        <f t="shared" si="424"/>
        <v>1</v>
      </c>
      <c r="BJ340" s="47" t="b">
        <f t="shared" si="425"/>
        <v>1</v>
      </c>
      <c r="BK340" s="42" t="b">
        <f t="shared" si="426"/>
        <v>0</v>
      </c>
      <c r="BL340" s="42" t="b">
        <f t="shared" si="427"/>
        <v>0</v>
      </c>
      <c r="BM340" s="42">
        <f t="shared" si="428"/>
        <v>0</v>
      </c>
      <c r="BN340" s="42">
        <f t="shared" si="429"/>
        <v>0</v>
      </c>
      <c r="BP340" t="e">
        <f t="shared" si="430"/>
        <v>#N/A</v>
      </c>
      <c r="BQ340" t="e">
        <f t="shared" si="431"/>
        <v>#N/A</v>
      </c>
      <c r="BR340" t="e">
        <f t="shared" si="432"/>
        <v>#N/A</v>
      </c>
      <c r="BT340" s="60">
        <f t="shared" si="433"/>
        <v>0</v>
      </c>
      <c r="BU340" s="60">
        <f t="shared" si="434"/>
        <v>0</v>
      </c>
      <c r="BV340" s="60">
        <f t="shared" si="435"/>
        <v>0</v>
      </c>
      <c r="BW340" s="60">
        <f t="shared" si="436"/>
        <v>0</v>
      </c>
      <c r="BX340" s="60">
        <f t="shared" si="437"/>
        <v>0</v>
      </c>
      <c r="BY340" s="60">
        <f t="shared" si="438"/>
        <v>0</v>
      </c>
      <c r="BZ340" s="60">
        <f t="shared" si="439"/>
        <v>0</v>
      </c>
      <c r="CA340" s="60">
        <f t="shared" si="440"/>
        <v>0</v>
      </c>
      <c r="CB340" s="60" t="e">
        <f t="shared" si="458"/>
        <v>#N/A</v>
      </c>
      <c r="CC340" s="60">
        <f t="shared" si="459"/>
        <v>100000</v>
      </c>
      <c r="CD340" s="60" t="e">
        <f t="shared" si="460"/>
        <v>#N/A</v>
      </c>
      <c r="CE340" s="60">
        <f t="shared" si="461"/>
        <v>100000</v>
      </c>
      <c r="CF340" s="83" t="e">
        <f t="shared" si="441"/>
        <v>#N/A</v>
      </c>
      <c r="CG340" s="83">
        <f t="shared" si="442"/>
        <v>0</v>
      </c>
      <c r="CH340" s="83" t="e">
        <f t="shared" si="443"/>
        <v>#N/A</v>
      </c>
      <c r="CI340" s="83">
        <f t="shared" si="444"/>
        <v>0</v>
      </c>
      <c r="CJ340" s="86" t="e">
        <f t="shared" si="462"/>
        <v>#N/A</v>
      </c>
      <c r="CK340" s="82">
        <f t="shared" si="463"/>
        <v>5.3070370403969858E-3</v>
      </c>
      <c r="CL340" s="82" t="e">
        <f t="shared" si="464"/>
        <v>#N/A</v>
      </c>
      <c r="CM340" s="82">
        <f t="shared" si="465"/>
        <v>5.3070370403969858E-3</v>
      </c>
      <c r="CO340" s="149" t="str">
        <f>IF($I340&lt;&gt;"",IF(O340="User Specified",U340,INDEX('Refrigerant GWPs'!$G$2:$G$156,MATCH(O340,'Refrigerant GWPs'!$A$2:$A$156,0))),"")</f>
        <v/>
      </c>
      <c r="CP340" s="138" t="str">
        <f>IF($I340&lt;&gt;"",INDEX('Device Refrigerant Leakage'!$E$2:$E$42,MATCH($M340,'Device Refrigerant Leakage'!$B$2:$B$42,0)),"")</f>
        <v/>
      </c>
      <c r="CQ340" s="138" t="str">
        <f>IF($I340&lt;&gt;"",INDEX('Device Refrigerant Leakage'!$F$2:$F$42,MATCH($M340,'Device Refrigerant Leakage'!$B$2:$B$42,0)),"")</f>
        <v/>
      </c>
      <c r="CR340" s="145" t="str">
        <f>IF($I340&lt;&gt;"",INDEX('Device Refrigerant Leakage'!$G$2:$G$42,MATCH($M340,'Device Refrigerant Leakage'!$B$2:$B$42,0)),"")</f>
        <v/>
      </c>
      <c r="CS340" s="145" t="str">
        <f>IF($I340&lt;&gt;"",INDEX('Device Refrigerant Leakage'!$D$2:$D$42,MATCH($M340,'Device Refrigerant Leakage'!$B$2:$B$42,0))*CP340/2204.62*CO340,"")</f>
        <v/>
      </c>
      <c r="CT340" s="145" t="str">
        <f>IF($I340&lt;&gt;"",J340*(INDEX('Device Refrigerant Leakage'!$D$2:$D$42,MATCH($M340,'Device Refrigerant Leakage'!$B$2:$B$42,0))-(INDEX('Device Refrigerant Leakage'!$D$2:$D$42,MATCH($M340,'Device Refrigerant Leakage'!$B$2:$B$42,0)))*CR340*CP340)*CQ340/2204.62*CO340,"")</f>
        <v/>
      </c>
      <c r="CU340" s="135" t="str">
        <f>IF($I340&lt;&gt;"",J340*IF(W340&lt;&gt;"AR",(CS340*K340)+CT340,(CS340*AB340)+CT340*(AB340/INDEX('Device Refrigerant Leakage'!$C$2:$C$42,MATCH($M340,'Device Refrigerant Leakage'!$B$2:$B$42,0)))),"")</f>
        <v/>
      </c>
      <c r="CW340" s="135" t="str">
        <f>IF($I340&lt;&gt;"",IF(S340="User Specified",V340,INDEX('Refrigerant GWPs'!$G$2:$G$156,MATCH(S340,'Refrigerant GWPs'!$A$2:$A$157,0))),"")</f>
        <v/>
      </c>
      <c r="CX340" s="138" t="str">
        <f>IF($I340&lt;&gt;"",INDEX('Device Refrigerant Leakage'!$E$2:$E$42,MATCH($Q340,'Device Refrigerant Leakage'!$B$2:$B$42,0)),"")</f>
        <v/>
      </c>
      <c r="CY340" s="138" t="str">
        <f>IF($I340&lt;&gt;"",INDEX('Device Refrigerant Leakage'!$F$2:$F$42,MATCH($Q340,'Device Refrigerant Leakage'!$B$2:$B$42,0)),"")</f>
        <v/>
      </c>
      <c r="CZ340" s="145" t="str">
        <f>IF($I340&lt;&gt;"",INDEX('Device Refrigerant Leakage'!$G$2:$G$42,MATCH($Q340,'Device Refrigerant Leakage'!$B$2:$B$42,0)),"")</f>
        <v/>
      </c>
      <c r="DA340" s="145" t="str">
        <f>IF($I340&lt;&gt;"",J340*INDEX('Device Refrigerant Leakage'!$D$2:$D$42,MATCH($Q340,'Device Refrigerant Leakage'!$B$2:$B$42,0))*CX340/2204.62*CW340,"")</f>
        <v/>
      </c>
      <c r="DB340" s="145" t="str">
        <f>IF($I340&lt;&gt;"",J340*(INDEX('Device Refrigerant Leakage'!$D$2:$D$42,MATCH($Q340,'Device Refrigerant Leakage'!$B$2:$B$42,0))-(INDEX('Device Refrigerant Leakage'!$D$2:$D$42,MATCH($Q340,'Device Refrigerant Leakage'!$B$2:$B$42,0)))*CZ340*CX340)*CY340/2204.62*CW340,"")</f>
        <v/>
      </c>
      <c r="DC340" s="135" t="str">
        <f t="shared" si="484"/>
        <v/>
      </c>
      <c r="DE340" s="146" t="str">
        <f>IF(W340&lt;&gt;"AR","",IF(Y340="User Specified", AA340, INDEX('Refrigerant GWPs'!$G$2:$G$154,MATCH(Y340,'Refrigerant GWPs'!$A$2:$A$154,0))))</f>
        <v/>
      </c>
      <c r="DF340" s="146" t="str">
        <f>IF(W340&lt;&gt;"AR","",INDEX('Device Refrigerant Leakage'!$E$2:$E$42,MATCH(X340,'Device Refrigerant Leakage'!$B$2:$B$42,0)))</f>
        <v/>
      </c>
      <c r="DG340" s="146" t="str">
        <f>IF(W340&lt;&gt;"AR","",INDEX('Device Refrigerant Leakage'!$F$2:$F$42,MATCH(X340,'Device Refrigerant Leakage'!$B$2:$B$42,0)))</f>
        <v/>
      </c>
      <c r="DH340" s="146" t="str">
        <f>IF(W340&lt;&gt;"AR","",INDEX('Device Refrigerant Leakage'!$G$2:$G$42,MATCH(X340,'Device Refrigerant Leakage'!$B$2:$B$42,0)))</f>
        <v/>
      </c>
      <c r="DI340" s="146" t="str">
        <f>IF(W340&lt;&gt;"AR","",J340*INDEX('Device Refrigerant Leakage'!$D$2:$D$42,MATCH(X340,'Device Refrigerant Leakage'!$B$2:$B$42,0))*DF340/2204.62*DE340)</f>
        <v/>
      </c>
      <c r="DJ340" s="146" t="str">
        <f>IF(W340&lt;&gt;"AR","",J340*(INDEX('Device Refrigerant Leakage'!$D$2:$D$42,MATCH(X340,'Device Refrigerant Leakage'!$B$2:$B$42,0))-(INDEX('Device Refrigerant Leakage'!$D$2:$D$42,MATCH(X340,'Device Refrigerant Leakage'!$B$2:$B$42,0)))*DH340*DF340)*DG340/2204.62*DE340)</f>
        <v/>
      </c>
      <c r="DK340" s="146" t="str">
        <f>IF(W340&lt;&gt;"AR","",DI340*(K340-AB340)+'Fuel Sub Calcs-Deemed'!DJ340*((K340-AB340)/INDEX('Device Refrigerant Leakage'!$C$2:$C$42,MATCH('Fuel Sub Calcs-Deemed'!X340,'Device Refrigerant Leakage'!$B$2:$B$42,0))))</f>
        <v/>
      </c>
      <c r="DM340" s="56">
        <v>326</v>
      </c>
      <c r="DN340" s="67" t="e">
        <f t="shared" si="466"/>
        <v>#N/A</v>
      </c>
      <c r="DO340" s="45" t="e">
        <f t="shared" si="467"/>
        <v>#N/A</v>
      </c>
      <c r="DP340" s="67" t="e">
        <f t="shared" si="468"/>
        <v>#N/A</v>
      </c>
      <c r="DQ340" s="45" t="e">
        <f t="shared" si="469"/>
        <v>#N/A</v>
      </c>
      <c r="DR340" s="69" t="e">
        <f t="shared" si="470"/>
        <v>#N/A</v>
      </c>
      <c r="DS340" s="34"/>
      <c r="DT340" s="67" t="e">
        <f>((BX340*CJ340)+IF($W340=MAT_AR,(BZ340*CL340),0))*(1+Reference!$E$50+Reference!$E$51)</f>
        <v>#N/A</v>
      </c>
      <c r="DU340" s="67">
        <f>((BY340*CK340)+IF($W340=MAT_AR,(CA340*CM340),0))*(1+Reference!$G$50+Reference!$G$51)</f>
        <v>0</v>
      </c>
      <c r="DV340" s="67" t="e">
        <f t="shared" si="471"/>
        <v>#VALUE!</v>
      </c>
      <c r="DX340" s="56">
        <v>326</v>
      </c>
      <c r="DY340" s="67">
        <f t="shared" si="472"/>
        <v>0</v>
      </c>
      <c r="DZ340" s="45" t="e">
        <f>VLOOKUP($R340,Dropdown!$C$3:$D$4,2,FALSE)</f>
        <v>#N/A</v>
      </c>
      <c r="EA340" s="68">
        <f t="shared" si="473"/>
        <v>0</v>
      </c>
      <c r="EB340" s="68" t="str">
        <f t="shared" si="474"/>
        <v>N/A</v>
      </c>
      <c r="EC340" s="68">
        <f t="shared" si="475"/>
        <v>0</v>
      </c>
      <c r="ED340" s="68" t="str">
        <f t="shared" si="445"/>
        <v>N/A</v>
      </c>
      <c r="EF340" s="56">
        <v>326</v>
      </c>
      <c r="EG340" s="46">
        <f t="shared" si="476"/>
        <v>0</v>
      </c>
      <c r="EH340" s="68" t="e">
        <f t="shared" si="477"/>
        <v>#N/A</v>
      </c>
      <c r="EI340" s="68" t="e">
        <f t="shared" si="478"/>
        <v>#N/A</v>
      </c>
      <c r="EJ340" s="68" t="e">
        <f t="shared" si="479"/>
        <v>#N/A</v>
      </c>
      <c r="EK340" s="68" t="e">
        <f t="shared" si="480"/>
        <v>#N/A</v>
      </c>
      <c r="EL340" s="46">
        <f t="shared" si="481"/>
        <v>0</v>
      </c>
      <c r="EM340" s="46">
        <f t="shared" si="482"/>
        <v>0</v>
      </c>
    </row>
    <row r="341" spans="1:143">
      <c r="A341" s="89"/>
      <c r="B341" s="89"/>
      <c r="C341" s="89"/>
      <c r="D341" s="89"/>
      <c r="E341" s="89"/>
      <c r="F341" s="89"/>
      <c r="G341" s="34"/>
      <c r="H341" s="56">
        <f t="shared" si="483"/>
        <v>327</v>
      </c>
      <c r="I341" s="165"/>
      <c r="J341" s="163"/>
      <c r="K341" s="163"/>
      <c r="L341" s="164"/>
      <c r="M341" s="155"/>
      <c r="N341" s="155"/>
      <c r="O341" s="144"/>
      <c r="P341" s="159" t="str">
        <f>IFERROR(IF(O341&lt;&gt;"User Specified",IF(O341&lt;&gt;"", INDEX('Refrigerant GWPs'!$G$2:$G$154,MATCH(O341,'Refrigerant GWPs'!$A$2:$A$154,0)),""),U341),0)</f>
        <v/>
      </c>
      <c r="Q341" s="155"/>
      <c r="R341" s="155"/>
      <c r="S341" s="144"/>
      <c r="T341" s="159" t="str">
        <f>IF(S341&lt;&gt;"User Specified",IF(AND(S341&lt;&gt;"User Specified",S341&lt;&gt;""), INDEX('Refrigerant GWPs'!$G$2:$G$154,MATCH(S341,'Refrigerant GWPs'!$A$2:$A$154,0)),""),V341)</f>
        <v/>
      </c>
      <c r="U341" s="144"/>
      <c r="V341" s="144"/>
      <c r="W341" s="155"/>
      <c r="X341" s="155"/>
      <c r="Y341" s="144"/>
      <c r="Z341" s="159" t="str">
        <f>IF(AND(Y341&lt;&gt;"User Specified",Y341&lt;&gt;""), INDEX('Refrigerant GWPs'!$G$2:$G$154,MATCH(Y341,'Refrigerant GWPs'!$A$2:$A$154,0)),"")</f>
        <v/>
      </c>
      <c r="AA341" s="155"/>
      <c r="AB341" s="156"/>
      <c r="AC341" s="66"/>
      <c r="AD341" s="66"/>
      <c r="AE341" s="66"/>
      <c r="AF341" s="66"/>
      <c r="AG341" s="66"/>
      <c r="AH341" s="66"/>
      <c r="AI341" s="34"/>
      <c r="AJ341" s="88">
        <f t="shared" si="446"/>
        <v>0</v>
      </c>
      <c r="AK341" s="88">
        <f t="shared" si="447"/>
        <v>0</v>
      </c>
      <c r="AL341" s="88">
        <v>0</v>
      </c>
      <c r="AM341" s="88">
        <v>0</v>
      </c>
      <c r="AN341" s="81" t="str">
        <f t="shared" si="417"/>
        <v/>
      </c>
      <c r="AO341" s="88">
        <f t="shared" si="448"/>
        <v>0</v>
      </c>
      <c r="AP341" s="88">
        <f t="shared" si="449"/>
        <v>0</v>
      </c>
      <c r="AQ341" s="81" t="str">
        <f t="shared" si="450"/>
        <v/>
      </c>
      <c r="AS341" s="41" t="b">
        <f t="shared" si="451"/>
        <v>1</v>
      </c>
      <c r="AT341" s="38">
        <f t="shared" si="452"/>
        <v>0</v>
      </c>
      <c r="AU341" s="60">
        <f t="shared" si="453"/>
        <v>0</v>
      </c>
      <c r="AV341" s="41">
        <f t="shared" si="454"/>
        <v>0</v>
      </c>
      <c r="AW341" s="41" t="b">
        <f t="shared" si="455"/>
        <v>0</v>
      </c>
      <c r="AX341" t="str">
        <f t="shared" si="456"/>
        <v>+00</v>
      </c>
      <c r="AY341" t="str">
        <f t="shared" si="457"/>
        <v>+00</v>
      </c>
      <c r="BA341" s="47" t="b">
        <f t="shared" si="418"/>
        <v>1</v>
      </c>
      <c r="BB341" s="42" t="b">
        <f t="shared" si="419"/>
        <v>1</v>
      </c>
      <c r="BC341" s="42" t="b">
        <f t="shared" si="420"/>
        <v>0</v>
      </c>
      <c r="BD341" s="42" t="b">
        <f t="shared" si="421"/>
        <v>0</v>
      </c>
      <c r="BE341" s="70">
        <f t="shared" si="422"/>
        <v>0</v>
      </c>
      <c r="BF341" s="70">
        <f t="shared" si="423"/>
        <v>0</v>
      </c>
      <c r="BG341" s="34"/>
      <c r="BI341" s="47" t="b">
        <f t="shared" si="424"/>
        <v>1</v>
      </c>
      <c r="BJ341" s="47" t="b">
        <f t="shared" si="425"/>
        <v>1</v>
      </c>
      <c r="BK341" s="42" t="b">
        <f t="shared" si="426"/>
        <v>0</v>
      </c>
      <c r="BL341" s="42" t="b">
        <f t="shared" si="427"/>
        <v>0</v>
      </c>
      <c r="BM341" s="42">
        <f t="shared" si="428"/>
        <v>0</v>
      </c>
      <c r="BN341" s="42">
        <f t="shared" si="429"/>
        <v>0</v>
      </c>
      <c r="BP341" t="e">
        <f t="shared" si="430"/>
        <v>#N/A</v>
      </c>
      <c r="BQ341" t="e">
        <f t="shared" si="431"/>
        <v>#N/A</v>
      </c>
      <c r="BR341" t="e">
        <f t="shared" si="432"/>
        <v>#N/A</v>
      </c>
      <c r="BT341" s="60">
        <f t="shared" si="433"/>
        <v>0</v>
      </c>
      <c r="BU341" s="60">
        <f t="shared" si="434"/>
        <v>0</v>
      </c>
      <c r="BV341" s="60">
        <f t="shared" si="435"/>
        <v>0</v>
      </c>
      <c r="BW341" s="60">
        <f t="shared" si="436"/>
        <v>0</v>
      </c>
      <c r="BX341" s="60">
        <f t="shared" si="437"/>
        <v>0</v>
      </c>
      <c r="BY341" s="60">
        <f t="shared" si="438"/>
        <v>0</v>
      </c>
      <c r="BZ341" s="60">
        <f t="shared" si="439"/>
        <v>0</v>
      </c>
      <c r="CA341" s="60">
        <f t="shared" si="440"/>
        <v>0</v>
      </c>
      <c r="CB341" s="60" t="e">
        <f t="shared" si="458"/>
        <v>#N/A</v>
      </c>
      <c r="CC341" s="60">
        <f t="shared" si="459"/>
        <v>100000</v>
      </c>
      <c r="CD341" s="60" t="e">
        <f t="shared" si="460"/>
        <v>#N/A</v>
      </c>
      <c r="CE341" s="60">
        <f t="shared" si="461"/>
        <v>100000</v>
      </c>
      <c r="CF341" s="83" t="e">
        <f t="shared" si="441"/>
        <v>#N/A</v>
      </c>
      <c r="CG341" s="83">
        <f t="shared" si="442"/>
        <v>0</v>
      </c>
      <c r="CH341" s="83" t="e">
        <f t="shared" si="443"/>
        <v>#N/A</v>
      </c>
      <c r="CI341" s="83">
        <f t="shared" si="444"/>
        <v>0</v>
      </c>
      <c r="CJ341" s="86" t="e">
        <f t="shared" si="462"/>
        <v>#N/A</v>
      </c>
      <c r="CK341" s="82">
        <f t="shared" si="463"/>
        <v>5.3070370403969858E-3</v>
      </c>
      <c r="CL341" s="82" t="e">
        <f t="shared" si="464"/>
        <v>#N/A</v>
      </c>
      <c r="CM341" s="82">
        <f t="shared" si="465"/>
        <v>5.3070370403969858E-3</v>
      </c>
      <c r="CO341" s="149" t="str">
        <f>IF($I341&lt;&gt;"",IF(O341="User Specified",U341,INDEX('Refrigerant GWPs'!$G$2:$G$156,MATCH(O341,'Refrigerant GWPs'!$A$2:$A$156,0))),"")</f>
        <v/>
      </c>
      <c r="CP341" s="138" t="str">
        <f>IF($I341&lt;&gt;"",INDEX('Device Refrigerant Leakage'!$E$2:$E$42,MATCH($M341,'Device Refrigerant Leakage'!$B$2:$B$42,0)),"")</f>
        <v/>
      </c>
      <c r="CQ341" s="138" t="str">
        <f>IF($I341&lt;&gt;"",INDEX('Device Refrigerant Leakage'!$F$2:$F$42,MATCH($M341,'Device Refrigerant Leakage'!$B$2:$B$42,0)),"")</f>
        <v/>
      </c>
      <c r="CR341" s="145" t="str">
        <f>IF($I341&lt;&gt;"",INDEX('Device Refrigerant Leakage'!$G$2:$G$42,MATCH($M341,'Device Refrigerant Leakage'!$B$2:$B$42,0)),"")</f>
        <v/>
      </c>
      <c r="CS341" s="145" t="str">
        <f>IF($I341&lt;&gt;"",INDEX('Device Refrigerant Leakage'!$D$2:$D$42,MATCH($M341,'Device Refrigerant Leakage'!$B$2:$B$42,0))*CP341/2204.62*CO341,"")</f>
        <v/>
      </c>
      <c r="CT341" s="145" t="str">
        <f>IF($I341&lt;&gt;"",J341*(INDEX('Device Refrigerant Leakage'!$D$2:$D$42,MATCH($M341,'Device Refrigerant Leakage'!$B$2:$B$42,0))-(INDEX('Device Refrigerant Leakage'!$D$2:$D$42,MATCH($M341,'Device Refrigerant Leakage'!$B$2:$B$42,0)))*CR341*CP341)*CQ341/2204.62*CO341,"")</f>
        <v/>
      </c>
      <c r="CU341" s="135" t="str">
        <f>IF($I341&lt;&gt;"",J341*IF(W341&lt;&gt;"AR",(CS341*K341)+CT341,(CS341*AB341)+CT341*(AB341/INDEX('Device Refrigerant Leakage'!$C$2:$C$42,MATCH($M341,'Device Refrigerant Leakage'!$B$2:$B$42,0)))),"")</f>
        <v/>
      </c>
      <c r="CW341" s="135" t="str">
        <f>IF($I341&lt;&gt;"",IF(S341="User Specified",V341,INDEX('Refrigerant GWPs'!$G$2:$G$156,MATCH(S341,'Refrigerant GWPs'!$A$2:$A$157,0))),"")</f>
        <v/>
      </c>
      <c r="CX341" s="138" t="str">
        <f>IF($I341&lt;&gt;"",INDEX('Device Refrigerant Leakage'!$E$2:$E$42,MATCH($Q341,'Device Refrigerant Leakage'!$B$2:$B$42,0)),"")</f>
        <v/>
      </c>
      <c r="CY341" s="138" t="str">
        <f>IF($I341&lt;&gt;"",INDEX('Device Refrigerant Leakage'!$F$2:$F$42,MATCH($Q341,'Device Refrigerant Leakage'!$B$2:$B$42,0)),"")</f>
        <v/>
      </c>
      <c r="CZ341" s="145" t="str">
        <f>IF($I341&lt;&gt;"",INDEX('Device Refrigerant Leakage'!$G$2:$G$42,MATCH($Q341,'Device Refrigerant Leakage'!$B$2:$B$42,0)),"")</f>
        <v/>
      </c>
      <c r="DA341" s="145" t="str">
        <f>IF($I341&lt;&gt;"",J341*INDEX('Device Refrigerant Leakage'!$D$2:$D$42,MATCH($Q341,'Device Refrigerant Leakage'!$B$2:$B$42,0))*CX341/2204.62*CW341,"")</f>
        <v/>
      </c>
      <c r="DB341" s="145" t="str">
        <f>IF($I341&lt;&gt;"",J341*(INDEX('Device Refrigerant Leakage'!$D$2:$D$42,MATCH($Q341,'Device Refrigerant Leakage'!$B$2:$B$42,0))-(INDEX('Device Refrigerant Leakage'!$D$2:$D$42,MATCH($Q341,'Device Refrigerant Leakage'!$B$2:$B$42,0)))*CZ341*CX341)*CY341/2204.62*CW341,"")</f>
        <v/>
      </c>
      <c r="DC341" s="135" t="str">
        <f t="shared" si="484"/>
        <v/>
      </c>
      <c r="DE341" s="146" t="str">
        <f>IF(W341&lt;&gt;"AR","",IF(Y341="User Specified", AA341, INDEX('Refrigerant GWPs'!$G$2:$G$154,MATCH(Y341,'Refrigerant GWPs'!$A$2:$A$154,0))))</f>
        <v/>
      </c>
      <c r="DF341" s="146" t="str">
        <f>IF(W341&lt;&gt;"AR","",INDEX('Device Refrigerant Leakage'!$E$2:$E$42,MATCH(X341,'Device Refrigerant Leakage'!$B$2:$B$42,0)))</f>
        <v/>
      </c>
      <c r="DG341" s="146" t="str">
        <f>IF(W341&lt;&gt;"AR","",INDEX('Device Refrigerant Leakage'!$F$2:$F$42,MATCH(X341,'Device Refrigerant Leakage'!$B$2:$B$42,0)))</f>
        <v/>
      </c>
      <c r="DH341" s="146" t="str">
        <f>IF(W341&lt;&gt;"AR","",INDEX('Device Refrigerant Leakage'!$G$2:$G$42,MATCH(X341,'Device Refrigerant Leakage'!$B$2:$B$42,0)))</f>
        <v/>
      </c>
      <c r="DI341" s="146" t="str">
        <f>IF(W341&lt;&gt;"AR","",J341*INDEX('Device Refrigerant Leakage'!$D$2:$D$42,MATCH(X341,'Device Refrigerant Leakage'!$B$2:$B$42,0))*DF341/2204.62*DE341)</f>
        <v/>
      </c>
      <c r="DJ341" s="146" t="str">
        <f>IF(W341&lt;&gt;"AR","",J341*(INDEX('Device Refrigerant Leakage'!$D$2:$D$42,MATCH(X341,'Device Refrigerant Leakage'!$B$2:$B$42,0))-(INDEX('Device Refrigerant Leakage'!$D$2:$D$42,MATCH(X341,'Device Refrigerant Leakage'!$B$2:$B$42,0)))*DH341*DF341)*DG341/2204.62*DE341)</f>
        <v/>
      </c>
      <c r="DK341" s="146" t="str">
        <f>IF(W341&lt;&gt;"AR","",DI341*(K341-AB341)+'Fuel Sub Calcs-Deemed'!DJ341*((K341-AB341)/INDEX('Device Refrigerant Leakage'!$C$2:$C$42,MATCH('Fuel Sub Calcs-Deemed'!X341,'Device Refrigerant Leakage'!$B$2:$B$42,0))))</f>
        <v/>
      </c>
      <c r="DM341" s="56">
        <v>327</v>
      </c>
      <c r="DN341" s="67" t="e">
        <f t="shared" si="466"/>
        <v>#N/A</v>
      </c>
      <c r="DO341" s="45" t="e">
        <f t="shared" si="467"/>
        <v>#N/A</v>
      </c>
      <c r="DP341" s="67" t="e">
        <f t="shared" si="468"/>
        <v>#N/A</v>
      </c>
      <c r="DQ341" s="45" t="e">
        <f t="shared" si="469"/>
        <v>#N/A</v>
      </c>
      <c r="DR341" s="69" t="e">
        <f t="shared" si="470"/>
        <v>#N/A</v>
      </c>
      <c r="DS341" s="34"/>
      <c r="DT341" s="67" t="e">
        <f>((BX341*CJ341)+IF($W341=MAT_AR,(BZ341*CL341),0))*(1+Reference!$E$50+Reference!$E$51)</f>
        <v>#N/A</v>
      </c>
      <c r="DU341" s="67">
        <f>((BY341*CK341)+IF($W341=MAT_AR,(CA341*CM341),0))*(1+Reference!$G$50+Reference!$G$51)</f>
        <v>0</v>
      </c>
      <c r="DV341" s="67" t="e">
        <f t="shared" si="471"/>
        <v>#VALUE!</v>
      </c>
      <c r="DX341" s="56">
        <v>327</v>
      </c>
      <c r="DY341" s="67">
        <f t="shared" si="472"/>
        <v>0</v>
      </c>
      <c r="DZ341" s="45" t="e">
        <f>VLOOKUP($R341,Dropdown!$C$3:$D$4,2,FALSE)</f>
        <v>#N/A</v>
      </c>
      <c r="EA341" s="68">
        <f t="shared" si="473"/>
        <v>0</v>
      </c>
      <c r="EB341" s="68" t="str">
        <f t="shared" si="474"/>
        <v>N/A</v>
      </c>
      <c r="EC341" s="68">
        <f t="shared" si="475"/>
        <v>0</v>
      </c>
      <c r="ED341" s="68" t="str">
        <f t="shared" si="445"/>
        <v>N/A</v>
      </c>
      <c r="EF341" s="56">
        <v>327</v>
      </c>
      <c r="EG341" s="46">
        <f t="shared" si="476"/>
        <v>0</v>
      </c>
      <c r="EH341" s="68" t="e">
        <f t="shared" si="477"/>
        <v>#N/A</v>
      </c>
      <c r="EI341" s="68" t="e">
        <f t="shared" si="478"/>
        <v>#N/A</v>
      </c>
      <c r="EJ341" s="68" t="e">
        <f t="shared" si="479"/>
        <v>#N/A</v>
      </c>
      <c r="EK341" s="68" t="e">
        <f t="shared" si="480"/>
        <v>#N/A</v>
      </c>
      <c r="EL341" s="46">
        <f t="shared" si="481"/>
        <v>0</v>
      </c>
      <c r="EM341" s="46">
        <f t="shared" si="482"/>
        <v>0</v>
      </c>
    </row>
    <row r="342" spans="1:143">
      <c r="A342" s="89"/>
      <c r="B342" s="89"/>
      <c r="C342" s="89"/>
      <c r="D342" s="89"/>
      <c r="E342" s="89"/>
      <c r="F342" s="89"/>
      <c r="G342" s="34"/>
      <c r="H342" s="56">
        <f t="shared" si="483"/>
        <v>328</v>
      </c>
      <c r="I342" s="165"/>
      <c r="J342" s="163"/>
      <c r="K342" s="163"/>
      <c r="L342" s="164"/>
      <c r="M342" s="155"/>
      <c r="N342" s="155"/>
      <c r="O342" s="144"/>
      <c r="P342" s="159" t="str">
        <f>IFERROR(IF(O342&lt;&gt;"User Specified",IF(O342&lt;&gt;"", INDEX('Refrigerant GWPs'!$G$2:$G$154,MATCH(O342,'Refrigerant GWPs'!$A$2:$A$154,0)),""),U342),0)</f>
        <v/>
      </c>
      <c r="Q342" s="155"/>
      <c r="R342" s="155"/>
      <c r="S342" s="144"/>
      <c r="T342" s="159" t="str">
        <f>IF(S342&lt;&gt;"User Specified",IF(AND(S342&lt;&gt;"User Specified",S342&lt;&gt;""), INDEX('Refrigerant GWPs'!$G$2:$G$154,MATCH(S342,'Refrigerant GWPs'!$A$2:$A$154,0)),""),V342)</f>
        <v/>
      </c>
      <c r="U342" s="144"/>
      <c r="V342" s="144"/>
      <c r="W342" s="155"/>
      <c r="X342" s="155"/>
      <c r="Y342" s="144"/>
      <c r="Z342" s="159" t="str">
        <f>IF(AND(Y342&lt;&gt;"User Specified",Y342&lt;&gt;""), INDEX('Refrigerant GWPs'!$G$2:$G$154,MATCH(Y342,'Refrigerant GWPs'!$A$2:$A$154,0)),"")</f>
        <v/>
      </c>
      <c r="AA342" s="155"/>
      <c r="AB342" s="156"/>
      <c r="AC342" s="66"/>
      <c r="AD342" s="66"/>
      <c r="AE342" s="66"/>
      <c r="AF342" s="66"/>
      <c r="AG342" s="66"/>
      <c r="AH342" s="66"/>
      <c r="AI342" s="34"/>
      <c r="AJ342" s="88">
        <f t="shared" si="446"/>
        <v>0</v>
      </c>
      <c r="AK342" s="88">
        <f t="shared" si="447"/>
        <v>0</v>
      </c>
      <c r="AL342" s="88">
        <v>0</v>
      </c>
      <c r="AM342" s="88">
        <v>0</v>
      </c>
      <c r="AN342" s="81" t="str">
        <f t="shared" si="417"/>
        <v/>
      </c>
      <c r="AO342" s="88">
        <f t="shared" si="448"/>
        <v>0</v>
      </c>
      <c r="AP342" s="88">
        <f t="shared" si="449"/>
        <v>0</v>
      </c>
      <c r="AQ342" s="81" t="str">
        <f t="shared" si="450"/>
        <v/>
      </c>
      <c r="AS342" s="41" t="b">
        <f t="shared" si="451"/>
        <v>1</v>
      </c>
      <c r="AT342" s="38">
        <f t="shared" si="452"/>
        <v>0</v>
      </c>
      <c r="AU342" s="60">
        <f t="shared" si="453"/>
        <v>0</v>
      </c>
      <c r="AV342" s="41">
        <f t="shared" si="454"/>
        <v>0</v>
      </c>
      <c r="AW342" s="41" t="b">
        <f t="shared" si="455"/>
        <v>0</v>
      </c>
      <c r="AX342" t="str">
        <f t="shared" si="456"/>
        <v>+00</v>
      </c>
      <c r="AY342" t="str">
        <f t="shared" si="457"/>
        <v>+00</v>
      </c>
      <c r="BA342" s="47" t="b">
        <f t="shared" si="418"/>
        <v>1</v>
      </c>
      <c r="BB342" s="42" t="b">
        <f t="shared" si="419"/>
        <v>1</v>
      </c>
      <c r="BC342" s="42" t="b">
        <f t="shared" si="420"/>
        <v>0</v>
      </c>
      <c r="BD342" s="42" t="b">
        <f t="shared" si="421"/>
        <v>0</v>
      </c>
      <c r="BE342" s="70">
        <f t="shared" si="422"/>
        <v>0</v>
      </c>
      <c r="BF342" s="70">
        <f t="shared" si="423"/>
        <v>0</v>
      </c>
      <c r="BG342" s="34"/>
      <c r="BI342" s="47" t="b">
        <f t="shared" si="424"/>
        <v>1</v>
      </c>
      <c r="BJ342" s="47" t="b">
        <f t="shared" si="425"/>
        <v>1</v>
      </c>
      <c r="BK342" s="42" t="b">
        <f t="shared" si="426"/>
        <v>0</v>
      </c>
      <c r="BL342" s="42" t="b">
        <f t="shared" si="427"/>
        <v>0</v>
      </c>
      <c r="BM342" s="42">
        <f t="shared" si="428"/>
        <v>0</v>
      </c>
      <c r="BN342" s="42">
        <f t="shared" si="429"/>
        <v>0</v>
      </c>
      <c r="BP342" t="e">
        <f t="shared" si="430"/>
        <v>#N/A</v>
      </c>
      <c r="BQ342" t="e">
        <f t="shared" si="431"/>
        <v>#N/A</v>
      </c>
      <c r="BR342" t="e">
        <f t="shared" si="432"/>
        <v>#N/A</v>
      </c>
      <c r="BT342" s="60">
        <f t="shared" si="433"/>
        <v>0</v>
      </c>
      <c r="BU342" s="60">
        <f t="shared" si="434"/>
        <v>0</v>
      </c>
      <c r="BV342" s="60">
        <f t="shared" si="435"/>
        <v>0</v>
      </c>
      <c r="BW342" s="60">
        <f t="shared" si="436"/>
        <v>0</v>
      </c>
      <c r="BX342" s="60">
        <f t="shared" si="437"/>
        <v>0</v>
      </c>
      <c r="BY342" s="60">
        <f t="shared" si="438"/>
        <v>0</v>
      </c>
      <c r="BZ342" s="60">
        <f t="shared" si="439"/>
        <v>0</v>
      </c>
      <c r="CA342" s="60">
        <f t="shared" si="440"/>
        <v>0</v>
      </c>
      <c r="CB342" s="60" t="e">
        <f t="shared" si="458"/>
        <v>#N/A</v>
      </c>
      <c r="CC342" s="60">
        <f t="shared" si="459"/>
        <v>100000</v>
      </c>
      <c r="CD342" s="60" t="e">
        <f t="shared" si="460"/>
        <v>#N/A</v>
      </c>
      <c r="CE342" s="60">
        <f t="shared" si="461"/>
        <v>100000</v>
      </c>
      <c r="CF342" s="83" t="e">
        <f t="shared" si="441"/>
        <v>#N/A</v>
      </c>
      <c r="CG342" s="83">
        <f t="shared" si="442"/>
        <v>0</v>
      </c>
      <c r="CH342" s="83" t="e">
        <f t="shared" si="443"/>
        <v>#N/A</v>
      </c>
      <c r="CI342" s="83">
        <f t="shared" si="444"/>
        <v>0</v>
      </c>
      <c r="CJ342" s="86" t="e">
        <f t="shared" si="462"/>
        <v>#N/A</v>
      </c>
      <c r="CK342" s="82">
        <f t="shared" si="463"/>
        <v>5.3070370403969858E-3</v>
      </c>
      <c r="CL342" s="82" t="e">
        <f t="shared" si="464"/>
        <v>#N/A</v>
      </c>
      <c r="CM342" s="82">
        <f t="shared" si="465"/>
        <v>5.3070370403969858E-3</v>
      </c>
      <c r="CO342" s="149" t="str">
        <f>IF($I342&lt;&gt;"",IF(O342="User Specified",U342,INDEX('Refrigerant GWPs'!$G$2:$G$156,MATCH(O342,'Refrigerant GWPs'!$A$2:$A$156,0))),"")</f>
        <v/>
      </c>
      <c r="CP342" s="138" t="str">
        <f>IF($I342&lt;&gt;"",INDEX('Device Refrigerant Leakage'!$E$2:$E$42,MATCH($M342,'Device Refrigerant Leakage'!$B$2:$B$42,0)),"")</f>
        <v/>
      </c>
      <c r="CQ342" s="138" t="str">
        <f>IF($I342&lt;&gt;"",INDEX('Device Refrigerant Leakage'!$F$2:$F$42,MATCH($M342,'Device Refrigerant Leakage'!$B$2:$B$42,0)),"")</f>
        <v/>
      </c>
      <c r="CR342" s="145" t="str">
        <f>IF($I342&lt;&gt;"",INDEX('Device Refrigerant Leakage'!$G$2:$G$42,MATCH($M342,'Device Refrigerant Leakage'!$B$2:$B$42,0)),"")</f>
        <v/>
      </c>
      <c r="CS342" s="145" t="str">
        <f>IF($I342&lt;&gt;"",INDEX('Device Refrigerant Leakage'!$D$2:$D$42,MATCH($M342,'Device Refrigerant Leakage'!$B$2:$B$42,0))*CP342/2204.62*CO342,"")</f>
        <v/>
      </c>
      <c r="CT342" s="145" t="str">
        <f>IF($I342&lt;&gt;"",J342*(INDEX('Device Refrigerant Leakage'!$D$2:$D$42,MATCH($M342,'Device Refrigerant Leakage'!$B$2:$B$42,0))-(INDEX('Device Refrigerant Leakage'!$D$2:$D$42,MATCH($M342,'Device Refrigerant Leakage'!$B$2:$B$42,0)))*CR342*CP342)*CQ342/2204.62*CO342,"")</f>
        <v/>
      </c>
      <c r="CU342" s="135" t="str">
        <f>IF($I342&lt;&gt;"",J342*IF(W342&lt;&gt;"AR",(CS342*K342)+CT342,(CS342*AB342)+CT342*(AB342/INDEX('Device Refrigerant Leakage'!$C$2:$C$42,MATCH($M342,'Device Refrigerant Leakage'!$B$2:$B$42,0)))),"")</f>
        <v/>
      </c>
      <c r="CW342" s="135" t="str">
        <f>IF($I342&lt;&gt;"",IF(S342="User Specified",V342,INDEX('Refrigerant GWPs'!$G$2:$G$156,MATCH(S342,'Refrigerant GWPs'!$A$2:$A$157,0))),"")</f>
        <v/>
      </c>
      <c r="CX342" s="138" t="str">
        <f>IF($I342&lt;&gt;"",INDEX('Device Refrigerant Leakage'!$E$2:$E$42,MATCH($Q342,'Device Refrigerant Leakage'!$B$2:$B$42,0)),"")</f>
        <v/>
      </c>
      <c r="CY342" s="138" t="str">
        <f>IF($I342&lt;&gt;"",INDEX('Device Refrigerant Leakage'!$F$2:$F$42,MATCH($Q342,'Device Refrigerant Leakage'!$B$2:$B$42,0)),"")</f>
        <v/>
      </c>
      <c r="CZ342" s="145" t="str">
        <f>IF($I342&lt;&gt;"",INDEX('Device Refrigerant Leakage'!$G$2:$G$42,MATCH($Q342,'Device Refrigerant Leakage'!$B$2:$B$42,0)),"")</f>
        <v/>
      </c>
      <c r="DA342" s="145" t="str">
        <f>IF($I342&lt;&gt;"",J342*INDEX('Device Refrigerant Leakage'!$D$2:$D$42,MATCH($Q342,'Device Refrigerant Leakage'!$B$2:$B$42,0))*CX342/2204.62*CW342,"")</f>
        <v/>
      </c>
      <c r="DB342" s="145" t="str">
        <f>IF($I342&lt;&gt;"",J342*(INDEX('Device Refrigerant Leakage'!$D$2:$D$42,MATCH($Q342,'Device Refrigerant Leakage'!$B$2:$B$42,0))-(INDEX('Device Refrigerant Leakage'!$D$2:$D$42,MATCH($Q342,'Device Refrigerant Leakage'!$B$2:$B$42,0)))*CZ342*CX342)*CY342/2204.62*CW342,"")</f>
        <v/>
      </c>
      <c r="DC342" s="135" t="str">
        <f t="shared" si="484"/>
        <v/>
      </c>
      <c r="DE342" s="146" t="str">
        <f>IF(W342&lt;&gt;"AR","",IF(Y342="User Specified", AA342, INDEX('Refrigerant GWPs'!$G$2:$G$154,MATCH(Y342,'Refrigerant GWPs'!$A$2:$A$154,0))))</f>
        <v/>
      </c>
      <c r="DF342" s="146" t="str">
        <f>IF(W342&lt;&gt;"AR","",INDEX('Device Refrigerant Leakage'!$E$2:$E$42,MATCH(X342,'Device Refrigerant Leakage'!$B$2:$B$42,0)))</f>
        <v/>
      </c>
      <c r="DG342" s="146" t="str">
        <f>IF(W342&lt;&gt;"AR","",INDEX('Device Refrigerant Leakage'!$F$2:$F$42,MATCH(X342,'Device Refrigerant Leakage'!$B$2:$B$42,0)))</f>
        <v/>
      </c>
      <c r="DH342" s="146" t="str">
        <f>IF(W342&lt;&gt;"AR","",INDEX('Device Refrigerant Leakage'!$G$2:$G$42,MATCH(X342,'Device Refrigerant Leakage'!$B$2:$B$42,0)))</f>
        <v/>
      </c>
      <c r="DI342" s="146" t="str">
        <f>IF(W342&lt;&gt;"AR","",J342*INDEX('Device Refrigerant Leakage'!$D$2:$D$42,MATCH(X342,'Device Refrigerant Leakage'!$B$2:$B$42,0))*DF342/2204.62*DE342)</f>
        <v/>
      </c>
      <c r="DJ342" s="146" t="str">
        <f>IF(W342&lt;&gt;"AR","",J342*(INDEX('Device Refrigerant Leakage'!$D$2:$D$42,MATCH(X342,'Device Refrigerant Leakage'!$B$2:$B$42,0))-(INDEX('Device Refrigerant Leakage'!$D$2:$D$42,MATCH(X342,'Device Refrigerant Leakage'!$B$2:$B$42,0)))*DH342*DF342)*DG342/2204.62*DE342)</f>
        <v/>
      </c>
      <c r="DK342" s="146" t="str">
        <f>IF(W342&lt;&gt;"AR","",DI342*(K342-AB342)+'Fuel Sub Calcs-Deemed'!DJ342*((K342-AB342)/INDEX('Device Refrigerant Leakage'!$C$2:$C$42,MATCH('Fuel Sub Calcs-Deemed'!X342,'Device Refrigerant Leakage'!$B$2:$B$42,0))))</f>
        <v/>
      </c>
      <c r="DM342" s="56">
        <v>328</v>
      </c>
      <c r="DN342" s="67" t="e">
        <f t="shared" si="466"/>
        <v>#N/A</v>
      </c>
      <c r="DO342" s="45" t="e">
        <f t="shared" si="467"/>
        <v>#N/A</v>
      </c>
      <c r="DP342" s="67" t="e">
        <f t="shared" si="468"/>
        <v>#N/A</v>
      </c>
      <c r="DQ342" s="45" t="e">
        <f t="shared" si="469"/>
        <v>#N/A</v>
      </c>
      <c r="DR342" s="69" t="e">
        <f t="shared" si="470"/>
        <v>#N/A</v>
      </c>
      <c r="DS342" s="34"/>
      <c r="DT342" s="67" t="e">
        <f>((BX342*CJ342)+IF($W342=MAT_AR,(BZ342*CL342),0))*(1+Reference!$E$50+Reference!$E$51)</f>
        <v>#N/A</v>
      </c>
      <c r="DU342" s="67">
        <f>((BY342*CK342)+IF($W342=MAT_AR,(CA342*CM342),0))*(1+Reference!$G$50+Reference!$G$51)</f>
        <v>0</v>
      </c>
      <c r="DV342" s="67" t="e">
        <f t="shared" si="471"/>
        <v>#VALUE!</v>
      </c>
      <c r="DX342" s="56">
        <v>328</v>
      </c>
      <c r="DY342" s="67">
        <f t="shared" si="472"/>
        <v>0</v>
      </c>
      <c r="DZ342" s="45" t="e">
        <f>VLOOKUP($R342,Dropdown!$C$3:$D$4,2,FALSE)</f>
        <v>#N/A</v>
      </c>
      <c r="EA342" s="68">
        <f t="shared" si="473"/>
        <v>0</v>
      </c>
      <c r="EB342" s="68" t="str">
        <f t="shared" si="474"/>
        <v>N/A</v>
      </c>
      <c r="EC342" s="68">
        <f t="shared" si="475"/>
        <v>0</v>
      </c>
      <c r="ED342" s="68" t="str">
        <f t="shared" si="445"/>
        <v>N/A</v>
      </c>
      <c r="EF342" s="56">
        <v>328</v>
      </c>
      <c r="EG342" s="46">
        <f t="shared" si="476"/>
        <v>0</v>
      </c>
      <c r="EH342" s="68" t="e">
        <f t="shared" si="477"/>
        <v>#N/A</v>
      </c>
      <c r="EI342" s="68" t="e">
        <f t="shared" si="478"/>
        <v>#N/A</v>
      </c>
      <c r="EJ342" s="68" t="e">
        <f t="shared" si="479"/>
        <v>#N/A</v>
      </c>
      <c r="EK342" s="68" t="e">
        <f t="shared" si="480"/>
        <v>#N/A</v>
      </c>
      <c r="EL342" s="46">
        <f t="shared" si="481"/>
        <v>0</v>
      </c>
      <c r="EM342" s="46">
        <f t="shared" si="482"/>
        <v>0</v>
      </c>
    </row>
    <row r="343" spans="1:143">
      <c r="A343" s="89"/>
      <c r="B343" s="89"/>
      <c r="C343" s="89"/>
      <c r="D343" s="89"/>
      <c r="E343" s="89"/>
      <c r="F343" s="89"/>
      <c r="G343" s="34"/>
      <c r="H343" s="56">
        <f t="shared" si="483"/>
        <v>329</v>
      </c>
      <c r="I343" s="165"/>
      <c r="J343" s="163"/>
      <c r="K343" s="163"/>
      <c r="L343" s="164"/>
      <c r="M343" s="155"/>
      <c r="N343" s="155"/>
      <c r="O343" s="144"/>
      <c r="P343" s="159" t="str">
        <f>IFERROR(IF(O343&lt;&gt;"User Specified",IF(O343&lt;&gt;"", INDEX('Refrigerant GWPs'!$G$2:$G$154,MATCH(O343,'Refrigerant GWPs'!$A$2:$A$154,0)),""),U343),0)</f>
        <v/>
      </c>
      <c r="Q343" s="155"/>
      <c r="R343" s="155"/>
      <c r="S343" s="144"/>
      <c r="T343" s="159" t="str">
        <f>IF(S343&lt;&gt;"User Specified",IF(AND(S343&lt;&gt;"User Specified",S343&lt;&gt;""), INDEX('Refrigerant GWPs'!$G$2:$G$154,MATCH(S343,'Refrigerant GWPs'!$A$2:$A$154,0)),""),V343)</f>
        <v/>
      </c>
      <c r="U343" s="144"/>
      <c r="V343" s="144"/>
      <c r="W343" s="155"/>
      <c r="X343" s="155"/>
      <c r="Y343" s="144"/>
      <c r="Z343" s="159" t="str">
        <f>IF(AND(Y343&lt;&gt;"User Specified",Y343&lt;&gt;""), INDEX('Refrigerant GWPs'!$G$2:$G$154,MATCH(Y343,'Refrigerant GWPs'!$A$2:$A$154,0)),"")</f>
        <v/>
      </c>
      <c r="AA343" s="155"/>
      <c r="AB343" s="156"/>
      <c r="AC343" s="66"/>
      <c r="AD343" s="66"/>
      <c r="AE343" s="66"/>
      <c r="AF343" s="66"/>
      <c r="AG343" s="66"/>
      <c r="AH343" s="66"/>
      <c r="AI343" s="34"/>
      <c r="AJ343" s="88">
        <f t="shared" si="446"/>
        <v>0</v>
      </c>
      <c r="AK343" s="88">
        <f t="shared" si="447"/>
        <v>0</v>
      </c>
      <c r="AL343" s="88">
        <v>0</v>
      </c>
      <c r="AM343" s="88">
        <v>0</v>
      </c>
      <c r="AN343" s="81" t="str">
        <f t="shared" ref="AN343:AN406" si="485">IF(OR(BC343:BD343),"Warning: Need to enter baseline and measure consumption","")</f>
        <v/>
      </c>
      <c r="AO343" s="88">
        <f t="shared" si="448"/>
        <v>0</v>
      </c>
      <c r="AP343" s="88">
        <f t="shared" si="449"/>
        <v>0</v>
      </c>
      <c r="AQ343" s="81" t="str">
        <f t="shared" si="450"/>
        <v/>
      </c>
      <c r="AS343" s="41" t="b">
        <f t="shared" si="451"/>
        <v>1</v>
      </c>
      <c r="AT343" s="38">
        <f t="shared" si="452"/>
        <v>0</v>
      </c>
      <c r="AU343" s="60">
        <f t="shared" si="453"/>
        <v>0</v>
      </c>
      <c r="AV343" s="41">
        <f t="shared" si="454"/>
        <v>0</v>
      </c>
      <c r="AW343" s="41" t="b">
        <f t="shared" si="455"/>
        <v>0</v>
      </c>
      <c r="AX343" t="str">
        <f t="shared" si="456"/>
        <v>+00</v>
      </c>
      <c r="AY343" t="str">
        <f t="shared" si="457"/>
        <v>+00</v>
      </c>
      <c r="BA343" s="47" t="b">
        <f t="shared" ref="BA343:BA406" si="486">NOT(OR(ISBLANK(AJ343),ISBLANK(AL343)))</f>
        <v>1</v>
      </c>
      <c r="BB343" s="42" t="b">
        <f t="shared" ref="BB343:BB406" si="487">NOT(OR(ISBLANK(AK343),ISBLANK(AM343)))</f>
        <v>1</v>
      </c>
      <c r="BC343" s="42" t="b">
        <f t="shared" ref="BC343:BC406" si="488">AND(NOT(BA343))</f>
        <v>0</v>
      </c>
      <c r="BD343" s="42" t="b">
        <f t="shared" ref="BD343:BD406" si="489">AND(NOT(BB343))</f>
        <v>0</v>
      </c>
      <c r="BE343" s="70">
        <f t="shared" ref="BE343:BE406" si="490">AJ343-AL343</f>
        <v>0</v>
      </c>
      <c r="BF343" s="70">
        <f t="shared" ref="BF343:BF406" si="491">AK343-AM343</f>
        <v>0</v>
      </c>
      <c r="BG343" s="34"/>
      <c r="BI343" s="47" t="b">
        <f t="shared" ref="BI343:BI406" si="492">NOT(OR(ISBLANK(AL343),ISBLANK(AO343)))</f>
        <v>1</v>
      </c>
      <c r="BJ343" s="47" t="b">
        <f t="shared" ref="BJ343:BJ406" si="493">NOT(OR(ISBLANK(AM343),ISBLANK(AP343)))</f>
        <v>1</v>
      </c>
      <c r="BK343" s="42" t="b">
        <f t="shared" ref="BK343:BK406" si="494">AND(NOT(BI343))</f>
        <v>0</v>
      </c>
      <c r="BL343" s="42" t="b">
        <f t="shared" ref="BL343:BL406" si="495">AND(NOT(BJ343))</f>
        <v>0</v>
      </c>
      <c r="BM343" s="42">
        <f t="shared" ref="BM343:BM406" si="496">IF(NOT(OR(ISBLANK(AO343),ISBLANK(AL343))),AO343-AL343,0)</f>
        <v>0</v>
      </c>
      <c r="BN343" s="42">
        <f t="shared" ref="BN343:BN406" si="497">IF(NOT(OR(ISBLANK(AP343),ISBLANK(AM343))),AP343-AM343,0)</f>
        <v>0</v>
      </c>
      <c r="BP343" t="e">
        <f t="shared" ref="BP343:BP406" si="498">(DN343&gt;=0)</f>
        <v>#N/A</v>
      </c>
      <c r="BQ343" t="e">
        <f t="shared" ref="BQ343:BQ406" si="499">(DP343&gt;=0)</f>
        <v>#N/A</v>
      </c>
      <c r="BR343" t="e">
        <f t="shared" ref="BR343:BR406" si="500">AND(BP343,BQ343)</f>
        <v>#N/A</v>
      </c>
      <c r="BT343" s="60">
        <f t="shared" ref="BT343:BT406" si="501">$J343*BE343</f>
        <v>0</v>
      </c>
      <c r="BU343" s="60">
        <f t="shared" ref="BU343:BU406" si="502">$J343*BF343</f>
        <v>0</v>
      </c>
      <c r="BV343" s="60">
        <f t="shared" ref="BV343:BV406" si="503">$J343*BM343</f>
        <v>0</v>
      </c>
      <c r="BW343" s="60">
        <f t="shared" ref="BW343:BW406" si="504">$J343*BN343</f>
        <v>0</v>
      </c>
      <c r="BX343" s="60">
        <f t="shared" ref="BX343:BX406" si="505">$AT343*BT343</f>
        <v>0</v>
      </c>
      <c r="BY343" s="60">
        <f t="shared" ref="BY343:BY406" si="506">$AT343*BU343</f>
        <v>0</v>
      </c>
      <c r="BZ343" s="60">
        <f t="shared" ref="BZ343:BZ406" si="507">$AU343*BV343</f>
        <v>0</v>
      </c>
      <c r="CA343" s="60">
        <f t="shared" ref="CA343:CA406" si="508">$AU343*BW343</f>
        <v>0</v>
      </c>
      <c r="CB343" s="60" t="e">
        <f t="shared" si="458"/>
        <v>#N/A</v>
      </c>
      <c r="CC343" s="60">
        <f t="shared" si="459"/>
        <v>100000</v>
      </c>
      <c r="CD343" s="60" t="e">
        <f t="shared" si="460"/>
        <v>#N/A</v>
      </c>
      <c r="CE343" s="60">
        <f t="shared" si="461"/>
        <v>100000</v>
      </c>
      <c r="CF343" s="83" t="e">
        <f t="shared" ref="CF343:CF406" si="509">$AT343*CB343/1000000</f>
        <v>#N/A</v>
      </c>
      <c r="CG343" s="83">
        <f t="shared" ref="CG343:CG406" si="510">$AT343*CC343/1000000</f>
        <v>0</v>
      </c>
      <c r="CH343" s="83" t="e">
        <f t="shared" ref="CH343:CH406" si="511">$AU343*CD343/1000000</f>
        <v>#N/A</v>
      </c>
      <c r="CI343" s="83">
        <f t="shared" ref="CI343:CI406" si="512">$AU343*CE343/1000000</f>
        <v>0</v>
      </c>
      <c r="CJ343" s="86" t="e">
        <f t="shared" si="462"/>
        <v>#N/A</v>
      </c>
      <c r="CK343" s="82">
        <f t="shared" si="463"/>
        <v>5.3070370403969858E-3</v>
      </c>
      <c r="CL343" s="82" t="e">
        <f t="shared" si="464"/>
        <v>#N/A</v>
      </c>
      <c r="CM343" s="82">
        <f t="shared" si="465"/>
        <v>5.3070370403969858E-3</v>
      </c>
      <c r="CO343" s="149" t="str">
        <f>IF($I343&lt;&gt;"",IF(O343="User Specified",U343,INDEX('Refrigerant GWPs'!$G$2:$G$156,MATCH(O343,'Refrigerant GWPs'!$A$2:$A$156,0))),"")</f>
        <v/>
      </c>
      <c r="CP343" s="138" t="str">
        <f>IF($I343&lt;&gt;"",INDEX('Device Refrigerant Leakage'!$E$2:$E$42,MATCH($M343,'Device Refrigerant Leakage'!$B$2:$B$42,0)),"")</f>
        <v/>
      </c>
      <c r="CQ343" s="138" t="str">
        <f>IF($I343&lt;&gt;"",INDEX('Device Refrigerant Leakage'!$F$2:$F$42,MATCH($M343,'Device Refrigerant Leakage'!$B$2:$B$42,0)),"")</f>
        <v/>
      </c>
      <c r="CR343" s="145" t="str">
        <f>IF($I343&lt;&gt;"",INDEX('Device Refrigerant Leakage'!$G$2:$G$42,MATCH($M343,'Device Refrigerant Leakage'!$B$2:$B$42,0)),"")</f>
        <v/>
      </c>
      <c r="CS343" s="145" t="str">
        <f>IF($I343&lt;&gt;"",INDEX('Device Refrigerant Leakage'!$D$2:$D$42,MATCH($M343,'Device Refrigerant Leakage'!$B$2:$B$42,0))*CP343/2204.62*CO343,"")</f>
        <v/>
      </c>
      <c r="CT343" s="145" t="str">
        <f>IF($I343&lt;&gt;"",J343*(INDEX('Device Refrigerant Leakage'!$D$2:$D$42,MATCH($M343,'Device Refrigerant Leakage'!$B$2:$B$42,0))-(INDEX('Device Refrigerant Leakage'!$D$2:$D$42,MATCH($M343,'Device Refrigerant Leakage'!$B$2:$B$42,0)))*CR343*CP343)*CQ343/2204.62*CO343,"")</f>
        <v/>
      </c>
      <c r="CU343" s="135" t="str">
        <f>IF($I343&lt;&gt;"",J343*IF(W343&lt;&gt;"AR",(CS343*K343)+CT343,(CS343*AB343)+CT343*(AB343/INDEX('Device Refrigerant Leakage'!$C$2:$C$42,MATCH($M343,'Device Refrigerant Leakage'!$B$2:$B$42,0)))),"")</f>
        <v/>
      </c>
      <c r="CW343" s="135" t="str">
        <f>IF($I343&lt;&gt;"",IF(S343="User Specified",V343,INDEX('Refrigerant GWPs'!$G$2:$G$156,MATCH(S343,'Refrigerant GWPs'!$A$2:$A$157,0))),"")</f>
        <v/>
      </c>
      <c r="CX343" s="138" t="str">
        <f>IF($I343&lt;&gt;"",INDEX('Device Refrigerant Leakage'!$E$2:$E$42,MATCH($Q343,'Device Refrigerant Leakage'!$B$2:$B$42,0)),"")</f>
        <v/>
      </c>
      <c r="CY343" s="138" t="str">
        <f>IF($I343&lt;&gt;"",INDEX('Device Refrigerant Leakage'!$F$2:$F$42,MATCH($Q343,'Device Refrigerant Leakage'!$B$2:$B$42,0)),"")</f>
        <v/>
      </c>
      <c r="CZ343" s="145" t="str">
        <f>IF($I343&lt;&gt;"",INDEX('Device Refrigerant Leakage'!$G$2:$G$42,MATCH($Q343,'Device Refrigerant Leakage'!$B$2:$B$42,0)),"")</f>
        <v/>
      </c>
      <c r="DA343" s="145" t="str">
        <f>IF($I343&lt;&gt;"",J343*INDEX('Device Refrigerant Leakage'!$D$2:$D$42,MATCH($Q343,'Device Refrigerant Leakage'!$B$2:$B$42,0))*CX343/2204.62*CW343,"")</f>
        <v/>
      </c>
      <c r="DB343" s="145" t="str">
        <f>IF($I343&lt;&gt;"",J343*(INDEX('Device Refrigerant Leakage'!$D$2:$D$42,MATCH($Q343,'Device Refrigerant Leakage'!$B$2:$B$42,0))-(INDEX('Device Refrigerant Leakage'!$D$2:$D$42,MATCH($Q343,'Device Refrigerant Leakage'!$B$2:$B$42,0)))*CZ343*CX343)*CY343/2204.62*CW343,"")</f>
        <v/>
      </c>
      <c r="DC343" s="135" t="str">
        <f t="shared" si="484"/>
        <v/>
      </c>
      <c r="DE343" s="146" t="str">
        <f>IF(W343&lt;&gt;"AR","",IF(Y343="User Specified", AA343, INDEX('Refrigerant GWPs'!$G$2:$G$154,MATCH(Y343,'Refrigerant GWPs'!$A$2:$A$154,0))))</f>
        <v/>
      </c>
      <c r="DF343" s="146" t="str">
        <f>IF(W343&lt;&gt;"AR","",INDEX('Device Refrigerant Leakage'!$E$2:$E$42,MATCH(X343,'Device Refrigerant Leakage'!$B$2:$B$42,0)))</f>
        <v/>
      </c>
      <c r="DG343" s="146" t="str">
        <f>IF(W343&lt;&gt;"AR","",INDEX('Device Refrigerant Leakage'!$F$2:$F$42,MATCH(X343,'Device Refrigerant Leakage'!$B$2:$B$42,0)))</f>
        <v/>
      </c>
      <c r="DH343" s="146" t="str">
        <f>IF(W343&lt;&gt;"AR","",INDEX('Device Refrigerant Leakage'!$G$2:$G$42,MATCH(X343,'Device Refrigerant Leakage'!$B$2:$B$42,0)))</f>
        <v/>
      </c>
      <c r="DI343" s="146" t="str">
        <f>IF(W343&lt;&gt;"AR","",J343*INDEX('Device Refrigerant Leakage'!$D$2:$D$42,MATCH(X343,'Device Refrigerant Leakage'!$B$2:$B$42,0))*DF343/2204.62*DE343)</f>
        <v/>
      </c>
      <c r="DJ343" s="146" t="str">
        <f>IF(W343&lt;&gt;"AR","",J343*(INDEX('Device Refrigerant Leakage'!$D$2:$D$42,MATCH(X343,'Device Refrigerant Leakage'!$B$2:$B$42,0))-(INDEX('Device Refrigerant Leakage'!$D$2:$D$42,MATCH(X343,'Device Refrigerant Leakage'!$B$2:$B$42,0)))*DH343*DF343)*DG343/2204.62*DE343)</f>
        <v/>
      </c>
      <c r="DK343" s="146" t="str">
        <f>IF(W343&lt;&gt;"AR","",DI343*(K343-AB343)+'Fuel Sub Calcs-Deemed'!DJ343*((K343-AB343)/INDEX('Device Refrigerant Leakage'!$C$2:$C$42,MATCH('Fuel Sub Calcs-Deemed'!X343,'Device Refrigerant Leakage'!$B$2:$B$42,0))))</f>
        <v/>
      </c>
      <c r="DM343" s="56">
        <v>329</v>
      </c>
      <c r="DN343" s="67" t="e">
        <f t="shared" si="466"/>
        <v>#N/A</v>
      </c>
      <c r="DO343" s="45" t="e">
        <f t="shared" si="467"/>
        <v>#N/A</v>
      </c>
      <c r="DP343" s="67" t="e">
        <f t="shared" si="468"/>
        <v>#N/A</v>
      </c>
      <c r="DQ343" s="45" t="e">
        <f t="shared" si="469"/>
        <v>#N/A</v>
      </c>
      <c r="DR343" s="69" t="e">
        <f t="shared" si="470"/>
        <v>#N/A</v>
      </c>
      <c r="DS343" s="34"/>
      <c r="DT343" s="67" t="e">
        <f>((BX343*CJ343)+IF($W343=MAT_AR,(BZ343*CL343),0))*(1+Reference!$E$50+Reference!$E$51)</f>
        <v>#N/A</v>
      </c>
      <c r="DU343" s="67">
        <f>((BY343*CK343)+IF($W343=MAT_AR,(CA343*CM343),0))*(1+Reference!$G$50+Reference!$G$51)</f>
        <v>0</v>
      </c>
      <c r="DV343" s="67" t="e">
        <f t="shared" si="471"/>
        <v>#VALUE!</v>
      </c>
      <c r="DX343" s="56">
        <v>329</v>
      </c>
      <c r="DY343" s="67">
        <f t="shared" si="472"/>
        <v>0</v>
      </c>
      <c r="DZ343" s="45" t="e">
        <f>VLOOKUP($R343,Dropdown!$C$3:$D$4,2,FALSE)</f>
        <v>#N/A</v>
      </c>
      <c r="EA343" s="68">
        <f t="shared" si="473"/>
        <v>0</v>
      </c>
      <c r="EB343" s="68" t="str">
        <f t="shared" si="474"/>
        <v>N/A</v>
      </c>
      <c r="EC343" s="68">
        <f t="shared" si="475"/>
        <v>0</v>
      </c>
      <c r="ED343" s="68" t="str">
        <f t="shared" ref="ED343:ED406" si="513">IF($R343=fuel_electricity,DY343*10^6/Btu_therm,"N/A")</f>
        <v>N/A</v>
      </c>
      <c r="EF343" s="56">
        <v>329</v>
      </c>
      <c r="EG343" s="46">
        <f t="shared" si="476"/>
        <v>0</v>
      </c>
      <c r="EH343" s="68" t="e">
        <f t="shared" si="477"/>
        <v>#N/A</v>
      </c>
      <c r="EI343" s="68" t="e">
        <f t="shared" si="478"/>
        <v>#N/A</v>
      </c>
      <c r="EJ343" s="68" t="e">
        <f t="shared" si="479"/>
        <v>#N/A</v>
      </c>
      <c r="EK343" s="68" t="e">
        <f t="shared" si="480"/>
        <v>#N/A</v>
      </c>
      <c r="EL343" s="46">
        <f t="shared" si="481"/>
        <v>0</v>
      </c>
      <c r="EM343" s="46">
        <f t="shared" si="482"/>
        <v>0</v>
      </c>
    </row>
    <row r="344" spans="1:143">
      <c r="A344" s="89"/>
      <c r="B344" s="89"/>
      <c r="C344" s="89"/>
      <c r="D344" s="89"/>
      <c r="E344" s="89"/>
      <c r="F344" s="89"/>
      <c r="G344" s="34"/>
      <c r="H344" s="56">
        <f t="shared" si="483"/>
        <v>330</v>
      </c>
      <c r="I344" s="165"/>
      <c r="J344" s="163"/>
      <c r="K344" s="163"/>
      <c r="L344" s="164"/>
      <c r="M344" s="155"/>
      <c r="N344" s="155"/>
      <c r="O344" s="144"/>
      <c r="P344" s="159" t="str">
        <f>IFERROR(IF(O344&lt;&gt;"User Specified",IF(O344&lt;&gt;"", INDEX('Refrigerant GWPs'!$G$2:$G$154,MATCH(O344,'Refrigerant GWPs'!$A$2:$A$154,0)),""),U344),0)</f>
        <v/>
      </c>
      <c r="Q344" s="155"/>
      <c r="R344" s="155"/>
      <c r="S344" s="144"/>
      <c r="T344" s="159" t="str">
        <f>IF(S344&lt;&gt;"User Specified",IF(AND(S344&lt;&gt;"User Specified",S344&lt;&gt;""), INDEX('Refrigerant GWPs'!$G$2:$G$154,MATCH(S344,'Refrigerant GWPs'!$A$2:$A$154,0)),""),V344)</f>
        <v/>
      </c>
      <c r="U344" s="144"/>
      <c r="V344" s="144"/>
      <c r="W344" s="155"/>
      <c r="X344" s="155"/>
      <c r="Y344" s="144"/>
      <c r="Z344" s="159" t="str">
        <f>IF(AND(Y344&lt;&gt;"User Specified",Y344&lt;&gt;""), INDEX('Refrigerant GWPs'!$G$2:$G$154,MATCH(Y344,'Refrigerant GWPs'!$A$2:$A$154,0)),"")</f>
        <v/>
      </c>
      <c r="AA344" s="155"/>
      <c r="AB344" s="156"/>
      <c r="AC344" s="66"/>
      <c r="AD344" s="66"/>
      <c r="AE344" s="66"/>
      <c r="AF344" s="66"/>
      <c r="AG344" s="66"/>
      <c r="AH344" s="66"/>
      <c r="AI344" s="34"/>
      <c r="AJ344" s="88">
        <f t="shared" si="446"/>
        <v>0</v>
      </c>
      <c r="AK344" s="88">
        <f t="shared" si="447"/>
        <v>0</v>
      </c>
      <c r="AL344" s="88">
        <v>0</v>
      </c>
      <c r="AM344" s="88">
        <v>0</v>
      </c>
      <c r="AN344" s="81" t="str">
        <f t="shared" si="485"/>
        <v/>
      </c>
      <c r="AO344" s="88">
        <f t="shared" si="448"/>
        <v>0</v>
      </c>
      <c r="AP344" s="88">
        <f t="shared" si="449"/>
        <v>0</v>
      </c>
      <c r="AQ344" s="81" t="str">
        <f t="shared" si="450"/>
        <v/>
      </c>
      <c r="AS344" s="41" t="b">
        <f t="shared" si="451"/>
        <v>1</v>
      </c>
      <c r="AT344" s="38">
        <f t="shared" si="452"/>
        <v>0</v>
      </c>
      <c r="AU344" s="60">
        <f t="shared" si="453"/>
        <v>0</v>
      </c>
      <c r="AV344" s="41">
        <f t="shared" si="454"/>
        <v>0</v>
      </c>
      <c r="AW344" s="41" t="b">
        <f t="shared" si="455"/>
        <v>0</v>
      </c>
      <c r="AX344" t="str">
        <f t="shared" si="456"/>
        <v>+00</v>
      </c>
      <c r="AY344" t="str">
        <f t="shared" si="457"/>
        <v>+00</v>
      </c>
      <c r="BA344" s="47" t="b">
        <f t="shared" si="486"/>
        <v>1</v>
      </c>
      <c r="BB344" s="42" t="b">
        <f t="shared" si="487"/>
        <v>1</v>
      </c>
      <c r="BC344" s="42" t="b">
        <f t="shared" si="488"/>
        <v>0</v>
      </c>
      <c r="BD344" s="42" t="b">
        <f t="shared" si="489"/>
        <v>0</v>
      </c>
      <c r="BE344" s="70">
        <f t="shared" si="490"/>
        <v>0</v>
      </c>
      <c r="BF344" s="70">
        <f t="shared" si="491"/>
        <v>0</v>
      </c>
      <c r="BG344" s="34"/>
      <c r="BI344" s="47" t="b">
        <f t="shared" si="492"/>
        <v>1</v>
      </c>
      <c r="BJ344" s="47" t="b">
        <f t="shared" si="493"/>
        <v>1</v>
      </c>
      <c r="BK344" s="42" t="b">
        <f t="shared" si="494"/>
        <v>0</v>
      </c>
      <c r="BL344" s="42" t="b">
        <f t="shared" si="495"/>
        <v>0</v>
      </c>
      <c r="BM344" s="42">
        <f t="shared" si="496"/>
        <v>0</v>
      </c>
      <c r="BN344" s="42">
        <f t="shared" si="497"/>
        <v>0</v>
      </c>
      <c r="BP344" t="e">
        <f t="shared" si="498"/>
        <v>#N/A</v>
      </c>
      <c r="BQ344" t="e">
        <f t="shared" si="499"/>
        <v>#N/A</v>
      </c>
      <c r="BR344" t="e">
        <f t="shared" si="500"/>
        <v>#N/A</v>
      </c>
      <c r="BT344" s="60">
        <f t="shared" si="501"/>
        <v>0</v>
      </c>
      <c r="BU344" s="60">
        <f t="shared" si="502"/>
        <v>0</v>
      </c>
      <c r="BV344" s="60">
        <f t="shared" si="503"/>
        <v>0</v>
      </c>
      <c r="BW344" s="60">
        <f t="shared" si="504"/>
        <v>0</v>
      </c>
      <c r="BX344" s="60">
        <f t="shared" si="505"/>
        <v>0</v>
      </c>
      <c r="BY344" s="60">
        <f t="shared" si="506"/>
        <v>0</v>
      </c>
      <c r="BZ344" s="60">
        <f t="shared" si="507"/>
        <v>0</v>
      </c>
      <c r="CA344" s="60">
        <f t="shared" si="508"/>
        <v>0</v>
      </c>
      <c r="CB344" s="60" t="e">
        <f t="shared" si="458"/>
        <v>#N/A</v>
      </c>
      <c r="CC344" s="60">
        <f t="shared" si="459"/>
        <v>100000</v>
      </c>
      <c r="CD344" s="60" t="e">
        <f t="shared" si="460"/>
        <v>#N/A</v>
      </c>
      <c r="CE344" s="60">
        <f t="shared" si="461"/>
        <v>100000</v>
      </c>
      <c r="CF344" s="83" t="e">
        <f t="shared" si="509"/>
        <v>#N/A</v>
      </c>
      <c r="CG344" s="83">
        <f t="shared" si="510"/>
        <v>0</v>
      </c>
      <c r="CH344" s="83" t="e">
        <f t="shared" si="511"/>
        <v>#N/A</v>
      </c>
      <c r="CI344" s="83">
        <f t="shared" si="512"/>
        <v>0</v>
      </c>
      <c r="CJ344" s="86" t="e">
        <f t="shared" si="462"/>
        <v>#N/A</v>
      </c>
      <c r="CK344" s="82">
        <f t="shared" si="463"/>
        <v>5.3070370403969858E-3</v>
      </c>
      <c r="CL344" s="82" t="e">
        <f t="shared" si="464"/>
        <v>#N/A</v>
      </c>
      <c r="CM344" s="82">
        <f t="shared" si="465"/>
        <v>5.3070370403969858E-3</v>
      </c>
      <c r="CO344" s="149" t="str">
        <f>IF($I344&lt;&gt;"",IF(O344="User Specified",U344,INDEX('Refrigerant GWPs'!$G$2:$G$156,MATCH(O344,'Refrigerant GWPs'!$A$2:$A$156,0))),"")</f>
        <v/>
      </c>
      <c r="CP344" s="138" t="str">
        <f>IF($I344&lt;&gt;"",INDEX('Device Refrigerant Leakage'!$E$2:$E$42,MATCH($M344,'Device Refrigerant Leakage'!$B$2:$B$42,0)),"")</f>
        <v/>
      </c>
      <c r="CQ344" s="138" t="str">
        <f>IF($I344&lt;&gt;"",INDEX('Device Refrigerant Leakage'!$F$2:$F$42,MATCH($M344,'Device Refrigerant Leakage'!$B$2:$B$42,0)),"")</f>
        <v/>
      </c>
      <c r="CR344" s="145" t="str">
        <f>IF($I344&lt;&gt;"",INDEX('Device Refrigerant Leakage'!$G$2:$G$42,MATCH($M344,'Device Refrigerant Leakage'!$B$2:$B$42,0)),"")</f>
        <v/>
      </c>
      <c r="CS344" s="145" t="str">
        <f>IF($I344&lt;&gt;"",INDEX('Device Refrigerant Leakage'!$D$2:$D$42,MATCH($M344,'Device Refrigerant Leakage'!$B$2:$B$42,0))*CP344/2204.62*CO344,"")</f>
        <v/>
      </c>
      <c r="CT344" s="145" t="str">
        <f>IF($I344&lt;&gt;"",J344*(INDEX('Device Refrigerant Leakage'!$D$2:$D$42,MATCH($M344,'Device Refrigerant Leakage'!$B$2:$B$42,0))-(INDEX('Device Refrigerant Leakage'!$D$2:$D$42,MATCH($M344,'Device Refrigerant Leakage'!$B$2:$B$42,0)))*CR344*CP344)*CQ344/2204.62*CO344,"")</f>
        <v/>
      </c>
      <c r="CU344" s="135" t="str">
        <f>IF($I344&lt;&gt;"",J344*IF(W344&lt;&gt;"AR",(CS344*K344)+CT344,(CS344*AB344)+CT344*(AB344/INDEX('Device Refrigerant Leakage'!$C$2:$C$42,MATCH($M344,'Device Refrigerant Leakage'!$B$2:$B$42,0)))),"")</f>
        <v/>
      </c>
      <c r="CW344" s="135" t="str">
        <f>IF($I344&lt;&gt;"",IF(S344="User Specified",V344,INDEX('Refrigerant GWPs'!$G$2:$G$156,MATCH(S344,'Refrigerant GWPs'!$A$2:$A$157,0))),"")</f>
        <v/>
      </c>
      <c r="CX344" s="138" t="str">
        <f>IF($I344&lt;&gt;"",INDEX('Device Refrigerant Leakage'!$E$2:$E$42,MATCH($Q344,'Device Refrigerant Leakage'!$B$2:$B$42,0)),"")</f>
        <v/>
      </c>
      <c r="CY344" s="138" t="str">
        <f>IF($I344&lt;&gt;"",INDEX('Device Refrigerant Leakage'!$F$2:$F$42,MATCH($Q344,'Device Refrigerant Leakage'!$B$2:$B$42,0)),"")</f>
        <v/>
      </c>
      <c r="CZ344" s="145" t="str">
        <f>IF($I344&lt;&gt;"",INDEX('Device Refrigerant Leakage'!$G$2:$G$42,MATCH($Q344,'Device Refrigerant Leakage'!$B$2:$B$42,0)),"")</f>
        <v/>
      </c>
      <c r="DA344" s="145" t="str">
        <f>IF($I344&lt;&gt;"",J344*INDEX('Device Refrigerant Leakage'!$D$2:$D$42,MATCH($Q344,'Device Refrigerant Leakage'!$B$2:$B$42,0))*CX344/2204.62*CW344,"")</f>
        <v/>
      </c>
      <c r="DB344" s="145" t="str">
        <f>IF($I344&lt;&gt;"",J344*(INDEX('Device Refrigerant Leakage'!$D$2:$D$42,MATCH($Q344,'Device Refrigerant Leakage'!$B$2:$B$42,0))-(INDEX('Device Refrigerant Leakage'!$D$2:$D$42,MATCH($Q344,'Device Refrigerant Leakage'!$B$2:$B$42,0)))*CZ344*CX344)*CY344/2204.62*CW344,"")</f>
        <v/>
      </c>
      <c r="DC344" s="135" t="str">
        <f t="shared" si="484"/>
        <v/>
      </c>
      <c r="DE344" s="146" t="str">
        <f>IF(W344&lt;&gt;"AR","",IF(Y344="User Specified", AA344, INDEX('Refrigerant GWPs'!$G$2:$G$154,MATCH(Y344,'Refrigerant GWPs'!$A$2:$A$154,0))))</f>
        <v/>
      </c>
      <c r="DF344" s="146" t="str">
        <f>IF(W344&lt;&gt;"AR","",INDEX('Device Refrigerant Leakage'!$E$2:$E$42,MATCH(X344,'Device Refrigerant Leakage'!$B$2:$B$42,0)))</f>
        <v/>
      </c>
      <c r="DG344" s="146" t="str">
        <f>IF(W344&lt;&gt;"AR","",INDEX('Device Refrigerant Leakage'!$F$2:$F$42,MATCH(X344,'Device Refrigerant Leakage'!$B$2:$B$42,0)))</f>
        <v/>
      </c>
      <c r="DH344" s="146" t="str">
        <f>IF(W344&lt;&gt;"AR","",INDEX('Device Refrigerant Leakage'!$G$2:$G$42,MATCH(X344,'Device Refrigerant Leakage'!$B$2:$B$42,0)))</f>
        <v/>
      </c>
      <c r="DI344" s="146" t="str">
        <f>IF(W344&lt;&gt;"AR","",J344*INDEX('Device Refrigerant Leakage'!$D$2:$D$42,MATCH(X344,'Device Refrigerant Leakage'!$B$2:$B$42,0))*DF344/2204.62*DE344)</f>
        <v/>
      </c>
      <c r="DJ344" s="146" t="str">
        <f>IF(W344&lt;&gt;"AR","",J344*(INDEX('Device Refrigerant Leakage'!$D$2:$D$42,MATCH(X344,'Device Refrigerant Leakage'!$B$2:$B$42,0))-(INDEX('Device Refrigerant Leakage'!$D$2:$D$42,MATCH(X344,'Device Refrigerant Leakage'!$B$2:$B$42,0)))*DH344*DF344)*DG344/2204.62*DE344)</f>
        <v/>
      </c>
      <c r="DK344" s="146" t="str">
        <f>IF(W344&lt;&gt;"AR","",DI344*(K344-AB344)+'Fuel Sub Calcs-Deemed'!DJ344*((K344-AB344)/INDEX('Device Refrigerant Leakage'!$C$2:$C$42,MATCH('Fuel Sub Calcs-Deemed'!X344,'Device Refrigerant Leakage'!$B$2:$B$42,0))))</f>
        <v/>
      </c>
      <c r="DM344" s="56">
        <v>330</v>
      </c>
      <c r="DN344" s="67" t="e">
        <f t="shared" si="466"/>
        <v>#N/A</v>
      </c>
      <c r="DO344" s="45" t="e">
        <f t="shared" si="467"/>
        <v>#N/A</v>
      </c>
      <c r="DP344" s="67" t="e">
        <f t="shared" si="468"/>
        <v>#N/A</v>
      </c>
      <c r="DQ344" s="45" t="e">
        <f t="shared" si="469"/>
        <v>#N/A</v>
      </c>
      <c r="DR344" s="69" t="e">
        <f t="shared" si="470"/>
        <v>#N/A</v>
      </c>
      <c r="DS344" s="34"/>
      <c r="DT344" s="67" t="e">
        <f>((BX344*CJ344)+IF($W344=MAT_AR,(BZ344*CL344),0))*(1+Reference!$E$50+Reference!$E$51)</f>
        <v>#N/A</v>
      </c>
      <c r="DU344" s="67">
        <f>((BY344*CK344)+IF($W344=MAT_AR,(CA344*CM344),0))*(1+Reference!$G$50+Reference!$G$51)</f>
        <v>0</v>
      </c>
      <c r="DV344" s="67" t="e">
        <f t="shared" si="471"/>
        <v>#VALUE!</v>
      </c>
      <c r="DX344" s="56">
        <v>330</v>
      </c>
      <c r="DY344" s="67">
        <f t="shared" si="472"/>
        <v>0</v>
      </c>
      <c r="DZ344" s="45" t="e">
        <f>VLOOKUP($R344,Dropdown!$C$3:$D$4,2,FALSE)</f>
        <v>#N/A</v>
      </c>
      <c r="EA344" s="68">
        <f t="shared" si="473"/>
        <v>0</v>
      </c>
      <c r="EB344" s="68" t="str">
        <f t="shared" si="474"/>
        <v>N/A</v>
      </c>
      <c r="EC344" s="68">
        <f t="shared" si="475"/>
        <v>0</v>
      </c>
      <c r="ED344" s="68" t="str">
        <f t="shared" si="513"/>
        <v>N/A</v>
      </c>
      <c r="EF344" s="56">
        <v>330</v>
      </c>
      <c r="EG344" s="46">
        <f t="shared" si="476"/>
        <v>0</v>
      </c>
      <c r="EH344" s="68" t="e">
        <f t="shared" si="477"/>
        <v>#N/A</v>
      </c>
      <c r="EI344" s="68" t="e">
        <f t="shared" si="478"/>
        <v>#N/A</v>
      </c>
      <c r="EJ344" s="68" t="e">
        <f t="shared" si="479"/>
        <v>#N/A</v>
      </c>
      <c r="EK344" s="68" t="e">
        <f t="shared" si="480"/>
        <v>#N/A</v>
      </c>
      <c r="EL344" s="46">
        <f t="shared" si="481"/>
        <v>0</v>
      </c>
      <c r="EM344" s="46">
        <f t="shared" si="482"/>
        <v>0</v>
      </c>
    </row>
    <row r="345" spans="1:143">
      <c r="A345" s="89"/>
      <c r="B345" s="89"/>
      <c r="C345" s="89"/>
      <c r="D345" s="89"/>
      <c r="E345" s="89"/>
      <c r="F345" s="89"/>
      <c r="G345" s="34"/>
      <c r="H345" s="56">
        <f t="shared" si="483"/>
        <v>331</v>
      </c>
      <c r="I345" s="165"/>
      <c r="J345" s="163"/>
      <c r="K345" s="163"/>
      <c r="L345" s="164"/>
      <c r="M345" s="155"/>
      <c r="N345" s="155"/>
      <c r="O345" s="144"/>
      <c r="P345" s="159" t="str">
        <f>IFERROR(IF(O345&lt;&gt;"User Specified",IF(O345&lt;&gt;"", INDEX('Refrigerant GWPs'!$G$2:$G$154,MATCH(O345,'Refrigerant GWPs'!$A$2:$A$154,0)),""),U345),0)</f>
        <v/>
      </c>
      <c r="Q345" s="155"/>
      <c r="R345" s="155"/>
      <c r="S345" s="144"/>
      <c r="T345" s="159" t="str">
        <f>IF(S345&lt;&gt;"User Specified",IF(AND(S345&lt;&gt;"User Specified",S345&lt;&gt;""), INDEX('Refrigerant GWPs'!$G$2:$G$154,MATCH(S345,'Refrigerant GWPs'!$A$2:$A$154,0)),""),V345)</f>
        <v/>
      </c>
      <c r="U345" s="144"/>
      <c r="V345" s="144"/>
      <c r="W345" s="155"/>
      <c r="X345" s="155"/>
      <c r="Y345" s="144"/>
      <c r="Z345" s="159" t="str">
        <f>IF(AND(Y345&lt;&gt;"User Specified",Y345&lt;&gt;""), INDEX('Refrigerant GWPs'!$G$2:$G$154,MATCH(Y345,'Refrigerant GWPs'!$A$2:$A$154,0)),"")</f>
        <v/>
      </c>
      <c r="AA345" s="155"/>
      <c r="AB345" s="156"/>
      <c r="AC345" s="66"/>
      <c r="AD345" s="66"/>
      <c r="AE345" s="66"/>
      <c r="AF345" s="66"/>
      <c r="AG345" s="66"/>
      <c r="AH345" s="66"/>
      <c r="AI345" s="34"/>
      <c r="AJ345" s="88">
        <f t="shared" si="446"/>
        <v>0</v>
      </c>
      <c r="AK345" s="88">
        <f t="shared" si="447"/>
        <v>0</v>
      </c>
      <c r="AL345" s="88">
        <v>0</v>
      </c>
      <c r="AM345" s="88">
        <v>0</v>
      </c>
      <c r="AN345" s="81" t="str">
        <f t="shared" si="485"/>
        <v/>
      </c>
      <c r="AO345" s="88">
        <f t="shared" si="448"/>
        <v>0</v>
      </c>
      <c r="AP345" s="88">
        <f t="shared" si="449"/>
        <v>0</v>
      </c>
      <c r="AQ345" s="81" t="str">
        <f t="shared" si="450"/>
        <v/>
      </c>
      <c r="AS345" s="41" t="b">
        <f t="shared" si="451"/>
        <v>1</v>
      </c>
      <c r="AT345" s="38">
        <f t="shared" si="452"/>
        <v>0</v>
      </c>
      <c r="AU345" s="60">
        <f t="shared" si="453"/>
        <v>0</v>
      </c>
      <c r="AV345" s="41">
        <f t="shared" si="454"/>
        <v>0</v>
      </c>
      <c r="AW345" s="41" t="b">
        <f t="shared" si="455"/>
        <v>0</v>
      </c>
      <c r="AX345" t="str">
        <f t="shared" si="456"/>
        <v>+00</v>
      </c>
      <c r="AY345" t="str">
        <f t="shared" si="457"/>
        <v>+00</v>
      </c>
      <c r="BA345" s="47" t="b">
        <f t="shared" si="486"/>
        <v>1</v>
      </c>
      <c r="BB345" s="42" t="b">
        <f t="shared" si="487"/>
        <v>1</v>
      </c>
      <c r="BC345" s="42" t="b">
        <f t="shared" si="488"/>
        <v>0</v>
      </c>
      <c r="BD345" s="42" t="b">
        <f t="shared" si="489"/>
        <v>0</v>
      </c>
      <c r="BE345" s="70">
        <f t="shared" si="490"/>
        <v>0</v>
      </c>
      <c r="BF345" s="70">
        <f t="shared" si="491"/>
        <v>0</v>
      </c>
      <c r="BG345" s="34"/>
      <c r="BI345" s="47" t="b">
        <f t="shared" si="492"/>
        <v>1</v>
      </c>
      <c r="BJ345" s="47" t="b">
        <f t="shared" si="493"/>
        <v>1</v>
      </c>
      <c r="BK345" s="42" t="b">
        <f t="shared" si="494"/>
        <v>0</v>
      </c>
      <c r="BL345" s="42" t="b">
        <f t="shared" si="495"/>
        <v>0</v>
      </c>
      <c r="BM345" s="42">
        <f t="shared" si="496"/>
        <v>0</v>
      </c>
      <c r="BN345" s="42">
        <f t="shared" si="497"/>
        <v>0</v>
      </c>
      <c r="BP345" t="e">
        <f t="shared" si="498"/>
        <v>#N/A</v>
      </c>
      <c r="BQ345" t="e">
        <f t="shared" si="499"/>
        <v>#N/A</v>
      </c>
      <c r="BR345" t="e">
        <f t="shared" si="500"/>
        <v>#N/A</v>
      </c>
      <c r="BT345" s="60">
        <f t="shared" si="501"/>
        <v>0</v>
      </c>
      <c r="BU345" s="60">
        <f t="shared" si="502"/>
        <v>0</v>
      </c>
      <c r="BV345" s="60">
        <f t="shared" si="503"/>
        <v>0</v>
      </c>
      <c r="BW345" s="60">
        <f t="shared" si="504"/>
        <v>0</v>
      </c>
      <c r="BX345" s="60">
        <f t="shared" si="505"/>
        <v>0</v>
      </c>
      <c r="BY345" s="60">
        <f t="shared" si="506"/>
        <v>0</v>
      </c>
      <c r="BZ345" s="60">
        <f t="shared" si="507"/>
        <v>0</v>
      </c>
      <c r="CA345" s="60">
        <f t="shared" si="508"/>
        <v>0</v>
      </c>
      <c r="CB345" s="60" t="e">
        <f t="shared" si="458"/>
        <v>#N/A</v>
      </c>
      <c r="CC345" s="60">
        <f t="shared" si="459"/>
        <v>100000</v>
      </c>
      <c r="CD345" s="60" t="e">
        <f t="shared" si="460"/>
        <v>#N/A</v>
      </c>
      <c r="CE345" s="60">
        <f t="shared" si="461"/>
        <v>100000</v>
      </c>
      <c r="CF345" s="83" t="e">
        <f t="shared" si="509"/>
        <v>#N/A</v>
      </c>
      <c r="CG345" s="83">
        <f t="shared" si="510"/>
        <v>0</v>
      </c>
      <c r="CH345" s="83" t="e">
        <f t="shared" si="511"/>
        <v>#N/A</v>
      </c>
      <c r="CI345" s="83">
        <f t="shared" si="512"/>
        <v>0</v>
      </c>
      <c r="CJ345" s="86" t="e">
        <f t="shared" si="462"/>
        <v>#N/A</v>
      </c>
      <c r="CK345" s="82">
        <f t="shared" si="463"/>
        <v>5.3070370403969858E-3</v>
      </c>
      <c r="CL345" s="82" t="e">
        <f t="shared" si="464"/>
        <v>#N/A</v>
      </c>
      <c r="CM345" s="82">
        <f t="shared" si="465"/>
        <v>5.3070370403969858E-3</v>
      </c>
      <c r="CO345" s="149" t="str">
        <f>IF($I345&lt;&gt;"",IF(O345="User Specified",U345,INDEX('Refrigerant GWPs'!$G$2:$G$156,MATCH(O345,'Refrigerant GWPs'!$A$2:$A$156,0))),"")</f>
        <v/>
      </c>
      <c r="CP345" s="138" t="str">
        <f>IF($I345&lt;&gt;"",INDEX('Device Refrigerant Leakage'!$E$2:$E$42,MATCH($M345,'Device Refrigerant Leakage'!$B$2:$B$42,0)),"")</f>
        <v/>
      </c>
      <c r="CQ345" s="138" t="str">
        <f>IF($I345&lt;&gt;"",INDEX('Device Refrigerant Leakage'!$F$2:$F$42,MATCH($M345,'Device Refrigerant Leakage'!$B$2:$B$42,0)),"")</f>
        <v/>
      </c>
      <c r="CR345" s="145" t="str">
        <f>IF($I345&lt;&gt;"",INDEX('Device Refrigerant Leakage'!$G$2:$G$42,MATCH($M345,'Device Refrigerant Leakage'!$B$2:$B$42,0)),"")</f>
        <v/>
      </c>
      <c r="CS345" s="145" t="str">
        <f>IF($I345&lt;&gt;"",INDEX('Device Refrigerant Leakage'!$D$2:$D$42,MATCH($M345,'Device Refrigerant Leakage'!$B$2:$B$42,0))*CP345/2204.62*CO345,"")</f>
        <v/>
      </c>
      <c r="CT345" s="145" t="str">
        <f>IF($I345&lt;&gt;"",J345*(INDEX('Device Refrigerant Leakage'!$D$2:$D$42,MATCH($M345,'Device Refrigerant Leakage'!$B$2:$B$42,0))-(INDEX('Device Refrigerant Leakage'!$D$2:$D$42,MATCH($M345,'Device Refrigerant Leakage'!$B$2:$B$42,0)))*CR345*CP345)*CQ345/2204.62*CO345,"")</f>
        <v/>
      </c>
      <c r="CU345" s="135" t="str">
        <f>IF($I345&lt;&gt;"",J345*IF(W345&lt;&gt;"AR",(CS345*K345)+CT345,(CS345*AB345)+CT345*(AB345/INDEX('Device Refrigerant Leakage'!$C$2:$C$42,MATCH($M345,'Device Refrigerant Leakage'!$B$2:$B$42,0)))),"")</f>
        <v/>
      </c>
      <c r="CW345" s="135" t="str">
        <f>IF($I345&lt;&gt;"",IF(S345="User Specified",V345,INDEX('Refrigerant GWPs'!$G$2:$G$156,MATCH(S345,'Refrigerant GWPs'!$A$2:$A$157,0))),"")</f>
        <v/>
      </c>
      <c r="CX345" s="138" t="str">
        <f>IF($I345&lt;&gt;"",INDEX('Device Refrigerant Leakage'!$E$2:$E$42,MATCH($Q345,'Device Refrigerant Leakage'!$B$2:$B$42,0)),"")</f>
        <v/>
      </c>
      <c r="CY345" s="138" t="str">
        <f>IF($I345&lt;&gt;"",INDEX('Device Refrigerant Leakage'!$F$2:$F$42,MATCH($Q345,'Device Refrigerant Leakage'!$B$2:$B$42,0)),"")</f>
        <v/>
      </c>
      <c r="CZ345" s="145" t="str">
        <f>IF($I345&lt;&gt;"",INDEX('Device Refrigerant Leakage'!$G$2:$G$42,MATCH($Q345,'Device Refrigerant Leakage'!$B$2:$B$42,0)),"")</f>
        <v/>
      </c>
      <c r="DA345" s="145" t="str">
        <f>IF($I345&lt;&gt;"",J345*INDEX('Device Refrigerant Leakage'!$D$2:$D$42,MATCH($Q345,'Device Refrigerant Leakage'!$B$2:$B$42,0))*CX345/2204.62*CW345,"")</f>
        <v/>
      </c>
      <c r="DB345" s="145" t="str">
        <f>IF($I345&lt;&gt;"",J345*(INDEX('Device Refrigerant Leakage'!$D$2:$D$42,MATCH($Q345,'Device Refrigerant Leakage'!$B$2:$B$42,0))-(INDEX('Device Refrigerant Leakage'!$D$2:$D$42,MATCH($Q345,'Device Refrigerant Leakage'!$B$2:$B$42,0)))*CZ345*CX345)*CY345/2204.62*CW345,"")</f>
        <v/>
      </c>
      <c r="DC345" s="135" t="str">
        <f t="shared" si="484"/>
        <v/>
      </c>
      <c r="DE345" s="146" t="str">
        <f>IF(W345&lt;&gt;"AR","",IF(Y345="User Specified", AA345, INDEX('Refrigerant GWPs'!$G$2:$G$154,MATCH(Y345,'Refrigerant GWPs'!$A$2:$A$154,0))))</f>
        <v/>
      </c>
      <c r="DF345" s="146" t="str">
        <f>IF(W345&lt;&gt;"AR","",INDEX('Device Refrigerant Leakage'!$E$2:$E$42,MATCH(X345,'Device Refrigerant Leakage'!$B$2:$B$42,0)))</f>
        <v/>
      </c>
      <c r="DG345" s="146" t="str">
        <f>IF(W345&lt;&gt;"AR","",INDEX('Device Refrigerant Leakage'!$F$2:$F$42,MATCH(X345,'Device Refrigerant Leakage'!$B$2:$B$42,0)))</f>
        <v/>
      </c>
      <c r="DH345" s="146" t="str">
        <f>IF(W345&lt;&gt;"AR","",INDEX('Device Refrigerant Leakage'!$G$2:$G$42,MATCH(X345,'Device Refrigerant Leakage'!$B$2:$B$42,0)))</f>
        <v/>
      </c>
      <c r="DI345" s="146" t="str">
        <f>IF(W345&lt;&gt;"AR","",J345*INDEX('Device Refrigerant Leakage'!$D$2:$D$42,MATCH(X345,'Device Refrigerant Leakage'!$B$2:$B$42,0))*DF345/2204.62*DE345)</f>
        <v/>
      </c>
      <c r="DJ345" s="146" t="str">
        <f>IF(W345&lt;&gt;"AR","",J345*(INDEX('Device Refrigerant Leakage'!$D$2:$D$42,MATCH(X345,'Device Refrigerant Leakage'!$B$2:$B$42,0))-(INDEX('Device Refrigerant Leakage'!$D$2:$D$42,MATCH(X345,'Device Refrigerant Leakage'!$B$2:$B$42,0)))*DH345*DF345)*DG345/2204.62*DE345)</f>
        <v/>
      </c>
      <c r="DK345" s="146" t="str">
        <f>IF(W345&lt;&gt;"AR","",DI345*(K345-AB345)+'Fuel Sub Calcs-Deemed'!DJ345*((K345-AB345)/INDEX('Device Refrigerant Leakage'!$C$2:$C$42,MATCH('Fuel Sub Calcs-Deemed'!X345,'Device Refrigerant Leakage'!$B$2:$B$42,0))))</f>
        <v/>
      </c>
      <c r="DM345" s="56">
        <v>331</v>
      </c>
      <c r="DN345" s="67" t="e">
        <f t="shared" si="466"/>
        <v>#N/A</v>
      </c>
      <c r="DO345" s="45" t="e">
        <f t="shared" si="467"/>
        <v>#N/A</v>
      </c>
      <c r="DP345" s="67" t="e">
        <f t="shared" si="468"/>
        <v>#N/A</v>
      </c>
      <c r="DQ345" s="45" t="e">
        <f t="shared" si="469"/>
        <v>#N/A</v>
      </c>
      <c r="DR345" s="69" t="e">
        <f t="shared" si="470"/>
        <v>#N/A</v>
      </c>
      <c r="DS345" s="34"/>
      <c r="DT345" s="67" t="e">
        <f>((BX345*CJ345)+IF($W345=MAT_AR,(BZ345*CL345),0))*(1+Reference!$E$50+Reference!$E$51)</f>
        <v>#N/A</v>
      </c>
      <c r="DU345" s="67">
        <f>((BY345*CK345)+IF($W345=MAT_AR,(CA345*CM345),0))*(1+Reference!$G$50+Reference!$G$51)</f>
        <v>0</v>
      </c>
      <c r="DV345" s="67" t="e">
        <f t="shared" si="471"/>
        <v>#VALUE!</v>
      </c>
      <c r="DX345" s="56">
        <v>331</v>
      </c>
      <c r="DY345" s="67">
        <f t="shared" si="472"/>
        <v>0</v>
      </c>
      <c r="DZ345" s="45" t="e">
        <f>VLOOKUP($R345,Dropdown!$C$3:$D$4,2,FALSE)</f>
        <v>#N/A</v>
      </c>
      <c r="EA345" s="68">
        <f t="shared" si="473"/>
        <v>0</v>
      </c>
      <c r="EB345" s="68" t="str">
        <f t="shared" si="474"/>
        <v>N/A</v>
      </c>
      <c r="EC345" s="68">
        <f t="shared" si="475"/>
        <v>0</v>
      </c>
      <c r="ED345" s="68" t="str">
        <f t="shared" si="513"/>
        <v>N/A</v>
      </c>
      <c r="EF345" s="56">
        <v>331</v>
      </c>
      <c r="EG345" s="46">
        <f t="shared" si="476"/>
        <v>0</v>
      </c>
      <c r="EH345" s="68" t="e">
        <f t="shared" si="477"/>
        <v>#N/A</v>
      </c>
      <c r="EI345" s="68" t="e">
        <f t="shared" si="478"/>
        <v>#N/A</v>
      </c>
      <c r="EJ345" s="68" t="e">
        <f t="shared" si="479"/>
        <v>#N/A</v>
      </c>
      <c r="EK345" s="68" t="e">
        <f t="shared" si="480"/>
        <v>#N/A</v>
      </c>
      <c r="EL345" s="46">
        <f t="shared" si="481"/>
        <v>0</v>
      </c>
      <c r="EM345" s="46">
        <f t="shared" si="482"/>
        <v>0</v>
      </c>
    </row>
    <row r="346" spans="1:143">
      <c r="A346" s="89"/>
      <c r="B346" s="89"/>
      <c r="C346" s="89"/>
      <c r="D346" s="89"/>
      <c r="E346" s="89"/>
      <c r="F346" s="89"/>
      <c r="G346" s="34"/>
      <c r="H346" s="56">
        <f t="shared" si="483"/>
        <v>332</v>
      </c>
      <c r="I346" s="165"/>
      <c r="J346" s="163"/>
      <c r="K346" s="163"/>
      <c r="L346" s="164"/>
      <c r="M346" s="155"/>
      <c r="N346" s="155"/>
      <c r="O346" s="144"/>
      <c r="P346" s="159" t="str">
        <f>IFERROR(IF(O346&lt;&gt;"User Specified",IF(O346&lt;&gt;"", INDEX('Refrigerant GWPs'!$G$2:$G$154,MATCH(O346,'Refrigerant GWPs'!$A$2:$A$154,0)),""),U346),0)</f>
        <v/>
      </c>
      <c r="Q346" s="155"/>
      <c r="R346" s="155"/>
      <c r="S346" s="144"/>
      <c r="T346" s="159" t="str">
        <f>IF(S346&lt;&gt;"User Specified",IF(AND(S346&lt;&gt;"User Specified",S346&lt;&gt;""), INDEX('Refrigerant GWPs'!$G$2:$G$154,MATCH(S346,'Refrigerant GWPs'!$A$2:$A$154,0)),""),V346)</f>
        <v/>
      </c>
      <c r="U346" s="144"/>
      <c r="V346" s="144"/>
      <c r="W346" s="155"/>
      <c r="X346" s="155"/>
      <c r="Y346" s="144"/>
      <c r="Z346" s="159" t="str">
        <f>IF(AND(Y346&lt;&gt;"User Specified",Y346&lt;&gt;""), INDEX('Refrigerant GWPs'!$G$2:$G$154,MATCH(Y346,'Refrigerant GWPs'!$A$2:$A$154,0)),"")</f>
        <v/>
      </c>
      <c r="AA346" s="155"/>
      <c r="AB346" s="156"/>
      <c r="AC346" s="66"/>
      <c r="AD346" s="66"/>
      <c r="AE346" s="66"/>
      <c r="AF346" s="66"/>
      <c r="AG346" s="66"/>
      <c r="AH346" s="66"/>
      <c r="AI346" s="34"/>
      <c r="AJ346" s="88">
        <f t="shared" si="446"/>
        <v>0</v>
      </c>
      <c r="AK346" s="88">
        <f t="shared" si="447"/>
        <v>0</v>
      </c>
      <c r="AL346" s="88">
        <v>0</v>
      </c>
      <c r="AM346" s="88">
        <v>0</v>
      </c>
      <c r="AN346" s="81" t="str">
        <f t="shared" si="485"/>
        <v/>
      </c>
      <c r="AO346" s="88">
        <f t="shared" si="448"/>
        <v>0</v>
      </c>
      <c r="AP346" s="88">
        <f t="shared" si="449"/>
        <v>0</v>
      </c>
      <c r="AQ346" s="81" t="str">
        <f t="shared" si="450"/>
        <v/>
      </c>
      <c r="AS346" s="41" t="b">
        <f t="shared" si="451"/>
        <v>1</v>
      </c>
      <c r="AT346" s="38">
        <f t="shared" si="452"/>
        <v>0</v>
      </c>
      <c r="AU346" s="60">
        <f t="shared" si="453"/>
        <v>0</v>
      </c>
      <c r="AV346" s="41">
        <f t="shared" si="454"/>
        <v>0</v>
      </c>
      <c r="AW346" s="41" t="b">
        <f t="shared" si="455"/>
        <v>0</v>
      </c>
      <c r="AX346" t="str">
        <f t="shared" si="456"/>
        <v>+00</v>
      </c>
      <c r="AY346" t="str">
        <f t="shared" si="457"/>
        <v>+00</v>
      </c>
      <c r="BA346" s="47" t="b">
        <f t="shared" si="486"/>
        <v>1</v>
      </c>
      <c r="BB346" s="42" t="b">
        <f t="shared" si="487"/>
        <v>1</v>
      </c>
      <c r="BC346" s="42" t="b">
        <f t="shared" si="488"/>
        <v>0</v>
      </c>
      <c r="BD346" s="42" t="b">
        <f t="shared" si="489"/>
        <v>0</v>
      </c>
      <c r="BE346" s="70">
        <f t="shared" si="490"/>
        <v>0</v>
      </c>
      <c r="BF346" s="70">
        <f t="shared" si="491"/>
        <v>0</v>
      </c>
      <c r="BG346" s="34"/>
      <c r="BI346" s="47" t="b">
        <f t="shared" si="492"/>
        <v>1</v>
      </c>
      <c r="BJ346" s="47" t="b">
        <f t="shared" si="493"/>
        <v>1</v>
      </c>
      <c r="BK346" s="42" t="b">
        <f t="shared" si="494"/>
        <v>0</v>
      </c>
      <c r="BL346" s="42" t="b">
        <f t="shared" si="495"/>
        <v>0</v>
      </c>
      <c r="BM346" s="42">
        <f t="shared" si="496"/>
        <v>0</v>
      </c>
      <c r="BN346" s="42">
        <f t="shared" si="497"/>
        <v>0</v>
      </c>
      <c r="BP346" t="e">
        <f t="shared" si="498"/>
        <v>#N/A</v>
      </c>
      <c r="BQ346" t="e">
        <f t="shared" si="499"/>
        <v>#N/A</v>
      </c>
      <c r="BR346" t="e">
        <f t="shared" si="500"/>
        <v>#N/A</v>
      </c>
      <c r="BT346" s="60">
        <f t="shared" si="501"/>
        <v>0</v>
      </c>
      <c r="BU346" s="60">
        <f t="shared" si="502"/>
        <v>0</v>
      </c>
      <c r="BV346" s="60">
        <f t="shared" si="503"/>
        <v>0</v>
      </c>
      <c r="BW346" s="60">
        <f t="shared" si="504"/>
        <v>0</v>
      </c>
      <c r="BX346" s="60">
        <f t="shared" si="505"/>
        <v>0</v>
      </c>
      <c r="BY346" s="60">
        <f t="shared" si="506"/>
        <v>0</v>
      </c>
      <c r="BZ346" s="60">
        <f t="shared" si="507"/>
        <v>0</v>
      </c>
      <c r="CA346" s="60">
        <f t="shared" si="508"/>
        <v>0</v>
      </c>
      <c r="CB346" s="60" t="e">
        <f t="shared" si="458"/>
        <v>#N/A</v>
      </c>
      <c r="CC346" s="60">
        <f t="shared" si="459"/>
        <v>100000</v>
      </c>
      <c r="CD346" s="60" t="e">
        <f t="shared" si="460"/>
        <v>#N/A</v>
      </c>
      <c r="CE346" s="60">
        <f t="shared" si="461"/>
        <v>100000</v>
      </c>
      <c r="CF346" s="83" t="e">
        <f t="shared" si="509"/>
        <v>#N/A</v>
      </c>
      <c r="CG346" s="83">
        <f t="shared" si="510"/>
        <v>0</v>
      </c>
      <c r="CH346" s="83" t="e">
        <f t="shared" si="511"/>
        <v>#N/A</v>
      </c>
      <c r="CI346" s="83">
        <f t="shared" si="512"/>
        <v>0</v>
      </c>
      <c r="CJ346" s="86" t="e">
        <f t="shared" si="462"/>
        <v>#N/A</v>
      </c>
      <c r="CK346" s="82">
        <f t="shared" si="463"/>
        <v>5.3070370403969858E-3</v>
      </c>
      <c r="CL346" s="82" t="e">
        <f t="shared" si="464"/>
        <v>#N/A</v>
      </c>
      <c r="CM346" s="82">
        <f t="shared" si="465"/>
        <v>5.3070370403969858E-3</v>
      </c>
      <c r="CO346" s="149" t="str">
        <f>IF($I346&lt;&gt;"",IF(O346="User Specified",U346,INDEX('Refrigerant GWPs'!$G$2:$G$156,MATCH(O346,'Refrigerant GWPs'!$A$2:$A$156,0))),"")</f>
        <v/>
      </c>
      <c r="CP346" s="138" t="str">
        <f>IF($I346&lt;&gt;"",INDEX('Device Refrigerant Leakage'!$E$2:$E$42,MATCH($M346,'Device Refrigerant Leakage'!$B$2:$B$42,0)),"")</f>
        <v/>
      </c>
      <c r="CQ346" s="138" t="str">
        <f>IF($I346&lt;&gt;"",INDEX('Device Refrigerant Leakage'!$F$2:$F$42,MATCH($M346,'Device Refrigerant Leakage'!$B$2:$B$42,0)),"")</f>
        <v/>
      </c>
      <c r="CR346" s="145" t="str">
        <f>IF($I346&lt;&gt;"",INDEX('Device Refrigerant Leakage'!$G$2:$G$42,MATCH($M346,'Device Refrigerant Leakage'!$B$2:$B$42,0)),"")</f>
        <v/>
      </c>
      <c r="CS346" s="145" t="str">
        <f>IF($I346&lt;&gt;"",INDEX('Device Refrigerant Leakage'!$D$2:$D$42,MATCH($M346,'Device Refrigerant Leakage'!$B$2:$B$42,0))*CP346/2204.62*CO346,"")</f>
        <v/>
      </c>
      <c r="CT346" s="145" t="str">
        <f>IF($I346&lt;&gt;"",J346*(INDEX('Device Refrigerant Leakage'!$D$2:$D$42,MATCH($M346,'Device Refrigerant Leakage'!$B$2:$B$42,0))-(INDEX('Device Refrigerant Leakage'!$D$2:$D$42,MATCH($M346,'Device Refrigerant Leakage'!$B$2:$B$42,0)))*CR346*CP346)*CQ346/2204.62*CO346,"")</f>
        <v/>
      </c>
      <c r="CU346" s="135" t="str">
        <f>IF($I346&lt;&gt;"",J346*IF(W346&lt;&gt;"AR",(CS346*K346)+CT346,(CS346*AB346)+CT346*(AB346/INDEX('Device Refrigerant Leakage'!$C$2:$C$42,MATCH($M346,'Device Refrigerant Leakage'!$B$2:$B$42,0)))),"")</f>
        <v/>
      </c>
      <c r="CW346" s="135" t="str">
        <f>IF($I346&lt;&gt;"",IF(S346="User Specified",V346,INDEX('Refrigerant GWPs'!$G$2:$G$156,MATCH(S346,'Refrigerant GWPs'!$A$2:$A$157,0))),"")</f>
        <v/>
      </c>
      <c r="CX346" s="138" t="str">
        <f>IF($I346&lt;&gt;"",INDEX('Device Refrigerant Leakage'!$E$2:$E$42,MATCH($Q346,'Device Refrigerant Leakage'!$B$2:$B$42,0)),"")</f>
        <v/>
      </c>
      <c r="CY346" s="138" t="str">
        <f>IF($I346&lt;&gt;"",INDEX('Device Refrigerant Leakage'!$F$2:$F$42,MATCH($Q346,'Device Refrigerant Leakage'!$B$2:$B$42,0)),"")</f>
        <v/>
      </c>
      <c r="CZ346" s="145" t="str">
        <f>IF($I346&lt;&gt;"",INDEX('Device Refrigerant Leakage'!$G$2:$G$42,MATCH($Q346,'Device Refrigerant Leakage'!$B$2:$B$42,0)),"")</f>
        <v/>
      </c>
      <c r="DA346" s="145" t="str">
        <f>IF($I346&lt;&gt;"",J346*INDEX('Device Refrigerant Leakage'!$D$2:$D$42,MATCH($Q346,'Device Refrigerant Leakage'!$B$2:$B$42,0))*CX346/2204.62*CW346,"")</f>
        <v/>
      </c>
      <c r="DB346" s="145" t="str">
        <f>IF($I346&lt;&gt;"",J346*(INDEX('Device Refrigerant Leakage'!$D$2:$D$42,MATCH($Q346,'Device Refrigerant Leakage'!$B$2:$B$42,0))-(INDEX('Device Refrigerant Leakage'!$D$2:$D$42,MATCH($Q346,'Device Refrigerant Leakage'!$B$2:$B$42,0)))*CZ346*CX346)*CY346/2204.62*CW346,"")</f>
        <v/>
      </c>
      <c r="DC346" s="135" t="str">
        <f t="shared" si="484"/>
        <v/>
      </c>
      <c r="DE346" s="146" t="str">
        <f>IF(W346&lt;&gt;"AR","",IF(Y346="User Specified", AA346, INDEX('Refrigerant GWPs'!$G$2:$G$154,MATCH(Y346,'Refrigerant GWPs'!$A$2:$A$154,0))))</f>
        <v/>
      </c>
      <c r="DF346" s="146" t="str">
        <f>IF(W346&lt;&gt;"AR","",INDEX('Device Refrigerant Leakage'!$E$2:$E$42,MATCH(X346,'Device Refrigerant Leakage'!$B$2:$B$42,0)))</f>
        <v/>
      </c>
      <c r="DG346" s="146" t="str">
        <f>IF(W346&lt;&gt;"AR","",INDEX('Device Refrigerant Leakage'!$F$2:$F$42,MATCH(X346,'Device Refrigerant Leakage'!$B$2:$B$42,0)))</f>
        <v/>
      </c>
      <c r="DH346" s="146" t="str">
        <f>IF(W346&lt;&gt;"AR","",INDEX('Device Refrigerant Leakage'!$G$2:$G$42,MATCH(X346,'Device Refrigerant Leakage'!$B$2:$B$42,0)))</f>
        <v/>
      </c>
      <c r="DI346" s="146" t="str">
        <f>IF(W346&lt;&gt;"AR","",J346*INDEX('Device Refrigerant Leakage'!$D$2:$D$42,MATCH(X346,'Device Refrigerant Leakage'!$B$2:$B$42,0))*DF346/2204.62*DE346)</f>
        <v/>
      </c>
      <c r="DJ346" s="146" t="str">
        <f>IF(W346&lt;&gt;"AR","",J346*(INDEX('Device Refrigerant Leakage'!$D$2:$D$42,MATCH(X346,'Device Refrigerant Leakage'!$B$2:$B$42,0))-(INDEX('Device Refrigerant Leakage'!$D$2:$D$42,MATCH(X346,'Device Refrigerant Leakage'!$B$2:$B$42,0)))*DH346*DF346)*DG346/2204.62*DE346)</f>
        <v/>
      </c>
      <c r="DK346" s="146" t="str">
        <f>IF(W346&lt;&gt;"AR","",DI346*(K346-AB346)+'Fuel Sub Calcs-Deemed'!DJ346*((K346-AB346)/INDEX('Device Refrigerant Leakage'!$C$2:$C$42,MATCH('Fuel Sub Calcs-Deemed'!X346,'Device Refrigerant Leakage'!$B$2:$B$42,0))))</f>
        <v/>
      </c>
      <c r="DM346" s="56">
        <v>332</v>
      </c>
      <c r="DN346" s="67" t="e">
        <f t="shared" si="466"/>
        <v>#N/A</v>
      </c>
      <c r="DO346" s="45" t="e">
        <f t="shared" si="467"/>
        <v>#N/A</v>
      </c>
      <c r="DP346" s="67" t="e">
        <f t="shared" si="468"/>
        <v>#N/A</v>
      </c>
      <c r="DQ346" s="45" t="e">
        <f t="shared" si="469"/>
        <v>#N/A</v>
      </c>
      <c r="DR346" s="69" t="e">
        <f t="shared" si="470"/>
        <v>#N/A</v>
      </c>
      <c r="DS346" s="34"/>
      <c r="DT346" s="67" t="e">
        <f>((BX346*CJ346)+IF($W346=MAT_AR,(BZ346*CL346),0))*(1+Reference!$E$50+Reference!$E$51)</f>
        <v>#N/A</v>
      </c>
      <c r="DU346" s="67">
        <f>((BY346*CK346)+IF($W346=MAT_AR,(CA346*CM346),0))*(1+Reference!$G$50+Reference!$G$51)</f>
        <v>0</v>
      </c>
      <c r="DV346" s="67" t="e">
        <f t="shared" si="471"/>
        <v>#VALUE!</v>
      </c>
      <c r="DX346" s="56">
        <v>332</v>
      </c>
      <c r="DY346" s="67">
        <f t="shared" si="472"/>
        <v>0</v>
      </c>
      <c r="DZ346" s="45" t="e">
        <f>VLOOKUP($R346,Dropdown!$C$3:$D$4,2,FALSE)</f>
        <v>#N/A</v>
      </c>
      <c r="EA346" s="68">
        <f t="shared" si="473"/>
        <v>0</v>
      </c>
      <c r="EB346" s="68" t="str">
        <f t="shared" si="474"/>
        <v>N/A</v>
      </c>
      <c r="EC346" s="68">
        <f t="shared" si="475"/>
        <v>0</v>
      </c>
      <c r="ED346" s="68" t="str">
        <f t="shared" si="513"/>
        <v>N/A</v>
      </c>
      <c r="EF346" s="56">
        <v>332</v>
      </c>
      <c r="EG346" s="46">
        <f t="shared" si="476"/>
        <v>0</v>
      </c>
      <c r="EH346" s="68" t="e">
        <f t="shared" si="477"/>
        <v>#N/A</v>
      </c>
      <c r="EI346" s="68" t="e">
        <f t="shared" si="478"/>
        <v>#N/A</v>
      </c>
      <c r="EJ346" s="68" t="e">
        <f t="shared" si="479"/>
        <v>#N/A</v>
      </c>
      <c r="EK346" s="68" t="e">
        <f t="shared" si="480"/>
        <v>#N/A</v>
      </c>
      <c r="EL346" s="46">
        <f t="shared" si="481"/>
        <v>0</v>
      </c>
      <c r="EM346" s="46">
        <f t="shared" si="482"/>
        <v>0</v>
      </c>
    </row>
    <row r="347" spans="1:143">
      <c r="A347" s="89"/>
      <c r="B347" s="89"/>
      <c r="C347" s="89"/>
      <c r="D347" s="89"/>
      <c r="E347" s="89"/>
      <c r="F347" s="89"/>
      <c r="G347" s="34"/>
      <c r="H347" s="56">
        <f t="shared" si="483"/>
        <v>333</v>
      </c>
      <c r="I347" s="165"/>
      <c r="J347" s="163"/>
      <c r="K347" s="163"/>
      <c r="L347" s="164"/>
      <c r="M347" s="155"/>
      <c r="N347" s="155"/>
      <c r="O347" s="144"/>
      <c r="P347" s="159" t="str">
        <f>IFERROR(IF(O347&lt;&gt;"User Specified",IF(O347&lt;&gt;"", INDEX('Refrigerant GWPs'!$G$2:$G$154,MATCH(O347,'Refrigerant GWPs'!$A$2:$A$154,0)),""),U347),0)</f>
        <v/>
      </c>
      <c r="Q347" s="155"/>
      <c r="R347" s="155"/>
      <c r="S347" s="144"/>
      <c r="T347" s="159" t="str">
        <f>IF(S347&lt;&gt;"User Specified",IF(AND(S347&lt;&gt;"User Specified",S347&lt;&gt;""), INDEX('Refrigerant GWPs'!$G$2:$G$154,MATCH(S347,'Refrigerant GWPs'!$A$2:$A$154,0)),""),V347)</f>
        <v/>
      </c>
      <c r="U347" s="144"/>
      <c r="V347" s="144"/>
      <c r="W347" s="155"/>
      <c r="X347" s="155"/>
      <c r="Y347" s="144"/>
      <c r="Z347" s="159" t="str">
        <f>IF(AND(Y347&lt;&gt;"User Specified",Y347&lt;&gt;""), INDEX('Refrigerant GWPs'!$G$2:$G$154,MATCH(Y347,'Refrigerant GWPs'!$A$2:$A$154,0)),"")</f>
        <v/>
      </c>
      <c r="AA347" s="155"/>
      <c r="AB347" s="156"/>
      <c r="AC347" s="66"/>
      <c r="AD347" s="66"/>
      <c r="AE347" s="66"/>
      <c r="AF347" s="66"/>
      <c r="AG347" s="66"/>
      <c r="AH347" s="66"/>
      <c r="AI347" s="34"/>
      <c r="AJ347" s="88">
        <f t="shared" si="446"/>
        <v>0</v>
      </c>
      <c r="AK347" s="88">
        <f t="shared" si="447"/>
        <v>0</v>
      </c>
      <c r="AL347" s="88">
        <v>0</v>
      </c>
      <c r="AM347" s="88">
        <v>0</v>
      </c>
      <c r="AN347" s="81" t="str">
        <f t="shared" si="485"/>
        <v/>
      </c>
      <c r="AO347" s="88">
        <f t="shared" si="448"/>
        <v>0</v>
      </c>
      <c r="AP347" s="88">
        <f t="shared" si="449"/>
        <v>0</v>
      </c>
      <c r="AQ347" s="81" t="str">
        <f t="shared" si="450"/>
        <v/>
      </c>
      <c r="AS347" s="41" t="b">
        <f t="shared" si="451"/>
        <v>1</v>
      </c>
      <c r="AT347" s="38">
        <f t="shared" si="452"/>
        <v>0</v>
      </c>
      <c r="AU347" s="60">
        <f t="shared" si="453"/>
        <v>0</v>
      </c>
      <c r="AV347" s="41">
        <f t="shared" si="454"/>
        <v>0</v>
      </c>
      <c r="AW347" s="41" t="b">
        <f t="shared" si="455"/>
        <v>0</v>
      </c>
      <c r="AX347" t="str">
        <f t="shared" si="456"/>
        <v>+00</v>
      </c>
      <c r="AY347" t="str">
        <f t="shared" si="457"/>
        <v>+00</v>
      </c>
      <c r="BA347" s="47" t="b">
        <f t="shared" si="486"/>
        <v>1</v>
      </c>
      <c r="BB347" s="42" t="b">
        <f t="shared" si="487"/>
        <v>1</v>
      </c>
      <c r="BC347" s="42" t="b">
        <f t="shared" si="488"/>
        <v>0</v>
      </c>
      <c r="BD347" s="42" t="b">
        <f t="shared" si="489"/>
        <v>0</v>
      </c>
      <c r="BE347" s="70">
        <f t="shared" si="490"/>
        <v>0</v>
      </c>
      <c r="BF347" s="70">
        <f t="shared" si="491"/>
        <v>0</v>
      </c>
      <c r="BG347" s="34"/>
      <c r="BI347" s="47" t="b">
        <f t="shared" si="492"/>
        <v>1</v>
      </c>
      <c r="BJ347" s="47" t="b">
        <f t="shared" si="493"/>
        <v>1</v>
      </c>
      <c r="BK347" s="42" t="b">
        <f t="shared" si="494"/>
        <v>0</v>
      </c>
      <c r="BL347" s="42" t="b">
        <f t="shared" si="495"/>
        <v>0</v>
      </c>
      <c r="BM347" s="42">
        <f t="shared" si="496"/>
        <v>0</v>
      </c>
      <c r="BN347" s="42">
        <f t="shared" si="497"/>
        <v>0</v>
      </c>
      <c r="BP347" t="e">
        <f t="shared" si="498"/>
        <v>#N/A</v>
      </c>
      <c r="BQ347" t="e">
        <f t="shared" si="499"/>
        <v>#N/A</v>
      </c>
      <c r="BR347" t="e">
        <f t="shared" si="500"/>
        <v>#N/A</v>
      </c>
      <c r="BT347" s="60">
        <f t="shared" si="501"/>
        <v>0</v>
      </c>
      <c r="BU347" s="60">
        <f t="shared" si="502"/>
        <v>0</v>
      </c>
      <c r="BV347" s="60">
        <f t="shared" si="503"/>
        <v>0</v>
      </c>
      <c r="BW347" s="60">
        <f t="shared" si="504"/>
        <v>0</v>
      </c>
      <c r="BX347" s="60">
        <f t="shared" si="505"/>
        <v>0</v>
      </c>
      <c r="BY347" s="60">
        <f t="shared" si="506"/>
        <v>0</v>
      </c>
      <c r="BZ347" s="60">
        <f t="shared" si="507"/>
        <v>0</v>
      </c>
      <c r="CA347" s="60">
        <f t="shared" si="508"/>
        <v>0</v>
      </c>
      <c r="CB347" s="60" t="e">
        <f t="shared" si="458"/>
        <v>#N/A</v>
      </c>
      <c r="CC347" s="60">
        <f t="shared" si="459"/>
        <v>100000</v>
      </c>
      <c r="CD347" s="60" t="e">
        <f t="shared" si="460"/>
        <v>#N/A</v>
      </c>
      <c r="CE347" s="60">
        <f t="shared" si="461"/>
        <v>100000</v>
      </c>
      <c r="CF347" s="83" t="e">
        <f t="shared" si="509"/>
        <v>#N/A</v>
      </c>
      <c r="CG347" s="83">
        <f t="shared" si="510"/>
        <v>0</v>
      </c>
      <c r="CH347" s="83" t="e">
        <f t="shared" si="511"/>
        <v>#N/A</v>
      </c>
      <c r="CI347" s="83">
        <f t="shared" si="512"/>
        <v>0</v>
      </c>
      <c r="CJ347" s="86" t="e">
        <f t="shared" si="462"/>
        <v>#N/A</v>
      </c>
      <c r="CK347" s="82">
        <f t="shared" si="463"/>
        <v>5.3070370403969858E-3</v>
      </c>
      <c r="CL347" s="82" t="e">
        <f t="shared" si="464"/>
        <v>#N/A</v>
      </c>
      <c r="CM347" s="82">
        <f t="shared" si="465"/>
        <v>5.3070370403969858E-3</v>
      </c>
      <c r="CO347" s="149" t="str">
        <f>IF($I347&lt;&gt;"",IF(O347="User Specified",U347,INDEX('Refrigerant GWPs'!$G$2:$G$156,MATCH(O347,'Refrigerant GWPs'!$A$2:$A$156,0))),"")</f>
        <v/>
      </c>
      <c r="CP347" s="138" t="str">
        <f>IF($I347&lt;&gt;"",INDEX('Device Refrigerant Leakage'!$E$2:$E$42,MATCH($M347,'Device Refrigerant Leakage'!$B$2:$B$42,0)),"")</f>
        <v/>
      </c>
      <c r="CQ347" s="138" t="str">
        <f>IF($I347&lt;&gt;"",INDEX('Device Refrigerant Leakage'!$F$2:$F$42,MATCH($M347,'Device Refrigerant Leakage'!$B$2:$B$42,0)),"")</f>
        <v/>
      </c>
      <c r="CR347" s="145" t="str">
        <f>IF($I347&lt;&gt;"",INDEX('Device Refrigerant Leakage'!$G$2:$G$42,MATCH($M347,'Device Refrigerant Leakage'!$B$2:$B$42,0)),"")</f>
        <v/>
      </c>
      <c r="CS347" s="145" t="str">
        <f>IF($I347&lt;&gt;"",INDEX('Device Refrigerant Leakage'!$D$2:$D$42,MATCH($M347,'Device Refrigerant Leakage'!$B$2:$B$42,0))*CP347/2204.62*CO347,"")</f>
        <v/>
      </c>
      <c r="CT347" s="145" t="str">
        <f>IF($I347&lt;&gt;"",J347*(INDEX('Device Refrigerant Leakage'!$D$2:$D$42,MATCH($M347,'Device Refrigerant Leakage'!$B$2:$B$42,0))-(INDEX('Device Refrigerant Leakage'!$D$2:$D$42,MATCH($M347,'Device Refrigerant Leakage'!$B$2:$B$42,0)))*CR347*CP347)*CQ347/2204.62*CO347,"")</f>
        <v/>
      </c>
      <c r="CU347" s="135" t="str">
        <f>IF($I347&lt;&gt;"",J347*IF(W347&lt;&gt;"AR",(CS347*K347)+CT347,(CS347*AB347)+CT347*(AB347/INDEX('Device Refrigerant Leakage'!$C$2:$C$42,MATCH($M347,'Device Refrigerant Leakage'!$B$2:$B$42,0)))),"")</f>
        <v/>
      </c>
      <c r="CW347" s="135" t="str">
        <f>IF($I347&lt;&gt;"",IF(S347="User Specified",V347,INDEX('Refrigerant GWPs'!$G$2:$G$156,MATCH(S347,'Refrigerant GWPs'!$A$2:$A$157,0))),"")</f>
        <v/>
      </c>
      <c r="CX347" s="138" t="str">
        <f>IF($I347&lt;&gt;"",INDEX('Device Refrigerant Leakage'!$E$2:$E$42,MATCH($Q347,'Device Refrigerant Leakage'!$B$2:$B$42,0)),"")</f>
        <v/>
      </c>
      <c r="CY347" s="138" t="str">
        <f>IF($I347&lt;&gt;"",INDEX('Device Refrigerant Leakage'!$F$2:$F$42,MATCH($Q347,'Device Refrigerant Leakage'!$B$2:$B$42,0)),"")</f>
        <v/>
      </c>
      <c r="CZ347" s="145" t="str">
        <f>IF($I347&lt;&gt;"",INDEX('Device Refrigerant Leakage'!$G$2:$G$42,MATCH($Q347,'Device Refrigerant Leakage'!$B$2:$B$42,0)),"")</f>
        <v/>
      </c>
      <c r="DA347" s="145" t="str">
        <f>IF($I347&lt;&gt;"",J347*INDEX('Device Refrigerant Leakage'!$D$2:$D$42,MATCH($Q347,'Device Refrigerant Leakage'!$B$2:$B$42,0))*CX347/2204.62*CW347,"")</f>
        <v/>
      </c>
      <c r="DB347" s="145" t="str">
        <f>IF($I347&lt;&gt;"",J347*(INDEX('Device Refrigerant Leakage'!$D$2:$D$42,MATCH($Q347,'Device Refrigerant Leakage'!$B$2:$B$42,0))-(INDEX('Device Refrigerant Leakage'!$D$2:$D$42,MATCH($Q347,'Device Refrigerant Leakage'!$B$2:$B$42,0)))*CZ347*CX347)*CY347/2204.62*CW347,"")</f>
        <v/>
      </c>
      <c r="DC347" s="135" t="str">
        <f t="shared" si="484"/>
        <v/>
      </c>
      <c r="DE347" s="146" t="str">
        <f>IF(W347&lt;&gt;"AR","",IF(Y347="User Specified", AA347, INDEX('Refrigerant GWPs'!$G$2:$G$154,MATCH(Y347,'Refrigerant GWPs'!$A$2:$A$154,0))))</f>
        <v/>
      </c>
      <c r="DF347" s="146" t="str">
        <f>IF(W347&lt;&gt;"AR","",INDEX('Device Refrigerant Leakage'!$E$2:$E$42,MATCH(X347,'Device Refrigerant Leakage'!$B$2:$B$42,0)))</f>
        <v/>
      </c>
      <c r="DG347" s="146" t="str">
        <f>IF(W347&lt;&gt;"AR","",INDEX('Device Refrigerant Leakage'!$F$2:$F$42,MATCH(X347,'Device Refrigerant Leakage'!$B$2:$B$42,0)))</f>
        <v/>
      </c>
      <c r="DH347" s="146" t="str">
        <f>IF(W347&lt;&gt;"AR","",INDEX('Device Refrigerant Leakage'!$G$2:$G$42,MATCH(X347,'Device Refrigerant Leakage'!$B$2:$B$42,0)))</f>
        <v/>
      </c>
      <c r="DI347" s="146" t="str">
        <f>IF(W347&lt;&gt;"AR","",J347*INDEX('Device Refrigerant Leakage'!$D$2:$D$42,MATCH(X347,'Device Refrigerant Leakage'!$B$2:$B$42,0))*DF347/2204.62*DE347)</f>
        <v/>
      </c>
      <c r="DJ347" s="146" t="str">
        <f>IF(W347&lt;&gt;"AR","",J347*(INDEX('Device Refrigerant Leakage'!$D$2:$D$42,MATCH(X347,'Device Refrigerant Leakage'!$B$2:$B$42,0))-(INDEX('Device Refrigerant Leakage'!$D$2:$D$42,MATCH(X347,'Device Refrigerant Leakage'!$B$2:$B$42,0)))*DH347*DF347)*DG347/2204.62*DE347)</f>
        <v/>
      </c>
      <c r="DK347" s="146" t="str">
        <f>IF(W347&lt;&gt;"AR","",DI347*(K347-AB347)+'Fuel Sub Calcs-Deemed'!DJ347*((K347-AB347)/INDEX('Device Refrigerant Leakage'!$C$2:$C$42,MATCH('Fuel Sub Calcs-Deemed'!X347,'Device Refrigerant Leakage'!$B$2:$B$42,0))))</f>
        <v/>
      </c>
      <c r="DM347" s="56">
        <v>333</v>
      </c>
      <c r="DN347" s="67" t="e">
        <f t="shared" si="466"/>
        <v>#N/A</v>
      </c>
      <c r="DO347" s="45" t="e">
        <f t="shared" si="467"/>
        <v>#N/A</v>
      </c>
      <c r="DP347" s="67" t="e">
        <f t="shared" si="468"/>
        <v>#N/A</v>
      </c>
      <c r="DQ347" s="45" t="e">
        <f t="shared" si="469"/>
        <v>#N/A</v>
      </c>
      <c r="DR347" s="69" t="e">
        <f t="shared" si="470"/>
        <v>#N/A</v>
      </c>
      <c r="DS347" s="34"/>
      <c r="DT347" s="67" t="e">
        <f>((BX347*CJ347)+IF($W347=MAT_AR,(BZ347*CL347),0))*(1+Reference!$E$50+Reference!$E$51)</f>
        <v>#N/A</v>
      </c>
      <c r="DU347" s="67">
        <f>((BY347*CK347)+IF($W347=MAT_AR,(CA347*CM347),0))*(1+Reference!$G$50+Reference!$G$51)</f>
        <v>0</v>
      </c>
      <c r="DV347" s="67" t="e">
        <f t="shared" si="471"/>
        <v>#VALUE!</v>
      </c>
      <c r="DX347" s="56">
        <v>333</v>
      </c>
      <c r="DY347" s="67">
        <f t="shared" si="472"/>
        <v>0</v>
      </c>
      <c r="DZ347" s="45" t="e">
        <f>VLOOKUP($R347,Dropdown!$C$3:$D$4,2,FALSE)</f>
        <v>#N/A</v>
      </c>
      <c r="EA347" s="68">
        <f t="shared" si="473"/>
        <v>0</v>
      </c>
      <c r="EB347" s="68" t="str">
        <f t="shared" si="474"/>
        <v>N/A</v>
      </c>
      <c r="EC347" s="68">
        <f t="shared" si="475"/>
        <v>0</v>
      </c>
      <c r="ED347" s="68" t="str">
        <f t="shared" si="513"/>
        <v>N/A</v>
      </c>
      <c r="EF347" s="56">
        <v>333</v>
      </c>
      <c r="EG347" s="46">
        <f t="shared" si="476"/>
        <v>0</v>
      </c>
      <c r="EH347" s="68" t="e">
        <f t="shared" si="477"/>
        <v>#N/A</v>
      </c>
      <c r="EI347" s="68" t="e">
        <f t="shared" si="478"/>
        <v>#N/A</v>
      </c>
      <c r="EJ347" s="68" t="e">
        <f t="shared" si="479"/>
        <v>#N/A</v>
      </c>
      <c r="EK347" s="68" t="e">
        <f t="shared" si="480"/>
        <v>#N/A</v>
      </c>
      <c r="EL347" s="46">
        <f t="shared" si="481"/>
        <v>0</v>
      </c>
      <c r="EM347" s="46">
        <f t="shared" si="482"/>
        <v>0</v>
      </c>
    </row>
    <row r="348" spans="1:143">
      <c r="A348" s="89"/>
      <c r="B348" s="89"/>
      <c r="C348" s="89"/>
      <c r="D348" s="89"/>
      <c r="E348" s="89"/>
      <c r="F348" s="89"/>
      <c r="G348" s="34"/>
      <c r="H348" s="56">
        <f t="shared" si="483"/>
        <v>334</v>
      </c>
      <c r="I348" s="165"/>
      <c r="J348" s="163"/>
      <c r="K348" s="163"/>
      <c r="L348" s="164"/>
      <c r="M348" s="155"/>
      <c r="N348" s="155"/>
      <c r="O348" s="144"/>
      <c r="P348" s="159" t="str">
        <f>IFERROR(IF(O348&lt;&gt;"User Specified",IF(O348&lt;&gt;"", INDEX('Refrigerant GWPs'!$G$2:$G$154,MATCH(O348,'Refrigerant GWPs'!$A$2:$A$154,0)),""),U348),0)</f>
        <v/>
      </c>
      <c r="Q348" s="155"/>
      <c r="R348" s="155"/>
      <c r="S348" s="144"/>
      <c r="T348" s="159" t="str">
        <f>IF(S348&lt;&gt;"User Specified",IF(AND(S348&lt;&gt;"User Specified",S348&lt;&gt;""), INDEX('Refrigerant GWPs'!$G$2:$G$154,MATCH(S348,'Refrigerant GWPs'!$A$2:$A$154,0)),""),V348)</f>
        <v/>
      </c>
      <c r="U348" s="144"/>
      <c r="V348" s="144"/>
      <c r="W348" s="155"/>
      <c r="X348" s="155"/>
      <c r="Y348" s="144"/>
      <c r="Z348" s="159" t="str">
        <f>IF(AND(Y348&lt;&gt;"User Specified",Y348&lt;&gt;""), INDEX('Refrigerant GWPs'!$G$2:$G$154,MATCH(Y348,'Refrigerant GWPs'!$A$2:$A$154,0)),"")</f>
        <v/>
      </c>
      <c r="AA348" s="155"/>
      <c r="AB348" s="156"/>
      <c r="AC348" s="66"/>
      <c r="AD348" s="66"/>
      <c r="AE348" s="66"/>
      <c r="AF348" s="66"/>
      <c r="AG348" s="66"/>
      <c r="AH348" s="66"/>
      <c r="AI348" s="34"/>
      <c r="AJ348" s="88">
        <f t="shared" si="446"/>
        <v>0</v>
      </c>
      <c r="AK348" s="88">
        <f t="shared" si="447"/>
        <v>0</v>
      </c>
      <c r="AL348" s="88">
        <v>0</v>
      </c>
      <c r="AM348" s="88">
        <v>0</v>
      </c>
      <c r="AN348" s="81" t="str">
        <f t="shared" si="485"/>
        <v/>
      </c>
      <c r="AO348" s="88">
        <f t="shared" si="448"/>
        <v>0</v>
      </c>
      <c r="AP348" s="88">
        <f t="shared" si="449"/>
        <v>0</v>
      </c>
      <c r="AQ348" s="81" t="str">
        <f t="shared" si="450"/>
        <v/>
      </c>
      <c r="AS348" s="41" t="b">
        <f t="shared" si="451"/>
        <v>1</v>
      </c>
      <c r="AT348" s="38">
        <f t="shared" si="452"/>
        <v>0</v>
      </c>
      <c r="AU348" s="60">
        <f t="shared" si="453"/>
        <v>0</v>
      </c>
      <c r="AV348" s="41">
        <f t="shared" si="454"/>
        <v>0</v>
      </c>
      <c r="AW348" s="41" t="b">
        <f t="shared" si="455"/>
        <v>0</v>
      </c>
      <c r="AX348" t="str">
        <f t="shared" si="456"/>
        <v>+00</v>
      </c>
      <c r="AY348" t="str">
        <f t="shared" si="457"/>
        <v>+00</v>
      </c>
      <c r="BA348" s="47" t="b">
        <f t="shared" si="486"/>
        <v>1</v>
      </c>
      <c r="BB348" s="42" t="b">
        <f t="shared" si="487"/>
        <v>1</v>
      </c>
      <c r="BC348" s="42" t="b">
        <f t="shared" si="488"/>
        <v>0</v>
      </c>
      <c r="BD348" s="42" t="b">
        <f t="shared" si="489"/>
        <v>0</v>
      </c>
      <c r="BE348" s="70">
        <f t="shared" si="490"/>
        <v>0</v>
      </c>
      <c r="BF348" s="70">
        <f t="shared" si="491"/>
        <v>0</v>
      </c>
      <c r="BG348" s="34"/>
      <c r="BI348" s="47" t="b">
        <f t="shared" si="492"/>
        <v>1</v>
      </c>
      <c r="BJ348" s="47" t="b">
        <f t="shared" si="493"/>
        <v>1</v>
      </c>
      <c r="BK348" s="42" t="b">
        <f t="shared" si="494"/>
        <v>0</v>
      </c>
      <c r="BL348" s="42" t="b">
        <f t="shared" si="495"/>
        <v>0</v>
      </c>
      <c r="BM348" s="42">
        <f t="shared" si="496"/>
        <v>0</v>
      </c>
      <c r="BN348" s="42">
        <f t="shared" si="497"/>
        <v>0</v>
      </c>
      <c r="BP348" t="e">
        <f t="shared" si="498"/>
        <v>#N/A</v>
      </c>
      <c r="BQ348" t="e">
        <f t="shared" si="499"/>
        <v>#N/A</v>
      </c>
      <c r="BR348" t="e">
        <f t="shared" si="500"/>
        <v>#N/A</v>
      </c>
      <c r="BT348" s="60">
        <f t="shared" si="501"/>
        <v>0</v>
      </c>
      <c r="BU348" s="60">
        <f t="shared" si="502"/>
        <v>0</v>
      </c>
      <c r="BV348" s="60">
        <f t="shared" si="503"/>
        <v>0</v>
      </c>
      <c r="BW348" s="60">
        <f t="shared" si="504"/>
        <v>0</v>
      </c>
      <c r="BX348" s="60">
        <f t="shared" si="505"/>
        <v>0</v>
      </c>
      <c r="BY348" s="60">
        <f t="shared" si="506"/>
        <v>0</v>
      </c>
      <c r="BZ348" s="60">
        <f t="shared" si="507"/>
        <v>0</v>
      </c>
      <c r="CA348" s="60">
        <f t="shared" si="508"/>
        <v>0</v>
      </c>
      <c r="CB348" s="60" t="e">
        <f t="shared" si="458"/>
        <v>#N/A</v>
      </c>
      <c r="CC348" s="60">
        <f t="shared" si="459"/>
        <v>100000</v>
      </c>
      <c r="CD348" s="60" t="e">
        <f t="shared" si="460"/>
        <v>#N/A</v>
      </c>
      <c r="CE348" s="60">
        <f t="shared" si="461"/>
        <v>100000</v>
      </c>
      <c r="CF348" s="83" t="e">
        <f t="shared" si="509"/>
        <v>#N/A</v>
      </c>
      <c r="CG348" s="83">
        <f t="shared" si="510"/>
        <v>0</v>
      </c>
      <c r="CH348" s="83" t="e">
        <f t="shared" si="511"/>
        <v>#N/A</v>
      </c>
      <c r="CI348" s="83">
        <f t="shared" si="512"/>
        <v>0</v>
      </c>
      <c r="CJ348" s="86" t="e">
        <f t="shared" si="462"/>
        <v>#N/A</v>
      </c>
      <c r="CK348" s="82">
        <f t="shared" si="463"/>
        <v>5.3070370403969858E-3</v>
      </c>
      <c r="CL348" s="82" t="e">
        <f t="shared" si="464"/>
        <v>#N/A</v>
      </c>
      <c r="CM348" s="82">
        <f t="shared" si="465"/>
        <v>5.3070370403969858E-3</v>
      </c>
      <c r="CO348" s="149" t="str">
        <f>IF($I348&lt;&gt;"",IF(O348="User Specified",U348,INDEX('Refrigerant GWPs'!$G$2:$G$156,MATCH(O348,'Refrigerant GWPs'!$A$2:$A$156,0))),"")</f>
        <v/>
      </c>
      <c r="CP348" s="138" t="str">
        <f>IF($I348&lt;&gt;"",INDEX('Device Refrigerant Leakage'!$E$2:$E$42,MATCH($M348,'Device Refrigerant Leakage'!$B$2:$B$42,0)),"")</f>
        <v/>
      </c>
      <c r="CQ348" s="138" t="str">
        <f>IF($I348&lt;&gt;"",INDEX('Device Refrigerant Leakage'!$F$2:$F$42,MATCH($M348,'Device Refrigerant Leakage'!$B$2:$B$42,0)),"")</f>
        <v/>
      </c>
      <c r="CR348" s="145" t="str">
        <f>IF($I348&lt;&gt;"",INDEX('Device Refrigerant Leakage'!$G$2:$G$42,MATCH($M348,'Device Refrigerant Leakage'!$B$2:$B$42,0)),"")</f>
        <v/>
      </c>
      <c r="CS348" s="145" t="str">
        <f>IF($I348&lt;&gt;"",INDEX('Device Refrigerant Leakage'!$D$2:$D$42,MATCH($M348,'Device Refrigerant Leakage'!$B$2:$B$42,0))*CP348/2204.62*CO348,"")</f>
        <v/>
      </c>
      <c r="CT348" s="145" t="str">
        <f>IF($I348&lt;&gt;"",J348*(INDEX('Device Refrigerant Leakage'!$D$2:$D$42,MATCH($M348,'Device Refrigerant Leakage'!$B$2:$B$42,0))-(INDEX('Device Refrigerant Leakage'!$D$2:$D$42,MATCH($M348,'Device Refrigerant Leakage'!$B$2:$B$42,0)))*CR348*CP348)*CQ348/2204.62*CO348,"")</f>
        <v/>
      </c>
      <c r="CU348" s="135" t="str">
        <f>IF($I348&lt;&gt;"",J348*IF(W348&lt;&gt;"AR",(CS348*K348)+CT348,(CS348*AB348)+CT348*(AB348/INDEX('Device Refrigerant Leakage'!$C$2:$C$42,MATCH($M348,'Device Refrigerant Leakage'!$B$2:$B$42,0)))),"")</f>
        <v/>
      </c>
      <c r="CW348" s="135" t="str">
        <f>IF($I348&lt;&gt;"",IF(S348="User Specified",V348,INDEX('Refrigerant GWPs'!$G$2:$G$156,MATCH(S348,'Refrigerant GWPs'!$A$2:$A$157,0))),"")</f>
        <v/>
      </c>
      <c r="CX348" s="138" t="str">
        <f>IF($I348&lt;&gt;"",INDEX('Device Refrigerant Leakage'!$E$2:$E$42,MATCH($Q348,'Device Refrigerant Leakage'!$B$2:$B$42,0)),"")</f>
        <v/>
      </c>
      <c r="CY348" s="138" t="str">
        <f>IF($I348&lt;&gt;"",INDEX('Device Refrigerant Leakage'!$F$2:$F$42,MATCH($Q348,'Device Refrigerant Leakage'!$B$2:$B$42,0)),"")</f>
        <v/>
      </c>
      <c r="CZ348" s="145" t="str">
        <f>IF($I348&lt;&gt;"",INDEX('Device Refrigerant Leakage'!$G$2:$G$42,MATCH($Q348,'Device Refrigerant Leakage'!$B$2:$B$42,0)),"")</f>
        <v/>
      </c>
      <c r="DA348" s="145" t="str">
        <f>IF($I348&lt;&gt;"",J348*INDEX('Device Refrigerant Leakage'!$D$2:$D$42,MATCH($Q348,'Device Refrigerant Leakage'!$B$2:$B$42,0))*CX348/2204.62*CW348,"")</f>
        <v/>
      </c>
      <c r="DB348" s="145" t="str">
        <f>IF($I348&lt;&gt;"",J348*(INDEX('Device Refrigerant Leakage'!$D$2:$D$42,MATCH($Q348,'Device Refrigerant Leakage'!$B$2:$B$42,0))-(INDEX('Device Refrigerant Leakage'!$D$2:$D$42,MATCH($Q348,'Device Refrigerant Leakage'!$B$2:$B$42,0)))*CZ348*CX348)*CY348/2204.62*CW348,"")</f>
        <v/>
      </c>
      <c r="DC348" s="135" t="str">
        <f t="shared" si="484"/>
        <v/>
      </c>
      <c r="DE348" s="146" t="str">
        <f>IF(W348&lt;&gt;"AR","",IF(Y348="User Specified", AA348, INDEX('Refrigerant GWPs'!$G$2:$G$154,MATCH(Y348,'Refrigerant GWPs'!$A$2:$A$154,0))))</f>
        <v/>
      </c>
      <c r="DF348" s="146" t="str">
        <f>IF(W348&lt;&gt;"AR","",INDEX('Device Refrigerant Leakage'!$E$2:$E$42,MATCH(X348,'Device Refrigerant Leakage'!$B$2:$B$42,0)))</f>
        <v/>
      </c>
      <c r="DG348" s="146" t="str">
        <f>IF(W348&lt;&gt;"AR","",INDEX('Device Refrigerant Leakage'!$F$2:$F$42,MATCH(X348,'Device Refrigerant Leakage'!$B$2:$B$42,0)))</f>
        <v/>
      </c>
      <c r="DH348" s="146" t="str">
        <f>IF(W348&lt;&gt;"AR","",INDEX('Device Refrigerant Leakage'!$G$2:$G$42,MATCH(X348,'Device Refrigerant Leakage'!$B$2:$B$42,0)))</f>
        <v/>
      </c>
      <c r="DI348" s="146" t="str">
        <f>IF(W348&lt;&gt;"AR","",J348*INDEX('Device Refrigerant Leakage'!$D$2:$D$42,MATCH(X348,'Device Refrigerant Leakage'!$B$2:$B$42,0))*DF348/2204.62*DE348)</f>
        <v/>
      </c>
      <c r="DJ348" s="146" t="str">
        <f>IF(W348&lt;&gt;"AR","",J348*(INDEX('Device Refrigerant Leakage'!$D$2:$D$42,MATCH(X348,'Device Refrigerant Leakage'!$B$2:$B$42,0))-(INDEX('Device Refrigerant Leakage'!$D$2:$D$42,MATCH(X348,'Device Refrigerant Leakage'!$B$2:$B$42,0)))*DH348*DF348)*DG348/2204.62*DE348)</f>
        <v/>
      </c>
      <c r="DK348" s="146" t="str">
        <f>IF(W348&lt;&gt;"AR","",DI348*(K348-AB348)+'Fuel Sub Calcs-Deemed'!DJ348*((K348-AB348)/INDEX('Device Refrigerant Leakage'!$C$2:$C$42,MATCH('Fuel Sub Calcs-Deemed'!X348,'Device Refrigerant Leakage'!$B$2:$B$42,0))))</f>
        <v/>
      </c>
      <c r="DM348" s="56">
        <v>334</v>
      </c>
      <c r="DN348" s="67" t="e">
        <f t="shared" si="466"/>
        <v>#N/A</v>
      </c>
      <c r="DO348" s="45" t="e">
        <f t="shared" si="467"/>
        <v>#N/A</v>
      </c>
      <c r="DP348" s="67" t="e">
        <f t="shared" si="468"/>
        <v>#N/A</v>
      </c>
      <c r="DQ348" s="45" t="e">
        <f t="shared" si="469"/>
        <v>#N/A</v>
      </c>
      <c r="DR348" s="69" t="e">
        <f t="shared" si="470"/>
        <v>#N/A</v>
      </c>
      <c r="DS348" s="34"/>
      <c r="DT348" s="67" t="e">
        <f>((BX348*CJ348)+IF($W348=MAT_AR,(BZ348*CL348),0))*(1+Reference!$E$50+Reference!$E$51)</f>
        <v>#N/A</v>
      </c>
      <c r="DU348" s="67">
        <f>((BY348*CK348)+IF($W348=MAT_AR,(CA348*CM348),0))*(1+Reference!$G$50+Reference!$G$51)</f>
        <v>0</v>
      </c>
      <c r="DV348" s="67" t="e">
        <f t="shared" si="471"/>
        <v>#VALUE!</v>
      </c>
      <c r="DX348" s="56">
        <v>334</v>
      </c>
      <c r="DY348" s="67">
        <f t="shared" si="472"/>
        <v>0</v>
      </c>
      <c r="DZ348" s="45" t="e">
        <f>VLOOKUP($R348,Dropdown!$C$3:$D$4,2,FALSE)</f>
        <v>#N/A</v>
      </c>
      <c r="EA348" s="68">
        <f t="shared" si="473"/>
        <v>0</v>
      </c>
      <c r="EB348" s="68" t="str">
        <f t="shared" si="474"/>
        <v>N/A</v>
      </c>
      <c r="EC348" s="68">
        <f t="shared" si="475"/>
        <v>0</v>
      </c>
      <c r="ED348" s="68" t="str">
        <f t="shared" si="513"/>
        <v>N/A</v>
      </c>
      <c r="EF348" s="56">
        <v>334</v>
      </c>
      <c r="EG348" s="46">
        <f t="shared" si="476"/>
        <v>0</v>
      </c>
      <c r="EH348" s="68" t="e">
        <f t="shared" si="477"/>
        <v>#N/A</v>
      </c>
      <c r="EI348" s="68" t="e">
        <f t="shared" si="478"/>
        <v>#N/A</v>
      </c>
      <c r="EJ348" s="68" t="e">
        <f t="shared" si="479"/>
        <v>#N/A</v>
      </c>
      <c r="EK348" s="68" t="e">
        <f t="shared" si="480"/>
        <v>#N/A</v>
      </c>
      <c r="EL348" s="46">
        <f t="shared" si="481"/>
        <v>0</v>
      </c>
      <c r="EM348" s="46">
        <f t="shared" si="482"/>
        <v>0</v>
      </c>
    </row>
    <row r="349" spans="1:143">
      <c r="A349" s="89"/>
      <c r="B349" s="89"/>
      <c r="C349" s="89"/>
      <c r="D349" s="89"/>
      <c r="E349" s="89"/>
      <c r="F349" s="89"/>
      <c r="G349" s="34"/>
      <c r="H349" s="56">
        <f t="shared" si="483"/>
        <v>335</v>
      </c>
      <c r="I349" s="165"/>
      <c r="J349" s="163"/>
      <c r="K349" s="163"/>
      <c r="L349" s="164"/>
      <c r="M349" s="155"/>
      <c r="N349" s="155"/>
      <c r="O349" s="144"/>
      <c r="P349" s="159" t="str">
        <f>IFERROR(IF(O349&lt;&gt;"User Specified",IF(O349&lt;&gt;"", INDEX('Refrigerant GWPs'!$G$2:$G$154,MATCH(O349,'Refrigerant GWPs'!$A$2:$A$154,0)),""),U349),0)</f>
        <v/>
      </c>
      <c r="Q349" s="155"/>
      <c r="R349" s="155"/>
      <c r="S349" s="144"/>
      <c r="T349" s="159" t="str">
        <f>IF(S349&lt;&gt;"User Specified",IF(AND(S349&lt;&gt;"User Specified",S349&lt;&gt;""), INDEX('Refrigerant GWPs'!$G$2:$G$154,MATCH(S349,'Refrigerant GWPs'!$A$2:$A$154,0)),""),V349)</f>
        <v/>
      </c>
      <c r="U349" s="144"/>
      <c r="V349" s="144"/>
      <c r="W349" s="155"/>
      <c r="X349" s="155"/>
      <c r="Y349" s="144"/>
      <c r="Z349" s="159" t="str">
        <f>IF(AND(Y349&lt;&gt;"User Specified",Y349&lt;&gt;""), INDEX('Refrigerant GWPs'!$G$2:$G$154,MATCH(Y349,'Refrigerant GWPs'!$A$2:$A$154,0)),"")</f>
        <v/>
      </c>
      <c r="AA349" s="155"/>
      <c r="AB349" s="156"/>
      <c r="AC349" s="66"/>
      <c r="AD349" s="66"/>
      <c r="AE349" s="66"/>
      <c r="AF349" s="66"/>
      <c r="AG349" s="66"/>
      <c r="AH349" s="66"/>
      <c r="AI349" s="34"/>
      <c r="AJ349" s="88">
        <f t="shared" si="446"/>
        <v>0</v>
      </c>
      <c r="AK349" s="88">
        <f t="shared" si="447"/>
        <v>0</v>
      </c>
      <c r="AL349" s="88">
        <v>0</v>
      </c>
      <c r="AM349" s="88">
        <v>0</v>
      </c>
      <c r="AN349" s="81" t="str">
        <f t="shared" si="485"/>
        <v/>
      </c>
      <c r="AO349" s="88">
        <f t="shared" si="448"/>
        <v>0</v>
      </c>
      <c r="AP349" s="88">
        <f t="shared" si="449"/>
        <v>0</v>
      </c>
      <c r="AQ349" s="81" t="str">
        <f t="shared" si="450"/>
        <v/>
      </c>
      <c r="AS349" s="41" t="b">
        <f t="shared" si="451"/>
        <v>1</v>
      </c>
      <c r="AT349" s="38">
        <f t="shared" si="452"/>
        <v>0</v>
      </c>
      <c r="AU349" s="60">
        <f t="shared" si="453"/>
        <v>0</v>
      </c>
      <c r="AV349" s="41">
        <f t="shared" si="454"/>
        <v>0</v>
      </c>
      <c r="AW349" s="41" t="b">
        <f t="shared" si="455"/>
        <v>0</v>
      </c>
      <c r="AX349" t="str">
        <f t="shared" si="456"/>
        <v>+00</v>
      </c>
      <c r="AY349" t="str">
        <f t="shared" si="457"/>
        <v>+00</v>
      </c>
      <c r="BA349" s="47" t="b">
        <f t="shared" si="486"/>
        <v>1</v>
      </c>
      <c r="BB349" s="42" t="b">
        <f t="shared" si="487"/>
        <v>1</v>
      </c>
      <c r="BC349" s="42" t="b">
        <f t="shared" si="488"/>
        <v>0</v>
      </c>
      <c r="BD349" s="42" t="b">
        <f t="shared" si="489"/>
        <v>0</v>
      </c>
      <c r="BE349" s="70">
        <f t="shared" si="490"/>
        <v>0</v>
      </c>
      <c r="BF349" s="70">
        <f t="shared" si="491"/>
        <v>0</v>
      </c>
      <c r="BG349" s="34"/>
      <c r="BI349" s="47" t="b">
        <f t="shared" si="492"/>
        <v>1</v>
      </c>
      <c r="BJ349" s="47" t="b">
        <f t="shared" si="493"/>
        <v>1</v>
      </c>
      <c r="BK349" s="42" t="b">
        <f t="shared" si="494"/>
        <v>0</v>
      </c>
      <c r="BL349" s="42" t="b">
        <f t="shared" si="495"/>
        <v>0</v>
      </c>
      <c r="BM349" s="42">
        <f t="shared" si="496"/>
        <v>0</v>
      </c>
      <c r="BN349" s="42">
        <f t="shared" si="497"/>
        <v>0</v>
      </c>
      <c r="BP349" t="e">
        <f t="shared" si="498"/>
        <v>#N/A</v>
      </c>
      <c r="BQ349" t="e">
        <f t="shared" si="499"/>
        <v>#N/A</v>
      </c>
      <c r="BR349" t="e">
        <f t="shared" si="500"/>
        <v>#N/A</v>
      </c>
      <c r="BT349" s="60">
        <f t="shared" si="501"/>
        <v>0</v>
      </c>
      <c r="BU349" s="60">
        <f t="shared" si="502"/>
        <v>0</v>
      </c>
      <c r="BV349" s="60">
        <f t="shared" si="503"/>
        <v>0</v>
      </c>
      <c r="BW349" s="60">
        <f t="shared" si="504"/>
        <v>0</v>
      </c>
      <c r="BX349" s="60">
        <f t="shared" si="505"/>
        <v>0</v>
      </c>
      <c r="BY349" s="60">
        <f t="shared" si="506"/>
        <v>0</v>
      </c>
      <c r="BZ349" s="60">
        <f t="shared" si="507"/>
        <v>0</v>
      </c>
      <c r="CA349" s="60">
        <f t="shared" si="508"/>
        <v>0</v>
      </c>
      <c r="CB349" s="60" t="e">
        <f t="shared" si="458"/>
        <v>#N/A</v>
      </c>
      <c r="CC349" s="60">
        <f t="shared" si="459"/>
        <v>100000</v>
      </c>
      <c r="CD349" s="60" t="e">
        <f t="shared" si="460"/>
        <v>#N/A</v>
      </c>
      <c r="CE349" s="60">
        <f t="shared" si="461"/>
        <v>100000</v>
      </c>
      <c r="CF349" s="83" t="e">
        <f t="shared" si="509"/>
        <v>#N/A</v>
      </c>
      <c r="CG349" s="83">
        <f t="shared" si="510"/>
        <v>0</v>
      </c>
      <c r="CH349" s="83" t="e">
        <f t="shared" si="511"/>
        <v>#N/A</v>
      </c>
      <c r="CI349" s="83">
        <f t="shared" si="512"/>
        <v>0</v>
      </c>
      <c r="CJ349" s="86" t="e">
        <f t="shared" si="462"/>
        <v>#N/A</v>
      </c>
      <c r="CK349" s="82">
        <f t="shared" si="463"/>
        <v>5.3070370403969858E-3</v>
      </c>
      <c r="CL349" s="82" t="e">
        <f t="shared" si="464"/>
        <v>#N/A</v>
      </c>
      <c r="CM349" s="82">
        <f t="shared" si="465"/>
        <v>5.3070370403969858E-3</v>
      </c>
      <c r="CO349" s="149" t="str">
        <f>IF($I349&lt;&gt;"",IF(O349="User Specified",U349,INDEX('Refrigerant GWPs'!$G$2:$G$156,MATCH(O349,'Refrigerant GWPs'!$A$2:$A$156,0))),"")</f>
        <v/>
      </c>
      <c r="CP349" s="138" t="str">
        <f>IF($I349&lt;&gt;"",INDEX('Device Refrigerant Leakage'!$E$2:$E$42,MATCH($M349,'Device Refrigerant Leakage'!$B$2:$B$42,0)),"")</f>
        <v/>
      </c>
      <c r="CQ349" s="138" t="str">
        <f>IF($I349&lt;&gt;"",INDEX('Device Refrigerant Leakage'!$F$2:$F$42,MATCH($M349,'Device Refrigerant Leakage'!$B$2:$B$42,0)),"")</f>
        <v/>
      </c>
      <c r="CR349" s="145" t="str">
        <f>IF($I349&lt;&gt;"",INDEX('Device Refrigerant Leakage'!$G$2:$G$42,MATCH($M349,'Device Refrigerant Leakage'!$B$2:$B$42,0)),"")</f>
        <v/>
      </c>
      <c r="CS349" s="145" t="str">
        <f>IF($I349&lt;&gt;"",INDEX('Device Refrigerant Leakage'!$D$2:$D$42,MATCH($M349,'Device Refrigerant Leakage'!$B$2:$B$42,0))*CP349/2204.62*CO349,"")</f>
        <v/>
      </c>
      <c r="CT349" s="145" t="str">
        <f>IF($I349&lt;&gt;"",J349*(INDEX('Device Refrigerant Leakage'!$D$2:$D$42,MATCH($M349,'Device Refrigerant Leakage'!$B$2:$B$42,0))-(INDEX('Device Refrigerant Leakage'!$D$2:$D$42,MATCH($M349,'Device Refrigerant Leakage'!$B$2:$B$42,0)))*CR349*CP349)*CQ349/2204.62*CO349,"")</f>
        <v/>
      </c>
      <c r="CU349" s="135" t="str">
        <f>IF($I349&lt;&gt;"",J349*IF(W349&lt;&gt;"AR",(CS349*K349)+CT349,(CS349*AB349)+CT349*(AB349/INDEX('Device Refrigerant Leakage'!$C$2:$C$42,MATCH($M349,'Device Refrigerant Leakage'!$B$2:$B$42,0)))),"")</f>
        <v/>
      </c>
      <c r="CW349" s="135" t="str">
        <f>IF($I349&lt;&gt;"",IF(S349="User Specified",V349,INDEX('Refrigerant GWPs'!$G$2:$G$156,MATCH(S349,'Refrigerant GWPs'!$A$2:$A$157,0))),"")</f>
        <v/>
      </c>
      <c r="CX349" s="138" t="str">
        <f>IF($I349&lt;&gt;"",INDEX('Device Refrigerant Leakage'!$E$2:$E$42,MATCH($Q349,'Device Refrigerant Leakage'!$B$2:$B$42,0)),"")</f>
        <v/>
      </c>
      <c r="CY349" s="138" t="str">
        <f>IF($I349&lt;&gt;"",INDEX('Device Refrigerant Leakage'!$F$2:$F$42,MATCH($Q349,'Device Refrigerant Leakage'!$B$2:$B$42,0)),"")</f>
        <v/>
      </c>
      <c r="CZ349" s="145" t="str">
        <f>IF($I349&lt;&gt;"",INDEX('Device Refrigerant Leakage'!$G$2:$G$42,MATCH($Q349,'Device Refrigerant Leakage'!$B$2:$B$42,0)),"")</f>
        <v/>
      </c>
      <c r="DA349" s="145" t="str">
        <f>IF($I349&lt;&gt;"",J349*INDEX('Device Refrigerant Leakage'!$D$2:$D$42,MATCH($Q349,'Device Refrigerant Leakage'!$B$2:$B$42,0))*CX349/2204.62*CW349,"")</f>
        <v/>
      </c>
      <c r="DB349" s="145" t="str">
        <f>IF($I349&lt;&gt;"",J349*(INDEX('Device Refrigerant Leakage'!$D$2:$D$42,MATCH($Q349,'Device Refrigerant Leakage'!$B$2:$B$42,0))-(INDEX('Device Refrigerant Leakage'!$D$2:$D$42,MATCH($Q349,'Device Refrigerant Leakage'!$B$2:$B$42,0)))*CZ349*CX349)*CY349/2204.62*CW349,"")</f>
        <v/>
      </c>
      <c r="DC349" s="135" t="str">
        <f t="shared" si="484"/>
        <v/>
      </c>
      <c r="DE349" s="146" t="str">
        <f>IF(W349&lt;&gt;"AR","",IF(Y349="User Specified", AA349, INDEX('Refrigerant GWPs'!$G$2:$G$154,MATCH(Y349,'Refrigerant GWPs'!$A$2:$A$154,0))))</f>
        <v/>
      </c>
      <c r="DF349" s="146" t="str">
        <f>IF(W349&lt;&gt;"AR","",INDEX('Device Refrigerant Leakage'!$E$2:$E$42,MATCH(X349,'Device Refrigerant Leakage'!$B$2:$B$42,0)))</f>
        <v/>
      </c>
      <c r="DG349" s="146" t="str">
        <f>IF(W349&lt;&gt;"AR","",INDEX('Device Refrigerant Leakage'!$F$2:$F$42,MATCH(X349,'Device Refrigerant Leakage'!$B$2:$B$42,0)))</f>
        <v/>
      </c>
      <c r="DH349" s="146" t="str">
        <f>IF(W349&lt;&gt;"AR","",INDEX('Device Refrigerant Leakage'!$G$2:$G$42,MATCH(X349,'Device Refrigerant Leakage'!$B$2:$B$42,0)))</f>
        <v/>
      </c>
      <c r="DI349" s="146" t="str">
        <f>IF(W349&lt;&gt;"AR","",J349*INDEX('Device Refrigerant Leakage'!$D$2:$D$42,MATCH(X349,'Device Refrigerant Leakage'!$B$2:$B$42,0))*DF349/2204.62*DE349)</f>
        <v/>
      </c>
      <c r="DJ349" s="146" t="str">
        <f>IF(W349&lt;&gt;"AR","",J349*(INDEX('Device Refrigerant Leakage'!$D$2:$D$42,MATCH(X349,'Device Refrigerant Leakage'!$B$2:$B$42,0))-(INDEX('Device Refrigerant Leakage'!$D$2:$D$42,MATCH(X349,'Device Refrigerant Leakage'!$B$2:$B$42,0)))*DH349*DF349)*DG349/2204.62*DE349)</f>
        <v/>
      </c>
      <c r="DK349" s="146" t="str">
        <f>IF(W349&lt;&gt;"AR","",DI349*(K349-AB349)+'Fuel Sub Calcs-Deemed'!DJ349*((K349-AB349)/INDEX('Device Refrigerant Leakage'!$C$2:$C$42,MATCH('Fuel Sub Calcs-Deemed'!X349,'Device Refrigerant Leakage'!$B$2:$B$42,0))))</f>
        <v/>
      </c>
      <c r="DM349" s="56">
        <v>335</v>
      </c>
      <c r="DN349" s="67" t="e">
        <f t="shared" si="466"/>
        <v>#N/A</v>
      </c>
      <c r="DO349" s="45" t="e">
        <f t="shared" si="467"/>
        <v>#N/A</v>
      </c>
      <c r="DP349" s="67" t="e">
        <f t="shared" si="468"/>
        <v>#N/A</v>
      </c>
      <c r="DQ349" s="45" t="e">
        <f t="shared" si="469"/>
        <v>#N/A</v>
      </c>
      <c r="DR349" s="69" t="e">
        <f t="shared" si="470"/>
        <v>#N/A</v>
      </c>
      <c r="DS349" s="34"/>
      <c r="DT349" s="67" t="e">
        <f>((BX349*CJ349)+IF($W349=MAT_AR,(BZ349*CL349),0))*(1+Reference!$E$50+Reference!$E$51)</f>
        <v>#N/A</v>
      </c>
      <c r="DU349" s="67">
        <f>((BY349*CK349)+IF($W349=MAT_AR,(CA349*CM349),0))*(1+Reference!$G$50+Reference!$G$51)</f>
        <v>0</v>
      </c>
      <c r="DV349" s="67" t="e">
        <f t="shared" si="471"/>
        <v>#VALUE!</v>
      </c>
      <c r="DX349" s="56">
        <v>335</v>
      </c>
      <c r="DY349" s="67">
        <f t="shared" si="472"/>
        <v>0</v>
      </c>
      <c r="DZ349" s="45" t="e">
        <f>VLOOKUP($R349,Dropdown!$C$3:$D$4,2,FALSE)</f>
        <v>#N/A</v>
      </c>
      <c r="EA349" s="68">
        <f t="shared" si="473"/>
        <v>0</v>
      </c>
      <c r="EB349" s="68" t="str">
        <f t="shared" si="474"/>
        <v>N/A</v>
      </c>
      <c r="EC349" s="68">
        <f t="shared" si="475"/>
        <v>0</v>
      </c>
      <c r="ED349" s="68" t="str">
        <f t="shared" si="513"/>
        <v>N/A</v>
      </c>
      <c r="EF349" s="56">
        <v>335</v>
      </c>
      <c r="EG349" s="46">
        <f t="shared" si="476"/>
        <v>0</v>
      </c>
      <c r="EH349" s="68" t="e">
        <f t="shared" si="477"/>
        <v>#N/A</v>
      </c>
      <c r="EI349" s="68" t="e">
        <f t="shared" si="478"/>
        <v>#N/A</v>
      </c>
      <c r="EJ349" s="68" t="e">
        <f t="shared" si="479"/>
        <v>#N/A</v>
      </c>
      <c r="EK349" s="68" t="e">
        <f t="shared" si="480"/>
        <v>#N/A</v>
      </c>
      <c r="EL349" s="46">
        <f t="shared" si="481"/>
        <v>0</v>
      </c>
      <c r="EM349" s="46">
        <f t="shared" si="482"/>
        <v>0</v>
      </c>
    </row>
    <row r="350" spans="1:143">
      <c r="A350" s="89"/>
      <c r="B350" s="89"/>
      <c r="C350" s="89"/>
      <c r="D350" s="89"/>
      <c r="E350" s="89"/>
      <c r="F350" s="89"/>
      <c r="G350" s="34"/>
      <c r="H350" s="56">
        <f t="shared" si="483"/>
        <v>336</v>
      </c>
      <c r="I350" s="165"/>
      <c r="J350" s="163"/>
      <c r="K350" s="163"/>
      <c r="L350" s="164"/>
      <c r="M350" s="155"/>
      <c r="N350" s="155"/>
      <c r="O350" s="144"/>
      <c r="P350" s="159" t="str">
        <f>IFERROR(IF(O350&lt;&gt;"User Specified",IF(O350&lt;&gt;"", INDEX('Refrigerant GWPs'!$G$2:$G$154,MATCH(O350,'Refrigerant GWPs'!$A$2:$A$154,0)),""),U350),0)</f>
        <v/>
      </c>
      <c r="Q350" s="155"/>
      <c r="R350" s="155"/>
      <c r="S350" s="144"/>
      <c r="T350" s="159" t="str">
        <f>IF(S350&lt;&gt;"User Specified",IF(AND(S350&lt;&gt;"User Specified",S350&lt;&gt;""), INDEX('Refrigerant GWPs'!$G$2:$G$154,MATCH(S350,'Refrigerant GWPs'!$A$2:$A$154,0)),""),V350)</f>
        <v/>
      </c>
      <c r="U350" s="144"/>
      <c r="V350" s="144"/>
      <c r="W350" s="155"/>
      <c r="X350" s="155"/>
      <c r="Y350" s="144"/>
      <c r="Z350" s="159" t="str">
        <f>IF(AND(Y350&lt;&gt;"User Specified",Y350&lt;&gt;""), INDEX('Refrigerant GWPs'!$G$2:$G$154,MATCH(Y350,'Refrigerant GWPs'!$A$2:$A$154,0)),"")</f>
        <v/>
      </c>
      <c r="AA350" s="155"/>
      <c r="AB350" s="156"/>
      <c r="AC350" s="66"/>
      <c r="AD350" s="66"/>
      <c r="AE350" s="66"/>
      <c r="AF350" s="66"/>
      <c r="AG350" s="66"/>
      <c r="AH350" s="66"/>
      <c r="AI350" s="34"/>
      <c r="AJ350" s="88">
        <f t="shared" si="446"/>
        <v>0</v>
      </c>
      <c r="AK350" s="88">
        <f t="shared" si="447"/>
        <v>0</v>
      </c>
      <c r="AL350" s="88">
        <v>0</v>
      </c>
      <c r="AM350" s="88">
        <v>0</v>
      </c>
      <c r="AN350" s="81" t="str">
        <f t="shared" si="485"/>
        <v/>
      </c>
      <c r="AO350" s="88">
        <f t="shared" si="448"/>
        <v>0</v>
      </c>
      <c r="AP350" s="88">
        <f t="shared" si="449"/>
        <v>0</v>
      </c>
      <c r="AQ350" s="81" t="str">
        <f t="shared" si="450"/>
        <v/>
      </c>
      <c r="AS350" s="41" t="b">
        <f t="shared" si="451"/>
        <v>1</v>
      </c>
      <c r="AT350" s="38">
        <f t="shared" si="452"/>
        <v>0</v>
      </c>
      <c r="AU350" s="60">
        <f t="shared" si="453"/>
        <v>0</v>
      </c>
      <c r="AV350" s="41">
        <f t="shared" si="454"/>
        <v>0</v>
      </c>
      <c r="AW350" s="41" t="b">
        <f t="shared" si="455"/>
        <v>0</v>
      </c>
      <c r="AX350" t="str">
        <f t="shared" si="456"/>
        <v>+00</v>
      </c>
      <c r="AY350" t="str">
        <f t="shared" si="457"/>
        <v>+00</v>
      </c>
      <c r="BA350" s="47" t="b">
        <f t="shared" si="486"/>
        <v>1</v>
      </c>
      <c r="BB350" s="42" t="b">
        <f t="shared" si="487"/>
        <v>1</v>
      </c>
      <c r="BC350" s="42" t="b">
        <f t="shared" si="488"/>
        <v>0</v>
      </c>
      <c r="BD350" s="42" t="b">
        <f t="shared" si="489"/>
        <v>0</v>
      </c>
      <c r="BE350" s="70">
        <f t="shared" si="490"/>
        <v>0</v>
      </c>
      <c r="BF350" s="70">
        <f t="shared" si="491"/>
        <v>0</v>
      </c>
      <c r="BG350" s="34"/>
      <c r="BI350" s="47" t="b">
        <f t="shared" si="492"/>
        <v>1</v>
      </c>
      <c r="BJ350" s="47" t="b">
        <f t="shared" si="493"/>
        <v>1</v>
      </c>
      <c r="BK350" s="42" t="b">
        <f t="shared" si="494"/>
        <v>0</v>
      </c>
      <c r="BL350" s="42" t="b">
        <f t="shared" si="495"/>
        <v>0</v>
      </c>
      <c r="BM350" s="42">
        <f t="shared" si="496"/>
        <v>0</v>
      </c>
      <c r="BN350" s="42">
        <f t="shared" si="497"/>
        <v>0</v>
      </c>
      <c r="BP350" t="e">
        <f t="shared" si="498"/>
        <v>#N/A</v>
      </c>
      <c r="BQ350" t="e">
        <f t="shared" si="499"/>
        <v>#N/A</v>
      </c>
      <c r="BR350" t="e">
        <f t="shared" si="500"/>
        <v>#N/A</v>
      </c>
      <c r="BT350" s="60">
        <f t="shared" si="501"/>
        <v>0</v>
      </c>
      <c r="BU350" s="60">
        <f t="shared" si="502"/>
        <v>0</v>
      </c>
      <c r="BV350" s="60">
        <f t="shared" si="503"/>
        <v>0</v>
      </c>
      <c r="BW350" s="60">
        <f t="shared" si="504"/>
        <v>0</v>
      </c>
      <c r="BX350" s="60">
        <f t="shared" si="505"/>
        <v>0</v>
      </c>
      <c r="BY350" s="60">
        <f t="shared" si="506"/>
        <v>0</v>
      </c>
      <c r="BZ350" s="60">
        <f t="shared" si="507"/>
        <v>0</v>
      </c>
      <c r="CA350" s="60">
        <f t="shared" si="508"/>
        <v>0</v>
      </c>
      <c r="CB350" s="60" t="e">
        <f t="shared" si="458"/>
        <v>#N/A</v>
      </c>
      <c r="CC350" s="60">
        <f t="shared" si="459"/>
        <v>100000</v>
      </c>
      <c r="CD350" s="60" t="e">
        <f t="shared" si="460"/>
        <v>#N/A</v>
      </c>
      <c r="CE350" s="60">
        <f t="shared" si="461"/>
        <v>100000</v>
      </c>
      <c r="CF350" s="83" t="e">
        <f t="shared" si="509"/>
        <v>#N/A</v>
      </c>
      <c r="CG350" s="83">
        <f t="shared" si="510"/>
        <v>0</v>
      </c>
      <c r="CH350" s="83" t="e">
        <f t="shared" si="511"/>
        <v>#N/A</v>
      </c>
      <c r="CI350" s="83">
        <f t="shared" si="512"/>
        <v>0</v>
      </c>
      <c r="CJ350" s="86" t="e">
        <f t="shared" si="462"/>
        <v>#N/A</v>
      </c>
      <c r="CK350" s="82">
        <f t="shared" si="463"/>
        <v>5.3070370403969858E-3</v>
      </c>
      <c r="CL350" s="82" t="e">
        <f t="shared" si="464"/>
        <v>#N/A</v>
      </c>
      <c r="CM350" s="82">
        <f t="shared" si="465"/>
        <v>5.3070370403969858E-3</v>
      </c>
      <c r="CO350" s="149" t="str">
        <f>IF($I350&lt;&gt;"",IF(O350="User Specified",U350,INDEX('Refrigerant GWPs'!$G$2:$G$156,MATCH(O350,'Refrigerant GWPs'!$A$2:$A$156,0))),"")</f>
        <v/>
      </c>
      <c r="CP350" s="138" t="str">
        <f>IF($I350&lt;&gt;"",INDEX('Device Refrigerant Leakage'!$E$2:$E$42,MATCH($M350,'Device Refrigerant Leakage'!$B$2:$B$42,0)),"")</f>
        <v/>
      </c>
      <c r="CQ350" s="138" t="str">
        <f>IF($I350&lt;&gt;"",INDEX('Device Refrigerant Leakage'!$F$2:$F$42,MATCH($M350,'Device Refrigerant Leakage'!$B$2:$B$42,0)),"")</f>
        <v/>
      </c>
      <c r="CR350" s="145" t="str">
        <f>IF($I350&lt;&gt;"",INDEX('Device Refrigerant Leakage'!$G$2:$G$42,MATCH($M350,'Device Refrigerant Leakage'!$B$2:$B$42,0)),"")</f>
        <v/>
      </c>
      <c r="CS350" s="145" t="str">
        <f>IF($I350&lt;&gt;"",INDEX('Device Refrigerant Leakage'!$D$2:$D$42,MATCH($M350,'Device Refrigerant Leakage'!$B$2:$B$42,0))*CP350/2204.62*CO350,"")</f>
        <v/>
      </c>
      <c r="CT350" s="145" t="str">
        <f>IF($I350&lt;&gt;"",J350*(INDEX('Device Refrigerant Leakage'!$D$2:$D$42,MATCH($M350,'Device Refrigerant Leakage'!$B$2:$B$42,0))-(INDEX('Device Refrigerant Leakage'!$D$2:$D$42,MATCH($M350,'Device Refrigerant Leakage'!$B$2:$B$42,0)))*CR350*CP350)*CQ350/2204.62*CO350,"")</f>
        <v/>
      </c>
      <c r="CU350" s="135" t="str">
        <f>IF($I350&lt;&gt;"",J350*IF(W350&lt;&gt;"AR",(CS350*K350)+CT350,(CS350*AB350)+CT350*(AB350/INDEX('Device Refrigerant Leakage'!$C$2:$C$42,MATCH($M350,'Device Refrigerant Leakage'!$B$2:$B$42,0)))),"")</f>
        <v/>
      </c>
      <c r="CW350" s="135" t="str">
        <f>IF($I350&lt;&gt;"",IF(S350="User Specified",V350,INDEX('Refrigerant GWPs'!$G$2:$G$156,MATCH(S350,'Refrigerant GWPs'!$A$2:$A$157,0))),"")</f>
        <v/>
      </c>
      <c r="CX350" s="138" t="str">
        <f>IF($I350&lt;&gt;"",INDEX('Device Refrigerant Leakage'!$E$2:$E$42,MATCH($Q350,'Device Refrigerant Leakage'!$B$2:$B$42,0)),"")</f>
        <v/>
      </c>
      <c r="CY350" s="138" t="str">
        <f>IF($I350&lt;&gt;"",INDEX('Device Refrigerant Leakage'!$F$2:$F$42,MATCH($Q350,'Device Refrigerant Leakage'!$B$2:$B$42,0)),"")</f>
        <v/>
      </c>
      <c r="CZ350" s="145" t="str">
        <f>IF($I350&lt;&gt;"",INDEX('Device Refrigerant Leakage'!$G$2:$G$42,MATCH($Q350,'Device Refrigerant Leakage'!$B$2:$B$42,0)),"")</f>
        <v/>
      </c>
      <c r="DA350" s="145" t="str">
        <f>IF($I350&lt;&gt;"",J350*INDEX('Device Refrigerant Leakage'!$D$2:$D$42,MATCH($Q350,'Device Refrigerant Leakage'!$B$2:$B$42,0))*CX350/2204.62*CW350,"")</f>
        <v/>
      </c>
      <c r="DB350" s="145" t="str">
        <f>IF($I350&lt;&gt;"",J350*(INDEX('Device Refrigerant Leakage'!$D$2:$D$42,MATCH($Q350,'Device Refrigerant Leakage'!$B$2:$B$42,0))-(INDEX('Device Refrigerant Leakage'!$D$2:$D$42,MATCH($Q350,'Device Refrigerant Leakage'!$B$2:$B$42,0)))*CZ350*CX350)*CY350/2204.62*CW350,"")</f>
        <v/>
      </c>
      <c r="DC350" s="135" t="str">
        <f t="shared" si="484"/>
        <v/>
      </c>
      <c r="DE350" s="146" t="str">
        <f>IF(W350&lt;&gt;"AR","",IF(Y350="User Specified", AA350, INDEX('Refrigerant GWPs'!$G$2:$G$154,MATCH(Y350,'Refrigerant GWPs'!$A$2:$A$154,0))))</f>
        <v/>
      </c>
      <c r="DF350" s="146" t="str">
        <f>IF(W350&lt;&gt;"AR","",INDEX('Device Refrigerant Leakage'!$E$2:$E$42,MATCH(X350,'Device Refrigerant Leakage'!$B$2:$B$42,0)))</f>
        <v/>
      </c>
      <c r="DG350" s="146" t="str">
        <f>IF(W350&lt;&gt;"AR","",INDEX('Device Refrigerant Leakage'!$F$2:$F$42,MATCH(X350,'Device Refrigerant Leakage'!$B$2:$B$42,0)))</f>
        <v/>
      </c>
      <c r="DH350" s="146" t="str">
        <f>IF(W350&lt;&gt;"AR","",INDEX('Device Refrigerant Leakage'!$G$2:$G$42,MATCH(X350,'Device Refrigerant Leakage'!$B$2:$B$42,0)))</f>
        <v/>
      </c>
      <c r="DI350" s="146" t="str">
        <f>IF(W350&lt;&gt;"AR","",J350*INDEX('Device Refrigerant Leakage'!$D$2:$D$42,MATCH(X350,'Device Refrigerant Leakage'!$B$2:$B$42,0))*DF350/2204.62*DE350)</f>
        <v/>
      </c>
      <c r="DJ350" s="146" t="str">
        <f>IF(W350&lt;&gt;"AR","",J350*(INDEX('Device Refrigerant Leakage'!$D$2:$D$42,MATCH(X350,'Device Refrigerant Leakage'!$B$2:$B$42,0))-(INDEX('Device Refrigerant Leakage'!$D$2:$D$42,MATCH(X350,'Device Refrigerant Leakage'!$B$2:$B$42,0)))*DH350*DF350)*DG350/2204.62*DE350)</f>
        <v/>
      </c>
      <c r="DK350" s="146" t="str">
        <f>IF(W350&lt;&gt;"AR","",DI350*(K350-AB350)+'Fuel Sub Calcs-Deemed'!DJ350*((K350-AB350)/INDEX('Device Refrigerant Leakage'!$C$2:$C$42,MATCH('Fuel Sub Calcs-Deemed'!X350,'Device Refrigerant Leakage'!$B$2:$B$42,0))))</f>
        <v/>
      </c>
      <c r="DM350" s="56">
        <v>336</v>
      </c>
      <c r="DN350" s="67" t="e">
        <f t="shared" si="466"/>
        <v>#N/A</v>
      </c>
      <c r="DO350" s="45" t="e">
        <f t="shared" si="467"/>
        <v>#N/A</v>
      </c>
      <c r="DP350" s="67" t="e">
        <f t="shared" si="468"/>
        <v>#N/A</v>
      </c>
      <c r="DQ350" s="45" t="e">
        <f t="shared" si="469"/>
        <v>#N/A</v>
      </c>
      <c r="DR350" s="69" t="e">
        <f t="shared" si="470"/>
        <v>#N/A</v>
      </c>
      <c r="DS350" s="34"/>
      <c r="DT350" s="67" t="e">
        <f>((BX350*CJ350)+IF($W350=MAT_AR,(BZ350*CL350),0))*(1+Reference!$E$50+Reference!$E$51)</f>
        <v>#N/A</v>
      </c>
      <c r="DU350" s="67">
        <f>((BY350*CK350)+IF($W350=MAT_AR,(CA350*CM350),0))*(1+Reference!$G$50+Reference!$G$51)</f>
        <v>0</v>
      </c>
      <c r="DV350" s="67" t="e">
        <f t="shared" si="471"/>
        <v>#VALUE!</v>
      </c>
      <c r="DX350" s="56">
        <v>336</v>
      </c>
      <c r="DY350" s="67">
        <f t="shared" si="472"/>
        <v>0</v>
      </c>
      <c r="DZ350" s="45" t="e">
        <f>VLOOKUP($R350,Dropdown!$C$3:$D$4,2,FALSE)</f>
        <v>#N/A</v>
      </c>
      <c r="EA350" s="68">
        <f t="shared" si="473"/>
        <v>0</v>
      </c>
      <c r="EB350" s="68" t="str">
        <f t="shared" si="474"/>
        <v>N/A</v>
      </c>
      <c r="EC350" s="68">
        <f t="shared" si="475"/>
        <v>0</v>
      </c>
      <c r="ED350" s="68" t="str">
        <f t="shared" si="513"/>
        <v>N/A</v>
      </c>
      <c r="EF350" s="56">
        <v>336</v>
      </c>
      <c r="EG350" s="46">
        <f t="shared" si="476"/>
        <v>0</v>
      </c>
      <c r="EH350" s="68" t="e">
        <f t="shared" si="477"/>
        <v>#N/A</v>
      </c>
      <c r="EI350" s="68" t="e">
        <f t="shared" si="478"/>
        <v>#N/A</v>
      </c>
      <c r="EJ350" s="68" t="e">
        <f t="shared" si="479"/>
        <v>#N/A</v>
      </c>
      <c r="EK350" s="68" t="e">
        <f t="shared" si="480"/>
        <v>#N/A</v>
      </c>
      <c r="EL350" s="46">
        <f t="shared" si="481"/>
        <v>0</v>
      </c>
      <c r="EM350" s="46">
        <f t="shared" si="482"/>
        <v>0</v>
      </c>
    </row>
    <row r="351" spans="1:143">
      <c r="A351" s="89"/>
      <c r="B351" s="89"/>
      <c r="C351" s="89"/>
      <c r="D351" s="89"/>
      <c r="E351" s="89"/>
      <c r="F351" s="89"/>
      <c r="G351" s="34"/>
      <c r="H351" s="56">
        <f t="shared" si="483"/>
        <v>337</v>
      </c>
      <c r="I351" s="165"/>
      <c r="J351" s="163"/>
      <c r="K351" s="163"/>
      <c r="L351" s="164"/>
      <c r="M351" s="155"/>
      <c r="N351" s="155"/>
      <c r="O351" s="144"/>
      <c r="P351" s="159" t="str">
        <f>IFERROR(IF(O351&lt;&gt;"User Specified",IF(O351&lt;&gt;"", INDEX('Refrigerant GWPs'!$G$2:$G$154,MATCH(O351,'Refrigerant GWPs'!$A$2:$A$154,0)),""),U351),0)</f>
        <v/>
      </c>
      <c r="Q351" s="155"/>
      <c r="R351" s="155"/>
      <c r="S351" s="144"/>
      <c r="T351" s="159" t="str">
        <f>IF(S351&lt;&gt;"User Specified",IF(AND(S351&lt;&gt;"User Specified",S351&lt;&gt;""), INDEX('Refrigerant GWPs'!$G$2:$G$154,MATCH(S351,'Refrigerant GWPs'!$A$2:$A$154,0)),""),V351)</f>
        <v/>
      </c>
      <c r="U351" s="144"/>
      <c r="V351" s="144"/>
      <c r="W351" s="155"/>
      <c r="X351" s="155"/>
      <c r="Y351" s="144"/>
      <c r="Z351" s="159" t="str">
        <f>IF(AND(Y351&lt;&gt;"User Specified",Y351&lt;&gt;""), INDEX('Refrigerant GWPs'!$G$2:$G$154,MATCH(Y351,'Refrigerant GWPs'!$A$2:$A$154,0)),"")</f>
        <v/>
      </c>
      <c r="AA351" s="155"/>
      <c r="AB351" s="156"/>
      <c r="AC351" s="66"/>
      <c r="AD351" s="66"/>
      <c r="AE351" s="66"/>
      <c r="AF351" s="66"/>
      <c r="AG351" s="66"/>
      <c r="AH351" s="66"/>
      <c r="AI351" s="34"/>
      <c r="AJ351" s="88">
        <f t="shared" si="446"/>
        <v>0</v>
      </c>
      <c r="AK351" s="88">
        <f t="shared" si="447"/>
        <v>0</v>
      </c>
      <c r="AL351" s="88">
        <v>0</v>
      </c>
      <c r="AM351" s="88">
        <v>0</v>
      </c>
      <c r="AN351" s="81" t="str">
        <f t="shared" si="485"/>
        <v/>
      </c>
      <c r="AO351" s="88">
        <f t="shared" si="448"/>
        <v>0</v>
      </c>
      <c r="AP351" s="88">
        <f t="shared" si="449"/>
        <v>0</v>
      </c>
      <c r="AQ351" s="81" t="str">
        <f t="shared" si="450"/>
        <v/>
      </c>
      <c r="AS351" s="41" t="b">
        <f t="shared" si="451"/>
        <v>1</v>
      </c>
      <c r="AT351" s="38">
        <f t="shared" si="452"/>
        <v>0</v>
      </c>
      <c r="AU351" s="60">
        <f t="shared" si="453"/>
        <v>0</v>
      </c>
      <c r="AV351" s="41">
        <f t="shared" si="454"/>
        <v>0</v>
      </c>
      <c r="AW351" s="41" t="b">
        <f t="shared" si="455"/>
        <v>0</v>
      </c>
      <c r="AX351" t="str">
        <f t="shared" si="456"/>
        <v>+00</v>
      </c>
      <c r="AY351" t="str">
        <f t="shared" si="457"/>
        <v>+00</v>
      </c>
      <c r="BA351" s="47" t="b">
        <f t="shared" si="486"/>
        <v>1</v>
      </c>
      <c r="BB351" s="42" t="b">
        <f t="shared" si="487"/>
        <v>1</v>
      </c>
      <c r="BC351" s="42" t="b">
        <f t="shared" si="488"/>
        <v>0</v>
      </c>
      <c r="BD351" s="42" t="b">
        <f t="shared" si="489"/>
        <v>0</v>
      </c>
      <c r="BE351" s="70">
        <f t="shared" si="490"/>
        <v>0</v>
      </c>
      <c r="BF351" s="70">
        <f t="shared" si="491"/>
        <v>0</v>
      </c>
      <c r="BG351" s="34"/>
      <c r="BI351" s="47" t="b">
        <f t="shared" si="492"/>
        <v>1</v>
      </c>
      <c r="BJ351" s="47" t="b">
        <f t="shared" si="493"/>
        <v>1</v>
      </c>
      <c r="BK351" s="42" t="b">
        <f t="shared" si="494"/>
        <v>0</v>
      </c>
      <c r="BL351" s="42" t="b">
        <f t="shared" si="495"/>
        <v>0</v>
      </c>
      <c r="BM351" s="42">
        <f t="shared" si="496"/>
        <v>0</v>
      </c>
      <c r="BN351" s="42">
        <f t="shared" si="497"/>
        <v>0</v>
      </c>
      <c r="BP351" t="e">
        <f t="shared" si="498"/>
        <v>#N/A</v>
      </c>
      <c r="BQ351" t="e">
        <f t="shared" si="499"/>
        <v>#N/A</v>
      </c>
      <c r="BR351" t="e">
        <f t="shared" si="500"/>
        <v>#N/A</v>
      </c>
      <c r="BT351" s="60">
        <f t="shared" si="501"/>
        <v>0</v>
      </c>
      <c r="BU351" s="60">
        <f t="shared" si="502"/>
        <v>0</v>
      </c>
      <c r="BV351" s="60">
        <f t="shared" si="503"/>
        <v>0</v>
      </c>
      <c r="BW351" s="60">
        <f t="shared" si="504"/>
        <v>0</v>
      </c>
      <c r="BX351" s="60">
        <f t="shared" si="505"/>
        <v>0</v>
      </c>
      <c r="BY351" s="60">
        <f t="shared" si="506"/>
        <v>0</v>
      </c>
      <c r="BZ351" s="60">
        <f t="shared" si="507"/>
        <v>0</v>
      </c>
      <c r="CA351" s="60">
        <f t="shared" si="508"/>
        <v>0</v>
      </c>
      <c r="CB351" s="60" t="e">
        <f t="shared" si="458"/>
        <v>#N/A</v>
      </c>
      <c r="CC351" s="60">
        <f t="shared" si="459"/>
        <v>100000</v>
      </c>
      <c r="CD351" s="60" t="e">
        <f t="shared" si="460"/>
        <v>#N/A</v>
      </c>
      <c r="CE351" s="60">
        <f t="shared" si="461"/>
        <v>100000</v>
      </c>
      <c r="CF351" s="83" t="e">
        <f t="shared" si="509"/>
        <v>#N/A</v>
      </c>
      <c r="CG351" s="83">
        <f t="shared" si="510"/>
        <v>0</v>
      </c>
      <c r="CH351" s="83" t="e">
        <f t="shared" si="511"/>
        <v>#N/A</v>
      </c>
      <c r="CI351" s="83">
        <f t="shared" si="512"/>
        <v>0</v>
      </c>
      <c r="CJ351" s="86" t="e">
        <f t="shared" si="462"/>
        <v>#N/A</v>
      </c>
      <c r="CK351" s="82">
        <f t="shared" si="463"/>
        <v>5.3070370403969858E-3</v>
      </c>
      <c r="CL351" s="82" t="e">
        <f t="shared" si="464"/>
        <v>#N/A</v>
      </c>
      <c r="CM351" s="82">
        <f t="shared" si="465"/>
        <v>5.3070370403969858E-3</v>
      </c>
      <c r="CO351" s="149" t="str">
        <f>IF($I351&lt;&gt;"",IF(O351="User Specified",U351,INDEX('Refrigerant GWPs'!$G$2:$G$156,MATCH(O351,'Refrigerant GWPs'!$A$2:$A$156,0))),"")</f>
        <v/>
      </c>
      <c r="CP351" s="138" t="str">
        <f>IF($I351&lt;&gt;"",INDEX('Device Refrigerant Leakage'!$E$2:$E$42,MATCH($M351,'Device Refrigerant Leakage'!$B$2:$B$42,0)),"")</f>
        <v/>
      </c>
      <c r="CQ351" s="138" t="str">
        <f>IF($I351&lt;&gt;"",INDEX('Device Refrigerant Leakage'!$F$2:$F$42,MATCH($M351,'Device Refrigerant Leakage'!$B$2:$B$42,0)),"")</f>
        <v/>
      </c>
      <c r="CR351" s="145" t="str">
        <f>IF($I351&lt;&gt;"",INDEX('Device Refrigerant Leakage'!$G$2:$G$42,MATCH($M351,'Device Refrigerant Leakage'!$B$2:$B$42,0)),"")</f>
        <v/>
      </c>
      <c r="CS351" s="145" t="str">
        <f>IF($I351&lt;&gt;"",INDEX('Device Refrigerant Leakage'!$D$2:$D$42,MATCH($M351,'Device Refrigerant Leakage'!$B$2:$B$42,0))*CP351/2204.62*CO351,"")</f>
        <v/>
      </c>
      <c r="CT351" s="145" t="str">
        <f>IF($I351&lt;&gt;"",J351*(INDEX('Device Refrigerant Leakage'!$D$2:$D$42,MATCH($M351,'Device Refrigerant Leakage'!$B$2:$B$42,0))-(INDEX('Device Refrigerant Leakage'!$D$2:$D$42,MATCH($M351,'Device Refrigerant Leakage'!$B$2:$B$42,0)))*CR351*CP351)*CQ351/2204.62*CO351,"")</f>
        <v/>
      </c>
      <c r="CU351" s="135" t="str">
        <f>IF($I351&lt;&gt;"",J351*IF(W351&lt;&gt;"AR",(CS351*K351)+CT351,(CS351*AB351)+CT351*(AB351/INDEX('Device Refrigerant Leakage'!$C$2:$C$42,MATCH($M351,'Device Refrigerant Leakage'!$B$2:$B$42,0)))),"")</f>
        <v/>
      </c>
      <c r="CW351" s="135" t="str">
        <f>IF($I351&lt;&gt;"",IF(S351="User Specified",V351,INDEX('Refrigerant GWPs'!$G$2:$G$156,MATCH(S351,'Refrigerant GWPs'!$A$2:$A$157,0))),"")</f>
        <v/>
      </c>
      <c r="CX351" s="138" t="str">
        <f>IF($I351&lt;&gt;"",INDEX('Device Refrigerant Leakage'!$E$2:$E$42,MATCH($Q351,'Device Refrigerant Leakage'!$B$2:$B$42,0)),"")</f>
        <v/>
      </c>
      <c r="CY351" s="138" t="str">
        <f>IF($I351&lt;&gt;"",INDEX('Device Refrigerant Leakage'!$F$2:$F$42,MATCH($Q351,'Device Refrigerant Leakage'!$B$2:$B$42,0)),"")</f>
        <v/>
      </c>
      <c r="CZ351" s="145" t="str">
        <f>IF($I351&lt;&gt;"",INDEX('Device Refrigerant Leakage'!$G$2:$G$42,MATCH($Q351,'Device Refrigerant Leakage'!$B$2:$B$42,0)),"")</f>
        <v/>
      </c>
      <c r="DA351" s="145" t="str">
        <f>IF($I351&lt;&gt;"",J351*INDEX('Device Refrigerant Leakage'!$D$2:$D$42,MATCH($Q351,'Device Refrigerant Leakage'!$B$2:$B$42,0))*CX351/2204.62*CW351,"")</f>
        <v/>
      </c>
      <c r="DB351" s="145" t="str">
        <f>IF($I351&lt;&gt;"",J351*(INDEX('Device Refrigerant Leakage'!$D$2:$D$42,MATCH($Q351,'Device Refrigerant Leakage'!$B$2:$B$42,0))-(INDEX('Device Refrigerant Leakage'!$D$2:$D$42,MATCH($Q351,'Device Refrigerant Leakage'!$B$2:$B$42,0)))*CZ351*CX351)*CY351/2204.62*CW351,"")</f>
        <v/>
      </c>
      <c r="DC351" s="135" t="str">
        <f t="shared" si="484"/>
        <v/>
      </c>
      <c r="DE351" s="146" t="str">
        <f>IF(W351&lt;&gt;"AR","",IF(Y351="User Specified", AA351, INDEX('Refrigerant GWPs'!$G$2:$G$154,MATCH(Y351,'Refrigerant GWPs'!$A$2:$A$154,0))))</f>
        <v/>
      </c>
      <c r="DF351" s="146" t="str">
        <f>IF(W351&lt;&gt;"AR","",INDEX('Device Refrigerant Leakage'!$E$2:$E$42,MATCH(X351,'Device Refrigerant Leakage'!$B$2:$B$42,0)))</f>
        <v/>
      </c>
      <c r="DG351" s="146" t="str">
        <f>IF(W351&lt;&gt;"AR","",INDEX('Device Refrigerant Leakage'!$F$2:$F$42,MATCH(X351,'Device Refrigerant Leakage'!$B$2:$B$42,0)))</f>
        <v/>
      </c>
      <c r="DH351" s="146" t="str">
        <f>IF(W351&lt;&gt;"AR","",INDEX('Device Refrigerant Leakage'!$G$2:$G$42,MATCH(X351,'Device Refrigerant Leakage'!$B$2:$B$42,0)))</f>
        <v/>
      </c>
      <c r="DI351" s="146" t="str">
        <f>IF(W351&lt;&gt;"AR","",J351*INDEX('Device Refrigerant Leakage'!$D$2:$D$42,MATCH(X351,'Device Refrigerant Leakage'!$B$2:$B$42,0))*DF351/2204.62*DE351)</f>
        <v/>
      </c>
      <c r="DJ351" s="146" t="str">
        <f>IF(W351&lt;&gt;"AR","",J351*(INDEX('Device Refrigerant Leakage'!$D$2:$D$42,MATCH(X351,'Device Refrigerant Leakage'!$B$2:$B$42,0))-(INDEX('Device Refrigerant Leakage'!$D$2:$D$42,MATCH(X351,'Device Refrigerant Leakage'!$B$2:$B$42,0)))*DH351*DF351)*DG351/2204.62*DE351)</f>
        <v/>
      </c>
      <c r="DK351" s="146" t="str">
        <f>IF(W351&lt;&gt;"AR","",DI351*(K351-AB351)+'Fuel Sub Calcs-Deemed'!DJ351*((K351-AB351)/INDEX('Device Refrigerant Leakage'!$C$2:$C$42,MATCH('Fuel Sub Calcs-Deemed'!X351,'Device Refrigerant Leakage'!$B$2:$B$42,0))))</f>
        <v/>
      </c>
      <c r="DM351" s="56">
        <v>337</v>
      </c>
      <c r="DN351" s="67" t="e">
        <f t="shared" si="466"/>
        <v>#N/A</v>
      </c>
      <c r="DO351" s="45" t="e">
        <f t="shared" si="467"/>
        <v>#N/A</v>
      </c>
      <c r="DP351" s="67" t="e">
        <f t="shared" si="468"/>
        <v>#N/A</v>
      </c>
      <c r="DQ351" s="45" t="e">
        <f t="shared" si="469"/>
        <v>#N/A</v>
      </c>
      <c r="DR351" s="69" t="e">
        <f t="shared" si="470"/>
        <v>#N/A</v>
      </c>
      <c r="DS351" s="34"/>
      <c r="DT351" s="67" t="e">
        <f>((BX351*CJ351)+IF($W351=MAT_AR,(BZ351*CL351),0))*(1+Reference!$E$50+Reference!$E$51)</f>
        <v>#N/A</v>
      </c>
      <c r="DU351" s="67">
        <f>((BY351*CK351)+IF($W351=MAT_AR,(CA351*CM351),0))*(1+Reference!$G$50+Reference!$G$51)</f>
        <v>0</v>
      </c>
      <c r="DV351" s="67" t="e">
        <f t="shared" si="471"/>
        <v>#VALUE!</v>
      </c>
      <c r="DX351" s="56">
        <v>337</v>
      </c>
      <c r="DY351" s="67">
        <f t="shared" si="472"/>
        <v>0</v>
      </c>
      <c r="DZ351" s="45" t="e">
        <f>VLOOKUP($R351,Dropdown!$C$3:$D$4,2,FALSE)</f>
        <v>#N/A</v>
      </c>
      <c r="EA351" s="68">
        <f t="shared" si="473"/>
        <v>0</v>
      </c>
      <c r="EB351" s="68" t="str">
        <f t="shared" si="474"/>
        <v>N/A</v>
      </c>
      <c r="EC351" s="68">
        <f t="shared" si="475"/>
        <v>0</v>
      </c>
      <c r="ED351" s="68" t="str">
        <f t="shared" si="513"/>
        <v>N/A</v>
      </c>
      <c r="EF351" s="56">
        <v>337</v>
      </c>
      <c r="EG351" s="46">
        <f t="shared" si="476"/>
        <v>0</v>
      </c>
      <c r="EH351" s="68" t="e">
        <f t="shared" si="477"/>
        <v>#N/A</v>
      </c>
      <c r="EI351" s="68" t="e">
        <f t="shared" si="478"/>
        <v>#N/A</v>
      </c>
      <c r="EJ351" s="68" t="e">
        <f t="shared" si="479"/>
        <v>#N/A</v>
      </c>
      <c r="EK351" s="68" t="e">
        <f t="shared" si="480"/>
        <v>#N/A</v>
      </c>
      <c r="EL351" s="46">
        <f t="shared" si="481"/>
        <v>0</v>
      </c>
      <c r="EM351" s="46">
        <f t="shared" si="482"/>
        <v>0</v>
      </c>
    </row>
    <row r="352" spans="1:143">
      <c r="A352" s="89"/>
      <c r="B352" s="89"/>
      <c r="C352" s="89"/>
      <c r="D352" s="89"/>
      <c r="E352" s="89"/>
      <c r="F352" s="89"/>
      <c r="G352" s="34"/>
      <c r="H352" s="56">
        <f t="shared" si="483"/>
        <v>338</v>
      </c>
      <c r="I352" s="165"/>
      <c r="J352" s="163"/>
      <c r="K352" s="163"/>
      <c r="L352" s="164"/>
      <c r="M352" s="155"/>
      <c r="N352" s="155"/>
      <c r="O352" s="144"/>
      <c r="P352" s="159" t="str">
        <f>IFERROR(IF(O352&lt;&gt;"User Specified",IF(O352&lt;&gt;"", INDEX('Refrigerant GWPs'!$G$2:$G$154,MATCH(O352,'Refrigerant GWPs'!$A$2:$A$154,0)),""),U352),0)</f>
        <v/>
      </c>
      <c r="Q352" s="155"/>
      <c r="R352" s="155"/>
      <c r="S352" s="144"/>
      <c r="T352" s="159" t="str">
        <f>IF(S352&lt;&gt;"User Specified",IF(AND(S352&lt;&gt;"User Specified",S352&lt;&gt;""), INDEX('Refrigerant GWPs'!$G$2:$G$154,MATCH(S352,'Refrigerant GWPs'!$A$2:$A$154,0)),""),V352)</f>
        <v/>
      </c>
      <c r="U352" s="144"/>
      <c r="V352" s="144"/>
      <c r="W352" s="155"/>
      <c r="X352" s="155"/>
      <c r="Y352" s="144"/>
      <c r="Z352" s="159" t="str">
        <f>IF(AND(Y352&lt;&gt;"User Specified",Y352&lt;&gt;""), INDEX('Refrigerant GWPs'!$G$2:$G$154,MATCH(Y352,'Refrigerant GWPs'!$A$2:$A$154,0)),"")</f>
        <v/>
      </c>
      <c r="AA352" s="155"/>
      <c r="AB352" s="156"/>
      <c r="AC352" s="66"/>
      <c r="AD352" s="66"/>
      <c r="AE352" s="66"/>
      <c r="AF352" s="66"/>
      <c r="AG352" s="66"/>
      <c r="AH352" s="66"/>
      <c r="AI352" s="34"/>
      <c r="AJ352" s="88">
        <f t="shared" si="446"/>
        <v>0</v>
      </c>
      <c r="AK352" s="88">
        <f t="shared" si="447"/>
        <v>0</v>
      </c>
      <c r="AL352" s="88">
        <v>0</v>
      </c>
      <c r="AM352" s="88">
        <v>0</v>
      </c>
      <c r="AN352" s="81" t="str">
        <f t="shared" si="485"/>
        <v/>
      </c>
      <c r="AO352" s="88">
        <f t="shared" si="448"/>
        <v>0</v>
      </c>
      <c r="AP352" s="88">
        <f t="shared" si="449"/>
        <v>0</v>
      </c>
      <c r="AQ352" s="81" t="str">
        <f t="shared" si="450"/>
        <v/>
      </c>
      <c r="AS352" s="41" t="b">
        <f t="shared" si="451"/>
        <v>1</v>
      </c>
      <c r="AT352" s="38">
        <f t="shared" si="452"/>
        <v>0</v>
      </c>
      <c r="AU352" s="60">
        <f t="shared" si="453"/>
        <v>0</v>
      </c>
      <c r="AV352" s="41">
        <f t="shared" si="454"/>
        <v>0</v>
      </c>
      <c r="AW352" s="41" t="b">
        <f t="shared" si="455"/>
        <v>0</v>
      </c>
      <c r="AX352" t="str">
        <f t="shared" si="456"/>
        <v>+00</v>
      </c>
      <c r="AY352" t="str">
        <f t="shared" si="457"/>
        <v>+00</v>
      </c>
      <c r="BA352" s="47" t="b">
        <f t="shared" si="486"/>
        <v>1</v>
      </c>
      <c r="BB352" s="42" t="b">
        <f t="shared" si="487"/>
        <v>1</v>
      </c>
      <c r="BC352" s="42" t="b">
        <f t="shared" si="488"/>
        <v>0</v>
      </c>
      <c r="BD352" s="42" t="b">
        <f t="shared" si="489"/>
        <v>0</v>
      </c>
      <c r="BE352" s="70">
        <f t="shared" si="490"/>
        <v>0</v>
      </c>
      <c r="BF352" s="70">
        <f t="shared" si="491"/>
        <v>0</v>
      </c>
      <c r="BG352" s="34"/>
      <c r="BI352" s="47" t="b">
        <f t="shared" si="492"/>
        <v>1</v>
      </c>
      <c r="BJ352" s="47" t="b">
        <f t="shared" si="493"/>
        <v>1</v>
      </c>
      <c r="BK352" s="42" t="b">
        <f t="shared" si="494"/>
        <v>0</v>
      </c>
      <c r="BL352" s="42" t="b">
        <f t="shared" si="495"/>
        <v>0</v>
      </c>
      <c r="BM352" s="42">
        <f t="shared" si="496"/>
        <v>0</v>
      </c>
      <c r="BN352" s="42">
        <f t="shared" si="497"/>
        <v>0</v>
      </c>
      <c r="BP352" t="e">
        <f t="shared" si="498"/>
        <v>#N/A</v>
      </c>
      <c r="BQ352" t="e">
        <f t="shared" si="499"/>
        <v>#N/A</v>
      </c>
      <c r="BR352" t="e">
        <f t="shared" si="500"/>
        <v>#N/A</v>
      </c>
      <c r="BT352" s="60">
        <f t="shared" si="501"/>
        <v>0</v>
      </c>
      <c r="BU352" s="60">
        <f t="shared" si="502"/>
        <v>0</v>
      </c>
      <c r="BV352" s="60">
        <f t="shared" si="503"/>
        <v>0</v>
      </c>
      <c r="BW352" s="60">
        <f t="shared" si="504"/>
        <v>0</v>
      </c>
      <c r="BX352" s="60">
        <f t="shared" si="505"/>
        <v>0</v>
      </c>
      <c r="BY352" s="60">
        <f t="shared" si="506"/>
        <v>0</v>
      </c>
      <c r="BZ352" s="60">
        <f t="shared" si="507"/>
        <v>0</v>
      </c>
      <c r="CA352" s="60">
        <f t="shared" si="508"/>
        <v>0</v>
      </c>
      <c r="CB352" s="60" t="e">
        <f t="shared" si="458"/>
        <v>#N/A</v>
      </c>
      <c r="CC352" s="60">
        <f t="shared" si="459"/>
        <v>100000</v>
      </c>
      <c r="CD352" s="60" t="e">
        <f t="shared" si="460"/>
        <v>#N/A</v>
      </c>
      <c r="CE352" s="60">
        <f t="shared" si="461"/>
        <v>100000</v>
      </c>
      <c r="CF352" s="83" t="e">
        <f t="shared" si="509"/>
        <v>#N/A</v>
      </c>
      <c r="CG352" s="83">
        <f t="shared" si="510"/>
        <v>0</v>
      </c>
      <c r="CH352" s="83" t="e">
        <f t="shared" si="511"/>
        <v>#N/A</v>
      </c>
      <c r="CI352" s="83">
        <f t="shared" si="512"/>
        <v>0</v>
      </c>
      <c r="CJ352" s="86" t="e">
        <f t="shared" si="462"/>
        <v>#N/A</v>
      </c>
      <c r="CK352" s="82">
        <f t="shared" si="463"/>
        <v>5.3070370403969858E-3</v>
      </c>
      <c r="CL352" s="82" t="e">
        <f t="shared" si="464"/>
        <v>#N/A</v>
      </c>
      <c r="CM352" s="82">
        <f t="shared" si="465"/>
        <v>5.3070370403969858E-3</v>
      </c>
      <c r="CO352" s="149" t="str">
        <f>IF($I352&lt;&gt;"",IF(O352="User Specified",U352,INDEX('Refrigerant GWPs'!$G$2:$G$156,MATCH(O352,'Refrigerant GWPs'!$A$2:$A$156,0))),"")</f>
        <v/>
      </c>
      <c r="CP352" s="138" t="str">
        <f>IF($I352&lt;&gt;"",INDEX('Device Refrigerant Leakage'!$E$2:$E$42,MATCH($M352,'Device Refrigerant Leakage'!$B$2:$B$42,0)),"")</f>
        <v/>
      </c>
      <c r="CQ352" s="138" t="str">
        <f>IF($I352&lt;&gt;"",INDEX('Device Refrigerant Leakage'!$F$2:$F$42,MATCH($M352,'Device Refrigerant Leakage'!$B$2:$B$42,0)),"")</f>
        <v/>
      </c>
      <c r="CR352" s="145" t="str">
        <f>IF($I352&lt;&gt;"",INDEX('Device Refrigerant Leakage'!$G$2:$G$42,MATCH($M352,'Device Refrigerant Leakage'!$B$2:$B$42,0)),"")</f>
        <v/>
      </c>
      <c r="CS352" s="145" t="str">
        <f>IF($I352&lt;&gt;"",INDEX('Device Refrigerant Leakage'!$D$2:$D$42,MATCH($M352,'Device Refrigerant Leakage'!$B$2:$B$42,0))*CP352/2204.62*CO352,"")</f>
        <v/>
      </c>
      <c r="CT352" s="145" t="str">
        <f>IF($I352&lt;&gt;"",J352*(INDEX('Device Refrigerant Leakage'!$D$2:$D$42,MATCH($M352,'Device Refrigerant Leakage'!$B$2:$B$42,0))-(INDEX('Device Refrigerant Leakage'!$D$2:$D$42,MATCH($M352,'Device Refrigerant Leakage'!$B$2:$B$42,0)))*CR352*CP352)*CQ352/2204.62*CO352,"")</f>
        <v/>
      </c>
      <c r="CU352" s="135" t="str">
        <f>IF($I352&lt;&gt;"",J352*IF(W352&lt;&gt;"AR",(CS352*K352)+CT352,(CS352*AB352)+CT352*(AB352/INDEX('Device Refrigerant Leakage'!$C$2:$C$42,MATCH($M352,'Device Refrigerant Leakage'!$B$2:$B$42,0)))),"")</f>
        <v/>
      </c>
      <c r="CW352" s="135" t="str">
        <f>IF($I352&lt;&gt;"",IF(S352="User Specified",V352,INDEX('Refrigerant GWPs'!$G$2:$G$156,MATCH(S352,'Refrigerant GWPs'!$A$2:$A$157,0))),"")</f>
        <v/>
      </c>
      <c r="CX352" s="138" t="str">
        <f>IF($I352&lt;&gt;"",INDEX('Device Refrigerant Leakage'!$E$2:$E$42,MATCH($Q352,'Device Refrigerant Leakage'!$B$2:$B$42,0)),"")</f>
        <v/>
      </c>
      <c r="CY352" s="138" t="str">
        <f>IF($I352&lt;&gt;"",INDEX('Device Refrigerant Leakage'!$F$2:$F$42,MATCH($Q352,'Device Refrigerant Leakage'!$B$2:$B$42,0)),"")</f>
        <v/>
      </c>
      <c r="CZ352" s="145" t="str">
        <f>IF($I352&lt;&gt;"",INDEX('Device Refrigerant Leakage'!$G$2:$G$42,MATCH($Q352,'Device Refrigerant Leakage'!$B$2:$B$42,0)),"")</f>
        <v/>
      </c>
      <c r="DA352" s="145" t="str">
        <f>IF($I352&lt;&gt;"",J352*INDEX('Device Refrigerant Leakage'!$D$2:$D$42,MATCH($Q352,'Device Refrigerant Leakage'!$B$2:$B$42,0))*CX352/2204.62*CW352,"")</f>
        <v/>
      </c>
      <c r="DB352" s="145" t="str">
        <f>IF($I352&lt;&gt;"",J352*(INDEX('Device Refrigerant Leakage'!$D$2:$D$42,MATCH($Q352,'Device Refrigerant Leakage'!$B$2:$B$42,0))-(INDEX('Device Refrigerant Leakage'!$D$2:$D$42,MATCH($Q352,'Device Refrigerant Leakage'!$B$2:$B$42,0)))*CZ352*CX352)*CY352/2204.62*CW352,"")</f>
        <v/>
      </c>
      <c r="DC352" s="135" t="str">
        <f t="shared" si="484"/>
        <v/>
      </c>
      <c r="DE352" s="146" t="str">
        <f>IF(W352&lt;&gt;"AR","",IF(Y352="User Specified", AA352, INDEX('Refrigerant GWPs'!$G$2:$G$154,MATCH(Y352,'Refrigerant GWPs'!$A$2:$A$154,0))))</f>
        <v/>
      </c>
      <c r="DF352" s="146" t="str">
        <f>IF(W352&lt;&gt;"AR","",INDEX('Device Refrigerant Leakage'!$E$2:$E$42,MATCH(X352,'Device Refrigerant Leakage'!$B$2:$B$42,0)))</f>
        <v/>
      </c>
      <c r="DG352" s="146" t="str">
        <f>IF(W352&lt;&gt;"AR","",INDEX('Device Refrigerant Leakage'!$F$2:$F$42,MATCH(X352,'Device Refrigerant Leakage'!$B$2:$B$42,0)))</f>
        <v/>
      </c>
      <c r="DH352" s="146" t="str">
        <f>IF(W352&lt;&gt;"AR","",INDEX('Device Refrigerant Leakage'!$G$2:$G$42,MATCH(X352,'Device Refrigerant Leakage'!$B$2:$B$42,0)))</f>
        <v/>
      </c>
      <c r="DI352" s="146" t="str">
        <f>IF(W352&lt;&gt;"AR","",J352*INDEX('Device Refrigerant Leakage'!$D$2:$D$42,MATCH(X352,'Device Refrigerant Leakage'!$B$2:$B$42,0))*DF352/2204.62*DE352)</f>
        <v/>
      </c>
      <c r="DJ352" s="146" t="str">
        <f>IF(W352&lt;&gt;"AR","",J352*(INDEX('Device Refrigerant Leakage'!$D$2:$D$42,MATCH(X352,'Device Refrigerant Leakage'!$B$2:$B$42,0))-(INDEX('Device Refrigerant Leakage'!$D$2:$D$42,MATCH(X352,'Device Refrigerant Leakage'!$B$2:$B$42,0)))*DH352*DF352)*DG352/2204.62*DE352)</f>
        <v/>
      </c>
      <c r="DK352" s="146" t="str">
        <f>IF(W352&lt;&gt;"AR","",DI352*(K352-AB352)+'Fuel Sub Calcs-Deemed'!DJ352*((K352-AB352)/INDEX('Device Refrigerant Leakage'!$C$2:$C$42,MATCH('Fuel Sub Calcs-Deemed'!X352,'Device Refrigerant Leakage'!$B$2:$B$42,0))))</f>
        <v/>
      </c>
      <c r="DM352" s="56">
        <v>338</v>
      </c>
      <c r="DN352" s="67" t="e">
        <f t="shared" si="466"/>
        <v>#N/A</v>
      </c>
      <c r="DO352" s="45" t="e">
        <f t="shared" si="467"/>
        <v>#N/A</v>
      </c>
      <c r="DP352" s="67" t="e">
        <f t="shared" si="468"/>
        <v>#N/A</v>
      </c>
      <c r="DQ352" s="45" t="e">
        <f t="shared" si="469"/>
        <v>#N/A</v>
      </c>
      <c r="DR352" s="69" t="e">
        <f t="shared" si="470"/>
        <v>#N/A</v>
      </c>
      <c r="DS352" s="34"/>
      <c r="DT352" s="67" t="e">
        <f>((BX352*CJ352)+IF($W352=MAT_AR,(BZ352*CL352),0))*(1+Reference!$E$50+Reference!$E$51)</f>
        <v>#N/A</v>
      </c>
      <c r="DU352" s="67">
        <f>((BY352*CK352)+IF($W352=MAT_AR,(CA352*CM352),0))*(1+Reference!$G$50+Reference!$G$51)</f>
        <v>0</v>
      </c>
      <c r="DV352" s="67" t="e">
        <f t="shared" si="471"/>
        <v>#VALUE!</v>
      </c>
      <c r="DX352" s="56">
        <v>338</v>
      </c>
      <c r="DY352" s="67">
        <f t="shared" si="472"/>
        <v>0</v>
      </c>
      <c r="DZ352" s="45" t="e">
        <f>VLOOKUP($R352,Dropdown!$C$3:$D$4,2,FALSE)</f>
        <v>#N/A</v>
      </c>
      <c r="EA352" s="68">
        <f t="shared" si="473"/>
        <v>0</v>
      </c>
      <c r="EB352" s="68" t="str">
        <f t="shared" si="474"/>
        <v>N/A</v>
      </c>
      <c r="EC352" s="68">
        <f t="shared" si="475"/>
        <v>0</v>
      </c>
      <c r="ED352" s="68" t="str">
        <f t="shared" si="513"/>
        <v>N/A</v>
      </c>
      <c r="EF352" s="56">
        <v>338</v>
      </c>
      <c r="EG352" s="46">
        <f t="shared" si="476"/>
        <v>0</v>
      </c>
      <c r="EH352" s="68" t="e">
        <f t="shared" si="477"/>
        <v>#N/A</v>
      </c>
      <c r="EI352" s="68" t="e">
        <f t="shared" si="478"/>
        <v>#N/A</v>
      </c>
      <c r="EJ352" s="68" t="e">
        <f t="shared" si="479"/>
        <v>#N/A</v>
      </c>
      <c r="EK352" s="68" t="e">
        <f t="shared" si="480"/>
        <v>#N/A</v>
      </c>
      <c r="EL352" s="46">
        <f t="shared" si="481"/>
        <v>0</v>
      </c>
      <c r="EM352" s="46">
        <f t="shared" si="482"/>
        <v>0</v>
      </c>
    </row>
    <row r="353" spans="1:143">
      <c r="A353" s="89"/>
      <c r="B353" s="89"/>
      <c r="C353" s="89"/>
      <c r="D353" s="89"/>
      <c r="E353" s="89"/>
      <c r="F353" s="89"/>
      <c r="G353" s="34"/>
      <c r="H353" s="56">
        <f t="shared" si="483"/>
        <v>339</v>
      </c>
      <c r="I353" s="165"/>
      <c r="J353" s="163"/>
      <c r="K353" s="163"/>
      <c r="L353" s="164"/>
      <c r="M353" s="155"/>
      <c r="N353" s="155"/>
      <c r="O353" s="144"/>
      <c r="P353" s="159" t="str">
        <f>IFERROR(IF(O353&lt;&gt;"User Specified",IF(O353&lt;&gt;"", INDEX('Refrigerant GWPs'!$G$2:$G$154,MATCH(O353,'Refrigerant GWPs'!$A$2:$A$154,0)),""),U353),0)</f>
        <v/>
      </c>
      <c r="Q353" s="155"/>
      <c r="R353" s="155"/>
      <c r="S353" s="144"/>
      <c r="T353" s="159" t="str">
        <f>IF(S353&lt;&gt;"User Specified",IF(AND(S353&lt;&gt;"User Specified",S353&lt;&gt;""), INDEX('Refrigerant GWPs'!$G$2:$G$154,MATCH(S353,'Refrigerant GWPs'!$A$2:$A$154,0)),""),V353)</f>
        <v/>
      </c>
      <c r="U353" s="144"/>
      <c r="V353" s="144"/>
      <c r="W353" s="155"/>
      <c r="X353" s="155"/>
      <c r="Y353" s="144"/>
      <c r="Z353" s="159" t="str">
        <f>IF(AND(Y353&lt;&gt;"User Specified",Y353&lt;&gt;""), INDEX('Refrigerant GWPs'!$G$2:$G$154,MATCH(Y353,'Refrigerant GWPs'!$A$2:$A$154,0)),"")</f>
        <v/>
      </c>
      <c r="AA353" s="155"/>
      <c r="AB353" s="156"/>
      <c r="AC353" s="66"/>
      <c r="AD353" s="66"/>
      <c r="AE353" s="66"/>
      <c r="AF353" s="66"/>
      <c r="AG353" s="66"/>
      <c r="AH353" s="66"/>
      <c r="AI353" s="34"/>
      <c r="AJ353" s="88">
        <f t="shared" si="446"/>
        <v>0</v>
      </c>
      <c r="AK353" s="88">
        <f t="shared" si="447"/>
        <v>0</v>
      </c>
      <c r="AL353" s="88">
        <v>0</v>
      </c>
      <c r="AM353" s="88">
        <v>0</v>
      </c>
      <c r="AN353" s="81" t="str">
        <f t="shared" si="485"/>
        <v/>
      </c>
      <c r="AO353" s="88">
        <f t="shared" si="448"/>
        <v>0</v>
      </c>
      <c r="AP353" s="88">
        <f t="shared" si="449"/>
        <v>0</v>
      </c>
      <c r="AQ353" s="81" t="str">
        <f t="shared" si="450"/>
        <v/>
      </c>
      <c r="AS353" s="41" t="b">
        <f t="shared" si="451"/>
        <v>1</v>
      </c>
      <c r="AT353" s="38">
        <f t="shared" si="452"/>
        <v>0</v>
      </c>
      <c r="AU353" s="60">
        <f t="shared" si="453"/>
        <v>0</v>
      </c>
      <c r="AV353" s="41">
        <f t="shared" si="454"/>
        <v>0</v>
      </c>
      <c r="AW353" s="41" t="b">
        <f t="shared" si="455"/>
        <v>0</v>
      </c>
      <c r="AX353" t="str">
        <f t="shared" si="456"/>
        <v>+00</v>
      </c>
      <c r="AY353" t="str">
        <f t="shared" si="457"/>
        <v>+00</v>
      </c>
      <c r="BA353" s="47" t="b">
        <f t="shared" si="486"/>
        <v>1</v>
      </c>
      <c r="BB353" s="42" t="b">
        <f t="shared" si="487"/>
        <v>1</v>
      </c>
      <c r="BC353" s="42" t="b">
        <f t="shared" si="488"/>
        <v>0</v>
      </c>
      <c r="BD353" s="42" t="b">
        <f t="shared" si="489"/>
        <v>0</v>
      </c>
      <c r="BE353" s="70">
        <f t="shared" si="490"/>
        <v>0</v>
      </c>
      <c r="BF353" s="70">
        <f t="shared" si="491"/>
        <v>0</v>
      </c>
      <c r="BG353" s="34"/>
      <c r="BI353" s="47" t="b">
        <f t="shared" si="492"/>
        <v>1</v>
      </c>
      <c r="BJ353" s="47" t="b">
        <f t="shared" si="493"/>
        <v>1</v>
      </c>
      <c r="BK353" s="42" t="b">
        <f t="shared" si="494"/>
        <v>0</v>
      </c>
      <c r="BL353" s="42" t="b">
        <f t="shared" si="495"/>
        <v>0</v>
      </c>
      <c r="BM353" s="42">
        <f t="shared" si="496"/>
        <v>0</v>
      </c>
      <c r="BN353" s="42">
        <f t="shared" si="497"/>
        <v>0</v>
      </c>
      <c r="BP353" t="e">
        <f t="shared" si="498"/>
        <v>#N/A</v>
      </c>
      <c r="BQ353" t="e">
        <f t="shared" si="499"/>
        <v>#N/A</v>
      </c>
      <c r="BR353" t="e">
        <f t="shared" si="500"/>
        <v>#N/A</v>
      </c>
      <c r="BT353" s="60">
        <f t="shared" si="501"/>
        <v>0</v>
      </c>
      <c r="BU353" s="60">
        <f t="shared" si="502"/>
        <v>0</v>
      </c>
      <c r="BV353" s="60">
        <f t="shared" si="503"/>
        <v>0</v>
      </c>
      <c r="BW353" s="60">
        <f t="shared" si="504"/>
        <v>0</v>
      </c>
      <c r="BX353" s="60">
        <f t="shared" si="505"/>
        <v>0</v>
      </c>
      <c r="BY353" s="60">
        <f t="shared" si="506"/>
        <v>0</v>
      </c>
      <c r="BZ353" s="60">
        <f t="shared" si="507"/>
        <v>0</v>
      </c>
      <c r="CA353" s="60">
        <f t="shared" si="508"/>
        <v>0</v>
      </c>
      <c r="CB353" s="60" t="e">
        <f t="shared" si="458"/>
        <v>#N/A</v>
      </c>
      <c r="CC353" s="60">
        <f t="shared" si="459"/>
        <v>100000</v>
      </c>
      <c r="CD353" s="60" t="e">
        <f t="shared" si="460"/>
        <v>#N/A</v>
      </c>
      <c r="CE353" s="60">
        <f t="shared" si="461"/>
        <v>100000</v>
      </c>
      <c r="CF353" s="83" t="e">
        <f t="shared" si="509"/>
        <v>#N/A</v>
      </c>
      <c r="CG353" s="83">
        <f t="shared" si="510"/>
        <v>0</v>
      </c>
      <c r="CH353" s="83" t="e">
        <f t="shared" si="511"/>
        <v>#N/A</v>
      </c>
      <c r="CI353" s="83">
        <f t="shared" si="512"/>
        <v>0</v>
      </c>
      <c r="CJ353" s="86" t="e">
        <f t="shared" si="462"/>
        <v>#N/A</v>
      </c>
      <c r="CK353" s="82">
        <f t="shared" si="463"/>
        <v>5.3070370403969858E-3</v>
      </c>
      <c r="CL353" s="82" t="e">
        <f t="shared" si="464"/>
        <v>#N/A</v>
      </c>
      <c r="CM353" s="82">
        <f t="shared" si="465"/>
        <v>5.3070370403969858E-3</v>
      </c>
      <c r="CO353" s="149" t="str">
        <f>IF($I353&lt;&gt;"",IF(O353="User Specified",U353,INDEX('Refrigerant GWPs'!$G$2:$G$156,MATCH(O353,'Refrigerant GWPs'!$A$2:$A$156,0))),"")</f>
        <v/>
      </c>
      <c r="CP353" s="138" t="str">
        <f>IF($I353&lt;&gt;"",INDEX('Device Refrigerant Leakage'!$E$2:$E$42,MATCH($M353,'Device Refrigerant Leakage'!$B$2:$B$42,0)),"")</f>
        <v/>
      </c>
      <c r="CQ353" s="138" t="str">
        <f>IF($I353&lt;&gt;"",INDEX('Device Refrigerant Leakage'!$F$2:$F$42,MATCH($M353,'Device Refrigerant Leakage'!$B$2:$B$42,0)),"")</f>
        <v/>
      </c>
      <c r="CR353" s="145" t="str">
        <f>IF($I353&lt;&gt;"",INDEX('Device Refrigerant Leakage'!$G$2:$G$42,MATCH($M353,'Device Refrigerant Leakage'!$B$2:$B$42,0)),"")</f>
        <v/>
      </c>
      <c r="CS353" s="145" t="str">
        <f>IF($I353&lt;&gt;"",INDEX('Device Refrigerant Leakage'!$D$2:$D$42,MATCH($M353,'Device Refrigerant Leakage'!$B$2:$B$42,0))*CP353/2204.62*CO353,"")</f>
        <v/>
      </c>
      <c r="CT353" s="145" t="str">
        <f>IF($I353&lt;&gt;"",J353*(INDEX('Device Refrigerant Leakage'!$D$2:$D$42,MATCH($M353,'Device Refrigerant Leakage'!$B$2:$B$42,0))-(INDEX('Device Refrigerant Leakage'!$D$2:$D$42,MATCH($M353,'Device Refrigerant Leakage'!$B$2:$B$42,0)))*CR353*CP353)*CQ353/2204.62*CO353,"")</f>
        <v/>
      </c>
      <c r="CU353" s="135" t="str">
        <f>IF($I353&lt;&gt;"",J353*IF(W353&lt;&gt;"AR",(CS353*K353)+CT353,(CS353*AB353)+CT353*(AB353/INDEX('Device Refrigerant Leakage'!$C$2:$C$42,MATCH($M353,'Device Refrigerant Leakage'!$B$2:$B$42,0)))),"")</f>
        <v/>
      </c>
      <c r="CW353" s="135" t="str">
        <f>IF($I353&lt;&gt;"",IF(S353="User Specified",V353,INDEX('Refrigerant GWPs'!$G$2:$G$156,MATCH(S353,'Refrigerant GWPs'!$A$2:$A$157,0))),"")</f>
        <v/>
      </c>
      <c r="CX353" s="138" t="str">
        <f>IF($I353&lt;&gt;"",INDEX('Device Refrigerant Leakage'!$E$2:$E$42,MATCH($Q353,'Device Refrigerant Leakage'!$B$2:$B$42,0)),"")</f>
        <v/>
      </c>
      <c r="CY353" s="138" t="str">
        <f>IF($I353&lt;&gt;"",INDEX('Device Refrigerant Leakage'!$F$2:$F$42,MATCH($Q353,'Device Refrigerant Leakage'!$B$2:$B$42,0)),"")</f>
        <v/>
      </c>
      <c r="CZ353" s="145" t="str">
        <f>IF($I353&lt;&gt;"",INDEX('Device Refrigerant Leakage'!$G$2:$G$42,MATCH($Q353,'Device Refrigerant Leakage'!$B$2:$B$42,0)),"")</f>
        <v/>
      </c>
      <c r="DA353" s="145" t="str">
        <f>IF($I353&lt;&gt;"",J353*INDEX('Device Refrigerant Leakage'!$D$2:$D$42,MATCH($Q353,'Device Refrigerant Leakage'!$B$2:$B$42,0))*CX353/2204.62*CW353,"")</f>
        <v/>
      </c>
      <c r="DB353" s="145" t="str">
        <f>IF($I353&lt;&gt;"",J353*(INDEX('Device Refrigerant Leakage'!$D$2:$D$42,MATCH($Q353,'Device Refrigerant Leakage'!$B$2:$B$42,0))-(INDEX('Device Refrigerant Leakage'!$D$2:$D$42,MATCH($Q353,'Device Refrigerant Leakage'!$B$2:$B$42,0)))*CZ353*CX353)*CY353/2204.62*CW353,"")</f>
        <v/>
      </c>
      <c r="DC353" s="135" t="str">
        <f t="shared" si="484"/>
        <v/>
      </c>
      <c r="DE353" s="146" t="str">
        <f>IF(W353&lt;&gt;"AR","",IF(Y353="User Specified", AA353, INDEX('Refrigerant GWPs'!$G$2:$G$154,MATCH(Y353,'Refrigerant GWPs'!$A$2:$A$154,0))))</f>
        <v/>
      </c>
      <c r="DF353" s="146" t="str">
        <f>IF(W353&lt;&gt;"AR","",INDEX('Device Refrigerant Leakage'!$E$2:$E$42,MATCH(X353,'Device Refrigerant Leakage'!$B$2:$B$42,0)))</f>
        <v/>
      </c>
      <c r="DG353" s="146" t="str">
        <f>IF(W353&lt;&gt;"AR","",INDEX('Device Refrigerant Leakage'!$F$2:$F$42,MATCH(X353,'Device Refrigerant Leakage'!$B$2:$B$42,0)))</f>
        <v/>
      </c>
      <c r="DH353" s="146" t="str">
        <f>IF(W353&lt;&gt;"AR","",INDEX('Device Refrigerant Leakage'!$G$2:$G$42,MATCH(X353,'Device Refrigerant Leakage'!$B$2:$B$42,0)))</f>
        <v/>
      </c>
      <c r="DI353" s="146" t="str">
        <f>IF(W353&lt;&gt;"AR","",J353*INDEX('Device Refrigerant Leakage'!$D$2:$D$42,MATCH(X353,'Device Refrigerant Leakage'!$B$2:$B$42,0))*DF353/2204.62*DE353)</f>
        <v/>
      </c>
      <c r="DJ353" s="146" t="str">
        <f>IF(W353&lt;&gt;"AR","",J353*(INDEX('Device Refrigerant Leakage'!$D$2:$D$42,MATCH(X353,'Device Refrigerant Leakage'!$B$2:$B$42,0))-(INDEX('Device Refrigerant Leakage'!$D$2:$D$42,MATCH(X353,'Device Refrigerant Leakage'!$B$2:$B$42,0)))*DH353*DF353)*DG353/2204.62*DE353)</f>
        <v/>
      </c>
      <c r="DK353" s="146" t="str">
        <f>IF(W353&lt;&gt;"AR","",DI353*(K353-AB353)+'Fuel Sub Calcs-Deemed'!DJ353*((K353-AB353)/INDEX('Device Refrigerant Leakage'!$C$2:$C$42,MATCH('Fuel Sub Calcs-Deemed'!X353,'Device Refrigerant Leakage'!$B$2:$B$42,0))))</f>
        <v/>
      </c>
      <c r="DM353" s="56">
        <v>339</v>
      </c>
      <c r="DN353" s="67" t="e">
        <f t="shared" si="466"/>
        <v>#N/A</v>
      </c>
      <c r="DO353" s="45" t="e">
        <f t="shared" si="467"/>
        <v>#N/A</v>
      </c>
      <c r="DP353" s="67" t="e">
        <f t="shared" si="468"/>
        <v>#N/A</v>
      </c>
      <c r="DQ353" s="45" t="e">
        <f t="shared" si="469"/>
        <v>#N/A</v>
      </c>
      <c r="DR353" s="69" t="e">
        <f t="shared" si="470"/>
        <v>#N/A</v>
      </c>
      <c r="DS353" s="34"/>
      <c r="DT353" s="67" t="e">
        <f>((BX353*CJ353)+IF($W353=MAT_AR,(BZ353*CL353),0))*(1+Reference!$E$50+Reference!$E$51)</f>
        <v>#N/A</v>
      </c>
      <c r="DU353" s="67">
        <f>((BY353*CK353)+IF($W353=MAT_AR,(CA353*CM353),0))*(1+Reference!$G$50+Reference!$G$51)</f>
        <v>0</v>
      </c>
      <c r="DV353" s="67" t="e">
        <f t="shared" si="471"/>
        <v>#VALUE!</v>
      </c>
      <c r="DX353" s="56">
        <v>339</v>
      </c>
      <c r="DY353" s="67">
        <f t="shared" si="472"/>
        <v>0</v>
      </c>
      <c r="DZ353" s="45" t="e">
        <f>VLOOKUP($R353,Dropdown!$C$3:$D$4,2,FALSE)</f>
        <v>#N/A</v>
      </c>
      <c r="EA353" s="68">
        <f t="shared" si="473"/>
        <v>0</v>
      </c>
      <c r="EB353" s="68" t="str">
        <f t="shared" si="474"/>
        <v>N/A</v>
      </c>
      <c r="EC353" s="68">
        <f t="shared" si="475"/>
        <v>0</v>
      </c>
      <c r="ED353" s="68" t="str">
        <f t="shared" si="513"/>
        <v>N/A</v>
      </c>
      <c r="EF353" s="56">
        <v>339</v>
      </c>
      <c r="EG353" s="46">
        <f t="shared" si="476"/>
        <v>0</v>
      </c>
      <c r="EH353" s="68" t="e">
        <f t="shared" si="477"/>
        <v>#N/A</v>
      </c>
      <c r="EI353" s="68" t="e">
        <f t="shared" si="478"/>
        <v>#N/A</v>
      </c>
      <c r="EJ353" s="68" t="e">
        <f t="shared" si="479"/>
        <v>#N/A</v>
      </c>
      <c r="EK353" s="68" t="e">
        <f t="shared" si="480"/>
        <v>#N/A</v>
      </c>
      <c r="EL353" s="46">
        <f t="shared" si="481"/>
        <v>0</v>
      </c>
      <c r="EM353" s="46">
        <f t="shared" si="482"/>
        <v>0</v>
      </c>
    </row>
    <row r="354" spans="1:143">
      <c r="A354" s="89"/>
      <c r="B354" s="89"/>
      <c r="C354" s="89"/>
      <c r="D354" s="89"/>
      <c r="E354" s="89"/>
      <c r="F354" s="89"/>
      <c r="G354" s="34"/>
      <c r="H354" s="56">
        <f t="shared" si="483"/>
        <v>340</v>
      </c>
      <c r="I354" s="165"/>
      <c r="J354" s="163"/>
      <c r="K354" s="163"/>
      <c r="L354" s="164"/>
      <c r="M354" s="155"/>
      <c r="N354" s="155"/>
      <c r="O354" s="144"/>
      <c r="P354" s="159" t="str">
        <f>IFERROR(IF(O354&lt;&gt;"User Specified",IF(O354&lt;&gt;"", INDEX('Refrigerant GWPs'!$G$2:$G$154,MATCH(O354,'Refrigerant GWPs'!$A$2:$A$154,0)),""),U354),0)</f>
        <v/>
      </c>
      <c r="Q354" s="155"/>
      <c r="R354" s="155"/>
      <c r="S354" s="144"/>
      <c r="T354" s="159" t="str">
        <f>IF(S354&lt;&gt;"User Specified",IF(AND(S354&lt;&gt;"User Specified",S354&lt;&gt;""), INDEX('Refrigerant GWPs'!$G$2:$G$154,MATCH(S354,'Refrigerant GWPs'!$A$2:$A$154,0)),""),V354)</f>
        <v/>
      </c>
      <c r="U354" s="144"/>
      <c r="V354" s="144"/>
      <c r="W354" s="155"/>
      <c r="X354" s="155"/>
      <c r="Y354" s="144"/>
      <c r="Z354" s="159" t="str">
        <f>IF(AND(Y354&lt;&gt;"User Specified",Y354&lt;&gt;""), INDEX('Refrigerant GWPs'!$G$2:$G$154,MATCH(Y354,'Refrigerant GWPs'!$A$2:$A$154,0)),"")</f>
        <v/>
      </c>
      <c r="AA354" s="155"/>
      <c r="AB354" s="156"/>
      <c r="AC354" s="66"/>
      <c r="AD354" s="66"/>
      <c r="AE354" s="66"/>
      <c r="AF354" s="66"/>
      <c r="AG354" s="66"/>
      <c r="AH354" s="66"/>
      <c r="AI354" s="34"/>
      <c r="AJ354" s="88">
        <f t="shared" si="446"/>
        <v>0</v>
      </c>
      <c r="AK354" s="88">
        <f t="shared" si="447"/>
        <v>0</v>
      </c>
      <c r="AL354" s="88">
        <v>0</v>
      </c>
      <c r="AM354" s="88">
        <v>0</v>
      </c>
      <c r="AN354" s="81" t="str">
        <f t="shared" si="485"/>
        <v/>
      </c>
      <c r="AO354" s="88">
        <f t="shared" si="448"/>
        <v>0</v>
      </c>
      <c r="AP354" s="88">
        <f t="shared" si="449"/>
        <v>0</v>
      </c>
      <c r="AQ354" s="81" t="str">
        <f t="shared" si="450"/>
        <v/>
      </c>
      <c r="AS354" s="41" t="b">
        <f t="shared" si="451"/>
        <v>1</v>
      </c>
      <c r="AT354" s="38">
        <f t="shared" si="452"/>
        <v>0</v>
      </c>
      <c r="AU354" s="60">
        <f t="shared" si="453"/>
        <v>0</v>
      </c>
      <c r="AV354" s="41">
        <f t="shared" si="454"/>
        <v>0</v>
      </c>
      <c r="AW354" s="41" t="b">
        <f t="shared" si="455"/>
        <v>0</v>
      </c>
      <c r="AX354" t="str">
        <f t="shared" si="456"/>
        <v>+00</v>
      </c>
      <c r="AY354" t="str">
        <f t="shared" si="457"/>
        <v>+00</v>
      </c>
      <c r="BA354" s="47" t="b">
        <f t="shared" si="486"/>
        <v>1</v>
      </c>
      <c r="BB354" s="42" t="b">
        <f t="shared" si="487"/>
        <v>1</v>
      </c>
      <c r="BC354" s="42" t="b">
        <f t="shared" si="488"/>
        <v>0</v>
      </c>
      <c r="BD354" s="42" t="b">
        <f t="shared" si="489"/>
        <v>0</v>
      </c>
      <c r="BE354" s="70">
        <f t="shared" si="490"/>
        <v>0</v>
      </c>
      <c r="BF354" s="70">
        <f t="shared" si="491"/>
        <v>0</v>
      </c>
      <c r="BG354" s="34"/>
      <c r="BI354" s="47" t="b">
        <f t="shared" si="492"/>
        <v>1</v>
      </c>
      <c r="BJ354" s="47" t="b">
        <f t="shared" si="493"/>
        <v>1</v>
      </c>
      <c r="BK354" s="42" t="b">
        <f t="shared" si="494"/>
        <v>0</v>
      </c>
      <c r="BL354" s="42" t="b">
        <f t="shared" si="495"/>
        <v>0</v>
      </c>
      <c r="BM354" s="42">
        <f t="shared" si="496"/>
        <v>0</v>
      </c>
      <c r="BN354" s="42">
        <f t="shared" si="497"/>
        <v>0</v>
      </c>
      <c r="BP354" t="e">
        <f t="shared" si="498"/>
        <v>#N/A</v>
      </c>
      <c r="BQ354" t="e">
        <f t="shared" si="499"/>
        <v>#N/A</v>
      </c>
      <c r="BR354" t="e">
        <f t="shared" si="500"/>
        <v>#N/A</v>
      </c>
      <c r="BT354" s="60">
        <f t="shared" si="501"/>
        <v>0</v>
      </c>
      <c r="BU354" s="60">
        <f t="shared" si="502"/>
        <v>0</v>
      </c>
      <c r="BV354" s="60">
        <f t="shared" si="503"/>
        <v>0</v>
      </c>
      <c r="BW354" s="60">
        <f t="shared" si="504"/>
        <v>0</v>
      </c>
      <c r="BX354" s="60">
        <f t="shared" si="505"/>
        <v>0</v>
      </c>
      <c r="BY354" s="60">
        <f t="shared" si="506"/>
        <v>0</v>
      </c>
      <c r="BZ354" s="60">
        <f t="shared" si="507"/>
        <v>0</v>
      </c>
      <c r="CA354" s="60">
        <f t="shared" si="508"/>
        <v>0</v>
      </c>
      <c r="CB354" s="60" t="e">
        <f t="shared" si="458"/>
        <v>#N/A</v>
      </c>
      <c r="CC354" s="60">
        <f t="shared" si="459"/>
        <v>100000</v>
      </c>
      <c r="CD354" s="60" t="e">
        <f t="shared" si="460"/>
        <v>#N/A</v>
      </c>
      <c r="CE354" s="60">
        <f t="shared" si="461"/>
        <v>100000</v>
      </c>
      <c r="CF354" s="83" t="e">
        <f t="shared" si="509"/>
        <v>#N/A</v>
      </c>
      <c r="CG354" s="83">
        <f t="shared" si="510"/>
        <v>0</v>
      </c>
      <c r="CH354" s="83" t="e">
        <f t="shared" si="511"/>
        <v>#N/A</v>
      </c>
      <c r="CI354" s="83">
        <f t="shared" si="512"/>
        <v>0</v>
      </c>
      <c r="CJ354" s="86" t="e">
        <f t="shared" si="462"/>
        <v>#N/A</v>
      </c>
      <c r="CK354" s="82">
        <f t="shared" si="463"/>
        <v>5.3070370403969858E-3</v>
      </c>
      <c r="CL354" s="82" t="e">
        <f t="shared" si="464"/>
        <v>#N/A</v>
      </c>
      <c r="CM354" s="82">
        <f t="shared" si="465"/>
        <v>5.3070370403969858E-3</v>
      </c>
      <c r="CO354" s="149" t="str">
        <f>IF($I354&lt;&gt;"",IF(O354="User Specified",U354,INDEX('Refrigerant GWPs'!$G$2:$G$156,MATCH(O354,'Refrigerant GWPs'!$A$2:$A$156,0))),"")</f>
        <v/>
      </c>
      <c r="CP354" s="138" t="str">
        <f>IF($I354&lt;&gt;"",INDEX('Device Refrigerant Leakage'!$E$2:$E$42,MATCH($M354,'Device Refrigerant Leakage'!$B$2:$B$42,0)),"")</f>
        <v/>
      </c>
      <c r="CQ354" s="138" t="str">
        <f>IF($I354&lt;&gt;"",INDEX('Device Refrigerant Leakage'!$F$2:$F$42,MATCH($M354,'Device Refrigerant Leakage'!$B$2:$B$42,0)),"")</f>
        <v/>
      </c>
      <c r="CR354" s="145" t="str">
        <f>IF($I354&lt;&gt;"",INDEX('Device Refrigerant Leakage'!$G$2:$G$42,MATCH($M354,'Device Refrigerant Leakage'!$B$2:$B$42,0)),"")</f>
        <v/>
      </c>
      <c r="CS354" s="145" t="str">
        <f>IF($I354&lt;&gt;"",INDEX('Device Refrigerant Leakage'!$D$2:$D$42,MATCH($M354,'Device Refrigerant Leakage'!$B$2:$B$42,0))*CP354/2204.62*CO354,"")</f>
        <v/>
      </c>
      <c r="CT354" s="145" t="str">
        <f>IF($I354&lt;&gt;"",J354*(INDEX('Device Refrigerant Leakage'!$D$2:$D$42,MATCH($M354,'Device Refrigerant Leakage'!$B$2:$B$42,0))-(INDEX('Device Refrigerant Leakage'!$D$2:$D$42,MATCH($M354,'Device Refrigerant Leakage'!$B$2:$B$42,0)))*CR354*CP354)*CQ354/2204.62*CO354,"")</f>
        <v/>
      </c>
      <c r="CU354" s="135" t="str">
        <f>IF($I354&lt;&gt;"",J354*IF(W354&lt;&gt;"AR",(CS354*K354)+CT354,(CS354*AB354)+CT354*(AB354/INDEX('Device Refrigerant Leakage'!$C$2:$C$42,MATCH($M354,'Device Refrigerant Leakage'!$B$2:$B$42,0)))),"")</f>
        <v/>
      </c>
      <c r="CW354" s="135" t="str">
        <f>IF($I354&lt;&gt;"",IF(S354="User Specified",V354,INDEX('Refrigerant GWPs'!$G$2:$G$156,MATCH(S354,'Refrigerant GWPs'!$A$2:$A$157,0))),"")</f>
        <v/>
      </c>
      <c r="CX354" s="138" t="str">
        <f>IF($I354&lt;&gt;"",INDEX('Device Refrigerant Leakage'!$E$2:$E$42,MATCH($Q354,'Device Refrigerant Leakage'!$B$2:$B$42,0)),"")</f>
        <v/>
      </c>
      <c r="CY354" s="138" t="str">
        <f>IF($I354&lt;&gt;"",INDEX('Device Refrigerant Leakage'!$F$2:$F$42,MATCH($Q354,'Device Refrigerant Leakage'!$B$2:$B$42,0)),"")</f>
        <v/>
      </c>
      <c r="CZ354" s="145" t="str">
        <f>IF($I354&lt;&gt;"",INDEX('Device Refrigerant Leakage'!$G$2:$G$42,MATCH($Q354,'Device Refrigerant Leakage'!$B$2:$B$42,0)),"")</f>
        <v/>
      </c>
      <c r="DA354" s="145" t="str">
        <f>IF($I354&lt;&gt;"",J354*INDEX('Device Refrigerant Leakage'!$D$2:$D$42,MATCH($Q354,'Device Refrigerant Leakage'!$B$2:$B$42,0))*CX354/2204.62*CW354,"")</f>
        <v/>
      </c>
      <c r="DB354" s="145" t="str">
        <f>IF($I354&lt;&gt;"",J354*(INDEX('Device Refrigerant Leakage'!$D$2:$D$42,MATCH($Q354,'Device Refrigerant Leakage'!$B$2:$B$42,0))-(INDEX('Device Refrigerant Leakage'!$D$2:$D$42,MATCH($Q354,'Device Refrigerant Leakage'!$B$2:$B$42,0)))*CZ354*CX354)*CY354/2204.62*CW354,"")</f>
        <v/>
      </c>
      <c r="DC354" s="135" t="str">
        <f t="shared" si="484"/>
        <v/>
      </c>
      <c r="DE354" s="146" t="str">
        <f>IF(W354&lt;&gt;"AR","",IF(Y354="User Specified", AA354, INDEX('Refrigerant GWPs'!$G$2:$G$154,MATCH(Y354,'Refrigerant GWPs'!$A$2:$A$154,0))))</f>
        <v/>
      </c>
      <c r="DF354" s="146" t="str">
        <f>IF(W354&lt;&gt;"AR","",INDEX('Device Refrigerant Leakage'!$E$2:$E$42,MATCH(X354,'Device Refrigerant Leakage'!$B$2:$B$42,0)))</f>
        <v/>
      </c>
      <c r="DG354" s="146" t="str">
        <f>IF(W354&lt;&gt;"AR","",INDEX('Device Refrigerant Leakage'!$F$2:$F$42,MATCH(X354,'Device Refrigerant Leakage'!$B$2:$B$42,0)))</f>
        <v/>
      </c>
      <c r="DH354" s="146" t="str">
        <f>IF(W354&lt;&gt;"AR","",INDEX('Device Refrigerant Leakage'!$G$2:$G$42,MATCH(X354,'Device Refrigerant Leakage'!$B$2:$B$42,0)))</f>
        <v/>
      </c>
      <c r="DI354" s="146" t="str">
        <f>IF(W354&lt;&gt;"AR","",J354*INDEX('Device Refrigerant Leakage'!$D$2:$D$42,MATCH(X354,'Device Refrigerant Leakage'!$B$2:$B$42,0))*DF354/2204.62*DE354)</f>
        <v/>
      </c>
      <c r="DJ354" s="146" t="str">
        <f>IF(W354&lt;&gt;"AR","",J354*(INDEX('Device Refrigerant Leakage'!$D$2:$D$42,MATCH(X354,'Device Refrigerant Leakage'!$B$2:$B$42,0))-(INDEX('Device Refrigerant Leakage'!$D$2:$D$42,MATCH(X354,'Device Refrigerant Leakage'!$B$2:$B$42,0)))*DH354*DF354)*DG354/2204.62*DE354)</f>
        <v/>
      </c>
      <c r="DK354" s="146" t="str">
        <f>IF(W354&lt;&gt;"AR","",DI354*(K354-AB354)+'Fuel Sub Calcs-Deemed'!DJ354*((K354-AB354)/INDEX('Device Refrigerant Leakage'!$C$2:$C$42,MATCH('Fuel Sub Calcs-Deemed'!X354,'Device Refrigerant Leakage'!$B$2:$B$42,0))))</f>
        <v/>
      </c>
      <c r="DM354" s="56">
        <v>340</v>
      </c>
      <c r="DN354" s="67" t="e">
        <f t="shared" si="466"/>
        <v>#N/A</v>
      </c>
      <c r="DO354" s="45" t="e">
        <f t="shared" si="467"/>
        <v>#N/A</v>
      </c>
      <c r="DP354" s="67" t="e">
        <f t="shared" si="468"/>
        <v>#N/A</v>
      </c>
      <c r="DQ354" s="45" t="e">
        <f t="shared" si="469"/>
        <v>#N/A</v>
      </c>
      <c r="DR354" s="69" t="e">
        <f t="shared" si="470"/>
        <v>#N/A</v>
      </c>
      <c r="DS354" s="34"/>
      <c r="DT354" s="67" t="e">
        <f>((BX354*CJ354)+IF($W354=MAT_AR,(BZ354*CL354),0))*(1+Reference!$E$50+Reference!$E$51)</f>
        <v>#N/A</v>
      </c>
      <c r="DU354" s="67">
        <f>((BY354*CK354)+IF($W354=MAT_AR,(CA354*CM354),0))*(1+Reference!$G$50+Reference!$G$51)</f>
        <v>0</v>
      </c>
      <c r="DV354" s="67" t="e">
        <f t="shared" si="471"/>
        <v>#VALUE!</v>
      </c>
      <c r="DX354" s="56">
        <v>340</v>
      </c>
      <c r="DY354" s="67">
        <f t="shared" si="472"/>
        <v>0</v>
      </c>
      <c r="DZ354" s="45" t="e">
        <f>VLOOKUP($R354,Dropdown!$C$3:$D$4,2,FALSE)</f>
        <v>#N/A</v>
      </c>
      <c r="EA354" s="68">
        <f t="shared" si="473"/>
        <v>0</v>
      </c>
      <c r="EB354" s="68" t="str">
        <f t="shared" si="474"/>
        <v>N/A</v>
      </c>
      <c r="EC354" s="68">
        <f t="shared" si="475"/>
        <v>0</v>
      </c>
      <c r="ED354" s="68" t="str">
        <f t="shared" si="513"/>
        <v>N/A</v>
      </c>
      <c r="EF354" s="56">
        <v>340</v>
      </c>
      <c r="EG354" s="46">
        <f t="shared" si="476"/>
        <v>0</v>
      </c>
      <c r="EH354" s="68" t="e">
        <f t="shared" si="477"/>
        <v>#N/A</v>
      </c>
      <c r="EI354" s="68" t="e">
        <f t="shared" si="478"/>
        <v>#N/A</v>
      </c>
      <c r="EJ354" s="68" t="e">
        <f t="shared" si="479"/>
        <v>#N/A</v>
      </c>
      <c r="EK354" s="68" t="e">
        <f t="shared" si="480"/>
        <v>#N/A</v>
      </c>
      <c r="EL354" s="46">
        <f t="shared" si="481"/>
        <v>0</v>
      </c>
      <c r="EM354" s="46">
        <f t="shared" si="482"/>
        <v>0</v>
      </c>
    </row>
    <row r="355" spans="1:143">
      <c r="A355" s="89"/>
      <c r="B355" s="89"/>
      <c r="C355" s="89"/>
      <c r="D355" s="89"/>
      <c r="E355" s="89"/>
      <c r="F355" s="89"/>
      <c r="G355" s="34"/>
      <c r="H355" s="56">
        <f t="shared" si="483"/>
        <v>341</v>
      </c>
      <c r="I355" s="165"/>
      <c r="J355" s="163"/>
      <c r="K355" s="163"/>
      <c r="L355" s="164"/>
      <c r="M355" s="155"/>
      <c r="N355" s="155"/>
      <c r="O355" s="144"/>
      <c r="P355" s="159" t="str">
        <f>IFERROR(IF(O355&lt;&gt;"User Specified",IF(O355&lt;&gt;"", INDEX('Refrigerant GWPs'!$G$2:$G$154,MATCH(O355,'Refrigerant GWPs'!$A$2:$A$154,0)),""),U355),0)</f>
        <v/>
      </c>
      <c r="Q355" s="155"/>
      <c r="R355" s="155"/>
      <c r="S355" s="144"/>
      <c r="T355" s="159" t="str">
        <f>IF(S355&lt;&gt;"User Specified",IF(AND(S355&lt;&gt;"User Specified",S355&lt;&gt;""), INDEX('Refrigerant GWPs'!$G$2:$G$154,MATCH(S355,'Refrigerant GWPs'!$A$2:$A$154,0)),""),V355)</f>
        <v/>
      </c>
      <c r="U355" s="144"/>
      <c r="V355" s="144"/>
      <c r="W355" s="155"/>
      <c r="X355" s="155"/>
      <c r="Y355" s="144"/>
      <c r="Z355" s="159" t="str">
        <f>IF(AND(Y355&lt;&gt;"User Specified",Y355&lt;&gt;""), INDEX('Refrigerant GWPs'!$G$2:$G$154,MATCH(Y355,'Refrigerant GWPs'!$A$2:$A$154,0)),"")</f>
        <v/>
      </c>
      <c r="AA355" s="155"/>
      <c r="AB355" s="156"/>
      <c r="AC355" s="66"/>
      <c r="AD355" s="66"/>
      <c r="AE355" s="66"/>
      <c r="AF355" s="66"/>
      <c r="AG355" s="66"/>
      <c r="AH355" s="66"/>
      <c r="AI355" s="34"/>
      <c r="AJ355" s="88">
        <f t="shared" si="446"/>
        <v>0</v>
      </c>
      <c r="AK355" s="88">
        <f t="shared" si="447"/>
        <v>0</v>
      </c>
      <c r="AL355" s="88">
        <v>0</v>
      </c>
      <c r="AM355" s="88">
        <v>0</v>
      </c>
      <c r="AN355" s="81" t="str">
        <f t="shared" si="485"/>
        <v/>
      </c>
      <c r="AO355" s="88">
        <f t="shared" si="448"/>
        <v>0</v>
      </c>
      <c r="AP355" s="88">
        <f t="shared" si="449"/>
        <v>0</v>
      </c>
      <c r="AQ355" s="81" t="str">
        <f t="shared" si="450"/>
        <v/>
      </c>
      <c r="AS355" s="41" t="b">
        <f t="shared" si="451"/>
        <v>1</v>
      </c>
      <c r="AT355" s="38">
        <f t="shared" si="452"/>
        <v>0</v>
      </c>
      <c r="AU355" s="60">
        <f t="shared" si="453"/>
        <v>0</v>
      </c>
      <c r="AV355" s="41">
        <f t="shared" si="454"/>
        <v>0</v>
      </c>
      <c r="AW355" s="41" t="b">
        <f t="shared" si="455"/>
        <v>0</v>
      </c>
      <c r="AX355" t="str">
        <f t="shared" si="456"/>
        <v>+00</v>
      </c>
      <c r="AY355" t="str">
        <f t="shared" si="457"/>
        <v>+00</v>
      </c>
      <c r="BA355" s="47" t="b">
        <f t="shared" si="486"/>
        <v>1</v>
      </c>
      <c r="BB355" s="42" t="b">
        <f t="shared" si="487"/>
        <v>1</v>
      </c>
      <c r="BC355" s="42" t="b">
        <f t="shared" si="488"/>
        <v>0</v>
      </c>
      <c r="BD355" s="42" t="b">
        <f t="shared" si="489"/>
        <v>0</v>
      </c>
      <c r="BE355" s="70">
        <f t="shared" si="490"/>
        <v>0</v>
      </c>
      <c r="BF355" s="70">
        <f t="shared" si="491"/>
        <v>0</v>
      </c>
      <c r="BG355" s="34"/>
      <c r="BI355" s="47" t="b">
        <f t="shared" si="492"/>
        <v>1</v>
      </c>
      <c r="BJ355" s="47" t="b">
        <f t="shared" si="493"/>
        <v>1</v>
      </c>
      <c r="BK355" s="42" t="b">
        <f t="shared" si="494"/>
        <v>0</v>
      </c>
      <c r="BL355" s="42" t="b">
        <f t="shared" si="495"/>
        <v>0</v>
      </c>
      <c r="BM355" s="42">
        <f t="shared" si="496"/>
        <v>0</v>
      </c>
      <c r="BN355" s="42">
        <f t="shared" si="497"/>
        <v>0</v>
      </c>
      <c r="BP355" t="e">
        <f t="shared" si="498"/>
        <v>#N/A</v>
      </c>
      <c r="BQ355" t="e">
        <f t="shared" si="499"/>
        <v>#N/A</v>
      </c>
      <c r="BR355" t="e">
        <f t="shared" si="500"/>
        <v>#N/A</v>
      </c>
      <c r="BT355" s="60">
        <f t="shared" si="501"/>
        <v>0</v>
      </c>
      <c r="BU355" s="60">
        <f t="shared" si="502"/>
        <v>0</v>
      </c>
      <c r="BV355" s="60">
        <f t="shared" si="503"/>
        <v>0</v>
      </c>
      <c r="BW355" s="60">
        <f t="shared" si="504"/>
        <v>0</v>
      </c>
      <c r="BX355" s="60">
        <f t="shared" si="505"/>
        <v>0</v>
      </c>
      <c r="BY355" s="60">
        <f t="shared" si="506"/>
        <v>0</v>
      </c>
      <c r="BZ355" s="60">
        <f t="shared" si="507"/>
        <v>0</v>
      </c>
      <c r="CA355" s="60">
        <f t="shared" si="508"/>
        <v>0</v>
      </c>
      <c r="CB355" s="60" t="e">
        <f t="shared" si="458"/>
        <v>#N/A</v>
      </c>
      <c r="CC355" s="60">
        <f t="shared" si="459"/>
        <v>100000</v>
      </c>
      <c r="CD355" s="60" t="e">
        <f t="shared" si="460"/>
        <v>#N/A</v>
      </c>
      <c r="CE355" s="60">
        <f t="shared" si="461"/>
        <v>100000</v>
      </c>
      <c r="CF355" s="83" t="e">
        <f t="shared" si="509"/>
        <v>#N/A</v>
      </c>
      <c r="CG355" s="83">
        <f t="shared" si="510"/>
        <v>0</v>
      </c>
      <c r="CH355" s="83" t="e">
        <f t="shared" si="511"/>
        <v>#N/A</v>
      </c>
      <c r="CI355" s="83">
        <f t="shared" si="512"/>
        <v>0</v>
      </c>
      <c r="CJ355" s="86" t="e">
        <f t="shared" si="462"/>
        <v>#N/A</v>
      </c>
      <c r="CK355" s="82">
        <f t="shared" si="463"/>
        <v>5.3070370403969858E-3</v>
      </c>
      <c r="CL355" s="82" t="e">
        <f t="shared" si="464"/>
        <v>#N/A</v>
      </c>
      <c r="CM355" s="82">
        <f t="shared" si="465"/>
        <v>5.3070370403969858E-3</v>
      </c>
      <c r="CO355" s="149" t="str">
        <f>IF($I355&lt;&gt;"",IF(O355="User Specified",U355,INDEX('Refrigerant GWPs'!$G$2:$G$156,MATCH(O355,'Refrigerant GWPs'!$A$2:$A$156,0))),"")</f>
        <v/>
      </c>
      <c r="CP355" s="138" t="str">
        <f>IF($I355&lt;&gt;"",INDEX('Device Refrigerant Leakage'!$E$2:$E$42,MATCH($M355,'Device Refrigerant Leakage'!$B$2:$B$42,0)),"")</f>
        <v/>
      </c>
      <c r="CQ355" s="138" t="str">
        <f>IF($I355&lt;&gt;"",INDEX('Device Refrigerant Leakage'!$F$2:$F$42,MATCH($M355,'Device Refrigerant Leakage'!$B$2:$B$42,0)),"")</f>
        <v/>
      </c>
      <c r="CR355" s="145" t="str">
        <f>IF($I355&lt;&gt;"",INDEX('Device Refrigerant Leakage'!$G$2:$G$42,MATCH($M355,'Device Refrigerant Leakage'!$B$2:$B$42,0)),"")</f>
        <v/>
      </c>
      <c r="CS355" s="145" t="str">
        <f>IF($I355&lt;&gt;"",INDEX('Device Refrigerant Leakage'!$D$2:$D$42,MATCH($M355,'Device Refrigerant Leakage'!$B$2:$B$42,0))*CP355/2204.62*CO355,"")</f>
        <v/>
      </c>
      <c r="CT355" s="145" t="str">
        <f>IF($I355&lt;&gt;"",J355*(INDEX('Device Refrigerant Leakage'!$D$2:$D$42,MATCH($M355,'Device Refrigerant Leakage'!$B$2:$B$42,0))-(INDEX('Device Refrigerant Leakage'!$D$2:$D$42,MATCH($M355,'Device Refrigerant Leakage'!$B$2:$B$42,0)))*CR355*CP355)*CQ355/2204.62*CO355,"")</f>
        <v/>
      </c>
      <c r="CU355" s="135" t="str">
        <f>IF($I355&lt;&gt;"",J355*IF(W355&lt;&gt;"AR",(CS355*K355)+CT355,(CS355*AB355)+CT355*(AB355/INDEX('Device Refrigerant Leakage'!$C$2:$C$42,MATCH($M355,'Device Refrigerant Leakage'!$B$2:$B$42,0)))),"")</f>
        <v/>
      </c>
      <c r="CW355" s="135" t="str">
        <f>IF($I355&lt;&gt;"",IF(S355="User Specified",V355,INDEX('Refrigerant GWPs'!$G$2:$G$156,MATCH(S355,'Refrigerant GWPs'!$A$2:$A$157,0))),"")</f>
        <v/>
      </c>
      <c r="CX355" s="138" t="str">
        <f>IF($I355&lt;&gt;"",INDEX('Device Refrigerant Leakage'!$E$2:$E$42,MATCH($Q355,'Device Refrigerant Leakage'!$B$2:$B$42,0)),"")</f>
        <v/>
      </c>
      <c r="CY355" s="138" t="str">
        <f>IF($I355&lt;&gt;"",INDEX('Device Refrigerant Leakage'!$F$2:$F$42,MATCH($Q355,'Device Refrigerant Leakage'!$B$2:$B$42,0)),"")</f>
        <v/>
      </c>
      <c r="CZ355" s="145" t="str">
        <f>IF($I355&lt;&gt;"",INDEX('Device Refrigerant Leakage'!$G$2:$G$42,MATCH($Q355,'Device Refrigerant Leakage'!$B$2:$B$42,0)),"")</f>
        <v/>
      </c>
      <c r="DA355" s="145" t="str">
        <f>IF($I355&lt;&gt;"",J355*INDEX('Device Refrigerant Leakage'!$D$2:$D$42,MATCH($Q355,'Device Refrigerant Leakage'!$B$2:$B$42,0))*CX355/2204.62*CW355,"")</f>
        <v/>
      </c>
      <c r="DB355" s="145" t="str">
        <f>IF($I355&lt;&gt;"",J355*(INDEX('Device Refrigerant Leakage'!$D$2:$D$42,MATCH($Q355,'Device Refrigerant Leakage'!$B$2:$B$42,0))-(INDEX('Device Refrigerant Leakage'!$D$2:$D$42,MATCH($Q355,'Device Refrigerant Leakage'!$B$2:$B$42,0)))*CZ355*CX355)*CY355/2204.62*CW355,"")</f>
        <v/>
      </c>
      <c r="DC355" s="135" t="str">
        <f t="shared" si="484"/>
        <v/>
      </c>
      <c r="DE355" s="146" t="str">
        <f>IF(W355&lt;&gt;"AR","",IF(Y355="User Specified", AA355, INDEX('Refrigerant GWPs'!$G$2:$G$154,MATCH(Y355,'Refrigerant GWPs'!$A$2:$A$154,0))))</f>
        <v/>
      </c>
      <c r="DF355" s="146" t="str">
        <f>IF(W355&lt;&gt;"AR","",INDEX('Device Refrigerant Leakage'!$E$2:$E$42,MATCH(X355,'Device Refrigerant Leakage'!$B$2:$B$42,0)))</f>
        <v/>
      </c>
      <c r="DG355" s="146" t="str">
        <f>IF(W355&lt;&gt;"AR","",INDEX('Device Refrigerant Leakage'!$F$2:$F$42,MATCH(X355,'Device Refrigerant Leakage'!$B$2:$B$42,0)))</f>
        <v/>
      </c>
      <c r="DH355" s="146" t="str">
        <f>IF(W355&lt;&gt;"AR","",INDEX('Device Refrigerant Leakage'!$G$2:$G$42,MATCH(X355,'Device Refrigerant Leakage'!$B$2:$B$42,0)))</f>
        <v/>
      </c>
      <c r="DI355" s="146" t="str">
        <f>IF(W355&lt;&gt;"AR","",J355*INDEX('Device Refrigerant Leakage'!$D$2:$D$42,MATCH(X355,'Device Refrigerant Leakage'!$B$2:$B$42,0))*DF355/2204.62*DE355)</f>
        <v/>
      </c>
      <c r="DJ355" s="146" t="str">
        <f>IF(W355&lt;&gt;"AR","",J355*(INDEX('Device Refrigerant Leakage'!$D$2:$D$42,MATCH(X355,'Device Refrigerant Leakage'!$B$2:$B$42,0))-(INDEX('Device Refrigerant Leakage'!$D$2:$D$42,MATCH(X355,'Device Refrigerant Leakage'!$B$2:$B$42,0)))*DH355*DF355)*DG355/2204.62*DE355)</f>
        <v/>
      </c>
      <c r="DK355" s="146" t="str">
        <f>IF(W355&lt;&gt;"AR","",DI355*(K355-AB355)+'Fuel Sub Calcs-Deemed'!DJ355*((K355-AB355)/INDEX('Device Refrigerant Leakage'!$C$2:$C$42,MATCH('Fuel Sub Calcs-Deemed'!X355,'Device Refrigerant Leakage'!$B$2:$B$42,0))))</f>
        <v/>
      </c>
      <c r="DM355" s="56">
        <v>341</v>
      </c>
      <c r="DN355" s="67" t="e">
        <f t="shared" si="466"/>
        <v>#N/A</v>
      </c>
      <c r="DO355" s="45" t="e">
        <f t="shared" si="467"/>
        <v>#N/A</v>
      </c>
      <c r="DP355" s="67" t="e">
        <f t="shared" si="468"/>
        <v>#N/A</v>
      </c>
      <c r="DQ355" s="45" t="e">
        <f t="shared" si="469"/>
        <v>#N/A</v>
      </c>
      <c r="DR355" s="69" t="e">
        <f t="shared" si="470"/>
        <v>#N/A</v>
      </c>
      <c r="DS355" s="34"/>
      <c r="DT355" s="67" t="e">
        <f>((BX355*CJ355)+IF($W355=MAT_AR,(BZ355*CL355),0))*(1+Reference!$E$50+Reference!$E$51)</f>
        <v>#N/A</v>
      </c>
      <c r="DU355" s="67">
        <f>((BY355*CK355)+IF($W355=MAT_AR,(CA355*CM355),0))*(1+Reference!$G$50+Reference!$G$51)</f>
        <v>0</v>
      </c>
      <c r="DV355" s="67" t="e">
        <f t="shared" si="471"/>
        <v>#VALUE!</v>
      </c>
      <c r="DX355" s="56">
        <v>341</v>
      </c>
      <c r="DY355" s="67">
        <f t="shared" si="472"/>
        <v>0</v>
      </c>
      <c r="DZ355" s="45" t="e">
        <f>VLOOKUP($R355,Dropdown!$C$3:$D$4,2,FALSE)</f>
        <v>#N/A</v>
      </c>
      <c r="EA355" s="68">
        <f t="shared" si="473"/>
        <v>0</v>
      </c>
      <c r="EB355" s="68" t="str">
        <f t="shared" si="474"/>
        <v>N/A</v>
      </c>
      <c r="EC355" s="68">
        <f t="shared" si="475"/>
        <v>0</v>
      </c>
      <c r="ED355" s="68" t="str">
        <f t="shared" si="513"/>
        <v>N/A</v>
      </c>
      <c r="EF355" s="56">
        <v>341</v>
      </c>
      <c r="EG355" s="46">
        <f t="shared" si="476"/>
        <v>0</v>
      </c>
      <c r="EH355" s="68" t="e">
        <f t="shared" si="477"/>
        <v>#N/A</v>
      </c>
      <c r="EI355" s="68" t="e">
        <f t="shared" si="478"/>
        <v>#N/A</v>
      </c>
      <c r="EJ355" s="68" t="e">
        <f t="shared" si="479"/>
        <v>#N/A</v>
      </c>
      <c r="EK355" s="68" t="e">
        <f t="shared" si="480"/>
        <v>#N/A</v>
      </c>
      <c r="EL355" s="46">
        <f t="shared" si="481"/>
        <v>0</v>
      </c>
      <c r="EM355" s="46">
        <f t="shared" si="482"/>
        <v>0</v>
      </c>
    </row>
    <row r="356" spans="1:143">
      <c r="A356" s="89"/>
      <c r="B356" s="89"/>
      <c r="C356" s="89"/>
      <c r="D356" s="89"/>
      <c r="E356" s="89"/>
      <c r="F356" s="89"/>
      <c r="G356" s="34"/>
      <c r="H356" s="56">
        <f t="shared" si="483"/>
        <v>342</v>
      </c>
      <c r="I356" s="165"/>
      <c r="J356" s="163"/>
      <c r="K356" s="163"/>
      <c r="L356" s="164"/>
      <c r="M356" s="155"/>
      <c r="N356" s="155"/>
      <c r="O356" s="144"/>
      <c r="P356" s="159" t="str">
        <f>IFERROR(IF(O356&lt;&gt;"User Specified",IF(O356&lt;&gt;"", INDEX('Refrigerant GWPs'!$G$2:$G$154,MATCH(O356,'Refrigerant GWPs'!$A$2:$A$154,0)),""),U356),0)</f>
        <v/>
      </c>
      <c r="Q356" s="155"/>
      <c r="R356" s="155"/>
      <c r="S356" s="144"/>
      <c r="T356" s="159" t="str">
        <f>IF(S356&lt;&gt;"User Specified",IF(AND(S356&lt;&gt;"User Specified",S356&lt;&gt;""), INDEX('Refrigerant GWPs'!$G$2:$G$154,MATCH(S356,'Refrigerant GWPs'!$A$2:$A$154,0)),""),V356)</f>
        <v/>
      </c>
      <c r="U356" s="144"/>
      <c r="V356" s="144"/>
      <c r="W356" s="155"/>
      <c r="X356" s="155"/>
      <c r="Y356" s="144"/>
      <c r="Z356" s="159" t="str">
        <f>IF(AND(Y356&lt;&gt;"User Specified",Y356&lt;&gt;""), INDEX('Refrigerant GWPs'!$G$2:$G$154,MATCH(Y356,'Refrigerant GWPs'!$A$2:$A$154,0)),"")</f>
        <v/>
      </c>
      <c r="AA356" s="155"/>
      <c r="AB356" s="156"/>
      <c r="AC356" s="66"/>
      <c r="AD356" s="66"/>
      <c r="AE356" s="66"/>
      <c r="AF356" s="66"/>
      <c r="AG356" s="66"/>
      <c r="AH356" s="66"/>
      <c r="AI356" s="34"/>
      <c r="AJ356" s="88">
        <f t="shared" si="446"/>
        <v>0</v>
      </c>
      <c r="AK356" s="88">
        <f t="shared" si="447"/>
        <v>0</v>
      </c>
      <c r="AL356" s="88">
        <v>0</v>
      </c>
      <c r="AM356" s="88">
        <v>0</v>
      </c>
      <c r="AN356" s="81" t="str">
        <f t="shared" si="485"/>
        <v/>
      </c>
      <c r="AO356" s="88">
        <f t="shared" si="448"/>
        <v>0</v>
      </c>
      <c r="AP356" s="88">
        <f t="shared" si="449"/>
        <v>0</v>
      </c>
      <c r="AQ356" s="81" t="str">
        <f t="shared" si="450"/>
        <v/>
      </c>
      <c r="AS356" s="41" t="b">
        <f t="shared" si="451"/>
        <v>1</v>
      </c>
      <c r="AT356" s="38">
        <f t="shared" si="452"/>
        <v>0</v>
      </c>
      <c r="AU356" s="60">
        <f t="shared" si="453"/>
        <v>0</v>
      </c>
      <c r="AV356" s="41">
        <f t="shared" si="454"/>
        <v>0</v>
      </c>
      <c r="AW356" s="41" t="b">
        <f t="shared" si="455"/>
        <v>0</v>
      </c>
      <c r="AX356" t="str">
        <f t="shared" si="456"/>
        <v>+00</v>
      </c>
      <c r="AY356" t="str">
        <f t="shared" si="457"/>
        <v>+00</v>
      </c>
      <c r="BA356" s="47" t="b">
        <f t="shared" si="486"/>
        <v>1</v>
      </c>
      <c r="BB356" s="42" t="b">
        <f t="shared" si="487"/>
        <v>1</v>
      </c>
      <c r="BC356" s="42" t="b">
        <f t="shared" si="488"/>
        <v>0</v>
      </c>
      <c r="BD356" s="42" t="b">
        <f t="shared" si="489"/>
        <v>0</v>
      </c>
      <c r="BE356" s="70">
        <f t="shared" si="490"/>
        <v>0</v>
      </c>
      <c r="BF356" s="70">
        <f t="shared" si="491"/>
        <v>0</v>
      </c>
      <c r="BG356" s="34"/>
      <c r="BI356" s="47" t="b">
        <f t="shared" si="492"/>
        <v>1</v>
      </c>
      <c r="BJ356" s="47" t="b">
        <f t="shared" si="493"/>
        <v>1</v>
      </c>
      <c r="BK356" s="42" t="b">
        <f t="shared" si="494"/>
        <v>0</v>
      </c>
      <c r="BL356" s="42" t="b">
        <f t="shared" si="495"/>
        <v>0</v>
      </c>
      <c r="BM356" s="42">
        <f t="shared" si="496"/>
        <v>0</v>
      </c>
      <c r="BN356" s="42">
        <f t="shared" si="497"/>
        <v>0</v>
      </c>
      <c r="BP356" t="e">
        <f t="shared" si="498"/>
        <v>#N/A</v>
      </c>
      <c r="BQ356" t="e">
        <f t="shared" si="499"/>
        <v>#N/A</v>
      </c>
      <c r="BR356" t="e">
        <f t="shared" si="500"/>
        <v>#N/A</v>
      </c>
      <c r="BT356" s="60">
        <f t="shared" si="501"/>
        <v>0</v>
      </c>
      <c r="BU356" s="60">
        <f t="shared" si="502"/>
        <v>0</v>
      </c>
      <c r="BV356" s="60">
        <f t="shared" si="503"/>
        <v>0</v>
      </c>
      <c r="BW356" s="60">
        <f t="shared" si="504"/>
        <v>0</v>
      </c>
      <c r="BX356" s="60">
        <f t="shared" si="505"/>
        <v>0</v>
      </c>
      <c r="BY356" s="60">
        <f t="shared" si="506"/>
        <v>0</v>
      </c>
      <c r="BZ356" s="60">
        <f t="shared" si="507"/>
        <v>0</v>
      </c>
      <c r="CA356" s="60">
        <f t="shared" si="508"/>
        <v>0</v>
      </c>
      <c r="CB356" s="60" t="e">
        <f t="shared" si="458"/>
        <v>#N/A</v>
      </c>
      <c r="CC356" s="60">
        <f t="shared" si="459"/>
        <v>100000</v>
      </c>
      <c r="CD356" s="60" t="e">
        <f t="shared" si="460"/>
        <v>#N/A</v>
      </c>
      <c r="CE356" s="60">
        <f t="shared" si="461"/>
        <v>100000</v>
      </c>
      <c r="CF356" s="83" t="e">
        <f t="shared" si="509"/>
        <v>#N/A</v>
      </c>
      <c r="CG356" s="83">
        <f t="shared" si="510"/>
        <v>0</v>
      </c>
      <c r="CH356" s="83" t="e">
        <f t="shared" si="511"/>
        <v>#N/A</v>
      </c>
      <c r="CI356" s="83">
        <f t="shared" si="512"/>
        <v>0</v>
      </c>
      <c r="CJ356" s="86" t="e">
        <f t="shared" si="462"/>
        <v>#N/A</v>
      </c>
      <c r="CK356" s="82">
        <f t="shared" si="463"/>
        <v>5.3070370403969858E-3</v>
      </c>
      <c r="CL356" s="82" t="e">
        <f t="shared" si="464"/>
        <v>#N/A</v>
      </c>
      <c r="CM356" s="82">
        <f t="shared" si="465"/>
        <v>5.3070370403969858E-3</v>
      </c>
      <c r="CO356" s="149" t="str">
        <f>IF($I356&lt;&gt;"",IF(O356="User Specified",U356,INDEX('Refrigerant GWPs'!$G$2:$G$156,MATCH(O356,'Refrigerant GWPs'!$A$2:$A$156,0))),"")</f>
        <v/>
      </c>
      <c r="CP356" s="138" t="str">
        <f>IF($I356&lt;&gt;"",INDEX('Device Refrigerant Leakage'!$E$2:$E$42,MATCH($M356,'Device Refrigerant Leakage'!$B$2:$B$42,0)),"")</f>
        <v/>
      </c>
      <c r="CQ356" s="138" t="str">
        <f>IF($I356&lt;&gt;"",INDEX('Device Refrigerant Leakage'!$F$2:$F$42,MATCH($M356,'Device Refrigerant Leakage'!$B$2:$B$42,0)),"")</f>
        <v/>
      </c>
      <c r="CR356" s="145" t="str">
        <f>IF($I356&lt;&gt;"",INDEX('Device Refrigerant Leakage'!$G$2:$G$42,MATCH($M356,'Device Refrigerant Leakage'!$B$2:$B$42,0)),"")</f>
        <v/>
      </c>
      <c r="CS356" s="145" t="str">
        <f>IF($I356&lt;&gt;"",INDEX('Device Refrigerant Leakage'!$D$2:$D$42,MATCH($M356,'Device Refrigerant Leakage'!$B$2:$B$42,0))*CP356/2204.62*CO356,"")</f>
        <v/>
      </c>
      <c r="CT356" s="145" t="str">
        <f>IF($I356&lt;&gt;"",J356*(INDEX('Device Refrigerant Leakage'!$D$2:$D$42,MATCH($M356,'Device Refrigerant Leakage'!$B$2:$B$42,0))-(INDEX('Device Refrigerant Leakage'!$D$2:$D$42,MATCH($M356,'Device Refrigerant Leakage'!$B$2:$B$42,0)))*CR356*CP356)*CQ356/2204.62*CO356,"")</f>
        <v/>
      </c>
      <c r="CU356" s="135" t="str">
        <f>IF($I356&lt;&gt;"",J356*IF(W356&lt;&gt;"AR",(CS356*K356)+CT356,(CS356*AB356)+CT356*(AB356/INDEX('Device Refrigerant Leakage'!$C$2:$C$42,MATCH($M356,'Device Refrigerant Leakage'!$B$2:$B$42,0)))),"")</f>
        <v/>
      </c>
      <c r="CW356" s="135" t="str">
        <f>IF($I356&lt;&gt;"",IF(S356="User Specified",V356,INDEX('Refrigerant GWPs'!$G$2:$G$156,MATCH(S356,'Refrigerant GWPs'!$A$2:$A$157,0))),"")</f>
        <v/>
      </c>
      <c r="CX356" s="138" t="str">
        <f>IF($I356&lt;&gt;"",INDEX('Device Refrigerant Leakage'!$E$2:$E$42,MATCH($Q356,'Device Refrigerant Leakage'!$B$2:$B$42,0)),"")</f>
        <v/>
      </c>
      <c r="CY356" s="138" t="str">
        <f>IF($I356&lt;&gt;"",INDEX('Device Refrigerant Leakage'!$F$2:$F$42,MATCH($Q356,'Device Refrigerant Leakage'!$B$2:$B$42,0)),"")</f>
        <v/>
      </c>
      <c r="CZ356" s="145" t="str">
        <f>IF($I356&lt;&gt;"",INDEX('Device Refrigerant Leakage'!$G$2:$G$42,MATCH($Q356,'Device Refrigerant Leakage'!$B$2:$B$42,0)),"")</f>
        <v/>
      </c>
      <c r="DA356" s="145" t="str">
        <f>IF($I356&lt;&gt;"",J356*INDEX('Device Refrigerant Leakage'!$D$2:$D$42,MATCH($Q356,'Device Refrigerant Leakage'!$B$2:$B$42,0))*CX356/2204.62*CW356,"")</f>
        <v/>
      </c>
      <c r="DB356" s="145" t="str">
        <f>IF($I356&lt;&gt;"",J356*(INDEX('Device Refrigerant Leakage'!$D$2:$D$42,MATCH($Q356,'Device Refrigerant Leakage'!$B$2:$B$42,0))-(INDEX('Device Refrigerant Leakage'!$D$2:$D$42,MATCH($Q356,'Device Refrigerant Leakage'!$B$2:$B$42,0)))*CZ356*CX356)*CY356/2204.62*CW356,"")</f>
        <v/>
      </c>
      <c r="DC356" s="135" t="str">
        <f t="shared" si="484"/>
        <v/>
      </c>
      <c r="DE356" s="146" t="str">
        <f>IF(W356&lt;&gt;"AR","",IF(Y356="User Specified", AA356, INDEX('Refrigerant GWPs'!$G$2:$G$154,MATCH(Y356,'Refrigerant GWPs'!$A$2:$A$154,0))))</f>
        <v/>
      </c>
      <c r="DF356" s="146" t="str">
        <f>IF(W356&lt;&gt;"AR","",INDEX('Device Refrigerant Leakage'!$E$2:$E$42,MATCH(X356,'Device Refrigerant Leakage'!$B$2:$B$42,0)))</f>
        <v/>
      </c>
      <c r="DG356" s="146" t="str">
        <f>IF(W356&lt;&gt;"AR","",INDEX('Device Refrigerant Leakage'!$F$2:$F$42,MATCH(X356,'Device Refrigerant Leakage'!$B$2:$B$42,0)))</f>
        <v/>
      </c>
      <c r="DH356" s="146" t="str">
        <f>IF(W356&lt;&gt;"AR","",INDEX('Device Refrigerant Leakage'!$G$2:$G$42,MATCH(X356,'Device Refrigerant Leakage'!$B$2:$B$42,0)))</f>
        <v/>
      </c>
      <c r="DI356" s="146" t="str">
        <f>IF(W356&lt;&gt;"AR","",J356*INDEX('Device Refrigerant Leakage'!$D$2:$D$42,MATCH(X356,'Device Refrigerant Leakage'!$B$2:$B$42,0))*DF356/2204.62*DE356)</f>
        <v/>
      </c>
      <c r="DJ356" s="146" t="str">
        <f>IF(W356&lt;&gt;"AR","",J356*(INDEX('Device Refrigerant Leakage'!$D$2:$D$42,MATCH(X356,'Device Refrigerant Leakage'!$B$2:$B$42,0))-(INDEX('Device Refrigerant Leakage'!$D$2:$D$42,MATCH(X356,'Device Refrigerant Leakage'!$B$2:$B$42,0)))*DH356*DF356)*DG356/2204.62*DE356)</f>
        <v/>
      </c>
      <c r="DK356" s="146" t="str">
        <f>IF(W356&lt;&gt;"AR","",DI356*(K356-AB356)+'Fuel Sub Calcs-Deemed'!DJ356*((K356-AB356)/INDEX('Device Refrigerant Leakage'!$C$2:$C$42,MATCH('Fuel Sub Calcs-Deemed'!X356,'Device Refrigerant Leakage'!$B$2:$B$42,0))))</f>
        <v/>
      </c>
      <c r="DM356" s="56">
        <v>342</v>
      </c>
      <c r="DN356" s="67" t="e">
        <f t="shared" si="466"/>
        <v>#N/A</v>
      </c>
      <c r="DO356" s="45" t="e">
        <f t="shared" si="467"/>
        <v>#N/A</v>
      </c>
      <c r="DP356" s="67" t="e">
        <f t="shared" si="468"/>
        <v>#N/A</v>
      </c>
      <c r="DQ356" s="45" t="e">
        <f t="shared" si="469"/>
        <v>#N/A</v>
      </c>
      <c r="DR356" s="69" t="e">
        <f t="shared" si="470"/>
        <v>#N/A</v>
      </c>
      <c r="DS356" s="34"/>
      <c r="DT356" s="67" t="e">
        <f>((BX356*CJ356)+IF($W356=MAT_AR,(BZ356*CL356),0))*(1+Reference!$E$50+Reference!$E$51)</f>
        <v>#N/A</v>
      </c>
      <c r="DU356" s="67">
        <f>((BY356*CK356)+IF($W356=MAT_AR,(CA356*CM356),0))*(1+Reference!$G$50+Reference!$G$51)</f>
        <v>0</v>
      </c>
      <c r="DV356" s="67" t="e">
        <f t="shared" si="471"/>
        <v>#VALUE!</v>
      </c>
      <c r="DX356" s="56">
        <v>342</v>
      </c>
      <c r="DY356" s="67">
        <f t="shared" si="472"/>
        <v>0</v>
      </c>
      <c r="DZ356" s="45" t="e">
        <f>VLOOKUP($R356,Dropdown!$C$3:$D$4,2,FALSE)</f>
        <v>#N/A</v>
      </c>
      <c r="EA356" s="68">
        <f t="shared" si="473"/>
        <v>0</v>
      </c>
      <c r="EB356" s="68" t="str">
        <f t="shared" si="474"/>
        <v>N/A</v>
      </c>
      <c r="EC356" s="68">
        <f t="shared" si="475"/>
        <v>0</v>
      </c>
      <c r="ED356" s="68" t="str">
        <f t="shared" si="513"/>
        <v>N/A</v>
      </c>
      <c r="EF356" s="56">
        <v>342</v>
      </c>
      <c r="EG356" s="46">
        <f t="shared" si="476"/>
        <v>0</v>
      </c>
      <c r="EH356" s="68" t="e">
        <f t="shared" si="477"/>
        <v>#N/A</v>
      </c>
      <c r="EI356" s="68" t="e">
        <f t="shared" si="478"/>
        <v>#N/A</v>
      </c>
      <c r="EJ356" s="68" t="e">
        <f t="shared" si="479"/>
        <v>#N/A</v>
      </c>
      <c r="EK356" s="68" t="e">
        <f t="shared" si="480"/>
        <v>#N/A</v>
      </c>
      <c r="EL356" s="46">
        <f t="shared" si="481"/>
        <v>0</v>
      </c>
      <c r="EM356" s="46">
        <f t="shared" si="482"/>
        <v>0</v>
      </c>
    </row>
    <row r="357" spans="1:143">
      <c r="A357" s="89"/>
      <c r="B357" s="89"/>
      <c r="C357" s="89"/>
      <c r="D357" s="89"/>
      <c r="E357" s="89"/>
      <c r="F357" s="89"/>
      <c r="G357" s="34"/>
      <c r="H357" s="56">
        <f t="shared" si="483"/>
        <v>343</v>
      </c>
      <c r="I357" s="165"/>
      <c r="J357" s="163"/>
      <c r="K357" s="163"/>
      <c r="L357" s="164"/>
      <c r="M357" s="155"/>
      <c r="N357" s="155"/>
      <c r="O357" s="144"/>
      <c r="P357" s="159" t="str">
        <f>IFERROR(IF(O357&lt;&gt;"User Specified",IF(O357&lt;&gt;"", INDEX('Refrigerant GWPs'!$G$2:$G$154,MATCH(O357,'Refrigerant GWPs'!$A$2:$A$154,0)),""),U357),0)</f>
        <v/>
      </c>
      <c r="Q357" s="155"/>
      <c r="R357" s="155"/>
      <c r="S357" s="144"/>
      <c r="T357" s="159" t="str">
        <f>IF(S357&lt;&gt;"User Specified",IF(AND(S357&lt;&gt;"User Specified",S357&lt;&gt;""), INDEX('Refrigerant GWPs'!$G$2:$G$154,MATCH(S357,'Refrigerant GWPs'!$A$2:$A$154,0)),""),V357)</f>
        <v/>
      </c>
      <c r="U357" s="144"/>
      <c r="V357" s="144"/>
      <c r="W357" s="155"/>
      <c r="X357" s="155"/>
      <c r="Y357" s="144"/>
      <c r="Z357" s="159" t="str">
        <f>IF(AND(Y357&lt;&gt;"User Specified",Y357&lt;&gt;""), INDEX('Refrigerant GWPs'!$G$2:$G$154,MATCH(Y357,'Refrigerant GWPs'!$A$2:$A$154,0)),"")</f>
        <v/>
      </c>
      <c r="AA357" s="155"/>
      <c r="AB357" s="156"/>
      <c r="AC357" s="66"/>
      <c r="AD357" s="66"/>
      <c r="AE357" s="66"/>
      <c r="AF357" s="66"/>
      <c r="AG357" s="66"/>
      <c r="AH357" s="66"/>
      <c r="AI357" s="34"/>
      <c r="AJ357" s="88">
        <f t="shared" si="446"/>
        <v>0</v>
      </c>
      <c r="AK357" s="88">
        <f t="shared" si="447"/>
        <v>0</v>
      </c>
      <c r="AL357" s="88">
        <v>0</v>
      </c>
      <c r="AM357" s="88">
        <v>0</v>
      </c>
      <c r="AN357" s="81" t="str">
        <f t="shared" si="485"/>
        <v/>
      </c>
      <c r="AO357" s="88">
        <f t="shared" si="448"/>
        <v>0</v>
      </c>
      <c r="AP357" s="88">
        <f t="shared" si="449"/>
        <v>0</v>
      </c>
      <c r="AQ357" s="81" t="str">
        <f t="shared" si="450"/>
        <v/>
      </c>
      <c r="AS357" s="41" t="b">
        <f t="shared" si="451"/>
        <v>1</v>
      </c>
      <c r="AT357" s="38">
        <f t="shared" si="452"/>
        <v>0</v>
      </c>
      <c r="AU357" s="60">
        <f t="shared" si="453"/>
        <v>0</v>
      </c>
      <c r="AV357" s="41">
        <f t="shared" si="454"/>
        <v>0</v>
      </c>
      <c r="AW357" s="41" t="b">
        <f t="shared" si="455"/>
        <v>0</v>
      </c>
      <c r="AX357" t="str">
        <f t="shared" si="456"/>
        <v>+00</v>
      </c>
      <c r="AY357" t="str">
        <f t="shared" si="457"/>
        <v>+00</v>
      </c>
      <c r="BA357" s="47" t="b">
        <f t="shared" si="486"/>
        <v>1</v>
      </c>
      <c r="BB357" s="42" t="b">
        <f t="shared" si="487"/>
        <v>1</v>
      </c>
      <c r="BC357" s="42" t="b">
        <f t="shared" si="488"/>
        <v>0</v>
      </c>
      <c r="BD357" s="42" t="b">
        <f t="shared" si="489"/>
        <v>0</v>
      </c>
      <c r="BE357" s="70">
        <f t="shared" si="490"/>
        <v>0</v>
      </c>
      <c r="BF357" s="70">
        <f t="shared" si="491"/>
        <v>0</v>
      </c>
      <c r="BG357" s="34"/>
      <c r="BI357" s="47" t="b">
        <f t="shared" si="492"/>
        <v>1</v>
      </c>
      <c r="BJ357" s="47" t="b">
        <f t="shared" si="493"/>
        <v>1</v>
      </c>
      <c r="BK357" s="42" t="b">
        <f t="shared" si="494"/>
        <v>0</v>
      </c>
      <c r="BL357" s="42" t="b">
        <f t="shared" si="495"/>
        <v>0</v>
      </c>
      <c r="BM357" s="42">
        <f t="shared" si="496"/>
        <v>0</v>
      </c>
      <c r="BN357" s="42">
        <f t="shared" si="497"/>
        <v>0</v>
      </c>
      <c r="BP357" t="e">
        <f t="shared" si="498"/>
        <v>#N/A</v>
      </c>
      <c r="BQ357" t="e">
        <f t="shared" si="499"/>
        <v>#N/A</v>
      </c>
      <c r="BR357" t="e">
        <f t="shared" si="500"/>
        <v>#N/A</v>
      </c>
      <c r="BT357" s="60">
        <f t="shared" si="501"/>
        <v>0</v>
      </c>
      <c r="BU357" s="60">
        <f t="shared" si="502"/>
        <v>0</v>
      </c>
      <c r="BV357" s="60">
        <f t="shared" si="503"/>
        <v>0</v>
      </c>
      <c r="BW357" s="60">
        <f t="shared" si="504"/>
        <v>0</v>
      </c>
      <c r="BX357" s="60">
        <f t="shared" si="505"/>
        <v>0</v>
      </c>
      <c r="BY357" s="60">
        <f t="shared" si="506"/>
        <v>0</v>
      </c>
      <c r="BZ357" s="60">
        <f t="shared" si="507"/>
        <v>0</v>
      </c>
      <c r="CA357" s="60">
        <f t="shared" si="508"/>
        <v>0</v>
      </c>
      <c r="CB357" s="60" t="e">
        <f t="shared" si="458"/>
        <v>#N/A</v>
      </c>
      <c r="CC357" s="60">
        <f t="shared" si="459"/>
        <v>100000</v>
      </c>
      <c r="CD357" s="60" t="e">
        <f t="shared" si="460"/>
        <v>#N/A</v>
      </c>
      <c r="CE357" s="60">
        <f t="shared" si="461"/>
        <v>100000</v>
      </c>
      <c r="CF357" s="83" t="e">
        <f t="shared" si="509"/>
        <v>#N/A</v>
      </c>
      <c r="CG357" s="83">
        <f t="shared" si="510"/>
        <v>0</v>
      </c>
      <c r="CH357" s="83" t="e">
        <f t="shared" si="511"/>
        <v>#N/A</v>
      </c>
      <c r="CI357" s="83">
        <f t="shared" si="512"/>
        <v>0</v>
      </c>
      <c r="CJ357" s="86" t="e">
        <f t="shared" si="462"/>
        <v>#N/A</v>
      </c>
      <c r="CK357" s="82">
        <f t="shared" si="463"/>
        <v>5.3070370403969858E-3</v>
      </c>
      <c r="CL357" s="82" t="e">
        <f t="shared" si="464"/>
        <v>#N/A</v>
      </c>
      <c r="CM357" s="82">
        <f t="shared" si="465"/>
        <v>5.3070370403969858E-3</v>
      </c>
      <c r="CO357" s="149" t="str">
        <f>IF($I357&lt;&gt;"",IF(O357="User Specified",U357,INDEX('Refrigerant GWPs'!$G$2:$G$156,MATCH(O357,'Refrigerant GWPs'!$A$2:$A$156,0))),"")</f>
        <v/>
      </c>
      <c r="CP357" s="138" t="str">
        <f>IF($I357&lt;&gt;"",INDEX('Device Refrigerant Leakage'!$E$2:$E$42,MATCH($M357,'Device Refrigerant Leakage'!$B$2:$B$42,0)),"")</f>
        <v/>
      </c>
      <c r="CQ357" s="138" t="str">
        <f>IF($I357&lt;&gt;"",INDEX('Device Refrigerant Leakage'!$F$2:$F$42,MATCH($M357,'Device Refrigerant Leakage'!$B$2:$B$42,0)),"")</f>
        <v/>
      </c>
      <c r="CR357" s="145" t="str">
        <f>IF($I357&lt;&gt;"",INDEX('Device Refrigerant Leakage'!$G$2:$G$42,MATCH($M357,'Device Refrigerant Leakage'!$B$2:$B$42,0)),"")</f>
        <v/>
      </c>
      <c r="CS357" s="145" t="str">
        <f>IF($I357&lt;&gt;"",INDEX('Device Refrigerant Leakage'!$D$2:$D$42,MATCH($M357,'Device Refrigerant Leakage'!$B$2:$B$42,0))*CP357/2204.62*CO357,"")</f>
        <v/>
      </c>
      <c r="CT357" s="145" t="str">
        <f>IF($I357&lt;&gt;"",J357*(INDEX('Device Refrigerant Leakage'!$D$2:$D$42,MATCH($M357,'Device Refrigerant Leakage'!$B$2:$B$42,0))-(INDEX('Device Refrigerant Leakage'!$D$2:$D$42,MATCH($M357,'Device Refrigerant Leakage'!$B$2:$B$42,0)))*CR357*CP357)*CQ357/2204.62*CO357,"")</f>
        <v/>
      </c>
      <c r="CU357" s="135" t="str">
        <f>IF($I357&lt;&gt;"",J357*IF(W357&lt;&gt;"AR",(CS357*K357)+CT357,(CS357*AB357)+CT357*(AB357/INDEX('Device Refrigerant Leakage'!$C$2:$C$42,MATCH($M357,'Device Refrigerant Leakage'!$B$2:$B$42,0)))),"")</f>
        <v/>
      </c>
      <c r="CW357" s="135" t="str">
        <f>IF($I357&lt;&gt;"",IF(S357="User Specified",V357,INDEX('Refrigerant GWPs'!$G$2:$G$156,MATCH(S357,'Refrigerant GWPs'!$A$2:$A$157,0))),"")</f>
        <v/>
      </c>
      <c r="CX357" s="138" t="str">
        <f>IF($I357&lt;&gt;"",INDEX('Device Refrigerant Leakage'!$E$2:$E$42,MATCH($Q357,'Device Refrigerant Leakage'!$B$2:$B$42,0)),"")</f>
        <v/>
      </c>
      <c r="CY357" s="138" t="str">
        <f>IF($I357&lt;&gt;"",INDEX('Device Refrigerant Leakage'!$F$2:$F$42,MATCH($Q357,'Device Refrigerant Leakage'!$B$2:$B$42,0)),"")</f>
        <v/>
      </c>
      <c r="CZ357" s="145" t="str">
        <f>IF($I357&lt;&gt;"",INDEX('Device Refrigerant Leakage'!$G$2:$G$42,MATCH($Q357,'Device Refrigerant Leakage'!$B$2:$B$42,0)),"")</f>
        <v/>
      </c>
      <c r="DA357" s="145" t="str">
        <f>IF($I357&lt;&gt;"",J357*INDEX('Device Refrigerant Leakage'!$D$2:$D$42,MATCH($Q357,'Device Refrigerant Leakage'!$B$2:$B$42,0))*CX357/2204.62*CW357,"")</f>
        <v/>
      </c>
      <c r="DB357" s="145" t="str">
        <f>IF($I357&lt;&gt;"",J357*(INDEX('Device Refrigerant Leakage'!$D$2:$D$42,MATCH($Q357,'Device Refrigerant Leakage'!$B$2:$B$42,0))-(INDEX('Device Refrigerant Leakage'!$D$2:$D$42,MATCH($Q357,'Device Refrigerant Leakage'!$B$2:$B$42,0)))*CZ357*CX357)*CY357/2204.62*CW357,"")</f>
        <v/>
      </c>
      <c r="DC357" s="135" t="str">
        <f t="shared" si="484"/>
        <v/>
      </c>
      <c r="DE357" s="146" t="str">
        <f>IF(W357&lt;&gt;"AR","",IF(Y357="User Specified", AA357, INDEX('Refrigerant GWPs'!$G$2:$G$154,MATCH(Y357,'Refrigerant GWPs'!$A$2:$A$154,0))))</f>
        <v/>
      </c>
      <c r="DF357" s="146" t="str">
        <f>IF(W357&lt;&gt;"AR","",INDEX('Device Refrigerant Leakage'!$E$2:$E$42,MATCH(X357,'Device Refrigerant Leakage'!$B$2:$B$42,0)))</f>
        <v/>
      </c>
      <c r="DG357" s="146" t="str">
        <f>IF(W357&lt;&gt;"AR","",INDEX('Device Refrigerant Leakage'!$F$2:$F$42,MATCH(X357,'Device Refrigerant Leakage'!$B$2:$B$42,0)))</f>
        <v/>
      </c>
      <c r="DH357" s="146" t="str">
        <f>IF(W357&lt;&gt;"AR","",INDEX('Device Refrigerant Leakage'!$G$2:$G$42,MATCH(X357,'Device Refrigerant Leakage'!$B$2:$B$42,0)))</f>
        <v/>
      </c>
      <c r="DI357" s="146" t="str">
        <f>IF(W357&lt;&gt;"AR","",J357*INDEX('Device Refrigerant Leakage'!$D$2:$D$42,MATCH(X357,'Device Refrigerant Leakage'!$B$2:$B$42,0))*DF357/2204.62*DE357)</f>
        <v/>
      </c>
      <c r="DJ357" s="146" t="str">
        <f>IF(W357&lt;&gt;"AR","",J357*(INDEX('Device Refrigerant Leakage'!$D$2:$D$42,MATCH(X357,'Device Refrigerant Leakage'!$B$2:$B$42,0))-(INDEX('Device Refrigerant Leakage'!$D$2:$D$42,MATCH(X357,'Device Refrigerant Leakage'!$B$2:$B$42,0)))*DH357*DF357)*DG357/2204.62*DE357)</f>
        <v/>
      </c>
      <c r="DK357" s="146" t="str">
        <f>IF(W357&lt;&gt;"AR","",DI357*(K357-AB357)+'Fuel Sub Calcs-Deemed'!DJ357*((K357-AB357)/INDEX('Device Refrigerant Leakage'!$C$2:$C$42,MATCH('Fuel Sub Calcs-Deemed'!X357,'Device Refrigerant Leakage'!$B$2:$B$42,0))))</f>
        <v/>
      </c>
      <c r="DM357" s="56">
        <v>343</v>
      </c>
      <c r="DN357" s="67" t="e">
        <f t="shared" si="466"/>
        <v>#N/A</v>
      </c>
      <c r="DO357" s="45" t="e">
        <f t="shared" si="467"/>
        <v>#N/A</v>
      </c>
      <c r="DP357" s="67" t="e">
        <f t="shared" si="468"/>
        <v>#N/A</v>
      </c>
      <c r="DQ357" s="45" t="e">
        <f t="shared" si="469"/>
        <v>#N/A</v>
      </c>
      <c r="DR357" s="69" t="e">
        <f t="shared" si="470"/>
        <v>#N/A</v>
      </c>
      <c r="DS357" s="34"/>
      <c r="DT357" s="67" t="e">
        <f>((BX357*CJ357)+IF($W357=MAT_AR,(BZ357*CL357),0))*(1+Reference!$E$50+Reference!$E$51)</f>
        <v>#N/A</v>
      </c>
      <c r="DU357" s="67">
        <f>((BY357*CK357)+IF($W357=MAT_AR,(CA357*CM357),0))*(1+Reference!$G$50+Reference!$G$51)</f>
        <v>0</v>
      </c>
      <c r="DV357" s="67" t="e">
        <f t="shared" si="471"/>
        <v>#VALUE!</v>
      </c>
      <c r="DX357" s="56">
        <v>343</v>
      </c>
      <c r="DY357" s="67">
        <f t="shared" si="472"/>
        <v>0</v>
      </c>
      <c r="DZ357" s="45" t="e">
        <f>VLOOKUP($R357,Dropdown!$C$3:$D$4,2,FALSE)</f>
        <v>#N/A</v>
      </c>
      <c r="EA357" s="68">
        <f t="shared" si="473"/>
        <v>0</v>
      </c>
      <c r="EB357" s="68" t="str">
        <f t="shared" si="474"/>
        <v>N/A</v>
      </c>
      <c r="EC357" s="68">
        <f t="shared" si="475"/>
        <v>0</v>
      </c>
      <c r="ED357" s="68" t="str">
        <f t="shared" si="513"/>
        <v>N/A</v>
      </c>
      <c r="EF357" s="56">
        <v>343</v>
      </c>
      <c r="EG357" s="46">
        <f t="shared" si="476"/>
        <v>0</v>
      </c>
      <c r="EH357" s="68" t="e">
        <f t="shared" si="477"/>
        <v>#N/A</v>
      </c>
      <c r="EI357" s="68" t="e">
        <f t="shared" si="478"/>
        <v>#N/A</v>
      </c>
      <c r="EJ357" s="68" t="e">
        <f t="shared" si="479"/>
        <v>#N/A</v>
      </c>
      <c r="EK357" s="68" t="e">
        <f t="shared" si="480"/>
        <v>#N/A</v>
      </c>
      <c r="EL357" s="46">
        <f t="shared" si="481"/>
        <v>0</v>
      </c>
      <c r="EM357" s="46">
        <f t="shared" si="482"/>
        <v>0</v>
      </c>
    </row>
    <row r="358" spans="1:143">
      <c r="A358" s="89"/>
      <c r="B358" s="89"/>
      <c r="C358" s="89"/>
      <c r="D358" s="89"/>
      <c r="E358" s="89"/>
      <c r="F358" s="89"/>
      <c r="G358" s="34"/>
      <c r="H358" s="56">
        <f t="shared" si="483"/>
        <v>344</v>
      </c>
      <c r="I358" s="165"/>
      <c r="J358" s="163"/>
      <c r="K358" s="163"/>
      <c r="L358" s="164"/>
      <c r="M358" s="155"/>
      <c r="N358" s="155"/>
      <c r="O358" s="144"/>
      <c r="P358" s="159" t="str">
        <f>IFERROR(IF(O358&lt;&gt;"User Specified",IF(O358&lt;&gt;"", INDEX('Refrigerant GWPs'!$G$2:$G$154,MATCH(O358,'Refrigerant GWPs'!$A$2:$A$154,0)),""),U358),0)</f>
        <v/>
      </c>
      <c r="Q358" s="155"/>
      <c r="R358" s="155"/>
      <c r="S358" s="144"/>
      <c r="T358" s="159" t="str">
        <f>IF(S358&lt;&gt;"User Specified",IF(AND(S358&lt;&gt;"User Specified",S358&lt;&gt;""), INDEX('Refrigerant GWPs'!$G$2:$G$154,MATCH(S358,'Refrigerant GWPs'!$A$2:$A$154,0)),""),V358)</f>
        <v/>
      </c>
      <c r="U358" s="144"/>
      <c r="V358" s="144"/>
      <c r="W358" s="155"/>
      <c r="X358" s="155"/>
      <c r="Y358" s="144"/>
      <c r="Z358" s="159" t="str">
        <f>IF(AND(Y358&lt;&gt;"User Specified",Y358&lt;&gt;""), INDEX('Refrigerant GWPs'!$G$2:$G$154,MATCH(Y358,'Refrigerant GWPs'!$A$2:$A$154,0)),"")</f>
        <v/>
      </c>
      <c r="AA358" s="155"/>
      <c r="AB358" s="156"/>
      <c r="AC358" s="66"/>
      <c r="AD358" s="66"/>
      <c r="AE358" s="66"/>
      <c r="AF358" s="66"/>
      <c r="AG358" s="66"/>
      <c r="AH358" s="66"/>
      <c r="AI358" s="34"/>
      <c r="AJ358" s="88">
        <f t="shared" si="446"/>
        <v>0</v>
      </c>
      <c r="AK358" s="88">
        <f t="shared" si="447"/>
        <v>0</v>
      </c>
      <c r="AL358" s="88">
        <v>0</v>
      </c>
      <c r="AM358" s="88">
        <v>0</v>
      </c>
      <c r="AN358" s="81" t="str">
        <f t="shared" si="485"/>
        <v/>
      </c>
      <c r="AO358" s="88">
        <f t="shared" si="448"/>
        <v>0</v>
      </c>
      <c r="AP358" s="88">
        <f t="shared" si="449"/>
        <v>0</v>
      </c>
      <c r="AQ358" s="81" t="str">
        <f t="shared" si="450"/>
        <v/>
      </c>
      <c r="AS358" s="41" t="b">
        <f t="shared" si="451"/>
        <v>1</v>
      </c>
      <c r="AT358" s="38">
        <f t="shared" si="452"/>
        <v>0</v>
      </c>
      <c r="AU358" s="60">
        <f t="shared" si="453"/>
        <v>0</v>
      </c>
      <c r="AV358" s="41">
        <f t="shared" si="454"/>
        <v>0</v>
      </c>
      <c r="AW358" s="41" t="b">
        <f t="shared" si="455"/>
        <v>0</v>
      </c>
      <c r="AX358" t="str">
        <f t="shared" si="456"/>
        <v>+00</v>
      </c>
      <c r="AY358" t="str">
        <f t="shared" si="457"/>
        <v>+00</v>
      </c>
      <c r="BA358" s="47" t="b">
        <f t="shared" si="486"/>
        <v>1</v>
      </c>
      <c r="BB358" s="42" t="b">
        <f t="shared" si="487"/>
        <v>1</v>
      </c>
      <c r="BC358" s="42" t="b">
        <f t="shared" si="488"/>
        <v>0</v>
      </c>
      <c r="BD358" s="42" t="b">
        <f t="shared" si="489"/>
        <v>0</v>
      </c>
      <c r="BE358" s="70">
        <f t="shared" si="490"/>
        <v>0</v>
      </c>
      <c r="BF358" s="70">
        <f t="shared" si="491"/>
        <v>0</v>
      </c>
      <c r="BG358" s="34"/>
      <c r="BI358" s="47" t="b">
        <f t="shared" si="492"/>
        <v>1</v>
      </c>
      <c r="BJ358" s="47" t="b">
        <f t="shared" si="493"/>
        <v>1</v>
      </c>
      <c r="BK358" s="42" t="b">
        <f t="shared" si="494"/>
        <v>0</v>
      </c>
      <c r="BL358" s="42" t="b">
        <f t="shared" si="495"/>
        <v>0</v>
      </c>
      <c r="BM358" s="42">
        <f t="shared" si="496"/>
        <v>0</v>
      </c>
      <c r="BN358" s="42">
        <f t="shared" si="497"/>
        <v>0</v>
      </c>
      <c r="BP358" t="e">
        <f t="shared" si="498"/>
        <v>#N/A</v>
      </c>
      <c r="BQ358" t="e">
        <f t="shared" si="499"/>
        <v>#N/A</v>
      </c>
      <c r="BR358" t="e">
        <f t="shared" si="500"/>
        <v>#N/A</v>
      </c>
      <c r="BT358" s="60">
        <f t="shared" si="501"/>
        <v>0</v>
      </c>
      <c r="BU358" s="60">
        <f t="shared" si="502"/>
        <v>0</v>
      </c>
      <c r="BV358" s="60">
        <f t="shared" si="503"/>
        <v>0</v>
      </c>
      <c r="BW358" s="60">
        <f t="shared" si="504"/>
        <v>0</v>
      </c>
      <c r="BX358" s="60">
        <f t="shared" si="505"/>
        <v>0</v>
      </c>
      <c r="BY358" s="60">
        <f t="shared" si="506"/>
        <v>0</v>
      </c>
      <c r="BZ358" s="60">
        <f t="shared" si="507"/>
        <v>0</v>
      </c>
      <c r="CA358" s="60">
        <f t="shared" si="508"/>
        <v>0</v>
      </c>
      <c r="CB358" s="60" t="e">
        <f t="shared" si="458"/>
        <v>#N/A</v>
      </c>
      <c r="CC358" s="60">
        <f t="shared" si="459"/>
        <v>100000</v>
      </c>
      <c r="CD358" s="60" t="e">
        <f t="shared" si="460"/>
        <v>#N/A</v>
      </c>
      <c r="CE358" s="60">
        <f t="shared" si="461"/>
        <v>100000</v>
      </c>
      <c r="CF358" s="83" t="e">
        <f t="shared" si="509"/>
        <v>#N/A</v>
      </c>
      <c r="CG358" s="83">
        <f t="shared" si="510"/>
        <v>0</v>
      </c>
      <c r="CH358" s="83" t="e">
        <f t="shared" si="511"/>
        <v>#N/A</v>
      </c>
      <c r="CI358" s="83">
        <f t="shared" si="512"/>
        <v>0</v>
      </c>
      <c r="CJ358" s="86" t="e">
        <f t="shared" si="462"/>
        <v>#N/A</v>
      </c>
      <c r="CK358" s="82">
        <f t="shared" si="463"/>
        <v>5.3070370403969858E-3</v>
      </c>
      <c r="CL358" s="82" t="e">
        <f t="shared" si="464"/>
        <v>#N/A</v>
      </c>
      <c r="CM358" s="82">
        <f t="shared" si="465"/>
        <v>5.3070370403969858E-3</v>
      </c>
      <c r="CO358" s="149" t="str">
        <f>IF($I358&lt;&gt;"",IF(O358="User Specified",U358,INDEX('Refrigerant GWPs'!$G$2:$G$156,MATCH(O358,'Refrigerant GWPs'!$A$2:$A$156,0))),"")</f>
        <v/>
      </c>
      <c r="CP358" s="138" t="str">
        <f>IF($I358&lt;&gt;"",INDEX('Device Refrigerant Leakage'!$E$2:$E$42,MATCH($M358,'Device Refrigerant Leakage'!$B$2:$B$42,0)),"")</f>
        <v/>
      </c>
      <c r="CQ358" s="138" t="str">
        <f>IF($I358&lt;&gt;"",INDEX('Device Refrigerant Leakage'!$F$2:$F$42,MATCH($M358,'Device Refrigerant Leakage'!$B$2:$B$42,0)),"")</f>
        <v/>
      </c>
      <c r="CR358" s="145" t="str">
        <f>IF($I358&lt;&gt;"",INDEX('Device Refrigerant Leakage'!$G$2:$G$42,MATCH($M358,'Device Refrigerant Leakage'!$B$2:$B$42,0)),"")</f>
        <v/>
      </c>
      <c r="CS358" s="145" t="str">
        <f>IF($I358&lt;&gt;"",INDEX('Device Refrigerant Leakage'!$D$2:$D$42,MATCH($M358,'Device Refrigerant Leakage'!$B$2:$B$42,0))*CP358/2204.62*CO358,"")</f>
        <v/>
      </c>
      <c r="CT358" s="145" t="str">
        <f>IF($I358&lt;&gt;"",J358*(INDEX('Device Refrigerant Leakage'!$D$2:$D$42,MATCH($M358,'Device Refrigerant Leakage'!$B$2:$B$42,0))-(INDEX('Device Refrigerant Leakage'!$D$2:$D$42,MATCH($M358,'Device Refrigerant Leakage'!$B$2:$B$42,0)))*CR358*CP358)*CQ358/2204.62*CO358,"")</f>
        <v/>
      </c>
      <c r="CU358" s="135" t="str">
        <f>IF($I358&lt;&gt;"",J358*IF(W358&lt;&gt;"AR",(CS358*K358)+CT358,(CS358*AB358)+CT358*(AB358/INDEX('Device Refrigerant Leakage'!$C$2:$C$42,MATCH($M358,'Device Refrigerant Leakage'!$B$2:$B$42,0)))),"")</f>
        <v/>
      </c>
      <c r="CW358" s="135" t="str">
        <f>IF($I358&lt;&gt;"",IF(S358="User Specified",V358,INDEX('Refrigerant GWPs'!$G$2:$G$156,MATCH(S358,'Refrigerant GWPs'!$A$2:$A$157,0))),"")</f>
        <v/>
      </c>
      <c r="CX358" s="138" t="str">
        <f>IF($I358&lt;&gt;"",INDEX('Device Refrigerant Leakage'!$E$2:$E$42,MATCH($Q358,'Device Refrigerant Leakage'!$B$2:$B$42,0)),"")</f>
        <v/>
      </c>
      <c r="CY358" s="138" t="str">
        <f>IF($I358&lt;&gt;"",INDEX('Device Refrigerant Leakage'!$F$2:$F$42,MATCH($Q358,'Device Refrigerant Leakage'!$B$2:$B$42,0)),"")</f>
        <v/>
      </c>
      <c r="CZ358" s="145" t="str">
        <f>IF($I358&lt;&gt;"",INDEX('Device Refrigerant Leakage'!$G$2:$G$42,MATCH($Q358,'Device Refrigerant Leakage'!$B$2:$B$42,0)),"")</f>
        <v/>
      </c>
      <c r="DA358" s="145" t="str">
        <f>IF($I358&lt;&gt;"",J358*INDEX('Device Refrigerant Leakage'!$D$2:$D$42,MATCH($Q358,'Device Refrigerant Leakage'!$B$2:$B$42,0))*CX358/2204.62*CW358,"")</f>
        <v/>
      </c>
      <c r="DB358" s="145" t="str">
        <f>IF($I358&lt;&gt;"",J358*(INDEX('Device Refrigerant Leakage'!$D$2:$D$42,MATCH($Q358,'Device Refrigerant Leakage'!$B$2:$B$42,0))-(INDEX('Device Refrigerant Leakage'!$D$2:$D$42,MATCH($Q358,'Device Refrigerant Leakage'!$B$2:$B$42,0)))*CZ358*CX358)*CY358/2204.62*CW358,"")</f>
        <v/>
      </c>
      <c r="DC358" s="135" t="str">
        <f t="shared" si="484"/>
        <v/>
      </c>
      <c r="DE358" s="146" t="str">
        <f>IF(W358&lt;&gt;"AR","",IF(Y358="User Specified", AA358, INDEX('Refrigerant GWPs'!$G$2:$G$154,MATCH(Y358,'Refrigerant GWPs'!$A$2:$A$154,0))))</f>
        <v/>
      </c>
      <c r="DF358" s="146" t="str">
        <f>IF(W358&lt;&gt;"AR","",INDEX('Device Refrigerant Leakage'!$E$2:$E$42,MATCH(X358,'Device Refrigerant Leakage'!$B$2:$B$42,0)))</f>
        <v/>
      </c>
      <c r="DG358" s="146" t="str">
        <f>IF(W358&lt;&gt;"AR","",INDEX('Device Refrigerant Leakage'!$F$2:$F$42,MATCH(X358,'Device Refrigerant Leakage'!$B$2:$B$42,0)))</f>
        <v/>
      </c>
      <c r="DH358" s="146" t="str">
        <f>IF(W358&lt;&gt;"AR","",INDEX('Device Refrigerant Leakage'!$G$2:$G$42,MATCH(X358,'Device Refrigerant Leakage'!$B$2:$B$42,0)))</f>
        <v/>
      </c>
      <c r="DI358" s="146" t="str">
        <f>IF(W358&lt;&gt;"AR","",J358*INDEX('Device Refrigerant Leakage'!$D$2:$D$42,MATCH(X358,'Device Refrigerant Leakage'!$B$2:$B$42,0))*DF358/2204.62*DE358)</f>
        <v/>
      </c>
      <c r="DJ358" s="146" t="str">
        <f>IF(W358&lt;&gt;"AR","",J358*(INDEX('Device Refrigerant Leakage'!$D$2:$D$42,MATCH(X358,'Device Refrigerant Leakage'!$B$2:$B$42,0))-(INDEX('Device Refrigerant Leakage'!$D$2:$D$42,MATCH(X358,'Device Refrigerant Leakage'!$B$2:$B$42,0)))*DH358*DF358)*DG358/2204.62*DE358)</f>
        <v/>
      </c>
      <c r="DK358" s="146" t="str">
        <f>IF(W358&lt;&gt;"AR","",DI358*(K358-AB358)+'Fuel Sub Calcs-Deemed'!DJ358*((K358-AB358)/INDEX('Device Refrigerant Leakage'!$C$2:$C$42,MATCH('Fuel Sub Calcs-Deemed'!X358,'Device Refrigerant Leakage'!$B$2:$B$42,0))))</f>
        <v/>
      </c>
      <c r="DM358" s="56">
        <v>344</v>
      </c>
      <c r="DN358" s="67" t="e">
        <f t="shared" si="466"/>
        <v>#N/A</v>
      </c>
      <c r="DO358" s="45" t="e">
        <f t="shared" si="467"/>
        <v>#N/A</v>
      </c>
      <c r="DP358" s="67" t="e">
        <f t="shared" si="468"/>
        <v>#N/A</v>
      </c>
      <c r="DQ358" s="45" t="e">
        <f t="shared" si="469"/>
        <v>#N/A</v>
      </c>
      <c r="DR358" s="69" t="e">
        <f t="shared" si="470"/>
        <v>#N/A</v>
      </c>
      <c r="DS358" s="34"/>
      <c r="DT358" s="67" t="e">
        <f>((BX358*CJ358)+IF($W358=MAT_AR,(BZ358*CL358),0))*(1+Reference!$E$50+Reference!$E$51)</f>
        <v>#N/A</v>
      </c>
      <c r="DU358" s="67">
        <f>((BY358*CK358)+IF($W358=MAT_AR,(CA358*CM358),0))*(1+Reference!$G$50+Reference!$G$51)</f>
        <v>0</v>
      </c>
      <c r="DV358" s="67" t="e">
        <f t="shared" si="471"/>
        <v>#VALUE!</v>
      </c>
      <c r="DX358" s="56">
        <v>344</v>
      </c>
      <c r="DY358" s="67">
        <f t="shared" si="472"/>
        <v>0</v>
      </c>
      <c r="DZ358" s="45" t="e">
        <f>VLOOKUP($R358,Dropdown!$C$3:$D$4,2,FALSE)</f>
        <v>#N/A</v>
      </c>
      <c r="EA358" s="68">
        <f t="shared" si="473"/>
        <v>0</v>
      </c>
      <c r="EB358" s="68" t="str">
        <f t="shared" si="474"/>
        <v>N/A</v>
      </c>
      <c r="EC358" s="68">
        <f t="shared" si="475"/>
        <v>0</v>
      </c>
      <c r="ED358" s="68" t="str">
        <f t="shared" si="513"/>
        <v>N/A</v>
      </c>
      <c r="EF358" s="56">
        <v>344</v>
      </c>
      <c r="EG358" s="46">
        <f t="shared" si="476"/>
        <v>0</v>
      </c>
      <c r="EH358" s="68" t="e">
        <f t="shared" si="477"/>
        <v>#N/A</v>
      </c>
      <c r="EI358" s="68" t="e">
        <f t="shared" si="478"/>
        <v>#N/A</v>
      </c>
      <c r="EJ358" s="68" t="e">
        <f t="shared" si="479"/>
        <v>#N/A</v>
      </c>
      <c r="EK358" s="68" t="e">
        <f t="shared" si="480"/>
        <v>#N/A</v>
      </c>
      <c r="EL358" s="46">
        <f t="shared" si="481"/>
        <v>0</v>
      </c>
      <c r="EM358" s="46">
        <f t="shared" si="482"/>
        <v>0</v>
      </c>
    </row>
    <row r="359" spans="1:143">
      <c r="A359" s="89"/>
      <c r="B359" s="89"/>
      <c r="C359" s="89"/>
      <c r="D359" s="89"/>
      <c r="E359" s="89"/>
      <c r="F359" s="89"/>
      <c r="G359" s="34"/>
      <c r="H359" s="56">
        <f t="shared" si="483"/>
        <v>345</v>
      </c>
      <c r="I359" s="165"/>
      <c r="J359" s="163"/>
      <c r="K359" s="163"/>
      <c r="L359" s="164"/>
      <c r="M359" s="155"/>
      <c r="N359" s="155"/>
      <c r="O359" s="144"/>
      <c r="P359" s="159" t="str">
        <f>IFERROR(IF(O359&lt;&gt;"User Specified",IF(O359&lt;&gt;"", INDEX('Refrigerant GWPs'!$G$2:$G$154,MATCH(O359,'Refrigerant GWPs'!$A$2:$A$154,0)),""),U359),0)</f>
        <v/>
      </c>
      <c r="Q359" s="155"/>
      <c r="R359" s="155"/>
      <c r="S359" s="144"/>
      <c r="T359" s="159" t="str">
        <f>IF(S359&lt;&gt;"User Specified",IF(AND(S359&lt;&gt;"User Specified",S359&lt;&gt;""), INDEX('Refrigerant GWPs'!$G$2:$G$154,MATCH(S359,'Refrigerant GWPs'!$A$2:$A$154,0)),""),V359)</f>
        <v/>
      </c>
      <c r="U359" s="144"/>
      <c r="V359" s="144"/>
      <c r="W359" s="155"/>
      <c r="X359" s="155"/>
      <c r="Y359" s="144"/>
      <c r="Z359" s="159" t="str">
        <f>IF(AND(Y359&lt;&gt;"User Specified",Y359&lt;&gt;""), INDEX('Refrigerant GWPs'!$G$2:$G$154,MATCH(Y359,'Refrigerant GWPs'!$A$2:$A$154,0)),"")</f>
        <v/>
      </c>
      <c r="AA359" s="155"/>
      <c r="AB359" s="156"/>
      <c r="AC359" s="66"/>
      <c r="AD359" s="66"/>
      <c r="AE359" s="66"/>
      <c r="AF359" s="66"/>
      <c r="AG359" s="66"/>
      <c r="AH359" s="66"/>
      <c r="AI359" s="34"/>
      <c r="AJ359" s="88">
        <f t="shared" si="446"/>
        <v>0</v>
      </c>
      <c r="AK359" s="88">
        <f t="shared" si="447"/>
        <v>0</v>
      </c>
      <c r="AL359" s="88">
        <v>0</v>
      </c>
      <c r="AM359" s="88">
        <v>0</v>
      </c>
      <c r="AN359" s="81" t="str">
        <f t="shared" si="485"/>
        <v/>
      </c>
      <c r="AO359" s="88">
        <f t="shared" si="448"/>
        <v>0</v>
      </c>
      <c r="AP359" s="88">
        <f t="shared" si="449"/>
        <v>0</v>
      </c>
      <c r="AQ359" s="81" t="str">
        <f t="shared" si="450"/>
        <v/>
      </c>
      <c r="AS359" s="41" t="b">
        <f t="shared" si="451"/>
        <v>1</v>
      </c>
      <c r="AT359" s="38">
        <f t="shared" si="452"/>
        <v>0</v>
      </c>
      <c r="AU359" s="60">
        <f t="shared" si="453"/>
        <v>0</v>
      </c>
      <c r="AV359" s="41">
        <f t="shared" si="454"/>
        <v>0</v>
      </c>
      <c r="AW359" s="41" t="b">
        <f t="shared" si="455"/>
        <v>0</v>
      </c>
      <c r="AX359" t="str">
        <f t="shared" si="456"/>
        <v>+00</v>
      </c>
      <c r="AY359" t="str">
        <f t="shared" si="457"/>
        <v>+00</v>
      </c>
      <c r="BA359" s="47" t="b">
        <f t="shared" si="486"/>
        <v>1</v>
      </c>
      <c r="BB359" s="42" t="b">
        <f t="shared" si="487"/>
        <v>1</v>
      </c>
      <c r="BC359" s="42" t="b">
        <f t="shared" si="488"/>
        <v>0</v>
      </c>
      <c r="BD359" s="42" t="b">
        <f t="shared" si="489"/>
        <v>0</v>
      </c>
      <c r="BE359" s="70">
        <f t="shared" si="490"/>
        <v>0</v>
      </c>
      <c r="BF359" s="70">
        <f t="shared" si="491"/>
        <v>0</v>
      </c>
      <c r="BG359" s="34"/>
      <c r="BI359" s="47" t="b">
        <f t="shared" si="492"/>
        <v>1</v>
      </c>
      <c r="BJ359" s="47" t="b">
        <f t="shared" si="493"/>
        <v>1</v>
      </c>
      <c r="BK359" s="42" t="b">
        <f t="shared" si="494"/>
        <v>0</v>
      </c>
      <c r="BL359" s="42" t="b">
        <f t="shared" si="495"/>
        <v>0</v>
      </c>
      <c r="BM359" s="42">
        <f t="shared" si="496"/>
        <v>0</v>
      </c>
      <c r="BN359" s="42">
        <f t="shared" si="497"/>
        <v>0</v>
      </c>
      <c r="BP359" t="e">
        <f t="shared" si="498"/>
        <v>#N/A</v>
      </c>
      <c r="BQ359" t="e">
        <f t="shared" si="499"/>
        <v>#N/A</v>
      </c>
      <c r="BR359" t="e">
        <f t="shared" si="500"/>
        <v>#N/A</v>
      </c>
      <c r="BT359" s="60">
        <f t="shared" si="501"/>
        <v>0</v>
      </c>
      <c r="BU359" s="60">
        <f t="shared" si="502"/>
        <v>0</v>
      </c>
      <c r="BV359" s="60">
        <f t="shared" si="503"/>
        <v>0</v>
      </c>
      <c r="BW359" s="60">
        <f t="shared" si="504"/>
        <v>0</v>
      </c>
      <c r="BX359" s="60">
        <f t="shared" si="505"/>
        <v>0</v>
      </c>
      <c r="BY359" s="60">
        <f t="shared" si="506"/>
        <v>0</v>
      </c>
      <c r="BZ359" s="60">
        <f t="shared" si="507"/>
        <v>0</v>
      </c>
      <c r="CA359" s="60">
        <f t="shared" si="508"/>
        <v>0</v>
      </c>
      <c r="CB359" s="60" t="e">
        <f t="shared" si="458"/>
        <v>#N/A</v>
      </c>
      <c r="CC359" s="60">
        <f t="shared" si="459"/>
        <v>100000</v>
      </c>
      <c r="CD359" s="60" t="e">
        <f t="shared" si="460"/>
        <v>#N/A</v>
      </c>
      <c r="CE359" s="60">
        <f t="shared" si="461"/>
        <v>100000</v>
      </c>
      <c r="CF359" s="83" t="e">
        <f t="shared" si="509"/>
        <v>#N/A</v>
      </c>
      <c r="CG359" s="83">
        <f t="shared" si="510"/>
        <v>0</v>
      </c>
      <c r="CH359" s="83" t="e">
        <f t="shared" si="511"/>
        <v>#N/A</v>
      </c>
      <c r="CI359" s="83">
        <f t="shared" si="512"/>
        <v>0</v>
      </c>
      <c r="CJ359" s="86" t="e">
        <f t="shared" si="462"/>
        <v>#N/A</v>
      </c>
      <c r="CK359" s="82">
        <f t="shared" si="463"/>
        <v>5.3070370403969858E-3</v>
      </c>
      <c r="CL359" s="82" t="e">
        <f t="shared" si="464"/>
        <v>#N/A</v>
      </c>
      <c r="CM359" s="82">
        <f t="shared" si="465"/>
        <v>5.3070370403969858E-3</v>
      </c>
      <c r="CO359" s="149" t="str">
        <f>IF($I359&lt;&gt;"",IF(O359="User Specified",U359,INDEX('Refrigerant GWPs'!$G$2:$G$156,MATCH(O359,'Refrigerant GWPs'!$A$2:$A$156,0))),"")</f>
        <v/>
      </c>
      <c r="CP359" s="138" t="str">
        <f>IF($I359&lt;&gt;"",INDEX('Device Refrigerant Leakage'!$E$2:$E$42,MATCH($M359,'Device Refrigerant Leakage'!$B$2:$B$42,0)),"")</f>
        <v/>
      </c>
      <c r="CQ359" s="138" t="str">
        <f>IF($I359&lt;&gt;"",INDEX('Device Refrigerant Leakage'!$F$2:$F$42,MATCH($M359,'Device Refrigerant Leakage'!$B$2:$B$42,0)),"")</f>
        <v/>
      </c>
      <c r="CR359" s="145" t="str">
        <f>IF($I359&lt;&gt;"",INDEX('Device Refrigerant Leakage'!$G$2:$G$42,MATCH($M359,'Device Refrigerant Leakage'!$B$2:$B$42,0)),"")</f>
        <v/>
      </c>
      <c r="CS359" s="145" t="str">
        <f>IF($I359&lt;&gt;"",INDEX('Device Refrigerant Leakage'!$D$2:$D$42,MATCH($M359,'Device Refrigerant Leakage'!$B$2:$B$42,0))*CP359/2204.62*CO359,"")</f>
        <v/>
      </c>
      <c r="CT359" s="145" t="str">
        <f>IF($I359&lt;&gt;"",J359*(INDEX('Device Refrigerant Leakage'!$D$2:$D$42,MATCH($M359,'Device Refrigerant Leakage'!$B$2:$B$42,0))-(INDEX('Device Refrigerant Leakage'!$D$2:$D$42,MATCH($M359,'Device Refrigerant Leakage'!$B$2:$B$42,0)))*CR359*CP359)*CQ359/2204.62*CO359,"")</f>
        <v/>
      </c>
      <c r="CU359" s="135" t="str">
        <f>IF($I359&lt;&gt;"",J359*IF(W359&lt;&gt;"AR",(CS359*K359)+CT359,(CS359*AB359)+CT359*(AB359/INDEX('Device Refrigerant Leakage'!$C$2:$C$42,MATCH($M359,'Device Refrigerant Leakage'!$B$2:$B$42,0)))),"")</f>
        <v/>
      </c>
      <c r="CW359" s="135" t="str">
        <f>IF($I359&lt;&gt;"",IF(S359="User Specified",V359,INDEX('Refrigerant GWPs'!$G$2:$G$156,MATCH(S359,'Refrigerant GWPs'!$A$2:$A$157,0))),"")</f>
        <v/>
      </c>
      <c r="CX359" s="138" t="str">
        <f>IF($I359&lt;&gt;"",INDEX('Device Refrigerant Leakage'!$E$2:$E$42,MATCH($Q359,'Device Refrigerant Leakage'!$B$2:$B$42,0)),"")</f>
        <v/>
      </c>
      <c r="CY359" s="138" t="str">
        <f>IF($I359&lt;&gt;"",INDEX('Device Refrigerant Leakage'!$F$2:$F$42,MATCH($Q359,'Device Refrigerant Leakage'!$B$2:$B$42,0)),"")</f>
        <v/>
      </c>
      <c r="CZ359" s="145" t="str">
        <f>IF($I359&lt;&gt;"",INDEX('Device Refrigerant Leakage'!$G$2:$G$42,MATCH($Q359,'Device Refrigerant Leakage'!$B$2:$B$42,0)),"")</f>
        <v/>
      </c>
      <c r="DA359" s="145" t="str">
        <f>IF($I359&lt;&gt;"",J359*INDEX('Device Refrigerant Leakage'!$D$2:$D$42,MATCH($Q359,'Device Refrigerant Leakage'!$B$2:$B$42,0))*CX359/2204.62*CW359,"")</f>
        <v/>
      </c>
      <c r="DB359" s="145" t="str">
        <f>IF($I359&lt;&gt;"",J359*(INDEX('Device Refrigerant Leakage'!$D$2:$D$42,MATCH($Q359,'Device Refrigerant Leakage'!$B$2:$B$42,0))-(INDEX('Device Refrigerant Leakage'!$D$2:$D$42,MATCH($Q359,'Device Refrigerant Leakage'!$B$2:$B$42,0)))*CZ359*CX359)*CY359/2204.62*CW359,"")</f>
        <v/>
      </c>
      <c r="DC359" s="135" t="str">
        <f t="shared" si="484"/>
        <v/>
      </c>
      <c r="DE359" s="146" t="str">
        <f>IF(W359&lt;&gt;"AR","",IF(Y359="User Specified", AA359, INDEX('Refrigerant GWPs'!$G$2:$G$154,MATCH(Y359,'Refrigerant GWPs'!$A$2:$A$154,0))))</f>
        <v/>
      </c>
      <c r="DF359" s="146" t="str">
        <f>IF(W359&lt;&gt;"AR","",INDEX('Device Refrigerant Leakage'!$E$2:$E$42,MATCH(X359,'Device Refrigerant Leakage'!$B$2:$B$42,0)))</f>
        <v/>
      </c>
      <c r="DG359" s="146" t="str">
        <f>IF(W359&lt;&gt;"AR","",INDEX('Device Refrigerant Leakage'!$F$2:$F$42,MATCH(X359,'Device Refrigerant Leakage'!$B$2:$B$42,0)))</f>
        <v/>
      </c>
      <c r="DH359" s="146" t="str">
        <f>IF(W359&lt;&gt;"AR","",INDEX('Device Refrigerant Leakage'!$G$2:$G$42,MATCH(X359,'Device Refrigerant Leakage'!$B$2:$B$42,0)))</f>
        <v/>
      </c>
      <c r="DI359" s="146" t="str">
        <f>IF(W359&lt;&gt;"AR","",J359*INDEX('Device Refrigerant Leakage'!$D$2:$D$42,MATCH(X359,'Device Refrigerant Leakage'!$B$2:$B$42,0))*DF359/2204.62*DE359)</f>
        <v/>
      </c>
      <c r="DJ359" s="146" t="str">
        <f>IF(W359&lt;&gt;"AR","",J359*(INDEX('Device Refrigerant Leakage'!$D$2:$D$42,MATCH(X359,'Device Refrigerant Leakage'!$B$2:$B$42,0))-(INDEX('Device Refrigerant Leakage'!$D$2:$D$42,MATCH(X359,'Device Refrigerant Leakage'!$B$2:$B$42,0)))*DH359*DF359)*DG359/2204.62*DE359)</f>
        <v/>
      </c>
      <c r="DK359" s="146" t="str">
        <f>IF(W359&lt;&gt;"AR","",DI359*(K359-AB359)+'Fuel Sub Calcs-Deemed'!DJ359*((K359-AB359)/INDEX('Device Refrigerant Leakage'!$C$2:$C$42,MATCH('Fuel Sub Calcs-Deemed'!X359,'Device Refrigerant Leakage'!$B$2:$B$42,0))))</f>
        <v/>
      </c>
      <c r="DM359" s="56">
        <v>345</v>
      </c>
      <c r="DN359" s="67" t="e">
        <f t="shared" si="466"/>
        <v>#N/A</v>
      </c>
      <c r="DO359" s="45" t="e">
        <f t="shared" si="467"/>
        <v>#N/A</v>
      </c>
      <c r="DP359" s="67" t="e">
        <f t="shared" si="468"/>
        <v>#N/A</v>
      </c>
      <c r="DQ359" s="45" t="e">
        <f t="shared" si="469"/>
        <v>#N/A</v>
      </c>
      <c r="DR359" s="69" t="e">
        <f t="shared" si="470"/>
        <v>#N/A</v>
      </c>
      <c r="DS359" s="34"/>
      <c r="DT359" s="67" t="e">
        <f>((BX359*CJ359)+IF($W359=MAT_AR,(BZ359*CL359),0))*(1+Reference!$E$50+Reference!$E$51)</f>
        <v>#N/A</v>
      </c>
      <c r="DU359" s="67">
        <f>((BY359*CK359)+IF($W359=MAT_AR,(CA359*CM359),0))*(1+Reference!$G$50+Reference!$G$51)</f>
        <v>0</v>
      </c>
      <c r="DV359" s="67" t="e">
        <f t="shared" si="471"/>
        <v>#VALUE!</v>
      </c>
      <c r="DX359" s="56">
        <v>345</v>
      </c>
      <c r="DY359" s="67">
        <f t="shared" si="472"/>
        <v>0</v>
      </c>
      <c r="DZ359" s="45" t="e">
        <f>VLOOKUP($R359,Dropdown!$C$3:$D$4,2,FALSE)</f>
        <v>#N/A</v>
      </c>
      <c r="EA359" s="68">
        <f t="shared" si="473"/>
        <v>0</v>
      </c>
      <c r="EB359" s="68" t="str">
        <f t="shared" si="474"/>
        <v>N/A</v>
      </c>
      <c r="EC359" s="68">
        <f t="shared" si="475"/>
        <v>0</v>
      </c>
      <c r="ED359" s="68" t="str">
        <f t="shared" si="513"/>
        <v>N/A</v>
      </c>
      <c r="EF359" s="56">
        <v>345</v>
      </c>
      <c r="EG359" s="46">
        <f t="shared" si="476"/>
        <v>0</v>
      </c>
      <c r="EH359" s="68" t="e">
        <f t="shared" si="477"/>
        <v>#N/A</v>
      </c>
      <c r="EI359" s="68" t="e">
        <f t="shared" si="478"/>
        <v>#N/A</v>
      </c>
      <c r="EJ359" s="68" t="e">
        <f t="shared" si="479"/>
        <v>#N/A</v>
      </c>
      <c r="EK359" s="68" t="e">
        <f t="shared" si="480"/>
        <v>#N/A</v>
      </c>
      <c r="EL359" s="46">
        <f t="shared" si="481"/>
        <v>0</v>
      </c>
      <c r="EM359" s="46">
        <f t="shared" si="482"/>
        <v>0</v>
      </c>
    </row>
    <row r="360" spans="1:143">
      <c r="A360" s="89"/>
      <c r="B360" s="89"/>
      <c r="C360" s="89"/>
      <c r="D360" s="89"/>
      <c r="E360" s="89"/>
      <c r="F360" s="89"/>
      <c r="G360" s="34"/>
      <c r="H360" s="56">
        <f t="shared" si="483"/>
        <v>346</v>
      </c>
      <c r="I360" s="165"/>
      <c r="J360" s="163"/>
      <c r="K360" s="163"/>
      <c r="L360" s="164"/>
      <c r="M360" s="155"/>
      <c r="N360" s="155"/>
      <c r="O360" s="144"/>
      <c r="P360" s="159" t="str">
        <f>IFERROR(IF(O360&lt;&gt;"User Specified",IF(O360&lt;&gt;"", INDEX('Refrigerant GWPs'!$G$2:$G$154,MATCH(O360,'Refrigerant GWPs'!$A$2:$A$154,0)),""),U360),0)</f>
        <v/>
      </c>
      <c r="Q360" s="155"/>
      <c r="R360" s="155"/>
      <c r="S360" s="144"/>
      <c r="T360" s="159" t="str">
        <f>IF(S360&lt;&gt;"User Specified",IF(AND(S360&lt;&gt;"User Specified",S360&lt;&gt;""), INDEX('Refrigerant GWPs'!$G$2:$G$154,MATCH(S360,'Refrigerant GWPs'!$A$2:$A$154,0)),""),V360)</f>
        <v/>
      </c>
      <c r="U360" s="144"/>
      <c r="V360" s="144"/>
      <c r="W360" s="155"/>
      <c r="X360" s="155"/>
      <c r="Y360" s="144"/>
      <c r="Z360" s="159" t="str">
        <f>IF(AND(Y360&lt;&gt;"User Specified",Y360&lt;&gt;""), INDEX('Refrigerant GWPs'!$G$2:$G$154,MATCH(Y360,'Refrigerant GWPs'!$A$2:$A$154,0)),"")</f>
        <v/>
      </c>
      <c r="AA360" s="155"/>
      <c r="AB360" s="156"/>
      <c r="AC360" s="66"/>
      <c r="AD360" s="66"/>
      <c r="AE360" s="66"/>
      <c r="AF360" s="66"/>
      <c r="AG360" s="66"/>
      <c r="AH360" s="66"/>
      <c r="AI360" s="34"/>
      <c r="AJ360" s="88">
        <f t="shared" si="446"/>
        <v>0</v>
      </c>
      <c r="AK360" s="88">
        <f t="shared" si="447"/>
        <v>0</v>
      </c>
      <c r="AL360" s="88">
        <v>0</v>
      </c>
      <c r="AM360" s="88">
        <v>0</v>
      </c>
      <c r="AN360" s="81" t="str">
        <f t="shared" si="485"/>
        <v/>
      </c>
      <c r="AO360" s="88">
        <f t="shared" si="448"/>
        <v>0</v>
      </c>
      <c r="AP360" s="88">
        <f t="shared" si="449"/>
        <v>0</v>
      </c>
      <c r="AQ360" s="81" t="str">
        <f t="shared" si="450"/>
        <v/>
      </c>
      <c r="AS360" s="41" t="b">
        <f t="shared" si="451"/>
        <v>1</v>
      </c>
      <c r="AT360" s="38">
        <f t="shared" si="452"/>
        <v>0</v>
      </c>
      <c r="AU360" s="60">
        <f t="shared" si="453"/>
        <v>0</v>
      </c>
      <c r="AV360" s="41">
        <f t="shared" si="454"/>
        <v>0</v>
      </c>
      <c r="AW360" s="41" t="b">
        <f t="shared" si="455"/>
        <v>0</v>
      </c>
      <c r="AX360" t="str">
        <f t="shared" si="456"/>
        <v>+00</v>
      </c>
      <c r="AY360" t="str">
        <f t="shared" si="457"/>
        <v>+00</v>
      </c>
      <c r="BA360" s="47" t="b">
        <f t="shared" si="486"/>
        <v>1</v>
      </c>
      <c r="BB360" s="42" t="b">
        <f t="shared" si="487"/>
        <v>1</v>
      </c>
      <c r="BC360" s="42" t="b">
        <f t="shared" si="488"/>
        <v>0</v>
      </c>
      <c r="BD360" s="42" t="b">
        <f t="shared" si="489"/>
        <v>0</v>
      </c>
      <c r="BE360" s="70">
        <f t="shared" si="490"/>
        <v>0</v>
      </c>
      <c r="BF360" s="70">
        <f t="shared" si="491"/>
        <v>0</v>
      </c>
      <c r="BG360" s="34"/>
      <c r="BI360" s="47" t="b">
        <f t="shared" si="492"/>
        <v>1</v>
      </c>
      <c r="BJ360" s="47" t="b">
        <f t="shared" si="493"/>
        <v>1</v>
      </c>
      <c r="BK360" s="42" t="b">
        <f t="shared" si="494"/>
        <v>0</v>
      </c>
      <c r="BL360" s="42" t="b">
        <f t="shared" si="495"/>
        <v>0</v>
      </c>
      <c r="BM360" s="42">
        <f t="shared" si="496"/>
        <v>0</v>
      </c>
      <c r="BN360" s="42">
        <f t="shared" si="497"/>
        <v>0</v>
      </c>
      <c r="BP360" t="e">
        <f t="shared" si="498"/>
        <v>#N/A</v>
      </c>
      <c r="BQ360" t="e">
        <f t="shared" si="499"/>
        <v>#N/A</v>
      </c>
      <c r="BR360" t="e">
        <f t="shared" si="500"/>
        <v>#N/A</v>
      </c>
      <c r="BT360" s="60">
        <f t="shared" si="501"/>
        <v>0</v>
      </c>
      <c r="BU360" s="60">
        <f t="shared" si="502"/>
        <v>0</v>
      </c>
      <c r="BV360" s="60">
        <f t="shared" si="503"/>
        <v>0</v>
      </c>
      <c r="BW360" s="60">
        <f t="shared" si="504"/>
        <v>0</v>
      </c>
      <c r="BX360" s="60">
        <f t="shared" si="505"/>
        <v>0</v>
      </c>
      <c r="BY360" s="60">
        <f t="shared" si="506"/>
        <v>0</v>
      </c>
      <c r="BZ360" s="60">
        <f t="shared" si="507"/>
        <v>0</v>
      </c>
      <c r="CA360" s="60">
        <f t="shared" si="508"/>
        <v>0</v>
      </c>
      <c r="CB360" s="60" t="e">
        <f t="shared" si="458"/>
        <v>#N/A</v>
      </c>
      <c r="CC360" s="60">
        <f t="shared" si="459"/>
        <v>100000</v>
      </c>
      <c r="CD360" s="60" t="e">
        <f t="shared" si="460"/>
        <v>#N/A</v>
      </c>
      <c r="CE360" s="60">
        <f t="shared" si="461"/>
        <v>100000</v>
      </c>
      <c r="CF360" s="83" t="e">
        <f t="shared" si="509"/>
        <v>#N/A</v>
      </c>
      <c r="CG360" s="83">
        <f t="shared" si="510"/>
        <v>0</v>
      </c>
      <c r="CH360" s="83" t="e">
        <f t="shared" si="511"/>
        <v>#N/A</v>
      </c>
      <c r="CI360" s="83">
        <f t="shared" si="512"/>
        <v>0</v>
      </c>
      <c r="CJ360" s="86" t="e">
        <f t="shared" si="462"/>
        <v>#N/A</v>
      </c>
      <c r="CK360" s="82">
        <f t="shared" si="463"/>
        <v>5.3070370403969858E-3</v>
      </c>
      <c r="CL360" s="82" t="e">
        <f t="shared" si="464"/>
        <v>#N/A</v>
      </c>
      <c r="CM360" s="82">
        <f t="shared" si="465"/>
        <v>5.3070370403969858E-3</v>
      </c>
      <c r="CO360" s="149" t="str">
        <f>IF($I360&lt;&gt;"",IF(O360="User Specified",U360,INDEX('Refrigerant GWPs'!$G$2:$G$156,MATCH(O360,'Refrigerant GWPs'!$A$2:$A$156,0))),"")</f>
        <v/>
      </c>
      <c r="CP360" s="138" t="str">
        <f>IF($I360&lt;&gt;"",INDEX('Device Refrigerant Leakage'!$E$2:$E$42,MATCH($M360,'Device Refrigerant Leakage'!$B$2:$B$42,0)),"")</f>
        <v/>
      </c>
      <c r="CQ360" s="138" t="str">
        <f>IF($I360&lt;&gt;"",INDEX('Device Refrigerant Leakage'!$F$2:$F$42,MATCH($M360,'Device Refrigerant Leakage'!$B$2:$B$42,0)),"")</f>
        <v/>
      </c>
      <c r="CR360" s="145" t="str">
        <f>IF($I360&lt;&gt;"",INDEX('Device Refrigerant Leakage'!$G$2:$G$42,MATCH($M360,'Device Refrigerant Leakage'!$B$2:$B$42,0)),"")</f>
        <v/>
      </c>
      <c r="CS360" s="145" t="str">
        <f>IF($I360&lt;&gt;"",INDEX('Device Refrigerant Leakage'!$D$2:$D$42,MATCH($M360,'Device Refrigerant Leakage'!$B$2:$B$42,0))*CP360/2204.62*CO360,"")</f>
        <v/>
      </c>
      <c r="CT360" s="145" t="str">
        <f>IF($I360&lt;&gt;"",J360*(INDEX('Device Refrigerant Leakage'!$D$2:$D$42,MATCH($M360,'Device Refrigerant Leakage'!$B$2:$B$42,0))-(INDEX('Device Refrigerant Leakage'!$D$2:$D$42,MATCH($M360,'Device Refrigerant Leakage'!$B$2:$B$42,0)))*CR360*CP360)*CQ360/2204.62*CO360,"")</f>
        <v/>
      </c>
      <c r="CU360" s="135" t="str">
        <f>IF($I360&lt;&gt;"",J360*IF(W360&lt;&gt;"AR",(CS360*K360)+CT360,(CS360*AB360)+CT360*(AB360/INDEX('Device Refrigerant Leakage'!$C$2:$C$42,MATCH($M360,'Device Refrigerant Leakage'!$B$2:$B$42,0)))),"")</f>
        <v/>
      </c>
      <c r="CW360" s="135" t="str">
        <f>IF($I360&lt;&gt;"",IF(S360="User Specified",V360,INDEX('Refrigerant GWPs'!$G$2:$G$156,MATCH(S360,'Refrigerant GWPs'!$A$2:$A$157,0))),"")</f>
        <v/>
      </c>
      <c r="CX360" s="138" t="str">
        <f>IF($I360&lt;&gt;"",INDEX('Device Refrigerant Leakage'!$E$2:$E$42,MATCH($Q360,'Device Refrigerant Leakage'!$B$2:$B$42,0)),"")</f>
        <v/>
      </c>
      <c r="CY360" s="138" t="str">
        <f>IF($I360&lt;&gt;"",INDEX('Device Refrigerant Leakage'!$F$2:$F$42,MATCH($Q360,'Device Refrigerant Leakage'!$B$2:$B$42,0)),"")</f>
        <v/>
      </c>
      <c r="CZ360" s="145" t="str">
        <f>IF($I360&lt;&gt;"",INDEX('Device Refrigerant Leakage'!$G$2:$G$42,MATCH($Q360,'Device Refrigerant Leakage'!$B$2:$B$42,0)),"")</f>
        <v/>
      </c>
      <c r="DA360" s="145" t="str">
        <f>IF($I360&lt;&gt;"",J360*INDEX('Device Refrigerant Leakage'!$D$2:$D$42,MATCH($Q360,'Device Refrigerant Leakage'!$B$2:$B$42,0))*CX360/2204.62*CW360,"")</f>
        <v/>
      </c>
      <c r="DB360" s="145" t="str">
        <f>IF($I360&lt;&gt;"",J360*(INDEX('Device Refrigerant Leakage'!$D$2:$D$42,MATCH($Q360,'Device Refrigerant Leakage'!$B$2:$B$42,0))-(INDEX('Device Refrigerant Leakage'!$D$2:$D$42,MATCH($Q360,'Device Refrigerant Leakage'!$B$2:$B$42,0)))*CZ360*CX360)*CY360/2204.62*CW360,"")</f>
        <v/>
      </c>
      <c r="DC360" s="135" t="str">
        <f t="shared" si="484"/>
        <v/>
      </c>
      <c r="DE360" s="146" t="str">
        <f>IF(W360&lt;&gt;"AR","",IF(Y360="User Specified", AA360, INDEX('Refrigerant GWPs'!$G$2:$G$154,MATCH(Y360,'Refrigerant GWPs'!$A$2:$A$154,0))))</f>
        <v/>
      </c>
      <c r="DF360" s="146" t="str">
        <f>IF(W360&lt;&gt;"AR","",INDEX('Device Refrigerant Leakage'!$E$2:$E$42,MATCH(X360,'Device Refrigerant Leakage'!$B$2:$B$42,0)))</f>
        <v/>
      </c>
      <c r="DG360" s="146" t="str">
        <f>IF(W360&lt;&gt;"AR","",INDEX('Device Refrigerant Leakage'!$F$2:$F$42,MATCH(X360,'Device Refrigerant Leakage'!$B$2:$B$42,0)))</f>
        <v/>
      </c>
      <c r="DH360" s="146" t="str">
        <f>IF(W360&lt;&gt;"AR","",INDEX('Device Refrigerant Leakage'!$G$2:$G$42,MATCH(X360,'Device Refrigerant Leakage'!$B$2:$B$42,0)))</f>
        <v/>
      </c>
      <c r="DI360" s="146" t="str">
        <f>IF(W360&lt;&gt;"AR","",J360*INDEX('Device Refrigerant Leakage'!$D$2:$D$42,MATCH(X360,'Device Refrigerant Leakage'!$B$2:$B$42,0))*DF360/2204.62*DE360)</f>
        <v/>
      </c>
      <c r="DJ360" s="146" t="str">
        <f>IF(W360&lt;&gt;"AR","",J360*(INDEX('Device Refrigerant Leakage'!$D$2:$D$42,MATCH(X360,'Device Refrigerant Leakage'!$B$2:$B$42,0))-(INDEX('Device Refrigerant Leakage'!$D$2:$D$42,MATCH(X360,'Device Refrigerant Leakage'!$B$2:$B$42,0)))*DH360*DF360)*DG360/2204.62*DE360)</f>
        <v/>
      </c>
      <c r="DK360" s="146" t="str">
        <f>IF(W360&lt;&gt;"AR","",DI360*(K360-AB360)+'Fuel Sub Calcs-Deemed'!DJ360*((K360-AB360)/INDEX('Device Refrigerant Leakage'!$C$2:$C$42,MATCH('Fuel Sub Calcs-Deemed'!X360,'Device Refrigerant Leakage'!$B$2:$B$42,0))))</f>
        <v/>
      </c>
      <c r="DM360" s="56">
        <v>346</v>
      </c>
      <c r="DN360" s="67" t="e">
        <f t="shared" si="466"/>
        <v>#N/A</v>
      </c>
      <c r="DO360" s="45" t="e">
        <f t="shared" si="467"/>
        <v>#N/A</v>
      </c>
      <c r="DP360" s="67" t="e">
        <f t="shared" si="468"/>
        <v>#N/A</v>
      </c>
      <c r="DQ360" s="45" t="e">
        <f t="shared" si="469"/>
        <v>#N/A</v>
      </c>
      <c r="DR360" s="69" t="e">
        <f t="shared" si="470"/>
        <v>#N/A</v>
      </c>
      <c r="DS360" s="34"/>
      <c r="DT360" s="67" t="e">
        <f>((BX360*CJ360)+IF($W360=MAT_AR,(BZ360*CL360),0))*(1+Reference!$E$50+Reference!$E$51)</f>
        <v>#N/A</v>
      </c>
      <c r="DU360" s="67">
        <f>((BY360*CK360)+IF($W360=MAT_AR,(CA360*CM360),0))*(1+Reference!$G$50+Reference!$G$51)</f>
        <v>0</v>
      </c>
      <c r="DV360" s="67" t="e">
        <f t="shared" si="471"/>
        <v>#VALUE!</v>
      </c>
      <c r="DX360" s="56">
        <v>346</v>
      </c>
      <c r="DY360" s="67">
        <f t="shared" si="472"/>
        <v>0</v>
      </c>
      <c r="DZ360" s="45" t="e">
        <f>VLOOKUP($R360,Dropdown!$C$3:$D$4,2,FALSE)</f>
        <v>#N/A</v>
      </c>
      <c r="EA360" s="68">
        <f t="shared" si="473"/>
        <v>0</v>
      </c>
      <c r="EB360" s="68" t="str">
        <f t="shared" si="474"/>
        <v>N/A</v>
      </c>
      <c r="EC360" s="68">
        <f t="shared" si="475"/>
        <v>0</v>
      </c>
      <c r="ED360" s="68" t="str">
        <f t="shared" si="513"/>
        <v>N/A</v>
      </c>
      <c r="EF360" s="56">
        <v>346</v>
      </c>
      <c r="EG360" s="46">
        <f t="shared" si="476"/>
        <v>0</v>
      </c>
      <c r="EH360" s="68" t="e">
        <f t="shared" si="477"/>
        <v>#N/A</v>
      </c>
      <c r="EI360" s="68" t="e">
        <f t="shared" si="478"/>
        <v>#N/A</v>
      </c>
      <c r="EJ360" s="68" t="e">
        <f t="shared" si="479"/>
        <v>#N/A</v>
      </c>
      <c r="EK360" s="68" t="e">
        <f t="shared" si="480"/>
        <v>#N/A</v>
      </c>
      <c r="EL360" s="46">
        <f t="shared" si="481"/>
        <v>0</v>
      </c>
      <c r="EM360" s="46">
        <f t="shared" si="482"/>
        <v>0</v>
      </c>
    </row>
    <row r="361" spans="1:143">
      <c r="A361" s="89"/>
      <c r="B361" s="89"/>
      <c r="C361" s="89"/>
      <c r="D361" s="89"/>
      <c r="E361" s="89"/>
      <c r="F361" s="89"/>
      <c r="G361" s="34"/>
      <c r="H361" s="56">
        <f t="shared" si="483"/>
        <v>347</v>
      </c>
      <c r="I361" s="165"/>
      <c r="J361" s="163"/>
      <c r="K361" s="163"/>
      <c r="L361" s="164"/>
      <c r="M361" s="155"/>
      <c r="N361" s="155"/>
      <c r="O361" s="144"/>
      <c r="P361" s="159" t="str">
        <f>IFERROR(IF(O361&lt;&gt;"User Specified",IF(O361&lt;&gt;"", INDEX('Refrigerant GWPs'!$G$2:$G$154,MATCH(O361,'Refrigerant GWPs'!$A$2:$A$154,0)),""),U361),0)</f>
        <v/>
      </c>
      <c r="Q361" s="155"/>
      <c r="R361" s="155"/>
      <c r="S361" s="144"/>
      <c r="T361" s="159" t="str">
        <f>IF(S361&lt;&gt;"User Specified",IF(AND(S361&lt;&gt;"User Specified",S361&lt;&gt;""), INDEX('Refrigerant GWPs'!$G$2:$G$154,MATCH(S361,'Refrigerant GWPs'!$A$2:$A$154,0)),""),V361)</f>
        <v/>
      </c>
      <c r="U361" s="144"/>
      <c r="V361" s="144"/>
      <c r="W361" s="155"/>
      <c r="X361" s="155"/>
      <c r="Y361" s="144"/>
      <c r="Z361" s="159" t="str">
        <f>IF(AND(Y361&lt;&gt;"User Specified",Y361&lt;&gt;""), INDEX('Refrigerant GWPs'!$G$2:$G$154,MATCH(Y361,'Refrigerant GWPs'!$A$2:$A$154,0)),"")</f>
        <v/>
      </c>
      <c r="AA361" s="155"/>
      <c r="AB361" s="156"/>
      <c r="AC361" s="66"/>
      <c r="AD361" s="66"/>
      <c r="AE361" s="66"/>
      <c r="AF361" s="66"/>
      <c r="AG361" s="66"/>
      <c r="AH361" s="66"/>
      <c r="AI361" s="34"/>
      <c r="AJ361" s="88">
        <f t="shared" si="446"/>
        <v>0</v>
      </c>
      <c r="AK361" s="88">
        <f t="shared" si="447"/>
        <v>0</v>
      </c>
      <c r="AL361" s="88">
        <v>0</v>
      </c>
      <c r="AM361" s="88">
        <v>0</v>
      </c>
      <c r="AN361" s="81" t="str">
        <f t="shared" si="485"/>
        <v/>
      </c>
      <c r="AO361" s="88">
        <f t="shared" si="448"/>
        <v>0</v>
      </c>
      <c r="AP361" s="88">
        <f t="shared" si="449"/>
        <v>0</v>
      </c>
      <c r="AQ361" s="81" t="str">
        <f t="shared" si="450"/>
        <v/>
      </c>
      <c r="AS361" s="41" t="b">
        <f t="shared" si="451"/>
        <v>1</v>
      </c>
      <c r="AT361" s="38">
        <f t="shared" si="452"/>
        <v>0</v>
      </c>
      <c r="AU361" s="60">
        <f t="shared" si="453"/>
        <v>0</v>
      </c>
      <c r="AV361" s="41">
        <f t="shared" si="454"/>
        <v>0</v>
      </c>
      <c r="AW361" s="41" t="b">
        <f t="shared" si="455"/>
        <v>0</v>
      </c>
      <c r="AX361" t="str">
        <f t="shared" si="456"/>
        <v>+00</v>
      </c>
      <c r="AY361" t="str">
        <f t="shared" si="457"/>
        <v>+00</v>
      </c>
      <c r="BA361" s="47" t="b">
        <f t="shared" si="486"/>
        <v>1</v>
      </c>
      <c r="BB361" s="42" t="b">
        <f t="shared" si="487"/>
        <v>1</v>
      </c>
      <c r="BC361" s="42" t="b">
        <f t="shared" si="488"/>
        <v>0</v>
      </c>
      <c r="BD361" s="42" t="b">
        <f t="shared" si="489"/>
        <v>0</v>
      </c>
      <c r="BE361" s="70">
        <f t="shared" si="490"/>
        <v>0</v>
      </c>
      <c r="BF361" s="70">
        <f t="shared" si="491"/>
        <v>0</v>
      </c>
      <c r="BG361" s="34"/>
      <c r="BI361" s="47" t="b">
        <f t="shared" si="492"/>
        <v>1</v>
      </c>
      <c r="BJ361" s="47" t="b">
        <f t="shared" si="493"/>
        <v>1</v>
      </c>
      <c r="BK361" s="42" t="b">
        <f t="shared" si="494"/>
        <v>0</v>
      </c>
      <c r="BL361" s="42" t="b">
        <f t="shared" si="495"/>
        <v>0</v>
      </c>
      <c r="BM361" s="42">
        <f t="shared" si="496"/>
        <v>0</v>
      </c>
      <c r="BN361" s="42">
        <f t="shared" si="497"/>
        <v>0</v>
      </c>
      <c r="BP361" t="e">
        <f t="shared" si="498"/>
        <v>#N/A</v>
      </c>
      <c r="BQ361" t="e">
        <f t="shared" si="499"/>
        <v>#N/A</v>
      </c>
      <c r="BR361" t="e">
        <f t="shared" si="500"/>
        <v>#N/A</v>
      </c>
      <c r="BT361" s="60">
        <f t="shared" si="501"/>
        <v>0</v>
      </c>
      <c r="BU361" s="60">
        <f t="shared" si="502"/>
        <v>0</v>
      </c>
      <c r="BV361" s="60">
        <f t="shared" si="503"/>
        <v>0</v>
      </c>
      <c r="BW361" s="60">
        <f t="shared" si="504"/>
        <v>0</v>
      </c>
      <c r="BX361" s="60">
        <f t="shared" si="505"/>
        <v>0</v>
      </c>
      <c r="BY361" s="60">
        <f t="shared" si="506"/>
        <v>0</v>
      </c>
      <c r="BZ361" s="60">
        <f t="shared" si="507"/>
        <v>0</v>
      </c>
      <c r="CA361" s="60">
        <f t="shared" si="508"/>
        <v>0</v>
      </c>
      <c r="CB361" s="60" t="e">
        <f t="shared" si="458"/>
        <v>#N/A</v>
      </c>
      <c r="CC361" s="60">
        <f t="shared" si="459"/>
        <v>100000</v>
      </c>
      <c r="CD361" s="60" t="e">
        <f t="shared" si="460"/>
        <v>#N/A</v>
      </c>
      <c r="CE361" s="60">
        <f t="shared" si="461"/>
        <v>100000</v>
      </c>
      <c r="CF361" s="83" t="e">
        <f t="shared" si="509"/>
        <v>#N/A</v>
      </c>
      <c r="CG361" s="83">
        <f t="shared" si="510"/>
        <v>0</v>
      </c>
      <c r="CH361" s="83" t="e">
        <f t="shared" si="511"/>
        <v>#N/A</v>
      </c>
      <c r="CI361" s="83">
        <f t="shared" si="512"/>
        <v>0</v>
      </c>
      <c r="CJ361" s="86" t="e">
        <f t="shared" si="462"/>
        <v>#N/A</v>
      </c>
      <c r="CK361" s="82">
        <f t="shared" si="463"/>
        <v>5.3070370403969858E-3</v>
      </c>
      <c r="CL361" s="82" t="e">
        <f t="shared" si="464"/>
        <v>#N/A</v>
      </c>
      <c r="CM361" s="82">
        <f t="shared" si="465"/>
        <v>5.3070370403969858E-3</v>
      </c>
      <c r="CO361" s="149" t="str">
        <f>IF($I361&lt;&gt;"",IF(O361="User Specified",U361,INDEX('Refrigerant GWPs'!$G$2:$G$156,MATCH(O361,'Refrigerant GWPs'!$A$2:$A$156,0))),"")</f>
        <v/>
      </c>
      <c r="CP361" s="138" t="str">
        <f>IF($I361&lt;&gt;"",INDEX('Device Refrigerant Leakage'!$E$2:$E$42,MATCH($M361,'Device Refrigerant Leakage'!$B$2:$B$42,0)),"")</f>
        <v/>
      </c>
      <c r="CQ361" s="138" t="str">
        <f>IF($I361&lt;&gt;"",INDEX('Device Refrigerant Leakage'!$F$2:$F$42,MATCH($M361,'Device Refrigerant Leakage'!$B$2:$B$42,0)),"")</f>
        <v/>
      </c>
      <c r="CR361" s="145" t="str">
        <f>IF($I361&lt;&gt;"",INDEX('Device Refrigerant Leakage'!$G$2:$G$42,MATCH($M361,'Device Refrigerant Leakage'!$B$2:$B$42,0)),"")</f>
        <v/>
      </c>
      <c r="CS361" s="145" t="str">
        <f>IF($I361&lt;&gt;"",INDEX('Device Refrigerant Leakage'!$D$2:$D$42,MATCH($M361,'Device Refrigerant Leakage'!$B$2:$B$42,0))*CP361/2204.62*CO361,"")</f>
        <v/>
      </c>
      <c r="CT361" s="145" t="str">
        <f>IF($I361&lt;&gt;"",J361*(INDEX('Device Refrigerant Leakage'!$D$2:$D$42,MATCH($M361,'Device Refrigerant Leakage'!$B$2:$B$42,0))-(INDEX('Device Refrigerant Leakage'!$D$2:$D$42,MATCH($M361,'Device Refrigerant Leakage'!$B$2:$B$42,0)))*CR361*CP361)*CQ361/2204.62*CO361,"")</f>
        <v/>
      </c>
      <c r="CU361" s="135" t="str">
        <f>IF($I361&lt;&gt;"",J361*IF(W361&lt;&gt;"AR",(CS361*K361)+CT361,(CS361*AB361)+CT361*(AB361/INDEX('Device Refrigerant Leakage'!$C$2:$C$42,MATCH($M361,'Device Refrigerant Leakage'!$B$2:$B$42,0)))),"")</f>
        <v/>
      </c>
      <c r="CW361" s="135" t="str">
        <f>IF($I361&lt;&gt;"",IF(S361="User Specified",V361,INDEX('Refrigerant GWPs'!$G$2:$G$156,MATCH(S361,'Refrigerant GWPs'!$A$2:$A$157,0))),"")</f>
        <v/>
      </c>
      <c r="CX361" s="138" t="str">
        <f>IF($I361&lt;&gt;"",INDEX('Device Refrigerant Leakage'!$E$2:$E$42,MATCH($Q361,'Device Refrigerant Leakage'!$B$2:$B$42,0)),"")</f>
        <v/>
      </c>
      <c r="CY361" s="138" t="str">
        <f>IF($I361&lt;&gt;"",INDEX('Device Refrigerant Leakage'!$F$2:$F$42,MATCH($Q361,'Device Refrigerant Leakage'!$B$2:$B$42,0)),"")</f>
        <v/>
      </c>
      <c r="CZ361" s="145" t="str">
        <f>IF($I361&lt;&gt;"",INDEX('Device Refrigerant Leakage'!$G$2:$G$42,MATCH($Q361,'Device Refrigerant Leakage'!$B$2:$B$42,0)),"")</f>
        <v/>
      </c>
      <c r="DA361" s="145" t="str">
        <f>IF($I361&lt;&gt;"",J361*INDEX('Device Refrigerant Leakage'!$D$2:$D$42,MATCH($Q361,'Device Refrigerant Leakage'!$B$2:$B$42,0))*CX361/2204.62*CW361,"")</f>
        <v/>
      </c>
      <c r="DB361" s="145" t="str">
        <f>IF($I361&lt;&gt;"",J361*(INDEX('Device Refrigerant Leakage'!$D$2:$D$42,MATCH($Q361,'Device Refrigerant Leakage'!$B$2:$B$42,0))-(INDEX('Device Refrigerant Leakage'!$D$2:$D$42,MATCH($Q361,'Device Refrigerant Leakage'!$B$2:$B$42,0)))*CZ361*CX361)*CY361/2204.62*CW361,"")</f>
        <v/>
      </c>
      <c r="DC361" s="135" t="str">
        <f t="shared" si="484"/>
        <v/>
      </c>
      <c r="DE361" s="146" t="str">
        <f>IF(W361&lt;&gt;"AR","",IF(Y361="User Specified", AA361, INDEX('Refrigerant GWPs'!$G$2:$G$154,MATCH(Y361,'Refrigerant GWPs'!$A$2:$A$154,0))))</f>
        <v/>
      </c>
      <c r="DF361" s="146" t="str">
        <f>IF(W361&lt;&gt;"AR","",INDEX('Device Refrigerant Leakage'!$E$2:$E$42,MATCH(X361,'Device Refrigerant Leakage'!$B$2:$B$42,0)))</f>
        <v/>
      </c>
      <c r="DG361" s="146" t="str">
        <f>IF(W361&lt;&gt;"AR","",INDEX('Device Refrigerant Leakage'!$F$2:$F$42,MATCH(X361,'Device Refrigerant Leakage'!$B$2:$B$42,0)))</f>
        <v/>
      </c>
      <c r="DH361" s="146" t="str">
        <f>IF(W361&lt;&gt;"AR","",INDEX('Device Refrigerant Leakage'!$G$2:$G$42,MATCH(X361,'Device Refrigerant Leakage'!$B$2:$B$42,0)))</f>
        <v/>
      </c>
      <c r="DI361" s="146" t="str">
        <f>IF(W361&lt;&gt;"AR","",J361*INDEX('Device Refrigerant Leakage'!$D$2:$D$42,MATCH(X361,'Device Refrigerant Leakage'!$B$2:$B$42,0))*DF361/2204.62*DE361)</f>
        <v/>
      </c>
      <c r="DJ361" s="146" t="str">
        <f>IF(W361&lt;&gt;"AR","",J361*(INDEX('Device Refrigerant Leakage'!$D$2:$D$42,MATCH(X361,'Device Refrigerant Leakage'!$B$2:$B$42,0))-(INDEX('Device Refrigerant Leakage'!$D$2:$D$42,MATCH(X361,'Device Refrigerant Leakage'!$B$2:$B$42,0)))*DH361*DF361)*DG361/2204.62*DE361)</f>
        <v/>
      </c>
      <c r="DK361" s="146" t="str">
        <f>IF(W361&lt;&gt;"AR","",DI361*(K361-AB361)+'Fuel Sub Calcs-Deemed'!DJ361*((K361-AB361)/INDEX('Device Refrigerant Leakage'!$C$2:$C$42,MATCH('Fuel Sub Calcs-Deemed'!X361,'Device Refrigerant Leakage'!$B$2:$B$42,0))))</f>
        <v/>
      </c>
      <c r="DM361" s="56">
        <v>347</v>
      </c>
      <c r="DN361" s="67" t="e">
        <f t="shared" si="466"/>
        <v>#N/A</v>
      </c>
      <c r="DO361" s="45" t="e">
        <f t="shared" si="467"/>
        <v>#N/A</v>
      </c>
      <c r="DP361" s="67" t="e">
        <f t="shared" si="468"/>
        <v>#N/A</v>
      </c>
      <c r="DQ361" s="45" t="e">
        <f t="shared" si="469"/>
        <v>#N/A</v>
      </c>
      <c r="DR361" s="69" t="e">
        <f t="shared" si="470"/>
        <v>#N/A</v>
      </c>
      <c r="DS361" s="34"/>
      <c r="DT361" s="67" t="e">
        <f>((BX361*CJ361)+IF($W361=MAT_AR,(BZ361*CL361),0))*(1+Reference!$E$50+Reference!$E$51)</f>
        <v>#N/A</v>
      </c>
      <c r="DU361" s="67">
        <f>((BY361*CK361)+IF($W361=MAT_AR,(CA361*CM361),0))*(1+Reference!$G$50+Reference!$G$51)</f>
        <v>0</v>
      </c>
      <c r="DV361" s="67" t="e">
        <f t="shared" si="471"/>
        <v>#VALUE!</v>
      </c>
      <c r="DX361" s="56">
        <v>347</v>
      </c>
      <c r="DY361" s="67">
        <f t="shared" si="472"/>
        <v>0</v>
      </c>
      <c r="DZ361" s="45" t="e">
        <f>VLOOKUP($R361,Dropdown!$C$3:$D$4,2,FALSE)</f>
        <v>#N/A</v>
      </c>
      <c r="EA361" s="68">
        <f t="shared" si="473"/>
        <v>0</v>
      </c>
      <c r="EB361" s="68" t="str">
        <f t="shared" si="474"/>
        <v>N/A</v>
      </c>
      <c r="EC361" s="68">
        <f t="shared" si="475"/>
        <v>0</v>
      </c>
      <c r="ED361" s="68" t="str">
        <f t="shared" si="513"/>
        <v>N/A</v>
      </c>
      <c r="EF361" s="56">
        <v>347</v>
      </c>
      <c r="EG361" s="46">
        <f t="shared" si="476"/>
        <v>0</v>
      </c>
      <c r="EH361" s="68" t="e">
        <f t="shared" si="477"/>
        <v>#N/A</v>
      </c>
      <c r="EI361" s="68" t="e">
        <f t="shared" si="478"/>
        <v>#N/A</v>
      </c>
      <c r="EJ361" s="68" t="e">
        <f t="shared" si="479"/>
        <v>#N/A</v>
      </c>
      <c r="EK361" s="68" t="e">
        <f t="shared" si="480"/>
        <v>#N/A</v>
      </c>
      <c r="EL361" s="46">
        <f t="shared" si="481"/>
        <v>0</v>
      </c>
      <c r="EM361" s="46">
        <f t="shared" si="482"/>
        <v>0</v>
      </c>
    </row>
    <row r="362" spans="1:143">
      <c r="A362" s="89"/>
      <c r="B362" s="89"/>
      <c r="C362" s="89"/>
      <c r="D362" s="89"/>
      <c r="E362" s="89"/>
      <c r="F362" s="89"/>
      <c r="G362" s="34"/>
      <c r="H362" s="56">
        <f t="shared" si="483"/>
        <v>348</v>
      </c>
      <c r="I362" s="165"/>
      <c r="J362" s="163"/>
      <c r="K362" s="163"/>
      <c r="L362" s="164"/>
      <c r="M362" s="155"/>
      <c r="N362" s="155"/>
      <c r="O362" s="144"/>
      <c r="P362" s="159" t="str">
        <f>IFERROR(IF(O362&lt;&gt;"User Specified",IF(O362&lt;&gt;"", INDEX('Refrigerant GWPs'!$G$2:$G$154,MATCH(O362,'Refrigerant GWPs'!$A$2:$A$154,0)),""),U362),0)</f>
        <v/>
      </c>
      <c r="Q362" s="155"/>
      <c r="R362" s="155"/>
      <c r="S362" s="144"/>
      <c r="T362" s="159" t="str">
        <f>IF(S362&lt;&gt;"User Specified",IF(AND(S362&lt;&gt;"User Specified",S362&lt;&gt;""), INDEX('Refrigerant GWPs'!$G$2:$G$154,MATCH(S362,'Refrigerant GWPs'!$A$2:$A$154,0)),""),V362)</f>
        <v/>
      </c>
      <c r="U362" s="144"/>
      <c r="V362" s="144"/>
      <c r="W362" s="155"/>
      <c r="X362" s="155"/>
      <c r="Y362" s="144"/>
      <c r="Z362" s="159" t="str">
        <f>IF(AND(Y362&lt;&gt;"User Specified",Y362&lt;&gt;""), INDEX('Refrigerant GWPs'!$G$2:$G$154,MATCH(Y362,'Refrigerant GWPs'!$A$2:$A$154,0)),"")</f>
        <v/>
      </c>
      <c r="AA362" s="155"/>
      <c r="AB362" s="156"/>
      <c r="AC362" s="66"/>
      <c r="AD362" s="66"/>
      <c r="AE362" s="66"/>
      <c r="AF362" s="66"/>
      <c r="AG362" s="66"/>
      <c r="AH362" s="66"/>
      <c r="AI362" s="34"/>
      <c r="AJ362" s="88">
        <f t="shared" si="446"/>
        <v>0</v>
      </c>
      <c r="AK362" s="88">
        <f t="shared" si="447"/>
        <v>0</v>
      </c>
      <c r="AL362" s="88">
        <v>0</v>
      </c>
      <c r="AM362" s="88">
        <v>0</v>
      </c>
      <c r="AN362" s="81" t="str">
        <f t="shared" si="485"/>
        <v/>
      </c>
      <c r="AO362" s="88">
        <f t="shared" si="448"/>
        <v>0</v>
      </c>
      <c r="AP362" s="88">
        <f t="shared" si="449"/>
        <v>0</v>
      </c>
      <c r="AQ362" s="81" t="str">
        <f t="shared" si="450"/>
        <v/>
      </c>
      <c r="AS362" s="41" t="b">
        <f t="shared" si="451"/>
        <v>1</v>
      </c>
      <c r="AT362" s="38">
        <f t="shared" si="452"/>
        <v>0</v>
      </c>
      <c r="AU362" s="60">
        <f t="shared" si="453"/>
        <v>0</v>
      </c>
      <c r="AV362" s="41">
        <f t="shared" si="454"/>
        <v>0</v>
      </c>
      <c r="AW362" s="41" t="b">
        <f t="shared" si="455"/>
        <v>0</v>
      </c>
      <c r="AX362" t="str">
        <f t="shared" si="456"/>
        <v>+00</v>
      </c>
      <c r="AY362" t="str">
        <f t="shared" si="457"/>
        <v>+00</v>
      </c>
      <c r="BA362" s="47" t="b">
        <f t="shared" si="486"/>
        <v>1</v>
      </c>
      <c r="BB362" s="42" t="b">
        <f t="shared" si="487"/>
        <v>1</v>
      </c>
      <c r="BC362" s="42" t="b">
        <f t="shared" si="488"/>
        <v>0</v>
      </c>
      <c r="BD362" s="42" t="b">
        <f t="shared" si="489"/>
        <v>0</v>
      </c>
      <c r="BE362" s="70">
        <f t="shared" si="490"/>
        <v>0</v>
      </c>
      <c r="BF362" s="70">
        <f t="shared" si="491"/>
        <v>0</v>
      </c>
      <c r="BG362" s="34"/>
      <c r="BI362" s="47" t="b">
        <f t="shared" si="492"/>
        <v>1</v>
      </c>
      <c r="BJ362" s="47" t="b">
        <f t="shared" si="493"/>
        <v>1</v>
      </c>
      <c r="BK362" s="42" t="b">
        <f t="shared" si="494"/>
        <v>0</v>
      </c>
      <c r="BL362" s="42" t="b">
        <f t="shared" si="495"/>
        <v>0</v>
      </c>
      <c r="BM362" s="42">
        <f t="shared" si="496"/>
        <v>0</v>
      </c>
      <c r="BN362" s="42">
        <f t="shared" si="497"/>
        <v>0</v>
      </c>
      <c r="BP362" t="e">
        <f t="shared" si="498"/>
        <v>#N/A</v>
      </c>
      <c r="BQ362" t="e">
        <f t="shared" si="499"/>
        <v>#N/A</v>
      </c>
      <c r="BR362" t="e">
        <f t="shared" si="500"/>
        <v>#N/A</v>
      </c>
      <c r="BT362" s="60">
        <f t="shared" si="501"/>
        <v>0</v>
      </c>
      <c r="BU362" s="60">
        <f t="shared" si="502"/>
        <v>0</v>
      </c>
      <c r="BV362" s="60">
        <f t="shared" si="503"/>
        <v>0</v>
      </c>
      <c r="BW362" s="60">
        <f t="shared" si="504"/>
        <v>0</v>
      </c>
      <c r="BX362" s="60">
        <f t="shared" si="505"/>
        <v>0</v>
      </c>
      <c r="BY362" s="60">
        <f t="shared" si="506"/>
        <v>0</v>
      </c>
      <c r="BZ362" s="60">
        <f t="shared" si="507"/>
        <v>0</v>
      </c>
      <c r="CA362" s="60">
        <f t="shared" si="508"/>
        <v>0</v>
      </c>
      <c r="CB362" s="60" t="e">
        <f t="shared" si="458"/>
        <v>#N/A</v>
      </c>
      <c r="CC362" s="60">
        <f t="shared" si="459"/>
        <v>100000</v>
      </c>
      <c r="CD362" s="60" t="e">
        <f t="shared" si="460"/>
        <v>#N/A</v>
      </c>
      <c r="CE362" s="60">
        <f t="shared" si="461"/>
        <v>100000</v>
      </c>
      <c r="CF362" s="83" t="e">
        <f t="shared" si="509"/>
        <v>#N/A</v>
      </c>
      <c r="CG362" s="83">
        <f t="shared" si="510"/>
        <v>0</v>
      </c>
      <c r="CH362" s="83" t="e">
        <f t="shared" si="511"/>
        <v>#N/A</v>
      </c>
      <c r="CI362" s="83">
        <f t="shared" si="512"/>
        <v>0</v>
      </c>
      <c r="CJ362" s="86" t="e">
        <f t="shared" si="462"/>
        <v>#N/A</v>
      </c>
      <c r="CK362" s="82">
        <f t="shared" si="463"/>
        <v>5.3070370403969858E-3</v>
      </c>
      <c r="CL362" s="82" t="e">
        <f t="shared" si="464"/>
        <v>#N/A</v>
      </c>
      <c r="CM362" s="82">
        <f t="shared" si="465"/>
        <v>5.3070370403969858E-3</v>
      </c>
      <c r="CO362" s="149" t="str">
        <f>IF($I362&lt;&gt;"",IF(O362="User Specified",U362,INDEX('Refrigerant GWPs'!$G$2:$G$156,MATCH(O362,'Refrigerant GWPs'!$A$2:$A$156,0))),"")</f>
        <v/>
      </c>
      <c r="CP362" s="138" t="str">
        <f>IF($I362&lt;&gt;"",INDEX('Device Refrigerant Leakage'!$E$2:$E$42,MATCH($M362,'Device Refrigerant Leakage'!$B$2:$B$42,0)),"")</f>
        <v/>
      </c>
      <c r="CQ362" s="138" t="str">
        <f>IF($I362&lt;&gt;"",INDEX('Device Refrigerant Leakage'!$F$2:$F$42,MATCH($M362,'Device Refrigerant Leakage'!$B$2:$B$42,0)),"")</f>
        <v/>
      </c>
      <c r="CR362" s="145" t="str">
        <f>IF($I362&lt;&gt;"",INDEX('Device Refrigerant Leakage'!$G$2:$G$42,MATCH($M362,'Device Refrigerant Leakage'!$B$2:$B$42,0)),"")</f>
        <v/>
      </c>
      <c r="CS362" s="145" t="str">
        <f>IF($I362&lt;&gt;"",INDEX('Device Refrigerant Leakage'!$D$2:$D$42,MATCH($M362,'Device Refrigerant Leakage'!$B$2:$B$42,0))*CP362/2204.62*CO362,"")</f>
        <v/>
      </c>
      <c r="CT362" s="145" t="str">
        <f>IF($I362&lt;&gt;"",J362*(INDEX('Device Refrigerant Leakage'!$D$2:$D$42,MATCH($M362,'Device Refrigerant Leakage'!$B$2:$B$42,0))-(INDEX('Device Refrigerant Leakage'!$D$2:$D$42,MATCH($M362,'Device Refrigerant Leakage'!$B$2:$B$42,0)))*CR362*CP362)*CQ362/2204.62*CO362,"")</f>
        <v/>
      </c>
      <c r="CU362" s="135" t="str">
        <f>IF($I362&lt;&gt;"",J362*IF(W362&lt;&gt;"AR",(CS362*K362)+CT362,(CS362*AB362)+CT362*(AB362/INDEX('Device Refrigerant Leakage'!$C$2:$C$42,MATCH($M362,'Device Refrigerant Leakage'!$B$2:$B$42,0)))),"")</f>
        <v/>
      </c>
      <c r="CW362" s="135" t="str">
        <f>IF($I362&lt;&gt;"",IF(S362="User Specified",V362,INDEX('Refrigerant GWPs'!$G$2:$G$156,MATCH(S362,'Refrigerant GWPs'!$A$2:$A$157,0))),"")</f>
        <v/>
      </c>
      <c r="CX362" s="138" t="str">
        <f>IF($I362&lt;&gt;"",INDEX('Device Refrigerant Leakage'!$E$2:$E$42,MATCH($Q362,'Device Refrigerant Leakage'!$B$2:$B$42,0)),"")</f>
        <v/>
      </c>
      <c r="CY362" s="138" t="str">
        <f>IF($I362&lt;&gt;"",INDEX('Device Refrigerant Leakage'!$F$2:$F$42,MATCH($Q362,'Device Refrigerant Leakage'!$B$2:$B$42,0)),"")</f>
        <v/>
      </c>
      <c r="CZ362" s="145" t="str">
        <f>IF($I362&lt;&gt;"",INDEX('Device Refrigerant Leakage'!$G$2:$G$42,MATCH($Q362,'Device Refrigerant Leakage'!$B$2:$B$42,0)),"")</f>
        <v/>
      </c>
      <c r="DA362" s="145" t="str">
        <f>IF($I362&lt;&gt;"",J362*INDEX('Device Refrigerant Leakage'!$D$2:$D$42,MATCH($Q362,'Device Refrigerant Leakage'!$B$2:$B$42,0))*CX362/2204.62*CW362,"")</f>
        <v/>
      </c>
      <c r="DB362" s="145" t="str">
        <f>IF($I362&lt;&gt;"",J362*(INDEX('Device Refrigerant Leakage'!$D$2:$D$42,MATCH($Q362,'Device Refrigerant Leakage'!$B$2:$B$42,0))-(INDEX('Device Refrigerant Leakage'!$D$2:$D$42,MATCH($Q362,'Device Refrigerant Leakage'!$B$2:$B$42,0)))*CZ362*CX362)*CY362/2204.62*CW362,"")</f>
        <v/>
      </c>
      <c r="DC362" s="135" t="str">
        <f t="shared" si="484"/>
        <v/>
      </c>
      <c r="DE362" s="146" t="str">
        <f>IF(W362&lt;&gt;"AR","",IF(Y362="User Specified", AA362, INDEX('Refrigerant GWPs'!$G$2:$G$154,MATCH(Y362,'Refrigerant GWPs'!$A$2:$A$154,0))))</f>
        <v/>
      </c>
      <c r="DF362" s="146" t="str">
        <f>IF(W362&lt;&gt;"AR","",INDEX('Device Refrigerant Leakage'!$E$2:$E$42,MATCH(X362,'Device Refrigerant Leakage'!$B$2:$B$42,0)))</f>
        <v/>
      </c>
      <c r="DG362" s="146" t="str">
        <f>IF(W362&lt;&gt;"AR","",INDEX('Device Refrigerant Leakage'!$F$2:$F$42,MATCH(X362,'Device Refrigerant Leakage'!$B$2:$B$42,0)))</f>
        <v/>
      </c>
      <c r="DH362" s="146" t="str">
        <f>IF(W362&lt;&gt;"AR","",INDEX('Device Refrigerant Leakage'!$G$2:$G$42,MATCH(X362,'Device Refrigerant Leakage'!$B$2:$B$42,0)))</f>
        <v/>
      </c>
      <c r="DI362" s="146" t="str">
        <f>IF(W362&lt;&gt;"AR","",J362*INDEX('Device Refrigerant Leakage'!$D$2:$D$42,MATCH(X362,'Device Refrigerant Leakage'!$B$2:$B$42,0))*DF362/2204.62*DE362)</f>
        <v/>
      </c>
      <c r="DJ362" s="146" t="str">
        <f>IF(W362&lt;&gt;"AR","",J362*(INDEX('Device Refrigerant Leakage'!$D$2:$D$42,MATCH(X362,'Device Refrigerant Leakage'!$B$2:$B$42,0))-(INDEX('Device Refrigerant Leakage'!$D$2:$D$42,MATCH(X362,'Device Refrigerant Leakage'!$B$2:$B$42,0)))*DH362*DF362)*DG362/2204.62*DE362)</f>
        <v/>
      </c>
      <c r="DK362" s="146" t="str">
        <f>IF(W362&lt;&gt;"AR","",DI362*(K362-AB362)+'Fuel Sub Calcs-Deemed'!DJ362*((K362-AB362)/INDEX('Device Refrigerant Leakage'!$C$2:$C$42,MATCH('Fuel Sub Calcs-Deemed'!X362,'Device Refrigerant Leakage'!$B$2:$B$42,0))))</f>
        <v/>
      </c>
      <c r="DM362" s="56">
        <v>348</v>
      </c>
      <c r="DN362" s="67" t="e">
        <f t="shared" si="466"/>
        <v>#N/A</v>
      </c>
      <c r="DO362" s="45" t="e">
        <f t="shared" si="467"/>
        <v>#N/A</v>
      </c>
      <c r="DP362" s="67" t="e">
        <f t="shared" si="468"/>
        <v>#N/A</v>
      </c>
      <c r="DQ362" s="45" t="e">
        <f t="shared" si="469"/>
        <v>#N/A</v>
      </c>
      <c r="DR362" s="69" t="e">
        <f t="shared" si="470"/>
        <v>#N/A</v>
      </c>
      <c r="DS362" s="34"/>
      <c r="DT362" s="67" t="e">
        <f>((BX362*CJ362)+IF($W362=MAT_AR,(BZ362*CL362),0))*(1+Reference!$E$50+Reference!$E$51)</f>
        <v>#N/A</v>
      </c>
      <c r="DU362" s="67">
        <f>((BY362*CK362)+IF($W362=MAT_AR,(CA362*CM362),0))*(1+Reference!$G$50+Reference!$G$51)</f>
        <v>0</v>
      </c>
      <c r="DV362" s="67" t="e">
        <f t="shared" si="471"/>
        <v>#VALUE!</v>
      </c>
      <c r="DX362" s="56">
        <v>348</v>
      </c>
      <c r="DY362" s="67">
        <f t="shared" si="472"/>
        <v>0</v>
      </c>
      <c r="DZ362" s="45" t="e">
        <f>VLOOKUP($R362,Dropdown!$C$3:$D$4,2,FALSE)</f>
        <v>#N/A</v>
      </c>
      <c r="EA362" s="68">
        <f t="shared" si="473"/>
        <v>0</v>
      </c>
      <c r="EB362" s="68" t="str">
        <f t="shared" si="474"/>
        <v>N/A</v>
      </c>
      <c r="EC362" s="68">
        <f t="shared" si="475"/>
        <v>0</v>
      </c>
      <c r="ED362" s="68" t="str">
        <f t="shared" si="513"/>
        <v>N/A</v>
      </c>
      <c r="EF362" s="56">
        <v>348</v>
      </c>
      <c r="EG362" s="46">
        <f t="shared" si="476"/>
        <v>0</v>
      </c>
      <c r="EH362" s="68" t="e">
        <f t="shared" si="477"/>
        <v>#N/A</v>
      </c>
      <c r="EI362" s="68" t="e">
        <f t="shared" si="478"/>
        <v>#N/A</v>
      </c>
      <c r="EJ362" s="68" t="e">
        <f t="shared" si="479"/>
        <v>#N/A</v>
      </c>
      <c r="EK362" s="68" t="e">
        <f t="shared" si="480"/>
        <v>#N/A</v>
      </c>
      <c r="EL362" s="46">
        <f t="shared" si="481"/>
        <v>0</v>
      </c>
      <c r="EM362" s="46">
        <f t="shared" si="482"/>
        <v>0</v>
      </c>
    </row>
    <row r="363" spans="1:143">
      <c r="A363" s="89"/>
      <c r="B363" s="89"/>
      <c r="C363" s="89"/>
      <c r="D363" s="89"/>
      <c r="E363" s="89"/>
      <c r="F363" s="89"/>
      <c r="G363" s="34"/>
      <c r="H363" s="56">
        <f t="shared" si="483"/>
        <v>349</v>
      </c>
      <c r="I363" s="165"/>
      <c r="J363" s="163"/>
      <c r="K363" s="163"/>
      <c r="L363" s="164"/>
      <c r="M363" s="155"/>
      <c r="N363" s="155"/>
      <c r="O363" s="144"/>
      <c r="P363" s="159" t="str">
        <f>IFERROR(IF(O363&lt;&gt;"User Specified",IF(O363&lt;&gt;"", INDEX('Refrigerant GWPs'!$G$2:$G$154,MATCH(O363,'Refrigerant GWPs'!$A$2:$A$154,0)),""),U363),0)</f>
        <v/>
      </c>
      <c r="Q363" s="155"/>
      <c r="R363" s="155"/>
      <c r="S363" s="144"/>
      <c r="T363" s="159" t="str">
        <f>IF(S363&lt;&gt;"User Specified",IF(AND(S363&lt;&gt;"User Specified",S363&lt;&gt;""), INDEX('Refrigerant GWPs'!$G$2:$G$154,MATCH(S363,'Refrigerant GWPs'!$A$2:$A$154,0)),""),V363)</f>
        <v/>
      </c>
      <c r="U363" s="144"/>
      <c r="V363" s="144"/>
      <c r="W363" s="155"/>
      <c r="X363" s="155"/>
      <c r="Y363" s="144"/>
      <c r="Z363" s="159" t="str">
        <f>IF(AND(Y363&lt;&gt;"User Specified",Y363&lt;&gt;""), INDEX('Refrigerant GWPs'!$G$2:$G$154,MATCH(Y363,'Refrigerant GWPs'!$A$2:$A$154,0)),"")</f>
        <v/>
      </c>
      <c r="AA363" s="155"/>
      <c r="AB363" s="156"/>
      <c r="AC363" s="66"/>
      <c r="AD363" s="66"/>
      <c r="AE363" s="66"/>
      <c r="AF363" s="66"/>
      <c r="AG363" s="66"/>
      <c r="AH363" s="66"/>
      <c r="AI363" s="34"/>
      <c r="AJ363" s="88">
        <f t="shared" si="446"/>
        <v>0</v>
      </c>
      <c r="AK363" s="88">
        <f t="shared" si="447"/>
        <v>0</v>
      </c>
      <c r="AL363" s="88">
        <v>0</v>
      </c>
      <c r="AM363" s="88">
        <v>0</v>
      </c>
      <c r="AN363" s="81" t="str">
        <f t="shared" si="485"/>
        <v/>
      </c>
      <c r="AO363" s="88">
        <f t="shared" si="448"/>
        <v>0</v>
      </c>
      <c r="AP363" s="88">
        <f t="shared" si="449"/>
        <v>0</v>
      </c>
      <c r="AQ363" s="81" t="str">
        <f t="shared" si="450"/>
        <v/>
      </c>
      <c r="AS363" s="41" t="b">
        <f t="shared" si="451"/>
        <v>1</v>
      </c>
      <c r="AT363" s="38">
        <f t="shared" si="452"/>
        <v>0</v>
      </c>
      <c r="AU363" s="60">
        <f t="shared" si="453"/>
        <v>0</v>
      </c>
      <c r="AV363" s="41">
        <f t="shared" si="454"/>
        <v>0</v>
      </c>
      <c r="AW363" s="41" t="b">
        <f t="shared" si="455"/>
        <v>0</v>
      </c>
      <c r="AX363" t="str">
        <f t="shared" si="456"/>
        <v>+00</v>
      </c>
      <c r="AY363" t="str">
        <f t="shared" si="457"/>
        <v>+00</v>
      </c>
      <c r="BA363" s="47" t="b">
        <f t="shared" si="486"/>
        <v>1</v>
      </c>
      <c r="BB363" s="42" t="b">
        <f t="shared" si="487"/>
        <v>1</v>
      </c>
      <c r="BC363" s="42" t="b">
        <f t="shared" si="488"/>
        <v>0</v>
      </c>
      <c r="BD363" s="42" t="b">
        <f t="shared" si="489"/>
        <v>0</v>
      </c>
      <c r="BE363" s="70">
        <f t="shared" si="490"/>
        <v>0</v>
      </c>
      <c r="BF363" s="70">
        <f t="shared" si="491"/>
        <v>0</v>
      </c>
      <c r="BG363" s="34"/>
      <c r="BI363" s="47" t="b">
        <f t="shared" si="492"/>
        <v>1</v>
      </c>
      <c r="BJ363" s="47" t="b">
        <f t="shared" si="493"/>
        <v>1</v>
      </c>
      <c r="BK363" s="42" t="b">
        <f t="shared" si="494"/>
        <v>0</v>
      </c>
      <c r="BL363" s="42" t="b">
        <f t="shared" si="495"/>
        <v>0</v>
      </c>
      <c r="BM363" s="42">
        <f t="shared" si="496"/>
        <v>0</v>
      </c>
      <c r="BN363" s="42">
        <f t="shared" si="497"/>
        <v>0</v>
      </c>
      <c r="BP363" t="e">
        <f t="shared" si="498"/>
        <v>#N/A</v>
      </c>
      <c r="BQ363" t="e">
        <f t="shared" si="499"/>
        <v>#N/A</v>
      </c>
      <c r="BR363" t="e">
        <f t="shared" si="500"/>
        <v>#N/A</v>
      </c>
      <c r="BT363" s="60">
        <f t="shared" si="501"/>
        <v>0</v>
      </c>
      <c r="BU363" s="60">
        <f t="shared" si="502"/>
        <v>0</v>
      </c>
      <c r="BV363" s="60">
        <f t="shared" si="503"/>
        <v>0</v>
      </c>
      <c r="BW363" s="60">
        <f t="shared" si="504"/>
        <v>0</v>
      </c>
      <c r="BX363" s="60">
        <f t="shared" si="505"/>
        <v>0</v>
      </c>
      <c r="BY363" s="60">
        <f t="shared" si="506"/>
        <v>0</v>
      </c>
      <c r="BZ363" s="60">
        <f t="shared" si="507"/>
        <v>0</v>
      </c>
      <c r="CA363" s="60">
        <f t="shared" si="508"/>
        <v>0</v>
      </c>
      <c r="CB363" s="60" t="e">
        <f t="shared" si="458"/>
        <v>#N/A</v>
      </c>
      <c r="CC363" s="60">
        <f t="shared" si="459"/>
        <v>100000</v>
      </c>
      <c r="CD363" s="60" t="e">
        <f t="shared" si="460"/>
        <v>#N/A</v>
      </c>
      <c r="CE363" s="60">
        <f t="shared" si="461"/>
        <v>100000</v>
      </c>
      <c r="CF363" s="83" t="e">
        <f t="shared" si="509"/>
        <v>#N/A</v>
      </c>
      <c r="CG363" s="83">
        <f t="shared" si="510"/>
        <v>0</v>
      </c>
      <c r="CH363" s="83" t="e">
        <f t="shared" si="511"/>
        <v>#N/A</v>
      </c>
      <c r="CI363" s="83">
        <f t="shared" si="512"/>
        <v>0</v>
      </c>
      <c r="CJ363" s="86" t="e">
        <f t="shared" si="462"/>
        <v>#N/A</v>
      </c>
      <c r="CK363" s="82">
        <f t="shared" si="463"/>
        <v>5.3070370403969858E-3</v>
      </c>
      <c r="CL363" s="82" t="e">
        <f t="shared" si="464"/>
        <v>#N/A</v>
      </c>
      <c r="CM363" s="82">
        <f t="shared" si="465"/>
        <v>5.3070370403969858E-3</v>
      </c>
      <c r="CO363" s="149" t="str">
        <f>IF($I363&lt;&gt;"",IF(O363="User Specified",U363,INDEX('Refrigerant GWPs'!$G$2:$G$156,MATCH(O363,'Refrigerant GWPs'!$A$2:$A$156,0))),"")</f>
        <v/>
      </c>
      <c r="CP363" s="138" t="str">
        <f>IF($I363&lt;&gt;"",INDEX('Device Refrigerant Leakage'!$E$2:$E$42,MATCH($M363,'Device Refrigerant Leakage'!$B$2:$B$42,0)),"")</f>
        <v/>
      </c>
      <c r="CQ363" s="138" t="str">
        <f>IF($I363&lt;&gt;"",INDEX('Device Refrigerant Leakage'!$F$2:$F$42,MATCH($M363,'Device Refrigerant Leakage'!$B$2:$B$42,0)),"")</f>
        <v/>
      </c>
      <c r="CR363" s="145" t="str">
        <f>IF($I363&lt;&gt;"",INDEX('Device Refrigerant Leakage'!$G$2:$G$42,MATCH($M363,'Device Refrigerant Leakage'!$B$2:$B$42,0)),"")</f>
        <v/>
      </c>
      <c r="CS363" s="145" t="str">
        <f>IF($I363&lt;&gt;"",INDEX('Device Refrigerant Leakage'!$D$2:$D$42,MATCH($M363,'Device Refrigerant Leakage'!$B$2:$B$42,0))*CP363/2204.62*CO363,"")</f>
        <v/>
      </c>
      <c r="CT363" s="145" t="str">
        <f>IF($I363&lt;&gt;"",J363*(INDEX('Device Refrigerant Leakage'!$D$2:$D$42,MATCH($M363,'Device Refrigerant Leakage'!$B$2:$B$42,0))-(INDEX('Device Refrigerant Leakage'!$D$2:$D$42,MATCH($M363,'Device Refrigerant Leakage'!$B$2:$B$42,0)))*CR363*CP363)*CQ363/2204.62*CO363,"")</f>
        <v/>
      </c>
      <c r="CU363" s="135" t="str">
        <f>IF($I363&lt;&gt;"",J363*IF(W363&lt;&gt;"AR",(CS363*K363)+CT363,(CS363*AB363)+CT363*(AB363/INDEX('Device Refrigerant Leakage'!$C$2:$C$42,MATCH($M363,'Device Refrigerant Leakage'!$B$2:$B$42,0)))),"")</f>
        <v/>
      </c>
      <c r="CW363" s="135" t="str">
        <f>IF($I363&lt;&gt;"",IF(S363="User Specified",V363,INDEX('Refrigerant GWPs'!$G$2:$G$156,MATCH(S363,'Refrigerant GWPs'!$A$2:$A$157,0))),"")</f>
        <v/>
      </c>
      <c r="CX363" s="138" t="str">
        <f>IF($I363&lt;&gt;"",INDEX('Device Refrigerant Leakage'!$E$2:$E$42,MATCH($Q363,'Device Refrigerant Leakage'!$B$2:$B$42,0)),"")</f>
        <v/>
      </c>
      <c r="CY363" s="138" t="str">
        <f>IF($I363&lt;&gt;"",INDEX('Device Refrigerant Leakage'!$F$2:$F$42,MATCH($Q363,'Device Refrigerant Leakage'!$B$2:$B$42,0)),"")</f>
        <v/>
      </c>
      <c r="CZ363" s="145" t="str">
        <f>IF($I363&lt;&gt;"",INDEX('Device Refrigerant Leakage'!$G$2:$G$42,MATCH($Q363,'Device Refrigerant Leakage'!$B$2:$B$42,0)),"")</f>
        <v/>
      </c>
      <c r="DA363" s="145" t="str">
        <f>IF($I363&lt;&gt;"",J363*INDEX('Device Refrigerant Leakage'!$D$2:$D$42,MATCH($Q363,'Device Refrigerant Leakage'!$B$2:$B$42,0))*CX363/2204.62*CW363,"")</f>
        <v/>
      </c>
      <c r="DB363" s="145" t="str">
        <f>IF($I363&lt;&gt;"",J363*(INDEX('Device Refrigerant Leakage'!$D$2:$D$42,MATCH($Q363,'Device Refrigerant Leakage'!$B$2:$B$42,0))-(INDEX('Device Refrigerant Leakage'!$D$2:$D$42,MATCH($Q363,'Device Refrigerant Leakage'!$B$2:$B$42,0)))*CZ363*CX363)*CY363/2204.62*CW363,"")</f>
        <v/>
      </c>
      <c r="DC363" s="135" t="str">
        <f t="shared" si="484"/>
        <v/>
      </c>
      <c r="DE363" s="146" t="str">
        <f>IF(W363&lt;&gt;"AR","",IF(Y363="User Specified", AA363, INDEX('Refrigerant GWPs'!$G$2:$G$154,MATCH(Y363,'Refrigerant GWPs'!$A$2:$A$154,0))))</f>
        <v/>
      </c>
      <c r="DF363" s="146" t="str">
        <f>IF(W363&lt;&gt;"AR","",INDEX('Device Refrigerant Leakage'!$E$2:$E$42,MATCH(X363,'Device Refrigerant Leakage'!$B$2:$B$42,0)))</f>
        <v/>
      </c>
      <c r="DG363" s="146" t="str">
        <f>IF(W363&lt;&gt;"AR","",INDEX('Device Refrigerant Leakage'!$F$2:$F$42,MATCH(X363,'Device Refrigerant Leakage'!$B$2:$B$42,0)))</f>
        <v/>
      </c>
      <c r="DH363" s="146" t="str">
        <f>IF(W363&lt;&gt;"AR","",INDEX('Device Refrigerant Leakage'!$G$2:$G$42,MATCH(X363,'Device Refrigerant Leakage'!$B$2:$B$42,0)))</f>
        <v/>
      </c>
      <c r="DI363" s="146" t="str">
        <f>IF(W363&lt;&gt;"AR","",J363*INDEX('Device Refrigerant Leakage'!$D$2:$D$42,MATCH(X363,'Device Refrigerant Leakage'!$B$2:$B$42,0))*DF363/2204.62*DE363)</f>
        <v/>
      </c>
      <c r="DJ363" s="146" t="str">
        <f>IF(W363&lt;&gt;"AR","",J363*(INDEX('Device Refrigerant Leakage'!$D$2:$D$42,MATCH(X363,'Device Refrigerant Leakage'!$B$2:$B$42,0))-(INDEX('Device Refrigerant Leakage'!$D$2:$D$42,MATCH(X363,'Device Refrigerant Leakage'!$B$2:$B$42,0)))*DH363*DF363)*DG363/2204.62*DE363)</f>
        <v/>
      </c>
      <c r="DK363" s="146" t="str">
        <f>IF(W363&lt;&gt;"AR","",DI363*(K363-AB363)+'Fuel Sub Calcs-Deemed'!DJ363*((K363-AB363)/INDEX('Device Refrigerant Leakage'!$C$2:$C$42,MATCH('Fuel Sub Calcs-Deemed'!X363,'Device Refrigerant Leakage'!$B$2:$B$42,0))))</f>
        <v/>
      </c>
      <c r="DM363" s="56">
        <v>349</v>
      </c>
      <c r="DN363" s="67" t="e">
        <f t="shared" si="466"/>
        <v>#N/A</v>
      </c>
      <c r="DO363" s="45" t="e">
        <f t="shared" si="467"/>
        <v>#N/A</v>
      </c>
      <c r="DP363" s="67" t="e">
        <f t="shared" si="468"/>
        <v>#N/A</v>
      </c>
      <c r="DQ363" s="45" t="e">
        <f t="shared" si="469"/>
        <v>#N/A</v>
      </c>
      <c r="DR363" s="69" t="e">
        <f t="shared" si="470"/>
        <v>#N/A</v>
      </c>
      <c r="DS363" s="34"/>
      <c r="DT363" s="67" t="e">
        <f>((BX363*CJ363)+IF($W363=MAT_AR,(BZ363*CL363),0))*(1+Reference!$E$50+Reference!$E$51)</f>
        <v>#N/A</v>
      </c>
      <c r="DU363" s="67">
        <f>((BY363*CK363)+IF($W363=MAT_AR,(CA363*CM363),0))*(1+Reference!$G$50+Reference!$G$51)</f>
        <v>0</v>
      </c>
      <c r="DV363" s="67" t="e">
        <f t="shared" si="471"/>
        <v>#VALUE!</v>
      </c>
      <c r="DX363" s="56">
        <v>349</v>
      </c>
      <c r="DY363" s="67">
        <f t="shared" si="472"/>
        <v>0</v>
      </c>
      <c r="DZ363" s="45" t="e">
        <f>VLOOKUP($R363,Dropdown!$C$3:$D$4,2,FALSE)</f>
        <v>#N/A</v>
      </c>
      <c r="EA363" s="68">
        <f t="shared" si="473"/>
        <v>0</v>
      </c>
      <c r="EB363" s="68" t="str">
        <f t="shared" si="474"/>
        <v>N/A</v>
      </c>
      <c r="EC363" s="68">
        <f t="shared" si="475"/>
        <v>0</v>
      </c>
      <c r="ED363" s="68" t="str">
        <f t="shared" si="513"/>
        <v>N/A</v>
      </c>
      <c r="EF363" s="56">
        <v>349</v>
      </c>
      <c r="EG363" s="46">
        <f t="shared" si="476"/>
        <v>0</v>
      </c>
      <c r="EH363" s="68" t="e">
        <f t="shared" si="477"/>
        <v>#N/A</v>
      </c>
      <c r="EI363" s="68" t="e">
        <f t="shared" si="478"/>
        <v>#N/A</v>
      </c>
      <c r="EJ363" s="68" t="e">
        <f t="shared" si="479"/>
        <v>#N/A</v>
      </c>
      <c r="EK363" s="68" t="e">
        <f t="shared" si="480"/>
        <v>#N/A</v>
      </c>
      <c r="EL363" s="46">
        <f t="shared" si="481"/>
        <v>0</v>
      </c>
      <c r="EM363" s="46">
        <f t="shared" si="482"/>
        <v>0</v>
      </c>
    </row>
    <row r="364" spans="1:143">
      <c r="A364" s="89"/>
      <c r="B364" s="89"/>
      <c r="C364" s="89"/>
      <c r="D364" s="89"/>
      <c r="E364" s="89"/>
      <c r="F364" s="89"/>
      <c r="G364" s="34"/>
      <c r="H364" s="56">
        <f t="shared" si="483"/>
        <v>350</v>
      </c>
      <c r="I364" s="165"/>
      <c r="J364" s="163"/>
      <c r="K364" s="163"/>
      <c r="L364" s="164"/>
      <c r="M364" s="155"/>
      <c r="N364" s="155"/>
      <c r="O364" s="144"/>
      <c r="P364" s="159" t="str">
        <f>IFERROR(IF(O364&lt;&gt;"User Specified",IF(O364&lt;&gt;"", INDEX('Refrigerant GWPs'!$G$2:$G$154,MATCH(O364,'Refrigerant GWPs'!$A$2:$A$154,0)),""),U364),0)</f>
        <v/>
      </c>
      <c r="Q364" s="155"/>
      <c r="R364" s="155"/>
      <c r="S364" s="144"/>
      <c r="T364" s="159" t="str">
        <f>IF(S364&lt;&gt;"User Specified",IF(AND(S364&lt;&gt;"User Specified",S364&lt;&gt;""), INDEX('Refrigerant GWPs'!$G$2:$G$154,MATCH(S364,'Refrigerant GWPs'!$A$2:$A$154,0)),""),V364)</f>
        <v/>
      </c>
      <c r="U364" s="144"/>
      <c r="V364" s="144"/>
      <c r="W364" s="155"/>
      <c r="X364" s="155"/>
      <c r="Y364" s="144"/>
      <c r="Z364" s="159" t="str">
        <f>IF(AND(Y364&lt;&gt;"User Specified",Y364&lt;&gt;""), INDEX('Refrigerant GWPs'!$G$2:$G$154,MATCH(Y364,'Refrigerant GWPs'!$A$2:$A$154,0)),"")</f>
        <v/>
      </c>
      <c r="AA364" s="155"/>
      <c r="AB364" s="156"/>
      <c r="AC364" s="66"/>
      <c r="AD364" s="66"/>
      <c r="AE364" s="66"/>
      <c r="AF364" s="66"/>
      <c r="AG364" s="66"/>
      <c r="AH364" s="66"/>
      <c r="AI364" s="34"/>
      <c r="AJ364" s="88">
        <f t="shared" si="446"/>
        <v>0</v>
      </c>
      <c r="AK364" s="88">
        <f t="shared" si="447"/>
        <v>0</v>
      </c>
      <c r="AL364" s="88">
        <v>0</v>
      </c>
      <c r="AM364" s="88">
        <v>0</v>
      </c>
      <c r="AN364" s="81" t="str">
        <f t="shared" si="485"/>
        <v/>
      </c>
      <c r="AO364" s="88">
        <f t="shared" si="448"/>
        <v>0</v>
      </c>
      <c r="AP364" s="88">
        <f t="shared" si="449"/>
        <v>0</v>
      </c>
      <c r="AQ364" s="81" t="str">
        <f t="shared" si="450"/>
        <v/>
      </c>
      <c r="AS364" s="41" t="b">
        <f t="shared" si="451"/>
        <v>1</v>
      </c>
      <c r="AT364" s="38">
        <f t="shared" si="452"/>
        <v>0</v>
      </c>
      <c r="AU364" s="60">
        <f t="shared" si="453"/>
        <v>0</v>
      </c>
      <c r="AV364" s="41">
        <f t="shared" si="454"/>
        <v>0</v>
      </c>
      <c r="AW364" s="41" t="b">
        <f t="shared" si="455"/>
        <v>0</v>
      </c>
      <c r="AX364" t="str">
        <f t="shared" si="456"/>
        <v>+00</v>
      </c>
      <c r="AY364" t="str">
        <f t="shared" si="457"/>
        <v>+00</v>
      </c>
      <c r="BA364" s="47" t="b">
        <f t="shared" si="486"/>
        <v>1</v>
      </c>
      <c r="BB364" s="42" t="b">
        <f t="shared" si="487"/>
        <v>1</v>
      </c>
      <c r="BC364" s="42" t="b">
        <f t="shared" si="488"/>
        <v>0</v>
      </c>
      <c r="BD364" s="42" t="b">
        <f t="shared" si="489"/>
        <v>0</v>
      </c>
      <c r="BE364" s="70">
        <f t="shared" si="490"/>
        <v>0</v>
      </c>
      <c r="BF364" s="70">
        <f t="shared" si="491"/>
        <v>0</v>
      </c>
      <c r="BG364" s="34"/>
      <c r="BI364" s="47" t="b">
        <f t="shared" si="492"/>
        <v>1</v>
      </c>
      <c r="BJ364" s="47" t="b">
        <f t="shared" si="493"/>
        <v>1</v>
      </c>
      <c r="BK364" s="42" t="b">
        <f t="shared" si="494"/>
        <v>0</v>
      </c>
      <c r="BL364" s="42" t="b">
        <f t="shared" si="495"/>
        <v>0</v>
      </c>
      <c r="BM364" s="42">
        <f t="shared" si="496"/>
        <v>0</v>
      </c>
      <c r="BN364" s="42">
        <f t="shared" si="497"/>
        <v>0</v>
      </c>
      <c r="BP364" t="e">
        <f t="shared" si="498"/>
        <v>#N/A</v>
      </c>
      <c r="BQ364" t="e">
        <f t="shared" si="499"/>
        <v>#N/A</v>
      </c>
      <c r="BR364" t="e">
        <f t="shared" si="500"/>
        <v>#N/A</v>
      </c>
      <c r="BT364" s="60">
        <f t="shared" si="501"/>
        <v>0</v>
      </c>
      <c r="BU364" s="60">
        <f t="shared" si="502"/>
        <v>0</v>
      </c>
      <c r="BV364" s="60">
        <f t="shared" si="503"/>
        <v>0</v>
      </c>
      <c r="BW364" s="60">
        <f t="shared" si="504"/>
        <v>0</v>
      </c>
      <c r="BX364" s="60">
        <f t="shared" si="505"/>
        <v>0</v>
      </c>
      <c r="BY364" s="60">
        <f t="shared" si="506"/>
        <v>0</v>
      </c>
      <c r="BZ364" s="60">
        <f t="shared" si="507"/>
        <v>0</v>
      </c>
      <c r="CA364" s="60">
        <f t="shared" si="508"/>
        <v>0</v>
      </c>
      <c r="CB364" s="60" t="e">
        <f t="shared" si="458"/>
        <v>#N/A</v>
      </c>
      <c r="CC364" s="60">
        <f t="shared" si="459"/>
        <v>100000</v>
      </c>
      <c r="CD364" s="60" t="e">
        <f t="shared" si="460"/>
        <v>#N/A</v>
      </c>
      <c r="CE364" s="60">
        <f t="shared" si="461"/>
        <v>100000</v>
      </c>
      <c r="CF364" s="83" t="e">
        <f t="shared" si="509"/>
        <v>#N/A</v>
      </c>
      <c r="CG364" s="83">
        <f t="shared" si="510"/>
        <v>0</v>
      </c>
      <c r="CH364" s="83" t="e">
        <f t="shared" si="511"/>
        <v>#N/A</v>
      </c>
      <c r="CI364" s="83">
        <f t="shared" si="512"/>
        <v>0</v>
      </c>
      <c r="CJ364" s="86" t="e">
        <f t="shared" si="462"/>
        <v>#N/A</v>
      </c>
      <c r="CK364" s="82">
        <f t="shared" si="463"/>
        <v>5.3070370403969858E-3</v>
      </c>
      <c r="CL364" s="82" t="e">
        <f t="shared" si="464"/>
        <v>#N/A</v>
      </c>
      <c r="CM364" s="82">
        <f t="shared" si="465"/>
        <v>5.3070370403969858E-3</v>
      </c>
      <c r="CO364" s="149" t="str">
        <f>IF($I364&lt;&gt;"",IF(O364="User Specified",U364,INDEX('Refrigerant GWPs'!$G$2:$G$156,MATCH(O364,'Refrigerant GWPs'!$A$2:$A$156,0))),"")</f>
        <v/>
      </c>
      <c r="CP364" s="138" t="str">
        <f>IF($I364&lt;&gt;"",INDEX('Device Refrigerant Leakage'!$E$2:$E$42,MATCH($M364,'Device Refrigerant Leakage'!$B$2:$B$42,0)),"")</f>
        <v/>
      </c>
      <c r="CQ364" s="138" t="str">
        <f>IF($I364&lt;&gt;"",INDEX('Device Refrigerant Leakage'!$F$2:$F$42,MATCH($M364,'Device Refrigerant Leakage'!$B$2:$B$42,0)),"")</f>
        <v/>
      </c>
      <c r="CR364" s="145" t="str">
        <f>IF($I364&lt;&gt;"",INDEX('Device Refrigerant Leakage'!$G$2:$G$42,MATCH($M364,'Device Refrigerant Leakage'!$B$2:$B$42,0)),"")</f>
        <v/>
      </c>
      <c r="CS364" s="145" t="str">
        <f>IF($I364&lt;&gt;"",INDEX('Device Refrigerant Leakage'!$D$2:$D$42,MATCH($M364,'Device Refrigerant Leakage'!$B$2:$B$42,0))*CP364/2204.62*CO364,"")</f>
        <v/>
      </c>
      <c r="CT364" s="145" t="str">
        <f>IF($I364&lt;&gt;"",J364*(INDEX('Device Refrigerant Leakage'!$D$2:$D$42,MATCH($M364,'Device Refrigerant Leakage'!$B$2:$B$42,0))-(INDEX('Device Refrigerant Leakage'!$D$2:$D$42,MATCH($M364,'Device Refrigerant Leakage'!$B$2:$B$42,0)))*CR364*CP364)*CQ364/2204.62*CO364,"")</f>
        <v/>
      </c>
      <c r="CU364" s="135" t="str">
        <f>IF($I364&lt;&gt;"",J364*IF(W364&lt;&gt;"AR",(CS364*K364)+CT364,(CS364*AB364)+CT364*(AB364/INDEX('Device Refrigerant Leakage'!$C$2:$C$42,MATCH($M364,'Device Refrigerant Leakage'!$B$2:$B$42,0)))),"")</f>
        <v/>
      </c>
      <c r="CW364" s="135" t="str">
        <f>IF($I364&lt;&gt;"",IF(S364="User Specified",V364,INDEX('Refrigerant GWPs'!$G$2:$G$156,MATCH(S364,'Refrigerant GWPs'!$A$2:$A$157,0))),"")</f>
        <v/>
      </c>
      <c r="CX364" s="138" t="str">
        <f>IF($I364&lt;&gt;"",INDEX('Device Refrigerant Leakage'!$E$2:$E$42,MATCH($Q364,'Device Refrigerant Leakage'!$B$2:$B$42,0)),"")</f>
        <v/>
      </c>
      <c r="CY364" s="138" t="str">
        <f>IF($I364&lt;&gt;"",INDEX('Device Refrigerant Leakage'!$F$2:$F$42,MATCH($Q364,'Device Refrigerant Leakage'!$B$2:$B$42,0)),"")</f>
        <v/>
      </c>
      <c r="CZ364" s="145" t="str">
        <f>IF($I364&lt;&gt;"",INDEX('Device Refrigerant Leakage'!$G$2:$G$42,MATCH($Q364,'Device Refrigerant Leakage'!$B$2:$B$42,0)),"")</f>
        <v/>
      </c>
      <c r="DA364" s="145" t="str">
        <f>IF($I364&lt;&gt;"",J364*INDEX('Device Refrigerant Leakage'!$D$2:$D$42,MATCH($Q364,'Device Refrigerant Leakage'!$B$2:$B$42,0))*CX364/2204.62*CW364,"")</f>
        <v/>
      </c>
      <c r="DB364" s="145" t="str">
        <f>IF($I364&lt;&gt;"",J364*(INDEX('Device Refrigerant Leakage'!$D$2:$D$42,MATCH($Q364,'Device Refrigerant Leakage'!$B$2:$B$42,0))-(INDEX('Device Refrigerant Leakage'!$D$2:$D$42,MATCH($Q364,'Device Refrigerant Leakage'!$B$2:$B$42,0)))*CZ364*CX364)*CY364/2204.62*CW364,"")</f>
        <v/>
      </c>
      <c r="DC364" s="135" t="str">
        <f t="shared" si="484"/>
        <v/>
      </c>
      <c r="DE364" s="146" t="str">
        <f>IF(W364&lt;&gt;"AR","",IF(Y364="User Specified", AA364, INDEX('Refrigerant GWPs'!$G$2:$G$154,MATCH(Y364,'Refrigerant GWPs'!$A$2:$A$154,0))))</f>
        <v/>
      </c>
      <c r="DF364" s="146" t="str">
        <f>IF(W364&lt;&gt;"AR","",INDEX('Device Refrigerant Leakage'!$E$2:$E$42,MATCH(X364,'Device Refrigerant Leakage'!$B$2:$B$42,0)))</f>
        <v/>
      </c>
      <c r="DG364" s="146" t="str">
        <f>IF(W364&lt;&gt;"AR","",INDEX('Device Refrigerant Leakage'!$F$2:$F$42,MATCH(X364,'Device Refrigerant Leakage'!$B$2:$B$42,0)))</f>
        <v/>
      </c>
      <c r="DH364" s="146" t="str">
        <f>IF(W364&lt;&gt;"AR","",INDEX('Device Refrigerant Leakage'!$G$2:$G$42,MATCH(X364,'Device Refrigerant Leakage'!$B$2:$B$42,0)))</f>
        <v/>
      </c>
      <c r="DI364" s="146" t="str">
        <f>IF(W364&lt;&gt;"AR","",J364*INDEX('Device Refrigerant Leakage'!$D$2:$D$42,MATCH(X364,'Device Refrigerant Leakage'!$B$2:$B$42,0))*DF364/2204.62*DE364)</f>
        <v/>
      </c>
      <c r="DJ364" s="146" t="str">
        <f>IF(W364&lt;&gt;"AR","",J364*(INDEX('Device Refrigerant Leakage'!$D$2:$D$42,MATCH(X364,'Device Refrigerant Leakage'!$B$2:$B$42,0))-(INDEX('Device Refrigerant Leakage'!$D$2:$D$42,MATCH(X364,'Device Refrigerant Leakage'!$B$2:$B$42,0)))*DH364*DF364)*DG364/2204.62*DE364)</f>
        <v/>
      </c>
      <c r="DK364" s="146" t="str">
        <f>IF(W364&lt;&gt;"AR","",DI364*(K364-AB364)+'Fuel Sub Calcs-Deemed'!DJ364*((K364-AB364)/INDEX('Device Refrigerant Leakage'!$C$2:$C$42,MATCH('Fuel Sub Calcs-Deemed'!X364,'Device Refrigerant Leakage'!$B$2:$B$42,0))))</f>
        <v/>
      </c>
      <c r="DM364" s="56">
        <v>350</v>
      </c>
      <c r="DN364" s="67" t="e">
        <f t="shared" si="466"/>
        <v>#N/A</v>
      </c>
      <c r="DO364" s="45" t="e">
        <f t="shared" si="467"/>
        <v>#N/A</v>
      </c>
      <c r="DP364" s="67" t="e">
        <f t="shared" si="468"/>
        <v>#N/A</v>
      </c>
      <c r="DQ364" s="45" t="e">
        <f t="shared" si="469"/>
        <v>#N/A</v>
      </c>
      <c r="DR364" s="69" t="e">
        <f t="shared" si="470"/>
        <v>#N/A</v>
      </c>
      <c r="DS364" s="34"/>
      <c r="DT364" s="67" t="e">
        <f>((BX364*CJ364)+IF($W364=MAT_AR,(BZ364*CL364),0))*(1+Reference!$E$50+Reference!$E$51)</f>
        <v>#N/A</v>
      </c>
      <c r="DU364" s="67">
        <f>((BY364*CK364)+IF($W364=MAT_AR,(CA364*CM364),0))*(1+Reference!$G$50+Reference!$G$51)</f>
        <v>0</v>
      </c>
      <c r="DV364" s="67" t="e">
        <f t="shared" si="471"/>
        <v>#VALUE!</v>
      </c>
      <c r="DX364" s="56">
        <v>350</v>
      </c>
      <c r="DY364" s="67">
        <f t="shared" si="472"/>
        <v>0</v>
      </c>
      <c r="DZ364" s="45" t="e">
        <f>VLOOKUP($R364,Dropdown!$C$3:$D$4,2,FALSE)</f>
        <v>#N/A</v>
      </c>
      <c r="EA364" s="68">
        <f t="shared" si="473"/>
        <v>0</v>
      </c>
      <c r="EB364" s="68" t="str">
        <f t="shared" si="474"/>
        <v>N/A</v>
      </c>
      <c r="EC364" s="68">
        <f t="shared" si="475"/>
        <v>0</v>
      </c>
      <c r="ED364" s="68" t="str">
        <f t="shared" si="513"/>
        <v>N/A</v>
      </c>
      <c r="EF364" s="56">
        <v>350</v>
      </c>
      <c r="EG364" s="46">
        <f t="shared" si="476"/>
        <v>0</v>
      </c>
      <c r="EH364" s="68" t="e">
        <f t="shared" si="477"/>
        <v>#N/A</v>
      </c>
      <c r="EI364" s="68" t="e">
        <f t="shared" si="478"/>
        <v>#N/A</v>
      </c>
      <c r="EJ364" s="68" t="e">
        <f t="shared" si="479"/>
        <v>#N/A</v>
      </c>
      <c r="EK364" s="68" t="e">
        <f t="shared" si="480"/>
        <v>#N/A</v>
      </c>
      <c r="EL364" s="46">
        <f t="shared" si="481"/>
        <v>0</v>
      </c>
      <c r="EM364" s="46">
        <f t="shared" si="482"/>
        <v>0</v>
      </c>
    </row>
    <row r="365" spans="1:143">
      <c r="A365" s="89"/>
      <c r="B365" s="89"/>
      <c r="C365" s="89"/>
      <c r="D365" s="89"/>
      <c r="E365" s="89"/>
      <c r="F365" s="89"/>
      <c r="G365" s="34"/>
      <c r="H365" s="56">
        <f t="shared" si="483"/>
        <v>351</v>
      </c>
      <c r="I365" s="165"/>
      <c r="J365" s="163"/>
      <c r="K365" s="163"/>
      <c r="L365" s="164"/>
      <c r="M365" s="155"/>
      <c r="N365" s="155"/>
      <c r="O365" s="144"/>
      <c r="P365" s="159" t="str">
        <f>IFERROR(IF(O365&lt;&gt;"User Specified",IF(O365&lt;&gt;"", INDEX('Refrigerant GWPs'!$G$2:$G$154,MATCH(O365,'Refrigerant GWPs'!$A$2:$A$154,0)),""),U365),0)</f>
        <v/>
      </c>
      <c r="Q365" s="155"/>
      <c r="R365" s="155"/>
      <c r="S365" s="144"/>
      <c r="T365" s="159" t="str">
        <f>IF(S365&lt;&gt;"User Specified",IF(AND(S365&lt;&gt;"User Specified",S365&lt;&gt;""), INDEX('Refrigerant GWPs'!$G$2:$G$154,MATCH(S365,'Refrigerant GWPs'!$A$2:$A$154,0)),""),V365)</f>
        <v/>
      </c>
      <c r="U365" s="144"/>
      <c r="V365" s="144"/>
      <c r="W365" s="155"/>
      <c r="X365" s="155"/>
      <c r="Y365" s="144"/>
      <c r="Z365" s="159" t="str">
        <f>IF(AND(Y365&lt;&gt;"User Specified",Y365&lt;&gt;""), INDEX('Refrigerant GWPs'!$G$2:$G$154,MATCH(Y365,'Refrigerant GWPs'!$A$2:$A$154,0)),"")</f>
        <v/>
      </c>
      <c r="AA365" s="155"/>
      <c r="AB365" s="156"/>
      <c r="AC365" s="66"/>
      <c r="AD365" s="66"/>
      <c r="AE365" s="66"/>
      <c r="AF365" s="66"/>
      <c r="AG365" s="66"/>
      <c r="AH365" s="66"/>
      <c r="AI365" s="34"/>
      <c r="AJ365" s="88">
        <f t="shared" si="446"/>
        <v>0</v>
      </c>
      <c r="AK365" s="88">
        <f t="shared" si="447"/>
        <v>0</v>
      </c>
      <c r="AL365" s="88">
        <v>0</v>
      </c>
      <c r="AM365" s="88">
        <v>0</v>
      </c>
      <c r="AN365" s="81" t="str">
        <f t="shared" si="485"/>
        <v/>
      </c>
      <c r="AO365" s="88">
        <f t="shared" si="448"/>
        <v>0</v>
      </c>
      <c r="AP365" s="88">
        <f t="shared" si="449"/>
        <v>0</v>
      </c>
      <c r="AQ365" s="81" t="str">
        <f t="shared" si="450"/>
        <v/>
      </c>
      <c r="AS365" s="41" t="b">
        <f t="shared" si="451"/>
        <v>1</v>
      </c>
      <c r="AT365" s="38">
        <f t="shared" si="452"/>
        <v>0</v>
      </c>
      <c r="AU365" s="60">
        <f t="shared" si="453"/>
        <v>0</v>
      </c>
      <c r="AV365" s="41">
        <f t="shared" si="454"/>
        <v>0</v>
      </c>
      <c r="AW365" s="41" t="b">
        <f t="shared" si="455"/>
        <v>0</v>
      </c>
      <c r="AX365" t="str">
        <f t="shared" si="456"/>
        <v>+00</v>
      </c>
      <c r="AY365" t="str">
        <f t="shared" si="457"/>
        <v>+00</v>
      </c>
      <c r="BA365" s="47" t="b">
        <f t="shared" si="486"/>
        <v>1</v>
      </c>
      <c r="BB365" s="42" t="b">
        <f t="shared" si="487"/>
        <v>1</v>
      </c>
      <c r="BC365" s="42" t="b">
        <f t="shared" si="488"/>
        <v>0</v>
      </c>
      <c r="BD365" s="42" t="b">
        <f t="shared" si="489"/>
        <v>0</v>
      </c>
      <c r="BE365" s="70">
        <f t="shared" si="490"/>
        <v>0</v>
      </c>
      <c r="BF365" s="70">
        <f t="shared" si="491"/>
        <v>0</v>
      </c>
      <c r="BG365" s="34"/>
      <c r="BI365" s="47" t="b">
        <f t="shared" si="492"/>
        <v>1</v>
      </c>
      <c r="BJ365" s="47" t="b">
        <f t="shared" si="493"/>
        <v>1</v>
      </c>
      <c r="BK365" s="42" t="b">
        <f t="shared" si="494"/>
        <v>0</v>
      </c>
      <c r="BL365" s="42" t="b">
        <f t="shared" si="495"/>
        <v>0</v>
      </c>
      <c r="BM365" s="42">
        <f t="shared" si="496"/>
        <v>0</v>
      </c>
      <c r="BN365" s="42">
        <f t="shared" si="497"/>
        <v>0</v>
      </c>
      <c r="BP365" t="e">
        <f t="shared" si="498"/>
        <v>#N/A</v>
      </c>
      <c r="BQ365" t="e">
        <f t="shared" si="499"/>
        <v>#N/A</v>
      </c>
      <c r="BR365" t="e">
        <f t="shared" si="500"/>
        <v>#N/A</v>
      </c>
      <c r="BT365" s="60">
        <f t="shared" si="501"/>
        <v>0</v>
      </c>
      <c r="BU365" s="60">
        <f t="shared" si="502"/>
        <v>0</v>
      </c>
      <c r="BV365" s="60">
        <f t="shared" si="503"/>
        <v>0</v>
      </c>
      <c r="BW365" s="60">
        <f t="shared" si="504"/>
        <v>0</v>
      </c>
      <c r="BX365" s="60">
        <f t="shared" si="505"/>
        <v>0</v>
      </c>
      <c r="BY365" s="60">
        <f t="shared" si="506"/>
        <v>0</v>
      </c>
      <c r="BZ365" s="60">
        <f t="shared" si="507"/>
        <v>0</v>
      </c>
      <c r="CA365" s="60">
        <f t="shared" si="508"/>
        <v>0</v>
      </c>
      <c r="CB365" s="60" t="e">
        <f t="shared" si="458"/>
        <v>#N/A</v>
      </c>
      <c r="CC365" s="60">
        <f t="shared" si="459"/>
        <v>100000</v>
      </c>
      <c r="CD365" s="60" t="e">
        <f t="shared" si="460"/>
        <v>#N/A</v>
      </c>
      <c r="CE365" s="60">
        <f t="shared" si="461"/>
        <v>100000</v>
      </c>
      <c r="CF365" s="83" t="e">
        <f t="shared" si="509"/>
        <v>#N/A</v>
      </c>
      <c r="CG365" s="83">
        <f t="shared" si="510"/>
        <v>0</v>
      </c>
      <c r="CH365" s="83" t="e">
        <f t="shared" si="511"/>
        <v>#N/A</v>
      </c>
      <c r="CI365" s="83">
        <f t="shared" si="512"/>
        <v>0</v>
      </c>
      <c r="CJ365" s="86" t="e">
        <f t="shared" si="462"/>
        <v>#N/A</v>
      </c>
      <c r="CK365" s="82">
        <f t="shared" si="463"/>
        <v>5.3070370403969858E-3</v>
      </c>
      <c r="CL365" s="82" t="e">
        <f t="shared" si="464"/>
        <v>#N/A</v>
      </c>
      <c r="CM365" s="82">
        <f t="shared" si="465"/>
        <v>5.3070370403969858E-3</v>
      </c>
      <c r="CO365" s="149" t="str">
        <f>IF($I365&lt;&gt;"",IF(O365="User Specified",U365,INDEX('Refrigerant GWPs'!$G$2:$G$156,MATCH(O365,'Refrigerant GWPs'!$A$2:$A$156,0))),"")</f>
        <v/>
      </c>
      <c r="CP365" s="138" t="str">
        <f>IF($I365&lt;&gt;"",INDEX('Device Refrigerant Leakage'!$E$2:$E$42,MATCH($M365,'Device Refrigerant Leakage'!$B$2:$B$42,0)),"")</f>
        <v/>
      </c>
      <c r="CQ365" s="138" t="str">
        <f>IF($I365&lt;&gt;"",INDEX('Device Refrigerant Leakage'!$F$2:$F$42,MATCH($M365,'Device Refrigerant Leakage'!$B$2:$B$42,0)),"")</f>
        <v/>
      </c>
      <c r="CR365" s="145" t="str">
        <f>IF($I365&lt;&gt;"",INDEX('Device Refrigerant Leakage'!$G$2:$G$42,MATCH($M365,'Device Refrigerant Leakage'!$B$2:$B$42,0)),"")</f>
        <v/>
      </c>
      <c r="CS365" s="145" t="str">
        <f>IF($I365&lt;&gt;"",INDEX('Device Refrigerant Leakage'!$D$2:$D$42,MATCH($M365,'Device Refrigerant Leakage'!$B$2:$B$42,0))*CP365/2204.62*CO365,"")</f>
        <v/>
      </c>
      <c r="CT365" s="145" t="str">
        <f>IF($I365&lt;&gt;"",J365*(INDEX('Device Refrigerant Leakage'!$D$2:$D$42,MATCH($M365,'Device Refrigerant Leakage'!$B$2:$B$42,0))-(INDEX('Device Refrigerant Leakage'!$D$2:$D$42,MATCH($M365,'Device Refrigerant Leakage'!$B$2:$B$42,0)))*CR365*CP365)*CQ365/2204.62*CO365,"")</f>
        <v/>
      </c>
      <c r="CU365" s="135" t="str">
        <f>IF($I365&lt;&gt;"",J365*IF(W365&lt;&gt;"AR",(CS365*K365)+CT365,(CS365*AB365)+CT365*(AB365/INDEX('Device Refrigerant Leakage'!$C$2:$C$42,MATCH($M365,'Device Refrigerant Leakage'!$B$2:$B$42,0)))),"")</f>
        <v/>
      </c>
      <c r="CW365" s="135" t="str">
        <f>IF($I365&lt;&gt;"",IF(S365="User Specified",V365,INDEX('Refrigerant GWPs'!$G$2:$G$156,MATCH(S365,'Refrigerant GWPs'!$A$2:$A$157,0))),"")</f>
        <v/>
      </c>
      <c r="CX365" s="138" t="str">
        <f>IF($I365&lt;&gt;"",INDEX('Device Refrigerant Leakage'!$E$2:$E$42,MATCH($Q365,'Device Refrigerant Leakage'!$B$2:$B$42,0)),"")</f>
        <v/>
      </c>
      <c r="CY365" s="138" t="str">
        <f>IF($I365&lt;&gt;"",INDEX('Device Refrigerant Leakage'!$F$2:$F$42,MATCH($Q365,'Device Refrigerant Leakage'!$B$2:$B$42,0)),"")</f>
        <v/>
      </c>
      <c r="CZ365" s="145" t="str">
        <f>IF($I365&lt;&gt;"",INDEX('Device Refrigerant Leakage'!$G$2:$G$42,MATCH($Q365,'Device Refrigerant Leakage'!$B$2:$B$42,0)),"")</f>
        <v/>
      </c>
      <c r="DA365" s="145" t="str">
        <f>IF($I365&lt;&gt;"",J365*INDEX('Device Refrigerant Leakage'!$D$2:$D$42,MATCH($Q365,'Device Refrigerant Leakage'!$B$2:$B$42,0))*CX365/2204.62*CW365,"")</f>
        <v/>
      </c>
      <c r="DB365" s="145" t="str">
        <f>IF($I365&lt;&gt;"",J365*(INDEX('Device Refrigerant Leakage'!$D$2:$D$42,MATCH($Q365,'Device Refrigerant Leakage'!$B$2:$B$42,0))-(INDEX('Device Refrigerant Leakage'!$D$2:$D$42,MATCH($Q365,'Device Refrigerant Leakage'!$B$2:$B$42,0)))*CZ365*CX365)*CY365/2204.62*CW365,"")</f>
        <v/>
      </c>
      <c r="DC365" s="135" t="str">
        <f t="shared" si="484"/>
        <v/>
      </c>
      <c r="DE365" s="146" t="str">
        <f>IF(W365&lt;&gt;"AR","",IF(Y365="User Specified", AA365, INDEX('Refrigerant GWPs'!$G$2:$G$154,MATCH(Y365,'Refrigerant GWPs'!$A$2:$A$154,0))))</f>
        <v/>
      </c>
      <c r="DF365" s="146" t="str">
        <f>IF(W365&lt;&gt;"AR","",INDEX('Device Refrigerant Leakage'!$E$2:$E$42,MATCH(X365,'Device Refrigerant Leakage'!$B$2:$B$42,0)))</f>
        <v/>
      </c>
      <c r="DG365" s="146" t="str">
        <f>IF(W365&lt;&gt;"AR","",INDEX('Device Refrigerant Leakage'!$F$2:$F$42,MATCH(X365,'Device Refrigerant Leakage'!$B$2:$B$42,0)))</f>
        <v/>
      </c>
      <c r="DH365" s="146" t="str">
        <f>IF(W365&lt;&gt;"AR","",INDEX('Device Refrigerant Leakage'!$G$2:$G$42,MATCH(X365,'Device Refrigerant Leakage'!$B$2:$B$42,0)))</f>
        <v/>
      </c>
      <c r="DI365" s="146" t="str">
        <f>IF(W365&lt;&gt;"AR","",J365*INDEX('Device Refrigerant Leakage'!$D$2:$D$42,MATCH(X365,'Device Refrigerant Leakage'!$B$2:$B$42,0))*DF365/2204.62*DE365)</f>
        <v/>
      </c>
      <c r="DJ365" s="146" t="str">
        <f>IF(W365&lt;&gt;"AR","",J365*(INDEX('Device Refrigerant Leakage'!$D$2:$D$42,MATCH(X365,'Device Refrigerant Leakage'!$B$2:$B$42,0))-(INDEX('Device Refrigerant Leakage'!$D$2:$D$42,MATCH(X365,'Device Refrigerant Leakage'!$B$2:$B$42,0)))*DH365*DF365)*DG365/2204.62*DE365)</f>
        <v/>
      </c>
      <c r="DK365" s="146" t="str">
        <f>IF(W365&lt;&gt;"AR","",DI365*(K365-AB365)+'Fuel Sub Calcs-Deemed'!DJ365*((K365-AB365)/INDEX('Device Refrigerant Leakage'!$C$2:$C$42,MATCH('Fuel Sub Calcs-Deemed'!X365,'Device Refrigerant Leakage'!$B$2:$B$42,0))))</f>
        <v/>
      </c>
      <c r="DM365" s="56">
        <v>351</v>
      </c>
      <c r="DN365" s="67" t="e">
        <f t="shared" si="466"/>
        <v>#N/A</v>
      </c>
      <c r="DO365" s="45" t="e">
        <f t="shared" si="467"/>
        <v>#N/A</v>
      </c>
      <c r="DP365" s="67" t="e">
        <f t="shared" si="468"/>
        <v>#N/A</v>
      </c>
      <c r="DQ365" s="45" t="e">
        <f t="shared" si="469"/>
        <v>#N/A</v>
      </c>
      <c r="DR365" s="69" t="e">
        <f t="shared" si="470"/>
        <v>#N/A</v>
      </c>
      <c r="DS365" s="34"/>
      <c r="DT365" s="67" t="e">
        <f>((BX365*CJ365)+IF($W365=MAT_AR,(BZ365*CL365),0))*(1+Reference!$E$50+Reference!$E$51)</f>
        <v>#N/A</v>
      </c>
      <c r="DU365" s="67">
        <f>((BY365*CK365)+IF($W365=MAT_AR,(CA365*CM365),0))*(1+Reference!$G$50+Reference!$G$51)</f>
        <v>0</v>
      </c>
      <c r="DV365" s="67" t="e">
        <f t="shared" si="471"/>
        <v>#VALUE!</v>
      </c>
      <c r="DX365" s="56">
        <v>351</v>
      </c>
      <c r="DY365" s="67">
        <f t="shared" si="472"/>
        <v>0</v>
      </c>
      <c r="DZ365" s="45" t="e">
        <f>VLOOKUP($R365,Dropdown!$C$3:$D$4,2,FALSE)</f>
        <v>#N/A</v>
      </c>
      <c r="EA365" s="68">
        <f t="shared" si="473"/>
        <v>0</v>
      </c>
      <c r="EB365" s="68" t="str">
        <f t="shared" si="474"/>
        <v>N/A</v>
      </c>
      <c r="EC365" s="68">
        <f t="shared" si="475"/>
        <v>0</v>
      </c>
      <c r="ED365" s="68" t="str">
        <f t="shared" si="513"/>
        <v>N/A</v>
      </c>
      <c r="EF365" s="56">
        <v>351</v>
      </c>
      <c r="EG365" s="46">
        <f t="shared" si="476"/>
        <v>0</v>
      </c>
      <c r="EH365" s="68" t="e">
        <f t="shared" si="477"/>
        <v>#N/A</v>
      </c>
      <c r="EI365" s="68" t="e">
        <f t="shared" si="478"/>
        <v>#N/A</v>
      </c>
      <c r="EJ365" s="68" t="e">
        <f t="shared" si="479"/>
        <v>#N/A</v>
      </c>
      <c r="EK365" s="68" t="e">
        <f t="shared" si="480"/>
        <v>#N/A</v>
      </c>
      <c r="EL365" s="46">
        <f t="shared" si="481"/>
        <v>0</v>
      </c>
      <c r="EM365" s="46">
        <f t="shared" si="482"/>
        <v>0</v>
      </c>
    </row>
    <row r="366" spans="1:143">
      <c r="A366" s="89"/>
      <c r="B366" s="89"/>
      <c r="C366" s="89"/>
      <c r="D366" s="89"/>
      <c r="E366" s="89"/>
      <c r="F366" s="89"/>
      <c r="G366" s="34"/>
      <c r="H366" s="56">
        <f t="shared" si="483"/>
        <v>352</v>
      </c>
      <c r="I366" s="165"/>
      <c r="J366" s="163"/>
      <c r="K366" s="163"/>
      <c r="L366" s="164"/>
      <c r="M366" s="155"/>
      <c r="N366" s="155"/>
      <c r="O366" s="144"/>
      <c r="P366" s="159" t="str">
        <f>IFERROR(IF(O366&lt;&gt;"User Specified",IF(O366&lt;&gt;"", INDEX('Refrigerant GWPs'!$G$2:$G$154,MATCH(O366,'Refrigerant GWPs'!$A$2:$A$154,0)),""),U366),0)</f>
        <v/>
      </c>
      <c r="Q366" s="155"/>
      <c r="R366" s="155"/>
      <c r="S366" s="144"/>
      <c r="T366" s="159" t="str">
        <f>IF(S366&lt;&gt;"User Specified",IF(AND(S366&lt;&gt;"User Specified",S366&lt;&gt;""), INDEX('Refrigerant GWPs'!$G$2:$G$154,MATCH(S366,'Refrigerant GWPs'!$A$2:$A$154,0)),""),V366)</f>
        <v/>
      </c>
      <c r="U366" s="144"/>
      <c r="V366" s="144"/>
      <c r="W366" s="155"/>
      <c r="X366" s="155"/>
      <c r="Y366" s="144"/>
      <c r="Z366" s="159" t="str">
        <f>IF(AND(Y366&lt;&gt;"User Specified",Y366&lt;&gt;""), INDEX('Refrigerant GWPs'!$G$2:$G$154,MATCH(Y366,'Refrigerant GWPs'!$A$2:$A$154,0)),"")</f>
        <v/>
      </c>
      <c r="AA366" s="155"/>
      <c r="AB366" s="156"/>
      <c r="AC366" s="66"/>
      <c r="AD366" s="66"/>
      <c r="AE366" s="66"/>
      <c r="AF366" s="66"/>
      <c r="AG366" s="66"/>
      <c r="AH366" s="66"/>
      <c r="AI366" s="34"/>
      <c r="AJ366" s="88">
        <f t="shared" si="446"/>
        <v>0</v>
      </c>
      <c r="AK366" s="88">
        <f t="shared" si="447"/>
        <v>0</v>
      </c>
      <c r="AL366" s="88">
        <v>0</v>
      </c>
      <c r="AM366" s="88">
        <v>0</v>
      </c>
      <c r="AN366" s="81" t="str">
        <f t="shared" si="485"/>
        <v/>
      </c>
      <c r="AO366" s="88">
        <f t="shared" si="448"/>
        <v>0</v>
      </c>
      <c r="AP366" s="88">
        <f t="shared" si="449"/>
        <v>0</v>
      </c>
      <c r="AQ366" s="81" t="str">
        <f t="shared" si="450"/>
        <v/>
      </c>
      <c r="AS366" s="41" t="b">
        <f t="shared" si="451"/>
        <v>1</v>
      </c>
      <c r="AT366" s="38">
        <f t="shared" si="452"/>
        <v>0</v>
      </c>
      <c r="AU366" s="60">
        <f t="shared" si="453"/>
        <v>0</v>
      </c>
      <c r="AV366" s="41">
        <f t="shared" si="454"/>
        <v>0</v>
      </c>
      <c r="AW366" s="41" t="b">
        <f t="shared" si="455"/>
        <v>0</v>
      </c>
      <c r="AX366" t="str">
        <f t="shared" si="456"/>
        <v>+00</v>
      </c>
      <c r="AY366" t="str">
        <f t="shared" si="457"/>
        <v>+00</v>
      </c>
      <c r="BA366" s="47" t="b">
        <f t="shared" si="486"/>
        <v>1</v>
      </c>
      <c r="BB366" s="42" t="b">
        <f t="shared" si="487"/>
        <v>1</v>
      </c>
      <c r="BC366" s="42" t="b">
        <f t="shared" si="488"/>
        <v>0</v>
      </c>
      <c r="BD366" s="42" t="b">
        <f t="shared" si="489"/>
        <v>0</v>
      </c>
      <c r="BE366" s="70">
        <f t="shared" si="490"/>
        <v>0</v>
      </c>
      <c r="BF366" s="70">
        <f t="shared" si="491"/>
        <v>0</v>
      </c>
      <c r="BG366" s="34"/>
      <c r="BI366" s="47" t="b">
        <f t="shared" si="492"/>
        <v>1</v>
      </c>
      <c r="BJ366" s="47" t="b">
        <f t="shared" si="493"/>
        <v>1</v>
      </c>
      <c r="BK366" s="42" t="b">
        <f t="shared" si="494"/>
        <v>0</v>
      </c>
      <c r="BL366" s="42" t="b">
        <f t="shared" si="495"/>
        <v>0</v>
      </c>
      <c r="BM366" s="42">
        <f t="shared" si="496"/>
        <v>0</v>
      </c>
      <c r="BN366" s="42">
        <f t="shared" si="497"/>
        <v>0</v>
      </c>
      <c r="BP366" t="e">
        <f t="shared" si="498"/>
        <v>#N/A</v>
      </c>
      <c r="BQ366" t="e">
        <f t="shared" si="499"/>
        <v>#N/A</v>
      </c>
      <c r="BR366" t="e">
        <f t="shared" si="500"/>
        <v>#N/A</v>
      </c>
      <c r="BT366" s="60">
        <f t="shared" si="501"/>
        <v>0</v>
      </c>
      <c r="BU366" s="60">
        <f t="shared" si="502"/>
        <v>0</v>
      </c>
      <c r="BV366" s="60">
        <f t="shared" si="503"/>
        <v>0</v>
      </c>
      <c r="BW366" s="60">
        <f t="shared" si="504"/>
        <v>0</v>
      </c>
      <c r="BX366" s="60">
        <f t="shared" si="505"/>
        <v>0</v>
      </c>
      <c r="BY366" s="60">
        <f t="shared" si="506"/>
        <v>0</v>
      </c>
      <c r="BZ366" s="60">
        <f t="shared" si="507"/>
        <v>0</v>
      </c>
      <c r="CA366" s="60">
        <f t="shared" si="508"/>
        <v>0</v>
      </c>
      <c r="CB366" s="60" t="e">
        <f t="shared" si="458"/>
        <v>#N/A</v>
      </c>
      <c r="CC366" s="60">
        <f t="shared" si="459"/>
        <v>100000</v>
      </c>
      <c r="CD366" s="60" t="e">
        <f t="shared" si="460"/>
        <v>#N/A</v>
      </c>
      <c r="CE366" s="60">
        <f t="shared" si="461"/>
        <v>100000</v>
      </c>
      <c r="CF366" s="83" t="e">
        <f t="shared" si="509"/>
        <v>#N/A</v>
      </c>
      <c r="CG366" s="83">
        <f t="shared" si="510"/>
        <v>0</v>
      </c>
      <c r="CH366" s="83" t="e">
        <f t="shared" si="511"/>
        <v>#N/A</v>
      </c>
      <c r="CI366" s="83">
        <f t="shared" si="512"/>
        <v>0</v>
      </c>
      <c r="CJ366" s="86" t="e">
        <f t="shared" si="462"/>
        <v>#N/A</v>
      </c>
      <c r="CK366" s="82">
        <f t="shared" si="463"/>
        <v>5.3070370403969858E-3</v>
      </c>
      <c r="CL366" s="82" t="e">
        <f t="shared" si="464"/>
        <v>#N/A</v>
      </c>
      <c r="CM366" s="82">
        <f t="shared" si="465"/>
        <v>5.3070370403969858E-3</v>
      </c>
      <c r="CO366" s="149" t="str">
        <f>IF($I366&lt;&gt;"",IF(O366="User Specified",U366,INDEX('Refrigerant GWPs'!$G$2:$G$156,MATCH(O366,'Refrigerant GWPs'!$A$2:$A$156,0))),"")</f>
        <v/>
      </c>
      <c r="CP366" s="138" t="str">
        <f>IF($I366&lt;&gt;"",INDEX('Device Refrigerant Leakage'!$E$2:$E$42,MATCH($M366,'Device Refrigerant Leakage'!$B$2:$B$42,0)),"")</f>
        <v/>
      </c>
      <c r="CQ366" s="138" t="str">
        <f>IF($I366&lt;&gt;"",INDEX('Device Refrigerant Leakage'!$F$2:$F$42,MATCH($M366,'Device Refrigerant Leakage'!$B$2:$B$42,0)),"")</f>
        <v/>
      </c>
      <c r="CR366" s="145" t="str">
        <f>IF($I366&lt;&gt;"",INDEX('Device Refrigerant Leakage'!$G$2:$G$42,MATCH($M366,'Device Refrigerant Leakage'!$B$2:$B$42,0)),"")</f>
        <v/>
      </c>
      <c r="CS366" s="145" t="str">
        <f>IF($I366&lt;&gt;"",INDEX('Device Refrigerant Leakage'!$D$2:$D$42,MATCH($M366,'Device Refrigerant Leakage'!$B$2:$B$42,0))*CP366/2204.62*CO366,"")</f>
        <v/>
      </c>
      <c r="CT366" s="145" t="str">
        <f>IF($I366&lt;&gt;"",J366*(INDEX('Device Refrigerant Leakage'!$D$2:$D$42,MATCH($M366,'Device Refrigerant Leakage'!$B$2:$B$42,0))-(INDEX('Device Refrigerant Leakage'!$D$2:$D$42,MATCH($M366,'Device Refrigerant Leakage'!$B$2:$B$42,0)))*CR366*CP366)*CQ366/2204.62*CO366,"")</f>
        <v/>
      </c>
      <c r="CU366" s="135" t="str">
        <f>IF($I366&lt;&gt;"",J366*IF(W366&lt;&gt;"AR",(CS366*K366)+CT366,(CS366*AB366)+CT366*(AB366/INDEX('Device Refrigerant Leakage'!$C$2:$C$42,MATCH($M366,'Device Refrigerant Leakage'!$B$2:$B$42,0)))),"")</f>
        <v/>
      </c>
      <c r="CW366" s="135" t="str">
        <f>IF($I366&lt;&gt;"",IF(S366="User Specified",V366,INDEX('Refrigerant GWPs'!$G$2:$G$156,MATCH(S366,'Refrigerant GWPs'!$A$2:$A$157,0))),"")</f>
        <v/>
      </c>
      <c r="CX366" s="138" t="str">
        <f>IF($I366&lt;&gt;"",INDEX('Device Refrigerant Leakage'!$E$2:$E$42,MATCH($Q366,'Device Refrigerant Leakage'!$B$2:$B$42,0)),"")</f>
        <v/>
      </c>
      <c r="CY366" s="138" t="str">
        <f>IF($I366&lt;&gt;"",INDEX('Device Refrigerant Leakage'!$F$2:$F$42,MATCH($Q366,'Device Refrigerant Leakage'!$B$2:$B$42,0)),"")</f>
        <v/>
      </c>
      <c r="CZ366" s="145" t="str">
        <f>IF($I366&lt;&gt;"",INDEX('Device Refrigerant Leakage'!$G$2:$G$42,MATCH($Q366,'Device Refrigerant Leakage'!$B$2:$B$42,0)),"")</f>
        <v/>
      </c>
      <c r="DA366" s="145" t="str">
        <f>IF($I366&lt;&gt;"",J366*INDEX('Device Refrigerant Leakage'!$D$2:$D$42,MATCH($Q366,'Device Refrigerant Leakage'!$B$2:$B$42,0))*CX366/2204.62*CW366,"")</f>
        <v/>
      </c>
      <c r="DB366" s="145" t="str">
        <f>IF($I366&lt;&gt;"",J366*(INDEX('Device Refrigerant Leakage'!$D$2:$D$42,MATCH($Q366,'Device Refrigerant Leakage'!$B$2:$B$42,0))-(INDEX('Device Refrigerant Leakage'!$D$2:$D$42,MATCH($Q366,'Device Refrigerant Leakage'!$B$2:$B$42,0)))*CZ366*CX366)*CY366/2204.62*CW366,"")</f>
        <v/>
      </c>
      <c r="DC366" s="135" t="str">
        <f t="shared" si="484"/>
        <v/>
      </c>
      <c r="DE366" s="146" t="str">
        <f>IF(W366&lt;&gt;"AR","",IF(Y366="User Specified", AA366, INDEX('Refrigerant GWPs'!$G$2:$G$154,MATCH(Y366,'Refrigerant GWPs'!$A$2:$A$154,0))))</f>
        <v/>
      </c>
      <c r="DF366" s="146" t="str">
        <f>IF(W366&lt;&gt;"AR","",INDEX('Device Refrigerant Leakage'!$E$2:$E$42,MATCH(X366,'Device Refrigerant Leakage'!$B$2:$B$42,0)))</f>
        <v/>
      </c>
      <c r="DG366" s="146" t="str">
        <f>IF(W366&lt;&gt;"AR","",INDEX('Device Refrigerant Leakage'!$F$2:$F$42,MATCH(X366,'Device Refrigerant Leakage'!$B$2:$B$42,0)))</f>
        <v/>
      </c>
      <c r="DH366" s="146" t="str">
        <f>IF(W366&lt;&gt;"AR","",INDEX('Device Refrigerant Leakage'!$G$2:$G$42,MATCH(X366,'Device Refrigerant Leakage'!$B$2:$B$42,0)))</f>
        <v/>
      </c>
      <c r="DI366" s="146" t="str">
        <f>IF(W366&lt;&gt;"AR","",J366*INDEX('Device Refrigerant Leakage'!$D$2:$D$42,MATCH(X366,'Device Refrigerant Leakage'!$B$2:$B$42,0))*DF366/2204.62*DE366)</f>
        <v/>
      </c>
      <c r="DJ366" s="146" t="str">
        <f>IF(W366&lt;&gt;"AR","",J366*(INDEX('Device Refrigerant Leakage'!$D$2:$D$42,MATCH(X366,'Device Refrigerant Leakage'!$B$2:$B$42,0))-(INDEX('Device Refrigerant Leakage'!$D$2:$D$42,MATCH(X366,'Device Refrigerant Leakage'!$B$2:$B$42,0)))*DH366*DF366)*DG366/2204.62*DE366)</f>
        <v/>
      </c>
      <c r="DK366" s="146" t="str">
        <f>IF(W366&lt;&gt;"AR","",DI366*(K366-AB366)+'Fuel Sub Calcs-Deemed'!DJ366*((K366-AB366)/INDEX('Device Refrigerant Leakage'!$C$2:$C$42,MATCH('Fuel Sub Calcs-Deemed'!X366,'Device Refrigerant Leakage'!$B$2:$B$42,0))))</f>
        <v/>
      </c>
      <c r="DM366" s="56">
        <v>352</v>
      </c>
      <c r="DN366" s="67" t="e">
        <f t="shared" si="466"/>
        <v>#N/A</v>
      </c>
      <c r="DO366" s="45" t="e">
        <f t="shared" si="467"/>
        <v>#N/A</v>
      </c>
      <c r="DP366" s="67" t="e">
        <f t="shared" si="468"/>
        <v>#N/A</v>
      </c>
      <c r="DQ366" s="45" t="e">
        <f t="shared" si="469"/>
        <v>#N/A</v>
      </c>
      <c r="DR366" s="69" t="e">
        <f t="shared" si="470"/>
        <v>#N/A</v>
      </c>
      <c r="DS366" s="34"/>
      <c r="DT366" s="67" t="e">
        <f>((BX366*CJ366)+IF($W366=MAT_AR,(BZ366*CL366),0))*(1+Reference!$E$50+Reference!$E$51)</f>
        <v>#N/A</v>
      </c>
      <c r="DU366" s="67">
        <f>((BY366*CK366)+IF($W366=MAT_AR,(CA366*CM366),0))*(1+Reference!$G$50+Reference!$G$51)</f>
        <v>0</v>
      </c>
      <c r="DV366" s="67" t="e">
        <f t="shared" si="471"/>
        <v>#VALUE!</v>
      </c>
      <c r="DX366" s="56">
        <v>352</v>
      </c>
      <c r="DY366" s="67">
        <f t="shared" si="472"/>
        <v>0</v>
      </c>
      <c r="DZ366" s="45" t="e">
        <f>VLOOKUP($R366,Dropdown!$C$3:$D$4,2,FALSE)</f>
        <v>#N/A</v>
      </c>
      <c r="EA366" s="68">
        <f t="shared" si="473"/>
        <v>0</v>
      </c>
      <c r="EB366" s="68" t="str">
        <f t="shared" si="474"/>
        <v>N/A</v>
      </c>
      <c r="EC366" s="68">
        <f t="shared" si="475"/>
        <v>0</v>
      </c>
      <c r="ED366" s="68" t="str">
        <f t="shared" si="513"/>
        <v>N/A</v>
      </c>
      <c r="EF366" s="56">
        <v>352</v>
      </c>
      <c r="EG366" s="46">
        <f t="shared" si="476"/>
        <v>0</v>
      </c>
      <c r="EH366" s="68" t="e">
        <f t="shared" si="477"/>
        <v>#N/A</v>
      </c>
      <c r="EI366" s="68" t="e">
        <f t="shared" si="478"/>
        <v>#N/A</v>
      </c>
      <c r="EJ366" s="68" t="e">
        <f t="shared" si="479"/>
        <v>#N/A</v>
      </c>
      <c r="EK366" s="68" t="e">
        <f t="shared" si="480"/>
        <v>#N/A</v>
      </c>
      <c r="EL366" s="46">
        <f t="shared" si="481"/>
        <v>0</v>
      </c>
      <c r="EM366" s="46">
        <f t="shared" si="482"/>
        <v>0</v>
      </c>
    </row>
    <row r="367" spans="1:143">
      <c r="A367" s="89"/>
      <c r="B367" s="89"/>
      <c r="C367" s="89"/>
      <c r="D367" s="89"/>
      <c r="E367" s="89"/>
      <c r="F367" s="89"/>
      <c r="G367" s="34"/>
      <c r="H367" s="56">
        <f t="shared" si="483"/>
        <v>353</v>
      </c>
      <c r="I367" s="165"/>
      <c r="J367" s="163"/>
      <c r="K367" s="163"/>
      <c r="L367" s="164"/>
      <c r="M367" s="155"/>
      <c r="N367" s="155"/>
      <c r="O367" s="144"/>
      <c r="P367" s="159" t="str">
        <f>IFERROR(IF(O367&lt;&gt;"User Specified",IF(O367&lt;&gt;"", INDEX('Refrigerant GWPs'!$G$2:$G$154,MATCH(O367,'Refrigerant GWPs'!$A$2:$A$154,0)),""),U367),0)</f>
        <v/>
      </c>
      <c r="Q367" s="155"/>
      <c r="R367" s="155"/>
      <c r="S367" s="144"/>
      <c r="T367" s="159" t="str">
        <f>IF(S367&lt;&gt;"User Specified",IF(AND(S367&lt;&gt;"User Specified",S367&lt;&gt;""), INDEX('Refrigerant GWPs'!$G$2:$G$154,MATCH(S367,'Refrigerant GWPs'!$A$2:$A$154,0)),""),V367)</f>
        <v/>
      </c>
      <c r="U367" s="144"/>
      <c r="V367" s="144"/>
      <c r="W367" s="155"/>
      <c r="X367" s="155"/>
      <c r="Y367" s="144"/>
      <c r="Z367" s="159" t="str">
        <f>IF(AND(Y367&lt;&gt;"User Specified",Y367&lt;&gt;""), INDEX('Refrigerant GWPs'!$G$2:$G$154,MATCH(Y367,'Refrigerant GWPs'!$A$2:$A$154,0)),"")</f>
        <v/>
      </c>
      <c r="AA367" s="155"/>
      <c r="AB367" s="156"/>
      <c r="AC367" s="66"/>
      <c r="AD367" s="66"/>
      <c r="AE367" s="66"/>
      <c r="AF367" s="66"/>
      <c r="AG367" s="66"/>
      <c r="AH367" s="66"/>
      <c r="AI367" s="34"/>
      <c r="AJ367" s="88">
        <f t="shared" si="446"/>
        <v>0</v>
      </c>
      <c r="AK367" s="88">
        <f t="shared" si="447"/>
        <v>0</v>
      </c>
      <c r="AL367" s="88">
        <v>0</v>
      </c>
      <c r="AM367" s="88">
        <v>0</v>
      </c>
      <c r="AN367" s="81" t="str">
        <f t="shared" si="485"/>
        <v/>
      </c>
      <c r="AO367" s="88">
        <f t="shared" si="448"/>
        <v>0</v>
      </c>
      <c r="AP367" s="88">
        <f t="shared" si="449"/>
        <v>0</v>
      </c>
      <c r="AQ367" s="81" t="str">
        <f t="shared" si="450"/>
        <v/>
      </c>
      <c r="AS367" s="41" t="b">
        <f t="shared" si="451"/>
        <v>1</v>
      </c>
      <c r="AT367" s="38">
        <f t="shared" si="452"/>
        <v>0</v>
      </c>
      <c r="AU367" s="60">
        <f t="shared" si="453"/>
        <v>0</v>
      </c>
      <c r="AV367" s="41">
        <f t="shared" si="454"/>
        <v>0</v>
      </c>
      <c r="AW367" s="41" t="b">
        <f t="shared" si="455"/>
        <v>0</v>
      </c>
      <c r="AX367" t="str">
        <f t="shared" si="456"/>
        <v>+00</v>
      </c>
      <c r="AY367" t="str">
        <f t="shared" si="457"/>
        <v>+00</v>
      </c>
      <c r="BA367" s="47" t="b">
        <f t="shared" si="486"/>
        <v>1</v>
      </c>
      <c r="BB367" s="42" t="b">
        <f t="shared" si="487"/>
        <v>1</v>
      </c>
      <c r="BC367" s="42" t="b">
        <f t="shared" si="488"/>
        <v>0</v>
      </c>
      <c r="BD367" s="42" t="b">
        <f t="shared" si="489"/>
        <v>0</v>
      </c>
      <c r="BE367" s="70">
        <f t="shared" si="490"/>
        <v>0</v>
      </c>
      <c r="BF367" s="70">
        <f t="shared" si="491"/>
        <v>0</v>
      </c>
      <c r="BG367" s="34"/>
      <c r="BI367" s="47" t="b">
        <f t="shared" si="492"/>
        <v>1</v>
      </c>
      <c r="BJ367" s="47" t="b">
        <f t="shared" si="493"/>
        <v>1</v>
      </c>
      <c r="BK367" s="42" t="b">
        <f t="shared" si="494"/>
        <v>0</v>
      </c>
      <c r="BL367" s="42" t="b">
        <f t="shared" si="495"/>
        <v>0</v>
      </c>
      <c r="BM367" s="42">
        <f t="shared" si="496"/>
        <v>0</v>
      </c>
      <c r="BN367" s="42">
        <f t="shared" si="497"/>
        <v>0</v>
      </c>
      <c r="BP367" t="e">
        <f t="shared" si="498"/>
        <v>#N/A</v>
      </c>
      <c r="BQ367" t="e">
        <f t="shared" si="499"/>
        <v>#N/A</v>
      </c>
      <c r="BR367" t="e">
        <f t="shared" si="500"/>
        <v>#N/A</v>
      </c>
      <c r="BT367" s="60">
        <f t="shared" si="501"/>
        <v>0</v>
      </c>
      <c r="BU367" s="60">
        <f t="shared" si="502"/>
        <v>0</v>
      </c>
      <c r="BV367" s="60">
        <f t="shared" si="503"/>
        <v>0</v>
      </c>
      <c r="BW367" s="60">
        <f t="shared" si="504"/>
        <v>0</v>
      </c>
      <c r="BX367" s="60">
        <f t="shared" si="505"/>
        <v>0</v>
      </c>
      <c r="BY367" s="60">
        <f t="shared" si="506"/>
        <v>0</v>
      </c>
      <c r="BZ367" s="60">
        <f t="shared" si="507"/>
        <v>0</v>
      </c>
      <c r="CA367" s="60">
        <f t="shared" si="508"/>
        <v>0</v>
      </c>
      <c r="CB367" s="60" t="e">
        <f t="shared" si="458"/>
        <v>#N/A</v>
      </c>
      <c r="CC367" s="60">
        <f t="shared" si="459"/>
        <v>100000</v>
      </c>
      <c r="CD367" s="60" t="e">
        <f t="shared" si="460"/>
        <v>#N/A</v>
      </c>
      <c r="CE367" s="60">
        <f t="shared" si="461"/>
        <v>100000</v>
      </c>
      <c r="CF367" s="83" t="e">
        <f t="shared" si="509"/>
        <v>#N/A</v>
      </c>
      <c r="CG367" s="83">
        <f t="shared" si="510"/>
        <v>0</v>
      </c>
      <c r="CH367" s="83" t="e">
        <f t="shared" si="511"/>
        <v>#N/A</v>
      </c>
      <c r="CI367" s="83">
        <f t="shared" si="512"/>
        <v>0</v>
      </c>
      <c r="CJ367" s="86" t="e">
        <f t="shared" si="462"/>
        <v>#N/A</v>
      </c>
      <c r="CK367" s="82">
        <f t="shared" si="463"/>
        <v>5.3070370403969858E-3</v>
      </c>
      <c r="CL367" s="82" t="e">
        <f t="shared" si="464"/>
        <v>#N/A</v>
      </c>
      <c r="CM367" s="82">
        <f t="shared" si="465"/>
        <v>5.3070370403969858E-3</v>
      </c>
      <c r="CO367" s="149" t="str">
        <f>IF($I367&lt;&gt;"",IF(O367="User Specified",U367,INDEX('Refrigerant GWPs'!$G$2:$G$156,MATCH(O367,'Refrigerant GWPs'!$A$2:$A$156,0))),"")</f>
        <v/>
      </c>
      <c r="CP367" s="138" t="str">
        <f>IF($I367&lt;&gt;"",INDEX('Device Refrigerant Leakage'!$E$2:$E$42,MATCH($M367,'Device Refrigerant Leakage'!$B$2:$B$42,0)),"")</f>
        <v/>
      </c>
      <c r="CQ367" s="138" t="str">
        <f>IF($I367&lt;&gt;"",INDEX('Device Refrigerant Leakage'!$F$2:$F$42,MATCH($M367,'Device Refrigerant Leakage'!$B$2:$B$42,0)),"")</f>
        <v/>
      </c>
      <c r="CR367" s="145" t="str">
        <f>IF($I367&lt;&gt;"",INDEX('Device Refrigerant Leakage'!$G$2:$G$42,MATCH($M367,'Device Refrigerant Leakage'!$B$2:$B$42,0)),"")</f>
        <v/>
      </c>
      <c r="CS367" s="145" t="str">
        <f>IF($I367&lt;&gt;"",INDEX('Device Refrigerant Leakage'!$D$2:$D$42,MATCH($M367,'Device Refrigerant Leakage'!$B$2:$B$42,0))*CP367/2204.62*CO367,"")</f>
        <v/>
      </c>
      <c r="CT367" s="145" t="str">
        <f>IF($I367&lt;&gt;"",J367*(INDEX('Device Refrigerant Leakage'!$D$2:$D$42,MATCH($M367,'Device Refrigerant Leakage'!$B$2:$B$42,0))-(INDEX('Device Refrigerant Leakage'!$D$2:$D$42,MATCH($M367,'Device Refrigerant Leakage'!$B$2:$B$42,0)))*CR367*CP367)*CQ367/2204.62*CO367,"")</f>
        <v/>
      </c>
      <c r="CU367" s="135" t="str">
        <f>IF($I367&lt;&gt;"",J367*IF(W367&lt;&gt;"AR",(CS367*K367)+CT367,(CS367*AB367)+CT367*(AB367/INDEX('Device Refrigerant Leakage'!$C$2:$C$42,MATCH($M367,'Device Refrigerant Leakage'!$B$2:$B$42,0)))),"")</f>
        <v/>
      </c>
      <c r="CW367" s="135" t="str">
        <f>IF($I367&lt;&gt;"",IF(S367="User Specified",V367,INDEX('Refrigerant GWPs'!$G$2:$G$156,MATCH(S367,'Refrigerant GWPs'!$A$2:$A$157,0))),"")</f>
        <v/>
      </c>
      <c r="CX367" s="138" t="str">
        <f>IF($I367&lt;&gt;"",INDEX('Device Refrigerant Leakage'!$E$2:$E$42,MATCH($Q367,'Device Refrigerant Leakage'!$B$2:$B$42,0)),"")</f>
        <v/>
      </c>
      <c r="CY367" s="138" t="str">
        <f>IF($I367&lt;&gt;"",INDEX('Device Refrigerant Leakage'!$F$2:$F$42,MATCH($Q367,'Device Refrigerant Leakage'!$B$2:$B$42,0)),"")</f>
        <v/>
      </c>
      <c r="CZ367" s="145" t="str">
        <f>IF($I367&lt;&gt;"",INDEX('Device Refrigerant Leakage'!$G$2:$G$42,MATCH($Q367,'Device Refrigerant Leakage'!$B$2:$B$42,0)),"")</f>
        <v/>
      </c>
      <c r="DA367" s="145" t="str">
        <f>IF($I367&lt;&gt;"",J367*INDEX('Device Refrigerant Leakage'!$D$2:$D$42,MATCH($Q367,'Device Refrigerant Leakage'!$B$2:$B$42,0))*CX367/2204.62*CW367,"")</f>
        <v/>
      </c>
      <c r="DB367" s="145" t="str">
        <f>IF($I367&lt;&gt;"",J367*(INDEX('Device Refrigerant Leakage'!$D$2:$D$42,MATCH($Q367,'Device Refrigerant Leakage'!$B$2:$B$42,0))-(INDEX('Device Refrigerant Leakage'!$D$2:$D$42,MATCH($Q367,'Device Refrigerant Leakage'!$B$2:$B$42,0)))*CZ367*CX367)*CY367/2204.62*CW367,"")</f>
        <v/>
      </c>
      <c r="DC367" s="135" t="str">
        <f t="shared" si="484"/>
        <v/>
      </c>
      <c r="DE367" s="146" t="str">
        <f>IF(W367&lt;&gt;"AR","",IF(Y367="User Specified", AA367, INDEX('Refrigerant GWPs'!$G$2:$G$154,MATCH(Y367,'Refrigerant GWPs'!$A$2:$A$154,0))))</f>
        <v/>
      </c>
      <c r="DF367" s="146" t="str">
        <f>IF(W367&lt;&gt;"AR","",INDEX('Device Refrigerant Leakage'!$E$2:$E$42,MATCH(X367,'Device Refrigerant Leakage'!$B$2:$B$42,0)))</f>
        <v/>
      </c>
      <c r="DG367" s="146" t="str">
        <f>IF(W367&lt;&gt;"AR","",INDEX('Device Refrigerant Leakage'!$F$2:$F$42,MATCH(X367,'Device Refrigerant Leakage'!$B$2:$B$42,0)))</f>
        <v/>
      </c>
      <c r="DH367" s="146" t="str">
        <f>IF(W367&lt;&gt;"AR","",INDEX('Device Refrigerant Leakage'!$G$2:$G$42,MATCH(X367,'Device Refrigerant Leakage'!$B$2:$B$42,0)))</f>
        <v/>
      </c>
      <c r="DI367" s="146" t="str">
        <f>IF(W367&lt;&gt;"AR","",J367*INDEX('Device Refrigerant Leakage'!$D$2:$D$42,MATCH(X367,'Device Refrigerant Leakage'!$B$2:$B$42,0))*DF367/2204.62*DE367)</f>
        <v/>
      </c>
      <c r="DJ367" s="146" t="str">
        <f>IF(W367&lt;&gt;"AR","",J367*(INDEX('Device Refrigerant Leakage'!$D$2:$D$42,MATCH(X367,'Device Refrigerant Leakage'!$B$2:$B$42,0))-(INDEX('Device Refrigerant Leakage'!$D$2:$D$42,MATCH(X367,'Device Refrigerant Leakage'!$B$2:$B$42,0)))*DH367*DF367)*DG367/2204.62*DE367)</f>
        <v/>
      </c>
      <c r="DK367" s="146" t="str">
        <f>IF(W367&lt;&gt;"AR","",DI367*(K367-AB367)+'Fuel Sub Calcs-Deemed'!DJ367*((K367-AB367)/INDEX('Device Refrigerant Leakage'!$C$2:$C$42,MATCH('Fuel Sub Calcs-Deemed'!X367,'Device Refrigerant Leakage'!$B$2:$B$42,0))))</f>
        <v/>
      </c>
      <c r="DM367" s="56">
        <v>353</v>
      </c>
      <c r="DN367" s="67" t="e">
        <f t="shared" si="466"/>
        <v>#N/A</v>
      </c>
      <c r="DO367" s="45" t="e">
        <f t="shared" si="467"/>
        <v>#N/A</v>
      </c>
      <c r="DP367" s="67" t="e">
        <f t="shared" si="468"/>
        <v>#N/A</v>
      </c>
      <c r="DQ367" s="45" t="e">
        <f t="shared" si="469"/>
        <v>#N/A</v>
      </c>
      <c r="DR367" s="69" t="e">
        <f t="shared" si="470"/>
        <v>#N/A</v>
      </c>
      <c r="DS367" s="34"/>
      <c r="DT367" s="67" t="e">
        <f>((BX367*CJ367)+IF($W367=MAT_AR,(BZ367*CL367),0))*(1+Reference!$E$50+Reference!$E$51)</f>
        <v>#N/A</v>
      </c>
      <c r="DU367" s="67">
        <f>((BY367*CK367)+IF($W367=MAT_AR,(CA367*CM367),0))*(1+Reference!$G$50+Reference!$G$51)</f>
        <v>0</v>
      </c>
      <c r="DV367" s="67" t="e">
        <f t="shared" si="471"/>
        <v>#VALUE!</v>
      </c>
      <c r="DX367" s="56">
        <v>353</v>
      </c>
      <c r="DY367" s="67">
        <f t="shared" si="472"/>
        <v>0</v>
      </c>
      <c r="DZ367" s="45" t="e">
        <f>VLOOKUP($R367,Dropdown!$C$3:$D$4,2,FALSE)</f>
        <v>#N/A</v>
      </c>
      <c r="EA367" s="68">
        <f t="shared" si="473"/>
        <v>0</v>
      </c>
      <c r="EB367" s="68" t="str">
        <f t="shared" si="474"/>
        <v>N/A</v>
      </c>
      <c r="EC367" s="68">
        <f t="shared" si="475"/>
        <v>0</v>
      </c>
      <c r="ED367" s="68" t="str">
        <f t="shared" si="513"/>
        <v>N/A</v>
      </c>
      <c r="EF367" s="56">
        <v>353</v>
      </c>
      <c r="EG367" s="46">
        <f t="shared" si="476"/>
        <v>0</v>
      </c>
      <c r="EH367" s="68" t="e">
        <f t="shared" si="477"/>
        <v>#N/A</v>
      </c>
      <c r="EI367" s="68" t="e">
        <f t="shared" si="478"/>
        <v>#N/A</v>
      </c>
      <c r="EJ367" s="68" t="e">
        <f t="shared" si="479"/>
        <v>#N/A</v>
      </c>
      <c r="EK367" s="68" t="e">
        <f t="shared" si="480"/>
        <v>#N/A</v>
      </c>
      <c r="EL367" s="46">
        <f t="shared" si="481"/>
        <v>0</v>
      </c>
      <c r="EM367" s="46">
        <f t="shared" si="482"/>
        <v>0</v>
      </c>
    </row>
    <row r="368" spans="1:143">
      <c r="A368" s="89"/>
      <c r="B368" s="89"/>
      <c r="C368" s="89"/>
      <c r="D368" s="89"/>
      <c r="E368" s="89"/>
      <c r="F368" s="89"/>
      <c r="G368" s="34"/>
      <c r="H368" s="56">
        <f t="shared" si="483"/>
        <v>354</v>
      </c>
      <c r="I368" s="165"/>
      <c r="J368" s="163"/>
      <c r="K368" s="163"/>
      <c r="L368" s="164"/>
      <c r="M368" s="155"/>
      <c r="N368" s="155"/>
      <c r="O368" s="144"/>
      <c r="P368" s="159" t="str">
        <f>IFERROR(IF(O368&lt;&gt;"User Specified",IF(O368&lt;&gt;"", INDEX('Refrigerant GWPs'!$G$2:$G$154,MATCH(O368,'Refrigerant GWPs'!$A$2:$A$154,0)),""),U368),0)</f>
        <v/>
      </c>
      <c r="Q368" s="155"/>
      <c r="R368" s="155"/>
      <c r="S368" s="144"/>
      <c r="T368" s="159" t="str">
        <f>IF(S368&lt;&gt;"User Specified",IF(AND(S368&lt;&gt;"User Specified",S368&lt;&gt;""), INDEX('Refrigerant GWPs'!$G$2:$G$154,MATCH(S368,'Refrigerant GWPs'!$A$2:$A$154,0)),""),V368)</f>
        <v/>
      </c>
      <c r="U368" s="144"/>
      <c r="V368" s="144"/>
      <c r="W368" s="155"/>
      <c r="X368" s="155"/>
      <c r="Y368" s="144"/>
      <c r="Z368" s="159" t="str">
        <f>IF(AND(Y368&lt;&gt;"User Specified",Y368&lt;&gt;""), INDEX('Refrigerant GWPs'!$G$2:$G$154,MATCH(Y368,'Refrigerant GWPs'!$A$2:$A$154,0)),"")</f>
        <v/>
      </c>
      <c r="AA368" s="155"/>
      <c r="AB368" s="156"/>
      <c r="AC368" s="66"/>
      <c r="AD368" s="66"/>
      <c r="AE368" s="66"/>
      <c r="AF368" s="66"/>
      <c r="AG368" s="66"/>
      <c r="AH368" s="66"/>
      <c r="AI368" s="34"/>
      <c r="AJ368" s="88">
        <f t="shared" si="446"/>
        <v>0</v>
      </c>
      <c r="AK368" s="88">
        <f t="shared" si="447"/>
        <v>0</v>
      </c>
      <c r="AL368" s="88">
        <v>0</v>
      </c>
      <c r="AM368" s="88">
        <v>0</v>
      </c>
      <c r="AN368" s="81" t="str">
        <f t="shared" si="485"/>
        <v/>
      </c>
      <c r="AO368" s="88">
        <f t="shared" si="448"/>
        <v>0</v>
      </c>
      <c r="AP368" s="88">
        <f t="shared" si="449"/>
        <v>0</v>
      </c>
      <c r="AQ368" s="81" t="str">
        <f t="shared" si="450"/>
        <v/>
      </c>
      <c r="AS368" s="41" t="b">
        <f t="shared" si="451"/>
        <v>1</v>
      </c>
      <c r="AT368" s="38">
        <f t="shared" si="452"/>
        <v>0</v>
      </c>
      <c r="AU368" s="60">
        <f t="shared" si="453"/>
        <v>0</v>
      </c>
      <c r="AV368" s="41">
        <f t="shared" si="454"/>
        <v>0</v>
      </c>
      <c r="AW368" s="41" t="b">
        <f t="shared" si="455"/>
        <v>0</v>
      </c>
      <c r="AX368" t="str">
        <f t="shared" si="456"/>
        <v>+00</v>
      </c>
      <c r="AY368" t="str">
        <f t="shared" si="457"/>
        <v>+00</v>
      </c>
      <c r="BA368" s="47" t="b">
        <f t="shared" si="486"/>
        <v>1</v>
      </c>
      <c r="BB368" s="42" t="b">
        <f t="shared" si="487"/>
        <v>1</v>
      </c>
      <c r="BC368" s="42" t="b">
        <f t="shared" si="488"/>
        <v>0</v>
      </c>
      <c r="BD368" s="42" t="b">
        <f t="shared" si="489"/>
        <v>0</v>
      </c>
      <c r="BE368" s="70">
        <f t="shared" si="490"/>
        <v>0</v>
      </c>
      <c r="BF368" s="70">
        <f t="shared" si="491"/>
        <v>0</v>
      </c>
      <c r="BG368" s="34"/>
      <c r="BI368" s="47" t="b">
        <f t="shared" si="492"/>
        <v>1</v>
      </c>
      <c r="BJ368" s="47" t="b">
        <f t="shared" si="493"/>
        <v>1</v>
      </c>
      <c r="BK368" s="42" t="b">
        <f t="shared" si="494"/>
        <v>0</v>
      </c>
      <c r="BL368" s="42" t="b">
        <f t="shared" si="495"/>
        <v>0</v>
      </c>
      <c r="BM368" s="42">
        <f t="shared" si="496"/>
        <v>0</v>
      </c>
      <c r="BN368" s="42">
        <f t="shared" si="497"/>
        <v>0</v>
      </c>
      <c r="BP368" t="e">
        <f t="shared" si="498"/>
        <v>#N/A</v>
      </c>
      <c r="BQ368" t="e">
        <f t="shared" si="499"/>
        <v>#N/A</v>
      </c>
      <c r="BR368" t="e">
        <f t="shared" si="500"/>
        <v>#N/A</v>
      </c>
      <c r="BT368" s="60">
        <f t="shared" si="501"/>
        <v>0</v>
      </c>
      <c r="BU368" s="60">
        <f t="shared" si="502"/>
        <v>0</v>
      </c>
      <c r="BV368" s="60">
        <f t="shared" si="503"/>
        <v>0</v>
      </c>
      <c r="BW368" s="60">
        <f t="shared" si="504"/>
        <v>0</v>
      </c>
      <c r="BX368" s="60">
        <f t="shared" si="505"/>
        <v>0</v>
      </c>
      <c r="BY368" s="60">
        <f t="shared" si="506"/>
        <v>0</v>
      </c>
      <c r="BZ368" s="60">
        <f t="shared" si="507"/>
        <v>0</v>
      </c>
      <c r="CA368" s="60">
        <f t="shared" si="508"/>
        <v>0</v>
      </c>
      <c r="CB368" s="60" t="e">
        <f t="shared" si="458"/>
        <v>#N/A</v>
      </c>
      <c r="CC368" s="60">
        <f t="shared" si="459"/>
        <v>100000</v>
      </c>
      <c r="CD368" s="60" t="e">
        <f t="shared" si="460"/>
        <v>#N/A</v>
      </c>
      <c r="CE368" s="60">
        <f t="shared" si="461"/>
        <v>100000</v>
      </c>
      <c r="CF368" s="83" t="e">
        <f t="shared" si="509"/>
        <v>#N/A</v>
      </c>
      <c r="CG368" s="83">
        <f t="shared" si="510"/>
        <v>0</v>
      </c>
      <c r="CH368" s="83" t="e">
        <f t="shared" si="511"/>
        <v>#N/A</v>
      </c>
      <c r="CI368" s="83">
        <f t="shared" si="512"/>
        <v>0</v>
      </c>
      <c r="CJ368" s="86" t="e">
        <f t="shared" si="462"/>
        <v>#N/A</v>
      </c>
      <c r="CK368" s="82">
        <f t="shared" si="463"/>
        <v>5.3070370403969858E-3</v>
      </c>
      <c r="CL368" s="82" t="e">
        <f t="shared" si="464"/>
        <v>#N/A</v>
      </c>
      <c r="CM368" s="82">
        <f t="shared" si="465"/>
        <v>5.3070370403969858E-3</v>
      </c>
      <c r="CO368" s="149" t="str">
        <f>IF($I368&lt;&gt;"",IF(O368="User Specified",U368,INDEX('Refrigerant GWPs'!$G$2:$G$156,MATCH(O368,'Refrigerant GWPs'!$A$2:$A$156,0))),"")</f>
        <v/>
      </c>
      <c r="CP368" s="138" t="str">
        <f>IF($I368&lt;&gt;"",INDEX('Device Refrigerant Leakage'!$E$2:$E$42,MATCH($M368,'Device Refrigerant Leakage'!$B$2:$B$42,0)),"")</f>
        <v/>
      </c>
      <c r="CQ368" s="138" t="str">
        <f>IF($I368&lt;&gt;"",INDEX('Device Refrigerant Leakage'!$F$2:$F$42,MATCH($M368,'Device Refrigerant Leakage'!$B$2:$B$42,0)),"")</f>
        <v/>
      </c>
      <c r="CR368" s="145" t="str">
        <f>IF($I368&lt;&gt;"",INDEX('Device Refrigerant Leakage'!$G$2:$G$42,MATCH($M368,'Device Refrigerant Leakage'!$B$2:$B$42,0)),"")</f>
        <v/>
      </c>
      <c r="CS368" s="145" t="str">
        <f>IF($I368&lt;&gt;"",INDEX('Device Refrigerant Leakage'!$D$2:$D$42,MATCH($M368,'Device Refrigerant Leakage'!$B$2:$B$42,0))*CP368/2204.62*CO368,"")</f>
        <v/>
      </c>
      <c r="CT368" s="145" t="str">
        <f>IF($I368&lt;&gt;"",J368*(INDEX('Device Refrigerant Leakage'!$D$2:$D$42,MATCH($M368,'Device Refrigerant Leakage'!$B$2:$B$42,0))-(INDEX('Device Refrigerant Leakage'!$D$2:$D$42,MATCH($M368,'Device Refrigerant Leakage'!$B$2:$B$42,0)))*CR368*CP368)*CQ368/2204.62*CO368,"")</f>
        <v/>
      </c>
      <c r="CU368" s="135" t="str">
        <f>IF($I368&lt;&gt;"",J368*IF(W368&lt;&gt;"AR",(CS368*K368)+CT368,(CS368*AB368)+CT368*(AB368/INDEX('Device Refrigerant Leakage'!$C$2:$C$42,MATCH($M368,'Device Refrigerant Leakage'!$B$2:$B$42,0)))),"")</f>
        <v/>
      </c>
      <c r="CW368" s="135" t="str">
        <f>IF($I368&lt;&gt;"",IF(S368="User Specified",V368,INDEX('Refrigerant GWPs'!$G$2:$G$156,MATCH(S368,'Refrigerant GWPs'!$A$2:$A$157,0))),"")</f>
        <v/>
      </c>
      <c r="CX368" s="138" t="str">
        <f>IF($I368&lt;&gt;"",INDEX('Device Refrigerant Leakage'!$E$2:$E$42,MATCH($Q368,'Device Refrigerant Leakage'!$B$2:$B$42,0)),"")</f>
        <v/>
      </c>
      <c r="CY368" s="138" t="str">
        <f>IF($I368&lt;&gt;"",INDEX('Device Refrigerant Leakage'!$F$2:$F$42,MATCH($Q368,'Device Refrigerant Leakage'!$B$2:$B$42,0)),"")</f>
        <v/>
      </c>
      <c r="CZ368" s="145" t="str">
        <f>IF($I368&lt;&gt;"",INDEX('Device Refrigerant Leakage'!$G$2:$G$42,MATCH($Q368,'Device Refrigerant Leakage'!$B$2:$B$42,0)),"")</f>
        <v/>
      </c>
      <c r="DA368" s="145" t="str">
        <f>IF($I368&lt;&gt;"",J368*INDEX('Device Refrigerant Leakage'!$D$2:$D$42,MATCH($Q368,'Device Refrigerant Leakage'!$B$2:$B$42,0))*CX368/2204.62*CW368,"")</f>
        <v/>
      </c>
      <c r="DB368" s="145" t="str">
        <f>IF($I368&lt;&gt;"",J368*(INDEX('Device Refrigerant Leakage'!$D$2:$D$42,MATCH($Q368,'Device Refrigerant Leakage'!$B$2:$B$42,0))-(INDEX('Device Refrigerant Leakage'!$D$2:$D$42,MATCH($Q368,'Device Refrigerant Leakage'!$B$2:$B$42,0)))*CZ368*CX368)*CY368/2204.62*CW368,"")</f>
        <v/>
      </c>
      <c r="DC368" s="135" t="str">
        <f t="shared" si="484"/>
        <v/>
      </c>
      <c r="DE368" s="146" t="str">
        <f>IF(W368&lt;&gt;"AR","",IF(Y368="User Specified", AA368, INDEX('Refrigerant GWPs'!$G$2:$G$154,MATCH(Y368,'Refrigerant GWPs'!$A$2:$A$154,0))))</f>
        <v/>
      </c>
      <c r="DF368" s="146" t="str">
        <f>IF(W368&lt;&gt;"AR","",INDEX('Device Refrigerant Leakage'!$E$2:$E$42,MATCH(X368,'Device Refrigerant Leakage'!$B$2:$B$42,0)))</f>
        <v/>
      </c>
      <c r="DG368" s="146" t="str">
        <f>IF(W368&lt;&gt;"AR","",INDEX('Device Refrigerant Leakage'!$F$2:$F$42,MATCH(X368,'Device Refrigerant Leakage'!$B$2:$B$42,0)))</f>
        <v/>
      </c>
      <c r="DH368" s="146" t="str">
        <f>IF(W368&lt;&gt;"AR","",INDEX('Device Refrigerant Leakage'!$G$2:$G$42,MATCH(X368,'Device Refrigerant Leakage'!$B$2:$B$42,0)))</f>
        <v/>
      </c>
      <c r="DI368" s="146" t="str">
        <f>IF(W368&lt;&gt;"AR","",J368*INDEX('Device Refrigerant Leakage'!$D$2:$D$42,MATCH(X368,'Device Refrigerant Leakage'!$B$2:$B$42,0))*DF368/2204.62*DE368)</f>
        <v/>
      </c>
      <c r="DJ368" s="146" t="str">
        <f>IF(W368&lt;&gt;"AR","",J368*(INDEX('Device Refrigerant Leakage'!$D$2:$D$42,MATCH(X368,'Device Refrigerant Leakage'!$B$2:$B$42,0))-(INDEX('Device Refrigerant Leakage'!$D$2:$D$42,MATCH(X368,'Device Refrigerant Leakage'!$B$2:$B$42,0)))*DH368*DF368)*DG368/2204.62*DE368)</f>
        <v/>
      </c>
      <c r="DK368" s="146" t="str">
        <f>IF(W368&lt;&gt;"AR","",DI368*(K368-AB368)+'Fuel Sub Calcs-Deemed'!DJ368*((K368-AB368)/INDEX('Device Refrigerant Leakage'!$C$2:$C$42,MATCH('Fuel Sub Calcs-Deemed'!X368,'Device Refrigerant Leakage'!$B$2:$B$42,0))))</f>
        <v/>
      </c>
      <c r="DM368" s="56">
        <v>354</v>
      </c>
      <c r="DN368" s="67" t="e">
        <f t="shared" si="466"/>
        <v>#N/A</v>
      </c>
      <c r="DO368" s="45" t="e">
        <f t="shared" si="467"/>
        <v>#N/A</v>
      </c>
      <c r="DP368" s="67" t="e">
        <f t="shared" si="468"/>
        <v>#N/A</v>
      </c>
      <c r="DQ368" s="45" t="e">
        <f t="shared" si="469"/>
        <v>#N/A</v>
      </c>
      <c r="DR368" s="69" t="e">
        <f t="shared" si="470"/>
        <v>#N/A</v>
      </c>
      <c r="DS368" s="34"/>
      <c r="DT368" s="67" t="e">
        <f>((BX368*CJ368)+IF($W368=MAT_AR,(BZ368*CL368),0))*(1+Reference!$E$50+Reference!$E$51)</f>
        <v>#N/A</v>
      </c>
      <c r="DU368" s="67">
        <f>((BY368*CK368)+IF($W368=MAT_AR,(CA368*CM368),0))*(1+Reference!$G$50+Reference!$G$51)</f>
        <v>0</v>
      </c>
      <c r="DV368" s="67" t="e">
        <f t="shared" si="471"/>
        <v>#VALUE!</v>
      </c>
      <c r="DX368" s="56">
        <v>354</v>
      </c>
      <c r="DY368" s="67">
        <f t="shared" si="472"/>
        <v>0</v>
      </c>
      <c r="DZ368" s="45" t="e">
        <f>VLOOKUP($R368,Dropdown!$C$3:$D$4,2,FALSE)</f>
        <v>#N/A</v>
      </c>
      <c r="EA368" s="68">
        <f t="shared" si="473"/>
        <v>0</v>
      </c>
      <c r="EB368" s="68" t="str">
        <f t="shared" si="474"/>
        <v>N/A</v>
      </c>
      <c r="EC368" s="68">
        <f t="shared" si="475"/>
        <v>0</v>
      </c>
      <c r="ED368" s="68" t="str">
        <f t="shared" si="513"/>
        <v>N/A</v>
      </c>
      <c r="EF368" s="56">
        <v>354</v>
      </c>
      <c r="EG368" s="46">
        <f t="shared" si="476"/>
        <v>0</v>
      </c>
      <c r="EH368" s="68" t="e">
        <f t="shared" si="477"/>
        <v>#N/A</v>
      </c>
      <c r="EI368" s="68" t="e">
        <f t="shared" si="478"/>
        <v>#N/A</v>
      </c>
      <c r="EJ368" s="68" t="e">
        <f t="shared" si="479"/>
        <v>#N/A</v>
      </c>
      <c r="EK368" s="68" t="e">
        <f t="shared" si="480"/>
        <v>#N/A</v>
      </c>
      <c r="EL368" s="46">
        <f t="shared" si="481"/>
        <v>0</v>
      </c>
      <c r="EM368" s="46">
        <f t="shared" si="482"/>
        <v>0</v>
      </c>
    </row>
    <row r="369" spans="1:143">
      <c r="A369" s="89"/>
      <c r="B369" s="89"/>
      <c r="C369" s="89"/>
      <c r="D369" s="89"/>
      <c r="E369" s="89"/>
      <c r="F369" s="89"/>
      <c r="G369" s="34"/>
      <c r="H369" s="56">
        <f t="shared" si="483"/>
        <v>355</v>
      </c>
      <c r="I369" s="165"/>
      <c r="J369" s="163"/>
      <c r="K369" s="163"/>
      <c r="L369" s="164"/>
      <c r="M369" s="155"/>
      <c r="N369" s="155"/>
      <c r="O369" s="144"/>
      <c r="P369" s="159" t="str">
        <f>IFERROR(IF(O369&lt;&gt;"User Specified",IF(O369&lt;&gt;"", INDEX('Refrigerant GWPs'!$G$2:$G$154,MATCH(O369,'Refrigerant GWPs'!$A$2:$A$154,0)),""),U369),0)</f>
        <v/>
      </c>
      <c r="Q369" s="155"/>
      <c r="R369" s="155"/>
      <c r="S369" s="144"/>
      <c r="T369" s="159" t="str">
        <f>IF(S369&lt;&gt;"User Specified",IF(AND(S369&lt;&gt;"User Specified",S369&lt;&gt;""), INDEX('Refrigerant GWPs'!$G$2:$G$154,MATCH(S369,'Refrigerant GWPs'!$A$2:$A$154,0)),""),V369)</f>
        <v/>
      </c>
      <c r="U369" s="144"/>
      <c r="V369" s="144"/>
      <c r="W369" s="155"/>
      <c r="X369" s="155"/>
      <c r="Y369" s="144"/>
      <c r="Z369" s="159" t="str">
        <f>IF(AND(Y369&lt;&gt;"User Specified",Y369&lt;&gt;""), INDEX('Refrigerant GWPs'!$G$2:$G$154,MATCH(Y369,'Refrigerant GWPs'!$A$2:$A$154,0)),"")</f>
        <v/>
      </c>
      <c r="AA369" s="155"/>
      <c r="AB369" s="156"/>
      <c r="AC369" s="66"/>
      <c r="AD369" s="66"/>
      <c r="AE369" s="66"/>
      <c r="AF369" s="66"/>
      <c r="AG369" s="66"/>
      <c r="AH369" s="66"/>
      <c r="AI369" s="34"/>
      <c r="AJ369" s="88">
        <f t="shared" si="446"/>
        <v>0</v>
      </c>
      <c r="AK369" s="88">
        <f t="shared" si="447"/>
        <v>0</v>
      </c>
      <c r="AL369" s="88">
        <v>0</v>
      </c>
      <c r="AM369" s="88">
        <v>0</v>
      </c>
      <c r="AN369" s="81" t="str">
        <f t="shared" si="485"/>
        <v/>
      </c>
      <c r="AO369" s="88">
        <f t="shared" si="448"/>
        <v>0</v>
      </c>
      <c r="AP369" s="88">
        <f t="shared" si="449"/>
        <v>0</v>
      </c>
      <c r="AQ369" s="81" t="str">
        <f t="shared" si="450"/>
        <v/>
      </c>
      <c r="AS369" s="41" t="b">
        <f t="shared" si="451"/>
        <v>1</v>
      </c>
      <c r="AT369" s="38">
        <f t="shared" si="452"/>
        <v>0</v>
      </c>
      <c r="AU369" s="60">
        <f t="shared" si="453"/>
        <v>0</v>
      </c>
      <c r="AV369" s="41">
        <f t="shared" si="454"/>
        <v>0</v>
      </c>
      <c r="AW369" s="41" t="b">
        <f t="shared" si="455"/>
        <v>0</v>
      </c>
      <c r="AX369" t="str">
        <f t="shared" si="456"/>
        <v>+00</v>
      </c>
      <c r="AY369" t="str">
        <f t="shared" si="457"/>
        <v>+00</v>
      </c>
      <c r="BA369" s="47" t="b">
        <f t="shared" si="486"/>
        <v>1</v>
      </c>
      <c r="BB369" s="42" t="b">
        <f t="shared" si="487"/>
        <v>1</v>
      </c>
      <c r="BC369" s="42" t="b">
        <f t="shared" si="488"/>
        <v>0</v>
      </c>
      <c r="BD369" s="42" t="b">
        <f t="shared" si="489"/>
        <v>0</v>
      </c>
      <c r="BE369" s="70">
        <f t="shared" si="490"/>
        <v>0</v>
      </c>
      <c r="BF369" s="70">
        <f t="shared" si="491"/>
        <v>0</v>
      </c>
      <c r="BG369" s="34"/>
      <c r="BI369" s="47" t="b">
        <f t="shared" si="492"/>
        <v>1</v>
      </c>
      <c r="BJ369" s="47" t="b">
        <f t="shared" si="493"/>
        <v>1</v>
      </c>
      <c r="BK369" s="42" t="b">
        <f t="shared" si="494"/>
        <v>0</v>
      </c>
      <c r="BL369" s="42" t="b">
        <f t="shared" si="495"/>
        <v>0</v>
      </c>
      <c r="BM369" s="42">
        <f t="shared" si="496"/>
        <v>0</v>
      </c>
      <c r="BN369" s="42">
        <f t="shared" si="497"/>
        <v>0</v>
      </c>
      <c r="BP369" t="e">
        <f t="shared" si="498"/>
        <v>#N/A</v>
      </c>
      <c r="BQ369" t="e">
        <f t="shared" si="499"/>
        <v>#N/A</v>
      </c>
      <c r="BR369" t="e">
        <f t="shared" si="500"/>
        <v>#N/A</v>
      </c>
      <c r="BT369" s="60">
        <f t="shared" si="501"/>
        <v>0</v>
      </c>
      <c r="BU369" s="60">
        <f t="shared" si="502"/>
        <v>0</v>
      </c>
      <c r="BV369" s="60">
        <f t="shared" si="503"/>
        <v>0</v>
      </c>
      <c r="BW369" s="60">
        <f t="shared" si="504"/>
        <v>0</v>
      </c>
      <c r="BX369" s="60">
        <f t="shared" si="505"/>
        <v>0</v>
      </c>
      <c r="BY369" s="60">
        <f t="shared" si="506"/>
        <v>0</v>
      </c>
      <c r="BZ369" s="60">
        <f t="shared" si="507"/>
        <v>0</v>
      </c>
      <c r="CA369" s="60">
        <f t="shared" si="508"/>
        <v>0</v>
      </c>
      <c r="CB369" s="60" t="e">
        <f t="shared" si="458"/>
        <v>#N/A</v>
      </c>
      <c r="CC369" s="60">
        <f t="shared" si="459"/>
        <v>100000</v>
      </c>
      <c r="CD369" s="60" t="e">
        <f t="shared" si="460"/>
        <v>#N/A</v>
      </c>
      <c r="CE369" s="60">
        <f t="shared" si="461"/>
        <v>100000</v>
      </c>
      <c r="CF369" s="83" t="e">
        <f t="shared" si="509"/>
        <v>#N/A</v>
      </c>
      <c r="CG369" s="83">
        <f t="shared" si="510"/>
        <v>0</v>
      </c>
      <c r="CH369" s="83" t="e">
        <f t="shared" si="511"/>
        <v>#N/A</v>
      </c>
      <c r="CI369" s="83">
        <f t="shared" si="512"/>
        <v>0</v>
      </c>
      <c r="CJ369" s="86" t="e">
        <f t="shared" si="462"/>
        <v>#N/A</v>
      </c>
      <c r="CK369" s="82">
        <f t="shared" si="463"/>
        <v>5.3070370403969858E-3</v>
      </c>
      <c r="CL369" s="82" t="e">
        <f t="shared" si="464"/>
        <v>#N/A</v>
      </c>
      <c r="CM369" s="82">
        <f t="shared" si="465"/>
        <v>5.3070370403969858E-3</v>
      </c>
      <c r="CO369" s="149" t="str">
        <f>IF($I369&lt;&gt;"",IF(O369="User Specified",U369,INDEX('Refrigerant GWPs'!$G$2:$G$156,MATCH(O369,'Refrigerant GWPs'!$A$2:$A$156,0))),"")</f>
        <v/>
      </c>
      <c r="CP369" s="138" t="str">
        <f>IF($I369&lt;&gt;"",INDEX('Device Refrigerant Leakage'!$E$2:$E$42,MATCH($M369,'Device Refrigerant Leakage'!$B$2:$B$42,0)),"")</f>
        <v/>
      </c>
      <c r="CQ369" s="138" t="str">
        <f>IF($I369&lt;&gt;"",INDEX('Device Refrigerant Leakage'!$F$2:$F$42,MATCH($M369,'Device Refrigerant Leakage'!$B$2:$B$42,0)),"")</f>
        <v/>
      </c>
      <c r="CR369" s="145" t="str">
        <f>IF($I369&lt;&gt;"",INDEX('Device Refrigerant Leakage'!$G$2:$G$42,MATCH($M369,'Device Refrigerant Leakage'!$B$2:$B$42,0)),"")</f>
        <v/>
      </c>
      <c r="CS369" s="145" t="str">
        <f>IF($I369&lt;&gt;"",INDEX('Device Refrigerant Leakage'!$D$2:$D$42,MATCH($M369,'Device Refrigerant Leakage'!$B$2:$B$42,0))*CP369/2204.62*CO369,"")</f>
        <v/>
      </c>
      <c r="CT369" s="145" t="str">
        <f>IF($I369&lt;&gt;"",J369*(INDEX('Device Refrigerant Leakage'!$D$2:$D$42,MATCH($M369,'Device Refrigerant Leakage'!$B$2:$B$42,0))-(INDEX('Device Refrigerant Leakage'!$D$2:$D$42,MATCH($M369,'Device Refrigerant Leakage'!$B$2:$B$42,0)))*CR369*CP369)*CQ369/2204.62*CO369,"")</f>
        <v/>
      </c>
      <c r="CU369" s="135" t="str">
        <f>IF($I369&lt;&gt;"",J369*IF(W369&lt;&gt;"AR",(CS369*K369)+CT369,(CS369*AB369)+CT369*(AB369/INDEX('Device Refrigerant Leakage'!$C$2:$C$42,MATCH($M369,'Device Refrigerant Leakage'!$B$2:$B$42,0)))),"")</f>
        <v/>
      </c>
      <c r="CW369" s="135" t="str">
        <f>IF($I369&lt;&gt;"",IF(S369="User Specified",V369,INDEX('Refrigerant GWPs'!$G$2:$G$156,MATCH(S369,'Refrigerant GWPs'!$A$2:$A$157,0))),"")</f>
        <v/>
      </c>
      <c r="CX369" s="138" t="str">
        <f>IF($I369&lt;&gt;"",INDEX('Device Refrigerant Leakage'!$E$2:$E$42,MATCH($Q369,'Device Refrigerant Leakage'!$B$2:$B$42,0)),"")</f>
        <v/>
      </c>
      <c r="CY369" s="138" t="str">
        <f>IF($I369&lt;&gt;"",INDEX('Device Refrigerant Leakage'!$F$2:$F$42,MATCH($Q369,'Device Refrigerant Leakage'!$B$2:$B$42,0)),"")</f>
        <v/>
      </c>
      <c r="CZ369" s="145" t="str">
        <f>IF($I369&lt;&gt;"",INDEX('Device Refrigerant Leakage'!$G$2:$G$42,MATCH($Q369,'Device Refrigerant Leakage'!$B$2:$B$42,0)),"")</f>
        <v/>
      </c>
      <c r="DA369" s="145" t="str">
        <f>IF($I369&lt;&gt;"",J369*INDEX('Device Refrigerant Leakage'!$D$2:$D$42,MATCH($Q369,'Device Refrigerant Leakage'!$B$2:$B$42,0))*CX369/2204.62*CW369,"")</f>
        <v/>
      </c>
      <c r="DB369" s="145" t="str">
        <f>IF($I369&lt;&gt;"",J369*(INDEX('Device Refrigerant Leakage'!$D$2:$D$42,MATCH($Q369,'Device Refrigerant Leakage'!$B$2:$B$42,0))-(INDEX('Device Refrigerant Leakage'!$D$2:$D$42,MATCH($Q369,'Device Refrigerant Leakage'!$B$2:$B$42,0)))*CZ369*CX369)*CY369/2204.62*CW369,"")</f>
        <v/>
      </c>
      <c r="DC369" s="135" t="str">
        <f t="shared" si="484"/>
        <v/>
      </c>
      <c r="DE369" s="146" t="str">
        <f>IF(W369&lt;&gt;"AR","",IF(Y369="User Specified", AA369, INDEX('Refrigerant GWPs'!$G$2:$G$154,MATCH(Y369,'Refrigerant GWPs'!$A$2:$A$154,0))))</f>
        <v/>
      </c>
      <c r="DF369" s="146" t="str">
        <f>IF(W369&lt;&gt;"AR","",INDEX('Device Refrigerant Leakage'!$E$2:$E$42,MATCH(X369,'Device Refrigerant Leakage'!$B$2:$B$42,0)))</f>
        <v/>
      </c>
      <c r="DG369" s="146" t="str">
        <f>IF(W369&lt;&gt;"AR","",INDEX('Device Refrigerant Leakage'!$F$2:$F$42,MATCH(X369,'Device Refrigerant Leakage'!$B$2:$B$42,0)))</f>
        <v/>
      </c>
      <c r="DH369" s="146" t="str">
        <f>IF(W369&lt;&gt;"AR","",INDEX('Device Refrigerant Leakage'!$G$2:$G$42,MATCH(X369,'Device Refrigerant Leakage'!$B$2:$B$42,0)))</f>
        <v/>
      </c>
      <c r="DI369" s="146" t="str">
        <f>IF(W369&lt;&gt;"AR","",J369*INDEX('Device Refrigerant Leakage'!$D$2:$D$42,MATCH(X369,'Device Refrigerant Leakage'!$B$2:$B$42,0))*DF369/2204.62*DE369)</f>
        <v/>
      </c>
      <c r="DJ369" s="146" t="str">
        <f>IF(W369&lt;&gt;"AR","",J369*(INDEX('Device Refrigerant Leakage'!$D$2:$D$42,MATCH(X369,'Device Refrigerant Leakage'!$B$2:$B$42,0))-(INDEX('Device Refrigerant Leakage'!$D$2:$D$42,MATCH(X369,'Device Refrigerant Leakage'!$B$2:$B$42,0)))*DH369*DF369)*DG369/2204.62*DE369)</f>
        <v/>
      </c>
      <c r="DK369" s="146" t="str">
        <f>IF(W369&lt;&gt;"AR","",DI369*(K369-AB369)+'Fuel Sub Calcs-Deemed'!DJ369*((K369-AB369)/INDEX('Device Refrigerant Leakage'!$C$2:$C$42,MATCH('Fuel Sub Calcs-Deemed'!X369,'Device Refrigerant Leakage'!$B$2:$B$42,0))))</f>
        <v/>
      </c>
      <c r="DM369" s="56">
        <v>355</v>
      </c>
      <c r="DN369" s="67" t="e">
        <f t="shared" si="466"/>
        <v>#N/A</v>
      </c>
      <c r="DO369" s="45" t="e">
        <f t="shared" si="467"/>
        <v>#N/A</v>
      </c>
      <c r="DP369" s="67" t="e">
        <f t="shared" si="468"/>
        <v>#N/A</v>
      </c>
      <c r="DQ369" s="45" t="e">
        <f t="shared" si="469"/>
        <v>#N/A</v>
      </c>
      <c r="DR369" s="69" t="e">
        <f t="shared" si="470"/>
        <v>#N/A</v>
      </c>
      <c r="DS369" s="34"/>
      <c r="DT369" s="67" t="e">
        <f>((BX369*CJ369)+IF($W369=MAT_AR,(BZ369*CL369),0))*(1+Reference!$E$50+Reference!$E$51)</f>
        <v>#N/A</v>
      </c>
      <c r="DU369" s="67">
        <f>((BY369*CK369)+IF($W369=MAT_AR,(CA369*CM369),0))*(1+Reference!$G$50+Reference!$G$51)</f>
        <v>0</v>
      </c>
      <c r="DV369" s="67" t="e">
        <f t="shared" si="471"/>
        <v>#VALUE!</v>
      </c>
      <c r="DX369" s="56">
        <v>355</v>
      </c>
      <c r="DY369" s="67">
        <f t="shared" si="472"/>
        <v>0</v>
      </c>
      <c r="DZ369" s="45" t="e">
        <f>VLOOKUP($R369,Dropdown!$C$3:$D$4,2,FALSE)</f>
        <v>#N/A</v>
      </c>
      <c r="EA369" s="68">
        <f t="shared" si="473"/>
        <v>0</v>
      </c>
      <c r="EB369" s="68" t="str">
        <f t="shared" si="474"/>
        <v>N/A</v>
      </c>
      <c r="EC369" s="68">
        <f t="shared" si="475"/>
        <v>0</v>
      </c>
      <c r="ED369" s="68" t="str">
        <f t="shared" si="513"/>
        <v>N/A</v>
      </c>
      <c r="EF369" s="56">
        <v>355</v>
      </c>
      <c r="EG369" s="46">
        <f t="shared" si="476"/>
        <v>0</v>
      </c>
      <c r="EH369" s="68" t="e">
        <f t="shared" si="477"/>
        <v>#N/A</v>
      </c>
      <c r="EI369" s="68" t="e">
        <f t="shared" si="478"/>
        <v>#N/A</v>
      </c>
      <c r="EJ369" s="68" t="e">
        <f t="shared" si="479"/>
        <v>#N/A</v>
      </c>
      <c r="EK369" s="68" t="e">
        <f t="shared" si="480"/>
        <v>#N/A</v>
      </c>
      <c r="EL369" s="46">
        <f t="shared" si="481"/>
        <v>0</v>
      </c>
      <c r="EM369" s="46">
        <f t="shared" si="482"/>
        <v>0</v>
      </c>
    </row>
    <row r="370" spans="1:143">
      <c r="A370" s="89"/>
      <c r="B370" s="89"/>
      <c r="C370" s="89"/>
      <c r="D370" s="89"/>
      <c r="E370" s="89"/>
      <c r="F370" s="89"/>
      <c r="G370" s="34"/>
      <c r="H370" s="56">
        <f t="shared" si="483"/>
        <v>356</v>
      </c>
      <c r="I370" s="165"/>
      <c r="J370" s="163"/>
      <c r="K370" s="163"/>
      <c r="L370" s="164"/>
      <c r="M370" s="155"/>
      <c r="N370" s="155"/>
      <c r="O370" s="144"/>
      <c r="P370" s="159" t="str">
        <f>IFERROR(IF(O370&lt;&gt;"User Specified",IF(O370&lt;&gt;"", INDEX('Refrigerant GWPs'!$G$2:$G$154,MATCH(O370,'Refrigerant GWPs'!$A$2:$A$154,0)),""),U370),0)</f>
        <v/>
      </c>
      <c r="Q370" s="155"/>
      <c r="R370" s="155"/>
      <c r="S370" s="144"/>
      <c r="T370" s="159" t="str">
        <f>IF(S370&lt;&gt;"User Specified",IF(AND(S370&lt;&gt;"User Specified",S370&lt;&gt;""), INDEX('Refrigerant GWPs'!$G$2:$G$154,MATCH(S370,'Refrigerant GWPs'!$A$2:$A$154,0)),""),V370)</f>
        <v/>
      </c>
      <c r="U370" s="144"/>
      <c r="V370" s="144"/>
      <c r="W370" s="155"/>
      <c r="X370" s="155"/>
      <c r="Y370" s="144"/>
      <c r="Z370" s="159" t="str">
        <f>IF(AND(Y370&lt;&gt;"User Specified",Y370&lt;&gt;""), INDEX('Refrigerant GWPs'!$G$2:$G$154,MATCH(Y370,'Refrigerant GWPs'!$A$2:$A$154,0)),"")</f>
        <v/>
      </c>
      <c r="AA370" s="155"/>
      <c r="AB370" s="156"/>
      <c r="AC370" s="66"/>
      <c r="AD370" s="66"/>
      <c r="AE370" s="66"/>
      <c r="AF370" s="66"/>
      <c r="AG370" s="66"/>
      <c r="AH370" s="66"/>
      <c r="AI370" s="34"/>
      <c r="AJ370" s="88">
        <f t="shared" si="446"/>
        <v>0</v>
      </c>
      <c r="AK370" s="88">
        <f t="shared" si="447"/>
        <v>0</v>
      </c>
      <c r="AL370" s="88">
        <v>0</v>
      </c>
      <c r="AM370" s="88">
        <v>0</v>
      </c>
      <c r="AN370" s="81" t="str">
        <f t="shared" si="485"/>
        <v/>
      </c>
      <c r="AO370" s="88">
        <f t="shared" si="448"/>
        <v>0</v>
      </c>
      <c r="AP370" s="88">
        <f t="shared" si="449"/>
        <v>0</v>
      </c>
      <c r="AQ370" s="81" t="str">
        <f t="shared" si="450"/>
        <v/>
      </c>
      <c r="AS370" s="41" t="b">
        <f t="shared" si="451"/>
        <v>1</v>
      </c>
      <c r="AT370" s="38">
        <f t="shared" si="452"/>
        <v>0</v>
      </c>
      <c r="AU370" s="60">
        <f t="shared" si="453"/>
        <v>0</v>
      </c>
      <c r="AV370" s="41">
        <f t="shared" si="454"/>
        <v>0</v>
      </c>
      <c r="AW370" s="41" t="b">
        <f t="shared" si="455"/>
        <v>0</v>
      </c>
      <c r="AX370" t="str">
        <f t="shared" si="456"/>
        <v>+00</v>
      </c>
      <c r="AY370" t="str">
        <f t="shared" si="457"/>
        <v>+00</v>
      </c>
      <c r="BA370" s="47" t="b">
        <f t="shared" si="486"/>
        <v>1</v>
      </c>
      <c r="BB370" s="42" t="b">
        <f t="shared" si="487"/>
        <v>1</v>
      </c>
      <c r="BC370" s="42" t="b">
        <f t="shared" si="488"/>
        <v>0</v>
      </c>
      <c r="BD370" s="42" t="b">
        <f t="shared" si="489"/>
        <v>0</v>
      </c>
      <c r="BE370" s="70">
        <f t="shared" si="490"/>
        <v>0</v>
      </c>
      <c r="BF370" s="70">
        <f t="shared" si="491"/>
        <v>0</v>
      </c>
      <c r="BG370" s="34"/>
      <c r="BI370" s="47" t="b">
        <f t="shared" si="492"/>
        <v>1</v>
      </c>
      <c r="BJ370" s="47" t="b">
        <f t="shared" si="493"/>
        <v>1</v>
      </c>
      <c r="BK370" s="42" t="b">
        <f t="shared" si="494"/>
        <v>0</v>
      </c>
      <c r="BL370" s="42" t="b">
        <f t="shared" si="495"/>
        <v>0</v>
      </c>
      <c r="BM370" s="42">
        <f t="shared" si="496"/>
        <v>0</v>
      </c>
      <c r="BN370" s="42">
        <f t="shared" si="497"/>
        <v>0</v>
      </c>
      <c r="BP370" t="e">
        <f t="shared" si="498"/>
        <v>#N/A</v>
      </c>
      <c r="BQ370" t="e">
        <f t="shared" si="499"/>
        <v>#N/A</v>
      </c>
      <c r="BR370" t="e">
        <f t="shared" si="500"/>
        <v>#N/A</v>
      </c>
      <c r="BT370" s="60">
        <f t="shared" si="501"/>
        <v>0</v>
      </c>
      <c r="BU370" s="60">
        <f t="shared" si="502"/>
        <v>0</v>
      </c>
      <c r="BV370" s="60">
        <f t="shared" si="503"/>
        <v>0</v>
      </c>
      <c r="BW370" s="60">
        <f t="shared" si="504"/>
        <v>0</v>
      </c>
      <c r="BX370" s="60">
        <f t="shared" si="505"/>
        <v>0</v>
      </c>
      <c r="BY370" s="60">
        <f t="shared" si="506"/>
        <v>0</v>
      </c>
      <c r="BZ370" s="60">
        <f t="shared" si="507"/>
        <v>0</v>
      </c>
      <c r="CA370" s="60">
        <f t="shared" si="508"/>
        <v>0</v>
      </c>
      <c r="CB370" s="60" t="e">
        <f t="shared" si="458"/>
        <v>#N/A</v>
      </c>
      <c r="CC370" s="60">
        <f t="shared" si="459"/>
        <v>100000</v>
      </c>
      <c r="CD370" s="60" t="e">
        <f t="shared" si="460"/>
        <v>#N/A</v>
      </c>
      <c r="CE370" s="60">
        <f t="shared" si="461"/>
        <v>100000</v>
      </c>
      <c r="CF370" s="83" t="e">
        <f t="shared" si="509"/>
        <v>#N/A</v>
      </c>
      <c r="CG370" s="83">
        <f t="shared" si="510"/>
        <v>0</v>
      </c>
      <c r="CH370" s="83" t="e">
        <f t="shared" si="511"/>
        <v>#N/A</v>
      </c>
      <c r="CI370" s="83">
        <f t="shared" si="512"/>
        <v>0</v>
      </c>
      <c r="CJ370" s="86" t="e">
        <f t="shared" si="462"/>
        <v>#N/A</v>
      </c>
      <c r="CK370" s="82">
        <f t="shared" si="463"/>
        <v>5.3070370403969858E-3</v>
      </c>
      <c r="CL370" s="82" t="e">
        <f t="shared" si="464"/>
        <v>#N/A</v>
      </c>
      <c r="CM370" s="82">
        <f t="shared" si="465"/>
        <v>5.3070370403969858E-3</v>
      </c>
      <c r="CO370" s="149" t="str">
        <f>IF($I370&lt;&gt;"",IF(O370="User Specified",U370,INDEX('Refrigerant GWPs'!$G$2:$G$156,MATCH(O370,'Refrigerant GWPs'!$A$2:$A$156,0))),"")</f>
        <v/>
      </c>
      <c r="CP370" s="138" t="str">
        <f>IF($I370&lt;&gt;"",INDEX('Device Refrigerant Leakage'!$E$2:$E$42,MATCH($M370,'Device Refrigerant Leakage'!$B$2:$B$42,0)),"")</f>
        <v/>
      </c>
      <c r="CQ370" s="138" t="str">
        <f>IF($I370&lt;&gt;"",INDEX('Device Refrigerant Leakage'!$F$2:$F$42,MATCH($M370,'Device Refrigerant Leakage'!$B$2:$B$42,0)),"")</f>
        <v/>
      </c>
      <c r="CR370" s="145" t="str">
        <f>IF($I370&lt;&gt;"",INDEX('Device Refrigerant Leakage'!$G$2:$G$42,MATCH($M370,'Device Refrigerant Leakage'!$B$2:$B$42,0)),"")</f>
        <v/>
      </c>
      <c r="CS370" s="145" t="str">
        <f>IF($I370&lt;&gt;"",INDEX('Device Refrigerant Leakage'!$D$2:$D$42,MATCH($M370,'Device Refrigerant Leakage'!$B$2:$B$42,0))*CP370/2204.62*CO370,"")</f>
        <v/>
      </c>
      <c r="CT370" s="145" t="str">
        <f>IF($I370&lt;&gt;"",J370*(INDEX('Device Refrigerant Leakage'!$D$2:$D$42,MATCH($M370,'Device Refrigerant Leakage'!$B$2:$B$42,0))-(INDEX('Device Refrigerant Leakage'!$D$2:$D$42,MATCH($M370,'Device Refrigerant Leakage'!$B$2:$B$42,0)))*CR370*CP370)*CQ370/2204.62*CO370,"")</f>
        <v/>
      </c>
      <c r="CU370" s="135" t="str">
        <f>IF($I370&lt;&gt;"",J370*IF(W370&lt;&gt;"AR",(CS370*K370)+CT370,(CS370*AB370)+CT370*(AB370/INDEX('Device Refrigerant Leakage'!$C$2:$C$42,MATCH($M370,'Device Refrigerant Leakage'!$B$2:$B$42,0)))),"")</f>
        <v/>
      </c>
      <c r="CW370" s="135" t="str">
        <f>IF($I370&lt;&gt;"",IF(S370="User Specified",V370,INDEX('Refrigerant GWPs'!$G$2:$G$156,MATCH(S370,'Refrigerant GWPs'!$A$2:$A$157,0))),"")</f>
        <v/>
      </c>
      <c r="CX370" s="138" t="str">
        <f>IF($I370&lt;&gt;"",INDEX('Device Refrigerant Leakage'!$E$2:$E$42,MATCH($Q370,'Device Refrigerant Leakage'!$B$2:$B$42,0)),"")</f>
        <v/>
      </c>
      <c r="CY370" s="138" t="str">
        <f>IF($I370&lt;&gt;"",INDEX('Device Refrigerant Leakage'!$F$2:$F$42,MATCH($Q370,'Device Refrigerant Leakage'!$B$2:$B$42,0)),"")</f>
        <v/>
      </c>
      <c r="CZ370" s="145" t="str">
        <f>IF($I370&lt;&gt;"",INDEX('Device Refrigerant Leakage'!$G$2:$G$42,MATCH($Q370,'Device Refrigerant Leakage'!$B$2:$B$42,0)),"")</f>
        <v/>
      </c>
      <c r="DA370" s="145" t="str">
        <f>IF($I370&lt;&gt;"",J370*INDEX('Device Refrigerant Leakage'!$D$2:$D$42,MATCH($Q370,'Device Refrigerant Leakage'!$B$2:$B$42,0))*CX370/2204.62*CW370,"")</f>
        <v/>
      </c>
      <c r="DB370" s="145" t="str">
        <f>IF($I370&lt;&gt;"",J370*(INDEX('Device Refrigerant Leakage'!$D$2:$D$42,MATCH($Q370,'Device Refrigerant Leakage'!$B$2:$B$42,0))-(INDEX('Device Refrigerant Leakage'!$D$2:$D$42,MATCH($Q370,'Device Refrigerant Leakage'!$B$2:$B$42,0)))*CZ370*CX370)*CY370/2204.62*CW370,"")</f>
        <v/>
      </c>
      <c r="DC370" s="135" t="str">
        <f t="shared" si="484"/>
        <v/>
      </c>
      <c r="DE370" s="146" t="str">
        <f>IF(W370&lt;&gt;"AR","",IF(Y370="User Specified", AA370, INDEX('Refrigerant GWPs'!$G$2:$G$154,MATCH(Y370,'Refrigerant GWPs'!$A$2:$A$154,0))))</f>
        <v/>
      </c>
      <c r="DF370" s="146" t="str">
        <f>IF(W370&lt;&gt;"AR","",INDEX('Device Refrigerant Leakage'!$E$2:$E$42,MATCH(X370,'Device Refrigerant Leakage'!$B$2:$B$42,0)))</f>
        <v/>
      </c>
      <c r="DG370" s="146" t="str">
        <f>IF(W370&lt;&gt;"AR","",INDEX('Device Refrigerant Leakage'!$F$2:$F$42,MATCH(X370,'Device Refrigerant Leakage'!$B$2:$B$42,0)))</f>
        <v/>
      </c>
      <c r="DH370" s="146" t="str">
        <f>IF(W370&lt;&gt;"AR","",INDEX('Device Refrigerant Leakage'!$G$2:$G$42,MATCH(X370,'Device Refrigerant Leakage'!$B$2:$B$42,0)))</f>
        <v/>
      </c>
      <c r="DI370" s="146" t="str">
        <f>IF(W370&lt;&gt;"AR","",J370*INDEX('Device Refrigerant Leakage'!$D$2:$D$42,MATCH(X370,'Device Refrigerant Leakage'!$B$2:$B$42,0))*DF370/2204.62*DE370)</f>
        <v/>
      </c>
      <c r="DJ370" s="146" t="str">
        <f>IF(W370&lt;&gt;"AR","",J370*(INDEX('Device Refrigerant Leakage'!$D$2:$D$42,MATCH(X370,'Device Refrigerant Leakage'!$B$2:$B$42,0))-(INDEX('Device Refrigerant Leakage'!$D$2:$D$42,MATCH(X370,'Device Refrigerant Leakage'!$B$2:$B$42,0)))*DH370*DF370)*DG370/2204.62*DE370)</f>
        <v/>
      </c>
      <c r="DK370" s="146" t="str">
        <f>IF(W370&lt;&gt;"AR","",DI370*(K370-AB370)+'Fuel Sub Calcs-Deemed'!DJ370*((K370-AB370)/INDEX('Device Refrigerant Leakage'!$C$2:$C$42,MATCH('Fuel Sub Calcs-Deemed'!X370,'Device Refrigerant Leakage'!$B$2:$B$42,0))))</f>
        <v/>
      </c>
      <c r="DM370" s="56">
        <v>356</v>
      </c>
      <c r="DN370" s="67" t="e">
        <f t="shared" si="466"/>
        <v>#N/A</v>
      </c>
      <c r="DO370" s="45" t="e">
        <f t="shared" si="467"/>
        <v>#N/A</v>
      </c>
      <c r="DP370" s="67" t="e">
        <f t="shared" si="468"/>
        <v>#N/A</v>
      </c>
      <c r="DQ370" s="45" t="e">
        <f t="shared" si="469"/>
        <v>#N/A</v>
      </c>
      <c r="DR370" s="69" t="e">
        <f t="shared" si="470"/>
        <v>#N/A</v>
      </c>
      <c r="DS370" s="34"/>
      <c r="DT370" s="67" t="e">
        <f>((BX370*CJ370)+IF($W370=MAT_AR,(BZ370*CL370),0))*(1+Reference!$E$50+Reference!$E$51)</f>
        <v>#N/A</v>
      </c>
      <c r="DU370" s="67">
        <f>((BY370*CK370)+IF($W370=MAT_AR,(CA370*CM370),0))*(1+Reference!$G$50+Reference!$G$51)</f>
        <v>0</v>
      </c>
      <c r="DV370" s="67" t="e">
        <f t="shared" si="471"/>
        <v>#VALUE!</v>
      </c>
      <c r="DX370" s="56">
        <v>356</v>
      </c>
      <c r="DY370" s="67">
        <f t="shared" si="472"/>
        <v>0</v>
      </c>
      <c r="DZ370" s="45" t="e">
        <f>VLOOKUP($R370,Dropdown!$C$3:$D$4,2,FALSE)</f>
        <v>#N/A</v>
      </c>
      <c r="EA370" s="68">
        <f t="shared" si="473"/>
        <v>0</v>
      </c>
      <c r="EB370" s="68" t="str">
        <f t="shared" si="474"/>
        <v>N/A</v>
      </c>
      <c r="EC370" s="68">
        <f t="shared" si="475"/>
        <v>0</v>
      </c>
      <c r="ED370" s="68" t="str">
        <f t="shared" si="513"/>
        <v>N/A</v>
      </c>
      <c r="EF370" s="56">
        <v>356</v>
      </c>
      <c r="EG370" s="46">
        <f t="shared" si="476"/>
        <v>0</v>
      </c>
      <c r="EH370" s="68" t="e">
        <f t="shared" si="477"/>
        <v>#N/A</v>
      </c>
      <c r="EI370" s="68" t="e">
        <f t="shared" si="478"/>
        <v>#N/A</v>
      </c>
      <c r="EJ370" s="68" t="e">
        <f t="shared" si="479"/>
        <v>#N/A</v>
      </c>
      <c r="EK370" s="68" t="e">
        <f t="shared" si="480"/>
        <v>#N/A</v>
      </c>
      <c r="EL370" s="46">
        <f t="shared" si="481"/>
        <v>0</v>
      </c>
      <c r="EM370" s="46">
        <f t="shared" si="482"/>
        <v>0</v>
      </c>
    </row>
    <row r="371" spans="1:143">
      <c r="A371" s="89"/>
      <c r="B371" s="89"/>
      <c r="C371" s="89"/>
      <c r="D371" s="89"/>
      <c r="E371" s="89"/>
      <c r="F371" s="89"/>
      <c r="G371" s="34"/>
      <c r="H371" s="56">
        <f t="shared" si="483"/>
        <v>357</v>
      </c>
      <c r="I371" s="165"/>
      <c r="J371" s="163"/>
      <c r="K371" s="163"/>
      <c r="L371" s="164"/>
      <c r="M371" s="155"/>
      <c r="N371" s="155"/>
      <c r="O371" s="144"/>
      <c r="P371" s="159" t="str">
        <f>IFERROR(IF(O371&lt;&gt;"User Specified",IF(O371&lt;&gt;"", INDEX('Refrigerant GWPs'!$G$2:$G$154,MATCH(O371,'Refrigerant GWPs'!$A$2:$A$154,0)),""),U371),0)</f>
        <v/>
      </c>
      <c r="Q371" s="155"/>
      <c r="R371" s="155"/>
      <c r="S371" s="144"/>
      <c r="T371" s="159" t="str">
        <f>IF(S371&lt;&gt;"User Specified",IF(AND(S371&lt;&gt;"User Specified",S371&lt;&gt;""), INDEX('Refrigerant GWPs'!$G$2:$G$154,MATCH(S371,'Refrigerant GWPs'!$A$2:$A$154,0)),""),V371)</f>
        <v/>
      </c>
      <c r="U371" s="144"/>
      <c r="V371" s="144"/>
      <c r="W371" s="155"/>
      <c r="X371" s="155"/>
      <c r="Y371" s="144"/>
      <c r="Z371" s="159" t="str">
        <f>IF(AND(Y371&lt;&gt;"User Specified",Y371&lt;&gt;""), INDEX('Refrigerant GWPs'!$G$2:$G$154,MATCH(Y371,'Refrigerant GWPs'!$A$2:$A$154,0)),"")</f>
        <v/>
      </c>
      <c r="AA371" s="155"/>
      <c r="AB371" s="156"/>
      <c r="AC371" s="66"/>
      <c r="AD371" s="66"/>
      <c r="AE371" s="66"/>
      <c r="AF371" s="66"/>
      <c r="AG371" s="66"/>
      <c r="AH371" s="66"/>
      <c r="AI371" s="34"/>
      <c r="AJ371" s="88">
        <f t="shared" si="446"/>
        <v>0</v>
      </c>
      <c r="AK371" s="88">
        <f t="shared" si="447"/>
        <v>0</v>
      </c>
      <c r="AL371" s="88">
        <v>0</v>
      </c>
      <c r="AM371" s="88">
        <v>0</v>
      </c>
      <c r="AN371" s="81" t="str">
        <f t="shared" si="485"/>
        <v/>
      </c>
      <c r="AO371" s="88">
        <f t="shared" si="448"/>
        <v>0</v>
      </c>
      <c r="AP371" s="88">
        <f t="shared" si="449"/>
        <v>0</v>
      </c>
      <c r="AQ371" s="81" t="str">
        <f t="shared" si="450"/>
        <v/>
      </c>
      <c r="AS371" s="41" t="b">
        <f t="shared" si="451"/>
        <v>1</v>
      </c>
      <c r="AT371" s="38">
        <f t="shared" si="452"/>
        <v>0</v>
      </c>
      <c r="AU371" s="60">
        <f t="shared" si="453"/>
        <v>0</v>
      </c>
      <c r="AV371" s="41">
        <f t="shared" si="454"/>
        <v>0</v>
      </c>
      <c r="AW371" s="41" t="b">
        <f t="shared" si="455"/>
        <v>0</v>
      </c>
      <c r="AX371" t="str">
        <f t="shared" si="456"/>
        <v>+00</v>
      </c>
      <c r="AY371" t="str">
        <f t="shared" si="457"/>
        <v>+00</v>
      </c>
      <c r="BA371" s="47" t="b">
        <f t="shared" si="486"/>
        <v>1</v>
      </c>
      <c r="BB371" s="42" t="b">
        <f t="shared" si="487"/>
        <v>1</v>
      </c>
      <c r="BC371" s="42" t="b">
        <f t="shared" si="488"/>
        <v>0</v>
      </c>
      <c r="BD371" s="42" t="b">
        <f t="shared" si="489"/>
        <v>0</v>
      </c>
      <c r="BE371" s="70">
        <f t="shared" si="490"/>
        <v>0</v>
      </c>
      <c r="BF371" s="70">
        <f t="shared" si="491"/>
        <v>0</v>
      </c>
      <c r="BG371" s="34"/>
      <c r="BI371" s="47" t="b">
        <f t="shared" si="492"/>
        <v>1</v>
      </c>
      <c r="BJ371" s="47" t="b">
        <f t="shared" si="493"/>
        <v>1</v>
      </c>
      <c r="BK371" s="42" t="b">
        <f t="shared" si="494"/>
        <v>0</v>
      </c>
      <c r="BL371" s="42" t="b">
        <f t="shared" si="495"/>
        <v>0</v>
      </c>
      <c r="BM371" s="42">
        <f t="shared" si="496"/>
        <v>0</v>
      </c>
      <c r="BN371" s="42">
        <f t="shared" si="497"/>
        <v>0</v>
      </c>
      <c r="BP371" t="e">
        <f t="shared" si="498"/>
        <v>#N/A</v>
      </c>
      <c r="BQ371" t="e">
        <f t="shared" si="499"/>
        <v>#N/A</v>
      </c>
      <c r="BR371" t="e">
        <f t="shared" si="500"/>
        <v>#N/A</v>
      </c>
      <c r="BT371" s="60">
        <f t="shared" si="501"/>
        <v>0</v>
      </c>
      <c r="BU371" s="60">
        <f t="shared" si="502"/>
        <v>0</v>
      </c>
      <c r="BV371" s="60">
        <f t="shared" si="503"/>
        <v>0</v>
      </c>
      <c r="BW371" s="60">
        <f t="shared" si="504"/>
        <v>0</v>
      </c>
      <c r="BX371" s="60">
        <f t="shared" si="505"/>
        <v>0</v>
      </c>
      <c r="BY371" s="60">
        <f t="shared" si="506"/>
        <v>0</v>
      </c>
      <c r="BZ371" s="60">
        <f t="shared" si="507"/>
        <v>0</v>
      </c>
      <c r="CA371" s="60">
        <f t="shared" si="508"/>
        <v>0</v>
      </c>
      <c r="CB371" s="60" t="e">
        <f t="shared" si="458"/>
        <v>#N/A</v>
      </c>
      <c r="CC371" s="60">
        <f t="shared" si="459"/>
        <v>100000</v>
      </c>
      <c r="CD371" s="60" t="e">
        <f t="shared" si="460"/>
        <v>#N/A</v>
      </c>
      <c r="CE371" s="60">
        <f t="shared" si="461"/>
        <v>100000</v>
      </c>
      <c r="CF371" s="83" t="e">
        <f t="shared" si="509"/>
        <v>#N/A</v>
      </c>
      <c r="CG371" s="83">
        <f t="shared" si="510"/>
        <v>0</v>
      </c>
      <c r="CH371" s="83" t="e">
        <f t="shared" si="511"/>
        <v>#N/A</v>
      </c>
      <c r="CI371" s="83">
        <f t="shared" si="512"/>
        <v>0</v>
      </c>
      <c r="CJ371" s="86" t="e">
        <f t="shared" si="462"/>
        <v>#N/A</v>
      </c>
      <c r="CK371" s="82">
        <f t="shared" si="463"/>
        <v>5.3070370403969858E-3</v>
      </c>
      <c r="CL371" s="82" t="e">
        <f t="shared" si="464"/>
        <v>#N/A</v>
      </c>
      <c r="CM371" s="82">
        <f t="shared" si="465"/>
        <v>5.3070370403969858E-3</v>
      </c>
      <c r="CO371" s="149" t="str">
        <f>IF($I371&lt;&gt;"",IF(O371="User Specified",U371,INDEX('Refrigerant GWPs'!$G$2:$G$156,MATCH(O371,'Refrigerant GWPs'!$A$2:$A$156,0))),"")</f>
        <v/>
      </c>
      <c r="CP371" s="138" t="str">
        <f>IF($I371&lt;&gt;"",INDEX('Device Refrigerant Leakage'!$E$2:$E$42,MATCH($M371,'Device Refrigerant Leakage'!$B$2:$B$42,0)),"")</f>
        <v/>
      </c>
      <c r="CQ371" s="138" t="str">
        <f>IF($I371&lt;&gt;"",INDEX('Device Refrigerant Leakage'!$F$2:$F$42,MATCH($M371,'Device Refrigerant Leakage'!$B$2:$B$42,0)),"")</f>
        <v/>
      </c>
      <c r="CR371" s="145" t="str">
        <f>IF($I371&lt;&gt;"",INDEX('Device Refrigerant Leakage'!$G$2:$G$42,MATCH($M371,'Device Refrigerant Leakage'!$B$2:$B$42,0)),"")</f>
        <v/>
      </c>
      <c r="CS371" s="145" t="str">
        <f>IF($I371&lt;&gt;"",INDEX('Device Refrigerant Leakage'!$D$2:$D$42,MATCH($M371,'Device Refrigerant Leakage'!$B$2:$B$42,0))*CP371/2204.62*CO371,"")</f>
        <v/>
      </c>
      <c r="CT371" s="145" t="str">
        <f>IF($I371&lt;&gt;"",J371*(INDEX('Device Refrigerant Leakage'!$D$2:$D$42,MATCH($M371,'Device Refrigerant Leakage'!$B$2:$B$42,0))-(INDEX('Device Refrigerant Leakage'!$D$2:$D$42,MATCH($M371,'Device Refrigerant Leakage'!$B$2:$B$42,0)))*CR371*CP371)*CQ371/2204.62*CO371,"")</f>
        <v/>
      </c>
      <c r="CU371" s="135" t="str">
        <f>IF($I371&lt;&gt;"",J371*IF(W371&lt;&gt;"AR",(CS371*K371)+CT371,(CS371*AB371)+CT371*(AB371/INDEX('Device Refrigerant Leakage'!$C$2:$C$42,MATCH($M371,'Device Refrigerant Leakage'!$B$2:$B$42,0)))),"")</f>
        <v/>
      </c>
      <c r="CW371" s="135" t="str">
        <f>IF($I371&lt;&gt;"",IF(S371="User Specified",V371,INDEX('Refrigerant GWPs'!$G$2:$G$156,MATCH(S371,'Refrigerant GWPs'!$A$2:$A$157,0))),"")</f>
        <v/>
      </c>
      <c r="CX371" s="138" t="str">
        <f>IF($I371&lt;&gt;"",INDEX('Device Refrigerant Leakage'!$E$2:$E$42,MATCH($Q371,'Device Refrigerant Leakage'!$B$2:$B$42,0)),"")</f>
        <v/>
      </c>
      <c r="CY371" s="138" t="str">
        <f>IF($I371&lt;&gt;"",INDEX('Device Refrigerant Leakage'!$F$2:$F$42,MATCH($Q371,'Device Refrigerant Leakage'!$B$2:$B$42,0)),"")</f>
        <v/>
      </c>
      <c r="CZ371" s="145" t="str">
        <f>IF($I371&lt;&gt;"",INDEX('Device Refrigerant Leakage'!$G$2:$G$42,MATCH($Q371,'Device Refrigerant Leakage'!$B$2:$B$42,0)),"")</f>
        <v/>
      </c>
      <c r="DA371" s="145" t="str">
        <f>IF($I371&lt;&gt;"",J371*INDEX('Device Refrigerant Leakage'!$D$2:$D$42,MATCH($Q371,'Device Refrigerant Leakage'!$B$2:$B$42,0))*CX371/2204.62*CW371,"")</f>
        <v/>
      </c>
      <c r="DB371" s="145" t="str">
        <f>IF($I371&lt;&gt;"",J371*(INDEX('Device Refrigerant Leakage'!$D$2:$D$42,MATCH($Q371,'Device Refrigerant Leakage'!$B$2:$B$42,0))-(INDEX('Device Refrigerant Leakage'!$D$2:$D$42,MATCH($Q371,'Device Refrigerant Leakage'!$B$2:$B$42,0)))*CZ371*CX371)*CY371/2204.62*CW371,"")</f>
        <v/>
      </c>
      <c r="DC371" s="135" t="str">
        <f t="shared" si="484"/>
        <v/>
      </c>
      <c r="DE371" s="146" t="str">
        <f>IF(W371&lt;&gt;"AR","",IF(Y371="User Specified", AA371, INDEX('Refrigerant GWPs'!$G$2:$G$154,MATCH(Y371,'Refrigerant GWPs'!$A$2:$A$154,0))))</f>
        <v/>
      </c>
      <c r="DF371" s="146" t="str">
        <f>IF(W371&lt;&gt;"AR","",INDEX('Device Refrigerant Leakage'!$E$2:$E$42,MATCH(X371,'Device Refrigerant Leakage'!$B$2:$B$42,0)))</f>
        <v/>
      </c>
      <c r="DG371" s="146" t="str">
        <f>IF(W371&lt;&gt;"AR","",INDEX('Device Refrigerant Leakage'!$F$2:$F$42,MATCH(X371,'Device Refrigerant Leakage'!$B$2:$B$42,0)))</f>
        <v/>
      </c>
      <c r="DH371" s="146" t="str">
        <f>IF(W371&lt;&gt;"AR","",INDEX('Device Refrigerant Leakage'!$G$2:$G$42,MATCH(X371,'Device Refrigerant Leakage'!$B$2:$B$42,0)))</f>
        <v/>
      </c>
      <c r="DI371" s="146" t="str">
        <f>IF(W371&lt;&gt;"AR","",J371*INDEX('Device Refrigerant Leakage'!$D$2:$D$42,MATCH(X371,'Device Refrigerant Leakage'!$B$2:$B$42,0))*DF371/2204.62*DE371)</f>
        <v/>
      </c>
      <c r="DJ371" s="146" t="str">
        <f>IF(W371&lt;&gt;"AR","",J371*(INDEX('Device Refrigerant Leakage'!$D$2:$D$42,MATCH(X371,'Device Refrigerant Leakage'!$B$2:$B$42,0))-(INDEX('Device Refrigerant Leakage'!$D$2:$D$42,MATCH(X371,'Device Refrigerant Leakage'!$B$2:$B$42,0)))*DH371*DF371)*DG371/2204.62*DE371)</f>
        <v/>
      </c>
      <c r="DK371" s="146" t="str">
        <f>IF(W371&lt;&gt;"AR","",DI371*(K371-AB371)+'Fuel Sub Calcs-Deemed'!DJ371*((K371-AB371)/INDEX('Device Refrigerant Leakage'!$C$2:$C$42,MATCH('Fuel Sub Calcs-Deemed'!X371,'Device Refrigerant Leakage'!$B$2:$B$42,0))))</f>
        <v/>
      </c>
      <c r="DM371" s="56">
        <v>357</v>
      </c>
      <c r="DN371" s="67" t="e">
        <f t="shared" si="466"/>
        <v>#N/A</v>
      </c>
      <c r="DO371" s="45" t="e">
        <f t="shared" si="467"/>
        <v>#N/A</v>
      </c>
      <c r="DP371" s="67" t="e">
        <f t="shared" si="468"/>
        <v>#N/A</v>
      </c>
      <c r="DQ371" s="45" t="e">
        <f t="shared" si="469"/>
        <v>#N/A</v>
      </c>
      <c r="DR371" s="69" t="e">
        <f t="shared" si="470"/>
        <v>#N/A</v>
      </c>
      <c r="DS371" s="34"/>
      <c r="DT371" s="67" t="e">
        <f>((BX371*CJ371)+IF($W371=MAT_AR,(BZ371*CL371),0))*(1+Reference!$E$50+Reference!$E$51)</f>
        <v>#N/A</v>
      </c>
      <c r="DU371" s="67">
        <f>((BY371*CK371)+IF($W371=MAT_AR,(CA371*CM371),0))*(1+Reference!$G$50+Reference!$G$51)</f>
        <v>0</v>
      </c>
      <c r="DV371" s="67" t="e">
        <f t="shared" si="471"/>
        <v>#VALUE!</v>
      </c>
      <c r="DX371" s="56">
        <v>357</v>
      </c>
      <c r="DY371" s="67">
        <f t="shared" si="472"/>
        <v>0</v>
      </c>
      <c r="DZ371" s="45" t="e">
        <f>VLOOKUP($R371,Dropdown!$C$3:$D$4,2,FALSE)</f>
        <v>#N/A</v>
      </c>
      <c r="EA371" s="68">
        <f t="shared" si="473"/>
        <v>0</v>
      </c>
      <c r="EB371" s="68" t="str">
        <f t="shared" si="474"/>
        <v>N/A</v>
      </c>
      <c r="EC371" s="68">
        <f t="shared" si="475"/>
        <v>0</v>
      </c>
      <c r="ED371" s="68" t="str">
        <f t="shared" si="513"/>
        <v>N/A</v>
      </c>
      <c r="EF371" s="56">
        <v>357</v>
      </c>
      <c r="EG371" s="46">
        <f t="shared" si="476"/>
        <v>0</v>
      </c>
      <c r="EH371" s="68" t="e">
        <f t="shared" si="477"/>
        <v>#N/A</v>
      </c>
      <c r="EI371" s="68" t="e">
        <f t="shared" si="478"/>
        <v>#N/A</v>
      </c>
      <c r="EJ371" s="68" t="e">
        <f t="shared" si="479"/>
        <v>#N/A</v>
      </c>
      <c r="EK371" s="68" t="e">
        <f t="shared" si="480"/>
        <v>#N/A</v>
      </c>
      <c r="EL371" s="46">
        <f t="shared" si="481"/>
        <v>0</v>
      </c>
      <c r="EM371" s="46">
        <f t="shared" si="482"/>
        <v>0</v>
      </c>
    </row>
    <row r="372" spans="1:143">
      <c r="A372" s="89"/>
      <c r="B372" s="89"/>
      <c r="C372" s="89"/>
      <c r="D372" s="89"/>
      <c r="E372" s="89"/>
      <c r="F372" s="89"/>
      <c r="G372" s="34"/>
      <c r="H372" s="56">
        <f t="shared" si="483"/>
        <v>358</v>
      </c>
      <c r="I372" s="165"/>
      <c r="J372" s="163"/>
      <c r="K372" s="163"/>
      <c r="L372" s="164"/>
      <c r="M372" s="155"/>
      <c r="N372" s="155"/>
      <c r="O372" s="144"/>
      <c r="P372" s="159" t="str">
        <f>IFERROR(IF(O372&lt;&gt;"User Specified",IF(O372&lt;&gt;"", INDEX('Refrigerant GWPs'!$G$2:$G$154,MATCH(O372,'Refrigerant GWPs'!$A$2:$A$154,0)),""),U372),0)</f>
        <v/>
      </c>
      <c r="Q372" s="155"/>
      <c r="R372" s="155"/>
      <c r="S372" s="144"/>
      <c r="T372" s="159" t="str">
        <f>IF(S372&lt;&gt;"User Specified",IF(AND(S372&lt;&gt;"User Specified",S372&lt;&gt;""), INDEX('Refrigerant GWPs'!$G$2:$G$154,MATCH(S372,'Refrigerant GWPs'!$A$2:$A$154,0)),""),V372)</f>
        <v/>
      </c>
      <c r="U372" s="144"/>
      <c r="V372" s="144"/>
      <c r="W372" s="155"/>
      <c r="X372" s="155"/>
      <c r="Y372" s="144"/>
      <c r="Z372" s="159" t="str">
        <f>IF(AND(Y372&lt;&gt;"User Specified",Y372&lt;&gt;""), INDEX('Refrigerant GWPs'!$G$2:$G$154,MATCH(Y372,'Refrigerant GWPs'!$A$2:$A$154,0)),"")</f>
        <v/>
      </c>
      <c r="AA372" s="155"/>
      <c r="AB372" s="156"/>
      <c r="AC372" s="66"/>
      <c r="AD372" s="66"/>
      <c r="AE372" s="66"/>
      <c r="AF372" s="66"/>
      <c r="AG372" s="66"/>
      <c r="AH372" s="66"/>
      <c r="AI372" s="34"/>
      <c r="AJ372" s="88">
        <f t="shared" si="446"/>
        <v>0</v>
      </c>
      <c r="AK372" s="88">
        <f t="shared" si="447"/>
        <v>0</v>
      </c>
      <c r="AL372" s="88">
        <v>0</v>
      </c>
      <c r="AM372" s="88">
        <v>0</v>
      </c>
      <c r="AN372" s="81" t="str">
        <f t="shared" si="485"/>
        <v/>
      </c>
      <c r="AO372" s="88">
        <f t="shared" si="448"/>
        <v>0</v>
      </c>
      <c r="AP372" s="88">
        <f t="shared" si="449"/>
        <v>0</v>
      </c>
      <c r="AQ372" s="81" t="str">
        <f t="shared" si="450"/>
        <v/>
      </c>
      <c r="AS372" s="41" t="b">
        <f t="shared" si="451"/>
        <v>1</v>
      </c>
      <c r="AT372" s="38">
        <f t="shared" si="452"/>
        <v>0</v>
      </c>
      <c r="AU372" s="60">
        <f t="shared" si="453"/>
        <v>0</v>
      </c>
      <c r="AV372" s="41">
        <f t="shared" si="454"/>
        <v>0</v>
      </c>
      <c r="AW372" s="41" t="b">
        <f t="shared" si="455"/>
        <v>0</v>
      </c>
      <c r="AX372" t="str">
        <f t="shared" si="456"/>
        <v>+00</v>
      </c>
      <c r="AY372" t="str">
        <f t="shared" si="457"/>
        <v>+00</v>
      </c>
      <c r="BA372" s="47" t="b">
        <f t="shared" si="486"/>
        <v>1</v>
      </c>
      <c r="BB372" s="42" t="b">
        <f t="shared" si="487"/>
        <v>1</v>
      </c>
      <c r="BC372" s="42" t="b">
        <f t="shared" si="488"/>
        <v>0</v>
      </c>
      <c r="BD372" s="42" t="b">
        <f t="shared" si="489"/>
        <v>0</v>
      </c>
      <c r="BE372" s="70">
        <f t="shared" si="490"/>
        <v>0</v>
      </c>
      <c r="BF372" s="70">
        <f t="shared" si="491"/>
        <v>0</v>
      </c>
      <c r="BG372" s="34"/>
      <c r="BI372" s="47" t="b">
        <f t="shared" si="492"/>
        <v>1</v>
      </c>
      <c r="BJ372" s="47" t="b">
        <f t="shared" si="493"/>
        <v>1</v>
      </c>
      <c r="BK372" s="42" t="b">
        <f t="shared" si="494"/>
        <v>0</v>
      </c>
      <c r="BL372" s="42" t="b">
        <f t="shared" si="495"/>
        <v>0</v>
      </c>
      <c r="BM372" s="42">
        <f t="shared" si="496"/>
        <v>0</v>
      </c>
      <c r="BN372" s="42">
        <f t="shared" si="497"/>
        <v>0</v>
      </c>
      <c r="BP372" t="e">
        <f t="shared" si="498"/>
        <v>#N/A</v>
      </c>
      <c r="BQ372" t="e">
        <f t="shared" si="499"/>
        <v>#N/A</v>
      </c>
      <c r="BR372" t="e">
        <f t="shared" si="500"/>
        <v>#N/A</v>
      </c>
      <c r="BT372" s="60">
        <f t="shared" si="501"/>
        <v>0</v>
      </c>
      <c r="BU372" s="60">
        <f t="shared" si="502"/>
        <v>0</v>
      </c>
      <c r="BV372" s="60">
        <f t="shared" si="503"/>
        <v>0</v>
      </c>
      <c r="BW372" s="60">
        <f t="shared" si="504"/>
        <v>0</v>
      </c>
      <c r="BX372" s="60">
        <f t="shared" si="505"/>
        <v>0</v>
      </c>
      <c r="BY372" s="60">
        <f t="shared" si="506"/>
        <v>0</v>
      </c>
      <c r="BZ372" s="60">
        <f t="shared" si="507"/>
        <v>0</v>
      </c>
      <c r="CA372" s="60">
        <f t="shared" si="508"/>
        <v>0</v>
      </c>
      <c r="CB372" s="60" t="e">
        <f t="shared" si="458"/>
        <v>#N/A</v>
      </c>
      <c r="CC372" s="60">
        <f t="shared" si="459"/>
        <v>100000</v>
      </c>
      <c r="CD372" s="60" t="e">
        <f t="shared" si="460"/>
        <v>#N/A</v>
      </c>
      <c r="CE372" s="60">
        <f t="shared" si="461"/>
        <v>100000</v>
      </c>
      <c r="CF372" s="83" t="e">
        <f t="shared" si="509"/>
        <v>#N/A</v>
      </c>
      <c r="CG372" s="83">
        <f t="shared" si="510"/>
        <v>0</v>
      </c>
      <c r="CH372" s="83" t="e">
        <f t="shared" si="511"/>
        <v>#N/A</v>
      </c>
      <c r="CI372" s="83">
        <f t="shared" si="512"/>
        <v>0</v>
      </c>
      <c r="CJ372" s="86" t="e">
        <f t="shared" si="462"/>
        <v>#N/A</v>
      </c>
      <c r="CK372" s="82">
        <f t="shared" si="463"/>
        <v>5.3070370403969858E-3</v>
      </c>
      <c r="CL372" s="82" t="e">
        <f t="shared" si="464"/>
        <v>#N/A</v>
      </c>
      <c r="CM372" s="82">
        <f t="shared" si="465"/>
        <v>5.3070370403969858E-3</v>
      </c>
      <c r="CO372" s="149" t="str">
        <f>IF($I372&lt;&gt;"",IF(O372="User Specified",U372,INDEX('Refrigerant GWPs'!$G$2:$G$156,MATCH(O372,'Refrigerant GWPs'!$A$2:$A$156,0))),"")</f>
        <v/>
      </c>
      <c r="CP372" s="138" t="str">
        <f>IF($I372&lt;&gt;"",INDEX('Device Refrigerant Leakage'!$E$2:$E$42,MATCH($M372,'Device Refrigerant Leakage'!$B$2:$B$42,0)),"")</f>
        <v/>
      </c>
      <c r="CQ372" s="138" t="str">
        <f>IF($I372&lt;&gt;"",INDEX('Device Refrigerant Leakage'!$F$2:$F$42,MATCH($M372,'Device Refrigerant Leakage'!$B$2:$B$42,0)),"")</f>
        <v/>
      </c>
      <c r="CR372" s="145" t="str">
        <f>IF($I372&lt;&gt;"",INDEX('Device Refrigerant Leakage'!$G$2:$G$42,MATCH($M372,'Device Refrigerant Leakage'!$B$2:$B$42,0)),"")</f>
        <v/>
      </c>
      <c r="CS372" s="145" t="str">
        <f>IF($I372&lt;&gt;"",INDEX('Device Refrigerant Leakage'!$D$2:$D$42,MATCH($M372,'Device Refrigerant Leakage'!$B$2:$B$42,0))*CP372/2204.62*CO372,"")</f>
        <v/>
      </c>
      <c r="CT372" s="145" t="str">
        <f>IF($I372&lt;&gt;"",J372*(INDEX('Device Refrigerant Leakage'!$D$2:$D$42,MATCH($M372,'Device Refrigerant Leakage'!$B$2:$B$42,0))-(INDEX('Device Refrigerant Leakage'!$D$2:$D$42,MATCH($M372,'Device Refrigerant Leakage'!$B$2:$B$42,0)))*CR372*CP372)*CQ372/2204.62*CO372,"")</f>
        <v/>
      </c>
      <c r="CU372" s="135" t="str">
        <f>IF($I372&lt;&gt;"",J372*IF(W372&lt;&gt;"AR",(CS372*K372)+CT372,(CS372*AB372)+CT372*(AB372/INDEX('Device Refrigerant Leakage'!$C$2:$C$42,MATCH($M372,'Device Refrigerant Leakage'!$B$2:$B$42,0)))),"")</f>
        <v/>
      </c>
      <c r="CW372" s="135" t="str">
        <f>IF($I372&lt;&gt;"",IF(S372="User Specified",V372,INDEX('Refrigerant GWPs'!$G$2:$G$156,MATCH(S372,'Refrigerant GWPs'!$A$2:$A$157,0))),"")</f>
        <v/>
      </c>
      <c r="CX372" s="138" t="str">
        <f>IF($I372&lt;&gt;"",INDEX('Device Refrigerant Leakage'!$E$2:$E$42,MATCH($Q372,'Device Refrigerant Leakage'!$B$2:$B$42,0)),"")</f>
        <v/>
      </c>
      <c r="CY372" s="138" t="str">
        <f>IF($I372&lt;&gt;"",INDEX('Device Refrigerant Leakage'!$F$2:$F$42,MATCH($Q372,'Device Refrigerant Leakage'!$B$2:$B$42,0)),"")</f>
        <v/>
      </c>
      <c r="CZ372" s="145" t="str">
        <f>IF($I372&lt;&gt;"",INDEX('Device Refrigerant Leakage'!$G$2:$G$42,MATCH($Q372,'Device Refrigerant Leakage'!$B$2:$B$42,0)),"")</f>
        <v/>
      </c>
      <c r="DA372" s="145" t="str">
        <f>IF($I372&lt;&gt;"",J372*INDEX('Device Refrigerant Leakage'!$D$2:$D$42,MATCH($Q372,'Device Refrigerant Leakage'!$B$2:$B$42,0))*CX372/2204.62*CW372,"")</f>
        <v/>
      </c>
      <c r="DB372" s="145" t="str">
        <f>IF($I372&lt;&gt;"",J372*(INDEX('Device Refrigerant Leakage'!$D$2:$D$42,MATCH($Q372,'Device Refrigerant Leakage'!$B$2:$B$42,0))-(INDEX('Device Refrigerant Leakage'!$D$2:$D$42,MATCH($Q372,'Device Refrigerant Leakage'!$B$2:$B$42,0)))*CZ372*CX372)*CY372/2204.62*CW372,"")</f>
        <v/>
      </c>
      <c r="DC372" s="135" t="str">
        <f t="shared" si="484"/>
        <v/>
      </c>
      <c r="DE372" s="146" t="str">
        <f>IF(W372&lt;&gt;"AR","",IF(Y372="User Specified", AA372, INDEX('Refrigerant GWPs'!$G$2:$G$154,MATCH(Y372,'Refrigerant GWPs'!$A$2:$A$154,0))))</f>
        <v/>
      </c>
      <c r="DF372" s="146" t="str">
        <f>IF(W372&lt;&gt;"AR","",INDEX('Device Refrigerant Leakage'!$E$2:$E$42,MATCH(X372,'Device Refrigerant Leakage'!$B$2:$B$42,0)))</f>
        <v/>
      </c>
      <c r="DG372" s="146" t="str">
        <f>IF(W372&lt;&gt;"AR","",INDEX('Device Refrigerant Leakage'!$F$2:$F$42,MATCH(X372,'Device Refrigerant Leakage'!$B$2:$B$42,0)))</f>
        <v/>
      </c>
      <c r="DH372" s="146" t="str">
        <f>IF(W372&lt;&gt;"AR","",INDEX('Device Refrigerant Leakage'!$G$2:$G$42,MATCH(X372,'Device Refrigerant Leakage'!$B$2:$B$42,0)))</f>
        <v/>
      </c>
      <c r="DI372" s="146" t="str">
        <f>IF(W372&lt;&gt;"AR","",J372*INDEX('Device Refrigerant Leakage'!$D$2:$D$42,MATCH(X372,'Device Refrigerant Leakage'!$B$2:$B$42,0))*DF372/2204.62*DE372)</f>
        <v/>
      </c>
      <c r="DJ372" s="146" t="str">
        <f>IF(W372&lt;&gt;"AR","",J372*(INDEX('Device Refrigerant Leakage'!$D$2:$D$42,MATCH(X372,'Device Refrigerant Leakage'!$B$2:$B$42,0))-(INDEX('Device Refrigerant Leakage'!$D$2:$D$42,MATCH(X372,'Device Refrigerant Leakage'!$B$2:$B$42,0)))*DH372*DF372)*DG372/2204.62*DE372)</f>
        <v/>
      </c>
      <c r="DK372" s="146" t="str">
        <f>IF(W372&lt;&gt;"AR","",DI372*(K372-AB372)+'Fuel Sub Calcs-Deemed'!DJ372*((K372-AB372)/INDEX('Device Refrigerant Leakage'!$C$2:$C$42,MATCH('Fuel Sub Calcs-Deemed'!X372,'Device Refrigerant Leakage'!$B$2:$B$42,0))))</f>
        <v/>
      </c>
      <c r="DM372" s="56">
        <v>358</v>
      </c>
      <c r="DN372" s="67" t="e">
        <f t="shared" si="466"/>
        <v>#N/A</v>
      </c>
      <c r="DO372" s="45" t="e">
        <f t="shared" si="467"/>
        <v>#N/A</v>
      </c>
      <c r="DP372" s="67" t="e">
        <f t="shared" si="468"/>
        <v>#N/A</v>
      </c>
      <c r="DQ372" s="45" t="e">
        <f t="shared" si="469"/>
        <v>#N/A</v>
      </c>
      <c r="DR372" s="69" t="e">
        <f t="shared" si="470"/>
        <v>#N/A</v>
      </c>
      <c r="DS372" s="34"/>
      <c r="DT372" s="67" t="e">
        <f>((BX372*CJ372)+IF($W372=MAT_AR,(BZ372*CL372),0))*(1+Reference!$E$50+Reference!$E$51)</f>
        <v>#N/A</v>
      </c>
      <c r="DU372" s="67">
        <f>((BY372*CK372)+IF($W372=MAT_AR,(CA372*CM372),0))*(1+Reference!$G$50+Reference!$G$51)</f>
        <v>0</v>
      </c>
      <c r="DV372" s="67" t="e">
        <f t="shared" si="471"/>
        <v>#VALUE!</v>
      </c>
      <c r="DX372" s="56">
        <v>358</v>
      </c>
      <c r="DY372" s="67">
        <f t="shared" si="472"/>
        <v>0</v>
      </c>
      <c r="DZ372" s="45" t="e">
        <f>VLOOKUP($R372,Dropdown!$C$3:$D$4,2,FALSE)</f>
        <v>#N/A</v>
      </c>
      <c r="EA372" s="68">
        <f t="shared" si="473"/>
        <v>0</v>
      </c>
      <c r="EB372" s="68" t="str">
        <f t="shared" si="474"/>
        <v>N/A</v>
      </c>
      <c r="EC372" s="68">
        <f t="shared" si="475"/>
        <v>0</v>
      </c>
      <c r="ED372" s="68" t="str">
        <f t="shared" si="513"/>
        <v>N/A</v>
      </c>
      <c r="EF372" s="56">
        <v>358</v>
      </c>
      <c r="EG372" s="46">
        <f t="shared" si="476"/>
        <v>0</v>
      </c>
      <c r="EH372" s="68" t="e">
        <f t="shared" si="477"/>
        <v>#N/A</v>
      </c>
      <c r="EI372" s="68" t="e">
        <f t="shared" si="478"/>
        <v>#N/A</v>
      </c>
      <c r="EJ372" s="68" t="e">
        <f t="shared" si="479"/>
        <v>#N/A</v>
      </c>
      <c r="EK372" s="68" t="e">
        <f t="shared" si="480"/>
        <v>#N/A</v>
      </c>
      <c r="EL372" s="46">
        <f t="shared" si="481"/>
        <v>0</v>
      </c>
      <c r="EM372" s="46">
        <f t="shared" si="482"/>
        <v>0</v>
      </c>
    </row>
    <row r="373" spans="1:143">
      <c r="A373" s="89"/>
      <c r="B373" s="89"/>
      <c r="C373" s="89"/>
      <c r="D373" s="89"/>
      <c r="E373" s="89"/>
      <c r="F373" s="89"/>
      <c r="G373" s="34"/>
      <c r="H373" s="56">
        <f t="shared" si="483"/>
        <v>359</v>
      </c>
      <c r="I373" s="165"/>
      <c r="J373" s="163"/>
      <c r="K373" s="163"/>
      <c r="L373" s="164"/>
      <c r="M373" s="155"/>
      <c r="N373" s="155"/>
      <c r="O373" s="144"/>
      <c r="P373" s="159" t="str">
        <f>IFERROR(IF(O373&lt;&gt;"User Specified",IF(O373&lt;&gt;"", INDEX('Refrigerant GWPs'!$G$2:$G$154,MATCH(O373,'Refrigerant GWPs'!$A$2:$A$154,0)),""),U373),0)</f>
        <v/>
      </c>
      <c r="Q373" s="155"/>
      <c r="R373" s="155"/>
      <c r="S373" s="144"/>
      <c r="T373" s="159" t="str">
        <f>IF(S373&lt;&gt;"User Specified",IF(AND(S373&lt;&gt;"User Specified",S373&lt;&gt;""), INDEX('Refrigerant GWPs'!$G$2:$G$154,MATCH(S373,'Refrigerant GWPs'!$A$2:$A$154,0)),""),V373)</f>
        <v/>
      </c>
      <c r="U373" s="144"/>
      <c r="V373" s="144"/>
      <c r="W373" s="155"/>
      <c r="X373" s="155"/>
      <c r="Y373" s="144"/>
      <c r="Z373" s="159" t="str">
        <f>IF(AND(Y373&lt;&gt;"User Specified",Y373&lt;&gt;""), INDEX('Refrigerant GWPs'!$G$2:$G$154,MATCH(Y373,'Refrigerant GWPs'!$A$2:$A$154,0)),"")</f>
        <v/>
      </c>
      <c r="AA373" s="155"/>
      <c r="AB373" s="156"/>
      <c r="AC373" s="66"/>
      <c r="AD373" s="66"/>
      <c r="AE373" s="66"/>
      <c r="AF373" s="66"/>
      <c r="AG373" s="66"/>
      <c r="AH373" s="66"/>
      <c r="AI373" s="34"/>
      <c r="AJ373" s="88">
        <f t="shared" si="446"/>
        <v>0</v>
      </c>
      <c r="AK373" s="88">
        <f t="shared" si="447"/>
        <v>0</v>
      </c>
      <c r="AL373" s="88">
        <v>0</v>
      </c>
      <c r="AM373" s="88">
        <v>0</v>
      </c>
      <c r="AN373" s="81" t="str">
        <f t="shared" si="485"/>
        <v/>
      </c>
      <c r="AO373" s="88">
        <f t="shared" si="448"/>
        <v>0</v>
      </c>
      <c r="AP373" s="88">
        <f t="shared" si="449"/>
        <v>0</v>
      </c>
      <c r="AQ373" s="81" t="str">
        <f t="shared" si="450"/>
        <v/>
      </c>
      <c r="AS373" s="41" t="b">
        <f t="shared" si="451"/>
        <v>1</v>
      </c>
      <c r="AT373" s="38">
        <f t="shared" si="452"/>
        <v>0</v>
      </c>
      <c r="AU373" s="60">
        <f t="shared" si="453"/>
        <v>0</v>
      </c>
      <c r="AV373" s="41">
        <f t="shared" si="454"/>
        <v>0</v>
      </c>
      <c r="AW373" s="41" t="b">
        <f t="shared" si="455"/>
        <v>0</v>
      </c>
      <c r="AX373" t="str">
        <f t="shared" si="456"/>
        <v>+00</v>
      </c>
      <c r="AY373" t="str">
        <f t="shared" si="457"/>
        <v>+00</v>
      </c>
      <c r="BA373" s="47" t="b">
        <f t="shared" si="486"/>
        <v>1</v>
      </c>
      <c r="BB373" s="42" t="b">
        <f t="shared" si="487"/>
        <v>1</v>
      </c>
      <c r="BC373" s="42" t="b">
        <f t="shared" si="488"/>
        <v>0</v>
      </c>
      <c r="BD373" s="42" t="b">
        <f t="shared" si="489"/>
        <v>0</v>
      </c>
      <c r="BE373" s="70">
        <f t="shared" si="490"/>
        <v>0</v>
      </c>
      <c r="BF373" s="70">
        <f t="shared" si="491"/>
        <v>0</v>
      </c>
      <c r="BG373" s="34"/>
      <c r="BI373" s="47" t="b">
        <f t="shared" si="492"/>
        <v>1</v>
      </c>
      <c r="BJ373" s="47" t="b">
        <f t="shared" si="493"/>
        <v>1</v>
      </c>
      <c r="BK373" s="42" t="b">
        <f t="shared" si="494"/>
        <v>0</v>
      </c>
      <c r="BL373" s="42" t="b">
        <f t="shared" si="495"/>
        <v>0</v>
      </c>
      <c r="BM373" s="42">
        <f t="shared" si="496"/>
        <v>0</v>
      </c>
      <c r="BN373" s="42">
        <f t="shared" si="497"/>
        <v>0</v>
      </c>
      <c r="BP373" t="e">
        <f t="shared" si="498"/>
        <v>#N/A</v>
      </c>
      <c r="BQ373" t="e">
        <f t="shared" si="499"/>
        <v>#N/A</v>
      </c>
      <c r="BR373" t="e">
        <f t="shared" si="500"/>
        <v>#N/A</v>
      </c>
      <c r="BT373" s="60">
        <f t="shared" si="501"/>
        <v>0</v>
      </c>
      <c r="BU373" s="60">
        <f t="shared" si="502"/>
        <v>0</v>
      </c>
      <c r="BV373" s="60">
        <f t="shared" si="503"/>
        <v>0</v>
      </c>
      <c r="BW373" s="60">
        <f t="shared" si="504"/>
        <v>0</v>
      </c>
      <c r="BX373" s="60">
        <f t="shared" si="505"/>
        <v>0</v>
      </c>
      <c r="BY373" s="60">
        <f t="shared" si="506"/>
        <v>0</v>
      </c>
      <c r="BZ373" s="60">
        <f t="shared" si="507"/>
        <v>0</v>
      </c>
      <c r="CA373" s="60">
        <f t="shared" si="508"/>
        <v>0</v>
      </c>
      <c r="CB373" s="60" t="e">
        <f t="shared" si="458"/>
        <v>#N/A</v>
      </c>
      <c r="CC373" s="60">
        <f t="shared" si="459"/>
        <v>100000</v>
      </c>
      <c r="CD373" s="60" t="e">
        <f t="shared" si="460"/>
        <v>#N/A</v>
      </c>
      <c r="CE373" s="60">
        <f t="shared" si="461"/>
        <v>100000</v>
      </c>
      <c r="CF373" s="83" t="e">
        <f t="shared" si="509"/>
        <v>#N/A</v>
      </c>
      <c r="CG373" s="83">
        <f t="shared" si="510"/>
        <v>0</v>
      </c>
      <c r="CH373" s="83" t="e">
        <f t="shared" si="511"/>
        <v>#N/A</v>
      </c>
      <c r="CI373" s="83">
        <f t="shared" si="512"/>
        <v>0</v>
      </c>
      <c r="CJ373" s="86" t="e">
        <f t="shared" si="462"/>
        <v>#N/A</v>
      </c>
      <c r="CK373" s="82">
        <f t="shared" si="463"/>
        <v>5.3070370403969858E-3</v>
      </c>
      <c r="CL373" s="82" t="e">
        <f t="shared" si="464"/>
        <v>#N/A</v>
      </c>
      <c r="CM373" s="82">
        <f t="shared" si="465"/>
        <v>5.3070370403969858E-3</v>
      </c>
      <c r="CO373" s="149" t="str">
        <f>IF($I373&lt;&gt;"",IF(O373="User Specified",U373,INDEX('Refrigerant GWPs'!$G$2:$G$156,MATCH(O373,'Refrigerant GWPs'!$A$2:$A$156,0))),"")</f>
        <v/>
      </c>
      <c r="CP373" s="138" t="str">
        <f>IF($I373&lt;&gt;"",INDEX('Device Refrigerant Leakage'!$E$2:$E$42,MATCH($M373,'Device Refrigerant Leakage'!$B$2:$B$42,0)),"")</f>
        <v/>
      </c>
      <c r="CQ373" s="138" t="str">
        <f>IF($I373&lt;&gt;"",INDEX('Device Refrigerant Leakage'!$F$2:$F$42,MATCH($M373,'Device Refrigerant Leakage'!$B$2:$B$42,0)),"")</f>
        <v/>
      </c>
      <c r="CR373" s="145" t="str">
        <f>IF($I373&lt;&gt;"",INDEX('Device Refrigerant Leakage'!$G$2:$G$42,MATCH($M373,'Device Refrigerant Leakage'!$B$2:$B$42,0)),"")</f>
        <v/>
      </c>
      <c r="CS373" s="145" t="str">
        <f>IF($I373&lt;&gt;"",INDEX('Device Refrigerant Leakage'!$D$2:$D$42,MATCH($M373,'Device Refrigerant Leakage'!$B$2:$B$42,0))*CP373/2204.62*CO373,"")</f>
        <v/>
      </c>
      <c r="CT373" s="145" t="str">
        <f>IF($I373&lt;&gt;"",J373*(INDEX('Device Refrigerant Leakage'!$D$2:$D$42,MATCH($M373,'Device Refrigerant Leakage'!$B$2:$B$42,0))-(INDEX('Device Refrigerant Leakage'!$D$2:$D$42,MATCH($M373,'Device Refrigerant Leakage'!$B$2:$B$42,0)))*CR373*CP373)*CQ373/2204.62*CO373,"")</f>
        <v/>
      </c>
      <c r="CU373" s="135" t="str">
        <f>IF($I373&lt;&gt;"",J373*IF(W373&lt;&gt;"AR",(CS373*K373)+CT373,(CS373*AB373)+CT373*(AB373/INDEX('Device Refrigerant Leakage'!$C$2:$C$42,MATCH($M373,'Device Refrigerant Leakage'!$B$2:$B$42,0)))),"")</f>
        <v/>
      </c>
      <c r="CW373" s="135" t="str">
        <f>IF($I373&lt;&gt;"",IF(S373="User Specified",V373,INDEX('Refrigerant GWPs'!$G$2:$G$156,MATCH(S373,'Refrigerant GWPs'!$A$2:$A$157,0))),"")</f>
        <v/>
      </c>
      <c r="CX373" s="138" t="str">
        <f>IF($I373&lt;&gt;"",INDEX('Device Refrigerant Leakage'!$E$2:$E$42,MATCH($Q373,'Device Refrigerant Leakage'!$B$2:$B$42,0)),"")</f>
        <v/>
      </c>
      <c r="CY373" s="138" t="str">
        <f>IF($I373&lt;&gt;"",INDEX('Device Refrigerant Leakage'!$F$2:$F$42,MATCH($Q373,'Device Refrigerant Leakage'!$B$2:$B$42,0)),"")</f>
        <v/>
      </c>
      <c r="CZ373" s="145" t="str">
        <f>IF($I373&lt;&gt;"",INDEX('Device Refrigerant Leakage'!$G$2:$G$42,MATCH($Q373,'Device Refrigerant Leakage'!$B$2:$B$42,0)),"")</f>
        <v/>
      </c>
      <c r="DA373" s="145" t="str">
        <f>IF($I373&lt;&gt;"",J373*INDEX('Device Refrigerant Leakage'!$D$2:$D$42,MATCH($Q373,'Device Refrigerant Leakage'!$B$2:$B$42,0))*CX373/2204.62*CW373,"")</f>
        <v/>
      </c>
      <c r="DB373" s="145" t="str">
        <f>IF($I373&lt;&gt;"",J373*(INDEX('Device Refrigerant Leakage'!$D$2:$D$42,MATCH($Q373,'Device Refrigerant Leakage'!$B$2:$B$42,0))-(INDEX('Device Refrigerant Leakage'!$D$2:$D$42,MATCH($Q373,'Device Refrigerant Leakage'!$B$2:$B$42,0)))*CZ373*CX373)*CY373/2204.62*CW373,"")</f>
        <v/>
      </c>
      <c r="DC373" s="135" t="str">
        <f t="shared" si="484"/>
        <v/>
      </c>
      <c r="DE373" s="146" t="str">
        <f>IF(W373&lt;&gt;"AR","",IF(Y373="User Specified", AA373, INDEX('Refrigerant GWPs'!$G$2:$G$154,MATCH(Y373,'Refrigerant GWPs'!$A$2:$A$154,0))))</f>
        <v/>
      </c>
      <c r="DF373" s="146" t="str">
        <f>IF(W373&lt;&gt;"AR","",INDEX('Device Refrigerant Leakage'!$E$2:$E$42,MATCH(X373,'Device Refrigerant Leakage'!$B$2:$B$42,0)))</f>
        <v/>
      </c>
      <c r="DG373" s="146" t="str">
        <f>IF(W373&lt;&gt;"AR","",INDEX('Device Refrigerant Leakage'!$F$2:$F$42,MATCH(X373,'Device Refrigerant Leakage'!$B$2:$B$42,0)))</f>
        <v/>
      </c>
      <c r="DH373" s="146" t="str">
        <f>IF(W373&lt;&gt;"AR","",INDEX('Device Refrigerant Leakage'!$G$2:$G$42,MATCH(X373,'Device Refrigerant Leakage'!$B$2:$B$42,0)))</f>
        <v/>
      </c>
      <c r="DI373" s="146" t="str">
        <f>IF(W373&lt;&gt;"AR","",J373*INDEX('Device Refrigerant Leakage'!$D$2:$D$42,MATCH(X373,'Device Refrigerant Leakage'!$B$2:$B$42,0))*DF373/2204.62*DE373)</f>
        <v/>
      </c>
      <c r="DJ373" s="146" t="str">
        <f>IF(W373&lt;&gt;"AR","",J373*(INDEX('Device Refrigerant Leakage'!$D$2:$D$42,MATCH(X373,'Device Refrigerant Leakage'!$B$2:$B$42,0))-(INDEX('Device Refrigerant Leakage'!$D$2:$D$42,MATCH(X373,'Device Refrigerant Leakage'!$B$2:$B$42,0)))*DH373*DF373)*DG373/2204.62*DE373)</f>
        <v/>
      </c>
      <c r="DK373" s="146" t="str">
        <f>IF(W373&lt;&gt;"AR","",DI373*(K373-AB373)+'Fuel Sub Calcs-Deemed'!DJ373*((K373-AB373)/INDEX('Device Refrigerant Leakage'!$C$2:$C$42,MATCH('Fuel Sub Calcs-Deemed'!X373,'Device Refrigerant Leakage'!$B$2:$B$42,0))))</f>
        <v/>
      </c>
      <c r="DM373" s="56">
        <v>359</v>
      </c>
      <c r="DN373" s="67" t="e">
        <f t="shared" si="466"/>
        <v>#N/A</v>
      </c>
      <c r="DO373" s="45" t="e">
        <f t="shared" si="467"/>
        <v>#N/A</v>
      </c>
      <c r="DP373" s="67" t="e">
        <f t="shared" si="468"/>
        <v>#N/A</v>
      </c>
      <c r="DQ373" s="45" t="e">
        <f t="shared" si="469"/>
        <v>#N/A</v>
      </c>
      <c r="DR373" s="69" t="e">
        <f t="shared" si="470"/>
        <v>#N/A</v>
      </c>
      <c r="DS373" s="34"/>
      <c r="DT373" s="67" t="e">
        <f>((BX373*CJ373)+IF($W373=MAT_AR,(BZ373*CL373),0))*(1+Reference!$E$50+Reference!$E$51)</f>
        <v>#N/A</v>
      </c>
      <c r="DU373" s="67">
        <f>((BY373*CK373)+IF($W373=MAT_AR,(CA373*CM373),0))*(1+Reference!$G$50+Reference!$G$51)</f>
        <v>0</v>
      </c>
      <c r="DV373" s="67" t="e">
        <f t="shared" si="471"/>
        <v>#VALUE!</v>
      </c>
      <c r="DX373" s="56">
        <v>359</v>
      </c>
      <c r="DY373" s="67">
        <f t="shared" si="472"/>
        <v>0</v>
      </c>
      <c r="DZ373" s="45" t="e">
        <f>VLOOKUP($R373,Dropdown!$C$3:$D$4,2,FALSE)</f>
        <v>#N/A</v>
      </c>
      <c r="EA373" s="68">
        <f t="shared" si="473"/>
        <v>0</v>
      </c>
      <c r="EB373" s="68" t="str">
        <f t="shared" si="474"/>
        <v>N/A</v>
      </c>
      <c r="EC373" s="68">
        <f t="shared" si="475"/>
        <v>0</v>
      </c>
      <c r="ED373" s="68" t="str">
        <f t="shared" si="513"/>
        <v>N/A</v>
      </c>
      <c r="EF373" s="56">
        <v>359</v>
      </c>
      <c r="EG373" s="46">
        <f t="shared" si="476"/>
        <v>0</v>
      </c>
      <c r="EH373" s="68" t="e">
        <f t="shared" si="477"/>
        <v>#N/A</v>
      </c>
      <c r="EI373" s="68" t="e">
        <f t="shared" si="478"/>
        <v>#N/A</v>
      </c>
      <c r="EJ373" s="68" t="e">
        <f t="shared" si="479"/>
        <v>#N/A</v>
      </c>
      <c r="EK373" s="68" t="e">
        <f t="shared" si="480"/>
        <v>#N/A</v>
      </c>
      <c r="EL373" s="46">
        <f t="shared" si="481"/>
        <v>0</v>
      </c>
      <c r="EM373" s="46">
        <f t="shared" si="482"/>
        <v>0</v>
      </c>
    </row>
    <row r="374" spans="1:143">
      <c r="A374" s="89"/>
      <c r="B374" s="89"/>
      <c r="C374" s="89"/>
      <c r="D374" s="89"/>
      <c r="E374" s="89"/>
      <c r="F374" s="89"/>
      <c r="G374" s="34"/>
      <c r="H374" s="56">
        <f t="shared" si="483"/>
        <v>360</v>
      </c>
      <c r="I374" s="165"/>
      <c r="J374" s="163"/>
      <c r="K374" s="163"/>
      <c r="L374" s="164"/>
      <c r="M374" s="155"/>
      <c r="N374" s="155"/>
      <c r="O374" s="144"/>
      <c r="P374" s="159" t="str">
        <f>IFERROR(IF(O374&lt;&gt;"User Specified",IF(O374&lt;&gt;"", INDEX('Refrigerant GWPs'!$G$2:$G$154,MATCH(O374,'Refrigerant GWPs'!$A$2:$A$154,0)),""),U374),0)</f>
        <v/>
      </c>
      <c r="Q374" s="155"/>
      <c r="R374" s="155"/>
      <c r="S374" s="144"/>
      <c r="T374" s="159" t="str">
        <f>IF(S374&lt;&gt;"User Specified",IF(AND(S374&lt;&gt;"User Specified",S374&lt;&gt;""), INDEX('Refrigerant GWPs'!$G$2:$G$154,MATCH(S374,'Refrigerant GWPs'!$A$2:$A$154,0)),""),V374)</f>
        <v/>
      </c>
      <c r="U374" s="144"/>
      <c r="V374" s="144"/>
      <c r="W374" s="155"/>
      <c r="X374" s="155"/>
      <c r="Y374" s="144"/>
      <c r="Z374" s="159" t="str">
        <f>IF(AND(Y374&lt;&gt;"User Specified",Y374&lt;&gt;""), INDEX('Refrigerant GWPs'!$G$2:$G$154,MATCH(Y374,'Refrigerant GWPs'!$A$2:$A$154,0)),"")</f>
        <v/>
      </c>
      <c r="AA374" s="155"/>
      <c r="AB374" s="156"/>
      <c r="AC374" s="66"/>
      <c r="AD374" s="66"/>
      <c r="AE374" s="66"/>
      <c r="AF374" s="66"/>
      <c r="AG374" s="66"/>
      <c r="AH374" s="66"/>
      <c r="AI374" s="34"/>
      <c r="AJ374" s="88">
        <f t="shared" si="446"/>
        <v>0</v>
      </c>
      <c r="AK374" s="88">
        <f t="shared" si="447"/>
        <v>0</v>
      </c>
      <c r="AL374" s="88">
        <v>0</v>
      </c>
      <c r="AM374" s="88">
        <v>0</v>
      </c>
      <c r="AN374" s="81" t="str">
        <f t="shared" si="485"/>
        <v/>
      </c>
      <c r="AO374" s="88">
        <f t="shared" si="448"/>
        <v>0</v>
      </c>
      <c r="AP374" s="88">
        <f t="shared" si="449"/>
        <v>0</v>
      </c>
      <c r="AQ374" s="81" t="str">
        <f t="shared" si="450"/>
        <v/>
      </c>
      <c r="AS374" s="41" t="b">
        <f t="shared" si="451"/>
        <v>1</v>
      </c>
      <c r="AT374" s="38">
        <f t="shared" si="452"/>
        <v>0</v>
      </c>
      <c r="AU374" s="60">
        <f t="shared" si="453"/>
        <v>0</v>
      </c>
      <c r="AV374" s="41">
        <f t="shared" si="454"/>
        <v>0</v>
      </c>
      <c r="AW374" s="41" t="b">
        <f t="shared" si="455"/>
        <v>0</v>
      </c>
      <c r="AX374" t="str">
        <f t="shared" si="456"/>
        <v>+00</v>
      </c>
      <c r="AY374" t="str">
        <f t="shared" si="457"/>
        <v>+00</v>
      </c>
      <c r="BA374" s="47" t="b">
        <f t="shared" si="486"/>
        <v>1</v>
      </c>
      <c r="BB374" s="42" t="b">
        <f t="shared" si="487"/>
        <v>1</v>
      </c>
      <c r="BC374" s="42" t="b">
        <f t="shared" si="488"/>
        <v>0</v>
      </c>
      <c r="BD374" s="42" t="b">
        <f t="shared" si="489"/>
        <v>0</v>
      </c>
      <c r="BE374" s="70">
        <f t="shared" si="490"/>
        <v>0</v>
      </c>
      <c r="BF374" s="70">
        <f t="shared" si="491"/>
        <v>0</v>
      </c>
      <c r="BG374" s="34"/>
      <c r="BI374" s="47" t="b">
        <f t="shared" si="492"/>
        <v>1</v>
      </c>
      <c r="BJ374" s="47" t="b">
        <f t="shared" si="493"/>
        <v>1</v>
      </c>
      <c r="BK374" s="42" t="b">
        <f t="shared" si="494"/>
        <v>0</v>
      </c>
      <c r="BL374" s="42" t="b">
        <f t="shared" si="495"/>
        <v>0</v>
      </c>
      <c r="BM374" s="42">
        <f t="shared" si="496"/>
        <v>0</v>
      </c>
      <c r="BN374" s="42">
        <f t="shared" si="497"/>
        <v>0</v>
      </c>
      <c r="BP374" t="e">
        <f t="shared" si="498"/>
        <v>#N/A</v>
      </c>
      <c r="BQ374" t="e">
        <f t="shared" si="499"/>
        <v>#N/A</v>
      </c>
      <c r="BR374" t="e">
        <f t="shared" si="500"/>
        <v>#N/A</v>
      </c>
      <c r="BT374" s="60">
        <f t="shared" si="501"/>
        <v>0</v>
      </c>
      <c r="BU374" s="60">
        <f t="shared" si="502"/>
        <v>0</v>
      </c>
      <c r="BV374" s="60">
        <f t="shared" si="503"/>
        <v>0</v>
      </c>
      <c r="BW374" s="60">
        <f t="shared" si="504"/>
        <v>0</v>
      </c>
      <c r="BX374" s="60">
        <f t="shared" si="505"/>
        <v>0</v>
      </c>
      <c r="BY374" s="60">
        <f t="shared" si="506"/>
        <v>0</v>
      </c>
      <c r="BZ374" s="60">
        <f t="shared" si="507"/>
        <v>0</v>
      </c>
      <c r="CA374" s="60">
        <f t="shared" si="508"/>
        <v>0</v>
      </c>
      <c r="CB374" s="60" t="e">
        <f t="shared" si="458"/>
        <v>#N/A</v>
      </c>
      <c r="CC374" s="60">
        <f t="shared" si="459"/>
        <v>100000</v>
      </c>
      <c r="CD374" s="60" t="e">
        <f t="shared" si="460"/>
        <v>#N/A</v>
      </c>
      <c r="CE374" s="60">
        <f t="shared" si="461"/>
        <v>100000</v>
      </c>
      <c r="CF374" s="83" t="e">
        <f t="shared" si="509"/>
        <v>#N/A</v>
      </c>
      <c r="CG374" s="83">
        <f t="shared" si="510"/>
        <v>0</v>
      </c>
      <c r="CH374" s="83" t="e">
        <f t="shared" si="511"/>
        <v>#N/A</v>
      </c>
      <c r="CI374" s="83">
        <f t="shared" si="512"/>
        <v>0</v>
      </c>
      <c r="CJ374" s="86" t="e">
        <f t="shared" si="462"/>
        <v>#N/A</v>
      </c>
      <c r="CK374" s="82">
        <f t="shared" si="463"/>
        <v>5.3070370403969858E-3</v>
      </c>
      <c r="CL374" s="82" t="e">
        <f t="shared" si="464"/>
        <v>#N/A</v>
      </c>
      <c r="CM374" s="82">
        <f t="shared" si="465"/>
        <v>5.3070370403969858E-3</v>
      </c>
      <c r="CO374" s="149" t="str">
        <f>IF($I374&lt;&gt;"",IF(O374="User Specified",U374,INDEX('Refrigerant GWPs'!$G$2:$G$156,MATCH(O374,'Refrigerant GWPs'!$A$2:$A$156,0))),"")</f>
        <v/>
      </c>
      <c r="CP374" s="138" t="str">
        <f>IF($I374&lt;&gt;"",INDEX('Device Refrigerant Leakage'!$E$2:$E$42,MATCH($M374,'Device Refrigerant Leakage'!$B$2:$B$42,0)),"")</f>
        <v/>
      </c>
      <c r="CQ374" s="138" t="str">
        <f>IF($I374&lt;&gt;"",INDEX('Device Refrigerant Leakage'!$F$2:$F$42,MATCH($M374,'Device Refrigerant Leakage'!$B$2:$B$42,0)),"")</f>
        <v/>
      </c>
      <c r="CR374" s="145" t="str">
        <f>IF($I374&lt;&gt;"",INDEX('Device Refrigerant Leakage'!$G$2:$G$42,MATCH($M374,'Device Refrigerant Leakage'!$B$2:$B$42,0)),"")</f>
        <v/>
      </c>
      <c r="CS374" s="145" t="str">
        <f>IF($I374&lt;&gt;"",INDEX('Device Refrigerant Leakage'!$D$2:$D$42,MATCH($M374,'Device Refrigerant Leakage'!$B$2:$B$42,0))*CP374/2204.62*CO374,"")</f>
        <v/>
      </c>
      <c r="CT374" s="145" t="str">
        <f>IF($I374&lt;&gt;"",J374*(INDEX('Device Refrigerant Leakage'!$D$2:$D$42,MATCH($M374,'Device Refrigerant Leakage'!$B$2:$B$42,0))-(INDEX('Device Refrigerant Leakage'!$D$2:$D$42,MATCH($M374,'Device Refrigerant Leakage'!$B$2:$B$42,0)))*CR374*CP374)*CQ374/2204.62*CO374,"")</f>
        <v/>
      </c>
      <c r="CU374" s="135" t="str">
        <f>IF($I374&lt;&gt;"",J374*IF(W374&lt;&gt;"AR",(CS374*K374)+CT374,(CS374*AB374)+CT374*(AB374/INDEX('Device Refrigerant Leakage'!$C$2:$C$42,MATCH($M374,'Device Refrigerant Leakage'!$B$2:$B$42,0)))),"")</f>
        <v/>
      </c>
      <c r="CW374" s="135" t="str">
        <f>IF($I374&lt;&gt;"",IF(S374="User Specified",V374,INDEX('Refrigerant GWPs'!$G$2:$G$156,MATCH(S374,'Refrigerant GWPs'!$A$2:$A$157,0))),"")</f>
        <v/>
      </c>
      <c r="CX374" s="138" t="str">
        <f>IF($I374&lt;&gt;"",INDEX('Device Refrigerant Leakage'!$E$2:$E$42,MATCH($Q374,'Device Refrigerant Leakage'!$B$2:$B$42,0)),"")</f>
        <v/>
      </c>
      <c r="CY374" s="138" t="str">
        <f>IF($I374&lt;&gt;"",INDEX('Device Refrigerant Leakage'!$F$2:$F$42,MATCH($Q374,'Device Refrigerant Leakage'!$B$2:$B$42,0)),"")</f>
        <v/>
      </c>
      <c r="CZ374" s="145" t="str">
        <f>IF($I374&lt;&gt;"",INDEX('Device Refrigerant Leakage'!$G$2:$G$42,MATCH($Q374,'Device Refrigerant Leakage'!$B$2:$B$42,0)),"")</f>
        <v/>
      </c>
      <c r="DA374" s="145" t="str">
        <f>IF($I374&lt;&gt;"",J374*INDEX('Device Refrigerant Leakage'!$D$2:$D$42,MATCH($Q374,'Device Refrigerant Leakage'!$B$2:$B$42,0))*CX374/2204.62*CW374,"")</f>
        <v/>
      </c>
      <c r="DB374" s="145" t="str">
        <f>IF($I374&lt;&gt;"",J374*(INDEX('Device Refrigerant Leakage'!$D$2:$D$42,MATCH($Q374,'Device Refrigerant Leakage'!$B$2:$B$42,0))-(INDEX('Device Refrigerant Leakage'!$D$2:$D$42,MATCH($Q374,'Device Refrigerant Leakage'!$B$2:$B$42,0)))*CZ374*CX374)*CY374/2204.62*CW374,"")</f>
        <v/>
      </c>
      <c r="DC374" s="135" t="str">
        <f t="shared" si="484"/>
        <v/>
      </c>
      <c r="DE374" s="146" t="str">
        <f>IF(W374&lt;&gt;"AR","",IF(Y374="User Specified", AA374, INDEX('Refrigerant GWPs'!$G$2:$G$154,MATCH(Y374,'Refrigerant GWPs'!$A$2:$A$154,0))))</f>
        <v/>
      </c>
      <c r="DF374" s="146" t="str">
        <f>IF(W374&lt;&gt;"AR","",INDEX('Device Refrigerant Leakage'!$E$2:$E$42,MATCH(X374,'Device Refrigerant Leakage'!$B$2:$B$42,0)))</f>
        <v/>
      </c>
      <c r="DG374" s="146" t="str">
        <f>IF(W374&lt;&gt;"AR","",INDEX('Device Refrigerant Leakage'!$F$2:$F$42,MATCH(X374,'Device Refrigerant Leakage'!$B$2:$B$42,0)))</f>
        <v/>
      </c>
      <c r="DH374" s="146" t="str">
        <f>IF(W374&lt;&gt;"AR","",INDEX('Device Refrigerant Leakage'!$G$2:$G$42,MATCH(X374,'Device Refrigerant Leakage'!$B$2:$B$42,0)))</f>
        <v/>
      </c>
      <c r="DI374" s="146" t="str">
        <f>IF(W374&lt;&gt;"AR","",J374*INDEX('Device Refrigerant Leakage'!$D$2:$D$42,MATCH(X374,'Device Refrigerant Leakage'!$B$2:$B$42,0))*DF374/2204.62*DE374)</f>
        <v/>
      </c>
      <c r="DJ374" s="146" t="str">
        <f>IF(W374&lt;&gt;"AR","",J374*(INDEX('Device Refrigerant Leakage'!$D$2:$D$42,MATCH(X374,'Device Refrigerant Leakage'!$B$2:$B$42,0))-(INDEX('Device Refrigerant Leakage'!$D$2:$D$42,MATCH(X374,'Device Refrigerant Leakage'!$B$2:$B$42,0)))*DH374*DF374)*DG374/2204.62*DE374)</f>
        <v/>
      </c>
      <c r="DK374" s="146" t="str">
        <f>IF(W374&lt;&gt;"AR","",DI374*(K374-AB374)+'Fuel Sub Calcs-Deemed'!DJ374*((K374-AB374)/INDEX('Device Refrigerant Leakage'!$C$2:$C$42,MATCH('Fuel Sub Calcs-Deemed'!X374,'Device Refrigerant Leakage'!$B$2:$B$42,0))))</f>
        <v/>
      </c>
      <c r="DM374" s="56">
        <v>360</v>
      </c>
      <c r="DN374" s="67" t="e">
        <f t="shared" si="466"/>
        <v>#N/A</v>
      </c>
      <c r="DO374" s="45" t="e">
        <f t="shared" si="467"/>
        <v>#N/A</v>
      </c>
      <c r="DP374" s="67" t="e">
        <f t="shared" si="468"/>
        <v>#N/A</v>
      </c>
      <c r="DQ374" s="45" t="e">
        <f t="shared" si="469"/>
        <v>#N/A</v>
      </c>
      <c r="DR374" s="69" t="e">
        <f t="shared" si="470"/>
        <v>#N/A</v>
      </c>
      <c r="DS374" s="34"/>
      <c r="DT374" s="67" t="e">
        <f>((BX374*CJ374)+IF($W374=MAT_AR,(BZ374*CL374),0))*(1+Reference!$E$50+Reference!$E$51)</f>
        <v>#N/A</v>
      </c>
      <c r="DU374" s="67">
        <f>((BY374*CK374)+IF($W374=MAT_AR,(CA374*CM374),0))*(1+Reference!$G$50+Reference!$G$51)</f>
        <v>0</v>
      </c>
      <c r="DV374" s="67" t="e">
        <f t="shared" si="471"/>
        <v>#VALUE!</v>
      </c>
      <c r="DX374" s="56">
        <v>360</v>
      </c>
      <c r="DY374" s="67">
        <f t="shared" si="472"/>
        <v>0</v>
      </c>
      <c r="DZ374" s="45" t="e">
        <f>VLOOKUP($R374,Dropdown!$C$3:$D$4,2,FALSE)</f>
        <v>#N/A</v>
      </c>
      <c r="EA374" s="68">
        <f t="shared" si="473"/>
        <v>0</v>
      </c>
      <c r="EB374" s="68" t="str">
        <f t="shared" si="474"/>
        <v>N/A</v>
      </c>
      <c r="EC374" s="68">
        <f t="shared" si="475"/>
        <v>0</v>
      </c>
      <c r="ED374" s="68" t="str">
        <f t="shared" si="513"/>
        <v>N/A</v>
      </c>
      <c r="EF374" s="56">
        <v>360</v>
      </c>
      <c r="EG374" s="46">
        <f t="shared" si="476"/>
        <v>0</v>
      </c>
      <c r="EH374" s="68" t="e">
        <f t="shared" si="477"/>
        <v>#N/A</v>
      </c>
      <c r="EI374" s="68" t="e">
        <f t="shared" si="478"/>
        <v>#N/A</v>
      </c>
      <c r="EJ374" s="68" t="e">
        <f t="shared" si="479"/>
        <v>#N/A</v>
      </c>
      <c r="EK374" s="68" t="e">
        <f t="shared" si="480"/>
        <v>#N/A</v>
      </c>
      <c r="EL374" s="46">
        <f t="shared" si="481"/>
        <v>0</v>
      </c>
      <c r="EM374" s="46">
        <f t="shared" si="482"/>
        <v>0</v>
      </c>
    </row>
    <row r="375" spans="1:143">
      <c r="A375" s="89"/>
      <c r="B375" s="89"/>
      <c r="C375" s="89"/>
      <c r="D375" s="89"/>
      <c r="E375" s="89"/>
      <c r="F375" s="89"/>
      <c r="G375" s="34"/>
      <c r="H375" s="56">
        <f t="shared" si="483"/>
        <v>361</v>
      </c>
      <c r="I375" s="165"/>
      <c r="J375" s="163"/>
      <c r="K375" s="163"/>
      <c r="L375" s="164"/>
      <c r="M375" s="155"/>
      <c r="N375" s="155"/>
      <c r="O375" s="144"/>
      <c r="P375" s="159" t="str">
        <f>IFERROR(IF(O375&lt;&gt;"User Specified",IF(O375&lt;&gt;"", INDEX('Refrigerant GWPs'!$G$2:$G$154,MATCH(O375,'Refrigerant GWPs'!$A$2:$A$154,0)),""),U375),0)</f>
        <v/>
      </c>
      <c r="Q375" s="155"/>
      <c r="R375" s="155"/>
      <c r="S375" s="144"/>
      <c r="T375" s="159" t="str">
        <f>IF(S375&lt;&gt;"User Specified",IF(AND(S375&lt;&gt;"User Specified",S375&lt;&gt;""), INDEX('Refrigerant GWPs'!$G$2:$G$154,MATCH(S375,'Refrigerant GWPs'!$A$2:$A$154,0)),""),V375)</f>
        <v/>
      </c>
      <c r="U375" s="144"/>
      <c r="V375" s="144"/>
      <c r="W375" s="155"/>
      <c r="X375" s="155"/>
      <c r="Y375" s="144"/>
      <c r="Z375" s="159" t="str">
        <f>IF(AND(Y375&lt;&gt;"User Specified",Y375&lt;&gt;""), INDEX('Refrigerant GWPs'!$G$2:$G$154,MATCH(Y375,'Refrigerant GWPs'!$A$2:$A$154,0)),"")</f>
        <v/>
      </c>
      <c r="AA375" s="155"/>
      <c r="AB375" s="156"/>
      <c r="AC375" s="66"/>
      <c r="AD375" s="66"/>
      <c r="AE375" s="66"/>
      <c r="AF375" s="66"/>
      <c r="AG375" s="66"/>
      <c r="AH375" s="66"/>
      <c r="AI375" s="34"/>
      <c r="AJ375" s="88">
        <f t="shared" si="446"/>
        <v>0</v>
      </c>
      <c r="AK375" s="88">
        <f t="shared" si="447"/>
        <v>0</v>
      </c>
      <c r="AL375" s="88">
        <v>0</v>
      </c>
      <c r="AM375" s="88">
        <v>0</v>
      </c>
      <c r="AN375" s="81" t="str">
        <f t="shared" si="485"/>
        <v/>
      </c>
      <c r="AO375" s="88">
        <f t="shared" si="448"/>
        <v>0</v>
      </c>
      <c r="AP375" s="88">
        <f t="shared" si="449"/>
        <v>0</v>
      </c>
      <c r="AQ375" s="81" t="str">
        <f t="shared" si="450"/>
        <v/>
      </c>
      <c r="AS375" s="41" t="b">
        <f t="shared" si="451"/>
        <v>1</v>
      </c>
      <c r="AT375" s="38">
        <f t="shared" si="452"/>
        <v>0</v>
      </c>
      <c r="AU375" s="60">
        <f t="shared" si="453"/>
        <v>0</v>
      </c>
      <c r="AV375" s="41">
        <f t="shared" si="454"/>
        <v>0</v>
      </c>
      <c r="AW375" s="41" t="b">
        <f t="shared" si="455"/>
        <v>0</v>
      </c>
      <c r="AX375" t="str">
        <f t="shared" si="456"/>
        <v>+00</v>
      </c>
      <c r="AY375" t="str">
        <f t="shared" si="457"/>
        <v>+00</v>
      </c>
      <c r="BA375" s="47" t="b">
        <f t="shared" si="486"/>
        <v>1</v>
      </c>
      <c r="BB375" s="42" t="b">
        <f t="shared" si="487"/>
        <v>1</v>
      </c>
      <c r="BC375" s="42" t="b">
        <f t="shared" si="488"/>
        <v>0</v>
      </c>
      <c r="BD375" s="42" t="b">
        <f t="shared" si="489"/>
        <v>0</v>
      </c>
      <c r="BE375" s="70">
        <f t="shared" si="490"/>
        <v>0</v>
      </c>
      <c r="BF375" s="70">
        <f t="shared" si="491"/>
        <v>0</v>
      </c>
      <c r="BG375" s="34"/>
      <c r="BI375" s="47" t="b">
        <f t="shared" si="492"/>
        <v>1</v>
      </c>
      <c r="BJ375" s="47" t="b">
        <f t="shared" si="493"/>
        <v>1</v>
      </c>
      <c r="BK375" s="42" t="b">
        <f t="shared" si="494"/>
        <v>0</v>
      </c>
      <c r="BL375" s="42" t="b">
        <f t="shared" si="495"/>
        <v>0</v>
      </c>
      <c r="BM375" s="42">
        <f t="shared" si="496"/>
        <v>0</v>
      </c>
      <c r="BN375" s="42">
        <f t="shared" si="497"/>
        <v>0</v>
      </c>
      <c r="BP375" t="e">
        <f t="shared" si="498"/>
        <v>#N/A</v>
      </c>
      <c r="BQ375" t="e">
        <f t="shared" si="499"/>
        <v>#N/A</v>
      </c>
      <c r="BR375" t="e">
        <f t="shared" si="500"/>
        <v>#N/A</v>
      </c>
      <c r="BT375" s="60">
        <f t="shared" si="501"/>
        <v>0</v>
      </c>
      <c r="BU375" s="60">
        <f t="shared" si="502"/>
        <v>0</v>
      </c>
      <c r="BV375" s="60">
        <f t="shared" si="503"/>
        <v>0</v>
      </c>
      <c r="BW375" s="60">
        <f t="shared" si="504"/>
        <v>0</v>
      </c>
      <c r="BX375" s="60">
        <f t="shared" si="505"/>
        <v>0</v>
      </c>
      <c r="BY375" s="60">
        <f t="shared" si="506"/>
        <v>0</v>
      </c>
      <c r="BZ375" s="60">
        <f t="shared" si="507"/>
        <v>0</v>
      </c>
      <c r="CA375" s="60">
        <f t="shared" si="508"/>
        <v>0</v>
      </c>
      <c r="CB375" s="60" t="e">
        <f t="shared" si="458"/>
        <v>#N/A</v>
      </c>
      <c r="CC375" s="60">
        <f t="shared" si="459"/>
        <v>100000</v>
      </c>
      <c r="CD375" s="60" t="e">
        <f t="shared" si="460"/>
        <v>#N/A</v>
      </c>
      <c r="CE375" s="60">
        <f t="shared" si="461"/>
        <v>100000</v>
      </c>
      <c r="CF375" s="83" t="e">
        <f t="shared" si="509"/>
        <v>#N/A</v>
      </c>
      <c r="CG375" s="83">
        <f t="shared" si="510"/>
        <v>0</v>
      </c>
      <c r="CH375" s="83" t="e">
        <f t="shared" si="511"/>
        <v>#N/A</v>
      </c>
      <c r="CI375" s="83">
        <f t="shared" si="512"/>
        <v>0</v>
      </c>
      <c r="CJ375" s="86" t="e">
        <f t="shared" si="462"/>
        <v>#N/A</v>
      </c>
      <c r="CK375" s="82">
        <f t="shared" si="463"/>
        <v>5.3070370403969858E-3</v>
      </c>
      <c r="CL375" s="82" t="e">
        <f t="shared" si="464"/>
        <v>#N/A</v>
      </c>
      <c r="CM375" s="82">
        <f t="shared" si="465"/>
        <v>5.3070370403969858E-3</v>
      </c>
      <c r="CO375" s="149" t="str">
        <f>IF($I375&lt;&gt;"",IF(O375="User Specified",U375,INDEX('Refrigerant GWPs'!$G$2:$G$156,MATCH(O375,'Refrigerant GWPs'!$A$2:$A$156,0))),"")</f>
        <v/>
      </c>
      <c r="CP375" s="138" t="str">
        <f>IF($I375&lt;&gt;"",INDEX('Device Refrigerant Leakage'!$E$2:$E$42,MATCH($M375,'Device Refrigerant Leakage'!$B$2:$B$42,0)),"")</f>
        <v/>
      </c>
      <c r="CQ375" s="138" t="str">
        <f>IF($I375&lt;&gt;"",INDEX('Device Refrigerant Leakage'!$F$2:$F$42,MATCH($M375,'Device Refrigerant Leakage'!$B$2:$B$42,0)),"")</f>
        <v/>
      </c>
      <c r="CR375" s="145" t="str">
        <f>IF($I375&lt;&gt;"",INDEX('Device Refrigerant Leakage'!$G$2:$G$42,MATCH($M375,'Device Refrigerant Leakage'!$B$2:$B$42,0)),"")</f>
        <v/>
      </c>
      <c r="CS375" s="145" t="str">
        <f>IF($I375&lt;&gt;"",INDEX('Device Refrigerant Leakage'!$D$2:$D$42,MATCH($M375,'Device Refrigerant Leakage'!$B$2:$B$42,0))*CP375/2204.62*CO375,"")</f>
        <v/>
      </c>
      <c r="CT375" s="145" t="str">
        <f>IF($I375&lt;&gt;"",J375*(INDEX('Device Refrigerant Leakage'!$D$2:$D$42,MATCH($M375,'Device Refrigerant Leakage'!$B$2:$B$42,0))-(INDEX('Device Refrigerant Leakage'!$D$2:$D$42,MATCH($M375,'Device Refrigerant Leakage'!$B$2:$B$42,0)))*CR375*CP375)*CQ375/2204.62*CO375,"")</f>
        <v/>
      </c>
      <c r="CU375" s="135" t="str">
        <f>IF($I375&lt;&gt;"",J375*IF(W375&lt;&gt;"AR",(CS375*K375)+CT375,(CS375*AB375)+CT375*(AB375/INDEX('Device Refrigerant Leakage'!$C$2:$C$42,MATCH($M375,'Device Refrigerant Leakage'!$B$2:$B$42,0)))),"")</f>
        <v/>
      </c>
      <c r="CW375" s="135" t="str">
        <f>IF($I375&lt;&gt;"",IF(S375="User Specified",V375,INDEX('Refrigerant GWPs'!$G$2:$G$156,MATCH(S375,'Refrigerant GWPs'!$A$2:$A$157,0))),"")</f>
        <v/>
      </c>
      <c r="CX375" s="138" t="str">
        <f>IF($I375&lt;&gt;"",INDEX('Device Refrigerant Leakage'!$E$2:$E$42,MATCH($Q375,'Device Refrigerant Leakage'!$B$2:$B$42,0)),"")</f>
        <v/>
      </c>
      <c r="CY375" s="138" t="str">
        <f>IF($I375&lt;&gt;"",INDEX('Device Refrigerant Leakage'!$F$2:$F$42,MATCH($Q375,'Device Refrigerant Leakage'!$B$2:$B$42,0)),"")</f>
        <v/>
      </c>
      <c r="CZ375" s="145" t="str">
        <f>IF($I375&lt;&gt;"",INDEX('Device Refrigerant Leakage'!$G$2:$G$42,MATCH($Q375,'Device Refrigerant Leakage'!$B$2:$B$42,0)),"")</f>
        <v/>
      </c>
      <c r="DA375" s="145" t="str">
        <f>IF($I375&lt;&gt;"",J375*INDEX('Device Refrigerant Leakage'!$D$2:$D$42,MATCH($Q375,'Device Refrigerant Leakage'!$B$2:$B$42,0))*CX375/2204.62*CW375,"")</f>
        <v/>
      </c>
      <c r="DB375" s="145" t="str">
        <f>IF($I375&lt;&gt;"",J375*(INDEX('Device Refrigerant Leakage'!$D$2:$D$42,MATCH($Q375,'Device Refrigerant Leakage'!$B$2:$B$42,0))-(INDEX('Device Refrigerant Leakage'!$D$2:$D$42,MATCH($Q375,'Device Refrigerant Leakage'!$B$2:$B$42,0)))*CZ375*CX375)*CY375/2204.62*CW375,"")</f>
        <v/>
      </c>
      <c r="DC375" s="135" t="str">
        <f t="shared" si="484"/>
        <v/>
      </c>
      <c r="DE375" s="146" t="str">
        <f>IF(W375&lt;&gt;"AR","",IF(Y375="User Specified", AA375, INDEX('Refrigerant GWPs'!$G$2:$G$154,MATCH(Y375,'Refrigerant GWPs'!$A$2:$A$154,0))))</f>
        <v/>
      </c>
      <c r="DF375" s="146" t="str">
        <f>IF(W375&lt;&gt;"AR","",INDEX('Device Refrigerant Leakage'!$E$2:$E$42,MATCH(X375,'Device Refrigerant Leakage'!$B$2:$B$42,0)))</f>
        <v/>
      </c>
      <c r="DG375" s="146" t="str">
        <f>IF(W375&lt;&gt;"AR","",INDEX('Device Refrigerant Leakage'!$F$2:$F$42,MATCH(X375,'Device Refrigerant Leakage'!$B$2:$B$42,0)))</f>
        <v/>
      </c>
      <c r="DH375" s="146" t="str">
        <f>IF(W375&lt;&gt;"AR","",INDEX('Device Refrigerant Leakage'!$G$2:$G$42,MATCH(X375,'Device Refrigerant Leakage'!$B$2:$B$42,0)))</f>
        <v/>
      </c>
      <c r="DI375" s="146" t="str">
        <f>IF(W375&lt;&gt;"AR","",J375*INDEX('Device Refrigerant Leakage'!$D$2:$D$42,MATCH(X375,'Device Refrigerant Leakage'!$B$2:$B$42,0))*DF375/2204.62*DE375)</f>
        <v/>
      </c>
      <c r="DJ375" s="146" t="str">
        <f>IF(W375&lt;&gt;"AR","",J375*(INDEX('Device Refrigerant Leakage'!$D$2:$D$42,MATCH(X375,'Device Refrigerant Leakage'!$B$2:$B$42,0))-(INDEX('Device Refrigerant Leakage'!$D$2:$D$42,MATCH(X375,'Device Refrigerant Leakage'!$B$2:$B$42,0)))*DH375*DF375)*DG375/2204.62*DE375)</f>
        <v/>
      </c>
      <c r="DK375" s="146" t="str">
        <f>IF(W375&lt;&gt;"AR","",DI375*(K375-AB375)+'Fuel Sub Calcs-Deemed'!DJ375*((K375-AB375)/INDEX('Device Refrigerant Leakage'!$C$2:$C$42,MATCH('Fuel Sub Calcs-Deemed'!X375,'Device Refrigerant Leakage'!$B$2:$B$42,0))))</f>
        <v/>
      </c>
      <c r="DM375" s="56">
        <v>361</v>
      </c>
      <c r="DN375" s="67" t="e">
        <f t="shared" si="466"/>
        <v>#N/A</v>
      </c>
      <c r="DO375" s="45" t="e">
        <f t="shared" si="467"/>
        <v>#N/A</v>
      </c>
      <c r="DP375" s="67" t="e">
        <f t="shared" si="468"/>
        <v>#N/A</v>
      </c>
      <c r="DQ375" s="45" t="e">
        <f t="shared" si="469"/>
        <v>#N/A</v>
      </c>
      <c r="DR375" s="69" t="e">
        <f t="shared" si="470"/>
        <v>#N/A</v>
      </c>
      <c r="DS375" s="34"/>
      <c r="DT375" s="67" t="e">
        <f>((BX375*CJ375)+IF($W375=MAT_AR,(BZ375*CL375),0))*(1+Reference!$E$50+Reference!$E$51)</f>
        <v>#N/A</v>
      </c>
      <c r="DU375" s="67">
        <f>((BY375*CK375)+IF($W375=MAT_AR,(CA375*CM375),0))*(1+Reference!$G$50+Reference!$G$51)</f>
        <v>0</v>
      </c>
      <c r="DV375" s="67" t="e">
        <f t="shared" si="471"/>
        <v>#VALUE!</v>
      </c>
      <c r="DX375" s="56">
        <v>361</v>
      </c>
      <c r="DY375" s="67">
        <f t="shared" si="472"/>
        <v>0</v>
      </c>
      <c r="DZ375" s="45" t="e">
        <f>VLOOKUP($R375,Dropdown!$C$3:$D$4,2,FALSE)</f>
        <v>#N/A</v>
      </c>
      <c r="EA375" s="68">
        <f t="shared" si="473"/>
        <v>0</v>
      </c>
      <c r="EB375" s="68" t="str">
        <f t="shared" si="474"/>
        <v>N/A</v>
      </c>
      <c r="EC375" s="68">
        <f t="shared" si="475"/>
        <v>0</v>
      </c>
      <c r="ED375" s="68" t="str">
        <f t="shared" si="513"/>
        <v>N/A</v>
      </c>
      <c r="EF375" s="56">
        <v>361</v>
      </c>
      <c r="EG375" s="46">
        <f t="shared" si="476"/>
        <v>0</v>
      </c>
      <c r="EH375" s="68" t="e">
        <f t="shared" si="477"/>
        <v>#N/A</v>
      </c>
      <c r="EI375" s="68" t="e">
        <f t="shared" si="478"/>
        <v>#N/A</v>
      </c>
      <c r="EJ375" s="68" t="e">
        <f t="shared" si="479"/>
        <v>#N/A</v>
      </c>
      <c r="EK375" s="68" t="e">
        <f t="shared" si="480"/>
        <v>#N/A</v>
      </c>
      <c r="EL375" s="46">
        <f t="shared" si="481"/>
        <v>0</v>
      </c>
      <c r="EM375" s="46">
        <f t="shared" si="482"/>
        <v>0</v>
      </c>
    </row>
    <row r="376" spans="1:143">
      <c r="A376" s="89"/>
      <c r="B376" s="89"/>
      <c r="C376" s="89"/>
      <c r="D376" s="89"/>
      <c r="E376" s="89"/>
      <c r="F376" s="89"/>
      <c r="G376" s="34"/>
      <c r="H376" s="56">
        <f t="shared" si="483"/>
        <v>362</v>
      </c>
      <c r="I376" s="165"/>
      <c r="J376" s="163"/>
      <c r="K376" s="163"/>
      <c r="L376" s="164"/>
      <c r="M376" s="155"/>
      <c r="N376" s="155"/>
      <c r="O376" s="144"/>
      <c r="P376" s="159" t="str">
        <f>IFERROR(IF(O376&lt;&gt;"User Specified",IF(O376&lt;&gt;"", INDEX('Refrigerant GWPs'!$G$2:$G$154,MATCH(O376,'Refrigerant GWPs'!$A$2:$A$154,0)),""),U376),0)</f>
        <v/>
      </c>
      <c r="Q376" s="155"/>
      <c r="R376" s="155"/>
      <c r="S376" s="144"/>
      <c r="T376" s="159" t="str">
        <f>IF(S376&lt;&gt;"User Specified",IF(AND(S376&lt;&gt;"User Specified",S376&lt;&gt;""), INDEX('Refrigerant GWPs'!$G$2:$G$154,MATCH(S376,'Refrigerant GWPs'!$A$2:$A$154,0)),""),V376)</f>
        <v/>
      </c>
      <c r="U376" s="144"/>
      <c r="V376" s="144"/>
      <c r="W376" s="155"/>
      <c r="X376" s="155"/>
      <c r="Y376" s="144"/>
      <c r="Z376" s="159" t="str">
        <f>IF(AND(Y376&lt;&gt;"User Specified",Y376&lt;&gt;""), INDEX('Refrigerant GWPs'!$G$2:$G$154,MATCH(Y376,'Refrigerant GWPs'!$A$2:$A$154,0)),"")</f>
        <v/>
      </c>
      <c r="AA376" s="155"/>
      <c r="AB376" s="156"/>
      <c r="AC376" s="66"/>
      <c r="AD376" s="66"/>
      <c r="AE376" s="66"/>
      <c r="AF376" s="66"/>
      <c r="AG376" s="66"/>
      <c r="AH376" s="66"/>
      <c r="AI376" s="34"/>
      <c r="AJ376" s="88">
        <f t="shared" si="446"/>
        <v>0</v>
      </c>
      <c r="AK376" s="88">
        <f t="shared" si="447"/>
        <v>0</v>
      </c>
      <c r="AL376" s="88">
        <v>0</v>
      </c>
      <c r="AM376" s="88">
        <v>0</v>
      </c>
      <c r="AN376" s="81" t="str">
        <f t="shared" si="485"/>
        <v/>
      </c>
      <c r="AO376" s="88">
        <f t="shared" si="448"/>
        <v>0</v>
      </c>
      <c r="AP376" s="88">
        <f t="shared" si="449"/>
        <v>0</v>
      </c>
      <c r="AQ376" s="81" t="str">
        <f t="shared" si="450"/>
        <v/>
      </c>
      <c r="AS376" s="41" t="b">
        <f t="shared" si="451"/>
        <v>1</v>
      </c>
      <c r="AT376" s="38">
        <f t="shared" si="452"/>
        <v>0</v>
      </c>
      <c r="AU376" s="60">
        <f t="shared" si="453"/>
        <v>0</v>
      </c>
      <c r="AV376" s="41">
        <f t="shared" si="454"/>
        <v>0</v>
      </c>
      <c r="AW376" s="41" t="b">
        <f t="shared" si="455"/>
        <v>0</v>
      </c>
      <c r="AX376" t="str">
        <f t="shared" si="456"/>
        <v>+00</v>
      </c>
      <c r="AY376" t="str">
        <f t="shared" si="457"/>
        <v>+00</v>
      </c>
      <c r="BA376" s="47" t="b">
        <f t="shared" si="486"/>
        <v>1</v>
      </c>
      <c r="BB376" s="42" t="b">
        <f t="shared" si="487"/>
        <v>1</v>
      </c>
      <c r="BC376" s="42" t="b">
        <f t="shared" si="488"/>
        <v>0</v>
      </c>
      <c r="BD376" s="42" t="b">
        <f t="shared" si="489"/>
        <v>0</v>
      </c>
      <c r="BE376" s="70">
        <f t="shared" si="490"/>
        <v>0</v>
      </c>
      <c r="BF376" s="70">
        <f t="shared" si="491"/>
        <v>0</v>
      </c>
      <c r="BG376" s="34"/>
      <c r="BI376" s="47" t="b">
        <f t="shared" si="492"/>
        <v>1</v>
      </c>
      <c r="BJ376" s="47" t="b">
        <f t="shared" si="493"/>
        <v>1</v>
      </c>
      <c r="BK376" s="42" t="b">
        <f t="shared" si="494"/>
        <v>0</v>
      </c>
      <c r="BL376" s="42" t="b">
        <f t="shared" si="495"/>
        <v>0</v>
      </c>
      <c r="BM376" s="42">
        <f t="shared" si="496"/>
        <v>0</v>
      </c>
      <c r="BN376" s="42">
        <f t="shared" si="497"/>
        <v>0</v>
      </c>
      <c r="BP376" t="e">
        <f t="shared" si="498"/>
        <v>#N/A</v>
      </c>
      <c r="BQ376" t="e">
        <f t="shared" si="499"/>
        <v>#N/A</v>
      </c>
      <c r="BR376" t="e">
        <f t="shared" si="500"/>
        <v>#N/A</v>
      </c>
      <c r="BT376" s="60">
        <f t="shared" si="501"/>
        <v>0</v>
      </c>
      <c r="BU376" s="60">
        <f t="shared" si="502"/>
        <v>0</v>
      </c>
      <c r="BV376" s="60">
        <f t="shared" si="503"/>
        <v>0</v>
      </c>
      <c r="BW376" s="60">
        <f t="shared" si="504"/>
        <v>0</v>
      </c>
      <c r="BX376" s="60">
        <f t="shared" si="505"/>
        <v>0</v>
      </c>
      <c r="BY376" s="60">
        <f t="shared" si="506"/>
        <v>0</v>
      </c>
      <c r="BZ376" s="60">
        <f t="shared" si="507"/>
        <v>0</v>
      </c>
      <c r="CA376" s="60">
        <f t="shared" si="508"/>
        <v>0</v>
      </c>
      <c r="CB376" s="60" t="e">
        <f t="shared" si="458"/>
        <v>#N/A</v>
      </c>
      <c r="CC376" s="60">
        <f t="shared" si="459"/>
        <v>100000</v>
      </c>
      <c r="CD376" s="60" t="e">
        <f t="shared" si="460"/>
        <v>#N/A</v>
      </c>
      <c r="CE376" s="60">
        <f t="shared" si="461"/>
        <v>100000</v>
      </c>
      <c r="CF376" s="83" t="e">
        <f t="shared" si="509"/>
        <v>#N/A</v>
      </c>
      <c r="CG376" s="83">
        <f t="shared" si="510"/>
        <v>0</v>
      </c>
      <c r="CH376" s="83" t="e">
        <f t="shared" si="511"/>
        <v>#N/A</v>
      </c>
      <c r="CI376" s="83">
        <f t="shared" si="512"/>
        <v>0</v>
      </c>
      <c r="CJ376" s="86" t="e">
        <f t="shared" si="462"/>
        <v>#N/A</v>
      </c>
      <c r="CK376" s="82">
        <f t="shared" si="463"/>
        <v>5.3070370403969858E-3</v>
      </c>
      <c r="CL376" s="82" t="e">
        <f t="shared" si="464"/>
        <v>#N/A</v>
      </c>
      <c r="CM376" s="82">
        <f t="shared" si="465"/>
        <v>5.3070370403969858E-3</v>
      </c>
      <c r="CO376" s="149" t="str">
        <f>IF($I376&lt;&gt;"",IF(O376="User Specified",U376,INDEX('Refrigerant GWPs'!$G$2:$G$156,MATCH(O376,'Refrigerant GWPs'!$A$2:$A$156,0))),"")</f>
        <v/>
      </c>
      <c r="CP376" s="138" t="str">
        <f>IF($I376&lt;&gt;"",INDEX('Device Refrigerant Leakage'!$E$2:$E$42,MATCH($M376,'Device Refrigerant Leakage'!$B$2:$B$42,0)),"")</f>
        <v/>
      </c>
      <c r="CQ376" s="138" t="str">
        <f>IF($I376&lt;&gt;"",INDEX('Device Refrigerant Leakage'!$F$2:$F$42,MATCH($M376,'Device Refrigerant Leakage'!$B$2:$B$42,0)),"")</f>
        <v/>
      </c>
      <c r="CR376" s="145" t="str">
        <f>IF($I376&lt;&gt;"",INDEX('Device Refrigerant Leakage'!$G$2:$G$42,MATCH($M376,'Device Refrigerant Leakage'!$B$2:$B$42,0)),"")</f>
        <v/>
      </c>
      <c r="CS376" s="145" t="str">
        <f>IF($I376&lt;&gt;"",INDEX('Device Refrigerant Leakage'!$D$2:$D$42,MATCH($M376,'Device Refrigerant Leakage'!$B$2:$B$42,0))*CP376/2204.62*CO376,"")</f>
        <v/>
      </c>
      <c r="CT376" s="145" t="str">
        <f>IF($I376&lt;&gt;"",J376*(INDEX('Device Refrigerant Leakage'!$D$2:$D$42,MATCH($M376,'Device Refrigerant Leakage'!$B$2:$B$42,0))-(INDEX('Device Refrigerant Leakage'!$D$2:$D$42,MATCH($M376,'Device Refrigerant Leakage'!$B$2:$B$42,0)))*CR376*CP376)*CQ376/2204.62*CO376,"")</f>
        <v/>
      </c>
      <c r="CU376" s="135" t="str">
        <f>IF($I376&lt;&gt;"",J376*IF(W376&lt;&gt;"AR",(CS376*K376)+CT376,(CS376*AB376)+CT376*(AB376/INDEX('Device Refrigerant Leakage'!$C$2:$C$42,MATCH($M376,'Device Refrigerant Leakage'!$B$2:$B$42,0)))),"")</f>
        <v/>
      </c>
      <c r="CW376" s="135" t="str">
        <f>IF($I376&lt;&gt;"",IF(S376="User Specified",V376,INDEX('Refrigerant GWPs'!$G$2:$G$156,MATCH(S376,'Refrigerant GWPs'!$A$2:$A$157,0))),"")</f>
        <v/>
      </c>
      <c r="CX376" s="138" t="str">
        <f>IF($I376&lt;&gt;"",INDEX('Device Refrigerant Leakage'!$E$2:$E$42,MATCH($Q376,'Device Refrigerant Leakage'!$B$2:$B$42,0)),"")</f>
        <v/>
      </c>
      <c r="CY376" s="138" t="str">
        <f>IF($I376&lt;&gt;"",INDEX('Device Refrigerant Leakage'!$F$2:$F$42,MATCH($Q376,'Device Refrigerant Leakage'!$B$2:$B$42,0)),"")</f>
        <v/>
      </c>
      <c r="CZ376" s="145" t="str">
        <f>IF($I376&lt;&gt;"",INDEX('Device Refrigerant Leakage'!$G$2:$G$42,MATCH($Q376,'Device Refrigerant Leakage'!$B$2:$B$42,0)),"")</f>
        <v/>
      </c>
      <c r="DA376" s="145" t="str">
        <f>IF($I376&lt;&gt;"",J376*INDEX('Device Refrigerant Leakage'!$D$2:$D$42,MATCH($Q376,'Device Refrigerant Leakage'!$B$2:$B$42,0))*CX376/2204.62*CW376,"")</f>
        <v/>
      </c>
      <c r="DB376" s="145" t="str">
        <f>IF($I376&lt;&gt;"",J376*(INDEX('Device Refrigerant Leakage'!$D$2:$D$42,MATCH($Q376,'Device Refrigerant Leakage'!$B$2:$B$42,0))-(INDEX('Device Refrigerant Leakage'!$D$2:$D$42,MATCH($Q376,'Device Refrigerant Leakage'!$B$2:$B$42,0)))*CZ376*CX376)*CY376/2204.62*CW376,"")</f>
        <v/>
      </c>
      <c r="DC376" s="135" t="str">
        <f t="shared" si="484"/>
        <v/>
      </c>
      <c r="DE376" s="146" t="str">
        <f>IF(W376&lt;&gt;"AR","",IF(Y376="User Specified", AA376, INDEX('Refrigerant GWPs'!$G$2:$G$154,MATCH(Y376,'Refrigerant GWPs'!$A$2:$A$154,0))))</f>
        <v/>
      </c>
      <c r="DF376" s="146" t="str">
        <f>IF(W376&lt;&gt;"AR","",INDEX('Device Refrigerant Leakage'!$E$2:$E$42,MATCH(X376,'Device Refrigerant Leakage'!$B$2:$B$42,0)))</f>
        <v/>
      </c>
      <c r="DG376" s="146" t="str">
        <f>IF(W376&lt;&gt;"AR","",INDEX('Device Refrigerant Leakage'!$F$2:$F$42,MATCH(X376,'Device Refrigerant Leakage'!$B$2:$B$42,0)))</f>
        <v/>
      </c>
      <c r="DH376" s="146" t="str">
        <f>IF(W376&lt;&gt;"AR","",INDEX('Device Refrigerant Leakage'!$G$2:$G$42,MATCH(X376,'Device Refrigerant Leakage'!$B$2:$B$42,0)))</f>
        <v/>
      </c>
      <c r="DI376" s="146" t="str">
        <f>IF(W376&lt;&gt;"AR","",J376*INDEX('Device Refrigerant Leakage'!$D$2:$D$42,MATCH(X376,'Device Refrigerant Leakage'!$B$2:$B$42,0))*DF376/2204.62*DE376)</f>
        <v/>
      </c>
      <c r="DJ376" s="146" t="str">
        <f>IF(W376&lt;&gt;"AR","",J376*(INDEX('Device Refrigerant Leakage'!$D$2:$D$42,MATCH(X376,'Device Refrigerant Leakage'!$B$2:$B$42,0))-(INDEX('Device Refrigerant Leakage'!$D$2:$D$42,MATCH(X376,'Device Refrigerant Leakage'!$B$2:$B$42,0)))*DH376*DF376)*DG376/2204.62*DE376)</f>
        <v/>
      </c>
      <c r="DK376" s="146" t="str">
        <f>IF(W376&lt;&gt;"AR","",DI376*(K376-AB376)+'Fuel Sub Calcs-Deemed'!DJ376*((K376-AB376)/INDEX('Device Refrigerant Leakage'!$C$2:$C$42,MATCH('Fuel Sub Calcs-Deemed'!X376,'Device Refrigerant Leakage'!$B$2:$B$42,0))))</f>
        <v/>
      </c>
      <c r="DM376" s="56">
        <v>362</v>
      </c>
      <c r="DN376" s="67" t="e">
        <f t="shared" si="466"/>
        <v>#N/A</v>
      </c>
      <c r="DO376" s="45" t="e">
        <f t="shared" si="467"/>
        <v>#N/A</v>
      </c>
      <c r="DP376" s="67" t="e">
        <f t="shared" si="468"/>
        <v>#N/A</v>
      </c>
      <c r="DQ376" s="45" t="e">
        <f t="shared" si="469"/>
        <v>#N/A</v>
      </c>
      <c r="DR376" s="69" t="e">
        <f t="shared" si="470"/>
        <v>#N/A</v>
      </c>
      <c r="DS376" s="34"/>
      <c r="DT376" s="67" t="e">
        <f>((BX376*CJ376)+IF($W376=MAT_AR,(BZ376*CL376),0))*(1+Reference!$E$50+Reference!$E$51)</f>
        <v>#N/A</v>
      </c>
      <c r="DU376" s="67">
        <f>((BY376*CK376)+IF($W376=MAT_AR,(CA376*CM376),0))*(1+Reference!$G$50+Reference!$G$51)</f>
        <v>0</v>
      </c>
      <c r="DV376" s="67" t="e">
        <f t="shared" si="471"/>
        <v>#VALUE!</v>
      </c>
      <c r="DX376" s="56">
        <v>362</v>
      </c>
      <c r="DY376" s="67">
        <f t="shared" si="472"/>
        <v>0</v>
      </c>
      <c r="DZ376" s="45" t="e">
        <f>VLOOKUP($R376,Dropdown!$C$3:$D$4,2,FALSE)</f>
        <v>#N/A</v>
      </c>
      <c r="EA376" s="68">
        <f t="shared" si="473"/>
        <v>0</v>
      </c>
      <c r="EB376" s="68" t="str">
        <f t="shared" si="474"/>
        <v>N/A</v>
      </c>
      <c r="EC376" s="68">
        <f t="shared" si="475"/>
        <v>0</v>
      </c>
      <c r="ED376" s="68" t="str">
        <f t="shared" si="513"/>
        <v>N/A</v>
      </c>
      <c r="EF376" s="56">
        <v>362</v>
      </c>
      <c r="EG376" s="46">
        <f t="shared" si="476"/>
        <v>0</v>
      </c>
      <c r="EH376" s="68" t="e">
        <f t="shared" si="477"/>
        <v>#N/A</v>
      </c>
      <c r="EI376" s="68" t="e">
        <f t="shared" si="478"/>
        <v>#N/A</v>
      </c>
      <c r="EJ376" s="68" t="e">
        <f t="shared" si="479"/>
        <v>#N/A</v>
      </c>
      <c r="EK376" s="68" t="e">
        <f t="shared" si="480"/>
        <v>#N/A</v>
      </c>
      <c r="EL376" s="46">
        <f t="shared" si="481"/>
        <v>0</v>
      </c>
      <c r="EM376" s="46">
        <f t="shared" si="482"/>
        <v>0</v>
      </c>
    </row>
    <row r="377" spans="1:143">
      <c r="A377" s="89"/>
      <c r="B377" s="89"/>
      <c r="C377" s="89"/>
      <c r="D377" s="89"/>
      <c r="E377" s="89"/>
      <c r="F377" s="89"/>
      <c r="G377" s="34"/>
      <c r="H377" s="56">
        <f t="shared" si="483"/>
        <v>363</v>
      </c>
      <c r="I377" s="165"/>
      <c r="J377" s="163"/>
      <c r="K377" s="163"/>
      <c r="L377" s="164"/>
      <c r="M377" s="155"/>
      <c r="N377" s="155"/>
      <c r="O377" s="144"/>
      <c r="P377" s="159" t="str">
        <f>IFERROR(IF(O377&lt;&gt;"User Specified",IF(O377&lt;&gt;"", INDEX('Refrigerant GWPs'!$G$2:$G$154,MATCH(O377,'Refrigerant GWPs'!$A$2:$A$154,0)),""),U377),0)</f>
        <v/>
      </c>
      <c r="Q377" s="155"/>
      <c r="R377" s="155"/>
      <c r="S377" s="144"/>
      <c r="T377" s="159" t="str">
        <f>IF(S377&lt;&gt;"User Specified",IF(AND(S377&lt;&gt;"User Specified",S377&lt;&gt;""), INDEX('Refrigerant GWPs'!$G$2:$G$154,MATCH(S377,'Refrigerant GWPs'!$A$2:$A$154,0)),""),V377)</f>
        <v/>
      </c>
      <c r="U377" s="144"/>
      <c r="V377" s="144"/>
      <c r="W377" s="155"/>
      <c r="X377" s="155"/>
      <c r="Y377" s="144"/>
      <c r="Z377" s="159" t="str">
        <f>IF(AND(Y377&lt;&gt;"User Specified",Y377&lt;&gt;""), INDEX('Refrigerant GWPs'!$G$2:$G$154,MATCH(Y377,'Refrigerant GWPs'!$A$2:$A$154,0)),"")</f>
        <v/>
      </c>
      <c r="AA377" s="155"/>
      <c r="AB377" s="156"/>
      <c r="AC377" s="66"/>
      <c r="AD377" s="66"/>
      <c r="AE377" s="66"/>
      <c r="AF377" s="66"/>
      <c r="AG377" s="66"/>
      <c r="AH377" s="66"/>
      <c r="AI377" s="34"/>
      <c r="AJ377" s="88">
        <f t="shared" si="446"/>
        <v>0</v>
      </c>
      <c r="AK377" s="88">
        <f t="shared" si="447"/>
        <v>0</v>
      </c>
      <c r="AL377" s="88">
        <v>0</v>
      </c>
      <c r="AM377" s="88">
        <v>0</v>
      </c>
      <c r="AN377" s="81" t="str">
        <f t="shared" si="485"/>
        <v/>
      </c>
      <c r="AO377" s="88">
        <f t="shared" si="448"/>
        <v>0</v>
      </c>
      <c r="AP377" s="88">
        <f t="shared" si="449"/>
        <v>0</v>
      </c>
      <c r="AQ377" s="81" t="str">
        <f t="shared" si="450"/>
        <v/>
      </c>
      <c r="AS377" s="41" t="b">
        <f t="shared" si="451"/>
        <v>1</v>
      </c>
      <c r="AT377" s="38">
        <f t="shared" si="452"/>
        <v>0</v>
      </c>
      <c r="AU377" s="60">
        <f t="shared" si="453"/>
        <v>0</v>
      </c>
      <c r="AV377" s="41">
        <f t="shared" si="454"/>
        <v>0</v>
      </c>
      <c r="AW377" s="41" t="b">
        <f t="shared" si="455"/>
        <v>0</v>
      </c>
      <c r="AX377" t="str">
        <f t="shared" si="456"/>
        <v>+00</v>
      </c>
      <c r="AY377" t="str">
        <f t="shared" si="457"/>
        <v>+00</v>
      </c>
      <c r="BA377" s="47" t="b">
        <f t="shared" si="486"/>
        <v>1</v>
      </c>
      <c r="BB377" s="42" t="b">
        <f t="shared" si="487"/>
        <v>1</v>
      </c>
      <c r="BC377" s="42" t="b">
        <f t="shared" si="488"/>
        <v>0</v>
      </c>
      <c r="BD377" s="42" t="b">
        <f t="shared" si="489"/>
        <v>0</v>
      </c>
      <c r="BE377" s="70">
        <f t="shared" si="490"/>
        <v>0</v>
      </c>
      <c r="BF377" s="70">
        <f t="shared" si="491"/>
        <v>0</v>
      </c>
      <c r="BG377" s="34"/>
      <c r="BI377" s="47" t="b">
        <f t="shared" si="492"/>
        <v>1</v>
      </c>
      <c r="BJ377" s="47" t="b">
        <f t="shared" si="493"/>
        <v>1</v>
      </c>
      <c r="BK377" s="42" t="b">
        <f t="shared" si="494"/>
        <v>0</v>
      </c>
      <c r="BL377" s="42" t="b">
        <f t="shared" si="495"/>
        <v>0</v>
      </c>
      <c r="BM377" s="42">
        <f t="shared" si="496"/>
        <v>0</v>
      </c>
      <c r="BN377" s="42">
        <f t="shared" si="497"/>
        <v>0</v>
      </c>
      <c r="BP377" t="e">
        <f t="shared" si="498"/>
        <v>#N/A</v>
      </c>
      <c r="BQ377" t="e">
        <f t="shared" si="499"/>
        <v>#N/A</v>
      </c>
      <c r="BR377" t="e">
        <f t="shared" si="500"/>
        <v>#N/A</v>
      </c>
      <c r="BT377" s="60">
        <f t="shared" si="501"/>
        <v>0</v>
      </c>
      <c r="BU377" s="60">
        <f t="shared" si="502"/>
        <v>0</v>
      </c>
      <c r="BV377" s="60">
        <f t="shared" si="503"/>
        <v>0</v>
      </c>
      <c r="BW377" s="60">
        <f t="shared" si="504"/>
        <v>0</v>
      </c>
      <c r="BX377" s="60">
        <f t="shared" si="505"/>
        <v>0</v>
      </c>
      <c r="BY377" s="60">
        <f t="shared" si="506"/>
        <v>0</v>
      </c>
      <c r="BZ377" s="60">
        <f t="shared" si="507"/>
        <v>0</v>
      </c>
      <c r="CA377" s="60">
        <f t="shared" si="508"/>
        <v>0</v>
      </c>
      <c r="CB377" s="60" t="e">
        <f t="shared" si="458"/>
        <v>#N/A</v>
      </c>
      <c r="CC377" s="60">
        <f t="shared" si="459"/>
        <v>100000</v>
      </c>
      <c r="CD377" s="60" t="e">
        <f t="shared" si="460"/>
        <v>#N/A</v>
      </c>
      <c r="CE377" s="60">
        <f t="shared" si="461"/>
        <v>100000</v>
      </c>
      <c r="CF377" s="83" t="e">
        <f t="shared" si="509"/>
        <v>#N/A</v>
      </c>
      <c r="CG377" s="83">
        <f t="shared" si="510"/>
        <v>0</v>
      </c>
      <c r="CH377" s="83" t="e">
        <f t="shared" si="511"/>
        <v>#N/A</v>
      </c>
      <c r="CI377" s="83">
        <f t="shared" si="512"/>
        <v>0</v>
      </c>
      <c r="CJ377" s="86" t="e">
        <f t="shared" si="462"/>
        <v>#N/A</v>
      </c>
      <c r="CK377" s="82">
        <f t="shared" si="463"/>
        <v>5.3070370403969858E-3</v>
      </c>
      <c r="CL377" s="82" t="e">
        <f t="shared" si="464"/>
        <v>#N/A</v>
      </c>
      <c r="CM377" s="82">
        <f t="shared" si="465"/>
        <v>5.3070370403969858E-3</v>
      </c>
      <c r="CO377" s="149" t="str">
        <f>IF($I377&lt;&gt;"",IF(O377="User Specified",U377,INDEX('Refrigerant GWPs'!$G$2:$G$156,MATCH(O377,'Refrigerant GWPs'!$A$2:$A$156,0))),"")</f>
        <v/>
      </c>
      <c r="CP377" s="138" t="str">
        <f>IF($I377&lt;&gt;"",INDEX('Device Refrigerant Leakage'!$E$2:$E$42,MATCH($M377,'Device Refrigerant Leakage'!$B$2:$B$42,0)),"")</f>
        <v/>
      </c>
      <c r="CQ377" s="138" t="str">
        <f>IF($I377&lt;&gt;"",INDEX('Device Refrigerant Leakage'!$F$2:$F$42,MATCH($M377,'Device Refrigerant Leakage'!$B$2:$B$42,0)),"")</f>
        <v/>
      </c>
      <c r="CR377" s="145" t="str">
        <f>IF($I377&lt;&gt;"",INDEX('Device Refrigerant Leakage'!$G$2:$G$42,MATCH($M377,'Device Refrigerant Leakage'!$B$2:$B$42,0)),"")</f>
        <v/>
      </c>
      <c r="CS377" s="145" t="str">
        <f>IF($I377&lt;&gt;"",INDEX('Device Refrigerant Leakage'!$D$2:$D$42,MATCH($M377,'Device Refrigerant Leakage'!$B$2:$B$42,0))*CP377/2204.62*CO377,"")</f>
        <v/>
      </c>
      <c r="CT377" s="145" t="str">
        <f>IF($I377&lt;&gt;"",J377*(INDEX('Device Refrigerant Leakage'!$D$2:$D$42,MATCH($M377,'Device Refrigerant Leakage'!$B$2:$B$42,0))-(INDEX('Device Refrigerant Leakage'!$D$2:$D$42,MATCH($M377,'Device Refrigerant Leakage'!$B$2:$B$42,0)))*CR377*CP377)*CQ377/2204.62*CO377,"")</f>
        <v/>
      </c>
      <c r="CU377" s="135" t="str">
        <f>IF($I377&lt;&gt;"",J377*IF(W377&lt;&gt;"AR",(CS377*K377)+CT377,(CS377*AB377)+CT377*(AB377/INDEX('Device Refrigerant Leakage'!$C$2:$C$42,MATCH($M377,'Device Refrigerant Leakage'!$B$2:$B$42,0)))),"")</f>
        <v/>
      </c>
      <c r="CW377" s="135" t="str">
        <f>IF($I377&lt;&gt;"",IF(S377="User Specified",V377,INDEX('Refrigerant GWPs'!$G$2:$G$156,MATCH(S377,'Refrigerant GWPs'!$A$2:$A$157,0))),"")</f>
        <v/>
      </c>
      <c r="CX377" s="138" t="str">
        <f>IF($I377&lt;&gt;"",INDEX('Device Refrigerant Leakage'!$E$2:$E$42,MATCH($Q377,'Device Refrigerant Leakage'!$B$2:$B$42,0)),"")</f>
        <v/>
      </c>
      <c r="CY377" s="138" t="str">
        <f>IF($I377&lt;&gt;"",INDEX('Device Refrigerant Leakage'!$F$2:$F$42,MATCH($Q377,'Device Refrigerant Leakage'!$B$2:$B$42,0)),"")</f>
        <v/>
      </c>
      <c r="CZ377" s="145" t="str">
        <f>IF($I377&lt;&gt;"",INDEX('Device Refrigerant Leakage'!$G$2:$G$42,MATCH($Q377,'Device Refrigerant Leakage'!$B$2:$B$42,0)),"")</f>
        <v/>
      </c>
      <c r="DA377" s="145" t="str">
        <f>IF($I377&lt;&gt;"",J377*INDEX('Device Refrigerant Leakage'!$D$2:$D$42,MATCH($Q377,'Device Refrigerant Leakage'!$B$2:$B$42,0))*CX377/2204.62*CW377,"")</f>
        <v/>
      </c>
      <c r="DB377" s="145" t="str">
        <f>IF($I377&lt;&gt;"",J377*(INDEX('Device Refrigerant Leakage'!$D$2:$D$42,MATCH($Q377,'Device Refrigerant Leakage'!$B$2:$B$42,0))-(INDEX('Device Refrigerant Leakage'!$D$2:$D$42,MATCH($Q377,'Device Refrigerant Leakage'!$B$2:$B$42,0)))*CZ377*CX377)*CY377/2204.62*CW377,"")</f>
        <v/>
      </c>
      <c r="DC377" s="135" t="str">
        <f t="shared" si="484"/>
        <v/>
      </c>
      <c r="DE377" s="146" t="str">
        <f>IF(W377&lt;&gt;"AR","",IF(Y377="User Specified", AA377, INDEX('Refrigerant GWPs'!$G$2:$G$154,MATCH(Y377,'Refrigerant GWPs'!$A$2:$A$154,0))))</f>
        <v/>
      </c>
      <c r="DF377" s="146" t="str">
        <f>IF(W377&lt;&gt;"AR","",INDEX('Device Refrigerant Leakage'!$E$2:$E$42,MATCH(X377,'Device Refrigerant Leakage'!$B$2:$B$42,0)))</f>
        <v/>
      </c>
      <c r="DG377" s="146" t="str">
        <f>IF(W377&lt;&gt;"AR","",INDEX('Device Refrigerant Leakage'!$F$2:$F$42,MATCH(X377,'Device Refrigerant Leakage'!$B$2:$B$42,0)))</f>
        <v/>
      </c>
      <c r="DH377" s="146" t="str">
        <f>IF(W377&lt;&gt;"AR","",INDEX('Device Refrigerant Leakage'!$G$2:$G$42,MATCH(X377,'Device Refrigerant Leakage'!$B$2:$B$42,0)))</f>
        <v/>
      </c>
      <c r="DI377" s="146" t="str">
        <f>IF(W377&lt;&gt;"AR","",J377*INDEX('Device Refrigerant Leakage'!$D$2:$D$42,MATCH(X377,'Device Refrigerant Leakage'!$B$2:$B$42,0))*DF377/2204.62*DE377)</f>
        <v/>
      </c>
      <c r="DJ377" s="146" t="str">
        <f>IF(W377&lt;&gt;"AR","",J377*(INDEX('Device Refrigerant Leakage'!$D$2:$D$42,MATCH(X377,'Device Refrigerant Leakage'!$B$2:$B$42,0))-(INDEX('Device Refrigerant Leakage'!$D$2:$D$42,MATCH(X377,'Device Refrigerant Leakage'!$B$2:$B$42,0)))*DH377*DF377)*DG377/2204.62*DE377)</f>
        <v/>
      </c>
      <c r="DK377" s="146" t="str">
        <f>IF(W377&lt;&gt;"AR","",DI377*(K377-AB377)+'Fuel Sub Calcs-Deemed'!DJ377*((K377-AB377)/INDEX('Device Refrigerant Leakage'!$C$2:$C$42,MATCH('Fuel Sub Calcs-Deemed'!X377,'Device Refrigerant Leakage'!$B$2:$B$42,0))))</f>
        <v/>
      </c>
      <c r="DM377" s="56">
        <v>363</v>
      </c>
      <c r="DN377" s="67" t="e">
        <f t="shared" si="466"/>
        <v>#N/A</v>
      </c>
      <c r="DO377" s="45" t="e">
        <f t="shared" si="467"/>
        <v>#N/A</v>
      </c>
      <c r="DP377" s="67" t="e">
        <f t="shared" si="468"/>
        <v>#N/A</v>
      </c>
      <c r="DQ377" s="45" t="e">
        <f t="shared" si="469"/>
        <v>#N/A</v>
      </c>
      <c r="DR377" s="69" t="e">
        <f t="shared" si="470"/>
        <v>#N/A</v>
      </c>
      <c r="DS377" s="34"/>
      <c r="DT377" s="67" t="e">
        <f>((BX377*CJ377)+IF($W377=MAT_AR,(BZ377*CL377),0))*(1+Reference!$E$50+Reference!$E$51)</f>
        <v>#N/A</v>
      </c>
      <c r="DU377" s="67">
        <f>((BY377*CK377)+IF($W377=MAT_AR,(CA377*CM377),0))*(1+Reference!$G$50+Reference!$G$51)</f>
        <v>0</v>
      </c>
      <c r="DV377" s="67" t="e">
        <f t="shared" si="471"/>
        <v>#VALUE!</v>
      </c>
      <c r="DX377" s="56">
        <v>363</v>
      </c>
      <c r="DY377" s="67">
        <f t="shared" si="472"/>
        <v>0</v>
      </c>
      <c r="DZ377" s="45" t="e">
        <f>VLOOKUP($R377,Dropdown!$C$3:$D$4,2,FALSE)</f>
        <v>#N/A</v>
      </c>
      <c r="EA377" s="68">
        <f t="shared" si="473"/>
        <v>0</v>
      </c>
      <c r="EB377" s="68" t="str">
        <f t="shared" si="474"/>
        <v>N/A</v>
      </c>
      <c r="EC377" s="68">
        <f t="shared" si="475"/>
        <v>0</v>
      </c>
      <c r="ED377" s="68" t="str">
        <f t="shared" si="513"/>
        <v>N/A</v>
      </c>
      <c r="EF377" s="56">
        <v>363</v>
      </c>
      <c r="EG377" s="46">
        <f t="shared" si="476"/>
        <v>0</v>
      </c>
      <c r="EH377" s="68" t="e">
        <f t="shared" si="477"/>
        <v>#N/A</v>
      </c>
      <c r="EI377" s="68" t="e">
        <f t="shared" si="478"/>
        <v>#N/A</v>
      </c>
      <c r="EJ377" s="68" t="e">
        <f t="shared" si="479"/>
        <v>#N/A</v>
      </c>
      <c r="EK377" s="68" t="e">
        <f t="shared" si="480"/>
        <v>#N/A</v>
      </c>
      <c r="EL377" s="46">
        <f t="shared" si="481"/>
        <v>0</v>
      </c>
      <c r="EM377" s="46">
        <f t="shared" si="482"/>
        <v>0</v>
      </c>
    </row>
    <row r="378" spans="1:143">
      <c r="A378" s="89"/>
      <c r="B378" s="89"/>
      <c r="C378" s="89"/>
      <c r="D378" s="89"/>
      <c r="E378" s="89"/>
      <c r="F378" s="89"/>
      <c r="G378" s="34"/>
      <c r="H378" s="56">
        <f t="shared" si="483"/>
        <v>364</v>
      </c>
      <c r="I378" s="165"/>
      <c r="J378" s="163"/>
      <c r="K378" s="163"/>
      <c r="L378" s="164"/>
      <c r="M378" s="155"/>
      <c r="N378" s="155"/>
      <c r="O378" s="144"/>
      <c r="P378" s="159" t="str">
        <f>IFERROR(IF(O378&lt;&gt;"User Specified",IF(O378&lt;&gt;"", INDEX('Refrigerant GWPs'!$G$2:$G$154,MATCH(O378,'Refrigerant GWPs'!$A$2:$A$154,0)),""),U378),0)</f>
        <v/>
      </c>
      <c r="Q378" s="155"/>
      <c r="R378" s="155"/>
      <c r="S378" s="144"/>
      <c r="T378" s="159" t="str">
        <f>IF(S378&lt;&gt;"User Specified",IF(AND(S378&lt;&gt;"User Specified",S378&lt;&gt;""), INDEX('Refrigerant GWPs'!$G$2:$G$154,MATCH(S378,'Refrigerant GWPs'!$A$2:$A$154,0)),""),V378)</f>
        <v/>
      </c>
      <c r="U378" s="144"/>
      <c r="V378" s="144"/>
      <c r="W378" s="155"/>
      <c r="X378" s="155"/>
      <c r="Y378" s="144"/>
      <c r="Z378" s="159" t="str">
        <f>IF(AND(Y378&lt;&gt;"User Specified",Y378&lt;&gt;""), INDEX('Refrigerant GWPs'!$G$2:$G$154,MATCH(Y378,'Refrigerant GWPs'!$A$2:$A$154,0)),"")</f>
        <v/>
      </c>
      <c r="AA378" s="155"/>
      <c r="AB378" s="156"/>
      <c r="AC378" s="66"/>
      <c r="AD378" s="66"/>
      <c r="AE378" s="66"/>
      <c r="AF378" s="66"/>
      <c r="AG378" s="66"/>
      <c r="AH378" s="66"/>
      <c r="AI378" s="34"/>
      <c r="AJ378" s="88">
        <f t="shared" si="446"/>
        <v>0</v>
      </c>
      <c r="AK378" s="88">
        <f t="shared" si="447"/>
        <v>0</v>
      </c>
      <c r="AL378" s="88">
        <v>0</v>
      </c>
      <c r="AM378" s="88">
        <v>0</v>
      </c>
      <c r="AN378" s="81" t="str">
        <f t="shared" si="485"/>
        <v/>
      </c>
      <c r="AO378" s="88">
        <f t="shared" si="448"/>
        <v>0</v>
      </c>
      <c r="AP378" s="88">
        <f t="shared" si="449"/>
        <v>0</v>
      </c>
      <c r="AQ378" s="81" t="str">
        <f t="shared" si="450"/>
        <v/>
      </c>
      <c r="AS378" s="41" t="b">
        <f t="shared" si="451"/>
        <v>1</v>
      </c>
      <c r="AT378" s="38">
        <f t="shared" si="452"/>
        <v>0</v>
      </c>
      <c r="AU378" s="60">
        <f t="shared" si="453"/>
        <v>0</v>
      </c>
      <c r="AV378" s="41">
        <f t="shared" si="454"/>
        <v>0</v>
      </c>
      <c r="AW378" s="41" t="b">
        <f t="shared" si="455"/>
        <v>0</v>
      </c>
      <c r="AX378" t="str">
        <f t="shared" si="456"/>
        <v>+00</v>
      </c>
      <c r="AY378" t="str">
        <f t="shared" si="457"/>
        <v>+00</v>
      </c>
      <c r="BA378" s="47" t="b">
        <f t="shared" si="486"/>
        <v>1</v>
      </c>
      <c r="BB378" s="42" t="b">
        <f t="shared" si="487"/>
        <v>1</v>
      </c>
      <c r="BC378" s="42" t="b">
        <f t="shared" si="488"/>
        <v>0</v>
      </c>
      <c r="BD378" s="42" t="b">
        <f t="shared" si="489"/>
        <v>0</v>
      </c>
      <c r="BE378" s="70">
        <f t="shared" si="490"/>
        <v>0</v>
      </c>
      <c r="BF378" s="70">
        <f t="shared" si="491"/>
        <v>0</v>
      </c>
      <c r="BG378" s="34"/>
      <c r="BI378" s="47" t="b">
        <f t="shared" si="492"/>
        <v>1</v>
      </c>
      <c r="BJ378" s="47" t="b">
        <f t="shared" si="493"/>
        <v>1</v>
      </c>
      <c r="BK378" s="42" t="b">
        <f t="shared" si="494"/>
        <v>0</v>
      </c>
      <c r="BL378" s="42" t="b">
        <f t="shared" si="495"/>
        <v>0</v>
      </c>
      <c r="BM378" s="42">
        <f t="shared" si="496"/>
        <v>0</v>
      </c>
      <c r="BN378" s="42">
        <f t="shared" si="497"/>
        <v>0</v>
      </c>
      <c r="BP378" t="e">
        <f t="shared" si="498"/>
        <v>#N/A</v>
      </c>
      <c r="BQ378" t="e">
        <f t="shared" si="499"/>
        <v>#N/A</v>
      </c>
      <c r="BR378" t="e">
        <f t="shared" si="500"/>
        <v>#N/A</v>
      </c>
      <c r="BT378" s="60">
        <f t="shared" si="501"/>
        <v>0</v>
      </c>
      <c r="BU378" s="60">
        <f t="shared" si="502"/>
        <v>0</v>
      </c>
      <c r="BV378" s="60">
        <f t="shared" si="503"/>
        <v>0</v>
      </c>
      <c r="BW378" s="60">
        <f t="shared" si="504"/>
        <v>0</v>
      </c>
      <c r="BX378" s="60">
        <f t="shared" si="505"/>
        <v>0</v>
      </c>
      <c r="BY378" s="60">
        <f t="shared" si="506"/>
        <v>0</v>
      </c>
      <c r="BZ378" s="60">
        <f t="shared" si="507"/>
        <v>0</v>
      </c>
      <c r="CA378" s="60">
        <f t="shared" si="508"/>
        <v>0</v>
      </c>
      <c r="CB378" s="60" t="e">
        <f t="shared" si="458"/>
        <v>#N/A</v>
      </c>
      <c r="CC378" s="60">
        <f t="shared" si="459"/>
        <v>100000</v>
      </c>
      <c r="CD378" s="60" t="e">
        <f t="shared" si="460"/>
        <v>#N/A</v>
      </c>
      <c r="CE378" s="60">
        <f t="shared" si="461"/>
        <v>100000</v>
      </c>
      <c r="CF378" s="83" t="e">
        <f t="shared" si="509"/>
        <v>#N/A</v>
      </c>
      <c r="CG378" s="83">
        <f t="shared" si="510"/>
        <v>0</v>
      </c>
      <c r="CH378" s="83" t="e">
        <f t="shared" si="511"/>
        <v>#N/A</v>
      </c>
      <c r="CI378" s="83">
        <f t="shared" si="512"/>
        <v>0</v>
      </c>
      <c r="CJ378" s="86" t="e">
        <f t="shared" si="462"/>
        <v>#N/A</v>
      </c>
      <c r="CK378" s="82">
        <f t="shared" si="463"/>
        <v>5.3070370403969858E-3</v>
      </c>
      <c r="CL378" s="82" t="e">
        <f t="shared" si="464"/>
        <v>#N/A</v>
      </c>
      <c r="CM378" s="82">
        <f t="shared" si="465"/>
        <v>5.3070370403969858E-3</v>
      </c>
      <c r="CO378" s="149" t="str">
        <f>IF($I378&lt;&gt;"",IF(O378="User Specified",U378,INDEX('Refrigerant GWPs'!$G$2:$G$156,MATCH(O378,'Refrigerant GWPs'!$A$2:$A$156,0))),"")</f>
        <v/>
      </c>
      <c r="CP378" s="138" t="str">
        <f>IF($I378&lt;&gt;"",INDEX('Device Refrigerant Leakage'!$E$2:$E$42,MATCH($M378,'Device Refrigerant Leakage'!$B$2:$B$42,0)),"")</f>
        <v/>
      </c>
      <c r="CQ378" s="138" t="str">
        <f>IF($I378&lt;&gt;"",INDEX('Device Refrigerant Leakage'!$F$2:$F$42,MATCH($M378,'Device Refrigerant Leakage'!$B$2:$B$42,0)),"")</f>
        <v/>
      </c>
      <c r="CR378" s="145" t="str">
        <f>IF($I378&lt;&gt;"",INDEX('Device Refrigerant Leakage'!$G$2:$G$42,MATCH($M378,'Device Refrigerant Leakage'!$B$2:$B$42,0)),"")</f>
        <v/>
      </c>
      <c r="CS378" s="145" t="str">
        <f>IF($I378&lt;&gt;"",INDEX('Device Refrigerant Leakage'!$D$2:$D$42,MATCH($M378,'Device Refrigerant Leakage'!$B$2:$B$42,0))*CP378/2204.62*CO378,"")</f>
        <v/>
      </c>
      <c r="CT378" s="145" t="str">
        <f>IF($I378&lt;&gt;"",J378*(INDEX('Device Refrigerant Leakage'!$D$2:$D$42,MATCH($M378,'Device Refrigerant Leakage'!$B$2:$B$42,0))-(INDEX('Device Refrigerant Leakage'!$D$2:$D$42,MATCH($M378,'Device Refrigerant Leakage'!$B$2:$B$42,0)))*CR378*CP378)*CQ378/2204.62*CO378,"")</f>
        <v/>
      </c>
      <c r="CU378" s="135" t="str">
        <f>IF($I378&lt;&gt;"",J378*IF(W378&lt;&gt;"AR",(CS378*K378)+CT378,(CS378*AB378)+CT378*(AB378/INDEX('Device Refrigerant Leakage'!$C$2:$C$42,MATCH($M378,'Device Refrigerant Leakage'!$B$2:$B$42,0)))),"")</f>
        <v/>
      </c>
      <c r="CW378" s="135" t="str">
        <f>IF($I378&lt;&gt;"",IF(S378="User Specified",V378,INDEX('Refrigerant GWPs'!$G$2:$G$156,MATCH(S378,'Refrigerant GWPs'!$A$2:$A$157,0))),"")</f>
        <v/>
      </c>
      <c r="CX378" s="138" t="str">
        <f>IF($I378&lt;&gt;"",INDEX('Device Refrigerant Leakage'!$E$2:$E$42,MATCH($Q378,'Device Refrigerant Leakage'!$B$2:$B$42,0)),"")</f>
        <v/>
      </c>
      <c r="CY378" s="138" t="str">
        <f>IF($I378&lt;&gt;"",INDEX('Device Refrigerant Leakage'!$F$2:$F$42,MATCH($Q378,'Device Refrigerant Leakage'!$B$2:$B$42,0)),"")</f>
        <v/>
      </c>
      <c r="CZ378" s="145" t="str">
        <f>IF($I378&lt;&gt;"",INDEX('Device Refrigerant Leakage'!$G$2:$G$42,MATCH($Q378,'Device Refrigerant Leakage'!$B$2:$B$42,0)),"")</f>
        <v/>
      </c>
      <c r="DA378" s="145" t="str">
        <f>IF($I378&lt;&gt;"",J378*INDEX('Device Refrigerant Leakage'!$D$2:$D$42,MATCH($Q378,'Device Refrigerant Leakage'!$B$2:$B$42,0))*CX378/2204.62*CW378,"")</f>
        <v/>
      </c>
      <c r="DB378" s="145" t="str">
        <f>IF($I378&lt;&gt;"",J378*(INDEX('Device Refrigerant Leakage'!$D$2:$D$42,MATCH($Q378,'Device Refrigerant Leakage'!$B$2:$B$42,0))-(INDEX('Device Refrigerant Leakage'!$D$2:$D$42,MATCH($Q378,'Device Refrigerant Leakage'!$B$2:$B$42,0)))*CZ378*CX378)*CY378/2204.62*CW378,"")</f>
        <v/>
      </c>
      <c r="DC378" s="135" t="str">
        <f t="shared" si="484"/>
        <v/>
      </c>
      <c r="DE378" s="146" t="str">
        <f>IF(W378&lt;&gt;"AR","",IF(Y378="User Specified", AA378, INDEX('Refrigerant GWPs'!$G$2:$G$154,MATCH(Y378,'Refrigerant GWPs'!$A$2:$A$154,0))))</f>
        <v/>
      </c>
      <c r="DF378" s="146" t="str">
        <f>IF(W378&lt;&gt;"AR","",INDEX('Device Refrigerant Leakage'!$E$2:$E$42,MATCH(X378,'Device Refrigerant Leakage'!$B$2:$B$42,0)))</f>
        <v/>
      </c>
      <c r="DG378" s="146" t="str">
        <f>IF(W378&lt;&gt;"AR","",INDEX('Device Refrigerant Leakage'!$F$2:$F$42,MATCH(X378,'Device Refrigerant Leakage'!$B$2:$B$42,0)))</f>
        <v/>
      </c>
      <c r="DH378" s="146" t="str">
        <f>IF(W378&lt;&gt;"AR","",INDEX('Device Refrigerant Leakage'!$G$2:$G$42,MATCH(X378,'Device Refrigerant Leakage'!$B$2:$B$42,0)))</f>
        <v/>
      </c>
      <c r="DI378" s="146" t="str">
        <f>IF(W378&lt;&gt;"AR","",J378*INDEX('Device Refrigerant Leakage'!$D$2:$D$42,MATCH(X378,'Device Refrigerant Leakage'!$B$2:$B$42,0))*DF378/2204.62*DE378)</f>
        <v/>
      </c>
      <c r="DJ378" s="146" t="str">
        <f>IF(W378&lt;&gt;"AR","",J378*(INDEX('Device Refrigerant Leakage'!$D$2:$D$42,MATCH(X378,'Device Refrigerant Leakage'!$B$2:$B$42,0))-(INDEX('Device Refrigerant Leakage'!$D$2:$D$42,MATCH(X378,'Device Refrigerant Leakage'!$B$2:$B$42,0)))*DH378*DF378)*DG378/2204.62*DE378)</f>
        <v/>
      </c>
      <c r="DK378" s="146" t="str">
        <f>IF(W378&lt;&gt;"AR","",DI378*(K378-AB378)+'Fuel Sub Calcs-Deemed'!DJ378*((K378-AB378)/INDEX('Device Refrigerant Leakage'!$C$2:$C$42,MATCH('Fuel Sub Calcs-Deemed'!X378,'Device Refrigerant Leakage'!$B$2:$B$42,0))))</f>
        <v/>
      </c>
      <c r="DM378" s="56">
        <v>364</v>
      </c>
      <c r="DN378" s="67" t="e">
        <f t="shared" si="466"/>
        <v>#N/A</v>
      </c>
      <c r="DO378" s="45" t="e">
        <f t="shared" si="467"/>
        <v>#N/A</v>
      </c>
      <c r="DP378" s="67" t="e">
        <f t="shared" si="468"/>
        <v>#N/A</v>
      </c>
      <c r="DQ378" s="45" t="e">
        <f t="shared" si="469"/>
        <v>#N/A</v>
      </c>
      <c r="DR378" s="69" t="e">
        <f t="shared" si="470"/>
        <v>#N/A</v>
      </c>
      <c r="DS378" s="34"/>
      <c r="DT378" s="67" t="e">
        <f>((BX378*CJ378)+IF($W378=MAT_AR,(BZ378*CL378),0))*(1+Reference!$E$50+Reference!$E$51)</f>
        <v>#N/A</v>
      </c>
      <c r="DU378" s="67">
        <f>((BY378*CK378)+IF($W378=MAT_AR,(CA378*CM378),0))*(1+Reference!$G$50+Reference!$G$51)</f>
        <v>0</v>
      </c>
      <c r="DV378" s="67" t="e">
        <f t="shared" si="471"/>
        <v>#VALUE!</v>
      </c>
      <c r="DX378" s="56">
        <v>364</v>
      </c>
      <c r="DY378" s="67">
        <f t="shared" si="472"/>
        <v>0</v>
      </c>
      <c r="DZ378" s="45" t="e">
        <f>VLOOKUP($R378,Dropdown!$C$3:$D$4,2,FALSE)</f>
        <v>#N/A</v>
      </c>
      <c r="EA378" s="68">
        <f t="shared" si="473"/>
        <v>0</v>
      </c>
      <c r="EB378" s="68" t="str">
        <f t="shared" si="474"/>
        <v>N/A</v>
      </c>
      <c r="EC378" s="68">
        <f t="shared" si="475"/>
        <v>0</v>
      </c>
      <c r="ED378" s="68" t="str">
        <f t="shared" si="513"/>
        <v>N/A</v>
      </c>
      <c r="EF378" s="56">
        <v>364</v>
      </c>
      <c r="EG378" s="46">
        <f t="shared" si="476"/>
        <v>0</v>
      </c>
      <c r="EH378" s="68" t="e">
        <f t="shared" si="477"/>
        <v>#N/A</v>
      </c>
      <c r="EI378" s="68" t="e">
        <f t="shared" si="478"/>
        <v>#N/A</v>
      </c>
      <c r="EJ378" s="68" t="e">
        <f t="shared" si="479"/>
        <v>#N/A</v>
      </c>
      <c r="EK378" s="68" t="e">
        <f t="shared" si="480"/>
        <v>#N/A</v>
      </c>
      <c r="EL378" s="46">
        <f t="shared" si="481"/>
        <v>0</v>
      </c>
      <c r="EM378" s="46">
        <f t="shared" si="482"/>
        <v>0</v>
      </c>
    </row>
    <row r="379" spans="1:143">
      <c r="A379" s="89"/>
      <c r="B379" s="89"/>
      <c r="C379" s="89"/>
      <c r="D379" s="89"/>
      <c r="E379" s="89"/>
      <c r="F379" s="89"/>
      <c r="G379" s="34"/>
      <c r="H379" s="56">
        <f t="shared" si="483"/>
        <v>365</v>
      </c>
      <c r="I379" s="165"/>
      <c r="J379" s="163"/>
      <c r="K379" s="163"/>
      <c r="L379" s="164"/>
      <c r="M379" s="155"/>
      <c r="N379" s="155"/>
      <c r="O379" s="144"/>
      <c r="P379" s="159" t="str">
        <f>IFERROR(IF(O379&lt;&gt;"User Specified",IF(O379&lt;&gt;"", INDEX('Refrigerant GWPs'!$G$2:$G$154,MATCH(O379,'Refrigerant GWPs'!$A$2:$A$154,0)),""),U379),0)</f>
        <v/>
      </c>
      <c r="Q379" s="155"/>
      <c r="R379" s="155"/>
      <c r="S379" s="144"/>
      <c r="T379" s="159" t="str">
        <f>IF(S379&lt;&gt;"User Specified",IF(AND(S379&lt;&gt;"User Specified",S379&lt;&gt;""), INDEX('Refrigerant GWPs'!$G$2:$G$154,MATCH(S379,'Refrigerant GWPs'!$A$2:$A$154,0)),""),V379)</f>
        <v/>
      </c>
      <c r="U379" s="144"/>
      <c r="V379" s="144"/>
      <c r="W379" s="155"/>
      <c r="X379" s="155"/>
      <c r="Y379" s="144"/>
      <c r="Z379" s="159" t="str">
        <f>IF(AND(Y379&lt;&gt;"User Specified",Y379&lt;&gt;""), INDEX('Refrigerant GWPs'!$G$2:$G$154,MATCH(Y379,'Refrigerant GWPs'!$A$2:$A$154,0)),"")</f>
        <v/>
      </c>
      <c r="AA379" s="155"/>
      <c r="AB379" s="156"/>
      <c r="AC379" s="66"/>
      <c r="AD379" s="66"/>
      <c r="AE379" s="66"/>
      <c r="AF379" s="66"/>
      <c r="AG379" s="66"/>
      <c r="AH379" s="66"/>
      <c r="AI379" s="34"/>
      <c r="AJ379" s="88">
        <f t="shared" si="446"/>
        <v>0</v>
      </c>
      <c r="AK379" s="88">
        <f t="shared" si="447"/>
        <v>0</v>
      </c>
      <c r="AL379" s="88">
        <v>0</v>
      </c>
      <c r="AM379" s="88">
        <v>0</v>
      </c>
      <c r="AN379" s="81" t="str">
        <f t="shared" si="485"/>
        <v/>
      </c>
      <c r="AO379" s="88">
        <f t="shared" si="448"/>
        <v>0</v>
      </c>
      <c r="AP379" s="88">
        <f t="shared" si="449"/>
        <v>0</v>
      </c>
      <c r="AQ379" s="81" t="str">
        <f t="shared" si="450"/>
        <v/>
      </c>
      <c r="AS379" s="41" t="b">
        <f t="shared" si="451"/>
        <v>1</v>
      </c>
      <c r="AT379" s="38">
        <f t="shared" si="452"/>
        <v>0</v>
      </c>
      <c r="AU379" s="60">
        <f t="shared" si="453"/>
        <v>0</v>
      </c>
      <c r="AV379" s="41">
        <f t="shared" si="454"/>
        <v>0</v>
      </c>
      <c r="AW379" s="41" t="b">
        <f t="shared" si="455"/>
        <v>0</v>
      </c>
      <c r="AX379" t="str">
        <f t="shared" si="456"/>
        <v>+00</v>
      </c>
      <c r="AY379" t="str">
        <f t="shared" si="457"/>
        <v>+00</v>
      </c>
      <c r="BA379" s="47" t="b">
        <f t="shared" si="486"/>
        <v>1</v>
      </c>
      <c r="BB379" s="42" t="b">
        <f t="shared" si="487"/>
        <v>1</v>
      </c>
      <c r="BC379" s="42" t="b">
        <f t="shared" si="488"/>
        <v>0</v>
      </c>
      <c r="BD379" s="42" t="b">
        <f t="shared" si="489"/>
        <v>0</v>
      </c>
      <c r="BE379" s="70">
        <f t="shared" si="490"/>
        <v>0</v>
      </c>
      <c r="BF379" s="70">
        <f t="shared" si="491"/>
        <v>0</v>
      </c>
      <c r="BG379" s="34"/>
      <c r="BI379" s="47" t="b">
        <f t="shared" si="492"/>
        <v>1</v>
      </c>
      <c r="BJ379" s="47" t="b">
        <f t="shared" si="493"/>
        <v>1</v>
      </c>
      <c r="BK379" s="42" t="b">
        <f t="shared" si="494"/>
        <v>0</v>
      </c>
      <c r="BL379" s="42" t="b">
        <f t="shared" si="495"/>
        <v>0</v>
      </c>
      <c r="BM379" s="42">
        <f t="shared" si="496"/>
        <v>0</v>
      </c>
      <c r="BN379" s="42">
        <f t="shared" si="497"/>
        <v>0</v>
      </c>
      <c r="BP379" t="e">
        <f t="shared" si="498"/>
        <v>#N/A</v>
      </c>
      <c r="BQ379" t="e">
        <f t="shared" si="499"/>
        <v>#N/A</v>
      </c>
      <c r="BR379" t="e">
        <f t="shared" si="500"/>
        <v>#N/A</v>
      </c>
      <c r="BT379" s="60">
        <f t="shared" si="501"/>
        <v>0</v>
      </c>
      <c r="BU379" s="60">
        <f t="shared" si="502"/>
        <v>0</v>
      </c>
      <c r="BV379" s="60">
        <f t="shared" si="503"/>
        <v>0</v>
      </c>
      <c r="BW379" s="60">
        <f t="shared" si="504"/>
        <v>0</v>
      </c>
      <c r="BX379" s="60">
        <f t="shared" si="505"/>
        <v>0</v>
      </c>
      <c r="BY379" s="60">
        <f t="shared" si="506"/>
        <v>0</v>
      </c>
      <c r="BZ379" s="60">
        <f t="shared" si="507"/>
        <v>0</v>
      </c>
      <c r="CA379" s="60">
        <f t="shared" si="508"/>
        <v>0</v>
      </c>
      <c r="CB379" s="60" t="e">
        <f t="shared" si="458"/>
        <v>#N/A</v>
      </c>
      <c r="CC379" s="60">
        <f t="shared" si="459"/>
        <v>100000</v>
      </c>
      <c r="CD379" s="60" t="e">
        <f t="shared" si="460"/>
        <v>#N/A</v>
      </c>
      <c r="CE379" s="60">
        <f t="shared" si="461"/>
        <v>100000</v>
      </c>
      <c r="CF379" s="83" t="e">
        <f t="shared" si="509"/>
        <v>#N/A</v>
      </c>
      <c r="CG379" s="83">
        <f t="shared" si="510"/>
        <v>0</v>
      </c>
      <c r="CH379" s="83" t="e">
        <f t="shared" si="511"/>
        <v>#N/A</v>
      </c>
      <c r="CI379" s="83">
        <f t="shared" si="512"/>
        <v>0</v>
      </c>
      <c r="CJ379" s="86" t="e">
        <f t="shared" si="462"/>
        <v>#N/A</v>
      </c>
      <c r="CK379" s="82">
        <f t="shared" si="463"/>
        <v>5.3070370403969858E-3</v>
      </c>
      <c r="CL379" s="82" t="e">
        <f t="shared" si="464"/>
        <v>#N/A</v>
      </c>
      <c r="CM379" s="82">
        <f t="shared" si="465"/>
        <v>5.3070370403969858E-3</v>
      </c>
      <c r="CO379" s="149" t="str">
        <f>IF($I379&lt;&gt;"",IF(O379="User Specified",U379,INDEX('Refrigerant GWPs'!$G$2:$G$156,MATCH(O379,'Refrigerant GWPs'!$A$2:$A$156,0))),"")</f>
        <v/>
      </c>
      <c r="CP379" s="138" t="str">
        <f>IF($I379&lt;&gt;"",INDEX('Device Refrigerant Leakage'!$E$2:$E$42,MATCH($M379,'Device Refrigerant Leakage'!$B$2:$B$42,0)),"")</f>
        <v/>
      </c>
      <c r="CQ379" s="138" t="str">
        <f>IF($I379&lt;&gt;"",INDEX('Device Refrigerant Leakage'!$F$2:$F$42,MATCH($M379,'Device Refrigerant Leakage'!$B$2:$B$42,0)),"")</f>
        <v/>
      </c>
      <c r="CR379" s="145" t="str">
        <f>IF($I379&lt;&gt;"",INDEX('Device Refrigerant Leakage'!$G$2:$G$42,MATCH($M379,'Device Refrigerant Leakage'!$B$2:$B$42,0)),"")</f>
        <v/>
      </c>
      <c r="CS379" s="145" t="str">
        <f>IF($I379&lt;&gt;"",INDEX('Device Refrigerant Leakage'!$D$2:$D$42,MATCH($M379,'Device Refrigerant Leakage'!$B$2:$B$42,0))*CP379/2204.62*CO379,"")</f>
        <v/>
      </c>
      <c r="CT379" s="145" t="str">
        <f>IF($I379&lt;&gt;"",J379*(INDEX('Device Refrigerant Leakage'!$D$2:$D$42,MATCH($M379,'Device Refrigerant Leakage'!$B$2:$B$42,0))-(INDEX('Device Refrigerant Leakage'!$D$2:$D$42,MATCH($M379,'Device Refrigerant Leakage'!$B$2:$B$42,0)))*CR379*CP379)*CQ379/2204.62*CO379,"")</f>
        <v/>
      </c>
      <c r="CU379" s="135" t="str">
        <f>IF($I379&lt;&gt;"",J379*IF(W379&lt;&gt;"AR",(CS379*K379)+CT379,(CS379*AB379)+CT379*(AB379/INDEX('Device Refrigerant Leakage'!$C$2:$C$42,MATCH($M379,'Device Refrigerant Leakage'!$B$2:$B$42,0)))),"")</f>
        <v/>
      </c>
      <c r="CW379" s="135" t="str">
        <f>IF($I379&lt;&gt;"",IF(S379="User Specified",V379,INDEX('Refrigerant GWPs'!$G$2:$G$156,MATCH(S379,'Refrigerant GWPs'!$A$2:$A$157,0))),"")</f>
        <v/>
      </c>
      <c r="CX379" s="138" t="str">
        <f>IF($I379&lt;&gt;"",INDEX('Device Refrigerant Leakage'!$E$2:$E$42,MATCH($Q379,'Device Refrigerant Leakage'!$B$2:$B$42,0)),"")</f>
        <v/>
      </c>
      <c r="CY379" s="138" t="str">
        <f>IF($I379&lt;&gt;"",INDEX('Device Refrigerant Leakage'!$F$2:$F$42,MATCH($Q379,'Device Refrigerant Leakage'!$B$2:$B$42,0)),"")</f>
        <v/>
      </c>
      <c r="CZ379" s="145" t="str">
        <f>IF($I379&lt;&gt;"",INDEX('Device Refrigerant Leakage'!$G$2:$G$42,MATCH($Q379,'Device Refrigerant Leakage'!$B$2:$B$42,0)),"")</f>
        <v/>
      </c>
      <c r="DA379" s="145" t="str">
        <f>IF($I379&lt;&gt;"",J379*INDEX('Device Refrigerant Leakage'!$D$2:$D$42,MATCH($Q379,'Device Refrigerant Leakage'!$B$2:$B$42,0))*CX379/2204.62*CW379,"")</f>
        <v/>
      </c>
      <c r="DB379" s="145" t="str">
        <f>IF($I379&lt;&gt;"",J379*(INDEX('Device Refrigerant Leakage'!$D$2:$D$42,MATCH($Q379,'Device Refrigerant Leakage'!$B$2:$B$42,0))-(INDEX('Device Refrigerant Leakage'!$D$2:$D$42,MATCH($Q379,'Device Refrigerant Leakage'!$B$2:$B$42,0)))*CZ379*CX379)*CY379/2204.62*CW379,"")</f>
        <v/>
      </c>
      <c r="DC379" s="135" t="str">
        <f t="shared" si="484"/>
        <v/>
      </c>
      <c r="DE379" s="146" t="str">
        <f>IF(W379&lt;&gt;"AR","",IF(Y379="User Specified", AA379, INDEX('Refrigerant GWPs'!$G$2:$G$154,MATCH(Y379,'Refrigerant GWPs'!$A$2:$A$154,0))))</f>
        <v/>
      </c>
      <c r="DF379" s="146" t="str">
        <f>IF(W379&lt;&gt;"AR","",INDEX('Device Refrigerant Leakage'!$E$2:$E$42,MATCH(X379,'Device Refrigerant Leakage'!$B$2:$B$42,0)))</f>
        <v/>
      </c>
      <c r="DG379" s="146" t="str">
        <f>IF(W379&lt;&gt;"AR","",INDEX('Device Refrigerant Leakage'!$F$2:$F$42,MATCH(X379,'Device Refrigerant Leakage'!$B$2:$B$42,0)))</f>
        <v/>
      </c>
      <c r="DH379" s="146" t="str">
        <f>IF(W379&lt;&gt;"AR","",INDEX('Device Refrigerant Leakage'!$G$2:$G$42,MATCH(X379,'Device Refrigerant Leakage'!$B$2:$B$42,0)))</f>
        <v/>
      </c>
      <c r="DI379" s="146" t="str">
        <f>IF(W379&lt;&gt;"AR","",J379*INDEX('Device Refrigerant Leakage'!$D$2:$D$42,MATCH(X379,'Device Refrigerant Leakage'!$B$2:$B$42,0))*DF379/2204.62*DE379)</f>
        <v/>
      </c>
      <c r="DJ379" s="146" t="str">
        <f>IF(W379&lt;&gt;"AR","",J379*(INDEX('Device Refrigerant Leakage'!$D$2:$D$42,MATCH(X379,'Device Refrigerant Leakage'!$B$2:$B$42,0))-(INDEX('Device Refrigerant Leakage'!$D$2:$D$42,MATCH(X379,'Device Refrigerant Leakage'!$B$2:$B$42,0)))*DH379*DF379)*DG379/2204.62*DE379)</f>
        <v/>
      </c>
      <c r="DK379" s="146" t="str">
        <f>IF(W379&lt;&gt;"AR","",DI379*(K379-AB379)+'Fuel Sub Calcs-Deemed'!DJ379*((K379-AB379)/INDEX('Device Refrigerant Leakage'!$C$2:$C$42,MATCH('Fuel Sub Calcs-Deemed'!X379,'Device Refrigerant Leakage'!$B$2:$B$42,0))))</f>
        <v/>
      </c>
      <c r="DM379" s="56">
        <v>365</v>
      </c>
      <c r="DN379" s="67" t="e">
        <f t="shared" si="466"/>
        <v>#N/A</v>
      </c>
      <c r="DO379" s="45" t="e">
        <f t="shared" si="467"/>
        <v>#N/A</v>
      </c>
      <c r="DP379" s="67" t="e">
        <f t="shared" si="468"/>
        <v>#N/A</v>
      </c>
      <c r="DQ379" s="45" t="e">
        <f t="shared" si="469"/>
        <v>#N/A</v>
      </c>
      <c r="DR379" s="69" t="e">
        <f t="shared" si="470"/>
        <v>#N/A</v>
      </c>
      <c r="DS379" s="34"/>
      <c r="DT379" s="67" t="e">
        <f>((BX379*CJ379)+IF($W379=MAT_AR,(BZ379*CL379),0))*(1+Reference!$E$50+Reference!$E$51)</f>
        <v>#N/A</v>
      </c>
      <c r="DU379" s="67">
        <f>((BY379*CK379)+IF($W379=MAT_AR,(CA379*CM379),0))*(1+Reference!$G$50+Reference!$G$51)</f>
        <v>0</v>
      </c>
      <c r="DV379" s="67" t="e">
        <f t="shared" si="471"/>
        <v>#VALUE!</v>
      </c>
      <c r="DX379" s="56">
        <v>365</v>
      </c>
      <c r="DY379" s="67">
        <f t="shared" si="472"/>
        <v>0</v>
      </c>
      <c r="DZ379" s="45" t="e">
        <f>VLOOKUP($R379,Dropdown!$C$3:$D$4,2,FALSE)</f>
        <v>#N/A</v>
      </c>
      <c r="EA379" s="68">
        <f t="shared" si="473"/>
        <v>0</v>
      </c>
      <c r="EB379" s="68" t="str">
        <f t="shared" si="474"/>
        <v>N/A</v>
      </c>
      <c r="EC379" s="68">
        <f t="shared" si="475"/>
        <v>0</v>
      </c>
      <c r="ED379" s="68" t="str">
        <f t="shared" si="513"/>
        <v>N/A</v>
      </c>
      <c r="EF379" s="56">
        <v>365</v>
      </c>
      <c r="EG379" s="46">
        <f t="shared" si="476"/>
        <v>0</v>
      </c>
      <c r="EH379" s="68" t="e">
        <f t="shared" si="477"/>
        <v>#N/A</v>
      </c>
      <c r="EI379" s="68" t="e">
        <f t="shared" si="478"/>
        <v>#N/A</v>
      </c>
      <c r="EJ379" s="68" t="e">
        <f t="shared" si="479"/>
        <v>#N/A</v>
      </c>
      <c r="EK379" s="68" t="e">
        <f t="shared" si="480"/>
        <v>#N/A</v>
      </c>
      <c r="EL379" s="46">
        <f t="shared" si="481"/>
        <v>0</v>
      </c>
      <c r="EM379" s="46">
        <f t="shared" si="482"/>
        <v>0</v>
      </c>
    </row>
    <row r="380" spans="1:143">
      <c r="A380" s="89"/>
      <c r="B380" s="89"/>
      <c r="C380" s="89"/>
      <c r="D380" s="89"/>
      <c r="E380" s="89"/>
      <c r="F380" s="89"/>
      <c r="G380" s="34"/>
      <c r="H380" s="56">
        <f t="shared" si="483"/>
        <v>366</v>
      </c>
      <c r="I380" s="165"/>
      <c r="J380" s="163"/>
      <c r="K380" s="163"/>
      <c r="L380" s="164"/>
      <c r="M380" s="155"/>
      <c r="N380" s="155"/>
      <c r="O380" s="144"/>
      <c r="P380" s="159" t="str">
        <f>IFERROR(IF(O380&lt;&gt;"User Specified",IF(O380&lt;&gt;"", INDEX('Refrigerant GWPs'!$G$2:$G$154,MATCH(O380,'Refrigerant GWPs'!$A$2:$A$154,0)),""),U380),0)</f>
        <v/>
      </c>
      <c r="Q380" s="155"/>
      <c r="R380" s="155"/>
      <c r="S380" s="144"/>
      <c r="T380" s="159" t="str">
        <f>IF(S380&lt;&gt;"User Specified",IF(AND(S380&lt;&gt;"User Specified",S380&lt;&gt;""), INDEX('Refrigerant GWPs'!$G$2:$G$154,MATCH(S380,'Refrigerant GWPs'!$A$2:$A$154,0)),""),V380)</f>
        <v/>
      </c>
      <c r="U380" s="144"/>
      <c r="V380" s="144"/>
      <c r="W380" s="155"/>
      <c r="X380" s="155"/>
      <c r="Y380" s="144"/>
      <c r="Z380" s="159" t="str">
        <f>IF(AND(Y380&lt;&gt;"User Specified",Y380&lt;&gt;""), INDEX('Refrigerant GWPs'!$G$2:$G$154,MATCH(Y380,'Refrigerant GWPs'!$A$2:$A$154,0)),"")</f>
        <v/>
      </c>
      <c r="AA380" s="155"/>
      <c r="AB380" s="156"/>
      <c r="AC380" s="66"/>
      <c r="AD380" s="66"/>
      <c r="AE380" s="66"/>
      <c r="AF380" s="66"/>
      <c r="AG380" s="66"/>
      <c r="AH380" s="66"/>
      <c r="AI380" s="34"/>
      <c r="AJ380" s="88">
        <f t="shared" si="446"/>
        <v>0</v>
      </c>
      <c r="AK380" s="88">
        <f t="shared" si="447"/>
        <v>0</v>
      </c>
      <c r="AL380" s="88">
        <v>0</v>
      </c>
      <c r="AM380" s="88">
        <v>0</v>
      </c>
      <c r="AN380" s="81" t="str">
        <f t="shared" si="485"/>
        <v/>
      </c>
      <c r="AO380" s="88">
        <f t="shared" si="448"/>
        <v>0</v>
      </c>
      <c r="AP380" s="88">
        <f t="shared" si="449"/>
        <v>0</v>
      </c>
      <c r="AQ380" s="81" t="str">
        <f t="shared" si="450"/>
        <v/>
      </c>
      <c r="AS380" s="41" t="b">
        <f t="shared" si="451"/>
        <v>1</v>
      </c>
      <c r="AT380" s="38">
        <f t="shared" si="452"/>
        <v>0</v>
      </c>
      <c r="AU380" s="60">
        <f t="shared" si="453"/>
        <v>0</v>
      </c>
      <c r="AV380" s="41">
        <f t="shared" si="454"/>
        <v>0</v>
      </c>
      <c r="AW380" s="41" t="b">
        <f t="shared" si="455"/>
        <v>0</v>
      </c>
      <c r="AX380" t="str">
        <f t="shared" si="456"/>
        <v>+00</v>
      </c>
      <c r="AY380" t="str">
        <f t="shared" si="457"/>
        <v>+00</v>
      </c>
      <c r="BA380" s="47" t="b">
        <f t="shared" si="486"/>
        <v>1</v>
      </c>
      <c r="BB380" s="42" t="b">
        <f t="shared" si="487"/>
        <v>1</v>
      </c>
      <c r="BC380" s="42" t="b">
        <f t="shared" si="488"/>
        <v>0</v>
      </c>
      <c r="BD380" s="42" t="b">
        <f t="shared" si="489"/>
        <v>0</v>
      </c>
      <c r="BE380" s="70">
        <f t="shared" si="490"/>
        <v>0</v>
      </c>
      <c r="BF380" s="70">
        <f t="shared" si="491"/>
        <v>0</v>
      </c>
      <c r="BG380" s="34"/>
      <c r="BI380" s="47" t="b">
        <f t="shared" si="492"/>
        <v>1</v>
      </c>
      <c r="BJ380" s="47" t="b">
        <f t="shared" si="493"/>
        <v>1</v>
      </c>
      <c r="BK380" s="42" t="b">
        <f t="shared" si="494"/>
        <v>0</v>
      </c>
      <c r="BL380" s="42" t="b">
        <f t="shared" si="495"/>
        <v>0</v>
      </c>
      <c r="BM380" s="42">
        <f t="shared" si="496"/>
        <v>0</v>
      </c>
      <c r="BN380" s="42">
        <f t="shared" si="497"/>
        <v>0</v>
      </c>
      <c r="BP380" t="e">
        <f t="shared" si="498"/>
        <v>#N/A</v>
      </c>
      <c r="BQ380" t="e">
        <f t="shared" si="499"/>
        <v>#N/A</v>
      </c>
      <c r="BR380" t="e">
        <f t="shared" si="500"/>
        <v>#N/A</v>
      </c>
      <c r="BT380" s="60">
        <f t="shared" si="501"/>
        <v>0</v>
      </c>
      <c r="BU380" s="60">
        <f t="shared" si="502"/>
        <v>0</v>
      </c>
      <c r="BV380" s="60">
        <f t="shared" si="503"/>
        <v>0</v>
      </c>
      <c r="BW380" s="60">
        <f t="shared" si="504"/>
        <v>0</v>
      </c>
      <c r="BX380" s="60">
        <f t="shared" si="505"/>
        <v>0</v>
      </c>
      <c r="BY380" s="60">
        <f t="shared" si="506"/>
        <v>0</v>
      </c>
      <c r="BZ380" s="60">
        <f t="shared" si="507"/>
        <v>0</v>
      </c>
      <c r="CA380" s="60">
        <f t="shared" si="508"/>
        <v>0</v>
      </c>
      <c r="CB380" s="60" t="e">
        <f t="shared" si="458"/>
        <v>#N/A</v>
      </c>
      <c r="CC380" s="60">
        <f t="shared" si="459"/>
        <v>100000</v>
      </c>
      <c r="CD380" s="60" t="e">
        <f t="shared" si="460"/>
        <v>#N/A</v>
      </c>
      <c r="CE380" s="60">
        <f t="shared" si="461"/>
        <v>100000</v>
      </c>
      <c r="CF380" s="83" t="e">
        <f t="shared" si="509"/>
        <v>#N/A</v>
      </c>
      <c r="CG380" s="83">
        <f t="shared" si="510"/>
        <v>0</v>
      </c>
      <c r="CH380" s="83" t="e">
        <f t="shared" si="511"/>
        <v>#N/A</v>
      </c>
      <c r="CI380" s="83">
        <f t="shared" si="512"/>
        <v>0</v>
      </c>
      <c r="CJ380" s="86" t="e">
        <f t="shared" si="462"/>
        <v>#N/A</v>
      </c>
      <c r="CK380" s="82">
        <f t="shared" si="463"/>
        <v>5.3070370403969858E-3</v>
      </c>
      <c r="CL380" s="82" t="e">
        <f t="shared" si="464"/>
        <v>#N/A</v>
      </c>
      <c r="CM380" s="82">
        <f t="shared" si="465"/>
        <v>5.3070370403969858E-3</v>
      </c>
      <c r="CO380" s="149" t="str">
        <f>IF($I380&lt;&gt;"",IF(O380="User Specified",U380,INDEX('Refrigerant GWPs'!$G$2:$G$156,MATCH(O380,'Refrigerant GWPs'!$A$2:$A$156,0))),"")</f>
        <v/>
      </c>
      <c r="CP380" s="138" t="str">
        <f>IF($I380&lt;&gt;"",INDEX('Device Refrigerant Leakage'!$E$2:$E$42,MATCH($M380,'Device Refrigerant Leakage'!$B$2:$B$42,0)),"")</f>
        <v/>
      </c>
      <c r="CQ380" s="138" t="str">
        <f>IF($I380&lt;&gt;"",INDEX('Device Refrigerant Leakage'!$F$2:$F$42,MATCH($M380,'Device Refrigerant Leakage'!$B$2:$B$42,0)),"")</f>
        <v/>
      </c>
      <c r="CR380" s="145" t="str">
        <f>IF($I380&lt;&gt;"",INDEX('Device Refrigerant Leakage'!$G$2:$G$42,MATCH($M380,'Device Refrigerant Leakage'!$B$2:$B$42,0)),"")</f>
        <v/>
      </c>
      <c r="CS380" s="145" t="str">
        <f>IF($I380&lt;&gt;"",INDEX('Device Refrigerant Leakage'!$D$2:$D$42,MATCH($M380,'Device Refrigerant Leakage'!$B$2:$B$42,0))*CP380/2204.62*CO380,"")</f>
        <v/>
      </c>
      <c r="CT380" s="145" t="str">
        <f>IF($I380&lt;&gt;"",J380*(INDEX('Device Refrigerant Leakage'!$D$2:$D$42,MATCH($M380,'Device Refrigerant Leakage'!$B$2:$B$42,0))-(INDEX('Device Refrigerant Leakage'!$D$2:$D$42,MATCH($M380,'Device Refrigerant Leakage'!$B$2:$B$42,0)))*CR380*CP380)*CQ380/2204.62*CO380,"")</f>
        <v/>
      </c>
      <c r="CU380" s="135" t="str">
        <f>IF($I380&lt;&gt;"",J380*IF(W380&lt;&gt;"AR",(CS380*K380)+CT380,(CS380*AB380)+CT380*(AB380/INDEX('Device Refrigerant Leakage'!$C$2:$C$42,MATCH($M380,'Device Refrigerant Leakage'!$B$2:$B$42,0)))),"")</f>
        <v/>
      </c>
      <c r="CW380" s="135" t="str">
        <f>IF($I380&lt;&gt;"",IF(S380="User Specified",V380,INDEX('Refrigerant GWPs'!$G$2:$G$156,MATCH(S380,'Refrigerant GWPs'!$A$2:$A$157,0))),"")</f>
        <v/>
      </c>
      <c r="CX380" s="138" t="str">
        <f>IF($I380&lt;&gt;"",INDEX('Device Refrigerant Leakage'!$E$2:$E$42,MATCH($Q380,'Device Refrigerant Leakage'!$B$2:$B$42,0)),"")</f>
        <v/>
      </c>
      <c r="CY380" s="138" t="str">
        <f>IF($I380&lt;&gt;"",INDEX('Device Refrigerant Leakage'!$F$2:$F$42,MATCH($Q380,'Device Refrigerant Leakage'!$B$2:$B$42,0)),"")</f>
        <v/>
      </c>
      <c r="CZ380" s="145" t="str">
        <f>IF($I380&lt;&gt;"",INDEX('Device Refrigerant Leakage'!$G$2:$G$42,MATCH($Q380,'Device Refrigerant Leakage'!$B$2:$B$42,0)),"")</f>
        <v/>
      </c>
      <c r="DA380" s="145" t="str">
        <f>IF($I380&lt;&gt;"",J380*INDEX('Device Refrigerant Leakage'!$D$2:$D$42,MATCH($Q380,'Device Refrigerant Leakage'!$B$2:$B$42,0))*CX380/2204.62*CW380,"")</f>
        <v/>
      </c>
      <c r="DB380" s="145" t="str">
        <f>IF($I380&lt;&gt;"",J380*(INDEX('Device Refrigerant Leakage'!$D$2:$D$42,MATCH($Q380,'Device Refrigerant Leakage'!$B$2:$B$42,0))-(INDEX('Device Refrigerant Leakage'!$D$2:$D$42,MATCH($Q380,'Device Refrigerant Leakage'!$B$2:$B$42,0)))*CZ380*CX380)*CY380/2204.62*CW380,"")</f>
        <v/>
      </c>
      <c r="DC380" s="135" t="str">
        <f t="shared" si="484"/>
        <v/>
      </c>
      <c r="DE380" s="146" t="str">
        <f>IF(W380&lt;&gt;"AR","",IF(Y380="User Specified", AA380, INDEX('Refrigerant GWPs'!$G$2:$G$154,MATCH(Y380,'Refrigerant GWPs'!$A$2:$A$154,0))))</f>
        <v/>
      </c>
      <c r="DF380" s="146" t="str">
        <f>IF(W380&lt;&gt;"AR","",INDEX('Device Refrigerant Leakage'!$E$2:$E$42,MATCH(X380,'Device Refrigerant Leakage'!$B$2:$B$42,0)))</f>
        <v/>
      </c>
      <c r="DG380" s="146" t="str">
        <f>IF(W380&lt;&gt;"AR","",INDEX('Device Refrigerant Leakage'!$F$2:$F$42,MATCH(X380,'Device Refrigerant Leakage'!$B$2:$B$42,0)))</f>
        <v/>
      </c>
      <c r="DH380" s="146" t="str">
        <f>IF(W380&lt;&gt;"AR","",INDEX('Device Refrigerant Leakage'!$G$2:$G$42,MATCH(X380,'Device Refrigerant Leakage'!$B$2:$B$42,0)))</f>
        <v/>
      </c>
      <c r="DI380" s="146" t="str">
        <f>IF(W380&lt;&gt;"AR","",J380*INDEX('Device Refrigerant Leakage'!$D$2:$D$42,MATCH(X380,'Device Refrigerant Leakage'!$B$2:$B$42,0))*DF380/2204.62*DE380)</f>
        <v/>
      </c>
      <c r="DJ380" s="146" t="str">
        <f>IF(W380&lt;&gt;"AR","",J380*(INDEX('Device Refrigerant Leakage'!$D$2:$D$42,MATCH(X380,'Device Refrigerant Leakage'!$B$2:$B$42,0))-(INDEX('Device Refrigerant Leakage'!$D$2:$D$42,MATCH(X380,'Device Refrigerant Leakage'!$B$2:$B$42,0)))*DH380*DF380)*DG380/2204.62*DE380)</f>
        <v/>
      </c>
      <c r="DK380" s="146" t="str">
        <f>IF(W380&lt;&gt;"AR","",DI380*(K380-AB380)+'Fuel Sub Calcs-Deemed'!DJ380*((K380-AB380)/INDEX('Device Refrigerant Leakage'!$C$2:$C$42,MATCH('Fuel Sub Calcs-Deemed'!X380,'Device Refrigerant Leakage'!$B$2:$B$42,0))))</f>
        <v/>
      </c>
      <c r="DM380" s="56">
        <v>366</v>
      </c>
      <c r="DN380" s="67" t="e">
        <f t="shared" si="466"/>
        <v>#N/A</v>
      </c>
      <c r="DO380" s="45" t="e">
        <f t="shared" si="467"/>
        <v>#N/A</v>
      </c>
      <c r="DP380" s="67" t="e">
        <f t="shared" si="468"/>
        <v>#N/A</v>
      </c>
      <c r="DQ380" s="45" t="e">
        <f t="shared" si="469"/>
        <v>#N/A</v>
      </c>
      <c r="DR380" s="69" t="e">
        <f t="shared" si="470"/>
        <v>#N/A</v>
      </c>
      <c r="DS380" s="34"/>
      <c r="DT380" s="67" t="e">
        <f>((BX380*CJ380)+IF($W380=MAT_AR,(BZ380*CL380),0))*(1+Reference!$E$50+Reference!$E$51)</f>
        <v>#N/A</v>
      </c>
      <c r="DU380" s="67">
        <f>((BY380*CK380)+IF($W380=MAT_AR,(CA380*CM380),0))*(1+Reference!$G$50+Reference!$G$51)</f>
        <v>0</v>
      </c>
      <c r="DV380" s="67" t="e">
        <f t="shared" si="471"/>
        <v>#VALUE!</v>
      </c>
      <c r="DX380" s="56">
        <v>366</v>
      </c>
      <c r="DY380" s="67">
        <f t="shared" si="472"/>
        <v>0</v>
      </c>
      <c r="DZ380" s="45" t="e">
        <f>VLOOKUP($R380,Dropdown!$C$3:$D$4,2,FALSE)</f>
        <v>#N/A</v>
      </c>
      <c r="EA380" s="68">
        <f t="shared" si="473"/>
        <v>0</v>
      </c>
      <c r="EB380" s="68" t="str">
        <f t="shared" si="474"/>
        <v>N/A</v>
      </c>
      <c r="EC380" s="68">
        <f t="shared" si="475"/>
        <v>0</v>
      </c>
      <c r="ED380" s="68" t="str">
        <f t="shared" si="513"/>
        <v>N/A</v>
      </c>
      <c r="EF380" s="56">
        <v>366</v>
      </c>
      <c r="EG380" s="46">
        <f t="shared" si="476"/>
        <v>0</v>
      </c>
      <c r="EH380" s="68" t="e">
        <f t="shared" si="477"/>
        <v>#N/A</v>
      </c>
      <c r="EI380" s="68" t="e">
        <f t="shared" si="478"/>
        <v>#N/A</v>
      </c>
      <c r="EJ380" s="68" t="e">
        <f t="shared" si="479"/>
        <v>#N/A</v>
      </c>
      <c r="EK380" s="68" t="e">
        <f t="shared" si="480"/>
        <v>#N/A</v>
      </c>
      <c r="EL380" s="46">
        <f t="shared" si="481"/>
        <v>0</v>
      </c>
      <c r="EM380" s="46">
        <f t="shared" si="482"/>
        <v>0</v>
      </c>
    </row>
    <row r="381" spans="1:143">
      <c r="A381" s="89"/>
      <c r="B381" s="89"/>
      <c r="C381" s="89"/>
      <c r="D381" s="89"/>
      <c r="E381" s="89"/>
      <c r="F381" s="89"/>
      <c r="G381" s="34"/>
      <c r="H381" s="56">
        <f t="shared" si="483"/>
        <v>367</v>
      </c>
      <c r="I381" s="165"/>
      <c r="J381" s="163"/>
      <c r="K381" s="163"/>
      <c r="L381" s="164"/>
      <c r="M381" s="155"/>
      <c r="N381" s="155"/>
      <c r="O381" s="144"/>
      <c r="P381" s="159" t="str">
        <f>IFERROR(IF(O381&lt;&gt;"User Specified",IF(O381&lt;&gt;"", INDEX('Refrigerant GWPs'!$G$2:$G$154,MATCH(O381,'Refrigerant GWPs'!$A$2:$A$154,0)),""),U381),0)</f>
        <v/>
      </c>
      <c r="Q381" s="155"/>
      <c r="R381" s="155"/>
      <c r="S381" s="144"/>
      <c r="T381" s="159" t="str">
        <f>IF(S381&lt;&gt;"User Specified",IF(AND(S381&lt;&gt;"User Specified",S381&lt;&gt;""), INDEX('Refrigerant GWPs'!$G$2:$G$154,MATCH(S381,'Refrigerant GWPs'!$A$2:$A$154,0)),""),V381)</f>
        <v/>
      </c>
      <c r="U381" s="144"/>
      <c r="V381" s="144"/>
      <c r="W381" s="155"/>
      <c r="X381" s="155"/>
      <c r="Y381" s="144"/>
      <c r="Z381" s="159" t="str">
        <f>IF(AND(Y381&lt;&gt;"User Specified",Y381&lt;&gt;""), INDEX('Refrigerant GWPs'!$G$2:$G$154,MATCH(Y381,'Refrigerant GWPs'!$A$2:$A$154,0)),"")</f>
        <v/>
      </c>
      <c r="AA381" s="155"/>
      <c r="AB381" s="156"/>
      <c r="AC381" s="66"/>
      <c r="AD381" s="66"/>
      <c r="AE381" s="66"/>
      <c r="AF381" s="66"/>
      <c r="AG381" s="66"/>
      <c r="AH381" s="66"/>
      <c r="AI381" s="34"/>
      <c r="AJ381" s="88">
        <f t="shared" si="446"/>
        <v>0</v>
      </c>
      <c r="AK381" s="88">
        <f t="shared" si="447"/>
        <v>0</v>
      </c>
      <c r="AL381" s="88">
        <v>0</v>
      </c>
      <c r="AM381" s="88">
        <v>0</v>
      </c>
      <c r="AN381" s="81" t="str">
        <f t="shared" si="485"/>
        <v/>
      </c>
      <c r="AO381" s="88">
        <f t="shared" si="448"/>
        <v>0</v>
      </c>
      <c r="AP381" s="88">
        <f t="shared" si="449"/>
        <v>0</v>
      </c>
      <c r="AQ381" s="81" t="str">
        <f t="shared" si="450"/>
        <v/>
      </c>
      <c r="AS381" s="41" t="b">
        <f t="shared" si="451"/>
        <v>1</v>
      </c>
      <c r="AT381" s="38">
        <f t="shared" si="452"/>
        <v>0</v>
      </c>
      <c r="AU381" s="60">
        <f t="shared" si="453"/>
        <v>0</v>
      </c>
      <c r="AV381" s="41">
        <f t="shared" si="454"/>
        <v>0</v>
      </c>
      <c r="AW381" s="41" t="b">
        <f t="shared" si="455"/>
        <v>0</v>
      </c>
      <c r="AX381" t="str">
        <f t="shared" si="456"/>
        <v>+00</v>
      </c>
      <c r="AY381" t="str">
        <f t="shared" si="457"/>
        <v>+00</v>
      </c>
      <c r="BA381" s="47" t="b">
        <f t="shared" si="486"/>
        <v>1</v>
      </c>
      <c r="BB381" s="42" t="b">
        <f t="shared" si="487"/>
        <v>1</v>
      </c>
      <c r="BC381" s="42" t="b">
        <f t="shared" si="488"/>
        <v>0</v>
      </c>
      <c r="BD381" s="42" t="b">
        <f t="shared" si="489"/>
        <v>0</v>
      </c>
      <c r="BE381" s="70">
        <f t="shared" si="490"/>
        <v>0</v>
      </c>
      <c r="BF381" s="70">
        <f t="shared" si="491"/>
        <v>0</v>
      </c>
      <c r="BG381" s="34"/>
      <c r="BI381" s="47" t="b">
        <f t="shared" si="492"/>
        <v>1</v>
      </c>
      <c r="BJ381" s="47" t="b">
        <f t="shared" si="493"/>
        <v>1</v>
      </c>
      <c r="BK381" s="42" t="b">
        <f t="shared" si="494"/>
        <v>0</v>
      </c>
      <c r="BL381" s="42" t="b">
        <f t="shared" si="495"/>
        <v>0</v>
      </c>
      <c r="BM381" s="42">
        <f t="shared" si="496"/>
        <v>0</v>
      </c>
      <c r="BN381" s="42">
        <f t="shared" si="497"/>
        <v>0</v>
      </c>
      <c r="BP381" t="e">
        <f t="shared" si="498"/>
        <v>#N/A</v>
      </c>
      <c r="BQ381" t="e">
        <f t="shared" si="499"/>
        <v>#N/A</v>
      </c>
      <c r="BR381" t="e">
        <f t="shared" si="500"/>
        <v>#N/A</v>
      </c>
      <c r="BT381" s="60">
        <f t="shared" si="501"/>
        <v>0</v>
      </c>
      <c r="BU381" s="60">
        <f t="shared" si="502"/>
        <v>0</v>
      </c>
      <c r="BV381" s="60">
        <f t="shared" si="503"/>
        <v>0</v>
      </c>
      <c r="BW381" s="60">
        <f t="shared" si="504"/>
        <v>0</v>
      </c>
      <c r="BX381" s="60">
        <f t="shared" si="505"/>
        <v>0</v>
      </c>
      <c r="BY381" s="60">
        <f t="shared" si="506"/>
        <v>0</v>
      </c>
      <c r="BZ381" s="60">
        <f t="shared" si="507"/>
        <v>0</v>
      </c>
      <c r="CA381" s="60">
        <f t="shared" si="508"/>
        <v>0</v>
      </c>
      <c r="CB381" s="60" t="e">
        <f t="shared" si="458"/>
        <v>#N/A</v>
      </c>
      <c r="CC381" s="60">
        <f t="shared" si="459"/>
        <v>100000</v>
      </c>
      <c r="CD381" s="60" t="e">
        <f t="shared" si="460"/>
        <v>#N/A</v>
      </c>
      <c r="CE381" s="60">
        <f t="shared" si="461"/>
        <v>100000</v>
      </c>
      <c r="CF381" s="83" t="e">
        <f t="shared" si="509"/>
        <v>#N/A</v>
      </c>
      <c r="CG381" s="83">
        <f t="shared" si="510"/>
        <v>0</v>
      </c>
      <c r="CH381" s="83" t="e">
        <f t="shared" si="511"/>
        <v>#N/A</v>
      </c>
      <c r="CI381" s="83">
        <f t="shared" si="512"/>
        <v>0</v>
      </c>
      <c r="CJ381" s="86" t="e">
        <f t="shared" si="462"/>
        <v>#N/A</v>
      </c>
      <c r="CK381" s="82">
        <f t="shared" si="463"/>
        <v>5.3070370403969858E-3</v>
      </c>
      <c r="CL381" s="82" t="e">
        <f t="shared" si="464"/>
        <v>#N/A</v>
      </c>
      <c r="CM381" s="82">
        <f t="shared" si="465"/>
        <v>5.3070370403969858E-3</v>
      </c>
      <c r="CO381" s="149" t="str">
        <f>IF($I381&lt;&gt;"",IF(O381="User Specified",U381,INDEX('Refrigerant GWPs'!$G$2:$G$156,MATCH(O381,'Refrigerant GWPs'!$A$2:$A$156,0))),"")</f>
        <v/>
      </c>
      <c r="CP381" s="138" t="str">
        <f>IF($I381&lt;&gt;"",INDEX('Device Refrigerant Leakage'!$E$2:$E$42,MATCH($M381,'Device Refrigerant Leakage'!$B$2:$B$42,0)),"")</f>
        <v/>
      </c>
      <c r="CQ381" s="138" t="str">
        <f>IF($I381&lt;&gt;"",INDEX('Device Refrigerant Leakage'!$F$2:$F$42,MATCH($M381,'Device Refrigerant Leakage'!$B$2:$B$42,0)),"")</f>
        <v/>
      </c>
      <c r="CR381" s="145" t="str">
        <f>IF($I381&lt;&gt;"",INDEX('Device Refrigerant Leakage'!$G$2:$G$42,MATCH($M381,'Device Refrigerant Leakage'!$B$2:$B$42,0)),"")</f>
        <v/>
      </c>
      <c r="CS381" s="145" t="str">
        <f>IF($I381&lt;&gt;"",INDEX('Device Refrigerant Leakage'!$D$2:$D$42,MATCH($M381,'Device Refrigerant Leakage'!$B$2:$B$42,0))*CP381/2204.62*CO381,"")</f>
        <v/>
      </c>
      <c r="CT381" s="145" t="str">
        <f>IF($I381&lt;&gt;"",J381*(INDEX('Device Refrigerant Leakage'!$D$2:$D$42,MATCH($M381,'Device Refrigerant Leakage'!$B$2:$B$42,0))-(INDEX('Device Refrigerant Leakage'!$D$2:$D$42,MATCH($M381,'Device Refrigerant Leakage'!$B$2:$B$42,0)))*CR381*CP381)*CQ381/2204.62*CO381,"")</f>
        <v/>
      </c>
      <c r="CU381" s="135" t="str">
        <f>IF($I381&lt;&gt;"",J381*IF(W381&lt;&gt;"AR",(CS381*K381)+CT381,(CS381*AB381)+CT381*(AB381/INDEX('Device Refrigerant Leakage'!$C$2:$C$42,MATCH($M381,'Device Refrigerant Leakage'!$B$2:$B$42,0)))),"")</f>
        <v/>
      </c>
      <c r="CW381" s="135" t="str">
        <f>IF($I381&lt;&gt;"",IF(S381="User Specified",V381,INDEX('Refrigerant GWPs'!$G$2:$G$156,MATCH(S381,'Refrigerant GWPs'!$A$2:$A$157,0))),"")</f>
        <v/>
      </c>
      <c r="CX381" s="138" t="str">
        <f>IF($I381&lt;&gt;"",INDEX('Device Refrigerant Leakage'!$E$2:$E$42,MATCH($Q381,'Device Refrigerant Leakage'!$B$2:$B$42,0)),"")</f>
        <v/>
      </c>
      <c r="CY381" s="138" t="str">
        <f>IF($I381&lt;&gt;"",INDEX('Device Refrigerant Leakage'!$F$2:$F$42,MATCH($Q381,'Device Refrigerant Leakage'!$B$2:$B$42,0)),"")</f>
        <v/>
      </c>
      <c r="CZ381" s="145" t="str">
        <f>IF($I381&lt;&gt;"",INDEX('Device Refrigerant Leakage'!$G$2:$G$42,MATCH($Q381,'Device Refrigerant Leakage'!$B$2:$B$42,0)),"")</f>
        <v/>
      </c>
      <c r="DA381" s="145" t="str">
        <f>IF($I381&lt;&gt;"",J381*INDEX('Device Refrigerant Leakage'!$D$2:$D$42,MATCH($Q381,'Device Refrigerant Leakage'!$B$2:$B$42,0))*CX381/2204.62*CW381,"")</f>
        <v/>
      </c>
      <c r="DB381" s="145" t="str">
        <f>IF($I381&lt;&gt;"",J381*(INDEX('Device Refrigerant Leakage'!$D$2:$D$42,MATCH($Q381,'Device Refrigerant Leakage'!$B$2:$B$42,0))-(INDEX('Device Refrigerant Leakage'!$D$2:$D$42,MATCH($Q381,'Device Refrigerant Leakage'!$B$2:$B$42,0)))*CZ381*CX381)*CY381/2204.62*CW381,"")</f>
        <v/>
      </c>
      <c r="DC381" s="135" t="str">
        <f t="shared" si="484"/>
        <v/>
      </c>
      <c r="DE381" s="146" t="str">
        <f>IF(W381&lt;&gt;"AR","",IF(Y381="User Specified", AA381, INDEX('Refrigerant GWPs'!$G$2:$G$154,MATCH(Y381,'Refrigerant GWPs'!$A$2:$A$154,0))))</f>
        <v/>
      </c>
      <c r="DF381" s="146" t="str">
        <f>IF(W381&lt;&gt;"AR","",INDEX('Device Refrigerant Leakage'!$E$2:$E$42,MATCH(X381,'Device Refrigerant Leakage'!$B$2:$B$42,0)))</f>
        <v/>
      </c>
      <c r="DG381" s="146" t="str">
        <f>IF(W381&lt;&gt;"AR","",INDEX('Device Refrigerant Leakage'!$F$2:$F$42,MATCH(X381,'Device Refrigerant Leakage'!$B$2:$B$42,0)))</f>
        <v/>
      </c>
      <c r="DH381" s="146" t="str">
        <f>IF(W381&lt;&gt;"AR","",INDEX('Device Refrigerant Leakage'!$G$2:$G$42,MATCH(X381,'Device Refrigerant Leakage'!$B$2:$B$42,0)))</f>
        <v/>
      </c>
      <c r="DI381" s="146" t="str">
        <f>IF(W381&lt;&gt;"AR","",J381*INDEX('Device Refrigerant Leakage'!$D$2:$D$42,MATCH(X381,'Device Refrigerant Leakage'!$B$2:$B$42,0))*DF381/2204.62*DE381)</f>
        <v/>
      </c>
      <c r="DJ381" s="146" t="str">
        <f>IF(W381&lt;&gt;"AR","",J381*(INDEX('Device Refrigerant Leakage'!$D$2:$D$42,MATCH(X381,'Device Refrigerant Leakage'!$B$2:$B$42,0))-(INDEX('Device Refrigerant Leakage'!$D$2:$D$42,MATCH(X381,'Device Refrigerant Leakage'!$B$2:$B$42,0)))*DH381*DF381)*DG381/2204.62*DE381)</f>
        <v/>
      </c>
      <c r="DK381" s="146" t="str">
        <f>IF(W381&lt;&gt;"AR","",DI381*(K381-AB381)+'Fuel Sub Calcs-Deemed'!DJ381*((K381-AB381)/INDEX('Device Refrigerant Leakage'!$C$2:$C$42,MATCH('Fuel Sub Calcs-Deemed'!X381,'Device Refrigerant Leakage'!$B$2:$B$42,0))))</f>
        <v/>
      </c>
      <c r="DM381" s="56">
        <v>367</v>
      </c>
      <c r="DN381" s="67" t="e">
        <f t="shared" si="466"/>
        <v>#N/A</v>
      </c>
      <c r="DO381" s="45" t="e">
        <f t="shared" si="467"/>
        <v>#N/A</v>
      </c>
      <c r="DP381" s="67" t="e">
        <f t="shared" si="468"/>
        <v>#N/A</v>
      </c>
      <c r="DQ381" s="45" t="e">
        <f t="shared" si="469"/>
        <v>#N/A</v>
      </c>
      <c r="DR381" s="69" t="e">
        <f t="shared" si="470"/>
        <v>#N/A</v>
      </c>
      <c r="DS381" s="34"/>
      <c r="DT381" s="67" t="e">
        <f>((BX381*CJ381)+IF($W381=MAT_AR,(BZ381*CL381),0))*(1+Reference!$E$50+Reference!$E$51)</f>
        <v>#N/A</v>
      </c>
      <c r="DU381" s="67">
        <f>((BY381*CK381)+IF($W381=MAT_AR,(CA381*CM381),0))*(1+Reference!$G$50+Reference!$G$51)</f>
        <v>0</v>
      </c>
      <c r="DV381" s="67" t="e">
        <f t="shared" si="471"/>
        <v>#VALUE!</v>
      </c>
      <c r="DX381" s="56">
        <v>367</v>
      </c>
      <c r="DY381" s="67">
        <f t="shared" si="472"/>
        <v>0</v>
      </c>
      <c r="DZ381" s="45" t="e">
        <f>VLOOKUP($R381,Dropdown!$C$3:$D$4,2,FALSE)</f>
        <v>#N/A</v>
      </c>
      <c r="EA381" s="68">
        <f t="shared" si="473"/>
        <v>0</v>
      </c>
      <c r="EB381" s="68" t="str">
        <f t="shared" si="474"/>
        <v>N/A</v>
      </c>
      <c r="EC381" s="68">
        <f t="shared" si="475"/>
        <v>0</v>
      </c>
      <c r="ED381" s="68" t="str">
        <f t="shared" si="513"/>
        <v>N/A</v>
      </c>
      <c r="EF381" s="56">
        <v>367</v>
      </c>
      <c r="EG381" s="46">
        <f t="shared" si="476"/>
        <v>0</v>
      </c>
      <c r="EH381" s="68" t="e">
        <f t="shared" si="477"/>
        <v>#N/A</v>
      </c>
      <c r="EI381" s="68" t="e">
        <f t="shared" si="478"/>
        <v>#N/A</v>
      </c>
      <c r="EJ381" s="68" t="e">
        <f t="shared" si="479"/>
        <v>#N/A</v>
      </c>
      <c r="EK381" s="68" t="e">
        <f t="shared" si="480"/>
        <v>#N/A</v>
      </c>
      <c r="EL381" s="46">
        <f t="shared" si="481"/>
        <v>0</v>
      </c>
      <c r="EM381" s="46">
        <f t="shared" si="482"/>
        <v>0</v>
      </c>
    </row>
    <row r="382" spans="1:143">
      <c r="A382" s="89"/>
      <c r="B382" s="89"/>
      <c r="C382" s="89"/>
      <c r="D382" s="89"/>
      <c r="E382" s="89"/>
      <c r="F382" s="89"/>
      <c r="G382" s="34"/>
      <c r="H382" s="56">
        <f t="shared" si="483"/>
        <v>368</v>
      </c>
      <c r="I382" s="165"/>
      <c r="J382" s="163"/>
      <c r="K382" s="163"/>
      <c r="L382" s="164"/>
      <c r="M382" s="155"/>
      <c r="N382" s="155"/>
      <c r="O382" s="144"/>
      <c r="P382" s="159" t="str">
        <f>IFERROR(IF(O382&lt;&gt;"User Specified",IF(O382&lt;&gt;"", INDEX('Refrigerant GWPs'!$G$2:$G$154,MATCH(O382,'Refrigerant GWPs'!$A$2:$A$154,0)),""),U382),0)</f>
        <v/>
      </c>
      <c r="Q382" s="155"/>
      <c r="R382" s="155"/>
      <c r="S382" s="144"/>
      <c r="T382" s="159" t="str">
        <f>IF(S382&lt;&gt;"User Specified",IF(AND(S382&lt;&gt;"User Specified",S382&lt;&gt;""), INDEX('Refrigerant GWPs'!$G$2:$G$154,MATCH(S382,'Refrigerant GWPs'!$A$2:$A$154,0)),""),V382)</f>
        <v/>
      </c>
      <c r="U382" s="144"/>
      <c r="V382" s="144"/>
      <c r="W382" s="155"/>
      <c r="X382" s="155"/>
      <c r="Y382" s="144"/>
      <c r="Z382" s="159" t="str">
        <f>IF(AND(Y382&lt;&gt;"User Specified",Y382&lt;&gt;""), INDEX('Refrigerant GWPs'!$G$2:$G$154,MATCH(Y382,'Refrigerant GWPs'!$A$2:$A$154,0)),"")</f>
        <v/>
      </c>
      <c r="AA382" s="155"/>
      <c r="AB382" s="156"/>
      <c r="AC382" s="66"/>
      <c r="AD382" s="66"/>
      <c r="AE382" s="66"/>
      <c r="AF382" s="66"/>
      <c r="AG382" s="66"/>
      <c r="AH382" s="66"/>
      <c r="AI382" s="34"/>
      <c r="AJ382" s="88">
        <f t="shared" si="446"/>
        <v>0</v>
      </c>
      <c r="AK382" s="88">
        <f t="shared" si="447"/>
        <v>0</v>
      </c>
      <c r="AL382" s="88">
        <v>0</v>
      </c>
      <c r="AM382" s="88">
        <v>0</v>
      </c>
      <c r="AN382" s="81" t="str">
        <f t="shared" si="485"/>
        <v/>
      </c>
      <c r="AO382" s="88">
        <f t="shared" si="448"/>
        <v>0</v>
      </c>
      <c r="AP382" s="88">
        <f t="shared" si="449"/>
        <v>0</v>
      </c>
      <c r="AQ382" s="81" t="str">
        <f t="shared" si="450"/>
        <v/>
      </c>
      <c r="AS382" s="41" t="b">
        <f t="shared" si="451"/>
        <v>1</v>
      </c>
      <c r="AT382" s="38">
        <f t="shared" si="452"/>
        <v>0</v>
      </c>
      <c r="AU382" s="60">
        <f t="shared" si="453"/>
        <v>0</v>
      </c>
      <c r="AV382" s="41">
        <f t="shared" si="454"/>
        <v>0</v>
      </c>
      <c r="AW382" s="41" t="b">
        <f t="shared" si="455"/>
        <v>0</v>
      </c>
      <c r="AX382" t="str">
        <f t="shared" si="456"/>
        <v>+00</v>
      </c>
      <c r="AY382" t="str">
        <f t="shared" si="457"/>
        <v>+00</v>
      </c>
      <c r="BA382" s="47" t="b">
        <f t="shared" si="486"/>
        <v>1</v>
      </c>
      <c r="BB382" s="42" t="b">
        <f t="shared" si="487"/>
        <v>1</v>
      </c>
      <c r="BC382" s="42" t="b">
        <f t="shared" si="488"/>
        <v>0</v>
      </c>
      <c r="BD382" s="42" t="b">
        <f t="shared" si="489"/>
        <v>0</v>
      </c>
      <c r="BE382" s="70">
        <f t="shared" si="490"/>
        <v>0</v>
      </c>
      <c r="BF382" s="70">
        <f t="shared" si="491"/>
        <v>0</v>
      </c>
      <c r="BG382" s="34"/>
      <c r="BI382" s="47" t="b">
        <f t="shared" si="492"/>
        <v>1</v>
      </c>
      <c r="BJ382" s="47" t="b">
        <f t="shared" si="493"/>
        <v>1</v>
      </c>
      <c r="BK382" s="42" t="b">
        <f t="shared" si="494"/>
        <v>0</v>
      </c>
      <c r="BL382" s="42" t="b">
        <f t="shared" si="495"/>
        <v>0</v>
      </c>
      <c r="BM382" s="42">
        <f t="shared" si="496"/>
        <v>0</v>
      </c>
      <c r="BN382" s="42">
        <f t="shared" si="497"/>
        <v>0</v>
      </c>
      <c r="BP382" t="e">
        <f t="shared" si="498"/>
        <v>#N/A</v>
      </c>
      <c r="BQ382" t="e">
        <f t="shared" si="499"/>
        <v>#N/A</v>
      </c>
      <c r="BR382" t="e">
        <f t="shared" si="500"/>
        <v>#N/A</v>
      </c>
      <c r="BT382" s="60">
        <f t="shared" si="501"/>
        <v>0</v>
      </c>
      <c r="BU382" s="60">
        <f t="shared" si="502"/>
        <v>0</v>
      </c>
      <c r="BV382" s="60">
        <f t="shared" si="503"/>
        <v>0</v>
      </c>
      <c r="BW382" s="60">
        <f t="shared" si="504"/>
        <v>0</v>
      </c>
      <c r="BX382" s="60">
        <f t="shared" si="505"/>
        <v>0</v>
      </c>
      <c r="BY382" s="60">
        <f t="shared" si="506"/>
        <v>0</v>
      </c>
      <c r="BZ382" s="60">
        <f t="shared" si="507"/>
        <v>0</v>
      </c>
      <c r="CA382" s="60">
        <f t="shared" si="508"/>
        <v>0</v>
      </c>
      <c r="CB382" s="60" t="e">
        <f t="shared" si="458"/>
        <v>#N/A</v>
      </c>
      <c r="CC382" s="60">
        <f t="shared" si="459"/>
        <v>100000</v>
      </c>
      <c r="CD382" s="60" t="e">
        <f t="shared" si="460"/>
        <v>#N/A</v>
      </c>
      <c r="CE382" s="60">
        <f t="shared" si="461"/>
        <v>100000</v>
      </c>
      <c r="CF382" s="83" t="e">
        <f t="shared" si="509"/>
        <v>#N/A</v>
      </c>
      <c r="CG382" s="83">
        <f t="shared" si="510"/>
        <v>0</v>
      </c>
      <c r="CH382" s="83" t="e">
        <f t="shared" si="511"/>
        <v>#N/A</v>
      </c>
      <c r="CI382" s="83">
        <f t="shared" si="512"/>
        <v>0</v>
      </c>
      <c r="CJ382" s="86" t="e">
        <f t="shared" si="462"/>
        <v>#N/A</v>
      </c>
      <c r="CK382" s="82">
        <f t="shared" si="463"/>
        <v>5.3070370403969858E-3</v>
      </c>
      <c r="CL382" s="82" t="e">
        <f t="shared" si="464"/>
        <v>#N/A</v>
      </c>
      <c r="CM382" s="82">
        <f t="shared" si="465"/>
        <v>5.3070370403969858E-3</v>
      </c>
      <c r="CO382" s="149" t="str">
        <f>IF($I382&lt;&gt;"",IF(O382="User Specified",U382,INDEX('Refrigerant GWPs'!$G$2:$G$156,MATCH(O382,'Refrigerant GWPs'!$A$2:$A$156,0))),"")</f>
        <v/>
      </c>
      <c r="CP382" s="138" t="str">
        <f>IF($I382&lt;&gt;"",INDEX('Device Refrigerant Leakage'!$E$2:$E$42,MATCH($M382,'Device Refrigerant Leakage'!$B$2:$B$42,0)),"")</f>
        <v/>
      </c>
      <c r="CQ382" s="138" t="str">
        <f>IF($I382&lt;&gt;"",INDEX('Device Refrigerant Leakage'!$F$2:$F$42,MATCH($M382,'Device Refrigerant Leakage'!$B$2:$B$42,0)),"")</f>
        <v/>
      </c>
      <c r="CR382" s="145" t="str">
        <f>IF($I382&lt;&gt;"",INDEX('Device Refrigerant Leakage'!$G$2:$G$42,MATCH($M382,'Device Refrigerant Leakage'!$B$2:$B$42,0)),"")</f>
        <v/>
      </c>
      <c r="CS382" s="145" t="str">
        <f>IF($I382&lt;&gt;"",INDEX('Device Refrigerant Leakage'!$D$2:$D$42,MATCH($M382,'Device Refrigerant Leakage'!$B$2:$B$42,0))*CP382/2204.62*CO382,"")</f>
        <v/>
      </c>
      <c r="CT382" s="145" t="str">
        <f>IF($I382&lt;&gt;"",J382*(INDEX('Device Refrigerant Leakage'!$D$2:$D$42,MATCH($M382,'Device Refrigerant Leakage'!$B$2:$B$42,0))-(INDEX('Device Refrigerant Leakage'!$D$2:$D$42,MATCH($M382,'Device Refrigerant Leakage'!$B$2:$B$42,0)))*CR382*CP382)*CQ382/2204.62*CO382,"")</f>
        <v/>
      </c>
      <c r="CU382" s="135" t="str">
        <f>IF($I382&lt;&gt;"",J382*IF(W382&lt;&gt;"AR",(CS382*K382)+CT382,(CS382*AB382)+CT382*(AB382/INDEX('Device Refrigerant Leakage'!$C$2:$C$42,MATCH($M382,'Device Refrigerant Leakage'!$B$2:$B$42,0)))),"")</f>
        <v/>
      </c>
      <c r="CW382" s="135" t="str">
        <f>IF($I382&lt;&gt;"",IF(S382="User Specified",V382,INDEX('Refrigerant GWPs'!$G$2:$G$156,MATCH(S382,'Refrigerant GWPs'!$A$2:$A$157,0))),"")</f>
        <v/>
      </c>
      <c r="CX382" s="138" t="str">
        <f>IF($I382&lt;&gt;"",INDEX('Device Refrigerant Leakage'!$E$2:$E$42,MATCH($Q382,'Device Refrigerant Leakage'!$B$2:$B$42,0)),"")</f>
        <v/>
      </c>
      <c r="CY382" s="138" t="str">
        <f>IF($I382&lt;&gt;"",INDEX('Device Refrigerant Leakage'!$F$2:$F$42,MATCH($Q382,'Device Refrigerant Leakage'!$B$2:$B$42,0)),"")</f>
        <v/>
      </c>
      <c r="CZ382" s="145" t="str">
        <f>IF($I382&lt;&gt;"",INDEX('Device Refrigerant Leakage'!$G$2:$G$42,MATCH($Q382,'Device Refrigerant Leakage'!$B$2:$B$42,0)),"")</f>
        <v/>
      </c>
      <c r="DA382" s="145" t="str">
        <f>IF($I382&lt;&gt;"",J382*INDEX('Device Refrigerant Leakage'!$D$2:$D$42,MATCH($Q382,'Device Refrigerant Leakage'!$B$2:$B$42,0))*CX382/2204.62*CW382,"")</f>
        <v/>
      </c>
      <c r="DB382" s="145" t="str">
        <f>IF($I382&lt;&gt;"",J382*(INDEX('Device Refrigerant Leakage'!$D$2:$D$42,MATCH($Q382,'Device Refrigerant Leakage'!$B$2:$B$42,0))-(INDEX('Device Refrigerant Leakage'!$D$2:$D$42,MATCH($Q382,'Device Refrigerant Leakage'!$B$2:$B$42,0)))*CZ382*CX382)*CY382/2204.62*CW382,"")</f>
        <v/>
      </c>
      <c r="DC382" s="135" t="str">
        <f t="shared" si="484"/>
        <v/>
      </c>
      <c r="DE382" s="146" t="str">
        <f>IF(W382&lt;&gt;"AR","",IF(Y382="User Specified", AA382, INDEX('Refrigerant GWPs'!$G$2:$G$154,MATCH(Y382,'Refrigerant GWPs'!$A$2:$A$154,0))))</f>
        <v/>
      </c>
      <c r="DF382" s="146" t="str">
        <f>IF(W382&lt;&gt;"AR","",INDEX('Device Refrigerant Leakage'!$E$2:$E$42,MATCH(X382,'Device Refrigerant Leakage'!$B$2:$B$42,0)))</f>
        <v/>
      </c>
      <c r="DG382" s="146" t="str">
        <f>IF(W382&lt;&gt;"AR","",INDEX('Device Refrigerant Leakage'!$F$2:$F$42,MATCH(X382,'Device Refrigerant Leakage'!$B$2:$B$42,0)))</f>
        <v/>
      </c>
      <c r="DH382" s="146" t="str">
        <f>IF(W382&lt;&gt;"AR","",INDEX('Device Refrigerant Leakage'!$G$2:$G$42,MATCH(X382,'Device Refrigerant Leakage'!$B$2:$B$42,0)))</f>
        <v/>
      </c>
      <c r="DI382" s="146" t="str">
        <f>IF(W382&lt;&gt;"AR","",J382*INDEX('Device Refrigerant Leakage'!$D$2:$D$42,MATCH(X382,'Device Refrigerant Leakage'!$B$2:$B$42,0))*DF382/2204.62*DE382)</f>
        <v/>
      </c>
      <c r="DJ382" s="146" t="str">
        <f>IF(W382&lt;&gt;"AR","",J382*(INDEX('Device Refrigerant Leakage'!$D$2:$D$42,MATCH(X382,'Device Refrigerant Leakage'!$B$2:$B$42,0))-(INDEX('Device Refrigerant Leakage'!$D$2:$D$42,MATCH(X382,'Device Refrigerant Leakage'!$B$2:$B$42,0)))*DH382*DF382)*DG382/2204.62*DE382)</f>
        <v/>
      </c>
      <c r="DK382" s="146" t="str">
        <f>IF(W382&lt;&gt;"AR","",DI382*(K382-AB382)+'Fuel Sub Calcs-Deemed'!DJ382*((K382-AB382)/INDEX('Device Refrigerant Leakage'!$C$2:$C$42,MATCH('Fuel Sub Calcs-Deemed'!X382,'Device Refrigerant Leakage'!$B$2:$B$42,0))))</f>
        <v/>
      </c>
      <c r="DM382" s="56">
        <v>368</v>
      </c>
      <c r="DN382" s="67" t="e">
        <f t="shared" si="466"/>
        <v>#N/A</v>
      </c>
      <c r="DO382" s="45" t="e">
        <f t="shared" si="467"/>
        <v>#N/A</v>
      </c>
      <c r="DP382" s="67" t="e">
        <f t="shared" si="468"/>
        <v>#N/A</v>
      </c>
      <c r="DQ382" s="45" t="e">
        <f t="shared" si="469"/>
        <v>#N/A</v>
      </c>
      <c r="DR382" s="69" t="e">
        <f t="shared" si="470"/>
        <v>#N/A</v>
      </c>
      <c r="DS382" s="34"/>
      <c r="DT382" s="67" t="e">
        <f>((BX382*CJ382)+IF($W382=MAT_AR,(BZ382*CL382),0))*(1+Reference!$E$50+Reference!$E$51)</f>
        <v>#N/A</v>
      </c>
      <c r="DU382" s="67">
        <f>((BY382*CK382)+IF($W382=MAT_AR,(CA382*CM382),0))*(1+Reference!$G$50+Reference!$G$51)</f>
        <v>0</v>
      </c>
      <c r="DV382" s="67" t="e">
        <f t="shared" si="471"/>
        <v>#VALUE!</v>
      </c>
      <c r="DX382" s="56">
        <v>368</v>
      </c>
      <c r="DY382" s="67">
        <f t="shared" si="472"/>
        <v>0</v>
      </c>
      <c r="DZ382" s="45" t="e">
        <f>VLOOKUP($R382,Dropdown!$C$3:$D$4,2,FALSE)</f>
        <v>#N/A</v>
      </c>
      <c r="EA382" s="68">
        <f t="shared" si="473"/>
        <v>0</v>
      </c>
      <c r="EB382" s="68" t="str">
        <f t="shared" si="474"/>
        <v>N/A</v>
      </c>
      <c r="EC382" s="68">
        <f t="shared" si="475"/>
        <v>0</v>
      </c>
      <c r="ED382" s="68" t="str">
        <f t="shared" si="513"/>
        <v>N/A</v>
      </c>
      <c r="EF382" s="56">
        <v>368</v>
      </c>
      <c r="EG382" s="46">
        <f t="shared" si="476"/>
        <v>0</v>
      </c>
      <c r="EH382" s="68" t="e">
        <f t="shared" si="477"/>
        <v>#N/A</v>
      </c>
      <c r="EI382" s="68" t="e">
        <f t="shared" si="478"/>
        <v>#N/A</v>
      </c>
      <c r="EJ382" s="68" t="e">
        <f t="shared" si="479"/>
        <v>#N/A</v>
      </c>
      <c r="EK382" s="68" t="e">
        <f t="shared" si="480"/>
        <v>#N/A</v>
      </c>
      <c r="EL382" s="46">
        <f t="shared" si="481"/>
        <v>0</v>
      </c>
      <c r="EM382" s="46">
        <f t="shared" si="482"/>
        <v>0</v>
      </c>
    </row>
    <row r="383" spans="1:143">
      <c r="A383" s="89"/>
      <c r="B383" s="89"/>
      <c r="C383" s="89"/>
      <c r="D383" s="89"/>
      <c r="E383" s="89"/>
      <c r="F383" s="89"/>
      <c r="G383" s="34"/>
      <c r="H383" s="56">
        <f t="shared" si="483"/>
        <v>369</v>
      </c>
      <c r="I383" s="165"/>
      <c r="J383" s="163"/>
      <c r="K383" s="163"/>
      <c r="L383" s="164"/>
      <c r="M383" s="155"/>
      <c r="N383" s="155"/>
      <c r="O383" s="144"/>
      <c r="P383" s="159" t="str">
        <f>IFERROR(IF(O383&lt;&gt;"User Specified",IF(O383&lt;&gt;"", INDEX('Refrigerant GWPs'!$G$2:$G$154,MATCH(O383,'Refrigerant GWPs'!$A$2:$A$154,0)),""),U383),0)</f>
        <v/>
      </c>
      <c r="Q383" s="155"/>
      <c r="R383" s="155"/>
      <c r="S383" s="144"/>
      <c r="T383" s="159" t="str">
        <f>IF(S383&lt;&gt;"User Specified",IF(AND(S383&lt;&gt;"User Specified",S383&lt;&gt;""), INDEX('Refrigerant GWPs'!$G$2:$G$154,MATCH(S383,'Refrigerant GWPs'!$A$2:$A$154,0)),""),V383)</f>
        <v/>
      </c>
      <c r="U383" s="144"/>
      <c r="V383" s="144"/>
      <c r="W383" s="155"/>
      <c r="X383" s="155"/>
      <c r="Y383" s="144"/>
      <c r="Z383" s="159" t="str">
        <f>IF(AND(Y383&lt;&gt;"User Specified",Y383&lt;&gt;""), INDEX('Refrigerant GWPs'!$G$2:$G$154,MATCH(Y383,'Refrigerant GWPs'!$A$2:$A$154,0)),"")</f>
        <v/>
      </c>
      <c r="AA383" s="155"/>
      <c r="AB383" s="156"/>
      <c r="AC383" s="66"/>
      <c r="AD383" s="66"/>
      <c r="AE383" s="66"/>
      <c r="AF383" s="66"/>
      <c r="AG383" s="66"/>
      <c r="AH383" s="66"/>
      <c r="AI383" s="34"/>
      <c r="AJ383" s="88">
        <f t="shared" si="446"/>
        <v>0</v>
      </c>
      <c r="AK383" s="88">
        <f t="shared" si="447"/>
        <v>0</v>
      </c>
      <c r="AL383" s="88">
        <v>0</v>
      </c>
      <c r="AM383" s="88">
        <v>0</v>
      </c>
      <c r="AN383" s="81" t="str">
        <f t="shared" si="485"/>
        <v/>
      </c>
      <c r="AO383" s="88">
        <f t="shared" si="448"/>
        <v>0</v>
      </c>
      <c r="AP383" s="88">
        <f t="shared" si="449"/>
        <v>0</v>
      </c>
      <c r="AQ383" s="81" t="str">
        <f t="shared" si="450"/>
        <v/>
      </c>
      <c r="AS383" s="41" t="b">
        <f t="shared" si="451"/>
        <v>1</v>
      </c>
      <c r="AT383" s="38">
        <f t="shared" si="452"/>
        <v>0</v>
      </c>
      <c r="AU383" s="60">
        <f t="shared" si="453"/>
        <v>0</v>
      </c>
      <c r="AV383" s="41">
        <f t="shared" si="454"/>
        <v>0</v>
      </c>
      <c r="AW383" s="41" t="b">
        <f t="shared" si="455"/>
        <v>0</v>
      </c>
      <c r="AX383" t="str">
        <f t="shared" si="456"/>
        <v>+00</v>
      </c>
      <c r="AY383" t="str">
        <f t="shared" si="457"/>
        <v>+00</v>
      </c>
      <c r="BA383" s="47" t="b">
        <f t="shared" si="486"/>
        <v>1</v>
      </c>
      <c r="BB383" s="42" t="b">
        <f t="shared" si="487"/>
        <v>1</v>
      </c>
      <c r="BC383" s="42" t="b">
        <f t="shared" si="488"/>
        <v>0</v>
      </c>
      <c r="BD383" s="42" t="b">
        <f t="shared" si="489"/>
        <v>0</v>
      </c>
      <c r="BE383" s="70">
        <f t="shared" si="490"/>
        <v>0</v>
      </c>
      <c r="BF383" s="70">
        <f t="shared" si="491"/>
        <v>0</v>
      </c>
      <c r="BG383" s="34"/>
      <c r="BI383" s="47" t="b">
        <f t="shared" si="492"/>
        <v>1</v>
      </c>
      <c r="BJ383" s="47" t="b">
        <f t="shared" si="493"/>
        <v>1</v>
      </c>
      <c r="BK383" s="42" t="b">
        <f t="shared" si="494"/>
        <v>0</v>
      </c>
      <c r="BL383" s="42" t="b">
        <f t="shared" si="495"/>
        <v>0</v>
      </c>
      <c r="BM383" s="42">
        <f t="shared" si="496"/>
        <v>0</v>
      </c>
      <c r="BN383" s="42">
        <f t="shared" si="497"/>
        <v>0</v>
      </c>
      <c r="BP383" t="e">
        <f t="shared" si="498"/>
        <v>#N/A</v>
      </c>
      <c r="BQ383" t="e">
        <f t="shared" si="499"/>
        <v>#N/A</v>
      </c>
      <c r="BR383" t="e">
        <f t="shared" si="500"/>
        <v>#N/A</v>
      </c>
      <c r="BT383" s="60">
        <f t="shared" si="501"/>
        <v>0</v>
      </c>
      <c r="BU383" s="60">
        <f t="shared" si="502"/>
        <v>0</v>
      </c>
      <c r="BV383" s="60">
        <f t="shared" si="503"/>
        <v>0</v>
      </c>
      <c r="BW383" s="60">
        <f t="shared" si="504"/>
        <v>0</v>
      </c>
      <c r="BX383" s="60">
        <f t="shared" si="505"/>
        <v>0</v>
      </c>
      <c r="BY383" s="60">
        <f t="shared" si="506"/>
        <v>0</v>
      </c>
      <c r="BZ383" s="60">
        <f t="shared" si="507"/>
        <v>0</v>
      </c>
      <c r="CA383" s="60">
        <f t="shared" si="508"/>
        <v>0</v>
      </c>
      <c r="CB383" s="60" t="e">
        <f t="shared" si="458"/>
        <v>#N/A</v>
      </c>
      <c r="CC383" s="60">
        <f t="shared" si="459"/>
        <v>100000</v>
      </c>
      <c r="CD383" s="60" t="e">
        <f t="shared" si="460"/>
        <v>#N/A</v>
      </c>
      <c r="CE383" s="60">
        <f t="shared" si="461"/>
        <v>100000</v>
      </c>
      <c r="CF383" s="83" t="e">
        <f t="shared" si="509"/>
        <v>#N/A</v>
      </c>
      <c r="CG383" s="83">
        <f t="shared" si="510"/>
        <v>0</v>
      </c>
      <c r="CH383" s="83" t="e">
        <f t="shared" si="511"/>
        <v>#N/A</v>
      </c>
      <c r="CI383" s="83">
        <f t="shared" si="512"/>
        <v>0</v>
      </c>
      <c r="CJ383" s="86" t="e">
        <f t="shared" si="462"/>
        <v>#N/A</v>
      </c>
      <c r="CK383" s="82">
        <f t="shared" si="463"/>
        <v>5.3070370403969858E-3</v>
      </c>
      <c r="CL383" s="82" t="e">
        <f t="shared" si="464"/>
        <v>#N/A</v>
      </c>
      <c r="CM383" s="82">
        <f t="shared" si="465"/>
        <v>5.3070370403969858E-3</v>
      </c>
      <c r="CO383" s="149" t="str">
        <f>IF($I383&lt;&gt;"",IF(O383="User Specified",U383,INDEX('Refrigerant GWPs'!$G$2:$G$156,MATCH(O383,'Refrigerant GWPs'!$A$2:$A$156,0))),"")</f>
        <v/>
      </c>
      <c r="CP383" s="138" t="str">
        <f>IF($I383&lt;&gt;"",INDEX('Device Refrigerant Leakage'!$E$2:$E$42,MATCH($M383,'Device Refrigerant Leakage'!$B$2:$B$42,0)),"")</f>
        <v/>
      </c>
      <c r="CQ383" s="138" t="str">
        <f>IF($I383&lt;&gt;"",INDEX('Device Refrigerant Leakage'!$F$2:$F$42,MATCH($M383,'Device Refrigerant Leakage'!$B$2:$B$42,0)),"")</f>
        <v/>
      </c>
      <c r="CR383" s="145" t="str">
        <f>IF($I383&lt;&gt;"",INDEX('Device Refrigerant Leakage'!$G$2:$G$42,MATCH($M383,'Device Refrigerant Leakage'!$B$2:$B$42,0)),"")</f>
        <v/>
      </c>
      <c r="CS383" s="145" t="str">
        <f>IF($I383&lt;&gt;"",INDEX('Device Refrigerant Leakage'!$D$2:$D$42,MATCH($M383,'Device Refrigerant Leakage'!$B$2:$B$42,0))*CP383/2204.62*CO383,"")</f>
        <v/>
      </c>
      <c r="CT383" s="145" t="str">
        <f>IF($I383&lt;&gt;"",J383*(INDEX('Device Refrigerant Leakage'!$D$2:$D$42,MATCH($M383,'Device Refrigerant Leakage'!$B$2:$B$42,0))-(INDEX('Device Refrigerant Leakage'!$D$2:$D$42,MATCH($M383,'Device Refrigerant Leakage'!$B$2:$B$42,0)))*CR383*CP383)*CQ383/2204.62*CO383,"")</f>
        <v/>
      </c>
      <c r="CU383" s="135" t="str">
        <f>IF($I383&lt;&gt;"",J383*IF(W383&lt;&gt;"AR",(CS383*K383)+CT383,(CS383*AB383)+CT383*(AB383/INDEX('Device Refrigerant Leakage'!$C$2:$C$42,MATCH($M383,'Device Refrigerant Leakage'!$B$2:$B$42,0)))),"")</f>
        <v/>
      </c>
      <c r="CW383" s="135" t="str">
        <f>IF($I383&lt;&gt;"",IF(S383="User Specified",V383,INDEX('Refrigerant GWPs'!$G$2:$G$156,MATCH(S383,'Refrigerant GWPs'!$A$2:$A$157,0))),"")</f>
        <v/>
      </c>
      <c r="CX383" s="138" t="str">
        <f>IF($I383&lt;&gt;"",INDEX('Device Refrigerant Leakage'!$E$2:$E$42,MATCH($Q383,'Device Refrigerant Leakage'!$B$2:$B$42,0)),"")</f>
        <v/>
      </c>
      <c r="CY383" s="138" t="str">
        <f>IF($I383&lt;&gt;"",INDEX('Device Refrigerant Leakage'!$F$2:$F$42,MATCH($Q383,'Device Refrigerant Leakage'!$B$2:$B$42,0)),"")</f>
        <v/>
      </c>
      <c r="CZ383" s="145" t="str">
        <f>IF($I383&lt;&gt;"",INDEX('Device Refrigerant Leakage'!$G$2:$G$42,MATCH($Q383,'Device Refrigerant Leakage'!$B$2:$B$42,0)),"")</f>
        <v/>
      </c>
      <c r="DA383" s="145" t="str">
        <f>IF($I383&lt;&gt;"",J383*INDEX('Device Refrigerant Leakage'!$D$2:$D$42,MATCH($Q383,'Device Refrigerant Leakage'!$B$2:$B$42,0))*CX383/2204.62*CW383,"")</f>
        <v/>
      </c>
      <c r="DB383" s="145" t="str">
        <f>IF($I383&lt;&gt;"",J383*(INDEX('Device Refrigerant Leakage'!$D$2:$D$42,MATCH($Q383,'Device Refrigerant Leakage'!$B$2:$B$42,0))-(INDEX('Device Refrigerant Leakage'!$D$2:$D$42,MATCH($Q383,'Device Refrigerant Leakage'!$B$2:$B$42,0)))*CZ383*CX383)*CY383/2204.62*CW383,"")</f>
        <v/>
      </c>
      <c r="DC383" s="135" t="str">
        <f t="shared" si="484"/>
        <v/>
      </c>
      <c r="DE383" s="146" t="str">
        <f>IF(W383&lt;&gt;"AR","",IF(Y383="User Specified", AA383, INDEX('Refrigerant GWPs'!$G$2:$G$154,MATCH(Y383,'Refrigerant GWPs'!$A$2:$A$154,0))))</f>
        <v/>
      </c>
      <c r="DF383" s="146" t="str">
        <f>IF(W383&lt;&gt;"AR","",INDEX('Device Refrigerant Leakage'!$E$2:$E$42,MATCH(X383,'Device Refrigerant Leakage'!$B$2:$B$42,0)))</f>
        <v/>
      </c>
      <c r="DG383" s="146" t="str">
        <f>IF(W383&lt;&gt;"AR","",INDEX('Device Refrigerant Leakage'!$F$2:$F$42,MATCH(X383,'Device Refrigerant Leakage'!$B$2:$B$42,0)))</f>
        <v/>
      </c>
      <c r="DH383" s="146" t="str">
        <f>IF(W383&lt;&gt;"AR","",INDEX('Device Refrigerant Leakage'!$G$2:$G$42,MATCH(X383,'Device Refrigerant Leakage'!$B$2:$B$42,0)))</f>
        <v/>
      </c>
      <c r="DI383" s="146" t="str">
        <f>IF(W383&lt;&gt;"AR","",J383*INDEX('Device Refrigerant Leakage'!$D$2:$D$42,MATCH(X383,'Device Refrigerant Leakage'!$B$2:$B$42,0))*DF383/2204.62*DE383)</f>
        <v/>
      </c>
      <c r="DJ383" s="146" t="str">
        <f>IF(W383&lt;&gt;"AR","",J383*(INDEX('Device Refrigerant Leakage'!$D$2:$D$42,MATCH(X383,'Device Refrigerant Leakage'!$B$2:$B$42,0))-(INDEX('Device Refrigerant Leakage'!$D$2:$D$42,MATCH(X383,'Device Refrigerant Leakage'!$B$2:$B$42,0)))*DH383*DF383)*DG383/2204.62*DE383)</f>
        <v/>
      </c>
      <c r="DK383" s="146" t="str">
        <f>IF(W383&lt;&gt;"AR","",DI383*(K383-AB383)+'Fuel Sub Calcs-Deemed'!DJ383*((K383-AB383)/INDEX('Device Refrigerant Leakage'!$C$2:$C$42,MATCH('Fuel Sub Calcs-Deemed'!X383,'Device Refrigerant Leakage'!$B$2:$B$42,0))))</f>
        <v/>
      </c>
      <c r="DM383" s="56">
        <v>369</v>
      </c>
      <c r="DN383" s="67" t="e">
        <f t="shared" si="466"/>
        <v>#N/A</v>
      </c>
      <c r="DO383" s="45" t="e">
        <f t="shared" si="467"/>
        <v>#N/A</v>
      </c>
      <c r="DP383" s="67" t="e">
        <f t="shared" si="468"/>
        <v>#N/A</v>
      </c>
      <c r="DQ383" s="45" t="e">
        <f t="shared" si="469"/>
        <v>#N/A</v>
      </c>
      <c r="DR383" s="69" t="e">
        <f t="shared" si="470"/>
        <v>#N/A</v>
      </c>
      <c r="DS383" s="34"/>
      <c r="DT383" s="67" t="e">
        <f>((BX383*CJ383)+IF($W383=MAT_AR,(BZ383*CL383),0))*(1+Reference!$E$50+Reference!$E$51)</f>
        <v>#N/A</v>
      </c>
      <c r="DU383" s="67">
        <f>((BY383*CK383)+IF($W383=MAT_AR,(CA383*CM383),0))*(1+Reference!$G$50+Reference!$G$51)</f>
        <v>0</v>
      </c>
      <c r="DV383" s="67" t="e">
        <f t="shared" si="471"/>
        <v>#VALUE!</v>
      </c>
      <c r="DX383" s="56">
        <v>369</v>
      </c>
      <c r="DY383" s="67">
        <f t="shared" si="472"/>
        <v>0</v>
      </c>
      <c r="DZ383" s="45" t="e">
        <f>VLOOKUP($R383,Dropdown!$C$3:$D$4,2,FALSE)</f>
        <v>#N/A</v>
      </c>
      <c r="EA383" s="68">
        <f t="shared" si="473"/>
        <v>0</v>
      </c>
      <c r="EB383" s="68" t="str">
        <f t="shared" si="474"/>
        <v>N/A</v>
      </c>
      <c r="EC383" s="68">
        <f t="shared" si="475"/>
        <v>0</v>
      </c>
      <c r="ED383" s="68" t="str">
        <f t="shared" si="513"/>
        <v>N/A</v>
      </c>
      <c r="EF383" s="56">
        <v>369</v>
      </c>
      <c r="EG383" s="46">
        <f t="shared" si="476"/>
        <v>0</v>
      </c>
      <c r="EH383" s="68" t="e">
        <f t="shared" si="477"/>
        <v>#N/A</v>
      </c>
      <c r="EI383" s="68" t="e">
        <f t="shared" si="478"/>
        <v>#N/A</v>
      </c>
      <c r="EJ383" s="68" t="e">
        <f t="shared" si="479"/>
        <v>#N/A</v>
      </c>
      <c r="EK383" s="68" t="e">
        <f t="shared" si="480"/>
        <v>#N/A</v>
      </c>
      <c r="EL383" s="46">
        <f t="shared" si="481"/>
        <v>0</v>
      </c>
      <c r="EM383" s="46">
        <f t="shared" si="482"/>
        <v>0</v>
      </c>
    </row>
    <row r="384" spans="1:143">
      <c r="A384" s="89"/>
      <c r="B384" s="89"/>
      <c r="C384" s="89"/>
      <c r="D384" s="89"/>
      <c r="E384" s="89"/>
      <c r="F384" s="89"/>
      <c r="G384" s="34"/>
      <c r="H384" s="56">
        <f t="shared" si="483"/>
        <v>370</v>
      </c>
      <c r="I384" s="165"/>
      <c r="J384" s="163"/>
      <c r="K384" s="163"/>
      <c r="L384" s="164"/>
      <c r="M384" s="155"/>
      <c r="N384" s="155"/>
      <c r="O384" s="144"/>
      <c r="P384" s="159" t="str">
        <f>IFERROR(IF(O384&lt;&gt;"User Specified",IF(O384&lt;&gt;"", INDEX('Refrigerant GWPs'!$G$2:$G$154,MATCH(O384,'Refrigerant GWPs'!$A$2:$A$154,0)),""),U384),0)</f>
        <v/>
      </c>
      <c r="Q384" s="155"/>
      <c r="R384" s="155"/>
      <c r="S384" s="144"/>
      <c r="T384" s="159" t="str">
        <f>IF(S384&lt;&gt;"User Specified",IF(AND(S384&lt;&gt;"User Specified",S384&lt;&gt;""), INDEX('Refrigerant GWPs'!$G$2:$G$154,MATCH(S384,'Refrigerant GWPs'!$A$2:$A$154,0)),""),V384)</f>
        <v/>
      </c>
      <c r="U384" s="144"/>
      <c r="V384" s="144"/>
      <c r="W384" s="155"/>
      <c r="X384" s="155"/>
      <c r="Y384" s="144"/>
      <c r="Z384" s="159" t="str">
        <f>IF(AND(Y384&lt;&gt;"User Specified",Y384&lt;&gt;""), INDEX('Refrigerant GWPs'!$G$2:$G$154,MATCH(Y384,'Refrigerant GWPs'!$A$2:$A$154,0)),"")</f>
        <v/>
      </c>
      <c r="AA384" s="155"/>
      <c r="AB384" s="156"/>
      <c r="AC384" s="66"/>
      <c r="AD384" s="66"/>
      <c r="AE384" s="66"/>
      <c r="AF384" s="66"/>
      <c r="AG384" s="66"/>
      <c r="AH384" s="66"/>
      <c r="AI384" s="34"/>
      <c r="AJ384" s="88">
        <f t="shared" si="446"/>
        <v>0</v>
      </c>
      <c r="AK384" s="88">
        <f t="shared" si="447"/>
        <v>0</v>
      </c>
      <c r="AL384" s="88">
        <v>0</v>
      </c>
      <c r="AM384" s="88">
        <v>0</v>
      </c>
      <c r="AN384" s="81" t="str">
        <f t="shared" si="485"/>
        <v/>
      </c>
      <c r="AO384" s="88">
        <f t="shared" si="448"/>
        <v>0</v>
      </c>
      <c r="AP384" s="88">
        <f t="shared" si="449"/>
        <v>0</v>
      </c>
      <c r="AQ384" s="81" t="str">
        <f t="shared" si="450"/>
        <v/>
      </c>
      <c r="AS384" s="41" t="b">
        <f t="shared" si="451"/>
        <v>1</v>
      </c>
      <c r="AT384" s="38">
        <f t="shared" si="452"/>
        <v>0</v>
      </c>
      <c r="AU384" s="60">
        <f t="shared" si="453"/>
        <v>0</v>
      </c>
      <c r="AV384" s="41">
        <f t="shared" si="454"/>
        <v>0</v>
      </c>
      <c r="AW384" s="41" t="b">
        <f t="shared" si="455"/>
        <v>0</v>
      </c>
      <c r="AX384" t="str">
        <f t="shared" si="456"/>
        <v>+00</v>
      </c>
      <c r="AY384" t="str">
        <f t="shared" si="457"/>
        <v>+00</v>
      </c>
      <c r="BA384" s="47" t="b">
        <f t="shared" si="486"/>
        <v>1</v>
      </c>
      <c r="BB384" s="42" t="b">
        <f t="shared" si="487"/>
        <v>1</v>
      </c>
      <c r="BC384" s="42" t="b">
        <f t="shared" si="488"/>
        <v>0</v>
      </c>
      <c r="BD384" s="42" t="b">
        <f t="shared" si="489"/>
        <v>0</v>
      </c>
      <c r="BE384" s="70">
        <f t="shared" si="490"/>
        <v>0</v>
      </c>
      <c r="BF384" s="70">
        <f t="shared" si="491"/>
        <v>0</v>
      </c>
      <c r="BG384" s="34"/>
      <c r="BI384" s="47" t="b">
        <f t="shared" si="492"/>
        <v>1</v>
      </c>
      <c r="BJ384" s="47" t="b">
        <f t="shared" si="493"/>
        <v>1</v>
      </c>
      <c r="BK384" s="42" t="b">
        <f t="shared" si="494"/>
        <v>0</v>
      </c>
      <c r="BL384" s="42" t="b">
        <f t="shared" si="495"/>
        <v>0</v>
      </c>
      <c r="BM384" s="42">
        <f t="shared" si="496"/>
        <v>0</v>
      </c>
      <c r="BN384" s="42">
        <f t="shared" si="497"/>
        <v>0</v>
      </c>
      <c r="BP384" t="e">
        <f t="shared" si="498"/>
        <v>#N/A</v>
      </c>
      <c r="BQ384" t="e">
        <f t="shared" si="499"/>
        <v>#N/A</v>
      </c>
      <c r="BR384" t="e">
        <f t="shared" si="500"/>
        <v>#N/A</v>
      </c>
      <c r="BT384" s="60">
        <f t="shared" si="501"/>
        <v>0</v>
      </c>
      <c r="BU384" s="60">
        <f t="shared" si="502"/>
        <v>0</v>
      </c>
      <c r="BV384" s="60">
        <f t="shared" si="503"/>
        <v>0</v>
      </c>
      <c r="BW384" s="60">
        <f t="shared" si="504"/>
        <v>0</v>
      </c>
      <c r="BX384" s="60">
        <f t="shared" si="505"/>
        <v>0</v>
      </c>
      <c r="BY384" s="60">
        <f t="shared" si="506"/>
        <v>0</v>
      </c>
      <c r="BZ384" s="60">
        <f t="shared" si="507"/>
        <v>0</v>
      </c>
      <c r="CA384" s="60">
        <f t="shared" si="508"/>
        <v>0</v>
      </c>
      <c r="CB384" s="60" t="e">
        <f t="shared" si="458"/>
        <v>#N/A</v>
      </c>
      <c r="CC384" s="60">
        <f t="shared" si="459"/>
        <v>100000</v>
      </c>
      <c r="CD384" s="60" t="e">
        <f t="shared" si="460"/>
        <v>#N/A</v>
      </c>
      <c r="CE384" s="60">
        <f t="shared" si="461"/>
        <v>100000</v>
      </c>
      <c r="CF384" s="83" t="e">
        <f t="shared" si="509"/>
        <v>#N/A</v>
      </c>
      <c r="CG384" s="83">
        <f t="shared" si="510"/>
        <v>0</v>
      </c>
      <c r="CH384" s="83" t="e">
        <f t="shared" si="511"/>
        <v>#N/A</v>
      </c>
      <c r="CI384" s="83">
        <f t="shared" si="512"/>
        <v>0</v>
      </c>
      <c r="CJ384" s="86" t="e">
        <f t="shared" si="462"/>
        <v>#N/A</v>
      </c>
      <c r="CK384" s="82">
        <f t="shared" si="463"/>
        <v>5.3070370403969858E-3</v>
      </c>
      <c r="CL384" s="82" t="e">
        <f t="shared" si="464"/>
        <v>#N/A</v>
      </c>
      <c r="CM384" s="82">
        <f t="shared" si="465"/>
        <v>5.3070370403969858E-3</v>
      </c>
      <c r="CO384" s="149" t="str">
        <f>IF($I384&lt;&gt;"",IF(O384="User Specified",U384,INDEX('Refrigerant GWPs'!$G$2:$G$156,MATCH(O384,'Refrigerant GWPs'!$A$2:$A$156,0))),"")</f>
        <v/>
      </c>
      <c r="CP384" s="138" t="str">
        <f>IF($I384&lt;&gt;"",INDEX('Device Refrigerant Leakage'!$E$2:$E$42,MATCH($M384,'Device Refrigerant Leakage'!$B$2:$B$42,0)),"")</f>
        <v/>
      </c>
      <c r="CQ384" s="138" t="str">
        <f>IF($I384&lt;&gt;"",INDEX('Device Refrigerant Leakage'!$F$2:$F$42,MATCH($M384,'Device Refrigerant Leakage'!$B$2:$B$42,0)),"")</f>
        <v/>
      </c>
      <c r="CR384" s="145" t="str">
        <f>IF($I384&lt;&gt;"",INDEX('Device Refrigerant Leakage'!$G$2:$G$42,MATCH($M384,'Device Refrigerant Leakage'!$B$2:$B$42,0)),"")</f>
        <v/>
      </c>
      <c r="CS384" s="145" t="str">
        <f>IF($I384&lt;&gt;"",INDEX('Device Refrigerant Leakage'!$D$2:$D$42,MATCH($M384,'Device Refrigerant Leakage'!$B$2:$B$42,0))*CP384/2204.62*CO384,"")</f>
        <v/>
      </c>
      <c r="CT384" s="145" t="str">
        <f>IF($I384&lt;&gt;"",J384*(INDEX('Device Refrigerant Leakage'!$D$2:$D$42,MATCH($M384,'Device Refrigerant Leakage'!$B$2:$B$42,0))-(INDEX('Device Refrigerant Leakage'!$D$2:$D$42,MATCH($M384,'Device Refrigerant Leakage'!$B$2:$B$42,0)))*CR384*CP384)*CQ384/2204.62*CO384,"")</f>
        <v/>
      </c>
      <c r="CU384" s="135" t="str">
        <f>IF($I384&lt;&gt;"",J384*IF(W384&lt;&gt;"AR",(CS384*K384)+CT384,(CS384*AB384)+CT384*(AB384/INDEX('Device Refrigerant Leakage'!$C$2:$C$42,MATCH($M384,'Device Refrigerant Leakage'!$B$2:$B$42,0)))),"")</f>
        <v/>
      </c>
      <c r="CW384" s="135" t="str">
        <f>IF($I384&lt;&gt;"",IF(S384="User Specified",V384,INDEX('Refrigerant GWPs'!$G$2:$G$156,MATCH(S384,'Refrigerant GWPs'!$A$2:$A$157,0))),"")</f>
        <v/>
      </c>
      <c r="CX384" s="138" t="str">
        <f>IF($I384&lt;&gt;"",INDEX('Device Refrigerant Leakage'!$E$2:$E$42,MATCH($Q384,'Device Refrigerant Leakage'!$B$2:$B$42,0)),"")</f>
        <v/>
      </c>
      <c r="CY384" s="138" t="str">
        <f>IF($I384&lt;&gt;"",INDEX('Device Refrigerant Leakage'!$F$2:$F$42,MATCH($Q384,'Device Refrigerant Leakage'!$B$2:$B$42,0)),"")</f>
        <v/>
      </c>
      <c r="CZ384" s="145" t="str">
        <f>IF($I384&lt;&gt;"",INDEX('Device Refrigerant Leakage'!$G$2:$G$42,MATCH($Q384,'Device Refrigerant Leakage'!$B$2:$B$42,0)),"")</f>
        <v/>
      </c>
      <c r="DA384" s="145" t="str">
        <f>IF($I384&lt;&gt;"",J384*INDEX('Device Refrigerant Leakage'!$D$2:$D$42,MATCH($Q384,'Device Refrigerant Leakage'!$B$2:$B$42,0))*CX384/2204.62*CW384,"")</f>
        <v/>
      </c>
      <c r="DB384" s="145" t="str">
        <f>IF($I384&lt;&gt;"",J384*(INDEX('Device Refrigerant Leakage'!$D$2:$D$42,MATCH($Q384,'Device Refrigerant Leakage'!$B$2:$B$42,0))-(INDEX('Device Refrigerant Leakage'!$D$2:$D$42,MATCH($Q384,'Device Refrigerant Leakage'!$B$2:$B$42,0)))*CZ384*CX384)*CY384/2204.62*CW384,"")</f>
        <v/>
      </c>
      <c r="DC384" s="135" t="str">
        <f t="shared" si="484"/>
        <v/>
      </c>
      <c r="DE384" s="146" t="str">
        <f>IF(W384&lt;&gt;"AR","",IF(Y384="User Specified", AA384, INDEX('Refrigerant GWPs'!$G$2:$G$154,MATCH(Y384,'Refrigerant GWPs'!$A$2:$A$154,0))))</f>
        <v/>
      </c>
      <c r="DF384" s="146" t="str">
        <f>IF(W384&lt;&gt;"AR","",INDEX('Device Refrigerant Leakage'!$E$2:$E$42,MATCH(X384,'Device Refrigerant Leakage'!$B$2:$B$42,0)))</f>
        <v/>
      </c>
      <c r="DG384" s="146" t="str">
        <f>IF(W384&lt;&gt;"AR","",INDEX('Device Refrigerant Leakage'!$F$2:$F$42,MATCH(X384,'Device Refrigerant Leakage'!$B$2:$B$42,0)))</f>
        <v/>
      </c>
      <c r="DH384" s="146" t="str">
        <f>IF(W384&lt;&gt;"AR","",INDEX('Device Refrigerant Leakage'!$G$2:$G$42,MATCH(X384,'Device Refrigerant Leakage'!$B$2:$B$42,0)))</f>
        <v/>
      </c>
      <c r="DI384" s="146" t="str">
        <f>IF(W384&lt;&gt;"AR","",J384*INDEX('Device Refrigerant Leakage'!$D$2:$D$42,MATCH(X384,'Device Refrigerant Leakage'!$B$2:$B$42,0))*DF384/2204.62*DE384)</f>
        <v/>
      </c>
      <c r="DJ384" s="146" t="str">
        <f>IF(W384&lt;&gt;"AR","",J384*(INDEX('Device Refrigerant Leakage'!$D$2:$D$42,MATCH(X384,'Device Refrigerant Leakage'!$B$2:$B$42,0))-(INDEX('Device Refrigerant Leakage'!$D$2:$D$42,MATCH(X384,'Device Refrigerant Leakage'!$B$2:$B$42,0)))*DH384*DF384)*DG384/2204.62*DE384)</f>
        <v/>
      </c>
      <c r="DK384" s="146" t="str">
        <f>IF(W384&lt;&gt;"AR","",DI384*(K384-AB384)+'Fuel Sub Calcs-Deemed'!DJ384*((K384-AB384)/INDEX('Device Refrigerant Leakage'!$C$2:$C$42,MATCH('Fuel Sub Calcs-Deemed'!X384,'Device Refrigerant Leakage'!$B$2:$B$42,0))))</f>
        <v/>
      </c>
      <c r="DM384" s="56">
        <v>370</v>
      </c>
      <c r="DN384" s="67" t="e">
        <f t="shared" si="466"/>
        <v>#N/A</v>
      </c>
      <c r="DO384" s="45" t="e">
        <f t="shared" si="467"/>
        <v>#N/A</v>
      </c>
      <c r="DP384" s="67" t="e">
        <f t="shared" si="468"/>
        <v>#N/A</v>
      </c>
      <c r="DQ384" s="45" t="e">
        <f t="shared" si="469"/>
        <v>#N/A</v>
      </c>
      <c r="DR384" s="69" t="e">
        <f t="shared" si="470"/>
        <v>#N/A</v>
      </c>
      <c r="DS384" s="34"/>
      <c r="DT384" s="67" t="e">
        <f>((BX384*CJ384)+IF($W384=MAT_AR,(BZ384*CL384),0))*(1+Reference!$E$50+Reference!$E$51)</f>
        <v>#N/A</v>
      </c>
      <c r="DU384" s="67">
        <f>((BY384*CK384)+IF($W384=MAT_AR,(CA384*CM384),0))*(1+Reference!$G$50+Reference!$G$51)</f>
        <v>0</v>
      </c>
      <c r="DV384" s="67" t="e">
        <f t="shared" si="471"/>
        <v>#VALUE!</v>
      </c>
      <c r="DX384" s="56">
        <v>370</v>
      </c>
      <c r="DY384" s="67">
        <f t="shared" si="472"/>
        <v>0</v>
      </c>
      <c r="DZ384" s="45" t="e">
        <f>VLOOKUP($R384,Dropdown!$C$3:$D$4,2,FALSE)</f>
        <v>#N/A</v>
      </c>
      <c r="EA384" s="68">
        <f t="shared" si="473"/>
        <v>0</v>
      </c>
      <c r="EB384" s="68" t="str">
        <f t="shared" si="474"/>
        <v>N/A</v>
      </c>
      <c r="EC384" s="68">
        <f t="shared" si="475"/>
        <v>0</v>
      </c>
      <c r="ED384" s="68" t="str">
        <f t="shared" si="513"/>
        <v>N/A</v>
      </c>
      <c r="EF384" s="56">
        <v>370</v>
      </c>
      <c r="EG384" s="46">
        <f t="shared" si="476"/>
        <v>0</v>
      </c>
      <c r="EH384" s="68" t="e">
        <f t="shared" si="477"/>
        <v>#N/A</v>
      </c>
      <c r="EI384" s="68" t="e">
        <f t="shared" si="478"/>
        <v>#N/A</v>
      </c>
      <c r="EJ384" s="68" t="e">
        <f t="shared" si="479"/>
        <v>#N/A</v>
      </c>
      <c r="EK384" s="68" t="e">
        <f t="shared" si="480"/>
        <v>#N/A</v>
      </c>
      <c r="EL384" s="46">
        <f t="shared" si="481"/>
        <v>0</v>
      </c>
      <c r="EM384" s="46">
        <f t="shared" si="482"/>
        <v>0</v>
      </c>
    </row>
    <row r="385" spans="1:143">
      <c r="A385" s="89"/>
      <c r="B385" s="89"/>
      <c r="C385" s="89"/>
      <c r="D385" s="89"/>
      <c r="E385" s="89"/>
      <c r="F385" s="89"/>
      <c r="G385" s="34"/>
      <c r="H385" s="56">
        <f t="shared" si="483"/>
        <v>371</v>
      </c>
      <c r="I385" s="165"/>
      <c r="J385" s="163"/>
      <c r="K385" s="163"/>
      <c r="L385" s="164"/>
      <c r="M385" s="155"/>
      <c r="N385" s="155"/>
      <c r="O385" s="144"/>
      <c r="P385" s="159" t="str">
        <f>IFERROR(IF(O385&lt;&gt;"User Specified",IF(O385&lt;&gt;"", INDEX('Refrigerant GWPs'!$G$2:$G$154,MATCH(O385,'Refrigerant GWPs'!$A$2:$A$154,0)),""),U385),0)</f>
        <v/>
      </c>
      <c r="Q385" s="155"/>
      <c r="R385" s="155"/>
      <c r="S385" s="144"/>
      <c r="T385" s="159" t="str">
        <f>IF(S385&lt;&gt;"User Specified",IF(AND(S385&lt;&gt;"User Specified",S385&lt;&gt;""), INDEX('Refrigerant GWPs'!$G$2:$G$154,MATCH(S385,'Refrigerant GWPs'!$A$2:$A$154,0)),""),V385)</f>
        <v/>
      </c>
      <c r="U385" s="144"/>
      <c r="V385" s="144"/>
      <c r="W385" s="155"/>
      <c r="X385" s="155"/>
      <c r="Y385" s="144"/>
      <c r="Z385" s="159" t="str">
        <f>IF(AND(Y385&lt;&gt;"User Specified",Y385&lt;&gt;""), INDEX('Refrigerant GWPs'!$G$2:$G$154,MATCH(Y385,'Refrigerant GWPs'!$A$2:$A$154,0)),"")</f>
        <v/>
      </c>
      <c r="AA385" s="155"/>
      <c r="AB385" s="156"/>
      <c r="AC385" s="66"/>
      <c r="AD385" s="66"/>
      <c r="AE385" s="66"/>
      <c r="AF385" s="66"/>
      <c r="AG385" s="66"/>
      <c r="AH385" s="66"/>
      <c r="AI385" s="34"/>
      <c r="AJ385" s="88">
        <f t="shared" si="446"/>
        <v>0</v>
      </c>
      <c r="AK385" s="88">
        <f t="shared" si="447"/>
        <v>0</v>
      </c>
      <c r="AL385" s="88">
        <v>0</v>
      </c>
      <c r="AM385" s="88">
        <v>0</v>
      </c>
      <c r="AN385" s="81" t="str">
        <f t="shared" si="485"/>
        <v/>
      </c>
      <c r="AO385" s="88">
        <f t="shared" si="448"/>
        <v>0</v>
      </c>
      <c r="AP385" s="88">
        <f t="shared" si="449"/>
        <v>0</v>
      </c>
      <c r="AQ385" s="81" t="str">
        <f t="shared" si="450"/>
        <v/>
      </c>
      <c r="AS385" s="41" t="b">
        <f t="shared" si="451"/>
        <v>1</v>
      </c>
      <c r="AT385" s="38">
        <f t="shared" si="452"/>
        <v>0</v>
      </c>
      <c r="AU385" s="60">
        <f t="shared" si="453"/>
        <v>0</v>
      </c>
      <c r="AV385" s="41">
        <f t="shared" si="454"/>
        <v>0</v>
      </c>
      <c r="AW385" s="41" t="b">
        <f t="shared" si="455"/>
        <v>0</v>
      </c>
      <c r="AX385" t="str">
        <f t="shared" si="456"/>
        <v>+00</v>
      </c>
      <c r="AY385" t="str">
        <f t="shared" si="457"/>
        <v>+00</v>
      </c>
      <c r="BA385" s="47" t="b">
        <f t="shared" si="486"/>
        <v>1</v>
      </c>
      <c r="BB385" s="42" t="b">
        <f t="shared" si="487"/>
        <v>1</v>
      </c>
      <c r="BC385" s="42" t="b">
        <f t="shared" si="488"/>
        <v>0</v>
      </c>
      <c r="BD385" s="42" t="b">
        <f t="shared" si="489"/>
        <v>0</v>
      </c>
      <c r="BE385" s="70">
        <f t="shared" si="490"/>
        <v>0</v>
      </c>
      <c r="BF385" s="70">
        <f t="shared" si="491"/>
        <v>0</v>
      </c>
      <c r="BG385" s="34"/>
      <c r="BI385" s="47" t="b">
        <f t="shared" si="492"/>
        <v>1</v>
      </c>
      <c r="BJ385" s="47" t="b">
        <f t="shared" si="493"/>
        <v>1</v>
      </c>
      <c r="BK385" s="42" t="b">
        <f t="shared" si="494"/>
        <v>0</v>
      </c>
      <c r="BL385" s="42" t="b">
        <f t="shared" si="495"/>
        <v>0</v>
      </c>
      <c r="BM385" s="42">
        <f t="shared" si="496"/>
        <v>0</v>
      </c>
      <c r="BN385" s="42">
        <f t="shared" si="497"/>
        <v>0</v>
      </c>
      <c r="BP385" t="e">
        <f t="shared" si="498"/>
        <v>#N/A</v>
      </c>
      <c r="BQ385" t="e">
        <f t="shared" si="499"/>
        <v>#N/A</v>
      </c>
      <c r="BR385" t="e">
        <f t="shared" si="500"/>
        <v>#N/A</v>
      </c>
      <c r="BT385" s="60">
        <f t="shared" si="501"/>
        <v>0</v>
      </c>
      <c r="BU385" s="60">
        <f t="shared" si="502"/>
        <v>0</v>
      </c>
      <c r="BV385" s="60">
        <f t="shared" si="503"/>
        <v>0</v>
      </c>
      <c r="BW385" s="60">
        <f t="shared" si="504"/>
        <v>0</v>
      </c>
      <c r="BX385" s="60">
        <f t="shared" si="505"/>
        <v>0</v>
      </c>
      <c r="BY385" s="60">
        <f t="shared" si="506"/>
        <v>0</v>
      </c>
      <c r="BZ385" s="60">
        <f t="shared" si="507"/>
        <v>0</v>
      </c>
      <c r="CA385" s="60">
        <f t="shared" si="508"/>
        <v>0</v>
      </c>
      <c r="CB385" s="60" t="e">
        <f t="shared" si="458"/>
        <v>#N/A</v>
      </c>
      <c r="CC385" s="60">
        <f t="shared" si="459"/>
        <v>100000</v>
      </c>
      <c r="CD385" s="60" t="e">
        <f t="shared" si="460"/>
        <v>#N/A</v>
      </c>
      <c r="CE385" s="60">
        <f t="shared" si="461"/>
        <v>100000</v>
      </c>
      <c r="CF385" s="83" t="e">
        <f t="shared" si="509"/>
        <v>#N/A</v>
      </c>
      <c r="CG385" s="83">
        <f t="shared" si="510"/>
        <v>0</v>
      </c>
      <c r="CH385" s="83" t="e">
        <f t="shared" si="511"/>
        <v>#N/A</v>
      </c>
      <c r="CI385" s="83">
        <f t="shared" si="512"/>
        <v>0</v>
      </c>
      <c r="CJ385" s="86" t="e">
        <f t="shared" si="462"/>
        <v>#N/A</v>
      </c>
      <c r="CK385" s="82">
        <f t="shared" si="463"/>
        <v>5.3070370403969858E-3</v>
      </c>
      <c r="CL385" s="82" t="e">
        <f t="shared" si="464"/>
        <v>#N/A</v>
      </c>
      <c r="CM385" s="82">
        <f t="shared" si="465"/>
        <v>5.3070370403969858E-3</v>
      </c>
      <c r="CO385" s="149" t="str">
        <f>IF($I385&lt;&gt;"",IF(O385="User Specified",U385,INDEX('Refrigerant GWPs'!$G$2:$G$156,MATCH(O385,'Refrigerant GWPs'!$A$2:$A$156,0))),"")</f>
        <v/>
      </c>
      <c r="CP385" s="138" t="str">
        <f>IF($I385&lt;&gt;"",INDEX('Device Refrigerant Leakage'!$E$2:$E$42,MATCH($M385,'Device Refrigerant Leakage'!$B$2:$B$42,0)),"")</f>
        <v/>
      </c>
      <c r="CQ385" s="138" t="str">
        <f>IF($I385&lt;&gt;"",INDEX('Device Refrigerant Leakage'!$F$2:$F$42,MATCH($M385,'Device Refrigerant Leakage'!$B$2:$B$42,0)),"")</f>
        <v/>
      </c>
      <c r="CR385" s="145" t="str">
        <f>IF($I385&lt;&gt;"",INDEX('Device Refrigerant Leakage'!$G$2:$G$42,MATCH($M385,'Device Refrigerant Leakage'!$B$2:$B$42,0)),"")</f>
        <v/>
      </c>
      <c r="CS385" s="145" t="str">
        <f>IF($I385&lt;&gt;"",INDEX('Device Refrigerant Leakage'!$D$2:$D$42,MATCH($M385,'Device Refrigerant Leakage'!$B$2:$B$42,0))*CP385/2204.62*CO385,"")</f>
        <v/>
      </c>
      <c r="CT385" s="145" t="str">
        <f>IF($I385&lt;&gt;"",J385*(INDEX('Device Refrigerant Leakage'!$D$2:$D$42,MATCH($M385,'Device Refrigerant Leakage'!$B$2:$B$42,0))-(INDEX('Device Refrigerant Leakage'!$D$2:$D$42,MATCH($M385,'Device Refrigerant Leakage'!$B$2:$B$42,0)))*CR385*CP385)*CQ385/2204.62*CO385,"")</f>
        <v/>
      </c>
      <c r="CU385" s="135" t="str">
        <f>IF($I385&lt;&gt;"",J385*IF(W385&lt;&gt;"AR",(CS385*K385)+CT385,(CS385*AB385)+CT385*(AB385/INDEX('Device Refrigerant Leakage'!$C$2:$C$42,MATCH($M385,'Device Refrigerant Leakage'!$B$2:$B$42,0)))),"")</f>
        <v/>
      </c>
      <c r="CW385" s="135" t="str">
        <f>IF($I385&lt;&gt;"",IF(S385="User Specified",V385,INDEX('Refrigerant GWPs'!$G$2:$G$156,MATCH(S385,'Refrigerant GWPs'!$A$2:$A$157,0))),"")</f>
        <v/>
      </c>
      <c r="CX385" s="138" t="str">
        <f>IF($I385&lt;&gt;"",INDEX('Device Refrigerant Leakage'!$E$2:$E$42,MATCH($Q385,'Device Refrigerant Leakage'!$B$2:$B$42,0)),"")</f>
        <v/>
      </c>
      <c r="CY385" s="138" t="str">
        <f>IF($I385&lt;&gt;"",INDEX('Device Refrigerant Leakage'!$F$2:$F$42,MATCH($Q385,'Device Refrigerant Leakage'!$B$2:$B$42,0)),"")</f>
        <v/>
      </c>
      <c r="CZ385" s="145" t="str">
        <f>IF($I385&lt;&gt;"",INDEX('Device Refrigerant Leakage'!$G$2:$G$42,MATCH($Q385,'Device Refrigerant Leakage'!$B$2:$B$42,0)),"")</f>
        <v/>
      </c>
      <c r="DA385" s="145" t="str">
        <f>IF($I385&lt;&gt;"",J385*INDEX('Device Refrigerant Leakage'!$D$2:$D$42,MATCH($Q385,'Device Refrigerant Leakage'!$B$2:$B$42,0))*CX385/2204.62*CW385,"")</f>
        <v/>
      </c>
      <c r="DB385" s="145" t="str">
        <f>IF($I385&lt;&gt;"",J385*(INDEX('Device Refrigerant Leakage'!$D$2:$D$42,MATCH($Q385,'Device Refrigerant Leakage'!$B$2:$B$42,0))-(INDEX('Device Refrigerant Leakage'!$D$2:$D$42,MATCH($Q385,'Device Refrigerant Leakage'!$B$2:$B$42,0)))*CZ385*CX385)*CY385/2204.62*CW385,"")</f>
        <v/>
      </c>
      <c r="DC385" s="135" t="str">
        <f t="shared" si="484"/>
        <v/>
      </c>
      <c r="DE385" s="146" t="str">
        <f>IF(W385&lt;&gt;"AR","",IF(Y385="User Specified", AA385, INDEX('Refrigerant GWPs'!$G$2:$G$154,MATCH(Y385,'Refrigerant GWPs'!$A$2:$A$154,0))))</f>
        <v/>
      </c>
      <c r="DF385" s="146" t="str">
        <f>IF(W385&lt;&gt;"AR","",INDEX('Device Refrigerant Leakage'!$E$2:$E$42,MATCH(X385,'Device Refrigerant Leakage'!$B$2:$B$42,0)))</f>
        <v/>
      </c>
      <c r="DG385" s="146" t="str">
        <f>IF(W385&lt;&gt;"AR","",INDEX('Device Refrigerant Leakage'!$F$2:$F$42,MATCH(X385,'Device Refrigerant Leakage'!$B$2:$B$42,0)))</f>
        <v/>
      </c>
      <c r="DH385" s="146" t="str">
        <f>IF(W385&lt;&gt;"AR","",INDEX('Device Refrigerant Leakage'!$G$2:$G$42,MATCH(X385,'Device Refrigerant Leakage'!$B$2:$B$42,0)))</f>
        <v/>
      </c>
      <c r="DI385" s="146" t="str">
        <f>IF(W385&lt;&gt;"AR","",J385*INDEX('Device Refrigerant Leakage'!$D$2:$D$42,MATCH(X385,'Device Refrigerant Leakage'!$B$2:$B$42,0))*DF385/2204.62*DE385)</f>
        <v/>
      </c>
      <c r="DJ385" s="146" t="str">
        <f>IF(W385&lt;&gt;"AR","",J385*(INDEX('Device Refrigerant Leakage'!$D$2:$D$42,MATCH(X385,'Device Refrigerant Leakage'!$B$2:$B$42,0))-(INDEX('Device Refrigerant Leakage'!$D$2:$D$42,MATCH(X385,'Device Refrigerant Leakage'!$B$2:$B$42,0)))*DH385*DF385)*DG385/2204.62*DE385)</f>
        <v/>
      </c>
      <c r="DK385" s="146" t="str">
        <f>IF(W385&lt;&gt;"AR","",DI385*(K385-AB385)+'Fuel Sub Calcs-Deemed'!DJ385*((K385-AB385)/INDEX('Device Refrigerant Leakage'!$C$2:$C$42,MATCH('Fuel Sub Calcs-Deemed'!X385,'Device Refrigerant Leakage'!$B$2:$B$42,0))))</f>
        <v/>
      </c>
      <c r="DM385" s="56">
        <v>371</v>
      </c>
      <c r="DN385" s="67" t="e">
        <f t="shared" si="466"/>
        <v>#N/A</v>
      </c>
      <c r="DO385" s="45" t="e">
        <f t="shared" si="467"/>
        <v>#N/A</v>
      </c>
      <c r="DP385" s="67" t="e">
        <f t="shared" si="468"/>
        <v>#N/A</v>
      </c>
      <c r="DQ385" s="45" t="e">
        <f t="shared" si="469"/>
        <v>#N/A</v>
      </c>
      <c r="DR385" s="69" t="e">
        <f t="shared" si="470"/>
        <v>#N/A</v>
      </c>
      <c r="DS385" s="34"/>
      <c r="DT385" s="67" t="e">
        <f>((BX385*CJ385)+IF($W385=MAT_AR,(BZ385*CL385),0))*(1+Reference!$E$50+Reference!$E$51)</f>
        <v>#N/A</v>
      </c>
      <c r="DU385" s="67">
        <f>((BY385*CK385)+IF($W385=MAT_AR,(CA385*CM385),0))*(1+Reference!$G$50+Reference!$G$51)</f>
        <v>0</v>
      </c>
      <c r="DV385" s="67" t="e">
        <f t="shared" si="471"/>
        <v>#VALUE!</v>
      </c>
      <c r="DX385" s="56">
        <v>371</v>
      </c>
      <c r="DY385" s="67">
        <f t="shared" si="472"/>
        <v>0</v>
      </c>
      <c r="DZ385" s="45" t="e">
        <f>VLOOKUP($R385,Dropdown!$C$3:$D$4,2,FALSE)</f>
        <v>#N/A</v>
      </c>
      <c r="EA385" s="68">
        <f t="shared" si="473"/>
        <v>0</v>
      </c>
      <c r="EB385" s="68" t="str">
        <f t="shared" si="474"/>
        <v>N/A</v>
      </c>
      <c r="EC385" s="68">
        <f t="shared" si="475"/>
        <v>0</v>
      </c>
      <c r="ED385" s="68" t="str">
        <f t="shared" si="513"/>
        <v>N/A</v>
      </c>
      <c r="EF385" s="56">
        <v>371</v>
      </c>
      <c r="EG385" s="46">
        <f t="shared" si="476"/>
        <v>0</v>
      </c>
      <c r="EH385" s="68" t="e">
        <f t="shared" si="477"/>
        <v>#N/A</v>
      </c>
      <c r="EI385" s="68" t="e">
        <f t="shared" si="478"/>
        <v>#N/A</v>
      </c>
      <c r="EJ385" s="68" t="e">
        <f t="shared" si="479"/>
        <v>#N/A</v>
      </c>
      <c r="EK385" s="68" t="e">
        <f t="shared" si="480"/>
        <v>#N/A</v>
      </c>
      <c r="EL385" s="46">
        <f t="shared" si="481"/>
        <v>0</v>
      </c>
      <c r="EM385" s="46">
        <f t="shared" si="482"/>
        <v>0</v>
      </c>
    </row>
    <row r="386" spans="1:143">
      <c r="A386" s="89"/>
      <c r="B386" s="89"/>
      <c r="C386" s="89"/>
      <c r="D386" s="89"/>
      <c r="E386" s="89"/>
      <c r="F386" s="89"/>
      <c r="G386" s="34"/>
      <c r="H386" s="56">
        <f t="shared" si="483"/>
        <v>372</v>
      </c>
      <c r="I386" s="165"/>
      <c r="J386" s="163"/>
      <c r="K386" s="163"/>
      <c r="L386" s="164"/>
      <c r="M386" s="155"/>
      <c r="N386" s="155"/>
      <c r="O386" s="144"/>
      <c r="P386" s="159" t="str">
        <f>IFERROR(IF(O386&lt;&gt;"User Specified",IF(O386&lt;&gt;"", INDEX('Refrigerant GWPs'!$G$2:$G$154,MATCH(O386,'Refrigerant GWPs'!$A$2:$A$154,0)),""),U386),0)</f>
        <v/>
      </c>
      <c r="Q386" s="155"/>
      <c r="R386" s="155"/>
      <c r="S386" s="144"/>
      <c r="T386" s="159" t="str">
        <f>IF(S386&lt;&gt;"User Specified",IF(AND(S386&lt;&gt;"User Specified",S386&lt;&gt;""), INDEX('Refrigerant GWPs'!$G$2:$G$154,MATCH(S386,'Refrigerant GWPs'!$A$2:$A$154,0)),""),V386)</f>
        <v/>
      </c>
      <c r="U386" s="144"/>
      <c r="V386" s="144"/>
      <c r="W386" s="155"/>
      <c r="X386" s="155"/>
      <c r="Y386" s="144"/>
      <c r="Z386" s="159" t="str">
        <f>IF(AND(Y386&lt;&gt;"User Specified",Y386&lt;&gt;""), INDEX('Refrigerant GWPs'!$G$2:$G$154,MATCH(Y386,'Refrigerant GWPs'!$A$2:$A$154,0)),"")</f>
        <v/>
      </c>
      <c r="AA386" s="155"/>
      <c r="AB386" s="156"/>
      <c r="AC386" s="66"/>
      <c r="AD386" s="66"/>
      <c r="AE386" s="66"/>
      <c r="AF386" s="66"/>
      <c r="AG386" s="66"/>
      <c r="AH386" s="66"/>
      <c r="AI386" s="34"/>
      <c r="AJ386" s="88">
        <f t="shared" si="446"/>
        <v>0</v>
      </c>
      <c r="AK386" s="88">
        <f t="shared" si="447"/>
        <v>0</v>
      </c>
      <c r="AL386" s="88">
        <v>0</v>
      </c>
      <c r="AM386" s="88">
        <v>0</v>
      </c>
      <c r="AN386" s="81" t="str">
        <f t="shared" si="485"/>
        <v/>
      </c>
      <c r="AO386" s="88">
        <f t="shared" si="448"/>
        <v>0</v>
      </c>
      <c r="AP386" s="88">
        <f t="shared" si="449"/>
        <v>0</v>
      </c>
      <c r="AQ386" s="81" t="str">
        <f t="shared" si="450"/>
        <v/>
      </c>
      <c r="AS386" s="41" t="b">
        <f t="shared" si="451"/>
        <v>1</v>
      </c>
      <c r="AT386" s="38">
        <f t="shared" si="452"/>
        <v>0</v>
      </c>
      <c r="AU386" s="60">
        <f t="shared" si="453"/>
        <v>0</v>
      </c>
      <c r="AV386" s="41">
        <f t="shared" si="454"/>
        <v>0</v>
      </c>
      <c r="AW386" s="41" t="b">
        <f t="shared" si="455"/>
        <v>0</v>
      </c>
      <c r="AX386" t="str">
        <f t="shared" si="456"/>
        <v>+00</v>
      </c>
      <c r="AY386" t="str">
        <f t="shared" si="457"/>
        <v>+00</v>
      </c>
      <c r="BA386" s="47" t="b">
        <f t="shared" si="486"/>
        <v>1</v>
      </c>
      <c r="BB386" s="42" t="b">
        <f t="shared" si="487"/>
        <v>1</v>
      </c>
      <c r="BC386" s="42" t="b">
        <f t="shared" si="488"/>
        <v>0</v>
      </c>
      <c r="BD386" s="42" t="b">
        <f t="shared" si="489"/>
        <v>0</v>
      </c>
      <c r="BE386" s="70">
        <f t="shared" si="490"/>
        <v>0</v>
      </c>
      <c r="BF386" s="70">
        <f t="shared" si="491"/>
        <v>0</v>
      </c>
      <c r="BG386" s="34"/>
      <c r="BI386" s="47" t="b">
        <f t="shared" si="492"/>
        <v>1</v>
      </c>
      <c r="BJ386" s="47" t="b">
        <f t="shared" si="493"/>
        <v>1</v>
      </c>
      <c r="BK386" s="42" t="b">
        <f t="shared" si="494"/>
        <v>0</v>
      </c>
      <c r="BL386" s="42" t="b">
        <f t="shared" si="495"/>
        <v>0</v>
      </c>
      <c r="BM386" s="42">
        <f t="shared" si="496"/>
        <v>0</v>
      </c>
      <c r="BN386" s="42">
        <f t="shared" si="497"/>
        <v>0</v>
      </c>
      <c r="BP386" t="e">
        <f t="shared" si="498"/>
        <v>#N/A</v>
      </c>
      <c r="BQ386" t="e">
        <f t="shared" si="499"/>
        <v>#N/A</v>
      </c>
      <c r="BR386" t="e">
        <f t="shared" si="500"/>
        <v>#N/A</v>
      </c>
      <c r="BT386" s="60">
        <f t="shared" si="501"/>
        <v>0</v>
      </c>
      <c r="BU386" s="60">
        <f t="shared" si="502"/>
        <v>0</v>
      </c>
      <c r="BV386" s="60">
        <f t="shared" si="503"/>
        <v>0</v>
      </c>
      <c r="BW386" s="60">
        <f t="shared" si="504"/>
        <v>0</v>
      </c>
      <c r="BX386" s="60">
        <f t="shared" si="505"/>
        <v>0</v>
      </c>
      <c r="BY386" s="60">
        <f t="shared" si="506"/>
        <v>0</v>
      </c>
      <c r="BZ386" s="60">
        <f t="shared" si="507"/>
        <v>0</v>
      </c>
      <c r="CA386" s="60">
        <f t="shared" si="508"/>
        <v>0</v>
      </c>
      <c r="CB386" s="60" t="e">
        <f t="shared" si="458"/>
        <v>#N/A</v>
      </c>
      <c r="CC386" s="60">
        <f t="shared" si="459"/>
        <v>100000</v>
      </c>
      <c r="CD386" s="60" t="e">
        <f t="shared" si="460"/>
        <v>#N/A</v>
      </c>
      <c r="CE386" s="60">
        <f t="shared" si="461"/>
        <v>100000</v>
      </c>
      <c r="CF386" s="83" t="e">
        <f t="shared" si="509"/>
        <v>#N/A</v>
      </c>
      <c r="CG386" s="83">
        <f t="shared" si="510"/>
        <v>0</v>
      </c>
      <c r="CH386" s="83" t="e">
        <f t="shared" si="511"/>
        <v>#N/A</v>
      </c>
      <c r="CI386" s="83">
        <f t="shared" si="512"/>
        <v>0</v>
      </c>
      <c r="CJ386" s="86" t="e">
        <f t="shared" si="462"/>
        <v>#N/A</v>
      </c>
      <c r="CK386" s="82">
        <f t="shared" si="463"/>
        <v>5.3070370403969858E-3</v>
      </c>
      <c r="CL386" s="82" t="e">
        <f t="shared" si="464"/>
        <v>#N/A</v>
      </c>
      <c r="CM386" s="82">
        <f t="shared" si="465"/>
        <v>5.3070370403969858E-3</v>
      </c>
      <c r="CO386" s="149" t="str">
        <f>IF($I386&lt;&gt;"",IF(O386="User Specified",U386,INDEX('Refrigerant GWPs'!$G$2:$G$156,MATCH(O386,'Refrigerant GWPs'!$A$2:$A$156,0))),"")</f>
        <v/>
      </c>
      <c r="CP386" s="138" t="str">
        <f>IF($I386&lt;&gt;"",INDEX('Device Refrigerant Leakage'!$E$2:$E$42,MATCH($M386,'Device Refrigerant Leakage'!$B$2:$B$42,0)),"")</f>
        <v/>
      </c>
      <c r="CQ386" s="138" t="str">
        <f>IF($I386&lt;&gt;"",INDEX('Device Refrigerant Leakage'!$F$2:$F$42,MATCH($M386,'Device Refrigerant Leakage'!$B$2:$B$42,0)),"")</f>
        <v/>
      </c>
      <c r="CR386" s="145" t="str">
        <f>IF($I386&lt;&gt;"",INDEX('Device Refrigerant Leakage'!$G$2:$G$42,MATCH($M386,'Device Refrigerant Leakage'!$B$2:$B$42,0)),"")</f>
        <v/>
      </c>
      <c r="CS386" s="145" t="str">
        <f>IF($I386&lt;&gt;"",INDEX('Device Refrigerant Leakage'!$D$2:$D$42,MATCH($M386,'Device Refrigerant Leakage'!$B$2:$B$42,0))*CP386/2204.62*CO386,"")</f>
        <v/>
      </c>
      <c r="CT386" s="145" t="str">
        <f>IF($I386&lt;&gt;"",J386*(INDEX('Device Refrigerant Leakage'!$D$2:$D$42,MATCH($M386,'Device Refrigerant Leakage'!$B$2:$B$42,0))-(INDEX('Device Refrigerant Leakage'!$D$2:$D$42,MATCH($M386,'Device Refrigerant Leakage'!$B$2:$B$42,0)))*CR386*CP386)*CQ386/2204.62*CO386,"")</f>
        <v/>
      </c>
      <c r="CU386" s="135" t="str">
        <f>IF($I386&lt;&gt;"",J386*IF(W386&lt;&gt;"AR",(CS386*K386)+CT386,(CS386*AB386)+CT386*(AB386/INDEX('Device Refrigerant Leakage'!$C$2:$C$42,MATCH($M386,'Device Refrigerant Leakage'!$B$2:$B$42,0)))),"")</f>
        <v/>
      </c>
      <c r="CW386" s="135" t="str">
        <f>IF($I386&lt;&gt;"",IF(S386="User Specified",V386,INDEX('Refrigerant GWPs'!$G$2:$G$156,MATCH(S386,'Refrigerant GWPs'!$A$2:$A$157,0))),"")</f>
        <v/>
      </c>
      <c r="CX386" s="138" t="str">
        <f>IF($I386&lt;&gt;"",INDEX('Device Refrigerant Leakage'!$E$2:$E$42,MATCH($Q386,'Device Refrigerant Leakage'!$B$2:$B$42,0)),"")</f>
        <v/>
      </c>
      <c r="CY386" s="138" t="str">
        <f>IF($I386&lt;&gt;"",INDEX('Device Refrigerant Leakage'!$F$2:$F$42,MATCH($Q386,'Device Refrigerant Leakage'!$B$2:$B$42,0)),"")</f>
        <v/>
      </c>
      <c r="CZ386" s="145" t="str">
        <f>IF($I386&lt;&gt;"",INDEX('Device Refrigerant Leakage'!$G$2:$G$42,MATCH($Q386,'Device Refrigerant Leakage'!$B$2:$B$42,0)),"")</f>
        <v/>
      </c>
      <c r="DA386" s="145" t="str">
        <f>IF($I386&lt;&gt;"",J386*INDEX('Device Refrigerant Leakage'!$D$2:$D$42,MATCH($Q386,'Device Refrigerant Leakage'!$B$2:$B$42,0))*CX386/2204.62*CW386,"")</f>
        <v/>
      </c>
      <c r="DB386" s="145" t="str">
        <f>IF($I386&lt;&gt;"",J386*(INDEX('Device Refrigerant Leakage'!$D$2:$D$42,MATCH($Q386,'Device Refrigerant Leakage'!$B$2:$B$42,0))-(INDEX('Device Refrigerant Leakage'!$D$2:$D$42,MATCH($Q386,'Device Refrigerant Leakage'!$B$2:$B$42,0)))*CZ386*CX386)*CY386/2204.62*CW386,"")</f>
        <v/>
      </c>
      <c r="DC386" s="135" t="str">
        <f t="shared" si="484"/>
        <v/>
      </c>
      <c r="DE386" s="146" t="str">
        <f>IF(W386&lt;&gt;"AR","",IF(Y386="User Specified", AA386, INDEX('Refrigerant GWPs'!$G$2:$G$154,MATCH(Y386,'Refrigerant GWPs'!$A$2:$A$154,0))))</f>
        <v/>
      </c>
      <c r="DF386" s="146" t="str">
        <f>IF(W386&lt;&gt;"AR","",INDEX('Device Refrigerant Leakage'!$E$2:$E$42,MATCH(X386,'Device Refrigerant Leakage'!$B$2:$B$42,0)))</f>
        <v/>
      </c>
      <c r="DG386" s="146" t="str">
        <f>IF(W386&lt;&gt;"AR","",INDEX('Device Refrigerant Leakage'!$F$2:$F$42,MATCH(X386,'Device Refrigerant Leakage'!$B$2:$B$42,0)))</f>
        <v/>
      </c>
      <c r="DH386" s="146" t="str">
        <f>IF(W386&lt;&gt;"AR","",INDEX('Device Refrigerant Leakage'!$G$2:$G$42,MATCH(X386,'Device Refrigerant Leakage'!$B$2:$B$42,0)))</f>
        <v/>
      </c>
      <c r="DI386" s="146" t="str">
        <f>IF(W386&lt;&gt;"AR","",J386*INDEX('Device Refrigerant Leakage'!$D$2:$D$42,MATCH(X386,'Device Refrigerant Leakage'!$B$2:$B$42,0))*DF386/2204.62*DE386)</f>
        <v/>
      </c>
      <c r="DJ386" s="146" t="str">
        <f>IF(W386&lt;&gt;"AR","",J386*(INDEX('Device Refrigerant Leakage'!$D$2:$D$42,MATCH(X386,'Device Refrigerant Leakage'!$B$2:$B$42,0))-(INDEX('Device Refrigerant Leakage'!$D$2:$D$42,MATCH(X386,'Device Refrigerant Leakage'!$B$2:$B$42,0)))*DH386*DF386)*DG386/2204.62*DE386)</f>
        <v/>
      </c>
      <c r="DK386" s="146" t="str">
        <f>IF(W386&lt;&gt;"AR","",DI386*(K386-AB386)+'Fuel Sub Calcs-Deemed'!DJ386*((K386-AB386)/INDEX('Device Refrigerant Leakage'!$C$2:$C$42,MATCH('Fuel Sub Calcs-Deemed'!X386,'Device Refrigerant Leakage'!$B$2:$B$42,0))))</f>
        <v/>
      </c>
      <c r="DM386" s="56">
        <v>372</v>
      </c>
      <c r="DN386" s="67" t="e">
        <f t="shared" si="466"/>
        <v>#N/A</v>
      </c>
      <c r="DO386" s="45" t="e">
        <f t="shared" si="467"/>
        <v>#N/A</v>
      </c>
      <c r="DP386" s="67" t="e">
        <f t="shared" si="468"/>
        <v>#N/A</v>
      </c>
      <c r="DQ386" s="45" t="e">
        <f t="shared" si="469"/>
        <v>#N/A</v>
      </c>
      <c r="DR386" s="69" t="e">
        <f t="shared" si="470"/>
        <v>#N/A</v>
      </c>
      <c r="DS386" s="34"/>
      <c r="DT386" s="67" t="e">
        <f>((BX386*CJ386)+IF($W386=MAT_AR,(BZ386*CL386),0))*(1+Reference!$E$50+Reference!$E$51)</f>
        <v>#N/A</v>
      </c>
      <c r="DU386" s="67">
        <f>((BY386*CK386)+IF($W386=MAT_AR,(CA386*CM386),0))*(1+Reference!$G$50+Reference!$G$51)</f>
        <v>0</v>
      </c>
      <c r="DV386" s="67" t="e">
        <f t="shared" si="471"/>
        <v>#VALUE!</v>
      </c>
      <c r="DX386" s="56">
        <v>372</v>
      </c>
      <c r="DY386" s="67">
        <f t="shared" si="472"/>
        <v>0</v>
      </c>
      <c r="DZ386" s="45" t="e">
        <f>VLOOKUP($R386,Dropdown!$C$3:$D$4,2,FALSE)</f>
        <v>#N/A</v>
      </c>
      <c r="EA386" s="68">
        <f t="shared" si="473"/>
        <v>0</v>
      </c>
      <c r="EB386" s="68" t="str">
        <f t="shared" si="474"/>
        <v>N/A</v>
      </c>
      <c r="EC386" s="68">
        <f t="shared" si="475"/>
        <v>0</v>
      </c>
      <c r="ED386" s="68" t="str">
        <f t="shared" si="513"/>
        <v>N/A</v>
      </c>
      <c r="EF386" s="56">
        <v>372</v>
      </c>
      <c r="EG386" s="46">
        <f t="shared" si="476"/>
        <v>0</v>
      </c>
      <c r="EH386" s="68" t="e">
        <f t="shared" si="477"/>
        <v>#N/A</v>
      </c>
      <c r="EI386" s="68" t="e">
        <f t="shared" si="478"/>
        <v>#N/A</v>
      </c>
      <c r="EJ386" s="68" t="e">
        <f t="shared" si="479"/>
        <v>#N/A</v>
      </c>
      <c r="EK386" s="68" t="e">
        <f t="shared" si="480"/>
        <v>#N/A</v>
      </c>
      <c r="EL386" s="46">
        <f t="shared" si="481"/>
        <v>0</v>
      </c>
      <c r="EM386" s="46">
        <f t="shared" si="482"/>
        <v>0</v>
      </c>
    </row>
    <row r="387" spans="1:143">
      <c r="A387" s="89"/>
      <c r="B387" s="89"/>
      <c r="C387" s="89"/>
      <c r="D387" s="89"/>
      <c r="E387" s="89"/>
      <c r="F387" s="89"/>
      <c r="G387" s="34"/>
      <c r="H387" s="56">
        <f t="shared" si="483"/>
        <v>373</v>
      </c>
      <c r="I387" s="165"/>
      <c r="J387" s="163"/>
      <c r="K387" s="163"/>
      <c r="L387" s="164"/>
      <c r="M387" s="155"/>
      <c r="N387" s="155"/>
      <c r="O387" s="144"/>
      <c r="P387" s="159" t="str">
        <f>IFERROR(IF(O387&lt;&gt;"User Specified",IF(O387&lt;&gt;"", INDEX('Refrigerant GWPs'!$G$2:$G$154,MATCH(O387,'Refrigerant GWPs'!$A$2:$A$154,0)),""),U387),0)</f>
        <v/>
      </c>
      <c r="Q387" s="155"/>
      <c r="R387" s="155"/>
      <c r="S387" s="144"/>
      <c r="T387" s="159" t="str">
        <f>IF(S387&lt;&gt;"User Specified",IF(AND(S387&lt;&gt;"User Specified",S387&lt;&gt;""), INDEX('Refrigerant GWPs'!$G$2:$G$154,MATCH(S387,'Refrigerant GWPs'!$A$2:$A$154,0)),""),V387)</f>
        <v/>
      </c>
      <c r="U387" s="144"/>
      <c r="V387" s="144"/>
      <c r="W387" s="155"/>
      <c r="X387" s="155"/>
      <c r="Y387" s="144"/>
      <c r="Z387" s="159" t="str">
        <f>IF(AND(Y387&lt;&gt;"User Specified",Y387&lt;&gt;""), INDEX('Refrigerant GWPs'!$G$2:$G$154,MATCH(Y387,'Refrigerant GWPs'!$A$2:$A$154,0)),"")</f>
        <v/>
      </c>
      <c r="AA387" s="155"/>
      <c r="AB387" s="156"/>
      <c r="AC387" s="66"/>
      <c r="AD387" s="66"/>
      <c r="AE387" s="66"/>
      <c r="AF387" s="66"/>
      <c r="AG387" s="66"/>
      <c r="AH387" s="66"/>
      <c r="AI387" s="34"/>
      <c r="AJ387" s="88">
        <f t="shared" si="446"/>
        <v>0</v>
      </c>
      <c r="AK387" s="88">
        <f t="shared" si="447"/>
        <v>0</v>
      </c>
      <c r="AL387" s="88">
        <v>0</v>
      </c>
      <c r="AM387" s="88">
        <v>0</v>
      </c>
      <c r="AN387" s="81" t="str">
        <f t="shared" si="485"/>
        <v/>
      </c>
      <c r="AO387" s="88">
        <f t="shared" si="448"/>
        <v>0</v>
      </c>
      <c r="AP387" s="88">
        <f t="shared" si="449"/>
        <v>0</v>
      </c>
      <c r="AQ387" s="81" t="str">
        <f t="shared" si="450"/>
        <v/>
      </c>
      <c r="AS387" s="41" t="b">
        <f t="shared" si="451"/>
        <v>1</v>
      </c>
      <c r="AT387" s="38">
        <f t="shared" si="452"/>
        <v>0</v>
      </c>
      <c r="AU387" s="60">
        <f t="shared" si="453"/>
        <v>0</v>
      </c>
      <c r="AV387" s="41">
        <f t="shared" si="454"/>
        <v>0</v>
      </c>
      <c r="AW387" s="41" t="b">
        <f t="shared" si="455"/>
        <v>0</v>
      </c>
      <c r="AX387" t="str">
        <f t="shared" si="456"/>
        <v>+00</v>
      </c>
      <c r="AY387" t="str">
        <f t="shared" si="457"/>
        <v>+00</v>
      </c>
      <c r="BA387" s="47" t="b">
        <f t="shared" si="486"/>
        <v>1</v>
      </c>
      <c r="BB387" s="42" t="b">
        <f t="shared" si="487"/>
        <v>1</v>
      </c>
      <c r="BC387" s="42" t="b">
        <f t="shared" si="488"/>
        <v>0</v>
      </c>
      <c r="BD387" s="42" t="b">
        <f t="shared" si="489"/>
        <v>0</v>
      </c>
      <c r="BE387" s="70">
        <f t="shared" si="490"/>
        <v>0</v>
      </c>
      <c r="BF387" s="70">
        <f t="shared" si="491"/>
        <v>0</v>
      </c>
      <c r="BG387" s="34"/>
      <c r="BI387" s="47" t="b">
        <f t="shared" si="492"/>
        <v>1</v>
      </c>
      <c r="BJ387" s="47" t="b">
        <f t="shared" si="493"/>
        <v>1</v>
      </c>
      <c r="BK387" s="42" t="b">
        <f t="shared" si="494"/>
        <v>0</v>
      </c>
      <c r="BL387" s="42" t="b">
        <f t="shared" si="495"/>
        <v>0</v>
      </c>
      <c r="BM387" s="42">
        <f t="shared" si="496"/>
        <v>0</v>
      </c>
      <c r="BN387" s="42">
        <f t="shared" si="497"/>
        <v>0</v>
      </c>
      <c r="BP387" t="e">
        <f t="shared" si="498"/>
        <v>#N/A</v>
      </c>
      <c r="BQ387" t="e">
        <f t="shared" si="499"/>
        <v>#N/A</v>
      </c>
      <c r="BR387" t="e">
        <f t="shared" si="500"/>
        <v>#N/A</v>
      </c>
      <c r="BT387" s="60">
        <f t="shared" si="501"/>
        <v>0</v>
      </c>
      <c r="BU387" s="60">
        <f t="shared" si="502"/>
        <v>0</v>
      </c>
      <c r="BV387" s="60">
        <f t="shared" si="503"/>
        <v>0</v>
      </c>
      <c r="BW387" s="60">
        <f t="shared" si="504"/>
        <v>0</v>
      </c>
      <c r="BX387" s="60">
        <f t="shared" si="505"/>
        <v>0</v>
      </c>
      <c r="BY387" s="60">
        <f t="shared" si="506"/>
        <v>0</v>
      </c>
      <c r="BZ387" s="60">
        <f t="shared" si="507"/>
        <v>0</v>
      </c>
      <c r="CA387" s="60">
        <f t="shared" si="508"/>
        <v>0</v>
      </c>
      <c r="CB387" s="60" t="e">
        <f t="shared" si="458"/>
        <v>#N/A</v>
      </c>
      <c r="CC387" s="60">
        <f t="shared" si="459"/>
        <v>100000</v>
      </c>
      <c r="CD387" s="60" t="e">
        <f t="shared" si="460"/>
        <v>#N/A</v>
      </c>
      <c r="CE387" s="60">
        <f t="shared" si="461"/>
        <v>100000</v>
      </c>
      <c r="CF387" s="83" t="e">
        <f t="shared" si="509"/>
        <v>#N/A</v>
      </c>
      <c r="CG387" s="83">
        <f t="shared" si="510"/>
        <v>0</v>
      </c>
      <c r="CH387" s="83" t="e">
        <f t="shared" si="511"/>
        <v>#N/A</v>
      </c>
      <c r="CI387" s="83">
        <f t="shared" si="512"/>
        <v>0</v>
      </c>
      <c r="CJ387" s="86" t="e">
        <f t="shared" si="462"/>
        <v>#N/A</v>
      </c>
      <c r="CK387" s="82">
        <f t="shared" si="463"/>
        <v>5.3070370403969858E-3</v>
      </c>
      <c r="CL387" s="82" t="e">
        <f t="shared" si="464"/>
        <v>#N/A</v>
      </c>
      <c r="CM387" s="82">
        <f t="shared" si="465"/>
        <v>5.3070370403969858E-3</v>
      </c>
      <c r="CO387" s="149" t="str">
        <f>IF($I387&lt;&gt;"",IF(O387="User Specified",U387,INDEX('Refrigerant GWPs'!$G$2:$G$156,MATCH(O387,'Refrigerant GWPs'!$A$2:$A$156,0))),"")</f>
        <v/>
      </c>
      <c r="CP387" s="138" t="str">
        <f>IF($I387&lt;&gt;"",INDEX('Device Refrigerant Leakage'!$E$2:$E$42,MATCH($M387,'Device Refrigerant Leakage'!$B$2:$B$42,0)),"")</f>
        <v/>
      </c>
      <c r="CQ387" s="138" t="str">
        <f>IF($I387&lt;&gt;"",INDEX('Device Refrigerant Leakage'!$F$2:$F$42,MATCH($M387,'Device Refrigerant Leakage'!$B$2:$B$42,0)),"")</f>
        <v/>
      </c>
      <c r="CR387" s="145" t="str">
        <f>IF($I387&lt;&gt;"",INDEX('Device Refrigerant Leakage'!$G$2:$G$42,MATCH($M387,'Device Refrigerant Leakage'!$B$2:$B$42,0)),"")</f>
        <v/>
      </c>
      <c r="CS387" s="145" t="str">
        <f>IF($I387&lt;&gt;"",INDEX('Device Refrigerant Leakage'!$D$2:$D$42,MATCH($M387,'Device Refrigerant Leakage'!$B$2:$B$42,0))*CP387/2204.62*CO387,"")</f>
        <v/>
      </c>
      <c r="CT387" s="145" t="str">
        <f>IF($I387&lt;&gt;"",J387*(INDEX('Device Refrigerant Leakage'!$D$2:$D$42,MATCH($M387,'Device Refrigerant Leakage'!$B$2:$B$42,0))-(INDEX('Device Refrigerant Leakage'!$D$2:$D$42,MATCH($M387,'Device Refrigerant Leakage'!$B$2:$B$42,0)))*CR387*CP387)*CQ387/2204.62*CO387,"")</f>
        <v/>
      </c>
      <c r="CU387" s="135" t="str">
        <f>IF($I387&lt;&gt;"",J387*IF(W387&lt;&gt;"AR",(CS387*K387)+CT387,(CS387*AB387)+CT387*(AB387/INDEX('Device Refrigerant Leakage'!$C$2:$C$42,MATCH($M387,'Device Refrigerant Leakage'!$B$2:$B$42,0)))),"")</f>
        <v/>
      </c>
      <c r="CW387" s="135" t="str">
        <f>IF($I387&lt;&gt;"",IF(S387="User Specified",V387,INDEX('Refrigerant GWPs'!$G$2:$G$156,MATCH(S387,'Refrigerant GWPs'!$A$2:$A$157,0))),"")</f>
        <v/>
      </c>
      <c r="CX387" s="138" t="str">
        <f>IF($I387&lt;&gt;"",INDEX('Device Refrigerant Leakage'!$E$2:$E$42,MATCH($Q387,'Device Refrigerant Leakage'!$B$2:$B$42,0)),"")</f>
        <v/>
      </c>
      <c r="CY387" s="138" t="str">
        <f>IF($I387&lt;&gt;"",INDEX('Device Refrigerant Leakage'!$F$2:$F$42,MATCH($Q387,'Device Refrigerant Leakage'!$B$2:$B$42,0)),"")</f>
        <v/>
      </c>
      <c r="CZ387" s="145" t="str">
        <f>IF($I387&lt;&gt;"",INDEX('Device Refrigerant Leakage'!$G$2:$G$42,MATCH($Q387,'Device Refrigerant Leakage'!$B$2:$B$42,0)),"")</f>
        <v/>
      </c>
      <c r="DA387" s="145" t="str">
        <f>IF($I387&lt;&gt;"",J387*INDEX('Device Refrigerant Leakage'!$D$2:$D$42,MATCH($Q387,'Device Refrigerant Leakage'!$B$2:$B$42,0))*CX387/2204.62*CW387,"")</f>
        <v/>
      </c>
      <c r="DB387" s="145" t="str">
        <f>IF($I387&lt;&gt;"",J387*(INDEX('Device Refrigerant Leakage'!$D$2:$D$42,MATCH($Q387,'Device Refrigerant Leakage'!$B$2:$B$42,0))-(INDEX('Device Refrigerant Leakage'!$D$2:$D$42,MATCH($Q387,'Device Refrigerant Leakage'!$B$2:$B$42,0)))*CZ387*CX387)*CY387/2204.62*CW387,"")</f>
        <v/>
      </c>
      <c r="DC387" s="135" t="str">
        <f t="shared" si="484"/>
        <v/>
      </c>
      <c r="DE387" s="146" t="str">
        <f>IF(W387&lt;&gt;"AR","",IF(Y387="User Specified", AA387, INDEX('Refrigerant GWPs'!$G$2:$G$154,MATCH(Y387,'Refrigerant GWPs'!$A$2:$A$154,0))))</f>
        <v/>
      </c>
      <c r="DF387" s="146" t="str">
        <f>IF(W387&lt;&gt;"AR","",INDEX('Device Refrigerant Leakage'!$E$2:$E$42,MATCH(X387,'Device Refrigerant Leakage'!$B$2:$B$42,0)))</f>
        <v/>
      </c>
      <c r="DG387" s="146" t="str">
        <f>IF(W387&lt;&gt;"AR","",INDEX('Device Refrigerant Leakage'!$F$2:$F$42,MATCH(X387,'Device Refrigerant Leakage'!$B$2:$B$42,0)))</f>
        <v/>
      </c>
      <c r="DH387" s="146" t="str">
        <f>IF(W387&lt;&gt;"AR","",INDEX('Device Refrigerant Leakage'!$G$2:$G$42,MATCH(X387,'Device Refrigerant Leakage'!$B$2:$B$42,0)))</f>
        <v/>
      </c>
      <c r="DI387" s="146" t="str">
        <f>IF(W387&lt;&gt;"AR","",J387*INDEX('Device Refrigerant Leakage'!$D$2:$D$42,MATCH(X387,'Device Refrigerant Leakage'!$B$2:$B$42,0))*DF387/2204.62*DE387)</f>
        <v/>
      </c>
      <c r="DJ387" s="146" t="str">
        <f>IF(W387&lt;&gt;"AR","",J387*(INDEX('Device Refrigerant Leakage'!$D$2:$D$42,MATCH(X387,'Device Refrigerant Leakage'!$B$2:$B$42,0))-(INDEX('Device Refrigerant Leakage'!$D$2:$D$42,MATCH(X387,'Device Refrigerant Leakage'!$B$2:$B$42,0)))*DH387*DF387)*DG387/2204.62*DE387)</f>
        <v/>
      </c>
      <c r="DK387" s="146" t="str">
        <f>IF(W387&lt;&gt;"AR","",DI387*(K387-AB387)+'Fuel Sub Calcs-Deemed'!DJ387*((K387-AB387)/INDEX('Device Refrigerant Leakage'!$C$2:$C$42,MATCH('Fuel Sub Calcs-Deemed'!X387,'Device Refrigerant Leakage'!$B$2:$B$42,0))))</f>
        <v/>
      </c>
      <c r="DM387" s="56">
        <v>373</v>
      </c>
      <c r="DN387" s="67" t="e">
        <f t="shared" si="466"/>
        <v>#N/A</v>
      </c>
      <c r="DO387" s="45" t="e">
        <f t="shared" si="467"/>
        <v>#N/A</v>
      </c>
      <c r="DP387" s="67" t="e">
        <f t="shared" si="468"/>
        <v>#N/A</v>
      </c>
      <c r="DQ387" s="45" t="e">
        <f t="shared" si="469"/>
        <v>#N/A</v>
      </c>
      <c r="DR387" s="69" t="e">
        <f t="shared" si="470"/>
        <v>#N/A</v>
      </c>
      <c r="DS387" s="34"/>
      <c r="DT387" s="67" t="e">
        <f>((BX387*CJ387)+IF($W387=MAT_AR,(BZ387*CL387),0))*(1+Reference!$E$50+Reference!$E$51)</f>
        <v>#N/A</v>
      </c>
      <c r="DU387" s="67">
        <f>((BY387*CK387)+IF($W387=MAT_AR,(CA387*CM387),0))*(1+Reference!$G$50+Reference!$G$51)</f>
        <v>0</v>
      </c>
      <c r="DV387" s="67" t="e">
        <f t="shared" si="471"/>
        <v>#VALUE!</v>
      </c>
      <c r="DX387" s="56">
        <v>373</v>
      </c>
      <c r="DY387" s="67">
        <f t="shared" si="472"/>
        <v>0</v>
      </c>
      <c r="DZ387" s="45" t="e">
        <f>VLOOKUP($R387,Dropdown!$C$3:$D$4,2,FALSE)</f>
        <v>#N/A</v>
      </c>
      <c r="EA387" s="68">
        <f t="shared" si="473"/>
        <v>0</v>
      </c>
      <c r="EB387" s="68" t="str">
        <f t="shared" si="474"/>
        <v>N/A</v>
      </c>
      <c r="EC387" s="68">
        <f t="shared" si="475"/>
        <v>0</v>
      </c>
      <c r="ED387" s="68" t="str">
        <f t="shared" si="513"/>
        <v>N/A</v>
      </c>
      <c r="EF387" s="56">
        <v>373</v>
      </c>
      <c r="EG387" s="46">
        <f t="shared" si="476"/>
        <v>0</v>
      </c>
      <c r="EH387" s="68" t="e">
        <f t="shared" si="477"/>
        <v>#N/A</v>
      </c>
      <c r="EI387" s="68" t="e">
        <f t="shared" si="478"/>
        <v>#N/A</v>
      </c>
      <c r="EJ387" s="68" t="e">
        <f t="shared" si="479"/>
        <v>#N/A</v>
      </c>
      <c r="EK387" s="68" t="e">
        <f t="shared" si="480"/>
        <v>#N/A</v>
      </c>
      <c r="EL387" s="46">
        <f t="shared" si="481"/>
        <v>0</v>
      </c>
      <c r="EM387" s="46">
        <f t="shared" si="482"/>
        <v>0</v>
      </c>
    </row>
    <row r="388" spans="1:143">
      <c r="A388" s="89"/>
      <c r="B388" s="89"/>
      <c r="C388" s="89"/>
      <c r="D388" s="89"/>
      <c r="E388" s="89"/>
      <c r="F388" s="89"/>
      <c r="G388" s="34"/>
      <c r="H388" s="56">
        <f t="shared" si="483"/>
        <v>374</v>
      </c>
      <c r="I388" s="165"/>
      <c r="J388" s="163"/>
      <c r="K388" s="163"/>
      <c r="L388" s="164"/>
      <c r="M388" s="155"/>
      <c r="N388" s="155"/>
      <c r="O388" s="144"/>
      <c r="P388" s="159" t="str">
        <f>IFERROR(IF(O388&lt;&gt;"User Specified",IF(O388&lt;&gt;"", INDEX('Refrigerant GWPs'!$G$2:$G$154,MATCH(O388,'Refrigerant GWPs'!$A$2:$A$154,0)),""),U388),0)</f>
        <v/>
      </c>
      <c r="Q388" s="155"/>
      <c r="R388" s="155"/>
      <c r="S388" s="144"/>
      <c r="T388" s="159" t="str">
        <f>IF(S388&lt;&gt;"User Specified",IF(AND(S388&lt;&gt;"User Specified",S388&lt;&gt;""), INDEX('Refrigerant GWPs'!$G$2:$G$154,MATCH(S388,'Refrigerant GWPs'!$A$2:$A$154,0)),""),V388)</f>
        <v/>
      </c>
      <c r="U388" s="144"/>
      <c r="V388" s="144"/>
      <c r="W388" s="155"/>
      <c r="X388" s="155"/>
      <c r="Y388" s="144"/>
      <c r="Z388" s="159" t="str">
        <f>IF(AND(Y388&lt;&gt;"User Specified",Y388&lt;&gt;""), INDEX('Refrigerant GWPs'!$G$2:$G$154,MATCH(Y388,'Refrigerant GWPs'!$A$2:$A$154,0)),"")</f>
        <v/>
      </c>
      <c r="AA388" s="155"/>
      <c r="AB388" s="156"/>
      <c r="AC388" s="66"/>
      <c r="AD388" s="66"/>
      <c r="AE388" s="66"/>
      <c r="AF388" s="66"/>
      <c r="AG388" s="66"/>
      <c r="AH388" s="66"/>
      <c r="AI388" s="34"/>
      <c r="AJ388" s="88">
        <f t="shared" si="446"/>
        <v>0</v>
      </c>
      <c r="AK388" s="88">
        <f t="shared" si="447"/>
        <v>0</v>
      </c>
      <c r="AL388" s="88">
        <v>0</v>
      </c>
      <c r="AM388" s="88">
        <v>0</v>
      </c>
      <c r="AN388" s="81" t="str">
        <f t="shared" si="485"/>
        <v/>
      </c>
      <c r="AO388" s="88">
        <f t="shared" si="448"/>
        <v>0</v>
      </c>
      <c r="AP388" s="88">
        <f t="shared" si="449"/>
        <v>0</v>
      </c>
      <c r="AQ388" s="81" t="str">
        <f t="shared" si="450"/>
        <v/>
      </c>
      <c r="AS388" s="41" t="b">
        <f t="shared" si="451"/>
        <v>1</v>
      </c>
      <c r="AT388" s="38">
        <f t="shared" si="452"/>
        <v>0</v>
      </c>
      <c r="AU388" s="60">
        <f t="shared" si="453"/>
        <v>0</v>
      </c>
      <c r="AV388" s="41">
        <f t="shared" si="454"/>
        <v>0</v>
      </c>
      <c r="AW388" s="41" t="b">
        <f t="shared" si="455"/>
        <v>0</v>
      </c>
      <c r="AX388" t="str">
        <f t="shared" si="456"/>
        <v>+00</v>
      </c>
      <c r="AY388" t="str">
        <f t="shared" si="457"/>
        <v>+00</v>
      </c>
      <c r="BA388" s="47" t="b">
        <f t="shared" si="486"/>
        <v>1</v>
      </c>
      <c r="BB388" s="42" t="b">
        <f t="shared" si="487"/>
        <v>1</v>
      </c>
      <c r="BC388" s="42" t="b">
        <f t="shared" si="488"/>
        <v>0</v>
      </c>
      <c r="BD388" s="42" t="b">
        <f t="shared" si="489"/>
        <v>0</v>
      </c>
      <c r="BE388" s="70">
        <f t="shared" si="490"/>
        <v>0</v>
      </c>
      <c r="BF388" s="70">
        <f t="shared" si="491"/>
        <v>0</v>
      </c>
      <c r="BG388" s="34"/>
      <c r="BI388" s="47" t="b">
        <f t="shared" si="492"/>
        <v>1</v>
      </c>
      <c r="BJ388" s="47" t="b">
        <f t="shared" si="493"/>
        <v>1</v>
      </c>
      <c r="BK388" s="42" t="b">
        <f t="shared" si="494"/>
        <v>0</v>
      </c>
      <c r="BL388" s="42" t="b">
        <f t="shared" si="495"/>
        <v>0</v>
      </c>
      <c r="BM388" s="42">
        <f t="shared" si="496"/>
        <v>0</v>
      </c>
      <c r="BN388" s="42">
        <f t="shared" si="497"/>
        <v>0</v>
      </c>
      <c r="BP388" t="e">
        <f t="shared" si="498"/>
        <v>#N/A</v>
      </c>
      <c r="BQ388" t="e">
        <f t="shared" si="499"/>
        <v>#N/A</v>
      </c>
      <c r="BR388" t="e">
        <f t="shared" si="500"/>
        <v>#N/A</v>
      </c>
      <c r="BT388" s="60">
        <f t="shared" si="501"/>
        <v>0</v>
      </c>
      <c r="BU388" s="60">
        <f t="shared" si="502"/>
        <v>0</v>
      </c>
      <c r="BV388" s="60">
        <f t="shared" si="503"/>
        <v>0</v>
      </c>
      <c r="BW388" s="60">
        <f t="shared" si="504"/>
        <v>0</v>
      </c>
      <c r="BX388" s="60">
        <f t="shared" si="505"/>
        <v>0</v>
      </c>
      <c r="BY388" s="60">
        <f t="shared" si="506"/>
        <v>0</v>
      </c>
      <c r="BZ388" s="60">
        <f t="shared" si="507"/>
        <v>0</v>
      </c>
      <c r="CA388" s="60">
        <f t="shared" si="508"/>
        <v>0</v>
      </c>
      <c r="CB388" s="60" t="e">
        <f t="shared" si="458"/>
        <v>#N/A</v>
      </c>
      <c r="CC388" s="60">
        <f t="shared" si="459"/>
        <v>100000</v>
      </c>
      <c r="CD388" s="60" t="e">
        <f t="shared" si="460"/>
        <v>#N/A</v>
      </c>
      <c r="CE388" s="60">
        <f t="shared" si="461"/>
        <v>100000</v>
      </c>
      <c r="CF388" s="83" t="e">
        <f t="shared" si="509"/>
        <v>#N/A</v>
      </c>
      <c r="CG388" s="83">
        <f t="shared" si="510"/>
        <v>0</v>
      </c>
      <c r="CH388" s="83" t="e">
        <f t="shared" si="511"/>
        <v>#N/A</v>
      </c>
      <c r="CI388" s="83">
        <f t="shared" si="512"/>
        <v>0</v>
      </c>
      <c r="CJ388" s="86" t="e">
        <f t="shared" si="462"/>
        <v>#N/A</v>
      </c>
      <c r="CK388" s="82">
        <f t="shared" si="463"/>
        <v>5.3070370403969858E-3</v>
      </c>
      <c r="CL388" s="82" t="e">
        <f t="shared" si="464"/>
        <v>#N/A</v>
      </c>
      <c r="CM388" s="82">
        <f t="shared" si="465"/>
        <v>5.3070370403969858E-3</v>
      </c>
      <c r="CO388" s="149" t="str">
        <f>IF($I388&lt;&gt;"",IF(O388="User Specified",U388,INDEX('Refrigerant GWPs'!$G$2:$G$156,MATCH(O388,'Refrigerant GWPs'!$A$2:$A$156,0))),"")</f>
        <v/>
      </c>
      <c r="CP388" s="138" t="str">
        <f>IF($I388&lt;&gt;"",INDEX('Device Refrigerant Leakage'!$E$2:$E$42,MATCH($M388,'Device Refrigerant Leakage'!$B$2:$B$42,0)),"")</f>
        <v/>
      </c>
      <c r="CQ388" s="138" t="str">
        <f>IF($I388&lt;&gt;"",INDEX('Device Refrigerant Leakage'!$F$2:$F$42,MATCH($M388,'Device Refrigerant Leakage'!$B$2:$B$42,0)),"")</f>
        <v/>
      </c>
      <c r="CR388" s="145" t="str">
        <f>IF($I388&lt;&gt;"",INDEX('Device Refrigerant Leakage'!$G$2:$G$42,MATCH($M388,'Device Refrigerant Leakage'!$B$2:$B$42,0)),"")</f>
        <v/>
      </c>
      <c r="CS388" s="145" t="str">
        <f>IF($I388&lt;&gt;"",INDEX('Device Refrigerant Leakage'!$D$2:$D$42,MATCH($M388,'Device Refrigerant Leakage'!$B$2:$B$42,0))*CP388/2204.62*CO388,"")</f>
        <v/>
      </c>
      <c r="CT388" s="145" t="str">
        <f>IF($I388&lt;&gt;"",J388*(INDEX('Device Refrigerant Leakage'!$D$2:$D$42,MATCH($M388,'Device Refrigerant Leakage'!$B$2:$B$42,0))-(INDEX('Device Refrigerant Leakage'!$D$2:$D$42,MATCH($M388,'Device Refrigerant Leakage'!$B$2:$B$42,0)))*CR388*CP388)*CQ388/2204.62*CO388,"")</f>
        <v/>
      </c>
      <c r="CU388" s="135" t="str">
        <f>IF($I388&lt;&gt;"",J388*IF(W388&lt;&gt;"AR",(CS388*K388)+CT388,(CS388*AB388)+CT388*(AB388/INDEX('Device Refrigerant Leakage'!$C$2:$C$42,MATCH($M388,'Device Refrigerant Leakage'!$B$2:$B$42,0)))),"")</f>
        <v/>
      </c>
      <c r="CW388" s="135" t="str">
        <f>IF($I388&lt;&gt;"",IF(S388="User Specified",V388,INDEX('Refrigerant GWPs'!$G$2:$G$156,MATCH(S388,'Refrigerant GWPs'!$A$2:$A$157,0))),"")</f>
        <v/>
      </c>
      <c r="CX388" s="138" t="str">
        <f>IF($I388&lt;&gt;"",INDEX('Device Refrigerant Leakage'!$E$2:$E$42,MATCH($Q388,'Device Refrigerant Leakage'!$B$2:$B$42,0)),"")</f>
        <v/>
      </c>
      <c r="CY388" s="138" t="str">
        <f>IF($I388&lt;&gt;"",INDEX('Device Refrigerant Leakage'!$F$2:$F$42,MATCH($Q388,'Device Refrigerant Leakage'!$B$2:$B$42,0)),"")</f>
        <v/>
      </c>
      <c r="CZ388" s="145" t="str">
        <f>IF($I388&lt;&gt;"",INDEX('Device Refrigerant Leakage'!$G$2:$G$42,MATCH($Q388,'Device Refrigerant Leakage'!$B$2:$B$42,0)),"")</f>
        <v/>
      </c>
      <c r="DA388" s="145" t="str">
        <f>IF($I388&lt;&gt;"",J388*INDEX('Device Refrigerant Leakage'!$D$2:$D$42,MATCH($Q388,'Device Refrigerant Leakage'!$B$2:$B$42,0))*CX388/2204.62*CW388,"")</f>
        <v/>
      </c>
      <c r="DB388" s="145" t="str">
        <f>IF($I388&lt;&gt;"",J388*(INDEX('Device Refrigerant Leakage'!$D$2:$D$42,MATCH($Q388,'Device Refrigerant Leakage'!$B$2:$B$42,0))-(INDEX('Device Refrigerant Leakage'!$D$2:$D$42,MATCH($Q388,'Device Refrigerant Leakage'!$B$2:$B$42,0)))*CZ388*CX388)*CY388/2204.62*CW388,"")</f>
        <v/>
      </c>
      <c r="DC388" s="135" t="str">
        <f t="shared" si="484"/>
        <v/>
      </c>
      <c r="DE388" s="146" t="str">
        <f>IF(W388&lt;&gt;"AR","",IF(Y388="User Specified", AA388, INDEX('Refrigerant GWPs'!$G$2:$G$154,MATCH(Y388,'Refrigerant GWPs'!$A$2:$A$154,0))))</f>
        <v/>
      </c>
      <c r="DF388" s="146" t="str">
        <f>IF(W388&lt;&gt;"AR","",INDEX('Device Refrigerant Leakage'!$E$2:$E$42,MATCH(X388,'Device Refrigerant Leakage'!$B$2:$B$42,0)))</f>
        <v/>
      </c>
      <c r="DG388" s="146" t="str">
        <f>IF(W388&lt;&gt;"AR","",INDEX('Device Refrigerant Leakage'!$F$2:$F$42,MATCH(X388,'Device Refrigerant Leakage'!$B$2:$B$42,0)))</f>
        <v/>
      </c>
      <c r="DH388" s="146" t="str">
        <f>IF(W388&lt;&gt;"AR","",INDEX('Device Refrigerant Leakage'!$G$2:$G$42,MATCH(X388,'Device Refrigerant Leakage'!$B$2:$B$42,0)))</f>
        <v/>
      </c>
      <c r="DI388" s="146" t="str">
        <f>IF(W388&lt;&gt;"AR","",J388*INDEX('Device Refrigerant Leakage'!$D$2:$D$42,MATCH(X388,'Device Refrigerant Leakage'!$B$2:$B$42,0))*DF388/2204.62*DE388)</f>
        <v/>
      </c>
      <c r="DJ388" s="146" t="str">
        <f>IF(W388&lt;&gt;"AR","",J388*(INDEX('Device Refrigerant Leakage'!$D$2:$D$42,MATCH(X388,'Device Refrigerant Leakage'!$B$2:$B$42,0))-(INDEX('Device Refrigerant Leakage'!$D$2:$D$42,MATCH(X388,'Device Refrigerant Leakage'!$B$2:$B$42,0)))*DH388*DF388)*DG388/2204.62*DE388)</f>
        <v/>
      </c>
      <c r="DK388" s="146" t="str">
        <f>IF(W388&lt;&gt;"AR","",DI388*(K388-AB388)+'Fuel Sub Calcs-Deemed'!DJ388*((K388-AB388)/INDEX('Device Refrigerant Leakage'!$C$2:$C$42,MATCH('Fuel Sub Calcs-Deemed'!X388,'Device Refrigerant Leakage'!$B$2:$B$42,0))))</f>
        <v/>
      </c>
      <c r="DM388" s="56">
        <v>374</v>
      </c>
      <c r="DN388" s="67" t="e">
        <f t="shared" si="466"/>
        <v>#N/A</v>
      </c>
      <c r="DO388" s="45" t="e">
        <f t="shared" si="467"/>
        <v>#N/A</v>
      </c>
      <c r="DP388" s="67" t="e">
        <f t="shared" si="468"/>
        <v>#N/A</v>
      </c>
      <c r="DQ388" s="45" t="e">
        <f t="shared" si="469"/>
        <v>#N/A</v>
      </c>
      <c r="DR388" s="69" t="e">
        <f t="shared" si="470"/>
        <v>#N/A</v>
      </c>
      <c r="DS388" s="34"/>
      <c r="DT388" s="67" t="e">
        <f>((BX388*CJ388)+IF($W388=MAT_AR,(BZ388*CL388),0))*(1+Reference!$E$50+Reference!$E$51)</f>
        <v>#N/A</v>
      </c>
      <c r="DU388" s="67">
        <f>((BY388*CK388)+IF($W388=MAT_AR,(CA388*CM388),0))*(1+Reference!$G$50+Reference!$G$51)</f>
        <v>0</v>
      </c>
      <c r="DV388" s="67" t="e">
        <f t="shared" si="471"/>
        <v>#VALUE!</v>
      </c>
      <c r="DX388" s="56">
        <v>374</v>
      </c>
      <c r="DY388" s="67">
        <f t="shared" si="472"/>
        <v>0</v>
      </c>
      <c r="DZ388" s="45" t="e">
        <f>VLOOKUP($R388,Dropdown!$C$3:$D$4,2,FALSE)</f>
        <v>#N/A</v>
      </c>
      <c r="EA388" s="68">
        <f t="shared" si="473"/>
        <v>0</v>
      </c>
      <c r="EB388" s="68" t="str">
        <f t="shared" si="474"/>
        <v>N/A</v>
      </c>
      <c r="EC388" s="68">
        <f t="shared" si="475"/>
        <v>0</v>
      </c>
      <c r="ED388" s="68" t="str">
        <f t="shared" si="513"/>
        <v>N/A</v>
      </c>
      <c r="EF388" s="56">
        <v>374</v>
      </c>
      <c r="EG388" s="46">
        <f t="shared" si="476"/>
        <v>0</v>
      </c>
      <c r="EH388" s="68" t="e">
        <f t="shared" si="477"/>
        <v>#N/A</v>
      </c>
      <c r="EI388" s="68" t="e">
        <f t="shared" si="478"/>
        <v>#N/A</v>
      </c>
      <c r="EJ388" s="68" t="e">
        <f t="shared" si="479"/>
        <v>#N/A</v>
      </c>
      <c r="EK388" s="68" t="e">
        <f t="shared" si="480"/>
        <v>#N/A</v>
      </c>
      <c r="EL388" s="46">
        <f t="shared" si="481"/>
        <v>0</v>
      </c>
      <c r="EM388" s="46">
        <f t="shared" si="482"/>
        <v>0</v>
      </c>
    </row>
    <row r="389" spans="1:143">
      <c r="A389" s="89"/>
      <c r="B389" s="89"/>
      <c r="C389" s="89"/>
      <c r="D389" s="89"/>
      <c r="E389" s="89"/>
      <c r="F389" s="89"/>
      <c r="G389" s="34"/>
      <c r="H389" s="56">
        <f t="shared" si="483"/>
        <v>375</v>
      </c>
      <c r="I389" s="165"/>
      <c r="J389" s="163"/>
      <c r="K389" s="163"/>
      <c r="L389" s="164"/>
      <c r="M389" s="155"/>
      <c r="N389" s="155"/>
      <c r="O389" s="144"/>
      <c r="P389" s="159" t="str">
        <f>IFERROR(IF(O389&lt;&gt;"User Specified",IF(O389&lt;&gt;"", INDEX('Refrigerant GWPs'!$G$2:$G$154,MATCH(O389,'Refrigerant GWPs'!$A$2:$A$154,0)),""),U389),0)</f>
        <v/>
      </c>
      <c r="Q389" s="155"/>
      <c r="R389" s="155"/>
      <c r="S389" s="144"/>
      <c r="T389" s="159" t="str">
        <f>IF(S389&lt;&gt;"User Specified",IF(AND(S389&lt;&gt;"User Specified",S389&lt;&gt;""), INDEX('Refrigerant GWPs'!$G$2:$G$154,MATCH(S389,'Refrigerant GWPs'!$A$2:$A$154,0)),""),V389)</f>
        <v/>
      </c>
      <c r="U389" s="144"/>
      <c r="V389" s="144"/>
      <c r="W389" s="155"/>
      <c r="X389" s="155"/>
      <c r="Y389" s="144"/>
      <c r="Z389" s="159" t="str">
        <f>IF(AND(Y389&lt;&gt;"User Specified",Y389&lt;&gt;""), INDEX('Refrigerant GWPs'!$G$2:$G$154,MATCH(Y389,'Refrigerant GWPs'!$A$2:$A$154,0)),"")</f>
        <v/>
      </c>
      <c r="AA389" s="155"/>
      <c r="AB389" s="156"/>
      <c r="AC389" s="66"/>
      <c r="AD389" s="66"/>
      <c r="AE389" s="66"/>
      <c r="AF389" s="66"/>
      <c r="AG389" s="66"/>
      <c r="AH389" s="66"/>
      <c r="AI389" s="34"/>
      <c r="AJ389" s="88">
        <f t="shared" si="446"/>
        <v>0</v>
      </c>
      <c r="AK389" s="88">
        <f t="shared" si="447"/>
        <v>0</v>
      </c>
      <c r="AL389" s="88">
        <v>0</v>
      </c>
      <c r="AM389" s="88">
        <v>0</v>
      </c>
      <c r="AN389" s="81" t="str">
        <f t="shared" si="485"/>
        <v/>
      </c>
      <c r="AO389" s="88">
        <f t="shared" si="448"/>
        <v>0</v>
      </c>
      <c r="AP389" s="88">
        <f t="shared" si="449"/>
        <v>0</v>
      </c>
      <c r="AQ389" s="81" t="str">
        <f t="shared" si="450"/>
        <v/>
      </c>
      <c r="AS389" s="41" t="b">
        <f t="shared" si="451"/>
        <v>1</v>
      </c>
      <c r="AT389" s="38">
        <f t="shared" si="452"/>
        <v>0</v>
      </c>
      <c r="AU389" s="60">
        <f t="shared" si="453"/>
        <v>0</v>
      </c>
      <c r="AV389" s="41">
        <f t="shared" si="454"/>
        <v>0</v>
      </c>
      <c r="AW389" s="41" t="b">
        <f t="shared" si="455"/>
        <v>0</v>
      </c>
      <c r="AX389" t="str">
        <f t="shared" si="456"/>
        <v>+00</v>
      </c>
      <c r="AY389" t="str">
        <f t="shared" si="457"/>
        <v>+00</v>
      </c>
      <c r="BA389" s="47" t="b">
        <f t="shared" si="486"/>
        <v>1</v>
      </c>
      <c r="BB389" s="42" t="b">
        <f t="shared" si="487"/>
        <v>1</v>
      </c>
      <c r="BC389" s="42" t="b">
        <f t="shared" si="488"/>
        <v>0</v>
      </c>
      <c r="BD389" s="42" t="b">
        <f t="shared" si="489"/>
        <v>0</v>
      </c>
      <c r="BE389" s="70">
        <f t="shared" si="490"/>
        <v>0</v>
      </c>
      <c r="BF389" s="70">
        <f t="shared" si="491"/>
        <v>0</v>
      </c>
      <c r="BG389" s="34"/>
      <c r="BI389" s="47" t="b">
        <f t="shared" si="492"/>
        <v>1</v>
      </c>
      <c r="BJ389" s="47" t="b">
        <f t="shared" si="493"/>
        <v>1</v>
      </c>
      <c r="BK389" s="42" t="b">
        <f t="shared" si="494"/>
        <v>0</v>
      </c>
      <c r="BL389" s="42" t="b">
        <f t="shared" si="495"/>
        <v>0</v>
      </c>
      <c r="BM389" s="42">
        <f t="shared" si="496"/>
        <v>0</v>
      </c>
      <c r="BN389" s="42">
        <f t="shared" si="497"/>
        <v>0</v>
      </c>
      <c r="BP389" t="e">
        <f t="shared" si="498"/>
        <v>#N/A</v>
      </c>
      <c r="BQ389" t="e">
        <f t="shared" si="499"/>
        <v>#N/A</v>
      </c>
      <c r="BR389" t="e">
        <f t="shared" si="500"/>
        <v>#N/A</v>
      </c>
      <c r="BT389" s="60">
        <f t="shared" si="501"/>
        <v>0</v>
      </c>
      <c r="BU389" s="60">
        <f t="shared" si="502"/>
        <v>0</v>
      </c>
      <c r="BV389" s="60">
        <f t="shared" si="503"/>
        <v>0</v>
      </c>
      <c r="BW389" s="60">
        <f t="shared" si="504"/>
        <v>0</v>
      </c>
      <c r="BX389" s="60">
        <f t="shared" si="505"/>
        <v>0</v>
      </c>
      <c r="BY389" s="60">
        <f t="shared" si="506"/>
        <v>0</v>
      </c>
      <c r="BZ389" s="60">
        <f t="shared" si="507"/>
        <v>0</v>
      </c>
      <c r="CA389" s="60">
        <f t="shared" si="508"/>
        <v>0</v>
      </c>
      <c r="CB389" s="60" t="e">
        <f t="shared" si="458"/>
        <v>#N/A</v>
      </c>
      <c r="CC389" s="60">
        <f t="shared" si="459"/>
        <v>100000</v>
      </c>
      <c r="CD389" s="60" t="e">
        <f t="shared" si="460"/>
        <v>#N/A</v>
      </c>
      <c r="CE389" s="60">
        <f t="shared" si="461"/>
        <v>100000</v>
      </c>
      <c r="CF389" s="83" t="e">
        <f t="shared" si="509"/>
        <v>#N/A</v>
      </c>
      <c r="CG389" s="83">
        <f t="shared" si="510"/>
        <v>0</v>
      </c>
      <c r="CH389" s="83" t="e">
        <f t="shared" si="511"/>
        <v>#N/A</v>
      </c>
      <c r="CI389" s="83">
        <f t="shared" si="512"/>
        <v>0</v>
      </c>
      <c r="CJ389" s="86" t="e">
        <f t="shared" si="462"/>
        <v>#N/A</v>
      </c>
      <c r="CK389" s="82">
        <f t="shared" si="463"/>
        <v>5.3070370403969858E-3</v>
      </c>
      <c r="CL389" s="82" t="e">
        <f t="shared" si="464"/>
        <v>#N/A</v>
      </c>
      <c r="CM389" s="82">
        <f t="shared" si="465"/>
        <v>5.3070370403969858E-3</v>
      </c>
      <c r="CO389" s="149" t="str">
        <f>IF($I389&lt;&gt;"",IF(O389="User Specified",U389,INDEX('Refrigerant GWPs'!$G$2:$G$156,MATCH(O389,'Refrigerant GWPs'!$A$2:$A$156,0))),"")</f>
        <v/>
      </c>
      <c r="CP389" s="138" t="str">
        <f>IF($I389&lt;&gt;"",INDEX('Device Refrigerant Leakage'!$E$2:$E$42,MATCH($M389,'Device Refrigerant Leakage'!$B$2:$B$42,0)),"")</f>
        <v/>
      </c>
      <c r="CQ389" s="138" t="str">
        <f>IF($I389&lt;&gt;"",INDEX('Device Refrigerant Leakage'!$F$2:$F$42,MATCH($M389,'Device Refrigerant Leakage'!$B$2:$B$42,0)),"")</f>
        <v/>
      </c>
      <c r="CR389" s="145" t="str">
        <f>IF($I389&lt;&gt;"",INDEX('Device Refrigerant Leakage'!$G$2:$G$42,MATCH($M389,'Device Refrigerant Leakage'!$B$2:$B$42,0)),"")</f>
        <v/>
      </c>
      <c r="CS389" s="145" t="str">
        <f>IF($I389&lt;&gt;"",INDEX('Device Refrigerant Leakage'!$D$2:$D$42,MATCH($M389,'Device Refrigerant Leakage'!$B$2:$B$42,0))*CP389/2204.62*CO389,"")</f>
        <v/>
      </c>
      <c r="CT389" s="145" t="str">
        <f>IF($I389&lt;&gt;"",J389*(INDEX('Device Refrigerant Leakage'!$D$2:$D$42,MATCH($M389,'Device Refrigerant Leakage'!$B$2:$B$42,0))-(INDEX('Device Refrigerant Leakage'!$D$2:$D$42,MATCH($M389,'Device Refrigerant Leakage'!$B$2:$B$42,0)))*CR389*CP389)*CQ389/2204.62*CO389,"")</f>
        <v/>
      </c>
      <c r="CU389" s="135" t="str">
        <f>IF($I389&lt;&gt;"",J389*IF(W389&lt;&gt;"AR",(CS389*K389)+CT389,(CS389*AB389)+CT389*(AB389/INDEX('Device Refrigerant Leakage'!$C$2:$C$42,MATCH($M389,'Device Refrigerant Leakage'!$B$2:$B$42,0)))),"")</f>
        <v/>
      </c>
      <c r="CW389" s="135" t="str">
        <f>IF($I389&lt;&gt;"",IF(S389="User Specified",V389,INDEX('Refrigerant GWPs'!$G$2:$G$156,MATCH(S389,'Refrigerant GWPs'!$A$2:$A$157,0))),"")</f>
        <v/>
      </c>
      <c r="CX389" s="138" t="str">
        <f>IF($I389&lt;&gt;"",INDEX('Device Refrigerant Leakage'!$E$2:$E$42,MATCH($Q389,'Device Refrigerant Leakage'!$B$2:$B$42,0)),"")</f>
        <v/>
      </c>
      <c r="CY389" s="138" t="str">
        <f>IF($I389&lt;&gt;"",INDEX('Device Refrigerant Leakage'!$F$2:$F$42,MATCH($Q389,'Device Refrigerant Leakage'!$B$2:$B$42,0)),"")</f>
        <v/>
      </c>
      <c r="CZ389" s="145" t="str">
        <f>IF($I389&lt;&gt;"",INDEX('Device Refrigerant Leakage'!$G$2:$G$42,MATCH($Q389,'Device Refrigerant Leakage'!$B$2:$B$42,0)),"")</f>
        <v/>
      </c>
      <c r="DA389" s="145" t="str">
        <f>IF($I389&lt;&gt;"",J389*INDEX('Device Refrigerant Leakage'!$D$2:$D$42,MATCH($Q389,'Device Refrigerant Leakage'!$B$2:$B$42,0))*CX389/2204.62*CW389,"")</f>
        <v/>
      </c>
      <c r="DB389" s="145" t="str">
        <f>IF($I389&lt;&gt;"",J389*(INDEX('Device Refrigerant Leakage'!$D$2:$D$42,MATCH($Q389,'Device Refrigerant Leakage'!$B$2:$B$42,0))-(INDEX('Device Refrigerant Leakage'!$D$2:$D$42,MATCH($Q389,'Device Refrigerant Leakage'!$B$2:$B$42,0)))*CZ389*CX389)*CY389/2204.62*CW389,"")</f>
        <v/>
      </c>
      <c r="DC389" s="135" t="str">
        <f t="shared" si="484"/>
        <v/>
      </c>
      <c r="DE389" s="146" t="str">
        <f>IF(W389&lt;&gt;"AR","",IF(Y389="User Specified", AA389, INDEX('Refrigerant GWPs'!$G$2:$G$154,MATCH(Y389,'Refrigerant GWPs'!$A$2:$A$154,0))))</f>
        <v/>
      </c>
      <c r="DF389" s="146" t="str">
        <f>IF(W389&lt;&gt;"AR","",INDEX('Device Refrigerant Leakage'!$E$2:$E$42,MATCH(X389,'Device Refrigerant Leakage'!$B$2:$B$42,0)))</f>
        <v/>
      </c>
      <c r="DG389" s="146" t="str">
        <f>IF(W389&lt;&gt;"AR","",INDEX('Device Refrigerant Leakage'!$F$2:$F$42,MATCH(X389,'Device Refrigerant Leakage'!$B$2:$B$42,0)))</f>
        <v/>
      </c>
      <c r="DH389" s="146" t="str">
        <f>IF(W389&lt;&gt;"AR","",INDEX('Device Refrigerant Leakage'!$G$2:$G$42,MATCH(X389,'Device Refrigerant Leakage'!$B$2:$B$42,0)))</f>
        <v/>
      </c>
      <c r="DI389" s="146" t="str">
        <f>IF(W389&lt;&gt;"AR","",J389*INDEX('Device Refrigerant Leakage'!$D$2:$D$42,MATCH(X389,'Device Refrigerant Leakage'!$B$2:$B$42,0))*DF389/2204.62*DE389)</f>
        <v/>
      </c>
      <c r="DJ389" s="146" t="str">
        <f>IF(W389&lt;&gt;"AR","",J389*(INDEX('Device Refrigerant Leakage'!$D$2:$D$42,MATCH(X389,'Device Refrigerant Leakage'!$B$2:$B$42,0))-(INDEX('Device Refrigerant Leakage'!$D$2:$D$42,MATCH(X389,'Device Refrigerant Leakage'!$B$2:$B$42,0)))*DH389*DF389)*DG389/2204.62*DE389)</f>
        <v/>
      </c>
      <c r="DK389" s="146" t="str">
        <f>IF(W389&lt;&gt;"AR","",DI389*(K389-AB389)+'Fuel Sub Calcs-Deemed'!DJ389*((K389-AB389)/INDEX('Device Refrigerant Leakage'!$C$2:$C$42,MATCH('Fuel Sub Calcs-Deemed'!X389,'Device Refrigerant Leakage'!$B$2:$B$42,0))))</f>
        <v/>
      </c>
      <c r="DM389" s="56">
        <v>375</v>
      </c>
      <c r="DN389" s="67" t="e">
        <f t="shared" si="466"/>
        <v>#N/A</v>
      </c>
      <c r="DO389" s="45" t="e">
        <f t="shared" si="467"/>
        <v>#N/A</v>
      </c>
      <c r="DP389" s="67" t="e">
        <f t="shared" si="468"/>
        <v>#N/A</v>
      </c>
      <c r="DQ389" s="45" t="e">
        <f t="shared" si="469"/>
        <v>#N/A</v>
      </c>
      <c r="DR389" s="69" t="e">
        <f t="shared" si="470"/>
        <v>#N/A</v>
      </c>
      <c r="DS389" s="34"/>
      <c r="DT389" s="67" t="e">
        <f>((BX389*CJ389)+IF($W389=MAT_AR,(BZ389*CL389),0))*(1+Reference!$E$50+Reference!$E$51)</f>
        <v>#N/A</v>
      </c>
      <c r="DU389" s="67">
        <f>((BY389*CK389)+IF($W389=MAT_AR,(CA389*CM389),0))*(1+Reference!$G$50+Reference!$G$51)</f>
        <v>0</v>
      </c>
      <c r="DV389" s="67" t="e">
        <f t="shared" si="471"/>
        <v>#VALUE!</v>
      </c>
      <c r="DX389" s="56">
        <v>375</v>
      </c>
      <c r="DY389" s="67">
        <f t="shared" si="472"/>
        <v>0</v>
      </c>
      <c r="DZ389" s="45" t="e">
        <f>VLOOKUP($R389,Dropdown!$C$3:$D$4,2,FALSE)</f>
        <v>#N/A</v>
      </c>
      <c r="EA389" s="68">
        <f t="shared" si="473"/>
        <v>0</v>
      </c>
      <c r="EB389" s="68" t="str">
        <f t="shared" si="474"/>
        <v>N/A</v>
      </c>
      <c r="EC389" s="68">
        <f t="shared" si="475"/>
        <v>0</v>
      </c>
      <c r="ED389" s="68" t="str">
        <f t="shared" si="513"/>
        <v>N/A</v>
      </c>
      <c r="EF389" s="56">
        <v>375</v>
      </c>
      <c r="EG389" s="46">
        <f t="shared" si="476"/>
        <v>0</v>
      </c>
      <c r="EH389" s="68" t="e">
        <f t="shared" si="477"/>
        <v>#N/A</v>
      </c>
      <c r="EI389" s="68" t="e">
        <f t="shared" si="478"/>
        <v>#N/A</v>
      </c>
      <c r="EJ389" s="68" t="e">
        <f t="shared" si="479"/>
        <v>#N/A</v>
      </c>
      <c r="EK389" s="68" t="e">
        <f t="shared" si="480"/>
        <v>#N/A</v>
      </c>
      <c r="EL389" s="46">
        <f t="shared" si="481"/>
        <v>0</v>
      </c>
      <c r="EM389" s="46">
        <f t="shared" si="482"/>
        <v>0</v>
      </c>
    </row>
    <row r="390" spans="1:143">
      <c r="A390" s="89"/>
      <c r="B390" s="89"/>
      <c r="C390" s="89"/>
      <c r="D390" s="89"/>
      <c r="E390" s="89"/>
      <c r="F390" s="89"/>
      <c r="G390" s="34"/>
      <c r="H390" s="56">
        <f t="shared" si="483"/>
        <v>376</v>
      </c>
      <c r="I390" s="165"/>
      <c r="J390" s="163"/>
      <c r="K390" s="163"/>
      <c r="L390" s="164"/>
      <c r="M390" s="155"/>
      <c r="N390" s="155"/>
      <c r="O390" s="144"/>
      <c r="P390" s="159" t="str">
        <f>IFERROR(IF(O390&lt;&gt;"User Specified",IF(O390&lt;&gt;"", INDEX('Refrigerant GWPs'!$G$2:$G$154,MATCH(O390,'Refrigerant GWPs'!$A$2:$A$154,0)),""),U390),0)</f>
        <v/>
      </c>
      <c r="Q390" s="155"/>
      <c r="R390" s="155"/>
      <c r="S390" s="144"/>
      <c r="T390" s="159" t="str">
        <f>IF(S390&lt;&gt;"User Specified",IF(AND(S390&lt;&gt;"User Specified",S390&lt;&gt;""), INDEX('Refrigerant GWPs'!$G$2:$G$154,MATCH(S390,'Refrigerant GWPs'!$A$2:$A$154,0)),""),V390)</f>
        <v/>
      </c>
      <c r="U390" s="144"/>
      <c r="V390" s="144"/>
      <c r="W390" s="155"/>
      <c r="X390" s="155"/>
      <c r="Y390" s="144"/>
      <c r="Z390" s="159" t="str">
        <f>IF(AND(Y390&lt;&gt;"User Specified",Y390&lt;&gt;""), INDEX('Refrigerant GWPs'!$G$2:$G$154,MATCH(Y390,'Refrigerant GWPs'!$A$2:$A$154,0)),"")</f>
        <v/>
      </c>
      <c r="AA390" s="155"/>
      <c r="AB390" s="156"/>
      <c r="AC390" s="66"/>
      <c r="AD390" s="66"/>
      <c r="AE390" s="66"/>
      <c r="AF390" s="66"/>
      <c r="AG390" s="66"/>
      <c r="AH390" s="66"/>
      <c r="AI390" s="34"/>
      <c r="AJ390" s="88">
        <f t="shared" si="446"/>
        <v>0</v>
      </c>
      <c r="AK390" s="88">
        <f t="shared" si="447"/>
        <v>0</v>
      </c>
      <c r="AL390" s="88">
        <v>0</v>
      </c>
      <c r="AM390" s="88">
        <v>0</v>
      </c>
      <c r="AN390" s="81" t="str">
        <f t="shared" si="485"/>
        <v/>
      </c>
      <c r="AO390" s="88">
        <f t="shared" si="448"/>
        <v>0</v>
      </c>
      <c r="AP390" s="88">
        <f t="shared" si="449"/>
        <v>0</v>
      </c>
      <c r="AQ390" s="81" t="str">
        <f t="shared" si="450"/>
        <v/>
      </c>
      <c r="AS390" s="41" t="b">
        <f t="shared" si="451"/>
        <v>1</v>
      </c>
      <c r="AT390" s="38">
        <f t="shared" si="452"/>
        <v>0</v>
      </c>
      <c r="AU390" s="60">
        <f t="shared" si="453"/>
        <v>0</v>
      </c>
      <c r="AV390" s="41">
        <f t="shared" si="454"/>
        <v>0</v>
      </c>
      <c r="AW390" s="41" t="b">
        <f t="shared" si="455"/>
        <v>0</v>
      </c>
      <c r="AX390" t="str">
        <f t="shared" si="456"/>
        <v>+00</v>
      </c>
      <c r="AY390" t="str">
        <f t="shared" si="457"/>
        <v>+00</v>
      </c>
      <c r="BA390" s="47" t="b">
        <f t="shared" si="486"/>
        <v>1</v>
      </c>
      <c r="BB390" s="42" t="b">
        <f t="shared" si="487"/>
        <v>1</v>
      </c>
      <c r="BC390" s="42" t="b">
        <f t="shared" si="488"/>
        <v>0</v>
      </c>
      <c r="BD390" s="42" t="b">
        <f t="shared" si="489"/>
        <v>0</v>
      </c>
      <c r="BE390" s="70">
        <f t="shared" si="490"/>
        <v>0</v>
      </c>
      <c r="BF390" s="70">
        <f t="shared" si="491"/>
        <v>0</v>
      </c>
      <c r="BG390" s="34"/>
      <c r="BI390" s="47" t="b">
        <f t="shared" si="492"/>
        <v>1</v>
      </c>
      <c r="BJ390" s="47" t="b">
        <f t="shared" si="493"/>
        <v>1</v>
      </c>
      <c r="BK390" s="42" t="b">
        <f t="shared" si="494"/>
        <v>0</v>
      </c>
      <c r="BL390" s="42" t="b">
        <f t="shared" si="495"/>
        <v>0</v>
      </c>
      <c r="BM390" s="42">
        <f t="shared" si="496"/>
        <v>0</v>
      </c>
      <c r="BN390" s="42">
        <f t="shared" si="497"/>
        <v>0</v>
      </c>
      <c r="BP390" t="e">
        <f t="shared" si="498"/>
        <v>#N/A</v>
      </c>
      <c r="BQ390" t="e">
        <f t="shared" si="499"/>
        <v>#N/A</v>
      </c>
      <c r="BR390" t="e">
        <f t="shared" si="500"/>
        <v>#N/A</v>
      </c>
      <c r="BT390" s="60">
        <f t="shared" si="501"/>
        <v>0</v>
      </c>
      <c r="BU390" s="60">
        <f t="shared" si="502"/>
        <v>0</v>
      </c>
      <c r="BV390" s="60">
        <f t="shared" si="503"/>
        <v>0</v>
      </c>
      <c r="BW390" s="60">
        <f t="shared" si="504"/>
        <v>0</v>
      </c>
      <c r="BX390" s="60">
        <f t="shared" si="505"/>
        <v>0</v>
      </c>
      <c r="BY390" s="60">
        <f t="shared" si="506"/>
        <v>0</v>
      </c>
      <c r="BZ390" s="60">
        <f t="shared" si="507"/>
        <v>0</v>
      </c>
      <c r="CA390" s="60">
        <f t="shared" si="508"/>
        <v>0</v>
      </c>
      <c r="CB390" s="60" t="e">
        <f t="shared" si="458"/>
        <v>#N/A</v>
      </c>
      <c r="CC390" s="60">
        <f t="shared" si="459"/>
        <v>100000</v>
      </c>
      <c r="CD390" s="60" t="e">
        <f t="shared" si="460"/>
        <v>#N/A</v>
      </c>
      <c r="CE390" s="60">
        <f t="shared" si="461"/>
        <v>100000</v>
      </c>
      <c r="CF390" s="83" t="e">
        <f t="shared" si="509"/>
        <v>#N/A</v>
      </c>
      <c r="CG390" s="83">
        <f t="shared" si="510"/>
        <v>0</v>
      </c>
      <c r="CH390" s="83" t="e">
        <f t="shared" si="511"/>
        <v>#N/A</v>
      </c>
      <c r="CI390" s="83">
        <f t="shared" si="512"/>
        <v>0</v>
      </c>
      <c r="CJ390" s="86" t="e">
        <f t="shared" si="462"/>
        <v>#N/A</v>
      </c>
      <c r="CK390" s="82">
        <f t="shared" si="463"/>
        <v>5.3070370403969858E-3</v>
      </c>
      <c r="CL390" s="82" t="e">
        <f t="shared" si="464"/>
        <v>#N/A</v>
      </c>
      <c r="CM390" s="82">
        <f t="shared" si="465"/>
        <v>5.3070370403969858E-3</v>
      </c>
      <c r="CO390" s="149" t="str">
        <f>IF($I390&lt;&gt;"",IF(O390="User Specified",U390,INDEX('Refrigerant GWPs'!$G$2:$G$156,MATCH(O390,'Refrigerant GWPs'!$A$2:$A$156,0))),"")</f>
        <v/>
      </c>
      <c r="CP390" s="138" t="str">
        <f>IF($I390&lt;&gt;"",INDEX('Device Refrigerant Leakage'!$E$2:$E$42,MATCH($M390,'Device Refrigerant Leakage'!$B$2:$B$42,0)),"")</f>
        <v/>
      </c>
      <c r="CQ390" s="138" t="str">
        <f>IF($I390&lt;&gt;"",INDEX('Device Refrigerant Leakage'!$F$2:$F$42,MATCH($M390,'Device Refrigerant Leakage'!$B$2:$B$42,0)),"")</f>
        <v/>
      </c>
      <c r="CR390" s="145" t="str">
        <f>IF($I390&lt;&gt;"",INDEX('Device Refrigerant Leakage'!$G$2:$G$42,MATCH($M390,'Device Refrigerant Leakage'!$B$2:$B$42,0)),"")</f>
        <v/>
      </c>
      <c r="CS390" s="145" t="str">
        <f>IF($I390&lt;&gt;"",INDEX('Device Refrigerant Leakage'!$D$2:$D$42,MATCH($M390,'Device Refrigerant Leakage'!$B$2:$B$42,0))*CP390/2204.62*CO390,"")</f>
        <v/>
      </c>
      <c r="CT390" s="145" t="str">
        <f>IF($I390&lt;&gt;"",J390*(INDEX('Device Refrigerant Leakage'!$D$2:$D$42,MATCH($M390,'Device Refrigerant Leakage'!$B$2:$B$42,0))-(INDEX('Device Refrigerant Leakage'!$D$2:$D$42,MATCH($M390,'Device Refrigerant Leakage'!$B$2:$B$42,0)))*CR390*CP390)*CQ390/2204.62*CO390,"")</f>
        <v/>
      </c>
      <c r="CU390" s="135" t="str">
        <f>IF($I390&lt;&gt;"",J390*IF(W390&lt;&gt;"AR",(CS390*K390)+CT390,(CS390*AB390)+CT390*(AB390/INDEX('Device Refrigerant Leakage'!$C$2:$C$42,MATCH($M390,'Device Refrigerant Leakage'!$B$2:$B$42,0)))),"")</f>
        <v/>
      </c>
      <c r="CW390" s="135" t="str">
        <f>IF($I390&lt;&gt;"",IF(S390="User Specified",V390,INDEX('Refrigerant GWPs'!$G$2:$G$156,MATCH(S390,'Refrigerant GWPs'!$A$2:$A$157,0))),"")</f>
        <v/>
      </c>
      <c r="CX390" s="138" t="str">
        <f>IF($I390&lt;&gt;"",INDEX('Device Refrigerant Leakage'!$E$2:$E$42,MATCH($Q390,'Device Refrigerant Leakage'!$B$2:$B$42,0)),"")</f>
        <v/>
      </c>
      <c r="CY390" s="138" t="str">
        <f>IF($I390&lt;&gt;"",INDEX('Device Refrigerant Leakage'!$F$2:$F$42,MATCH($Q390,'Device Refrigerant Leakage'!$B$2:$B$42,0)),"")</f>
        <v/>
      </c>
      <c r="CZ390" s="145" t="str">
        <f>IF($I390&lt;&gt;"",INDEX('Device Refrigerant Leakage'!$G$2:$G$42,MATCH($Q390,'Device Refrigerant Leakage'!$B$2:$B$42,0)),"")</f>
        <v/>
      </c>
      <c r="DA390" s="145" t="str">
        <f>IF($I390&lt;&gt;"",J390*INDEX('Device Refrigerant Leakage'!$D$2:$D$42,MATCH($Q390,'Device Refrigerant Leakage'!$B$2:$B$42,0))*CX390/2204.62*CW390,"")</f>
        <v/>
      </c>
      <c r="DB390" s="145" t="str">
        <f>IF($I390&lt;&gt;"",J390*(INDEX('Device Refrigerant Leakage'!$D$2:$D$42,MATCH($Q390,'Device Refrigerant Leakage'!$B$2:$B$42,0))-(INDEX('Device Refrigerant Leakage'!$D$2:$D$42,MATCH($Q390,'Device Refrigerant Leakage'!$B$2:$B$42,0)))*CZ390*CX390)*CY390/2204.62*CW390,"")</f>
        <v/>
      </c>
      <c r="DC390" s="135" t="str">
        <f t="shared" si="484"/>
        <v/>
      </c>
      <c r="DE390" s="146" t="str">
        <f>IF(W390&lt;&gt;"AR","",IF(Y390="User Specified", AA390, INDEX('Refrigerant GWPs'!$G$2:$G$154,MATCH(Y390,'Refrigerant GWPs'!$A$2:$A$154,0))))</f>
        <v/>
      </c>
      <c r="DF390" s="146" t="str">
        <f>IF(W390&lt;&gt;"AR","",INDEX('Device Refrigerant Leakage'!$E$2:$E$42,MATCH(X390,'Device Refrigerant Leakage'!$B$2:$B$42,0)))</f>
        <v/>
      </c>
      <c r="DG390" s="146" t="str">
        <f>IF(W390&lt;&gt;"AR","",INDEX('Device Refrigerant Leakage'!$F$2:$F$42,MATCH(X390,'Device Refrigerant Leakage'!$B$2:$B$42,0)))</f>
        <v/>
      </c>
      <c r="DH390" s="146" t="str">
        <f>IF(W390&lt;&gt;"AR","",INDEX('Device Refrigerant Leakage'!$G$2:$G$42,MATCH(X390,'Device Refrigerant Leakage'!$B$2:$B$42,0)))</f>
        <v/>
      </c>
      <c r="DI390" s="146" t="str">
        <f>IF(W390&lt;&gt;"AR","",J390*INDEX('Device Refrigerant Leakage'!$D$2:$D$42,MATCH(X390,'Device Refrigerant Leakage'!$B$2:$B$42,0))*DF390/2204.62*DE390)</f>
        <v/>
      </c>
      <c r="DJ390" s="146" t="str">
        <f>IF(W390&lt;&gt;"AR","",J390*(INDEX('Device Refrigerant Leakage'!$D$2:$D$42,MATCH(X390,'Device Refrigerant Leakage'!$B$2:$B$42,0))-(INDEX('Device Refrigerant Leakage'!$D$2:$D$42,MATCH(X390,'Device Refrigerant Leakage'!$B$2:$B$42,0)))*DH390*DF390)*DG390/2204.62*DE390)</f>
        <v/>
      </c>
      <c r="DK390" s="146" t="str">
        <f>IF(W390&lt;&gt;"AR","",DI390*(K390-AB390)+'Fuel Sub Calcs-Deemed'!DJ390*((K390-AB390)/INDEX('Device Refrigerant Leakage'!$C$2:$C$42,MATCH('Fuel Sub Calcs-Deemed'!X390,'Device Refrigerant Leakage'!$B$2:$B$42,0))))</f>
        <v/>
      </c>
      <c r="DM390" s="56">
        <v>376</v>
      </c>
      <c r="DN390" s="67" t="e">
        <f t="shared" si="466"/>
        <v>#N/A</v>
      </c>
      <c r="DO390" s="45" t="e">
        <f t="shared" si="467"/>
        <v>#N/A</v>
      </c>
      <c r="DP390" s="67" t="e">
        <f t="shared" si="468"/>
        <v>#N/A</v>
      </c>
      <c r="DQ390" s="45" t="e">
        <f t="shared" si="469"/>
        <v>#N/A</v>
      </c>
      <c r="DR390" s="69" t="e">
        <f t="shared" si="470"/>
        <v>#N/A</v>
      </c>
      <c r="DS390" s="34"/>
      <c r="DT390" s="67" t="e">
        <f>((BX390*CJ390)+IF($W390=MAT_AR,(BZ390*CL390),0))*(1+Reference!$E$50+Reference!$E$51)</f>
        <v>#N/A</v>
      </c>
      <c r="DU390" s="67">
        <f>((BY390*CK390)+IF($W390=MAT_AR,(CA390*CM390),0))*(1+Reference!$G$50+Reference!$G$51)</f>
        <v>0</v>
      </c>
      <c r="DV390" s="67" t="e">
        <f t="shared" si="471"/>
        <v>#VALUE!</v>
      </c>
      <c r="DX390" s="56">
        <v>376</v>
      </c>
      <c r="DY390" s="67">
        <f t="shared" si="472"/>
        <v>0</v>
      </c>
      <c r="DZ390" s="45" t="e">
        <f>VLOOKUP($R390,Dropdown!$C$3:$D$4,2,FALSE)</f>
        <v>#N/A</v>
      </c>
      <c r="EA390" s="68">
        <f t="shared" si="473"/>
        <v>0</v>
      </c>
      <c r="EB390" s="68" t="str">
        <f t="shared" si="474"/>
        <v>N/A</v>
      </c>
      <c r="EC390" s="68">
        <f t="shared" si="475"/>
        <v>0</v>
      </c>
      <c r="ED390" s="68" t="str">
        <f t="shared" si="513"/>
        <v>N/A</v>
      </c>
      <c r="EF390" s="56">
        <v>376</v>
      </c>
      <c r="EG390" s="46">
        <f t="shared" si="476"/>
        <v>0</v>
      </c>
      <c r="EH390" s="68" t="e">
        <f t="shared" si="477"/>
        <v>#N/A</v>
      </c>
      <c r="EI390" s="68" t="e">
        <f t="shared" si="478"/>
        <v>#N/A</v>
      </c>
      <c r="EJ390" s="68" t="e">
        <f t="shared" si="479"/>
        <v>#N/A</v>
      </c>
      <c r="EK390" s="68" t="e">
        <f t="shared" si="480"/>
        <v>#N/A</v>
      </c>
      <c r="EL390" s="46">
        <f t="shared" si="481"/>
        <v>0</v>
      </c>
      <c r="EM390" s="46">
        <f t="shared" si="482"/>
        <v>0</v>
      </c>
    </row>
    <row r="391" spans="1:143">
      <c r="A391" s="89"/>
      <c r="B391" s="89"/>
      <c r="C391" s="89"/>
      <c r="D391" s="89"/>
      <c r="E391" s="89"/>
      <c r="F391" s="89"/>
      <c r="G391" s="34"/>
      <c r="H391" s="56">
        <f t="shared" si="483"/>
        <v>377</v>
      </c>
      <c r="I391" s="165"/>
      <c r="J391" s="163"/>
      <c r="K391" s="163"/>
      <c r="L391" s="164"/>
      <c r="M391" s="155"/>
      <c r="N391" s="155"/>
      <c r="O391" s="144"/>
      <c r="P391" s="159" t="str">
        <f>IFERROR(IF(O391&lt;&gt;"User Specified",IF(O391&lt;&gt;"", INDEX('Refrigerant GWPs'!$G$2:$G$154,MATCH(O391,'Refrigerant GWPs'!$A$2:$A$154,0)),""),U391),0)</f>
        <v/>
      </c>
      <c r="Q391" s="155"/>
      <c r="R391" s="155"/>
      <c r="S391" s="144"/>
      <c r="T391" s="159" t="str">
        <f>IF(S391&lt;&gt;"User Specified",IF(AND(S391&lt;&gt;"User Specified",S391&lt;&gt;""), INDEX('Refrigerant GWPs'!$G$2:$G$154,MATCH(S391,'Refrigerant GWPs'!$A$2:$A$154,0)),""),V391)</f>
        <v/>
      </c>
      <c r="U391" s="144"/>
      <c r="V391" s="144"/>
      <c r="W391" s="155"/>
      <c r="X391" s="155"/>
      <c r="Y391" s="144"/>
      <c r="Z391" s="159" t="str">
        <f>IF(AND(Y391&lt;&gt;"User Specified",Y391&lt;&gt;""), INDEX('Refrigerant GWPs'!$G$2:$G$154,MATCH(Y391,'Refrigerant GWPs'!$A$2:$A$154,0)),"")</f>
        <v/>
      </c>
      <c r="AA391" s="155"/>
      <c r="AB391" s="156"/>
      <c r="AC391" s="66"/>
      <c r="AD391" s="66"/>
      <c r="AE391" s="66"/>
      <c r="AF391" s="66"/>
      <c r="AG391" s="66"/>
      <c r="AH391" s="66"/>
      <c r="AI391" s="34"/>
      <c r="AJ391" s="88">
        <f t="shared" si="446"/>
        <v>0</v>
      </c>
      <c r="AK391" s="88">
        <f t="shared" si="447"/>
        <v>0</v>
      </c>
      <c r="AL391" s="88">
        <v>0</v>
      </c>
      <c r="AM391" s="88">
        <v>0</v>
      </c>
      <c r="AN391" s="81" t="str">
        <f t="shared" si="485"/>
        <v/>
      </c>
      <c r="AO391" s="88">
        <f t="shared" si="448"/>
        <v>0</v>
      </c>
      <c r="AP391" s="88">
        <f t="shared" si="449"/>
        <v>0</v>
      </c>
      <c r="AQ391" s="81" t="str">
        <f t="shared" si="450"/>
        <v/>
      </c>
      <c r="AS391" s="41" t="b">
        <f t="shared" si="451"/>
        <v>1</v>
      </c>
      <c r="AT391" s="38">
        <f t="shared" si="452"/>
        <v>0</v>
      </c>
      <c r="AU391" s="60">
        <f t="shared" si="453"/>
        <v>0</v>
      </c>
      <c r="AV391" s="41">
        <f t="shared" si="454"/>
        <v>0</v>
      </c>
      <c r="AW391" s="41" t="b">
        <f t="shared" si="455"/>
        <v>0</v>
      </c>
      <c r="AX391" t="str">
        <f t="shared" si="456"/>
        <v>+00</v>
      </c>
      <c r="AY391" t="str">
        <f t="shared" si="457"/>
        <v>+00</v>
      </c>
      <c r="BA391" s="47" t="b">
        <f t="shared" si="486"/>
        <v>1</v>
      </c>
      <c r="BB391" s="42" t="b">
        <f t="shared" si="487"/>
        <v>1</v>
      </c>
      <c r="BC391" s="42" t="b">
        <f t="shared" si="488"/>
        <v>0</v>
      </c>
      <c r="BD391" s="42" t="b">
        <f t="shared" si="489"/>
        <v>0</v>
      </c>
      <c r="BE391" s="70">
        <f t="shared" si="490"/>
        <v>0</v>
      </c>
      <c r="BF391" s="70">
        <f t="shared" si="491"/>
        <v>0</v>
      </c>
      <c r="BG391" s="34"/>
      <c r="BI391" s="47" t="b">
        <f t="shared" si="492"/>
        <v>1</v>
      </c>
      <c r="BJ391" s="47" t="b">
        <f t="shared" si="493"/>
        <v>1</v>
      </c>
      <c r="BK391" s="42" t="b">
        <f t="shared" si="494"/>
        <v>0</v>
      </c>
      <c r="BL391" s="42" t="b">
        <f t="shared" si="495"/>
        <v>0</v>
      </c>
      <c r="BM391" s="42">
        <f t="shared" si="496"/>
        <v>0</v>
      </c>
      <c r="BN391" s="42">
        <f t="shared" si="497"/>
        <v>0</v>
      </c>
      <c r="BP391" t="e">
        <f t="shared" si="498"/>
        <v>#N/A</v>
      </c>
      <c r="BQ391" t="e">
        <f t="shared" si="499"/>
        <v>#N/A</v>
      </c>
      <c r="BR391" t="e">
        <f t="shared" si="500"/>
        <v>#N/A</v>
      </c>
      <c r="BT391" s="60">
        <f t="shared" si="501"/>
        <v>0</v>
      </c>
      <c r="BU391" s="60">
        <f t="shared" si="502"/>
        <v>0</v>
      </c>
      <c r="BV391" s="60">
        <f t="shared" si="503"/>
        <v>0</v>
      </c>
      <c r="BW391" s="60">
        <f t="shared" si="504"/>
        <v>0</v>
      </c>
      <c r="BX391" s="60">
        <f t="shared" si="505"/>
        <v>0</v>
      </c>
      <c r="BY391" s="60">
        <f t="shared" si="506"/>
        <v>0</v>
      </c>
      <c r="BZ391" s="60">
        <f t="shared" si="507"/>
        <v>0</v>
      </c>
      <c r="CA391" s="60">
        <f t="shared" si="508"/>
        <v>0</v>
      </c>
      <c r="CB391" s="60" t="e">
        <f t="shared" si="458"/>
        <v>#N/A</v>
      </c>
      <c r="CC391" s="60">
        <f t="shared" si="459"/>
        <v>100000</v>
      </c>
      <c r="CD391" s="60" t="e">
        <f t="shared" si="460"/>
        <v>#N/A</v>
      </c>
      <c r="CE391" s="60">
        <f t="shared" si="461"/>
        <v>100000</v>
      </c>
      <c r="CF391" s="83" t="e">
        <f t="shared" si="509"/>
        <v>#N/A</v>
      </c>
      <c r="CG391" s="83">
        <f t="shared" si="510"/>
        <v>0</v>
      </c>
      <c r="CH391" s="83" t="e">
        <f t="shared" si="511"/>
        <v>#N/A</v>
      </c>
      <c r="CI391" s="83">
        <f t="shared" si="512"/>
        <v>0</v>
      </c>
      <c r="CJ391" s="86" t="e">
        <f t="shared" si="462"/>
        <v>#N/A</v>
      </c>
      <c r="CK391" s="82">
        <f t="shared" si="463"/>
        <v>5.3070370403969858E-3</v>
      </c>
      <c r="CL391" s="82" t="e">
        <f t="shared" si="464"/>
        <v>#N/A</v>
      </c>
      <c r="CM391" s="82">
        <f t="shared" si="465"/>
        <v>5.3070370403969858E-3</v>
      </c>
      <c r="CO391" s="149" t="str">
        <f>IF($I391&lt;&gt;"",IF(O391="User Specified",U391,INDEX('Refrigerant GWPs'!$G$2:$G$156,MATCH(O391,'Refrigerant GWPs'!$A$2:$A$156,0))),"")</f>
        <v/>
      </c>
      <c r="CP391" s="138" t="str">
        <f>IF($I391&lt;&gt;"",INDEX('Device Refrigerant Leakage'!$E$2:$E$42,MATCH($M391,'Device Refrigerant Leakage'!$B$2:$B$42,0)),"")</f>
        <v/>
      </c>
      <c r="CQ391" s="138" t="str">
        <f>IF($I391&lt;&gt;"",INDEX('Device Refrigerant Leakage'!$F$2:$F$42,MATCH($M391,'Device Refrigerant Leakage'!$B$2:$B$42,0)),"")</f>
        <v/>
      </c>
      <c r="CR391" s="145" t="str">
        <f>IF($I391&lt;&gt;"",INDEX('Device Refrigerant Leakage'!$G$2:$G$42,MATCH($M391,'Device Refrigerant Leakage'!$B$2:$B$42,0)),"")</f>
        <v/>
      </c>
      <c r="CS391" s="145" t="str">
        <f>IF($I391&lt;&gt;"",INDEX('Device Refrigerant Leakage'!$D$2:$D$42,MATCH($M391,'Device Refrigerant Leakage'!$B$2:$B$42,0))*CP391/2204.62*CO391,"")</f>
        <v/>
      </c>
      <c r="CT391" s="145" t="str">
        <f>IF($I391&lt;&gt;"",J391*(INDEX('Device Refrigerant Leakage'!$D$2:$D$42,MATCH($M391,'Device Refrigerant Leakage'!$B$2:$B$42,0))-(INDEX('Device Refrigerant Leakage'!$D$2:$D$42,MATCH($M391,'Device Refrigerant Leakage'!$B$2:$B$42,0)))*CR391*CP391)*CQ391/2204.62*CO391,"")</f>
        <v/>
      </c>
      <c r="CU391" s="135" t="str">
        <f>IF($I391&lt;&gt;"",J391*IF(W391&lt;&gt;"AR",(CS391*K391)+CT391,(CS391*AB391)+CT391*(AB391/INDEX('Device Refrigerant Leakage'!$C$2:$C$42,MATCH($M391,'Device Refrigerant Leakage'!$B$2:$B$42,0)))),"")</f>
        <v/>
      </c>
      <c r="CW391" s="135" t="str">
        <f>IF($I391&lt;&gt;"",IF(S391="User Specified",V391,INDEX('Refrigerant GWPs'!$G$2:$G$156,MATCH(S391,'Refrigerant GWPs'!$A$2:$A$157,0))),"")</f>
        <v/>
      </c>
      <c r="CX391" s="138" t="str">
        <f>IF($I391&lt;&gt;"",INDEX('Device Refrigerant Leakage'!$E$2:$E$42,MATCH($Q391,'Device Refrigerant Leakage'!$B$2:$B$42,0)),"")</f>
        <v/>
      </c>
      <c r="CY391" s="138" t="str">
        <f>IF($I391&lt;&gt;"",INDEX('Device Refrigerant Leakage'!$F$2:$F$42,MATCH($Q391,'Device Refrigerant Leakage'!$B$2:$B$42,0)),"")</f>
        <v/>
      </c>
      <c r="CZ391" s="145" t="str">
        <f>IF($I391&lt;&gt;"",INDEX('Device Refrigerant Leakage'!$G$2:$G$42,MATCH($Q391,'Device Refrigerant Leakage'!$B$2:$B$42,0)),"")</f>
        <v/>
      </c>
      <c r="DA391" s="145" t="str">
        <f>IF($I391&lt;&gt;"",J391*INDEX('Device Refrigerant Leakage'!$D$2:$D$42,MATCH($Q391,'Device Refrigerant Leakage'!$B$2:$B$42,0))*CX391/2204.62*CW391,"")</f>
        <v/>
      </c>
      <c r="DB391" s="145" t="str">
        <f>IF($I391&lt;&gt;"",J391*(INDEX('Device Refrigerant Leakage'!$D$2:$D$42,MATCH($Q391,'Device Refrigerant Leakage'!$B$2:$B$42,0))-(INDEX('Device Refrigerant Leakage'!$D$2:$D$42,MATCH($Q391,'Device Refrigerant Leakage'!$B$2:$B$42,0)))*CZ391*CX391)*CY391/2204.62*CW391,"")</f>
        <v/>
      </c>
      <c r="DC391" s="135" t="str">
        <f t="shared" si="484"/>
        <v/>
      </c>
      <c r="DE391" s="146" t="str">
        <f>IF(W391&lt;&gt;"AR","",IF(Y391="User Specified", AA391, INDEX('Refrigerant GWPs'!$G$2:$G$154,MATCH(Y391,'Refrigerant GWPs'!$A$2:$A$154,0))))</f>
        <v/>
      </c>
      <c r="DF391" s="146" t="str">
        <f>IF(W391&lt;&gt;"AR","",INDEX('Device Refrigerant Leakage'!$E$2:$E$42,MATCH(X391,'Device Refrigerant Leakage'!$B$2:$B$42,0)))</f>
        <v/>
      </c>
      <c r="DG391" s="146" t="str">
        <f>IF(W391&lt;&gt;"AR","",INDEX('Device Refrigerant Leakage'!$F$2:$F$42,MATCH(X391,'Device Refrigerant Leakage'!$B$2:$B$42,0)))</f>
        <v/>
      </c>
      <c r="DH391" s="146" t="str">
        <f>IF(W391&lt;&gt;"AR","",INDEX('Device Refrigerant Leakage'!$G$2:$G$42,MATCH(X391,'Device Refrigerant Leakage'!$B$2:$B$42,0)))</f>
        <v/>
      </c>
      <c r="DI391" s="146" t="str">
        <f>IF(W391&lt;&gt;"AR","",J391*INDEX('Device Refrigerant Leakage'!$D$2:$D$42,MATCH(X391,'Device Refrigerant Leakage'!$B$2:$B$42,0))*DF391/2204.62*DE391)</f>
        <v/>
      </c>
      <c r="DJ391" s="146" t="str">
        <f>IF(W391&lt;&gt;"AR","",J391*(INDEX('Device Refrigerant Leakage'!$D$2:$D$42,MATCH(X391,'Device Refrigerant Leakage'!$B$2:$B$42,0))-(INDEX('Device Refrigerant Leakage'!$D$2:$D$42,MATCH(X391,'Device Refrigerant Leakage'!$B$2:$B$42,0)))*DH391*DF391)*DG391/2204.62*DE391)</f>
        <v/>
      </c>
      <c r="DK391" s="146" t="str">
        <f>IF(W391&lt;&gt;"AR","",DI391*(K391-AB391)+'Fuel Sub Calcs-Deemed'!DJ391*((K391-AB391)/INDEX('Device Refrigerant Leakage'!$C$2:$C$42,MATCH('Fuel Sub Calcs-Deemed'!X391,'Device Refrigerant Leakage'!$B$2:$B$42,0))))</f>
        <v/>
      </c>
      <c r="DM391" s="56">
        <v>377</v>
      </c>
      <c r="DN391" s="67" t="e">
        <f t="shared" si="466"/>
        <v>#N/A</v>
      </c>
      <c r="DO391" s="45" t="e">
        <f t="shared" si="467"/>
        <v>#N/A</v>
      </c>
      <c r="DP391" s="67" t="e">
        <f t="shared" si="468"/>
        <v>#N/A</v>
      </c>
      <c r="DQ391" s="45" t="e">
        <f t="shared" si="469"/>
        <v>#N/A</v>
      </c>
      <c r="DR391" s="69" t="e">
        <f t="shared" si="470"/>
        <v>#N/A</v>
      </c>
      <c r="DS391" s="34"/>
      <c r="DT391" s="67" t="e">
        <f>((BX391*CJ391)+IF($W391=MAT_AR,(BZ391*CL391),0))*(1+Reference!$E$50+Reference!$E$51)</f>
        <v>#N/A</v>
      </c>
      <c r="DU391" s="67">
        <f>((BY391*CK391)+IF($W391=MAT_AR,(CA391*CM391),0))*(1+Reference!$G$50+Reference!$G$51)</f>
        <v>0</v>
      </c>
      <c r="DV391" s="67" t="e">
        <f t="shared" si="471"/>
        <v>#VALUE!</v>
      </c>
      <c r="DX391" s="56">
        <v>377</v>
      </c>
      <c r="DY391" s="67">
        <f t="shared" si="472"/>
        <v>0</v>
      </c>
      <c r="DZ391" s="45" t="e">
        <f>VLOOKUP($R391,Dropdown!$C$3:$D$4,2,FALSE)</f>
        <v>#N/A</v>
      </c>
      <c r="EA391" s="68">
        <f t="shared" si="473"/>
        <v>0</v>
      </c>
      <c r="EB391" s="68" t="str">
        <f t="shared" si="474"/>
        <v>N/A</v>
      </c>
      <c r="EC391" s="68">
        <f t="shared" si="475"/>
        <v>0</v>
      </c>
      <c r="ED391" s="68" t="str">
        <f t="shared" si="513"/>
        <v>N/A</v>
      </c>
      <c r="EF391" s="56">
        <v>377</v>
      </c>
      <c r="EG391" s="46">
        <f t="shared" si="476"/>
        <v>0</v>
      </c>
      <c r="EH391" s="68" t="e">
        <f t="shared" si="477"/>
        <v>#N/A</v>
      </c>
      <c r="EI391" s="68" t="e">
        <f t="shared" si="478"/>
        <v>#N/A</v>
      </c>
      <c r="EJ391" s="68" t="e">
        <f t="shared" si="479"/>
        <v>#N/A</v>
      </c>
      <c r="EK391" s="68" t="e">
        <f t="shared" si="480"/>
        <v>#N/A</v>
      </c>
      <c r="EL391" s="46">
        <f t="shared" si="481"/>
        <v>0</v>
      </c>
      <c r="EM391" s="46">
        <f t="shared" si="482"/>
        <v>0</v>
      </c>
    </row>
    <row r="392" spans="1:143">
      <c r="A392" s="89"/>
      <c r="B392" s="89"/>
      <c r="C392" s="89"/>
      <c r="D392" s="89"/>
      <c r="E392" s="89"/>
      <c r="F392" s="89"/>
      <c r="G392" s="34"/>
      <c r="H392" s="56">
        <f t="shared" si="483"/>
        <v>378</v>
      </c>
      <c r="I392" s="165"/>
      <c r="J392" s="163"/>
      <c r="K392" s="163"/>
      <c r="L392" s="164"/>
      <c r="M392" s="155"/>
      <c r="N392" s="155"/>
      <c r="O392" s="144"/>
      <c r="P392" s="159" t="str">
        <f>IFERROR(IF(O392&lt;&gt;"User Specified",IF(O392&lt;&gt;"", INDEX('Refrigerant GWPs'!$G$2:$G$154,MATCH(O392,'Refrigerant GWPs'!$A$2:$A$154,0)),""),U392),0)</f>
        <v/>
      </c>
      <c r="Q392" s="155"/>
      <c r="R392" s="155"/>
      <c r="S392" s="144"/>
      <c r="T392" s="159" t="str">
        <f>IF(S392&lt;&gt;"User Specified",IF(AND(S392&lt;&gt;"User Specified",S392&lt;&gt;""), INDEX('Refrigerant GWPs'!$G$2:$G$154,MATCH(S392,'Refrigerant GWPs'!$A$2:$A$154,0)),""),V392)</f>
        <v/>
      </c>
      <c r="U392" s="144"/>
      <c r="V392" s="144"/>
      <c r="W392" s="155"/>
      <c r="X392" s="155"/>
      <c r="Y392" s="144"/>
      <c r="Z392" s="159" t="str">
        <f>IF(AND(Y392&lt;&gt;"User Specified",Y392&lt;&gt;""), INDEX('Refrigerant GWPs'!$G$2:$G$154,MATCH(Y392,'Refrigerant GWPs'!$A$2:$A$154,0)),"")</f>
        <v/>
      </c>
      <c r="AA392" s="155"/>
      <c r="AB392" s="156"/>
      <c r="AC392" s="66"/>
      <c r="AD392" s="66"/>
      <c r="AE392" s="66"/>
      <c r="AF392" s="66"/>
      <c r="AG392" s="66"/>
      <c r="AH392" s="66"/>
      <c r="AI392" s="34"/>
      <c r="AJ392" s="88">
        <f t="shared" si="446"/>
        <v>0</v>
      </c>
      <c r="AK392" s="88">
        <f t="shared" si="447"/>
        <v>0</v>
      </c>
      <c r="AL392" s="88">
        <v>0</v>
      </c>
      <c r="AM392" s="88">
        <v>0</v>
      </c>
      <c r="AN392" s="81" t="str">
        <f t="shared" si="485"/>
        <v/>
      </c>
      <c r="AO392" s="88">
        <f t="shared" si="448"/>
        <v>0</v>
      </c>
      <c r="AP392" s="88">
        <f t="shared" si="449"/>
        <v>0</v>
      </c>
      <c r="AQ392" s="81" t="str">
        <f t="shared" si="450"/>
        <v/>
      </c>
      <c r="AS392" s="41" t="b">
        <f t="shared" si="451"/>
        <v>1</v>
      </c>
      <c r="AT392" s="38">
        <f t="shared" si="452"/>
        <v>0</v>
      </c>
      <c r="AU392" s="60">
        <f t="shared" si="453"/>
        <v>0</v>
      </c>
      <c r="AV392" s="41">
        <f t="shared" si="454"/>
        <v>0</v>
      </c>
      <c r="AW392" s="41" t="b">
        <f t="shared" si="455"/>
        <v>0</v>
      </c>
      <c r="AX392" t="str">
        <f t="shared" si="456"/>
        <v>+00</v>
      </c>
      <c r="AY392" t="str">
        <f t="shared" si="457"/>
        <v>+00</v>
      </c>
      <c r="BA392" s="47" t="b">
        <f t="shared" si="486"/>
        <v>1</v>
      </c>
      <c r="BB392" s="42" t="b">
        <f t="shared" si="487"/>
        <v>1</v>
      </c>
      <c r="BC392" s="42" t="b">
        <f t="shared" si="488"/>
        <v>0</v>
      </c>
      <c r="BD392" s="42" t="b">
        <f t="shared" si="489"/>
        <v>0</v>
      </c>
      <c r="BE392" s="70">
        <f t="shared" si="490"/>
        <v>0</v>
      </c>
      <c r="BF392" s="70">
        <f t="shared" si="491"/>
        <v>0</v>
      </c>
      <c r="BG392" s="34"/>
      <c r="BI392" s="47" t="b">
        <f t="shared" si="492"/>
        <v>1</v>
      </c>
      <c r="BJ392" s="47" t="b">
        <f t="shared" si="493"/>
        <v>1</v>
      </c>
      <c r="BK392" s="42" t="b">
        <f t="shared" si="494"/>
        <v>0</v>
      </c>
      <c r="BL392" s="42" t="b">
        <f t="shared" si="495"/>
        <v>0</v>
      </c>
      <c r="BM392" s="42">
        <f t="shared" si="496"/>
        <v>0</v>
      </c>
      <c r="BN392" s="42">
        <f t="shared" si="497"/>
        <v>0</v>
      </c>
      <c r="BP392" t="e">
        <f t="shared" si="498"/>
        <v>#N/A</v>
      </c>
      <c r="BQ392" t="e">
        <f t="shared" si="499"/>
        <v>#N/A</v>
      </c>
      <c r="BR392" t="e">
        <f t="shared" si="500"/>
        <v>#N/A</v>
      </c>
      <c r="BT392" s="60">
        <f t="shared" si="501"/>
        <v>0</v>
      </c>
      <c r="BU392" s="60">
        <f t="shared" si="502"/>
        <v>0</v>
      </c>
      <c r="BV392" s="60">
        <f t="shared" si="503"/>
        <v>0</v>
      </c>
      <c r="BW392" s="60">
        <f t="shared" si="504"/>
        <v>0</v>
      </c>
      <c r="BX392" s="60">
        <f t="shared" si="505"/>
        <v>0</v>
      </c>
      <c r="BY392" s="60">
        <f t="shared" si="506"/>
        <v>0</v>
      </c>
      <c r="BZ392" s="60">
        <f t="shared" si="507"/>
        <v>0</v>
      </c>
      <c r="CA392" s="60">
        <f t="shared" si="508"/>
        <v>0</v>
      </c>
      <c r="CB392" s="60" t="e">
        <f t="shared" si="458"/>
        <v>#N/A</v>
      </c>
      <c r="CC392" s="60">
        <f t="shared" si="459"/>
        <v>100000</v>
      </c>
      <c r="CD392" s="60" t="e">
        <f t="shared" si="460"/>
        <v>#N/A</v>
      </c>
      <c r="CE392" s="60">
        <f t="shared" si="461"/>
        <v>100000</v>
      </c>
      <c r="CF392" s="83" t="e">
        <f t="shared" si="509"/>
        <v>#N/A</v>
      </c>
      <c r="CG392" s="83">
        <f t="shared" si="510"/>
        <v>0</v>
      </c>
      <c r="CH392" s="83" t="e">
        <f t="shared" si="511"/>
        <v>#N/A</v>
      </c>
      <c r="CI392" s="83">
        <f t="shared" si="512"/>
        <v>0</v>
      </c>
      <c r="CJ392" s="86" t="e">
        <f t="shared" si="462"/>
        <v>#N/A</v>
      </c>
      <c r="CK392" s="82">
        <f t="shared" si="463"/>
        <v>5.3070370403969858E-3</v>
      </c>
      <c r="CL392" s="82" t="e">
        <f t="shared" si="464"/>
        <v>#N/A</v>
      </c>
      <c r="CM392" s="82">
        <f t="shared" si="465"/>
        <v>5.3070370403969858E-3</v>
      </c>
      <c r="CO392" s="149" t="str">
        <f>IF($I392&lt;&gt;"",IF(O392="User Specified",U392,INDEX('Refrigerant GWPs'!$G$2:$G$156,MATCH(O392,'Refrigerant GWPs'!$A$2:$A$156,0))),"")</f>
        <v/>
      </c>
      <c r="CP392" s="138" t="str">
        <f>IF($I392&lt;&gt;"",INDEX('Device Refrigerant Leakage'!$E$2:$E$42,MATCH($M392,'Device Refrigerant Leakage'!$B$2:$B$42,0)),"")</f>
        <v/>
      </c>
      <c r="CQ392" s="138" t="str">
        <f>IF($I392&lt;&gt;"",INDEX('Device Refrigerant Leakage'!$F$2:$F$42,MATCH($M392,'Device Refrigerant Leakage'!$B$2:$B$42,0)),"")</f>
        <v/>
      </c>
      <c r="CR392" s="145" t="str">
        <f>IF($I392&lt;&gt;"",INDEX('Device Refrigerant Leakage'!$G$2:$G$42,MATCH($M392,'Device Refrigerant Leakage'!$B$2:$B$42,0)),"")</f>
        <v/>
      </c>
      <c r="CS392" s="145" t="str">
        <f>IF($I392&lt;&gt;"",INDEX('Device Refrigerant Leakage'!$D$2:$D$42,MATCH($M392,'Device Refrigerant Leakage'!$B$2:$B$42,0))*CP392/2204.62*CO392,"")</f>
        <v/>
      </c>
      <c r="CT392" s="145" t="str">
        <f>IF($I392&lt;&gt;"",J392*(INDEX('Device Refrigerant Leakage'!$D$2:$D$42,MATCH($M392,'Device Refrigerant Leakage'!$B$2:$B$42,0))-(INDEX('Device Refrigerant Leakage'!$D$2:$D$42,MATCH($M392,'Device Refrigerant Leakage'!$B$2:$B$42,0)))*CR392*CP392)*CQ392/2204.62*CO392,"")</f>
        <v/>
      </c>
      <c r="CU392" s="135" t="str">
        <f>IF($I392&lt;&gt;"",J392*IF(W392&lt;&gt;"AR",(CS392*K392)+CT392,(CS392*AB392)+CT392*(AB392/INDEX('Device Refrigerant Leakage'!$C$2:$C$42,MATCH($M392,'Device Refrigerant Leakage'!$B$2:$B$42,0)))),"")</f>
        <v/>
      </c>
      <c r="CW392" s="135" t="str">
        <f>IF($I392&lt;&gt;"",IF(S392="User Specified",V392,INDEX('Refrigerant GWPs'!$G$2:$G$156,MATCH(S392,'Refrigerant GWPs'!$A$2:$A$157,0))),"")</f>
        <v/>
      </c>
      <c r="CX392" s="138" t="str">
        <f>IF($I392&lt;&gt;"",INDEX('Device Refrigerant Leakage'!$E$2:$E$42,MATCH($Q392,'Device Refrigerant Leakage'!$B$2:$B$42,0)),"")</f>
        <v/>
      </c>
      <c r="CY392" s="138" t="str">
        <f>IF($I392&lt;&gt;"",INDEX('Device Refrigerant Leakage'!$F$2:$F$42,MATCH($Q392,'Device Refrigerant Leakage'!$B$2:$B$42,0)),"")</f>
        <v/>
      </c>
      <c r="CZ392" s="145" t="str">
        <f>IF($I392&lt;&gt;"",INDEX('Device Refrigerant Leakage'!$G$2:$G$42,MATCH($Q392,'Device Refrigerant Leakage'!$B$2:$B$42,0)),"")</f>
        <v/>
      </c>
      <c r="DA392" s="145" t="str">
        <f>IF($I392&lt;&gt;"",J392*INDEX('Device Refrigerant Leakage'!$D$2:$D$42,MATCH($Q392,'Device Refrigerant Leakage'!$B$2:$B$42,0))*CX392/2204.62*CW392,"")</f>
        <v/>
      </c>
      <c r="DB392" s="145" t="str">
        <f>IF($I392&lt;&gt;"",J392*(INDEX('Device Refrigerant Leakage'!$D$2:$D$42,MATCH($Q392,'Device Refrigerant Leakage'!$B$2:$B$42,0))-(INDEX('Device Refrigerant Leakage'!$D$2:$D$42,MATCH($Q392,'Device Refrigerant Leakage'!$B$2:$B$42,0)))*CZ392*CX392)*CY392/2204.62*CW392,"")</f>
        <v/>
      </c>
      <c r="DC392" s="135" t="str">
        <f t="shared" si="484"/>
        <v/>
      </c>
      <c r="DE392" s="146" t="str">
        <f>IF(W392&lt;&gt;"AR","",IF(Y392="User Specified", AA392, INDEX('Refrigerant GWPs'!$G$2:$G$154,MATCH(Y392,'Refrigerant GWPs'!$A$2:$A$154,0))))</f>
        <v/>
      </c>
      <c r="DF392" s="146" t="str">
        <f>IF(W392&lt;&gt;"AR","",INDEX('Device Refrigerant Leakage'!$E$2:$E$42,MATCH(X392,'Device Refrigerant Leakage'!$B$2:$B$42,0)))</f>
        <v/>
      </c>
      <c r="DG392" s="146" t="str">
        <f>IF(W392&lt;&gt;"AR","",INDEX('Device Refrigerant Leakage'!$F$2:$F$42,MATCH(X392,'Device Refrigerant Leakage'!$B$2:$B$42,0)))</f>
        <v/>
      </c>
      <c r="DH392" s="146" t="str">
        <f>IF(W392&lt;&gt;"AR","",INDEX('Device Refrigerant Leakage'!$G$2:$G$42,MATCH(X392,'Device Refrigerant Leakage'!$B$2:$B$42,0)))</f>
        <v/>
      </c>
      <c r="DI392" s="146" t="str">
        <f>IF(W392&lt;&gt;"AR","",J392*INDEX('Device Refrigerant Leakage'!$D$2:$D$42,MATCH(X392,'Device Refrigerant Leakage'!$B$2:$B$42,0))*DF392/2204.62*DE392)</f>
        <v/>
      </c>
      <c r="DJ392" s="146" t="str">
        <f>IF(W392&lt;&gt;"AR","",J392*(INDEX('Device Refrigerant Leakage'!$D$2:$D$42,MATCH(X392,'Device Refrigerant Leakage'!$B$2:$B$42,0))-(INDEX('Device Refrigerant Leakage'!$D$2:$D$42,MATCH(X392,'Device Refrigerant Leakage'!$B$2:$B$42,0)))*DH392*DF392)*DG392/2204.62*DE392)</f>
        <v/>
      </c>
      <c r="DK392" s="146" t="str">
        <f>IF(W392&lt;&gt;"AR","",DI392*(K392-AB392)+'Fuel Sub Calcs-Deemed'!DJ392*((K392-AB392)/INDEX('Device Refrigerant Leakage'!$C$2:$C$42,MATCH('Fuel Sub Calcs-Deemed'!X392,'Device Refrigerant Leakage'!$B$2:$B$42,0))))</f>
        <v/>
      </c>
      <c r="DM392" s="56">
        <v>378</v>
      </c>
      <c r="DN392" s="67" t="e">
        <f t="shared" si="466"/>
        <v>#N/A</v>
      </c>
      <c r="DO392" s="45" t="e">
        <f t="shared" si="467"/>
        <v>#N/A</v>
      </c>
      <c r="DP392" s="67" t="e">
        <f t="shared" si="468"/>
        <v>#N/A</v>
      </c>
      <c r="DQ392" s="45" t="e">
        <f t="shared" si="469"/>
        <v>#N/A</v>
      </c>
      <c r="DR392" s="69" t="e">
        <f t="shared" si="470"/>
        <v>#N/A</v>
      </c>
      <c r="DS392" s="34"/>
      <c r="DT392" s="67" t="e">
        <f>((BX392*CJ392)+IF($W392=MAT_AR,(BZ392*CL392),0))*(1+Reference!$E$50+Reference!$E$51)</f>
        <v>#N/A</v>
      </c>
      <c r="DU392" s="67">
        <f>((BY392*CK392)+IF($W392=MAT_AR,(CA392*CM392),0))*(1+Reference!$G$50+Reference!$G$51)</f>
        <v>0</v>
      </c>
      <c r="DV392" s="67" t="e">
        <f t="shared" si="471"/>
        <v>#VALUE!</v>
      </c>
      <c r="DX392" s="56">
        <v>378</v>
      </c>
      <c r="DY392" s="67">
        <f t="shared" si="472"/>
        <v>0</v>
      </c>
      <c r="DZ392" s="45" t="e">
        <f>VLOOKUP($R392,Dropdown!$C$3:$D$4,2,FALSE)</f>
        <v>#N/A</v>
      </c>
      <c r="EA392" s="68">
        <f t="shared" si="473"/>
        <v>0</v>
      </c>
      <c r="EB392" s="68" t="str">
        <f t="shared" si="474"/>
        <v>N/A</v>
      </c>
      <c r="EC392" s="68">
        <f t="shared" si="475"/>
        <v>0</v>
      </c>
      <c r="ED392" s="68" t="str">
        <f t="shared" si="513"/>
        <v>N/A</v>
      </c>
      <c r="EF392" s="56">
        <v>378</v>
      </c>
      <c r="EG392" s="46">
        <f t="shared" si="476"/>
        <v>0</v>
      </c>
      <c r="EH392" s="68" t="e">
        <f t="shared" si="477"/>
        <v>#N/A</v>
      </c>
      <c r="EI392" s="68" t="e">
        <f t="shared" si="478"/>
        <v>#N/A</v>
      </c>
      <c r="EJ392" s="68" t="e">
        <f t="shared" si="479"/>
        <v>#N/A</v>
      </c>
      <c r="EK392" s="68" t="e">
        <f t="shared" si="480"/>
        <v>#N/A</v>
      </c>
      <c r="EL392" s="46">
        <f t="shared" si="481"/>
        <v>0</v>
      </c>
      <c r="EM392" s="46">
        <f t="shared" si="482"/>
        <v>0</v>
      </c>
    </row>
    <row r="393" spans="1:143">
      <c r="A393" s="89"/>
      <c r="B393" s="89"/>
      <c r="C393" s="89"/>
      <c r="D393" s="89"/>
      <c r="E393" s="89"/>
      <c r="F393" s="89"/>
      <c r="G393" s="34"/>
      <c r="H393" s="56">
        <f t="shared" si="483"/>
        <v>379</v>
      </c>
      <c r="I393" s="165"/>
      <c r="J393" s="163"/>
      <c r="K393" s="163"/>
      <c r="L393" s="164"/>
      <c r="M393" s="155"/>
      <c r="N393" s="155"/>
      <c r="O393" s="144"/>
      <c r="P393" s="159" t="str">
        <f>IFERROR(IF(O393&lt;&gt;"User Specified",IF(O393&lt;&gt;"", INDEX('Refrigerant GWPs'!$G$2:$G$154,MATCH(O393,'Refrigerant GWPs'!$A$2:$A$154,0)),""),U393),0)</f>
        <v/>
      </c>
      <c r="Q393" s="155"/>
      <c r="R393" s="155"/>
      <c r="S393" s="144"/>
      <c r="T393" s="159" t="str">
        <f>IF(S393&lt;&gt;"User Specified",IF(AND(S393&lt;&gt;"User Specified",S393&lt;&gt;""), INDEX('Refrigerant GWPs'!$G$2:$G$154,MATCH(S393,'Refrigerant GWPs'!$A$2:$A$154,0)),""),V393)</f>
        <v/>
      </c>
      <c r="U393" s="144"/>
      <c r="V393" s="144"/>
      <c r="W393" s="155"/>
      <c r="X393" s="155"/>
      <c r="Y393" s="144"/>
      <c r="Z393" s="159" t="str">
        <f>IF(AND(Y393&lt;&gt;"User Specified",Y393&lt;&gt;""), INDEX('Refrigerant GWPs'!$G$2:$G$154,MATCH(Y393,'Refrigerant GWPs'!$A$2:$A$154,0)),"")</f>
        <v/>
      </c>
      <c r="AA393" s="155"/>
      <c r="AB393" s="156"/>
      <c r="AC393" s="66"/>
      <c r="AD393" s="66"/>
      <c r="AE393" s="66"/>
      <c r="AF393" s="66"/>
      <c r="AG393" s="66"/>
      <c r="AH393" s="66"/>
      <c r="AI393" s="34"/>
      <c r="AJ393" s="88">
        <f t="shared" si="446"/>
        <v>0</v>
      </c>
      <c r="AK393" s="88">
        <f t="shared" si="447"/>
        <v>0</v>
      </c>
      <c r="AL393" s="88">
        <v>0</v>
      </c>
      <c r="AM393" s="88">
        <v>0</v>
      </c>
      <c r="AN393" s="81" t="str">
        <f t="shared" si="485"/>
        <v/>
      </c>
      <c r="AO393" s="88">
        <f t="shared" si="448"/>
        <v>0</v>
      </c>
      <c r="AP393" s="88">
        <f t="shared" si="449"/>
        <v>0</v>
      </c>
      <c r="AQ393" s="81" t="str">
        <f t="shared" si="450"/>
        <v/>
      </c>
      <c r="AS393" s="41" t="b">
        <f t="shared" si="451"/>
        <v>1</v>
      </c>
      <c r="AT393" s="38">
        <f t="shared" si="452"/>
        <v>0</v>
      </c>
      <c r="AU393" s="60">
        <f t="shared" si="453"/>
        <v>0</v>
      </c>
      <c r="AV393" s="41">
        <f t="shared" si="454"/>
        <v>0</v>
      </c>
      <c r="AW393" s="41" t="b">
        <f t="shared" si="455"/>
        <v>0</v>
      </c>
      <c r="AX393" t="str">
        <f t="shared" si="456"/>
        <v>+00</v>
      </c>
      <c r="AY393" t="str">
        <f t="shared" si="457"/>
        <v>+00</v>
      </c>
      <c r="BA393" s="47" t="b">
        <f t="shared" si="486"/>
        <v>1</v>
      </c>
      <c r="BB393" s="42" t="b">
        <f t="shared" si="487"/>
        <v>1</v>
      </c>
      <c r="BC393" s="42" t="b">
        <f t="shared" si="488"/>
        <v>0</v>
      </c>
      <c r="BD393" s="42" t="b">
        <f t="shared" si="489"/>
        <v>0</v>
      </c>
      <c r="BE393" s="70">
        <f t="shared" si="490"/>
        <v>0</v>
      </c>
      <c r="BF393" s="70">
        <f t="shared" si="491"/>
        <v>0</v>
      </c>
      <c r="BG393" s="34"/>
      <c r="BI393" s="47" t="b">
        <f t="shared" si="492"/>
        <v>1</v>
      </c>
      <c r="BJ393" s="47" t="b">
        <f t="shared" si="493"/>
        <v>1</v>
      </c>
      <c r="BK393" s="42" t="b">
        <f t="shared" si="494"/>
        <v>0</v>
      </c>
      <c r="BL393" s="42" t="b">
        <f t="shared" si="495"/>
        <v>0</v>
      </c>
      <c r="BM393" s="42">
        <f t="shared" si="496"/>
        <v>0</v>
      </c>
      <c r="BN393" s="42">
        <f t="shared" si="497"/>
        <v>0</v>
      </c>
      <c r="BP393" t="e">
        <f t="shared" si="498"/>
        <v>#N/A</v>
      </c>
      <c r="BQ393" t="e">
        <f t="shared" si="499"/>
        <v>#N/A</v>
      </c>
      <c r="BR393" t="e">
        <f t="shared" si="500"/>
        <v>#N/A</v>
      </c>
      <c r="BT393" s="60">
        <f t="shared" si="501"/>
        <v>0</v>
      </c>
      <c r="BU393" s="60">
        <f t="shared" si="502"/>
        <v>0</v>
      </c>
      <c r="BV393" s="60">
        <f t="shared" si="503"/>
        <v>0</v>
      </c>
      <c r="BW393" s="60">
        <f t="shared" si="504"/>
        <v>0</v>
      </c>
      <c r="BX393" s="60">
        <f t="shared" si="505"/>
        <v>0</v>
      </c>
      <c r="BY393" s="60">
        <f t="shared" si="506"/>
        <v>0</v>
      </c>
      <c r="BZ393" s="60">
        <f t="shared" si="507"/>
        <v>0</v>
      </c>
      <c r="CA393" s="60">
        <f t="shared" si="508"/>
        <v>0</v>
      </c>
      <c r="CB393" s="60" t="e">
        <f t="shared" si="458"/>
        <v>#N/A</v>
      </c>
      <c r="CC393" s="60">
        <f t="shared" si="459"/>
        <v>100000</v>
      </c>
      <c r="CD393" s="60" t="e">
        <f t="shared" si="460"/>
        <v>#N/A</v>
      </c>
      <c r="CE393" s="60">
        <f t="shared" si="461"/>
        <v>100000</v>
      </c>
      <c r="CF393" s="83" t="e">
        <f t="shared" si="509"/>
        <v>#N/A</v>
      </c>
      <c r="CG393" s="83">
        <f t="shared" si="510"/>
        <v>0</v>
      </c>
      <c r="CH393" s="83" t="e">
        <f t="shared" si="511"/>
        <v>#N/A</v>
      </c>
      <c r="CI393" s="83">
        <f t="shared" si="512"/>
        <v>0</v>
      </c>
      <c r="CJ393" s="86" t="e">
        <f t="shared" si="462"/>
        <v>#N/A</v>
      </c>
      <c r="CK393" s="82">
        <f t="shared" si="463"/>
        <v>5.3070370403969858E-3</v>
      </c>
      <c r="CL393" s="82" t="e">
        <f t="shared" si="464"/>
        <v>#N/A</v>
      </c>
      <c r="CM393" s="82">
        <f t="shared" si="465"/>
        <v>5.3070370403969858E-3</v>
      </c>
      <c r="CO393" s="149" t="str">
        <f>IF($I393&lt;&gt;"",IF(O393="User Specified",U393,INDEX('Refrigerant GWPs'!$G$2:$G$156,MATCH(O393,'Refrigerant GWPs'!$A$2:$A$156,0))),"")</f>
        <v/>
      </c>
      <c r="CP393" s="138" t="str">
        <f>IF($I393&lt;&gt;"",INDEX('Device Refrigerant Leakage'!$E$2:$E$42,MATCH($M393,'Device Refrigerant Leakage'!$B$2:$B$42,0)),"")</f>
        <v/>
      </c>
      <c r="CQ393" s="138" t="str">
        <f>IF($I393&lt;&gt;"",INDEX('Device Refrigerant Leakage'!$F$2:$F$42,MATCH($M393,'Device Refrigerant Leakage'!$B$2:$B$42,0)),"")</f>
        <v/>
      </c>
      <c r="CR393" s="145" t="str">
        <f>IF($I393&lt;&gt;"",INDEX('Device Refrigerant Leakage'!$G$2:$G$42,MATCH($M393,'Device Refrigerant Leakage'!$B$2:$B$42,0)),"")</f>
        <v/>
      </c>
      <c r="CS393" s="145" t="str">
        <f>IF($I393&lt;&gt;"",INDEX('Device Refrigerant Leakage'!$D$2:$D$42,MATCH($M393,'Device Refrigerant Leakage'!$B$2:$B$42,0))*CP393/2204.62*CO393,"")</f>
        <v/>
      </c>
      <c r="CT393" s="145" t="str">
        <f>IF($I393&lt;&gt;"",J393*(INDEX('Device Refrigerant Leakage'!$D$2:$D$42,MATCH($M393,'Device Refrigerant Leakage'!$B$2:$B$42,0))-(INDEX('Device Refrigerant Leakage'!$D$2:$D$42,MATCH($M393,'Device Refrigerant Leakage'!$B$2:$B$42,0)))*CR393*CP393)*CQ393/2204.62*CO393,"")</f>
        <v/>
      </c>
      <c r="CU393" s="135" t="str">
        <f>IF($I393&lt;&gt;"",J393*IF(W393&lt;&gt;"AR",(CS393*K393)+CT393,(CS393*AB393)+CT393*(AB393/INDEX('Device Refrigerant Leakage'!$C$2:$C$42,MATCH($M393,'Device Refrigerant Leakage'!$B$2:$B$42,0)))),"")</f>
        <v/>
      </c>
      <c r="CW393" s="135" t="str">
        <f>IF($I393&lt;&gt;"",IF(S393="User Specified",V393,INDEX('Refrigerant GWPs'!$G$2:$G$156,MATCH(S393,'Refrigerant GWPs'!$A$2:$A$157,0))),"")</f>
        <v/>
      </c>
      <c r="CX393" s="138" t="str">
        <f>IF($I393&lt;&gt;"",INDEX('Device Refrigerant Leakage'!$E$2:$E$42,MATCH($Q393,'Device Refrigerant Leakage'!$B$2:$B$42,0)),"")</f>
        <v/>
      </c>
      <c r="CY393" s="138" t="str">
        <f>IF($I393&lt;&gt;"",INDEX('Device Refrigerant Leakage'!$F$2:$F$42,MATCH($Q393,'Device Refrigerant Leakage'!$B$2:$B$42,0)),"")</f>
        <v/>
      </c>
      <c r="CZ393" s="145" t="str">
        <f>IF($I393&lt;&gt;"",INDEX('Device Refrigerant Leakage'!$G$2:$G$42,MATCH($Q393,'Device Refrigerant Leakage'!$B$2:$B$42,0)),"")</f>
        <v/>
      </c>
      <c r="DA393" s="145" t="str">
        <f>IF($I393&lt;&gt;"",J393*INDEX('Device Refrigerant Leakage'!$D$2:$D$42,MATCH($Q393,'Device Refrigerant Leakage'!$B$2:$B$42,0))*CX393/2204.62*CW393,"")</f>
        <v/>
      </c>
      <c r="DB393" s="145" t="str">
        <f>IF($I393&lt;&gt;"",J393*(INDEX('Device Refrigerant Leakage'!$D$2:$D$42,MATCH($Q393,'Device Refrigerant Leakage'!$B$2:$B$42,0))-(INDEX('Device Refrigerant Leakage'!$D$2:$D$42,MATCH($Q393,'Device Refrigerant Leakage'!$B$2:$B$42,0)))*CZ393*CX393)*CY393/2204.62*CW393,"")</f>
        <v/>
      </c>
      <c r="DC393" s="135" t="str">
        <f t="shared" si="484"/>
        <v/>
      </c>
      <c r="DE393" s="146" t="str">
        <f>IF(W393&lt;&gt;"AR","",IF(Y393="User Specified", AA393, INDEX('Refrigerant GWPs'!$G$2:$G$154,MATCH(Y393,'Refrigerant GWPs'!$A$2:$A$154,0))))</f>
        <v/>
      </c>
      <c r="DF393" s="146" t="str">
        <f>IF(W393&lt;&gt;"AR","",INDEX('Device Refrigerant Leakage'!$E$2:$E$42,MATCH(X393,'Device Refrigerant Leakage'!$B$2:$B$42,0)))</f>
        <v/>
      </c>
      <c r="DG393" s="146" t="str">
        <f>IF(W393&lt;&gt;"AR","",INDEX('Device Refrigerant Leakage'!$F$2:$F$42,MATCH(X393,'Device Refrigerant Leakage'!$B$2:$B$42,0)))</f>
        <v/>
      </c>
      <c r="DH393" s="146" t="str">
        <f>IF(W393&lt;&gt;"AR","",INDEX('Device Refrigerant Leakage'!$G$2:$G$42,MATCH(X393,'Device Refrigerant Leakage'!$B$2:$B$42,0)))</f>
        <v/>
      </c>
      <c r="DI393" s="146" t="str">
        <f>IF(W393&lt;&gt;"AR","",J393*INDEX('Device Refrigerant Leakage'!$D$2:$D$42,MATCH(X393,'Device Refrigerant Leakage'!$B$2:$B$42,0))*DF393/2204.62*DE393)</f>
        <v/>
      </c>
      <c r="DJ393" s="146" t="str">
        <f>IF(W393&lt;&gt;"AR","",J393*(INDEX('Device Refrigerant Leakage'!$D$2:$D$42,MATCH(X393,'Device Refrigerant Leakage'!$B$2:$B$42,0))-(INDEX('Device Refrigerant Leakage'!$D$2:$D$42,MATCH(X393,'Device Refrigerant Leakage'!$B$2:$B$42,0)))*DH393*DF393)*DG393/2204.62*DE393)</f>
        <v/>
      </c>
      <c r="DK393" s="146" t="str">
        <f>IF(W393&lt;&gt;"AR","",DI393*(K393-AB393)+'Fuel Sub Calcs-Deemed'!DJ393*((K393-AB393)/INDEX('Device Refrigerant Leakage'!$C$2:$C$42,MATCH('Fuel Sub Calcs-Deemed'!X393,'Device Refrigerant Leakage'!$B$2:$B$42,0))))</f>
        <v/>
      </c>
      <c r="DM393" s="56">
        <v>379</v>
      </c>
      <c r="DN393" s="67" t="e">
        <f t="shared" si="466"/>
        <v>#N/A</v>
      </c>
      <c r="DO393" s="45" t="e">
        <f t="shared" si="467"/>
        <v>#N/A</v>
      </c>
      <c r="DP393" s="67" t="e">
        <f t="shared" si="468"/>
        <v>#N/A</v>
      </c>
      <c r="DQ393" s="45" t="e">
        <f t="shared" si="469"/>
        <v>#N/A</v>
      </c>
      <c r="DR393" s="69" t="e">
        <f t="shared" si="470"/>
        <v>#N/A</v>
      </c>
      <c r="DS393" s="34"/>
      <c r="DT393" s="67" t="e">
        <f>((BX393*CJ393)+IF($W393=MAT_AR,(BZ393*CL393),0))*(1+Reference!$E$50+Reference!$E$51)</f>
        <v>#N/A</v>
      </c>
      <c r="DU393" s="67">
        <f>((BY393*CK393)+IF($W393=MAT_AR,(CA393*CM393),0))*(1+Reference!$G$50+Reference!$G$51)</f>
        <v>0</v>
      </c>
      <c r="DV393" s="67" t="e">
        <f t="shared" si="471"/>
        <v>#VALUE!</v>
      </c>
      <c r="DX393" s="56">
        <v>379</v>
      </c>
      <c r="DY393" s="67">
        <f t="shared" si="472"/>
        <v>0</v>
      </c>
      <c r="DZ393" s="45" t="e">
        <f>VLOOKUP($R393,Dropdown!$C$3:$D$4,2,FALSE)</f>
        <v>#N/A</v>
      </c>
      <c r="EA393" s="68">
        <f t="shared" si="473"/>
        <v>0</v>
      </c>
      <c r="EB393" s="68" t="str">
        <f t="shared" si="474"/>
        <v>N/A</v>
      </c>
      <c r="EC393" s="68">
        <f t="shared" si="475"/>
        <v>0</v>
      </c>
      <c r="ED393" s="68" t="str">
        <f t="shared" si="513"/>
        <v>N/A</v>
      </c>
      <c r="EF393" s="56">
        <v>379</v>
      </c>
      <c r="EG393" s="46">
        <f t="shared" si="476"/>
        <v>0</v>
      </c>
      <c r="EH393" s="68" t="e">
        <f t="shared" si="477"/>
        <v>#N/A</v>
      </c>
      <c r="EI393" s="68" t="e">
        <f t="shared" si="478"/>
        <v>#N/A</v>
      </c>
      <c r="EJ393" s="68" t="e">
        <f t="shared" si="479"/>
        <v>#N/A</v>
      </c>
      <c r="EK393" s="68" t="e">
        <f t="shared" si="480"/>
        <v>#N/A</v>
      </c>
      <c r="EL393" s="46">
        <f t="shared" si="481"/>
        <v>0</v>
      </c>
      <c r="EM393" s="46">
        <f t="shared" si="482"/>
        <v>0</v>
      </c>
    </row>
    <row r="394" spans="1:143">
      <c r="A394" s="89"/>
      <c r="B394" s="89"/>
      <c r="C394" s="89"/>
      <c r="D394" s="89"/>
      <c r="E394" s="89"/>
      <c r="F394" s="89"/>
      <c r="G394" s="34"/>
      <c r="H394" s="56">
        <f t="shared" si="483"/>
        <v>380</v>
      </c>
      <c r="I394" s="165"/>
      <c r="J394" s="163"/>
      <c r="K394" s="163"/>
      <c r="L394" s="164"/>
      <c r="M394" s="155"/>
      <c r="N394" s="155"/>
      <c r="O394" s="144"/>
      <c r="P394" s="159" t="str">
        <f>IFERROR(IF(O394&lt;&gt;"User Specified",IF(O394&lt;&gt;"", INDEX('Refrigerant GWPs'!$G$2:$G$154,MATCH(O394,'Refrigerant GWPs'!$A$2:$A$154,0)),""),U394),0)</f>
        <v/>
      </c>
      <c r="Q394" s="155"/>
      <c r="R394" s="155"/>
      <c r="S394" s="144"/>
      <c r="T394" s="159" t="str">
        <f>IF(S394&lt;&gt;"User Specified",IF(AND(S394&lt;&gt;"User Specified",S394&lt;&gt;""), INDEX('Refrigerant GWPs'!$G$2:$G$154,MATCH(S394,'Refrigerant GWPs'!$A$2:$A$154,0)),""),V394)</f>
        <v/>
      </c>
      <c r="U394" s="144"/>
      <c r="V394" s="144"/>
      <c r="W394" s="155"/>
      <c r="X394" s="155"/>
      <c r="Y394" s="144"/>
      <c r="Z394" s="159" t="str">
        <f>IF(AND(Y394&lt;&gt;"User Specified",Y394&lt;&gt;""), INDEX('Refrigerant GWPs'!$G$2:$G$154,MATCH(Y394,'Refrigerant GWPs'!$A$2:$A$154,0)),"")</f>
        <v/>
      </c>
      <c r="AA394" s="155"/>
      <c r="AB394" s="156"/>
      <c r="AC394" s="66"/>
      <c r="AD394" s="66"/>
      <c r="AE394" s="66"/>
      <c r="AF394" s="66"/>
      <c r="AG394" s="66"/>
      <c r="AH394" s="66"/>
      <c r="AI394" s="34"/>
      <c r="AJ394" s="88">
        <f t="shared" si="446"/>
        <v>0</v>
      </c>
      <c r="AK394" s="88">
        <f t="shared" si="447"/>
        <v>0</v>
      </c>
      <c r="AL394" s="88">
        <v>0</v>
      </c>
      <c r="AM394" s="88">
        <v>0</v>
      </c>
      <c r="AN394" s="81" t="str">
        <f t="shared" si="485"/>
        <v/>
      </c>
      <c r="AO394" s="88">
        <f t="shared" si="448"/>
        <v>0</v>
      </c>
      <c r="AP394" s="88">
        <f t="shared" si="449"/>
        <v>0</v>
      </c>
      <c r="AQ394" s="81" t="str">
        <f t="shared" si="450"/>
        <v/>
      </c>
      <c r="AS394" s="41" t="b">
        <f t="shared" si="451"/>
        <v>1</v>
      </c>
      <c r="AT394" s="38">
        <f t="shared" si="452"/>
        <v>0</v>
      </c>
      <c r="AU394" s="60">
        <f t="shared" si="453"/>
        <v>0</v>
      </c>
      <c r="AV394" s="41">
        <f t="shared" si="454"/>
        <v>0</v>
      </c>
      <c r="AW394" s="41" t="b">
        <f t="shared" si="455"/>
        <v>0</v>
      </c>
      <c r="AX394" t="str">
        <f t="shared" si="456"/>
        <v>+00</v>
      </c>
      <c r="AY394" t="str">
        <f t="shared" si="457"/>
        <v>+00</v>
      </c>
      <c r="BA394" s="47" t="b">
        <f t="shared" si="486"/>
        <v>1</v>
      </c>
      <c r="BB394" s="42" t="b">
        <f t="shared" si="487"/>
        <v>1</v>
      </c>
      <c r="BC394" s="42" t="b">
        <f t="shared" si="488"/>
        <v>0</v>
      </c>
      <c r="BD394" s="42" t="b">
        <f t="shared" si="489"/>
        <v>0</v>
      </c>
      <c r="BE394" s="70">
        <f t="shared" si="490"/>
        <v>0</v>
      </c>
      <c r="BF394" s="70">
        <f t="shared" si="491"/>
        <v>0</v>
      </c>
      <c r="BG394" s="34"/>
      <c r="BI394" s="47" t="b">
        <f t="shared" si="492"/>
        <v>1</v>
      </c>
      <c r="BJ394" s="47" t="b">
        <f t="shared" si="493"/>
        <v>1</v>
      </c>
      <c r="BK394" s="42" t="b">
        <f t="shared" si="494"/>
        <v>0</v>
      </c>
      <c r="BL394" s="42" t="b">
        <f t="shared" si="495"/>
        <v>0</v>
      </c>
      <c r="BM394" s="42">
        <f t="shared" si="496"/>
        <v>0</v>
      </c>
      <c r="BN394" s="42">
        <f t="shared" si="497"/>
        <v>0</v>
      </c>
      <c r="BP394" t="e">
        <f t="shared" si="498"/>
        <v>#N/A</v>
      </c>
      <c r="BQ394" t="e">
        <f t="shared" si="499"/>
        <v>#N/A</v>
      </c>
      <c r="BR394" t="e">
        <f t="shared" si="500"/>
        <v>#N/A</v>
      </c>
      <c r="BT394" s="60">
        <f t="shared" si="501"/>
        <v>0</v>
      </c>
      <c r="BU394" s="60">
        <f t="shared" si="502"/>
        <v>0</v>
      </c>
      <c r="BV394" s="60">
        <f t="shared" si="503"/>
        <v>0</v>
      </c>
      <c r="BW394" s="60">
        <f t="shared" si="504"/>
        <v>0</v>
      </c>
      <c r="BX394" s="60">
        <f t="shared" si="505"/>
        <v>0</v>
      </c>
      <c r="BY394" s="60">
        <f t="shared" si="506"/>
        <v>0</v>
      </c>
      <c r="BZ394" s="60">
        <f t="shared" si="507"/>
        <v>0</v>
      </c>
      <c r="CA394" s="60">
        <f t="shared" si="508"/>
        <v>0</v>
      </c>
      <c r="CB394" s="60" t="e">
        <f t="shared" si="458"/>
        <v>#N/A</v>
      </c>
      <c r="CC394" s="60">
        <f t="shared" si="459"/>
        <v>100000</v>
      </c>
      <c r="CD394" s="60" t="e">
        <f t="shared" si="460"/>
        <v>#N/A</v>
      </c>
      <c r="CE394" s="60">
        <f t="shared" si="461"/>
        <v>100000</v>
      </c>
      <c r="CF394" s="83" t="e">
        <f t="shared" si="509"/>
        <v>#N/A</v>
      </c>
      <c r="CG394" s="83">
        <f t="shared" si="510"/>
        <v>0</v>
      </c>
      <c r="CH394" s="83" t="e">
        <f t="shared" si="511"/>
        <v>#N/A</v>
      </c>
      <c r="CI394" s="83">
        <f t="shared" si="512"/>
        <v>0</v>
      </c>
      <c r="CJ394" s="86" t="e">
        <f t="shared" si="462"/>
        <v>#N/A</v>
      </c>
      <c r="CK394" s="82">
        <f t="shared" si="463"/>
        <v>5.3070370403969858E-3</v>
      </c>
      <c r="CL394" s="82" t="e">
        <f t="shared" si="464"/>
        <v>#N/A</v>
      </c>
      <c r="CM394" s="82">
        <f t="shared" si="465"/>
        <v>5.3070370403969858E-3</v>
      </c>
      <c r="CO394" s="149" t="str">
        <f>IF($I394&lt;&gt;"",IF(O394="User Specified",U394,INDEX('Refrigerant GWPs'!$G$2:$G$156,MATCH(O394,'Refrigerant GWPs'!$A$2:$A$156,0))),"")</f>
        <v/>
      </c>
      <c r="CP394" s="138" t="str">
        <f>IF($I394&lt;&gt;"",INDEX('Device Refrigerant Leakage'!$E$2:$E$42,MATCH($M394,'Device Refrigerant Leakage'!$B$2:$B$42,0)),"")</f>
        <v/>
      </c>
      <c r="CQ394" s="138" t="str">
        <f>IF($I394&lt;&gt;"",INDEX('Device Refrigerant Leakage'!$F$2:$F$42,MATCH($M394,'Device Refrigerant Leakage'!$B$2:$B$42,0)),"")</f>
        <v/>
      </c>
      <c r="CR394" s="145" t="str">
        <f>IF($I394&lt;&gt;"",INDEX('Device Refrigerant Leakage'!$G$2:$G$42,MATCH($M394,'Device Refrigerant Leakage'!$B$2:$B$42,0)),"")</f>
        <v/>
      </c>
      <c r="CS394" s="145" t="str">
        <f>IF($I394&lt;&gt;"",INDEX('Device Refrigerant Leakage'!$D$2:$D$42,MATCH($M394,'Device Refrigerant Leakage'!$B$2:$B$42,0))*CP394/2204.62*CO394,"")</f>
        <v/>
      </c>
      <c r="CT394" s="145" t="str">
        <f>IF($I394&lt;&gt;"",J394*(INDEX('Device Refrigerant Leakage'!$D$2:$D$42,MATCH($M394,'Device Refrigerant Leakage'!$B$2:$B$42,0))-(INDEX('Device Refrigerant Leakage'!$D$2:$D$42,MATCH($M394,'Device Refrigerant Leakage'!$B$2:$B$42,0)))*CR394*CP394)*CQ394/2204.62*CO394,"")</f>
        <v/>
      </c>
      <c r="CU394" s="135" t="str">
        <f>IF($I394&lt;&gt;"",J394*IF(W394&lt;&gt;"AR",(CS394*K394)+CT394,(CS394*AB394)+CT394*(AB394/INDEX('Device Refrigerant Leakage'!$C$2:$C$42,MATCH($M394,'Device Refrigerant Leakage'!$B$2:$B$42,0)))),"")</f>
        <v/>
      </c>
      <c r="CW394" s="135" t="str">
        <f>IF($I394&lt;&gt;"",IF(S394="User Specified",V394,INDEX('Refrigerant GWPs'!$G$2:$G$156,MATCH(S394,'Refrigerant GWPs'!$A$2:$A$157,0))),"")</f>
        <v/>
      </c>
      <c r="CX394" s="138" t="str">
        <f>IF($I394&lt;&gt;"",INDEX('Device Refrigerant Leakage'!$E$2:$E$42,MATCH($Q394,'Device Refrigerant Leakage'!$B$2:$B$42,0)),"")</f>
        <v/>
      </c>
      <c r="CY394" s="138" t="str">
        <f>IF($I394&lt;&gt;"",INDEX('Device Refrigerant Leakage'!$F$2:$F$42,MATCH($Q394,'Device Refrigerant Leakage'!$B$2:$B$42,0)),"")</f>
        <v/>
      </c>
      <c r="CZ394" s="145" t="str">
        <f>IF($I394&lt;&gt;"",INDEX('Device Refrigerant Leakage'!$G$2:$G$42,MATCH($Q394,'Device Refrigerant Leakage'!$B$2:$B$42,0)),"")</f>
        <v/>
      </c>
      <c r="DA394" s="145" t="str">
        <f>IF($I394&lt;&gt;"",J394*INDEX('Device Refrigerant Leakage'!$D$2:$D$42,MATCH($Q394,'Device Refrigerant Leakage'!$B$2:$B$42,0))*CX394/2204.62*CW394,"")</f>
        <v/>
      </c>
      <c r="DB394" s="145" t="str">
        <f>IF($I394&lt;&gt;"",J394*(INDEX('Device Refrigerant Leakage'!$D$2:$D$42,MATCH($Q394,'Device Refrigerant Leakage'!$B$2:$B$42,0))-(INDEX('Device Refrigerant Leakage'!$D$2:$D$42,MATCH($Q394,'Device Refrigerant Leakage'!$B$2:$B$42,0)))*CZ394*CX394)*CY394/2204.62*CW394,"")</f>
        <v/>
      </c>
      <c r="DC394" s="135" t="str">
        <f t="shared" si="484"/>
        <v/>
      </c>
      <c r="DE394" s="146" t="str">
        <f>IF(W394&lt;&gt;"AR","",IF(Y394="User Specified", AA394, INDEX('Refrigerant GWPs'!$G$2:$G$154,MATCH(Y394,'Refrigerant GWPs'!$A$2:$A$154,0))))</f>
        <v/>
      </c>
      <c r="DF394" s="146" t="str">
        <f>IF(W394&lt;&gt;"AR","",INDEX('Device Refrigerant Leakage'!$E$2:$E$42,MATCH(X394,'Device Refrigerant Leakage'!$B$2:$B$42,0)))</f>
        <v/>
      </c>
      <c r="DG394" s="146" t="str">
        <f>IF(W394&lt;&gt;"AR","",INDEX('Device Refrigerant Leakage'!$F$2:$F$42,MATCH(X394,'Device Refrigerant Leakage'!$B$2:$B$42,0)))</f>
        <v/>
      </c>
      <c r="DH394" s="146" t="str">
        <f>IF(W394&lt;&gt;"AR","",INDEX('Device Refrigerant Leakage'!$G$2:$G$42,MATCH(X394,'Device Refrigerant Leakage'!$B$2:$B$42,0)))</f>
        <v/>
      </c>
      <c r="DI394" s="146" t="str">
        <f>IF(W394&lt;&gt;"AR","",J394*INDEX('Device Refrigerant Leakage'!$D$2:$D$42,MATCH(X394,'Device Refrigerant Leakage'!$B$2:$B$42,0))*DF394/2204.62*DE394)</f>
        <v/>
      </c>
      <c r="DJ394" s="146" t="str">
        <f>IF(W394&lt;&gt;"AR","",J394*(INDEX('Device Refrigerant Leakage'!$D$2:$D$42,MATCH(X394,'Device Refrigerant Leakage'!$B$2:$B$42,0))-(INDEX('Device Refrigerant Leakage'!$D$2:$D$42,MATCH(X394,'Device Refrigerant Leakage'!$B$2:$B$42,0)))*DH394*DF394)*DG394/2204.62*DE394)</f>
        <v/>
      </c>
      <c r="DK394" s="146" t="str">
        <f>IF(W394&lt;&gt;"AR","",DI394*(K394-AB394)+'Fuel Sub Calcs-Deemed'!DJ394*((K394-AB394)/INDEX('Device Refrigerant Leakage'!$C$2:$C$42,MATCH('Fuel Sub Calcs-Deemed'!X394,'Device Refrigerant Leakage'!$B$2:$B$42,0))))</f>
        <v/>
      </c>
      <c r="DM394" s="56">
        <v>380</v>
      </c>
      <c r="DN394" s="67" t="e">
        <f t="shared" si="466"/>
        <v>#N/A</v>
      </c>
      <c r="DO394" s="45" t="e">
        <f t="shared" si="467"/>
        <v>#N/A</v>
      </c>
      <c r="DP394" s="67" t="e">
        <f t="shared" si="468"/>
        <v>#N/A</v>
      </c>
      <c r="DQ394" s="45" t="e">
        <f t="shared" si="469"/>
        <v>#N/A</v>
      </c>
      <c r="DR394" s="69" t="e">
        <f t="shared" si="470"/>
        <v>#N/A</v>
      </c>
      <c r="DS394" s="34"/>
      <c r="DT394" s="67" t="e">
        <f>((BX394*CJ394)+IF($W394=MAT_AR,(BZ394*CL394),0))*(1+Reference!$E$50+Reference!$E$51)</f>
        <v>#N/A</v>
      </c>
      <c r="DU394" s="67">
        <f>((BY394*CK394)+IF($W394=MAT_AR,(CA394*CM394),0))*(1+Reference!$G$50+Reference!$G$51)</f>
        <v>0</v>
      </c>
      <c r="DV394" s="67" t="e">
        <f t="shared" si="471"/>
        <v>#VALUE!</v>
      </c>
      <c r="DX394" s="56">
        <v>380</v>
      </c>
      <c r="DY394" s="67">
        <f t="shared" si="472"/>
        <v>0</v>
      </c>
      <c r="DZ394" s="45" t="e">
        <f>VLOOKUP($R394,Dropdown!$C$3:$D$4,2,FALSE)</f>
        <v>#N/A</v>
      </c>
      <c r="EA394" s="68">
        <f t="shared" si="473"/>
        <v>0</v>
      </c>
      <c r="EB394" s="68" t="str">
        <f t="shared" si="474"/>
        <v>N/A</v>
      </c>
      <c r="EC394" s="68">
        <f t="shared" si="475"/>
        <v>0</v>
      </c>
      <c r="ED394" s="68" t="str">
        <f t="shared" si="513"/>
        <v>N/A</v>
      </c>
      <c r="EF394" s="56">
        <v>380</v>
      </c>
      <c r="EG394" s="46">
        <f t="shared" si="476"/>
        <v>0</v>
      </c>
      <c r="EH394" s="68" t="e">
        <f t="shared" si="477"/>
        <v>#N/A</v>
      </c>
      <c r="EI394" s="68" t="e">
        <f t="shared" si="478"/>
        <v>#N/A</v>
      </c>
      <c r="EJ394" s="68" t="e">
        <f t="shared" si="479"/>
        <v>#N/A</v>
      </c>
      <c r="EK394" s="68" t="e">
        <f t="shared" si="480"/>
        <v>#N/A</v>
      </c>
      <c r="EL394" s="46">
        <f t="shared" si="481"/>
        <v>0</v>
      </c>
      <c r="EM394" s="46">
        <f t="shared" si="482"/>
        <v>0</v>
      </c>
    </row>
    <row r="395" spans="1:143">
      <c r="A395" s="89"/>
      <c r="B395" s="89"/>
      <c r="C395" s="89"/>
      <c r="D395" s="89"/>
      <c r="E395" s="89"/>
      <c r="F395" s="89"/>
      <c r="G395" s="34"/>
      <c r="H395" s="56">
        <f t="shared" si="483"/>
        <v>381</v>
      </c>
      <c r="I395" s="165"/>
      <c r="J395" s="163"/>
      <c r="K395" s="163"/>
      <c r="L395" s="164"/>
      <c r="M395" s="155"/>
      <c r="N395" s="155"/>
      <c r="O395" s="144"/>
      <c r="P395" s="159" t="str">
        <f>IFERROR(IF(O395&lt;&gt;"User Specified",IF(O395&lt;&gt;"", INDEX('Refrigerant GWPs'!$G$2:$G$154,MATCH(O395,'Refrigerant GWPs'!$A$2:$A$154,0)),""),U395),0)</f>
        <v/>
      </c>
      <c r="Q395" s="155"/>
      <c r="R395" s="155"/>
      <c r="S395" s="144"/>
      <c r="T395" s="159" t="str">
        <f>IF(S395&lt;&gt;"User Specified",IF(AND(S395&lt;&gt;"User Specified",S395&lt;&gt;""), INDEX('Refrigerant GWPs'!$G$2:$G$154,MATCH(S395,'Refrigerant GWPs'!$A$2:$A$154,0)),""),V395)</f>
        <v/>
      </c>
      <c r="U395" s="144"/>
      <c r="V395" s="144"/>
      <c r="W395" s="155"/>
      <c r="X395" s="155"/>
      <c r="Y395" s="144"/>
      <c r="Z395" s="159" t="str">
        <f>IF(AND(Y395&lt;&gt;"User Specified",Y395&lt;&gt;""), INDEX('Refrigerant GWPs'!$G$2:$G$154,MATCH(Y395,'Refrigerant GWPs'!$A$2:$A$154,0)),"")</f>
        <v/>
      </c>
      <c r="AA395" s="155"/>
      <c r="AB395" s="156"/>
      <c r="AC395" s="66"/>
      <c r="AD395" s="66"/>
      <c r="AE395" s="66"/>
      <c r="AF395" s="66"/>
      <c r="AG395" s="66"/>
      <c r="AH395" s="66"/>
      <c r="AI395" s="34"/>
      <c r="AJ395" s="88">
        <f t="shared" si="446"/>
        <v>0</v>
      </c>
      <c r="AK395" s="88">
        <f t="shared" si="447"/>
        <v>0</v>
      </c>
      <c r="AL395" s="88">
        <v>0</v>
      </c>
      <c r="AM395" s="88">
        <v>0</v>
      </c>
      <c r="AN395" s="81" t="str">
        <f t="shared" si="485"/>
        <v/>
      </c>
      <c r="AO395" s="88">
        <f t="shared" si="448"/>
        <v>0</v>
      </c>
      <c r="AP395" s="88">
        <f t="shared" si="449"/>
        <v>0</v>
      </c>
      <c r="AQ395" s="81" t="str">
        <f t="shared" si="450"/>
        <v/>
      </c>
      <c r="AS395" s="41" t="b">
        <f t="shared" si="451"/>
        <v>1</v>
      </c>
      <c r="AT395" s="38">
        <f t="shared" si="452"/>
        <v>0</v>
      </c>
      <c r="AU395" s="60">
        <f t="shared" si="453"/>
        <v>0</v>
      </c>
      <c r="AV395" s="41">
        <f t="shared" si="454"/>
        <v>0</v>
      </c>
      <c r="AW395" s="41" t="b">
        <f t="shared" si="455"/>
        <v>0</v>
      </c>
      <c r="AX395" t="str">
        <f t="shared" si="456"/>
        <v>+00</v>
      </c>
      <c r="AY395" t="str">
        <f t="shared" si="457"/>
        <v>+00</v>
      </c>
      <c r="BA395" s="47" t="b">
        <f t="shared" si="486"/>
        <v>1</v>
      </c>
      <c r="BB395" s="42" t="b">
        <f t="shared" si="487"/>
        <v>1</v>
      </c>
      <c r="BC395" s="42" t="b">
        <f t="shared" si="488"/>
        <v>0</v>
      </c>
      <c r="BD395" s="42" t="b">
        <f t="shared" si="489"/>
        <v>0</v>
      </c>
      <c r="BE395" s="70">
        <f t="shared" si="490"/>
        <v>0</v>
      </c>
      <c r="BF395" s="70">
        <f t="shared" si="491"/>
        <v>0</v>
      </c>
      <c r="BG395" s="34"/>
      <c r="BI395" s="47" t="b">
        <f t="shared" si="492"/>
        <v>1</v>
      </c>
      <c r="BJ395" s="47" t="b">
        <f t="shared" si="493"/>
        <v>1</v>
      </c>
      <c r="BK395" s="42" t="b">
        <f t="shared" si="494"/>
        <v>0</v>
      </c>
      <c r="BL395" s="42" t="b">
        <f t="shared" si="495"/>
        <v>0</v>
      </c>
      <c r="BM395" s="42">
        <f t="shared" si="496"/>
        <v>0</v>
      </c>
      <c r="BN395" s="42">
        <f t="shared" si="497"/>
        <v>0</v>
      </c>
      <c r="BP395" t="e">
        <f t="shared" si="498"/>
        <v>#N/A</v>
      </c>
      <c r="BQ395" t="e">
        <f t="shared" si="499"/>
        <v>#N/A</v>
      </c>
      <c r="BR395" t="e">
        <f t="shared" si="500"/>
        <v>#N/A</v>
      </c>
      <c r="BT395" s="60">
        <f t="shared" si="501"/>
        <v>0</v>
      </c>
      <c r="BU395" s="60">
        <f t="shared" si="502"/>
        <v>0</v>
      </c>
      <c r="BV395" s="60">
        <f t="shared" si="503"/>
        <v>0</v>
      </c>
      <c r="BW395" s="60">
        <f t="shared" si="504"/>
        <v>0</v>
      </c>
      <c r="BX395" s="60">
        <f t="shared" si="505"/>
        <v>0</v>
      </c>
      <c r="BY395" s="60">
        <f t="shared" si="506"/>
        <v>0</v>
      </c>
      <c r="BZ395" s="60">
        <f t="shared" si="507"/>
        <v>0</v>
      </c>
      <c r="CA395" s="60">
        <f t="shared" si="508"/>
        <v>0</v>
      </c>
      <c r="CB395" s="60" t="e">
        <f t="shared" si="458"/>
        <v>#N/A</v>
      </c>
      <c r="CC395" s="60">
        <f t="shared" si="459"/>
        <v>100000</v>
      </c>
      <c r="CD395" s="60" t="e">
        <f t="shared" si="460"/>
        <v>#N/A</v>
      </c>
      <c r="CE395" s="60">
        <f t="shared" si="461"/>
        <v>100000</v>
      </c>
      <c r="CF395" s="83" t="e">
        <f t="shared" si="509"/>
        <v>#N/A</v>
      </c>
      <c r="CG395" s="83">
        <f t="shared" si="510"/>
        <v>0</v>
      </c>
      <c r="CH395" s="83" t="e">
        <f t="shared" si="511"/>
        <v>#N/A</v>
      </c>
      <c r="CI395" s="83">
        <f t="shared" si="512"/>
        <v>0</v>
      </c>
      <c r="CJ395" s="86" t="e">
        <f t="shared" si="462"/>
        <v>#N/A</v>
      </c>
      <c r="CK395" s="82">
        <f t="shared" si="463"/>
        <v>5.3070370403969858E-3</v>
      </c>
      <c r="CL395" s="82" t="e">
        <f t="shared" si="464"/>
        <v>#N/A</v>
      </c>
      <c r="CM395" s="82">
        <f t="shared" si="465"/>
        <v>5.3070370403969858E-3</v>
      </c>
      <c r="CO395" s="149" t="str">
        <f>IF($I395&lt;&gt;"",IF(O395="User Specified",U395,INDEX('Refrigerant GWPs'!$G$2:$G$156,MATCH(O395,'Refrigerant GWPs'!$A$2:$A$156,0))),"")</f>
        <v/>
      </c>
      <c r="CP395" s="138" t="str">
        <f>IF($I395&lt;&gt;"",INDEX('Device Refrigerant Leakage'!$E$2:$E$42,MATCH($M395,'Device Refrigerant Leakage'!$B$2:$B$42,0)),"")</f>
        <v/>
      </c>
      <c r="CQ395" s="138" t="str">
        <f>IF($I395&lt;&gt;"",INDEX('Device Refrigerant Leakage'!$F$2:$F$42,MATCH($M395,'Device Refrigerant Leakage'!$B$2:$B$42,0)),"")</f>
        <v/>
      </c>
      <c r="CR395" s="145" t="str">
        <f>IF($I395&lt;&gt;"",INDEX('Device Refrigerant Leakage'!$G$2:$G$42,MATCH($M395,'Device Refrigerant Leakage'!$B$2:$B$42,0)),"")</f>
        <v/>
      </c>
      <c r="CS395" s="145" t="str">
        <f>IF($I395&lt;&gt;"",INDEX('Device Refrigerant Leakage'!$D$2:$D$42,MATCH($M395,'Device Refrigerant Leakage'!$B$2:$B$42,0))*CP395/2204.62*CO395,"")</f>
        <v/>
      </c>
      <c r="CT395" s="145" t="str">
        <f>IF($I395&lt;&gt;"",J395*(INDEX('Device Refrigerant Leakage'!$D$2:$D$42,MATCH($M395,'Device Refrigerant Leakage'!$B$2:$B$42,0))-(INDEX('Device Refrigerant Leakage'!$D$2:$D$42,MATCH($M395,'Device Refrigerant Leakage'!$B$2:$B$42,0)))*CR395*CP395)*CQ395/2204.62*CO395,"")</f>
        <v/>
      </c>
      <c r="CU395" s="135" t="str">
        <f>IF($I395&lt;&gt;"",J395*IF(W395&lt;&gt;"AR",(CS395*K395)+CT395,(CS395*AB395)+CT395*(AB395/INDEX('Device Refrigerant Leakage'!$C$2:$C$42,MATCH($M395,'Device Refrigerant Leakage'!$B$2:$B$42,0)))),"")</f>
        <v/>
      </c>
      <c r="CW395" s="135" t="str">
        <f>IF($I395&lt;&gt;"",IF(S395="User Specified",V395,INDEX('Refrigerant GWPs'!$G$2:$G$156,MATCH(S395,'Refrigerant GWPs'!$A$2:$A$157,0))),"")</f>
        <v/>
      </c>
      <c r="CX395" s="138" t="str">
        <f>IF($I395&lt;&gt;"",INDEX('Device Refrigerant Leakage'!$E$2:$E$42,MATCH($Q395,'Device Refrigerant Leakage'!$B$2:$B$42,0)),"")</f>
        <v/>
      </c>
      <c r="CY395" s="138" t="str">
        <f>IF($I395&lt;&gt;"",INDEX('Device Refrigerant Leakage'!$F$2:$F$42,MATCH($Q395,'Device Refrigerant Leakage'!$B$2:$B$42,0)),"")</f>
        <v/>
      </c>
      <c r="CZ395" s="145" t="str">
        <f>IF($I395&lt;&gt;"",INDEX('Device Refrigerant Leakage'!$G$2:$G$42,MATCH($Q395,'Device Refrigerant Leakage'!$B$2:$B$42,0)),"")</f>
        <v/>
      </c>
      <c r="DA395" s="145" t="str">
        <f>IF($I395&lt;&gt;"",J395*INDEX('Device Refrigerant Leakage'!$D$2:$D$42,MATCH($Q395,'Device Refrigerant Leakage'!$B$2:$B$42,0))*CX395/2204.62*CW395,"")</f>
        <v/>
      </c>
      <c r="DB395" s="145" t="str">
        <f>IF($I395&lt;&gt;"",J395*(INDEX('Device Refrigerant Leakage'!$D$2:$D$42,MATCH($Q395,'Device Refrigerant Leakage'!$B$2:$B$42,0))-(INDEX('Device Refrigerant Leakage'!$D$2:$D$42,MATCH($Q395,'Device Refrigerant Leakage'!$B$2:$B$42,0)))*CZ395*CX395)*CY395/2204.62*CW395,"")</f>
        <v/>
      </c>
      <c r="DC395" s="135" t="str">
        <f t="shared" si="484"/>
        <v/>
      </c>
      <c r="DE395" s="146" t="str">
        <f>IF(W395&lt;&gt;"AR","",IF(Y395="User Specified", AA395, INDEX('Refrigerant GWPs'!$G$2:$G$154,MATCH(Y395,'Refrigerant GWPs'!$A$2:$A$154,0))))</f>
        <v/>
      </c>
      <c r="DF395" s="146" t="str">
        <f>IF(W395&lt;&gt;"AR","",INDEX('Device Refrigerant Leakage'!$E$2:$E$42,MATCH(X395,'Device Refrigerant Leakage'!$B$2:$B$42,0)))</f>
        <v/>
      </c>
      <c r="DG395" s="146" t="str">
        <f>IF(W395&lt;&gt;"AR","",INDEX('Device Refrigerant Leakage'!$F$2:$F$42,MATCH(X395,'Device Refrigerant Leakage'!$B$2:$B$42,0)))</f>
        <v/>
      </c>
      <c r="DH395" s="146" t="str">
        <f>IF(W395&lt;&gt;"AR","",INDEX('Device Refrigerant Leakage'!$G$2:$G$42,MATCH(X395,'Device Refrigerant Leakage'!$B$2:$B$42,0)))</f>
        <v/>
      </c>
      <c r="DI395" s="146" t="str">
        <f>IF(W395&lt;&gt;"AR","",J395*INDEX('Device Refrigerant Leakage'!$D$2:$D$42,MATCH(X395,'Device Refrigerant Leakage'!$B$2:$B$42,0))*DF395/2204.62*DE395)</f>
        <v/>
      </c>
      <c r="DJ395" s="146" t="str">
        <f>IF(W395&lt;&gt;"AR","",J395*(INDEX('Device Refrigerant Leakage'!$D$2:$D$42,MATCH(X395,'Device Refrigerant Leakage'!$B$2:$B$42,0))-(INDEX('Device Refrigerant Leakage'!$D$2:$D$42,MATCH(X395,'Device Refrigerant Leakage'!$B$2:$B$42,0)))*DH395*DF395)*DG395/2204.62*DE395)</f>
        <v/>
      </c>
      <c r="DK395" s="146" t="str">
        <f>IF(W395&lt;&gt;"AR","",DI395*(K395-AB395)+'Fuel Sub Calcs-Deemed'!DJ395*((K395-AB395)/INDEX('Device Refrigerant Leakage'!$C$2:$C$42,MATCH('Fuel Sub Calcs-Deemed'!X395,'Device Refrigerant Leakage'!$B$2:$B$42,0))))</f>
        <v/>
      </c>
      <c r="DM395" s="56">
        <v>381</v>
      </c>
      <c r="DN395" s="67" t="e">
        <f t="shared" si="466"/>
        <v>#N/A</v>
      </c>
      <c r="DO395" s="45" t="e">
        <f t="shared" si="467"/>
        <v>#N/A</v>
      </c>
      <c r="DP395" s="67" t="e">
        <f t="shared" si="468"/>
        <v>#N/A</v>
      </c>
      <c r="DQ395" s="45" t="e">
        <f t="shared" si="469"/>
        <v>#N/A</v>
      </c>
      <c r="DR395" s="69" t="e">
        <f t="shared" si="470"/>
        <v>#N/A</v>
      </c>
      <c r="DS395" s="34"/>
      <c r="DT395" s="67" t="e">
        <f>((BX395*CJ395)+IF($W395=MAT_AR,(BZ395*CL395),0))*(1+Reference!$E$50+Reference!$E$51)</f>
        <v>#N/A</v>
      </c>
      <c r="DU395" s="67">
        <f>((BY395*CK395)+IF($W395=MAT_AR,(CA395*CM395),0))*(1+Reference!$G$50+Reference!$G$51)</f>
        <v>0</v>
      </c>
      <c r="DV395" s="67" t="e">
        <f t="shared" si="471"/>
        <v>#VALUE!</v>
      </c>
      <c r="DX395" s="56">
        <v>381</v>
      </c>
      <c r="DY395" s="67">
        <f t="shared" si="472"/>
        <v>0</v>
      </c>
      <c r="DZ395" s="45" t="e">
        <f>VLOOKUP($R395,Dropdown!$C$3:$D$4,2,FALSE)</f>
        <v>#N/A</v>
      </c>
      <c r="EA395" s="68">
        <f t="shared" si="473"/>
        <v>0</v>
      </c>
      <c r="EB395" s="68" t="str">
        <f t="shared" si="474"/>
        <v>N/A</v>
      </c>
      <c r="EC395" s="68">
        <f t="shared" si="475"/>
        <v>0</v>
      </c>
      <c r="ED395" s="68" t="str">
        <f t="shared" si="513"/>
        <v>N/A</v>
      </c>
      <c r="EF395" s="56">
        <v>381</v>
      </c>
      <c r="EG395" s="46">
        <f t="shared" si="476"/>
        <v>0</v>
      </c>
      <c r="EH395" s="68" t="e">
        <f t="shared" si="477"/>
        <v>#N/A</v>
      </c>
      <c r="EI395" s="68" t="e">
        <f t="shared" si="478"/>
        <v>#N/A</v>
      </c>
      <c r="EJ395" s="68" t="e">
        <f t="shared" si="479"/>
        <v>#N/A</v>
      </c>
      <c r="EK395" s="68" t="e">
        <f t="shared" si="480"/>
        <v>#N/A</v>
      </c>
      <c r="EL395" s="46">
        <f t="shared" si="481"/>
        <v>0</v>
      </c>
      <c r="EM395" s="46">
        <f t="shared" si="482"/>
        <v>0</v>
      </c>
    </row>
    <row r="396" spans="1:143">
      <c r="A396" s="89"/>
      <c r="B396" s="89"/>
      <c r="C396" s="89"/>
      <c r="D396" s="89"/>
      <c r="E396" s="89"/>
      <c r="F396" s="89"/>
      <c r="G396" s="34"/>
      <c r="H396" s="56">
        <f t="shared" si="483"/>
        <v>382</v>
      </c>
      <c r="I396" s="165"/>
      <c r="J396" s="163"/>
      <c r="K396" s="163"/>
      <c r="L396" s="164"/>
      <c r="M396" s="155"/>
      <c r="N396" s="155"/>
      <c r="O396" s="144"/>
      <c r="P396" s="159" t="str">
        <f>IFERROR(IF(O396&lt;&gt;"User Specified",IF(O396&lt;&gt;"", INDEX('Refrigerant GWPs'!$G$2:$G$154,MATCH(O396,'Refrigerant GWPs'!$A$2:$A$154,0)),""),U396),0)</f>
        <v/>
      </c>
      <c r="Q396" s="155"/>
      <c r="R396" s="155"/>
      <c r="S396" s="144"/>
      <c r="T396" s="159" t="str">
        <f>IF(S396&lt;&gt;"User Specified",IF(AND(S396&lt;&gt;"User Specified",S396&lt;&gt;""), INDEX('Refrigerant GWPs'!$G$2:$G$154,MATCH(S396,'Refrigerant GWPs'!$A$2:$A$154,0)),""),V396)</f>
        <v/>
      </c>
      <c r="U396" s="144"/>
      <c r="V396" s="144"/>
      <c r="W396" s="155"/>
      <c r="X396" s="155"/>
      <c r="Y396" s="144"/>
      <c r="Z396" s="159" t="str">
        <f>IF(AND(Y396&lt;&gt;"User Specified",Y396&lt;&gt;""), INDEX('Refrigerant GWPs'!$G$2:$G$154,MATCH(Y396,'Refrigerant GWPs'!$A$2:$A$154,0)),"")</f>
        <v/>
      </c>
      <c r="AA396" s="155"/>
      <c r="AB396" s="156"/>
      <c r="AC396" s="66"/>
      <c r="AD396" s="66"/>
      <c r="AE396" s="66"/>
      <c r="AF396" s="66"/>
      <c r="AG396" s="66"/>
      <c r="AH396" s="66"/>
      <c r="AI396" s="34"/>
      <c r="AJ396" s="88">
        <f t="shared" si="446"/>
        <v>0</v>
      </c>
      <c r="AK396" s="88">
        <f t="shared" si="447"/>
        <v>0</v>
      </c>
      <c r="AL396" s="88">
        <v>0</v>
      </c>
      <c r="AM396" s="88">
        <v>0</v>
      </c>
      <c r="AN396" s="81" t="str">
        <f t="shared" si="485"/>
        <v/>
      </c>
      <c r="AO396" s="88">
        <f t="shared" si="448"/>
        <v>0</v>
      </c>
      <c r="AP396" s="88">
        <f t="shared" si="449"/>
        <v>0</v>
      </c>
      <c r="AQ396" s="81" t="str">
        <f t="shared" si="450"/>
        <v/>
      </c>
      <c r="AS396" s="41" t="b">
        <f t="shared" si="451"/>
        <v>1</v>
      </c>
      <c r="AT396" s="38">
        <f t="shared" si="452"/>
        <v>0</v>
      </c>
      <c r="AU396" s="60">
        <f t="shared" si="453"/>
        <v>0</v>
      </c>
      <c r="AV396" s="41">
        <f t="shared" si="454"/>
        <v>0</v>
      </c>
      <c r="AW396" s="41" t="b">
        <f t="shared" si="455"/>
        <v>0</v>
      </c>
      <c r="AX396" t="str">
        <f t="shared" si="456"/>
        <v>+00</v>
      </c>
      <c r="AY396" t="str">
        <f t="shared" si="457"/>
        <v>+00</v>
      </c>
      <c r="BA396" s="47" t="b">
        <f t="shared" si="486"/>
        <v>1</v>
      </c>
      <c r="BB396" s="42" t="b">
        <f t="shared" si="487"/>
        <v>1</v>
      </c>
      <c r="BC396" s="42" t="b">
        <f t="shared" si="488"/>
        <v>0</v>
      </c>
      <c r="BD396" s="42" t="b">
        <f t="shared" si="489"/>
        <v>0</v>
      </c>
      <c r="BE396" s="70">
        <f t="shared" si="490"/>
        <v>0</v>
      </c>
      <c r="BF396" s="70">
        <f t="shared" si="491"/>
        <v>0</v>
      </c>
      <c r="BG396" s="34"/>
      <c r="BI396" s="47" t="b">
        <f t="shared" si="492"/>
        <v>1</v>
      </c>
      <c r="BJ396" s="47" t="b">
        <f t="shared" si="493"/>
        <v>1</v>
      </c>
      <c r="BK396" s="42" t="b">
        <f t="shared" si="494"/>
        <v>0</v>
      </c>
      <c r="BL396" s="42" t="b">
        <f t="shared" si="495"/>
        <v>0</v>
      </c>
      <c r="BM396" s="42">
        <f t="shared" si="496"/>
        <v>0</v>
      </c>
      <c r="BN396" s="42">
        <f t="shared" si="497"/>
        <v>0</v>
      </c>
      <c r="BP396" t="e">
        <f t="shared" si="498"/>
        <v>#N/A</v>
      </c>
      <c r="BQ396" t="e">
        <f t="shared" si="499"/>
        <v>#N/A</v>
      </c>
      <c r="BR396" t="e">
        <f t="shared" si="500"/>
        <v>#N/A</v>
      </c>
      <c r="BT396" s="60">
        <f t="shared" si="501"/>
        <v>0</v>
      </c>
      <c r="BU396" s="60">
        <f t="shared" si="502"/>
        <v>0</v>
      </c>
      <c r="BV396" s="60">
        <f t="shared" si="503"/>
        <v>0</v>
      </c>
      <c r="BW396" s="60">
        <f t="shared" si="504"/>
        <v>0</v>
      </c>
      <c r="BX396" s="60">
        <f t="shared" si="505"/>
        <v>0</v>
      </c>
      <c r="BY396" s="60">
        <f t="shared" si="506"/>
        <v>0</v>
      </c>
      <c r="BZ396" s="60">
        <f t="shared" si="507"/>
        <v>0</v>
      </c>
      <c r="CA396" s="60">
        <f t="shared" si="508"/>
        <v>0</v>
      </c>
      <c r="CB396" s="60" t="e">
        <f t="shared" si="458"/>
        <v>#N/A</v>
      </c>
      <c r="CC396" s="60">
        <f t="shared" si="459"/>
        <v>100000</v>
      </c>
      <c r="CD396" s="60" t="e">
        <f t="shared" si="460"/>
        <v>#N/A</v>
      </c>
      <c r="CE396" s="60">
        <f t="shared" si="461"/>
        <v>100000</v>
      </c>
      <c r="CF396" s="83" t="e">
        <f t="shared" si="509"/>
        <v>#N/A</v>
      </c>
      <c r="CG396" s="83">
        <f t="shared" si="510"/>
        <v>0</v>
      </c>
      <c r="CH396" s="83" t="e">
        <f t="shared" si="511"/>
        <v>#N/A</v>
      </c>
      <c r="CI396" s="83">
        <f t="shared" si="512"/>
        <v>0</v>
      </c>
      <c r="CJ396" s="86" t="e">
        <f t="shared" si="462"/>
        <v>#N/A</v>
      </c>
      <c r="CK396" s="82">
        <f t="shared" si="463"/>
        <v>5.3070370403969858E-3</v>
      </c>
      <c r="CL396" s="82" t="e">
        <f t="shared" si="464"/>
        <v>#N/A</v>
      </c>
      <c r="CM396" s="82">
        <f t="shared" si="465"/>
        <v>5.3070370403969858E-3</v>
      </c>
      <c r="CO396" s="149" t="str">
        <f>IF($I396&lt;&gt;"",IF(O396="User Specified",U396,INDEX('Refrigerant GWPs'!$G$2:$G$156,MATCH(O396,'Refrigerant GWPs'!$A$2:$A$156,0))),"")</f>
        <v/>
      </c>
      <c r="CP396" s="138" t="str">
        <f>IF($I396&lt;&gt;"",INDEX('Device Refrigerant Leakage'!$E$2:$E$42,MATCH($M396,'Device Refrigerant Leakage'!$B$2:$B$42,0)),"")</f>
        <v/>
      </c>
      <c r="CQ396" s="138" t="str">
        <f>IF($I396&lt;&gt;"",INDEX('Device Refrigerant Leakage'!$F$2:$F$42,MATCH($M396,'Device Refrigerant Leakage'!$B$2:$B$42,0)),"")</f>
        <v/>
      </c>
      <c r="CR396" s="145" t="str">
        <f>IF($I396&lt;&gt;"",INDEX('Device Refrigerant Leakage'!$G$2:$G$42,MATCH($M396,'Device Refrigerant Leakage'!$B$2:$B$42,0)),"")</f>
        <v/>
      </c>
      <c r="CS396" s="145" t="str">
        <f>IF($I396&lt;&gt;"",INDEX('Device Refrigerant Leakage'!$D$2:$D$42,MATCH($M396,'Device Refrigerant Leakage'!$B$2:$B$42,0))*CP396/2204.62*CO396,"")</f>
        <v/>
      </c>
      <c r="CT396" s="145" t="str">
        <f>IF($I396&lt;&gt;"",J396*(INDEX('Device Refrigerant Leakage'!$D$2:$D$42,MATCH($M396,'Device Refrigerant Leakage'!$B$2:$B$42,0))-(INDEX('Device Refrigerant Leakage'!$D$2:$D$42,MATCH($M396,'Device Refrigerant Leakage'!$B$2:$B$42,0)))*CR396*CP396)*CQ396/2204.62*CO396,"")</f>
        <v/>
      </c>
      <c r="CU396" s="135" t="str">
        <f>IF($I396&lt;&gt;"",J396*IF(W396&lt;&gt;"AR",(CS396*K396)+CT396,(CS396*AB396)+CT396*(AB396/INDEX('Device Refrigerant Leakage'!$C$2:$C$42,MATCH($M396,'Device Refrigerant Leakage'!$B$2:$B$42,0)))),"")</f>
        <v/>
      </c>
      <c r="CW396" s="135" t="str">
        <f>IF($I396&lt;&gt;"",IF(S396="User Specified",V396,INDEX('Refrigerant GWPs'!$G$2:$G$156,MATCH(S396,'Refrigerant GWPs'!$A$2:$A$157,0))),"")</f>
        <v/>
      </c>
      <c r="CX396" s="138" t="str">
        <f>IF($I396&lt;&gt;"",INDEX('Device Refrigerant Leakage'!$E$2:$E$42,MATCH($Q396,'Device Refrigerant Leakage'!$B$2:$B$42,0)),"")</f>
        <v/>
      </c>
      <c r="CY396" s="138" t="str">
        <f>IF($I396&lt;&gt;"",INDEX('Device Refrigerant Leakage'!$F$2:$F$42,MATCH($Q396,'Device Refrigerant Leakage'!$B$2:$B$42,0)),"")</f>
        <v/>
      </c>
      <c r="CZ396" s="145" t="str">
        <f>IF($I396&lt;&gt;"",INDEX('Device Refrigerant Leakage'!$G$2:$G$42,MATCH($Q396,'Device Refrigerant Leakage'!$B$2:$B$42,0)),"")</f>
        <v/>
      </c>
      <c r="DA396" s="145" t="str">
        <f>IF($I396&lt;&gt;"",J396*INDEX('Device Refrigerant Leakage'!$D$2:$D$42,MATCH($Q396,'Device Refrigerant Leakage'!$B$2:$B$42,0))*CX396/2204.62*CW396,"")</f>
        <v/>
      </c>
      <c r="DB396" s="145" t="str">
        <f>IF($I396&lt;&gt;"",J396*(INDEX('Device Refrigerant Leakage'!$D$2:$D$42,MATCH($Q396,'Device Refrigerant Leakage'!$B$2:$B$42,0))-(INDEX('Device Refrigerant Leakage'!$D$2:$D$42,MATCH($Q396,'Device Refrigerant Leakage'!$B$2:$B$42,0)))*CZ396*CX396)*CY396/2204.62*CW396,"")</f>
        <v/>
      </c>
      <c r="DC396" s="135" t="str">
        <f t="shared" si="484"/>
        <v/>
      </c>
      <c r="DE396" s="146" t="str">
        <f>IF(W396&lt;&gt;"AR","",IF(Y396="User Specified", AA396, INDEX('Refrigerant GWPs'!$G$2:$G$154,MATCH(Y396,'Refrigerant GWPs'!$A$2:$A$154,0))))</f>
        <v/>
      </c>
      <c r="DF396" s="146" t="str">
        <f>IF(W396&lt;&gt;"AR","",INDEX('Device Refrigerant Leakage'!$E$2:$E$42,MATCH(X396,'Device Refrigerant Leakage'!$B$2:$B$42,0)))</f>
        <v/>
      </c>
      <c r="DG396" s="146" t="str">
        <f>IF(W396&lt;&gt;"AR","",INDEX('Device Refrigerant Leakage'!$F$2:$F$42,MATCH(X396,'Device Refrigerant Leakage'!$B$2:$B$42,0)))</f>
        <v/>
      </c>
      <c r="DH396" s="146" t="str">
        <f>IF(W396&lt;&gt;"AR","",INDEX('Device Refrigerant Leakage'!$G$2:$G$42,MATCH(X396,'Device Refrigerant Leakage'!$B$2:$B$42,0)))</f>
        <v/>
      </c>
      <c r="DI396" s="146" t="str">
        <f>IF(W396&lt;&gt;"AR","",J396*INDEX('Device Refrigerant Leakage'!$D$2:$D$42,MATCH(X396,'Device Refrigerant Leakage'!$B$2:$B$42,0))*DF396/2204.62*DE396)</f>
        <v/>
      </c>
      <c r="DJ396" s="146" t="str">
        <f>IF(W396&lt;&gt;"AR","",J396*(INDEX('Device Refrigerant Leakage'!$D$2:$D$42,MATCH(X396,'Device Refrigerant Leakage'!$B$2:$B$42,0))-(INDEX('Device Refrigerant Leakage'!$D$2:$D$42,MATCH(X396,'Device Refrigerant Leakage'!$B$2:$B$42,0)))*DH396*DF396)*DG396/2204.62*DE396)</f>
        <v/>
      </c>
      <c r="DK396" s="146" t="str">
        <f>IF(W396&lt;&gt;"AR","",DI396*(K396-AB396)+'Fuel Sub Calcs-Deemed'!DJ396*((K396-AB396)/INDEX('Device Refrigerant Leakage'!$C$2:$C$42,MATCH('Fuel Sub Calcs-Deemed'!X396,'Device Refrigerant Leakage'!$B$2:$B$42,0))))</f>
        <v/>
      </c>
      <c r="DM396" s="56">
        <v>382</v>
      </c>
      <c r="DN396" s="67" t="e">
        <f t="shared" si="466"/>
        <v>#N/A</v>
      </c>
      <c r="DO396" s="45" t="e">
        <f t="shared" si="467"/>
        <v>#N/A</v>
      </c>
      <c r="DP396" s="67" t="e">
        <f t="shared" si="468"/>
        <v>#N/A</v>
      </c>
      <c r="DQ396" s="45" t="e">
        <f t="shared" si="469"/>
        <v>#N/A</v>
      </c>
      <c r="DR396" s="69" t="e">
        <f t="shared" si="470"/>
        <v>#N/A</v>
      </c>
      <c r="DS396" s="34"/>
      <c r="DT396" s="67" t="e">
        <f>((BX396*CJ396)+IF($W396=MAT_AR,(BZ396*CL396),0))*(1+Reference!$E$50+Reference!$E$51)</f>
        <v>#N/A</v>
      </c>
      <c r="DU396" s="67">
        <f>((BY396*CK396)+IF($W396=MAT_AR,(CA396*CM396),0))*(1+Reference!$G$50+Reference!$G$51)</f>
        <v>0</v>
      </c>
      <c r="DV396" s="67" t="e">
        <f t="shared" si="471"/>
        <v>#VALUE!</v>
      </c>
      <c r="DX396" s="56">
        <v>382</v>
      </c>
      <c r="DY396" s="67">
        <f t="shared" si="472"/>
        <v>0</v>
      </c>
      <c r="DZ396" s="45" t="e">
        <f>VLOOKUP($R396,Dropdown!$C$3:$D$4,2,FALSE)</f>
        <v>#N/A</v>
      </c>
      <c r="EA396" s="68">
        <f t="shared" si="473"/>
        <v>0</v>
      </c>
      <c r="EB396" s="68" t="str">
        <f t="shared" si="474"/>
        <v>N/A</v>
      </c>
      <c r="EC396" s="68">
        <f t="shared" si="475"/>
        <v>0</v>
      </c>
      <c r="ED396" s="68" t="str">
        <f t="shared" si="513"/>
        <v>N/A</v>
      </c>
      <c r="EF396" s="56">
        <v>382</v>
      </c>
      <c r="EG396" s="46">
        <f t="shared" si="476"/>
        <v>0</v>
      </c>
      <c r="EH396" s="68" t="e">
        <f t="shared" si="477"/>
        <v>#N/A</v>
      </c>
      <c r="EI396" s="68" t="e">
        <f t="shared" si="478"/>
        <v>#N/A</v>
      </c>
      <c r="EJ396" s="68" t="e">
        <f t="shared" si="479"/>
        <v>#N/A</v>
      </c>
      <c r="EK396" s="68" t="e">
        <f t="shared" si="480"/>
        <v>#N/A</v>
      </c>
      <c r="EL396" s="46">
        <f t="shared" si="481"/>
        <v>0</v>
      </c>
      <c r="EM396" s="46">
        <f t="shared" si="482"/>
        <v>0</v>
      </c>
    </row>
    <row r="397" spans="1:143">
      <c r="A397" s="89"/>
      <c r="B397" s="89"/>
      <c r="C397" s="89"/>
      <c r="D397" s="89"/>
      <c r="E397" s="89"/>
      <c r="F397" s="89"/>
      <c r="G397" s="34"/>
      <c r="H397" s="56">
        <f t="shared" si="483"/>
        <v>383</v>
      </c>
      <c r="I397" s="165"/>
      <c r="J397" s="163"/>
      <c r="K397" s="163"/>
      <c r="L397" s="164"/>
      <c r="M397" s="155"/>
      <c r="N397" s="155"/>
      <c r="O397" s="144"/>
      <c r="P397" s="159" t="str">
        <f>IFERROR(IF(O397&lt;&gt;"User Specified",IF(O397&lt;&gt;"", INDEX('Refrigerant GWPs'!$G$2:$G$154,MATCH(O397,'Refrigerant GWPs'!$A$2:$A$154,0)),""),U397),0)</f>
        <v/>
      </c>
      <c r="Q397" s="155"/>
      <c r="R397" s="155"/>
      <c r="S397" s="144"/>
      <c r="T397" s="159" t="str">
        <f>IF(S397&lt;&gt;"User Specified",IF(AND(S397&lt;&gt;"User Specified",S397&lt;&gt;""), INDEX('Refrigerant GWPs'!$G$2:$G$154,MATCH(S397,'Refrigerant GWPs'!$A$2:$A$154,0)),""),V397)</f>
        <v/>
      </c>
      <c r="U397" s="144"/>
      <c r="V397" s="144"/>
      <c r="W397" s="155"/>
      <c r="X397" s="155"/>
      <c r="Y397" s="144"/>
      <c r="Z397" s="159" t="str">
        <f>IF(AND(Y397&lt;&gt;"User Specified",Y397&lt;&gt;""), INDEX('Refrigerant GWPs'!$G$2:$G$154,MATCH(Y397,'Refrigerant GWPs'!$A$2:$A$154,0)),"")</f>
        <v/>
      </c>
      <c r="AA397" s="155"/>
      <c r="AB397" s="156"/>
      <c r="AC397" s="66"/>
      <c r="AD397" s="66"/>
      <c r="AE397" s="66"/>
      <c r="AF397" s="66"/>
      <c r="AG397" s="66"/>
      <c r="AH397" s="66"/>
      <c r="AI397" s="34"/>
      <c r="AJ397" s="88">
        <f t="shared" si="446"/>
        <v>0</v>
      </c>
      <c r="AK397" s="88">
        <f t="shared" si="447"/>
        <v>0</v>
      </c>
      <c r="AL397" s="88">
        <v>0</v>
      </c>
      <c r="AM397" s="88">
        <v>0</v>
      </c>
      <c r="AN397" s="81" t="str">
        <f t="shared" si="485"/>
        <v/>
      </c>
      <c r="AO397" s="88">
        <f t="shared" si="448"/>
        <v>0</v>
      </c>
      <c r="AP397" s="88">
        <f t="shared" si="449"/>
        <v>0</v>
      </c>
      <c r="AQ397" s="81" t="str">
        <f t="shared" si="450"/>
        <v/>
      </c>
      <c r="AS397" s="41" t="b">
        <f t="shared" si="451"/>
        <v>1</v>
      </c>
      <c r="AT397" s="38">
        <f t="shared" si="452"/>
        <v>0</v>
      </c>
      <c r="AU397" s="60">
        <f t="shared" si="453"/>
        <v>0</v>
      </c>
      <c r="AV397" s="41">
        <f t="shared" si="454"/>
        <v>0</v>
      </c>
      <c r="AW397" s="41" t="b">
        <f t="shared" si="455"/>
        <v>0</v>
      </c>
      <c r="AX397" t="str">
        <f t="shared" si="456"/>
        <v>+00</v>
      </c>
      <c r="AY397" t="str">
        <f t="shared" si="457"/>
        <v>+00</v>
      </c>
      <c r="BA397" s="47" t="b">
        <f t="shared" si="486"/>
        <v>1</v>
      </c>
      <c r="BB397" s="42" t="b">
        <f t="shared" si="487"/>
        <v>1</v>
      </c>
      <c r="BC397" s="42" t="b">
        <f t="shared" si="488"/>
        <v>0</v>
      </c>
      <c r="BD397" s="42" t="b">
        <f t="shared" si="489"/>
        <v>0</v>
      </c>
      <c r="BE397" s="70">
        <f t="shared" si="490"/>
        <v>0</v>
      </c>
      <c r="BF397" s="70">
        <f t="shared" si="491"/>
        <v>0</v>
      </c>
      <c r="BG397" s="34"/>
      <c r="BI397" s="47" t="b">
        <f t="shared" si="492"/>
        <v>1</v>
      </c>
      <c r="BJ397" s="47" t="b">
        <f t="shared" si="493"/>
        <v>1</v>
      </c>
      <c r="BK397" s="42" t="b">
        <f t="shared" si="494"/>
        <v>0</v>
      </c>
      <c r="BL397" s="42" t="b">
        <f t="shared" si="495"/>
        <v>0</v>
      </c>
      <c r="BM397" s="42">
        <f t="shared" si="496"/>
        <v>0</v>
      </c>
      <c r="BN397" s="42">
        <f t="shared" si="497"/>
        <v>0</v>
      </c>
      <c r="BP397" t="e">
        <f t="shared" si="498"/>
        <v>#N/A</v>
      </c>
      <c r="BQ397" t="e">
        <f t="shared" si="499"/>
        <v>#N/A</v>
      </c>
      <c r="BR397" t="e">
        <f t="shared" si="500"/>
        <v>#N/A</v>
      </c>
      <c r="BT397" s="60">
        <f t="shared" si="501"/>
        <v>0</v>
      </c>
      <c r="BU397" s="60">
        <f t="shared" si="502"/>
        <v>0</v>
      </c>
      <c r="BV397" s="60">
        <f t="shared" si="503"/>
        <v>0</v>
      </c>
      <c r="BW397" s="60">
        <f t="shared" si="504"/>
        <v>0</v>
      </c>
      <c r="BX397" s="60">
        <f t="shared" si="505"/>
        <v>0</v>
      </c>
      <c r="BY397" s="60">
        <f t="shared" si="506"/>
        <v>0</v>
      </c>
      <c r="BZ397" s="60">
        <f t="shared" si="507"/>
        <v>0</v>
      </c>
      <c r="CA397" s="60">
        <f t="shared" si="508"/>
        <v>0</v>
      </c>
      <c r="CB397" s="60" t="e">
        <f t="shared" si="458"/>
        <v>#N/A</v>
      </c>
      <c r="CC397" s="60">
        <f t="shared" si="459"/>
        <v>100000</v>
      </c>
      <c r="CD397" s="60" t="e">
        <f t="shared" si="460"/>
        <v>#N/A</v>
      </c>
      <c r="CE397" s="60">
        <f t="shared" si="461"/>
        <v>100000</v>
      </c>
      <c r="CF397" s="83" t="e">
        <f t="shared" si="509"/>
        <v>#N/A</v>
      </c>
      <c r="CG397" s="83">
        <f t="shared" si="510"/>
        <v>0</v>
      </c>
      <c r="CH397" s="83" t="e">
        <f t="shared" si="511"/>
        <v>#N/A</v>
      </c>
      <c r="CI397" s="83">
        <f t="shared" si="512"/>
        <v>0</v>
      </c>
      <c r="CJ397" s="86" t="e">
        <f t="shared" si="462"/>
        <v>#N/A</v>
      </c>
      <c r="CK397" s="82">
        <f t="shared" si="463"/>
        <v>5.3070370403969858E-3</v>
      </c>
      <c r="CL397" s="82" t="e">
        <f t="shared" si="464"/>
        <v>#N/A</v>
      </c>
      <c r="CM397" s="82">
        <f t="shared" si="465"/>
        <v>5.3070370403969858E-3</v>
      </c>
      <c r="CO397" s="149" t="str">
        <f>IF($I397&lt;&gt;"",IF(O397="User Specified",U397,INDEX('Refrigerant GWPs'!$G$2:$G$156,MATCH(O397,'Refrigerant GWPs'!$A$2:$A$156,0))),"")</f>
        <v/>
      </c>
      <c r="CP397" s="138" t="str">
        <f>IF($I397&lt;&gt;"",INDEX('Device Refrigerant Leakage'!$E$2:$E$42,MATCH($M397,'Device Refrigerant Leakage'!$B$2:$B$42,0)),"")</f>
        <v/>
      </c>
      <c r="CQ397" s="138" t="str">
        <f>IF($I397&lt;&gt;"",INDEX('Device Refrigerant Leakage'!$F$2:$F$42,MATCH($M397,'Device Refrigerant Leakage'!$B$2:$B$42,0)),"")</f>
        <v/>
      </c>
      <c r="CR397" s="145" t="str">
        <f>IF($I397&lt;&gt;"",INDEX('Device Refrigerant Leakage'!$G$2:$G$42,MATCH($M397,'Device Refrigerant Leakage'!$B$2:$B$42,0)),"")</f>
        <v/>
      </c>
      <c r="CS397" s="145" t="str">
        <f>IF($I397&lt;&gt;"",INDEX('Device Refrigerant Leakage'!$D$2:$D$42,MATCH($M397,'Device Refrigerant Leakage'!$B$2:$B$42,0))*CP397/2204.62*CO397,"")</f>
        <v/>
      </c>
      <c r="CT397" s="145" t="str">
        <f>IF($I397&lt;&gt;"",J397*(INDEX('Device Refrigerant Leakage'!$D$2:$D$42,MATCH($M397,'Device Refrigerant Leakage'!$B$2:$B$42,0))-(INDEX('Device Refrigerant Leakage'!$D$2:$D$42,MATCH($M397,'Device Refrigerant Leakage'!$B$2:$B$42,0)))*CR397*CP397)*CQ397/2204.62*CO397,"")</f>
        <v/>
      </c>
      <c r="CU397" s="135" t="str">
        <f>IF($I397&lt;&gt;"",J397*IF(W397&lt;&gt;"AR",(CS397*K397)+CT397,(CS397*AB397)+CT397*(AB397/INDEX('Device Refrigerant Leakage'!$C$2:$C$42,MATCH($M397,'Device Refrigerant Leakage'!$B$2:$B$42,0)))),"")</f>
        <v/>
      </c>
      <c r="CW397" s="135" t="str">
        <f>IF($I397&lt;&gt;"",IF(S397="User Specified",V397,INDEX('Refrigerant GWPs'!$G$2:$G$156,MATCH(S397,'Refrigerant GWPs'!$A$2:$A$157,0))),"")</f>
        <v/>
      </c>
      <c r="CX397" s="138" t="str">
        <f>IF($I397&lt;&gt;"",INDEX('Device Refrigerant Leakage'!$E$2:$E$42,MATCH($Q397,'Device Refrigerant Leakage'!$B$2:$B$42,0)),"")</f>
        <v/>
      </c>
      <c r="CY397" s="138" t="str">
        <f>IF($I397&lt;&gt;"",INDEX('Device Refrigerant Leakage'!$F$2:$F$42,MATCH($Q397,'Device Refrigerant Leakage'!$B$2:$B$42,0)),"")</f>
        <v/>
      </c>
      <c r="CZ397" s="145" t="str">
        <f>IF($I397&lt;&gt;"",INDEX('Device Refrigerant Leakage'!$G$2:$G$42,MATCH($Q397,'Device Refrigerant Leakage'!$B$2:$B$42,0)),"")</f>
        <v/>
      </c>
      <c r="DA397" s="145" t="str">
        <f>IF($I397&lt;&gt;"",J397*INDEX('Device Refrigerant Leakage'!$D$2:$D$42,MATCH($Q397,'Device Refrigerant Leakage'!$B$2:$B$42,0))*CX397/2204.62*CW397,"")</f>
        <v/>
      </c>
      <c r="DB397" s="145" t="str">
        <f>IF($I397&lt;&gt;"",J397*(INDEX('Device Refrigerant Leakage'!$D$2:$D$42,MATCH($Q397,'Device Refrigerant Leakage'!$B$2:$B$42,0))-(INDEX('Device Refrigerant Leakage'!$D$2:$D$42,MATCH($Q397,'Device Refrigerant Leakage'!$B$2:$B$42,0)))*CZ397*CX397)*CY397/2204.62*CW397,"")</f>
        <v/>
      </c>
      <c r="DC397" s="135" t="str">
        <f t="shared" si="484"/>
        <v/>
      </c>
      <c r="DE397" s="146" t="str">
        <f>IF(W397&lt;&gt;"AR","",IF(Y397="User Specified", AA397, INDEX('Refrigerant GWPs'!$G$2:$G$154,MATCH(Y397,'Refrigerant GWPs'!$A$2:$A$154,0))))</f>
        <v/>
      </c>
      <c r="DF397" s="146" t="str">
        <f>IF(W397&lt;&gt;"AR","",INDEX('Device Refrigerant Leakage'!$E$2:$E$42,MATCH(X397,'Device Refrigerant Leakage'!$B$2:$B$42,0)))</f>
        <v/>
      </c>
      <c r="DG397" s="146" t="str">
        <f>IF(W397&lt;&gt;"AR","",INDEX('Device Refrigerant Leakage'!$F$2:$F$42,MATCH(X397,'Device Refrigerant Leakage'!$B$2:$B$42,0)))</f>
        <v/>
      </c>
      <c r="DH397" s="146" t="str">
        <f>IF(W397&lt;&gt;"AR","",INDEX('Device Refrigerant Leakage'!$G$2:$G$42,MATCH(X397,'Device Refrigerant Leakage'!$B$2:$B$42,0)))</f>
        <v/>
      </c>
      <c r="DI397" s="146" t="str">
        <f>IF(W397&lt;&gt;"AR","",J397*INDEX('Device Refrigerant Leakage'!$D$2:$D$42,MATCH(X397,'Device Refrigerant Leakage'!$B$2:$B$42,0))*DF397/2204.62*DE397)</f>
        <v/>
      </c>
      <c r="DJ397" s="146" t="str">
        <f>IF(W397&lt;&gt;"AR","",J397*(INDEX('Device Refrigerant Leakage'!$D$2:$D$42,MATCH(X397,'Device Refrigerant Leakage'!$B$2:$B$42,0))-(INDEX('Device Refrigerant Leakage'!$D$2:$D$42,MATCH(X397,'Device Refrigerant Leakage'!$B$2:$B$42,0)))*DH397*DF397)*DG397/2204.62*DE397)</f>
        <v/>
      </c>
      <c r="DK397" s="146" t="str">
        <f>IF(W397&lt;&gt;"AR","",DI397*(K397-AB397)+'Fuel Sub Calcs-Deemed'!DJ397*((K397-AB397)/INDEX('Device Refrigerant Leakage'!$C$2:$C$42,MATCH('Fuel Sub Calcs-Deemed'!X397,'Device Refrigerant Leakage'!$B$2:$B$42,0))))</f>
        <v/>
      </c>
      <c r="DM397" s="56">
        <v>383</v>
      </c>
      <c r="DN397" s="67" t="e">
        <f t="shared" si="466"/>
        <v>#N/A</v>
      </c>
      <c r="DO397" s="45" t="e">
        <f t="shared" si="467"/>
        <v>#N/A</v>
      </c>
      <c r="DP397" s="67" t="e">
        <f t="shared" si="468"/>
        <v>#N/A</v>
      </c>
      <c r="DQ397" s="45" t="e">
        <f t="shared" si="469"/>
        <v>#N/A</v>
      </c>
      <c r="DR397" s="69" t="e">
        <f t="shared" si="470"/>
        <v>#N/A</v>
      </c>
      <c r="DS397" s="34"/>
      <c r="DT397" s="67" t="e">
        <f>((BX397*CJ397)+IF($W397=MAT_AR,(BZ397*CL397),0))*(1+Reference!$E$50+Reference!$E$51)</f>
        <v>#N/A</v>
      </c>
      <c r="DU397" s="67">
        <f>((BY397*CK397)+IF($W397=MAT_AR,(CA397*CM397),0))*(1+Reference!$G$50+Reference!$G$51)</f>
        <v>0</v>
      </c>
      <c r="DV397" s="67" t="e">
        <f t="shared" si="471"/>
        <v>#VALUE!</v>
      </c>
      <c r="DX397" s="56">
        <v>383</v>
      </c>
      <c r="DY397" s="67">
        <f t="shared" si="472"/>
        <v>0</v>
      </c>
      <c r="DZ397" s="45" t="e">
        <f>VLOOKUP($R397,Dropdown!$C$3:$D$4,2,FALSE)</f>
        <v>#N/A</v>
      </c>
      <c r="EA397" s="68">
        <f t="shared" si="473"/>
        <v>0</v>
      </c>
      <c r="EB397" s="68" t="str">
        <f t="shared" si="474"/>
        <v>N/A</v>
      </c>
      <c r="EC397" s="68">
        <f t="shared" si="475"/>
        <v>0</v>
      </c>
      <c r="ED397" s="68" t="str">
        <f t="shared" si="513"/>
        <v>N/A</v>
      </c>
      <c r="EF397" s="56">
        <v>383</v>
      </c>
      <c r="EG397" s="46">
        <f t="shared" si="476"/>
        <v>0</v>
      </c>
      <c r="EH397" s="68" t="e">
        <f t="shared" si="477"/>
        <v>#N/A</v>
      </c>
      <c r="EI397" s="68" t="e">
        <f t="shared" si="478"/>
        <v>#N/A</v>
      </c>
      <c r="EJ397" s="68" t="e">
        <f t="shared" si="479"/>
        <v>#N/A</v>
      </c>
      <c r="EK397" s="68" t="e">
        <f t="shared" si="480"/>
        <v>#N/A</v>
      </c>
      <c r="EL397" s="46">
        <f t="shared" si="481"/>
        <v>0</v>
      </c>
      <c r="EM397" s="46">
        <f t="shared" si="482"/>
        <v>0</v>
      </c>
    </row>
    <row r="398" spans="1:143">
      <c r="A398" s="89"/>
      <c r="B398" s="89"/>
      <c r="C398" s="89"/>
      <c r="D398" s="89"/>
      <c r="E398" s="89"/>
      <c r="F398" s="89"/>
      <c r="G398" s="34"/>
      <c r="H398" s="56">
        <f t="shared" si="483"/>
        <v>384</v>
      </c>
      <c r="I398" s="165"/>
      <c r="J398" s="163"/>
      <c r="K398" s="163"/>
      <c r="L398" s="164"/>
      <c r="M398" s="155"/>
      <c r="N398" s="155"/>
      <c r="O398" s="144"/>
      <c r="P398" s="159" t="str">
        <f>IFERROR(IF(O398&lt;&gt;"User Specified",IF(O398&lt;&gt;"", INDEX('Refrigerant GWPs'!$G$2:$G$154,MATCH(O398,'Refrigerant GWPs'!$A$2:$A$154,0)),""),U398),0)</f>
        <v/>
      </c>
      <c r="Q398" s="155"/>
      <c r="R398" s="155"/>
      <c r="S398" s="144"/>
      <c r="T398" s="159" t="str">
        <f>IF(S398&lt;&gt;"User Specified",IF(AND(S398&lt;&gt;"User Specified",S398&lt;&gt;""), INDEX('Refrigerant GWPs'!$G$2:$G$154,MATCH(S398,'Refrigerant GWPs'!$A$2:$A$154,0)),""),V398)</f>
        <v/>
      </c>
      <c r="U398" s="144"/>
      <c r="V398" s="144"/>
      <c r="W398" s="155"/>
      <c r="X398" s="155"/>
      <c r="Y398" s="144"/>
      <c r="Z398" s="159" t="str">
        <f>IF(AND(Y398&lt;&gt;"User Specified",Y398&lt;&gt;""), INDEX('Refrigerant GWPs'!$G$2:$G$154,MATCH(Y398,'Refrigerant GWPs'!$A$2:$A$154,0)),"")</f>
        <v/>
      </c>
      <c r="AA398" s="155"/>
      <c r="AB398" s="156"/>
      <c r="AC398" s="66"/>
      <c r="AD398" s="66"/>
      <c r="AE398" s="66"/>
      <c r="AF398" s="66"/>
      <c r="AG398" s="66"/>
      <c r="AH398" s="66"/>
      <c r="AI398" s="34"/>
      <c r="AJ398" s="88">
        <f t="shared" si="446"/>
        <v>0</v>
      </c>
      <c r="AK398" s="88">
        <f t="shared" si="447"/>
        <v>0</v>
      </c>
      <c r="AL398" s="88">
        <v>0</v>
      </c>
      <c r="AM398" s="88">
        <v>0</v>
      </c>
      <c r="AN398" s="81" t="str">
        <f t="shared" si="485"/>
        <v/>
      </c>
      <c r="AO398" s="88">
        <f t="shared" si="448"/>
        <v>0</v>
      </c>
      <c r="AP398" s="88">
        <f t="shared" si="449"/>
        <v>0</v>
      </c>
      <c r="AQ398" s="81" t="str">
        <f t="shared" si="450"/>
        <v/>
      </c>
      <c r="AS398" s="41" t="b">
        <f t="shared" si="451"/>
        <v>1</v>
      </c>
      <c r="AT398" s="38">
        <f t="shared" si="452"/>
        <v>0</v>
      </c>
      <c r="AU398" s="60">
        <f t="shared" si="453"/>
        <v>0</v>
      </c>
      <c r="AV398" s="41">
        <f t="shared" si="454"/>
        <v>0</v>
      </c>
      <c r="AW398" s="41" t="b">
        <f t="shared" si="455"/>
        <v>0</v>
      </c>
      <c r="AX398" t="str">
        <f t="shared" si="456"/>
        <v>+00</v>
      </c>
      <c r="AY398" t="str">
        <f t="shared" si="457"/>
        <v>+00</v>
      </c>
      <c r="BA398" s="47" t="b">
        <f t="shared" si="486"/>
        <v>1</v>
      </c>
      <c r="BB398" s="42" t="b">
        <f t="shared" si="487"/>
        <v>1</v>
      </c>
      <c r="BC398" s="42" t="b">
        <f t="shared" si="488"/>
        <v>0</v>
      </c>
      <c r="BD398" s="42" t="b">
        <f t="shared" si="489"/>
        <v>0</v>
      </c>
      <c r="BE398" s="70">
        <f t="shared" si="490"/>
        <v>0</v>
      </c>
      <c r="BF398" s="70">
        <f t="shared" si="491"/>
        <v>0</v>
      </c>
      <c r="BG398" s="34"/>
      <c r="BI398" s="47" t="b">
        <f t="shared" si="492"/>
        <v>1</v>
      </c>
      <c r="BJ398" s="47" t="b">
        <f t="shared" si="493"/>
        <v>1</v>
      </c>
      <c r="BK398" s="42" t="b">
        <f t="shared" si="494"/>
        <v>0</v>
      </c>
      <c r="BL398" s="42" t="b">
        <f t="shared" si="495"/>
        <v>0</v>
      </c>
      <c r="BM398" s="42">
        <f t="shared" si="496"/>
        <v>0</v>
      </c>
      <c r="BN398" s="42">
        <f t="shared" si="497"/>
        <v>0</v>
      </c>
      <c r="BP398" t="e">
        <f t="shared" si="498"/>
        <v>#N/A</v>
      </c>
      <c r="BQ398" t="e">
        <f t="shared" si="499"/>
        <v>#N/A</v>
      </c>
      <c r="BR398" t="e">
        <f t="shared" si="500"/>
        <v>#N/A</v>
      </c>
      <c r="BT398" s="60">
        <f t="shared" si="501"/>
        <v>0</v>
      </c>
      <c r="BU398" s="60">
        <f t="shared" si="502"/>
        <v>0</v>
      </c>
      <c r="BV398" s="60">
        <f t="shared" si="503"/>
        <v>0</v>
      </c>
      <c r="BW398" s="60">
        <f t="shared" si="504"/>
        <v>0</v>
      </c>
      <c r="BX398" s="60">
        <f t="shared" si="505"/>
        <v>0</v>
      </c>
      <c r="BY398" s="60">
        <f t="shared" si="506"/>
        <v>0</v>
      </c>
      <c r="BZ398" s="60">
        <f t="shared" si="507"/>
        <v>0</v>
      </c>
      <c r="CA398" s="60">
        <f t="shared" si="508"/>
        <v>0</v>
      </c>
      <c r="CB398" s="60" t="e">
        <f t="shared" si="458"/>
        <v>#N/A</v>
      </c>
      <c r="CC398" s="60">
        <f t="shared" si="459"/>
        <v>100000</v>
      </c>
      <c r="CD398" s="60" t="e">
        <f t="shared" si="460"/>
        <v>#N/A</v>
      </c>
      <c r="CE398" s="60">
        <f t="shared" si="461"/>
        <v>100000</v>
      </c>
      <c r="CF398" s="83" t="e">
        <f t="shared" si="509"/>
        <v>#N/A</v>
      </c>
      <c r="CG398" s="83">
        <f t="shared" si="510"/>
        <v>0</v>
      </c>
      <c r="CH398" s="83" t="e">
        <f t="shared" si="511"/>
        <v>#N/A</v>
      </c>
      <c r="CI398" s="83">
        <f t="shared" si="512"/>
        <v>0</v>
      </c>
      <c r="CJ398" s="86" t="e">
        <f t="shared" si="462"/>
        <v>#N/A</v>
      </c>
      <c r="CK398" s="82">
        <f t="shared" si="463"/>
        <v>5.3070370403969858E-3</v>
      </c>
      <c r="CL398" s="82" t="e">
        <f t="shared" si="464"/>
        <v>#N/A</v>
      </c>
      <c r="CM398" s="82">
        <f t="shared" si="465"/>
        <v>5.3070370403969858E-3</v>
      </c>
      <c r="CO398" s="149" t="str">
        <f>IF($I398&lt;&gt;"",IF(O398="User Specified",U398,INDEX('Refrigerant GWPs'!$G$2:$G$156,MATCH(O398,'Refrigerant GWPs'!$A$2:$A$156,0))),"")</f>
        <v/>
      </c>
      <c r="CP398" s="138" t="str">
        <f>IF($I398&lt;&gt;"",INDEX('Device Refrigerant Leakage'!$E$2:$E$42,MATCH($M398,'Device Refrigerant Leakage'!$B$2:$B$42,0)),"")</f>
        <v/>
      </c>
      <c r="CQ398" s="138" t="str">
        <f>IF($I398&lt;&gt;"",INDEX('Device Refrigerant Leakage'!$F$2:$F$42,MATCH($M398,'Device Refrigerant Leakage'!$B$2:$B$42,0)),"")</f>
        <v/>
      </c>
      <c r="CR398" s="145" t="str">
        <f>IF($I398&lt;&gt;"",INDEX('Device Refrigerant Leakage'!$G$2:$G$42,MATCH($M398,'Device Refrigerant Leakage'!$B$2:$B$42,0)),"")</f>
        <v/>
      </c>
      <c r="CS398" s="145" t="str">
        <f>IF($I398&lt;&gt;"",INDEX('Device Refrigerant Leakage'!$D$2:$D$42,MATCH($M398,'Device Refrigerant Leakage'!$B$2:$B$42,0))*CP398/2204.62*CO398,"")</f>
        <v/>
      </c>
      <c r="CT398" s="145" t="str">
        <f>IF($I398&lt;&gt;"",J398*(INDEX('Device Refrigerant Leakage'!$D$2:$D$42,MATCH($M398,'Device Refrigerant Leakage'!$B$2:$B$42,0))-(INDEX('Device Refrigerant Leakage'!$D$2:$D$42,MATCH($M398,'Device Refrigerant Leakage'!$B$2:$B$42,0)))*CR398*CP398)*CQ398/2204.62*CO398,"")</f>
        <v/>
      </c>
      <c r="CU398" s="135" t="str">
        <f>IF($I398&lt;&gt;"",J398*IF(W398&lt;&gt;"AR",(CS398*K398)+CT398,(CS398*AB398)+CT398*(AB398/INDEX('Device Refrigerant Leakage'!$C$2:$C$42,MATCH($M398,'Device Refrigerant Leakage'!$B$2:$B$42,0)))),"")</f>
        <v/>
      </c>
      <c r="CW398" s="135" t="str">
        <f>IF($I398&lt;&gt;"",IF(S398="User Specified",V398,INDEX('Refrigerant GWPs'!$G$2:$G$156,MATCH(S398,'Refrigerant GWPs'!$A$2:$A$157,0))),"")</f>
        <v/>
      </c>
      <c r="CX398" s="138" t="str">
        <f>IF($I398&lt;&gt;"",INDEX('Device Refrigerant Leakage'!$E$2:$E$42,MATCH($Q398,'Device Refrigerant Leakage'!$B$2:$B$42,0)),"")</f>
        <v/>
      </c>
      <c r="CY398" s="138" t="str">
        <f>IF($I398&lt;&gt;"",INDEX('Device Refrigerant Leakage'!$F$2:$F$42,MATCH($Q398,'Device Refrigerant Leakage'!$B$2:$B$42,0)),"")</f>
        <v/>
      </c>
      <c r="CZ398" s="145" t="str">
        <f>IF($I398&lt;&gt;"",INDEX('Device Refrigerant Leakage'!$G$2:$G$42,MATCH($Q398,'Device Refrigerant Leakage'!$B$2:$B$42,0)),"")</f>
        <v/>
      </c>
      <c r="DA398" s="145" t="str">
        <f>IF($I398&lt;&gt;"",J398*INDEX('Device Refrigerant Leakage'!$D$2:$D$42,MATCH($Q398,'Device Refrigerant Leakage'!$B$2:$B$42,0))*CX398/2204.62*CW398,"")</f>
        <v/>
      </c>
      <c r="DB398" s="145" t="str">
        <f>IF($I398&lt;&gt;"",J398*(INDEX('Device Refrigerant Leakage'!$D$2:$D$42,MATCH($Q398,'Device Refrigerant Leakage'!$B$2:$B$42,0))-(INDEX('Device Refrigerant Leakage'!$D$2:$D$42,MATCH($Q398,'Device Refrigerant Leakage'!$B$2:$B$42,0)))*CZ398*CX398)*CY398/2204.62*CW398,"")</f>
        <v/>
      </c>
      <c r="DC398" s="135" t="str">
        <f t="shared" si="484"/>
        <v/>
      </c>
      <c r="DE398" s="146" t="str">
        <f>IF(W398&lt;&gt;"AR","",IF(Y398="User Specified", AA398, INDEX('Refrigerant GWPs'!$G$2:$G$154,MATCH(Y398,'Refrigerant GWPs'!$A$2:$A$154,0))))</f>
        <v/>
      </c>
      <c r="DF398" s="146" t="str">
        <f>IF(W398&lt;&gt;"AR","",INDEX('Device Refrigerant Leakage'!$E$2:$E$42,MATCH(X398,'Device Refrigerant Leakage'!$B$2:$B$42,0)))</f>
        <v/>
      </c>
      <c r="DG398" s="146" t="str">
        <f>IF(W398&lt;&gt;"AR","",INDEX('Device Refrigerant Leakage'!$F$2:$F$42,MATCH(X398,'Device Refrigerant Leakage'!$B$2:$B$42,0)))</f>
        <v/>
      </c>
      <c r="DH398" s="146" t="str">
        <f>IF(W398&lt;&gt;"AR","",INDEX('Device Refrigerant Leakage'!$G$2:$G$42,MATCH(X398,'Device Refrigerant Leakage'!$B$2:$B$42,0)))</f>
        <v/>
      </c>
      <c r="DI398" s="146" t="str">
        <f>IF(W398&lt;&gt;"AR","",J398*INDEX('Device Refrigerant Leakage'!$D$2:$D$42,MATCH(X398,'Device Refrigerant Leakage'!$B$2:$B$42,0))*DF398/2204.62*DE398)</f>
        <v/>
      </c>
      <c r="DJ398" s="146" t="str">
        <f>IF(W398&lt;&gt;"AR","",J398*(INDEX('Device Refrigerant Leakage'!$D$2:$D$42,MATCH(X398,'Device Refrigerant Leakage'!$B$2:$B$42,0))-(INDEX('Device Refrigerant Leakage'!$D$2:$D$42,MATCH(X398,'Device Refrigerant Leakage'!$B$2:$B$42,0)))*DH398*DF398)*DG398/2204.62*DE398)</f>
        <v/>
      </c>
      <c r="DK398" s="146" t="str">
        <f>IF(W398&lt;&gt;"AR","",DI398*(K398-AB398)+'Fuel Sub Calcs-Deemed'!DJ398*((K398-AB398)/INDEX('Device Refrigerant Leakage'!$C$2:$C$42,MATCH('Fuel Sub Calcs-Deemed'!X398,'Device Refrigerant Leakage'!$B$2:$B$42,0))))</f>
        <v/>
      </c>
      <c r="DM398" s="56">
        <v>384</v>
      </c>
      <c r="DN398" s="67" t="e">
        <f t="shared" si="466"/>
        <v>#N/A</v>
      </c>
      <c r="DO398" s="45" t="e">
        <f t="shared" si="467"/>
        <v>#N/A</v>
      </c>
      <c r="DP398" s="67" t="e">
        <f t="shared" si="468"/>
        <v>#N/A</v>
      </c>
      <c r="DQ398" s="45" t="e">
        <f t="shared" si="469"/>
        <v>#N/A</v>
      </c>
      <c r="DR398" s="69" t="e">
        <f t="shared" si="470"/>
        <v>#N/A</v>
      </c>
      <c r="DS398" s="34"/>
      <c r="DT398" s="67" t="e">
        <f>((BX398*CJ398)+IF($W398=MAT_AR,(BZ398*CL398),0))*(1+Reference!$E$50+Reference!$E$51)</f>
        <v>#N/A</v>
      </c>
      <c r="DU398" s="67">
        <f>((BY398*CK398)+IF($W398=MAT_AR,(CA398*CM398),0))*(1+Reference!$G$50+Reference!$G$51)</f>
        <v>0</v>
      </c>
      <c r="DV398" s="67" t="e">
        <f t="shared" si="471"/>
        <v>#VALUE!</v>
      </c>
      <c r="DX398" s="56">
        <v>384</v>
      </c>
      <c r="DY398" s="67">
        <f t="shared" si="472"/>
        <v>0</v>
      </c>
      <c r="DZ398" s="45" t="e">
        <f>VLOOKUP($R398,Dropdown!$C$3:$D$4,2,FALSE)</f>
        <v>#N/A</v>
      </c>
      <c r="EA398" s="68">
        <f t="shared" si="473"/>
        <v>0</v>
      </c>
      <c r="EB398" s="68" t="str">
        <f t="shared" si="474"/>
        <v>N/A</v>
      </c>
      <c r="EC398" s="68">
        <f t="shared" si="475"/>
        <v>0</v>
      </c>
      <c r="ED398" s="68" t="str">
        <f t="shared" si="513"/>
        <v>N/A</v>
      </c>
      <c r="EF398" s="56">
        <v>384</v>
      </c>
      <c r="EG398" s="46">
        <f t="shared" si="476"/>
        <v>0</v>
      </c>
      <c r="EH398" s="68" t="e">
        <f t="shared" si="477"/>
        <v>#N/A</v>
      </c>
      <c r="EI398" s="68" t="e">
        <f t="shared" si="478"/>
        <v>#N/A</v>
      </c>
      <c r="EJ398" s="68" t="e">
        <f t="shared" si="479"/>
        <v>#N/A</v>
      </c>
      <c r="EK398" s="68" t="e">
        <f t="shared" si="480"/>
        <v>#N/A</v>
      </c>
      <c r="EL398" s="46">
        <f t="shared" si="481"/>
        <v>0</v>
      </c>
      <c r="EM398" s="46">
        <f t="shared" si="482"/>
        <v>0</v>
      </c>
    </row>
    <row r="399" spans="1:143">
      <c r="A399" s="89"/>
      <c r="B399" s="89"/>
      <c r="C399" s="89"/>
      <c r="D399" s="89"/>
      <c r="E399" s="89"/>
      <c r="F399" s="89"/>
      <c r="G399" s="34"/>
      <c r="H399" s="56">
        <f t="shared" si="483"/>
        <v>385</v>
      </c>
      <c r="I399" s="165"/>
      <c r="J399" s="163"/>
      <c r="K399" s="163"/>
      <c r="L399" s="164"/>
      <c r="M399" s="155"/>
      <c r="N399" s="155"/>
      <c r="O399" s="144"/>
      <c r="P399" s="159" t="str">
        <f>IFERROR(IF(O399&lt;&gt;"User Specified",IF(O399&lt;&gt;"", INDEX('Refrigerant GWPs'!$G$2:$G$154,MATCH(O399,'Refrigerant GWPs'!$A$2:$A$154,0)),""),U399),0)</f>
        <v/>
      </c>
      <c r="Q399" s="155"/>
      <c r="R399" s="155"/>
      <c r="S399" s="144"/>
      <c r="T399" s="159" t="str">
        <f>IF(S399&lt;&gt;"User Specified",IF(AND(S399&lt;&gt;"User Specified",S399&lt;&gt;""), INDEX('Refrigerant GWPs'!$G$2:$G$154,MATCH(S399,'Refrigerant GWPs'!$A$2:$A$154,0)),""),V399)</f>
        <v/>
      </c>
      <c r="U399" s="144"/>
      <c r="V399" s="144"/>
      <c r="W399" s="155"/>
      <c r="X399" s="155"/>
      <c r="Y399" s="144"/>
      <c r="Z399" s="159" t="str">
        <f>IF(AND(Y399&lt;&gt;"User Specified",Y399&lt;&gt;""), INDEX('Refrigerant GWPs'!$G$2:$G$154,MATCH(Y399,'Refrigerant GWPs'!$A$2:$A$154,0)),"")</f>
        <v/>
      </c>
      <c r="AA399" s="155"/>
      <c r="AB399" s="156"/>
      <c r="AC399" s="66"/>
      <c r="AD399" s="66"/>
      <c r="AE399" s="66"/>
      <c r="AF399" s="66"/>
      <c r="AG399" s="66"/>
      <c r="AH399" s="66"/>
      <c r="AI399" s="34"/>
      <c r="AJ399" s="88">
        <f t="shared" ref="AJ399:AJ462" si="514">IF($W399=MAT_AR,AC399,AF399)</f>
        <v>0</v>
      </c>
      <c r="AK399" s="88">
        <f t="shared" ref="AK399:AK462" si="515">IF($W399=MAT_AR,AE399,AH399)</f>
        <v>0</v>
      </c>
      <c r="AL399" s="88">
        <v>0</v>
      </c>
      <c r="AM399" s="88">
        <v>0</v>
      </c>
      <c r="AN399" s="81" t="str">
        <f t="shared" si="485"/>
        <v/>
      </c>
      <c r="AO399" s="88">
        <f t="shared" ref="AO399:AO462" si="516">IF($W399=MAT_AR,AF399,0)</f>
        <v>0</v>
      </c>
      <c r="AP399" s="88">
        <f t="shared" ref="AP399:AP462" si="517">IF($W399=MAT_AR,AH399,0)</f>
        <v>0</v>
      </c>
      <c r="AQ399" s="81" t="str">
        <f t="shared" ref="AQ399:AQ462" si="518">IF(AND(W399=MAT_AR,OR(BK399:BL399)),"Warning: Need to enter baseline and measure consumption","")</f>
        <v/>
      </c>
      <c r="AS399" s="41" t="b">
        <f t="shared" ref="AS399:AS462" si="519">NOT(W399=MAT_AR)</f>
        <v>1</v>
      </c>
      <c r="AT399" s="38">
        <f t="shared" ref="AT399:AT462" si="520">IF(W399=MAT_AR,AB399,K399)</f>
        <v>0</v>
      </c>
      <c r="AU399" s="60">
        <f t="shared" ref="AU399:AU462" si="521">K399-AT399</f>
        <v>0</v>
      </c>
      <c r="AV399" s="41">
        <f t="shared" ref="AV399:AV462" si="522">IF(W399=MAT_AR,AB399,0)</f>
        <v>0</v>
      </c>
      <c r="AW399" s="41" t="b">
        <f t="shared" ref="AW399:AW462" si="523">AND(NOT(ISBLANK(I399)),NOT(ISBLANK(J399)),NOT(ISBLANK(K399)),NOT(ISBLANK(L399)),NOT(ISBLANK(N399)),NOT(ISBLANK(R399)),NOT(OR(BC399:BD399)),NOT(ISBLANK(W399)))</f>
        <v>0</v>
      </c>
      <c r="AX399" t="str">
        <f t="shared" ref="AX399:AX462" si="524">$L399&amp;"+"&amp;TEXT(ROUND($AT399,0),"00")</f>
        <v>+00</v>
      </c>
      <c r="AY399" t="str">
        <f t="shared" ref="AY399:AY462" si="525">TEXT(ROUND($L399+$AT399,0),"#")&amp;"+"&amp;TEXT(ROUND($AU399,0),"00")</f>
        <v>+00</v>
      </c>
      <c r="BA399" s="47" t="b">
        <f t="shared" si="486"/>
        <v>1</v>
      </c>
      <c r="BB399" s="42" t="b">
        <f t="shared" si="487"/>
        <v>1</v>
      </c>
      <c r="BC399" s="42" t="b">
        <f t="shared" si="488"/>
        <v>0</v>
      </c>
      <c r="BD399" s="42" t="b">
        <f t="shared" si="489"/>
        <v>0</v>
      </c>
      <c r="BE399" s="70">
        <f t="shared" si="490"/>
        <v>0</v>
      </c>
      <c r="BF399" s="70">
        <f t="shared" si="491"/>
        <v>0</v>
      </c>
      <c r="BG399" s="34"/>
      <c r="BI399" s="47" t="b">
        <f t="shared" si="492"/>
        <v>1</v>
      </c>
      <c r="BJ399" s="47" t="b">
        <f t="shared" si="493"/>
        <v>1</v>
      </c>
      <c r="BK399" s="42" t="b">
        <f t="shared" si="494"/>
        <v>0</v>
      </c>
      <c r="BL399" s="42" t="b">
        <f t="shared" si="495"/>
        <v>0</v>
      </c>
      <c r="BM399" s="42">
        <f t="shared" si="496"/>
        <v>0</v>
      </c>
      <c r="BN399" s="42">
        <f t="shared" si="497"/>
        <v>0</v>
      </c>
      <c r="BP399" t="e">
        <f t="shared" si="498"/>
        <v>#N/A</v>
      </c>
      <c r="BQ399" t="e">
        <f t="shared" si="499"/>
        <v>#N/A</v>
      </c>
      <c r="BR399" t="e">
        <f t="shared" si="500"/>
        <v>#N/A</v>
      </c>
      <c r="BT399" s="60">
        <f t="shared" si="501"/>
        <v>0</v>
      </c>
      <c r="BU399" s="60">
        <f t="shared" si="502"/>
        <v>0</v>
      </c>
      <c r="BV399" s="60">
        <f t="shared" si="503"/>
        <v>0</v>
      </c>
      <c r="BW399" s="60">
        <f t="shared" si="504"/>
        <v>0</v>
      </c>
      <c r="BX399" s="60">
        <f t="shared" si="505"/>
        <v>0</v>
      </c>
      <c r="BY399" s="60">
        <f t="shared" si="506"/>
        <v>0</v>
      </c>
      <c r="BZ399" s="60">
        <f t="shared" si="507"/>
        <v>0</v>
      </c>
      <c r="CA399" s="60">
        <f t="shared" si="508"/>
        <v>0</v>
      </c>
      <c r="CB399" s="60" t="e">
        <f t="shared" ref="CB399:CB462" si="526">INDEX(AFL_Source_Energy_Btu_per_kWh,MATCH($AX399,AFL_IndexB,0))</f>
        <v>#N/A</v>
      </c>
      <c r="CC399" s="60">
        <f t="shared" ref="CC399:CC462" si="527">Btu_therm</f>
        <v>100000</v>
      </c>
      <c r="CD399" s="60" t="e">
        <f t="shared" ref="CD399:CD462" si="528">INDEX(AFL_Source_Energy_Btu_per_kWh,MATCH($AY399,AFL_IndexB,0))</f>
        <v>#N/A</v>
      </c>
      <c r="CE399" s="60">
        <f t="shared" ref="CE399:CE462" si="529">Btu_therm</f>
        <v>100000</v>
      </c>
      <c r="CF399" s="83" t="e">
        <f t="shared" si="509"/>
        <v>#N/A</v>
      </c>
      <c r="CG399" s="83">
        <f t="shared" si="510"/>
        <v>0</v>
      </c>
      <c r="CH399" s="83" t="e">
        <f t="shared" si="511"/>
        <v>#N/A</v>
      </c>
      <c r="CI399" s="83">
        <f t="shared" si="512"/>
        <v>0</v>
      </c>
      <c r="CJ399" s="86" t="e">
        <f t="shared" ref="CJ399:CJ462" si="530">INDEX(AFL_Emissions_Intensity_metric_tonnes_per_MWh,MATCH($AX399,AFL_IndexB,0))/1000</f>
        <v>#N/A</v>
      </c>
      <c r="CK399" s="82">
        <f t="shared" ref="CK399:CK462" si="531">NG_metric_tonne_CO2_therm</f>
        <v>5.3070370403969858E-3</v>
      </c>
      <c r="CL399" s="82" t="e">
        <f t="shared" ref="CL399:CL462" si="532">INDEX(AFL_Emissions_Intensity_metric_tonnes_per_MWh,MATCH($AY399,AFL_IndexB,0))/1000</f>
        <v>#N/A</v>
      </c>
      <c r="CM399" s="82">
        <f t="shared" ref="CM399:CM462" si="533">NG_metric_tonne_CO2_therm</f>
        <v>5.3070370403969858E-3</v>
      </c>
      <c r="CO399" s="149" t="str">
        <f>IF($I399&lt;&gt;"",IF(O399="User Specified",U399,INDEX('Refrigerant GWPs'!$G$2:$G$156,MATCH(O399,'Refrigerant GWPs'!$A$2:$A$156,0))),"")</f>
        <v/>
      </c>
      <c r="CP399" s="138" t="str">
        <f>IF($I399&lt;&gt;"",INDEX('Device Refrigerant Leakage'!$E$2:$E$42,MATCH($M399,'Device Refrigerant Leakage'!$B$2:$B$42,0)),"")</f>
        <v/>
      </c>
      <c r="CQ399" s="138" t="str">
        <f>IF($I399&lt;&gt;"",INDEX('Device Refrigerant Leakage'!$F$2:$F$42,MATCH($M399,'Device Refrigerant Leakage'!$B$2:$B$42,0)),"")</f>
        <v/>
      </c>
      <c r="CR399" s="145" t="str">
        <f>IF($I399&lt;&gt;"",INDEX('Device Refrigerant Leakage'!$G$2:$G$42,MATCH($M399,'Device Refrigerant Leakage'!$B$2:$B$42,0)),"")</f>
        <v/>
      </c>
      <c r="CS399" s="145" t="str">
        <f>IF($I399&lt;&gt;"",INDEX('Device Refrigerant Leakage'!$D$2:$D$42,MATCH($M399,'Device Refrigerant Leakage'!$B$2:$B$42,0))*CP399/2204.62*CO399,"")</f>
        <v/>
      </c>
      <c r="CT399" s="145" t="str">
        <f>IF($I399&lt;&gt;"",J399*(INDEX('Device Refrigerant Leakage'!$D$2:$D$42,MATCH($M399,'Device Refrigerant Leakage'!$B$2:$B$42,0))-(INDEX('Device Refrigerant Leakage'!$D$2:$D$42,MATCH($M399,'Device Refrigerant Leakage'!$B$2:$B$42,0)))*CR399*CP399)*CQ399/2204.62*CO399,"")</f>
        <v/>
      </c>
      <c r="CU399" s="135" t="str">
        <f>IF($I399&lt;&gt;"",J399*IF(W399&lt;&gt;"AR",(CS399*K399)+CT399,(CS399*AB399)+CT399*(AB399/INDEX('Device Refrigerant Leakage'!$C$2:$C$42,MATCH($M399,'Device Refrigerant Leakage'!$B$2:$B$42,0)))),"")</f>
        <v/>
      </c>
      <c r="CW399" s="135" t="str">
        <f>IF($I399&lt;&gt;"",IF(S399="User Specified",V399,INDEX('Refrigerant GWPs'!$G$2:$G$156,MATCH(S399,'Refrigerant GWPs'!$A$2:$A$157,0))),"")</f>
        <v/>
      </c>
      <c r="CX399" s="138" t="str">
        <f>IF($I399&lt;&gt;"",INDEX('Device Refrigerant Leakage'!$E$2:$E$42,MATCH($Q399,'Device Refrigerant Leakage'!$B$2:$B$42,0)),"")</f>
        <v/>
      </c>
      <c r="CY399" s="138" t="str">
        <f>IF($I399&lt;&gt;"",INDEX('Device Refrigerant Leakage'!$F$2:$F$42,MATCH($Q399,'Device Refrigerant Leakage'!$B$2:$B$42,0)),"")</f>
        <v/>
      </c>
      <c r="CZ399" s="145" t="str">
        <f>IF($I399&lt;&gt;"",INDEX('Device Refrigerant Leakage'!$G$2:$G$42,MATCH($Q399,'Device Refrigerant Leakage'!$B$2:$B$42,0)),"")</f>
        <v/>
      </c>
      <c r="DA399" s="145" t="str">
        <f>IF($I399&lt;&gt;"",J399*INDEX('Device Refrigerant Leakage'!$D$2:$D$42,MATCH($Q399,'Device Refrigerant Leakage'!$B$2:$B$42,0))*CX399/2204.62*CW399,"")</f>
        <v/>
      </c>
      <c r="DB399" s="145" t="str">
        <f>IF($I399&lt;&gt;"",J399*(INDEX('Device Refrigerant Leakage'!$D$2:$D$42,MATCH($Q399,'Device Refrigerant Leakage'!$B$2:$B$42,0))-(INDEX('Device Refrigerant Leakage'!$D$2:$D$42,MATCH($Q399,'Device Refrigerant Leakage'!$B$2:$B$42,0)))*CZ399*CX399)*CY399/2204.62*CW399,"")</f>
        <v/>
      </c>
      <c r="DC399" s="135" t="str">
        <f t="shared" si="484"/>
        <v/>
      </c>
      <c r="DE399" s="146" t="str">
        <f>IF(W399&lt;&gt;"AR","",IF(Y399="User Specified", AA399, INDEX('Refrigerant GWPs'!$G$2:$G$154,MATCH(Y399,'Refrigerant GWPs'!$A$2:$A$154,0))))</f>
        <v/>
      </c>
      <c r="DF399" s="146" t="str">
        <f>IF(W399&lt;&gt;"AR","",INDEX('Device Refrigerant Leakage'!$E$2:$E$42,MATCH(X399,'Device Refrigerant Leakage'!$B$2:$B$42,0)))</f>
        <v/>
      </c>
      <c r="DG399" s="146" t="str">
        <f>IF(W399&lt;&gt;"AR","",INDEX('Device Refrigerant Leakage'!$F$2:$F$42,MATCH(X399,'Device Refrigerant Leakage'!$B$2:$B$42,0)))</f>
        <v/>
      </c>
      <c r="DH399" s="146" t="str">
        <f>IF(W399&lt;&gt;"AR","",INDEX('Device Refrigerant Leakage'!$G$2:$G$42,MATCH(X399,'Device Refrigerant Leakage'!$B$2:$B$42,0)))</f>
        <v/>
      </c>
      <c r="DI399" s="146" t="str">
        <f>IF(W399&lt;&gt;"AR","",J399*INDEX('Device Refrigerant Leakage'!$D$2:$D$42,MATCH(X399,'Device Refrigerant Leakage'!$B$2:$B$42,0))*DF399/2204.62*DE399)</f>
        <v/>
      </c>
      <c r="DJ399" s="146" t="str">
        <f>IF(W399&lt;&gt;"AR","",J399*(INDEX('Device Refrigerant Leakage'!$D$2:$D$42,MATCH(X399,'Device Refrigerant Leakage'!$B$2:$B$42,0))-(INDEX('Device Refrigerant Leakage'!$D$2:$D$42,MATCH(X399,'Device Refrigerant Leakage'!$B$2:$B$42,0)))*DH399*DF399)*DG399/2204.62*DE399)</f>
        <v/>
      </c>
      <c r="DK399" s="146" t="str">
        <f>IF(W399&lt;&gt;"AR","",DI399*(K399-AB399)+'Fuel Sub Calcs-Deemed'!DJ399*((K399-AB399)/INDEX('Device Refrigerant Leakage'!$C$2:$C$42,MATCH('Fuel Sub Calcs-Deemed'!X399,'Device Refrigerant Leakage'!$B$2:$B$42,0))))</f>
        <v/>
      </c>
      <c r="DM399" s="56">
        <v>385</v>
      </c>
      <c r="DN399" s="67" t="e">
        <f t="shared" ref="DN399:DN462" si="534">(CB399*BX399+BY399*CE399)/10^6+IF($W399=MAT_AR,(BZ399*CD399+CA399*CE399)/10^6,0)</f>
        <v>#N/A</v>
      </c>
      <c r="DO399" s="45" t="e">
        <f t="shared" ref="DO399:DO462" si="535">IF(BP399,"PASS","FAIL")</f>
        <v>#N/A</v>
      </c>
      <c r="DP399" s="67" t="e">
        <f t="shared" ref="DP399:DP462" si="536">(DT399+DU399+DV399)</f>
        <v>#N/A</v>
      </c>
      <c r="DQ399" s="45" t="e">
        <f t="shared" ref="DQ399:DQ462" si="537">IF(BQ399,"PASS","FAIL")</f>
        <v>#N/A</v>
      </c>
      <c r="DR399" s="69" t="e">
        <f t="shared" ref="DR399:DR462" si="538">IF(BR399,"Eligible","Not eligible")</f>
        <v>#N/A</v>
      </c>
      <c r="DS399" s="34"/>
      <c r="DT399" s="67" t="e">
        <f>((BX399*CJ399)+IF($W399=MAT_AR,(BZ399*CL399),0))*(1+Reference!$E$50+Reference!$E$51)</f>
        <v>#N/A</v>
      </c>
      <c r="DU399" s="67">
        <f>((BY399*CK399)+IF($W399=MAT_AR,(CA399*CM399),0))*(1+Reference!$G$50+Reference!$G$51)</f>
        <v>0</v>
      </c>
      <c r="DV399" s="67" t="e">
        <f t="shared" ref="DV399:DV462" si="539">IF(W399="NR",CU399-DC399,(CU399+DK399)-DC399)</f>
        <v>#VALUE!</v>
      </c>
      <c r="DX399" s="56">
        <v>385</v>
      </c>
      <c r="DY399" s="67">
        <f t="shared" ref="DY399:DY462" si="540">(Btu_per_kWh*BT399+Btu_therm*BU399)/10^6</f>
        <v>0</v>
      </c>
      <c r="DZ399" s="45" t="e">
        <f>VLOOKUP($R399,Dropdown!$C$3:$D$4,2,FALSE)</f>
        <v>#N/A</v>
      </c>
      <c r="EA399" s="68">
        <f t="shared" ref="EA399:EA462" si="541">IF($R399=fuel_electricity,$DY399*10^6/Btu_per_kWh,0)</f>
        <v>0</v>
      </c>
      <c r="EB399" s="68" t="str">
        <f t="shared" ref="EB399:EB462" si="542">IF($R399=fuel_natural_gas,$DY399/MMBtu_per_therm,"N/A")</f>
        <v>N/A</v>
      </c>
      <c r="EC399" s="68">
        <f t="shared" ref="EC399:EC462" si="543">IF($R399=fuel_electricity,"N/A",AJ399)</f>
        <v>0</v>
      </c>
      <c r="ED399" s="68" t="str">
        <f t="shared" si="513"/>
        <v>N/A</v>
      </c>
      <c r="EF399" s="56">
        <v>385</v>
      </c>
      <c r="EG399" s="46">
        <f t="shared" ref="EG399:EG462" si="544">J399</f>
        <v>0</v>
      </c>
      <c r="EH399" s="68" t="e">
        <f t="shared" ref="EH399:EH462" si="545">IF($BR399,BE399,0)</f>
        <v>#N/A</v>
      </c>
      <c r="EI399" s="68" t="e">
        <f t="shared" ref="EI399:EI462" si="546">IF($BR399,BF399,0)</f>
        <v>#N/A</v>
      </c>
      <c r="EJ399" s="68" t="e">
        <f t="shared" ref="EJ399:EJ462" si="547">IF($BR399,BM399,0)</f>
        <v>#N/A</v>
      </c>
      <c r="EK399" s="68" t="e">
        <f t="shared" ref="EK399:EK462" si="548">IF($BR399,BN399,0)</f>
        <v>#N/A</v>
      </c>
      <c r="EL399" s="46">
        <f t="shared" ref="EL399:EL462" si="549">K399</f>
        <v>0</v>
      </c>
      <c r="EM399" s="46">
        <f t="shared" ref="EM399:EM462" si="550">AV399</f>
        <v>0</v>
      </c>
    </row>
    <row r="400" spans="1:143">
      <c r="A400" s="89"/>
      <c r="B400" s="89"/>
      <c r="C400" s="89"/>
      <c r="D400" s="89"/>
      <c r="E400" s="89"/>
      <c r="F400" s="89"/>
      <c r="G400" s="34"/>
      <c r="H400" s="56">
        <f t="shared" ref="H400:H463" si="551">ROW($H400)-ROW($H$14)</f>
        <v>386</v>
      </c>
      <c r="I400" s="165"/>
      <c r="J400" s="163"/>
      <c r="K400" s="163"/>
      <c r="L400" s="164"/>
      <c r="M400" s="155"/>
      <c r="N400" s="155"/>
      <c r="O400" s="144"/>
      <c r="P400" s="159" t="str">
        <f>IFERROR(IF(O400&lt;&gt;"User Specified",IF(O400&lt;&gt;"", INDEX('Refrigerant GWPs'!$G$2:$G$154,MATCH(O400,'Refrigerant GWPs'!$A$2:$A$154,0)),""),U400),0)</f>
        <v/>
      </c>
      <c r="Q400" s="155"/>
      <c r="R400" s="155"/>
      <c r="S400" s="144"/>
      <c r="T400" s="159" t="str">
        <f>IF(S400&lt;&gt;"User Specified",IF(AND(S400&lt;&gt;"User Specified",S400&lt;&gt;""), INDEX('Refrigerant GWPs'!$G$2:$G$154,MATCH(S400,'Refrigerant GWPs'!$A$2:$A$154,0)),""),V400)</f>
        <v/>
      </c>
      <c r="U400" s="144"/>
      <c r="V400" s="144"/>
      <c r="W400" s="155"/>
      <c r="X400" s="155"/>
      <c r="Y400" s="144"/>
      <c r="Z400" s="159" t="str">
        <f>IF(AND(Y400&lt;&gt;"User Specified",Y400&lt;&gt;""), INDEX('Refrigerant GWPs'!$G$2:$G$154,MATCH(Y400,'Refrigerant GWPs'!$A$2:$A$154,0)),"")</f>
        <v/>
      </c>
      <c r="AA400" s="155"/>
      <c r="AB400" s="156"/>
      <c r="AC400" s="66"/>
      <c r="AD400" s="66"/>
      <c r="AE400" s="66"/>
      <c r="AF400" s="66"/>
      <c r="AG400" s="66"/>
      <c r="AH400" s="66"/>
      <c r="AI400" s="34"/>
      <c r="AJ400" s="88">
        <f t="shared" si="514"/>
        <v>0</v>
      </c>
      <c r="AK400" s="88">
        <f t="shared" si="515"/>
        <v>0</v>
      </c>
      <c r="AL400" s="88">
        <v>0</v>
      </c>
      <c r="AM400" s="88">
        <v>0</v>
      </c>
      <c r="AN400" s="81" t="str">
        <f t="shared" si="485"/>
        <v/>
      </c>
      <c r="AO400" s="88">
        <f t="shared" si="516"/>
        <v>0</v>
      </c>
      <c r="AP400" s="88">
        <f t="shared" si="517"/>
        <v>0</v>
      </c>
      <c r="AQ400" s="81" t="str">
        <f t="shared" si="518"/>
        <v/>
      </c>
      <c r="AS400" s="41" t="b">
        <f t="shared" si="519"/>
        <v>1</v>
      </c>
      <c r="AT400" s="38">
        <f t="shared" si="520"/>
        <v>0</v>
      </c>
      <c r="AU400" s="60">
        <f t="shared" si="521"/>
        <v>0</v>
      </c>
      <c r="AV400" s="41">
        <f t="shared" si="522"/>
        <v>0</v>
      </c>
      <c r="AW400" s="41" t="b">
        <f t="shared" si="523"/>
        <v>0</v>
      </c>
      <c r="AX400" t="str">
        <f t="shared" si="524"/>
        <v>+00</v>
      </c>
      <c r="AY400" t="str">
        <f t="shared" si="525"/>
        <v>+00</v>
      </c>
      <c r="BA400" s="47" t="b">
        <f t="shared" si="486"/>
        <v>1</v>
      </c>
      <c r="BB400" s="42" t="b">
        <f t="shared" si="487"/>
        <v>1</v>
      </c>
      <c r="BC400" s="42" t="b">
        <f t="shared" si="488"/>
        <v>0</v>
      </c>
      <c r="BD400" s="42" t="b">
        <f t="shared" si="489"/>
        <v>0</v>
      </c>
      <c r="BE400" s="70">
        <f t="shared" si="490"/>
        <v>0</v>
      </c>
      <c r="BF400" s="70">
        <f t="shared" si="491"/>
        <v>0</v>
      </c>
      <c r="BG400" s="34"/>
      <c r="BI400" s="47" t="b">
        <f t="shared" si="492"/>
        <v>1</v>
      </c>
      <c r="BJ400" s="47" t="b">
        <f t="shared" si="493"/>
        <v>1</v>
      </c>
      <c r="BK400" s="42" t="b">
        <f t="shared" si="494"/>
        <v>0</v>
      </c>
      <c r="BL400" s="42" t="b">
        <f t="shared" si="495"/>
        <v>0</v>
      </c>
      <c r="BM400" s="42">
        <f t="shared" si="496"/>
        <v>0</v>
      </c>
      <c r="BN400" s="42">
        <f t="shared" si="497"/>
        <v>0</v>
      </c>
      <c r="BP400" t="e">
        <f t="shared" si="498"/>
        <v>#N/A</v>
      </c>
      <c r="BQ400" t="e">
        <f t="shared" si="499"/>
        <v>#N/A</v>
      </c>
      <c r="BR400" t="e">
        <f t="shared" si="500"/>
        <v>#N/A</v>
      </c>
      <c r="BT400" s="60">
        <f t="shared" si="501"/>
        <v>0</v>
      </c>
      <c r="BU400" s="60">
        <f t="shared" si="502"/>
        <v>0</v>
      </c>
      <c r="BV400" s="60">
        <f t="shared" si="503"/>
        <v>0</v>
      </c>
      <c r="BW400" s="60">
        <f t="shared" si="504"/>
        <v>0</v>
      </c>
      <c r="BX400" s="60">
        <f t="shared" si="505"/>
        <v>0</v>
      </c>
      <c r="BY400" s="60">
        <f t="shared" si="506"/>
        <v>0</v>
      </c>
      <c r="BZ400" s="60">
        <f t="shared" si="507"/>
        <v>0</v>
      </c>
      <c r="CA400" s="60">
        <f t="shared" si="508"/>
        <v>0</v>
      </c>
      <c r="CB400" s="60" t="e">
        <f t="shared" si="526"/>
        <v>#N/A</v>
      </c>
      <c r="CC400" s="60">
        <f t="shared" si="527"/>
        <v>100000</v>
      </c>
      <c r="CD400" s="60" t="e">
        <f t="shared" si="528"/>
        <v>#N/A</v>
      </c>
      <c r="CE400" s="60">
        <f t="shared" si="529"/>
        <v>100000</v>
      </c>
      <c r="CF400" s="83" t="e">
        <f t="shared" si="509"/>
        <v>#N/A</v>
      </c>
      <c r="CG400" s="83">
        <f t="shared" si="510"/>
        <v>0</v>
      </c>
      <c r="CH400" s="83" t="e">
        <f t="shared" si="511"/>
        <v>#N/A</v>
      </c>
      <c r="CI400" s="83">
        <f t="shared" si="512"/>
        <v>0</v>
      </c>
      <c r="CJ400" s="86" t="e">
        <f t="shared" si="530"/>
        <v>#N/A</v>
      </c>
      <c r="CK400" s="82">
        <f t="shared" si="531"/>
        <v>5.3070370403969858E-3</v>
      </c>
      <c r="CL400" s="82" t="e">
        <f t="shared" si="532"/>
        <v>#N/A</v>
      </c>
      <c r="CM400" s="82">
        <f t="shared" si="533"/>
        <v>5.3070370403969858E-3</v>
      </c>
      <c r="CO400" s="149" t="str">
        <f>IF($I400&lt;&gt;"",IF(O400="User Specified",U400,INDEX('Refrigerant GWPs'!$G$2:$G$156,MATCH(O400,'Refrigerant GWPs'!$A$2:$A$156,0))),"")</f>
        <v/>
      </c>
      <c r="CP400" s="138" t="str">
        <f>IF($I400&lt;&gt;"",INDEX('Device Refrigerant Leakage'!$E$2:$E$42,MATCH($M400,'Device Refrigerant Leakage'!$B$2:$B$42,0)),"")</f>
        <v/>
      </c>
      <c r="CQ400" s="138" t="str">
        <f>IF($I400&lt;&gt;"",INDEX('Device Refrigerant Leakage'!$F$2:$F$42,MATCH($M400,'Device Refrigerant Leakage'!$B$2:$B$42,0)),"")</f>
        <v/>
      </c>
      <c r="CR400" s="145" t="str">
        <f>IF($I400&lt;&gt;"",INDEX('Device Refrigerant Leakage'!$G$2:$G$42,MATCH($M400,'Device Refrigerant Leakage'!$B$2:$B$42,0)),"")</f>
        <v/>
      </c>
      <c r="CS400" s="145" t="str">
        <f>IF($I400&lt;&gt;"",INDEX('Device Refrigerant Leakage'!$D$2:$D$42,MATCH($M400,'Device Refrigerant Leakage'!$B$2:$B$42,0))*CP400/2204.62*CO400,"")</f>
        <v/>
      </c>
      <c r="CT400" s="145" t="str">
        <f>IF($I400&lt;&gt;"",J400*(INDEX('Device Refrigerant Leakage'!$D$2:$D$42,MATCH($M400,'Device Refrigerant Leakage'!$B$2:$B$42,0))-(INDEX('Device Refrigerant Leakage'!$D$2:$D$42,MATCH($M400,'Device Refrigerant Leakage'!$B$2:$B$42,0)))*CR400*CP400)*CQ400/2204.62*CO400,"")</f>
        <v/>
      </c>
      <c r="CU400" s="135" t="str">
        <f>IF($I400&lt;&gt;"",J400*IF(W400&lt;&gt;"AR",(CS400*K400)+CT400,(CS400*AB400)+CT400*(AB400/INDEX('Device Refrigerant Leakage'!$C$2:$C$42,MATCH($M400,'Device Refrigerant Leakage'!$B$2:$B$42,0)))),"")</f>
        <v/>
      </c>
      <c r="CW400" s="135" t="str">
        <f>IF($I400&lt;&gt;"",IF(S400="User Specified",V400,INDEX('Refrigerant GWPs'!$G$2:$G$156,MATCH(S400,'Refrigerant GWPs'!$A$2:$A$157,0))),"")</f>
        <v/>
      </c>
      <c r="CX400" s="138" t="str">
        <f>IF($I400&lt;&gt;"",INDEX('Device Refrigerant Leakage'!$E$2:$E$42,MATCH($Q400,'Device Refrigerant Leakage'!$B$2:$B$42,0)),"")</f>
        <v/>
      </c>
      <c r="CY400" s="138" t="str">
        <f>IF($I400&lt;&gt;"",INDEX('Device Refrigerant Leakage'!$F$2:$F$42,MATCH($Q400,'Device Refrigerant Leakage'!$B$2:$B$42,0)),"")</f>
        <v/>
      </c>
      <c r="CZ400" s="145" t="str">
        <f>IF($I400&lt;&gt;"",INDEX('Device Refrigerant Leakage'!$G$2:$G$42,MATCH($Q400,'Device Refrigerant Leakage'!$B$2:$B$42,0)),"")</f>
        <v/>
      </c>
      <c r="DA400" s="145" t="str">
        <f>IF($I400&lt;&gt;"",J400*INDEX('Device Refrigerant Leakage'!$D$2:$D$42,MATCH($Q400,'Device Refrigerant Leakage'!$B$2:$B$42,0))*CX400/2204.62*CW400,"")</f>
        <v/>
      </c>
      <c r="DB400" s="145" t="str">
        <f>IF($I400&lt;&gt;"",J400*(INDEX('Device Refrigerant Leakage'!$D$2:$D$42,MATCH($Q400,'Device Refrigerant Leakage'!$B$2:$B$42,0))-(INDEX('Device Refrigerant Leakage'!$D$2:$D$42,MATCH($Q400,'Device Refrigerant Leakage'!$B$2:$B$42,0)))*CZ400*CX400)*CY400/2204.62*CW400,"")</f>
        <v/>
      </c>
      <c r="DC400" s="135" t="str">
        <f t="shared" ref="DC400:DC463" si="552">IF($I400&lt;&gt;"",(DA400*K400)+DB400,"")</f>
        <v/>
      </c>
      <c r="DE400" s="146" t="str">
        <f>IF(W400&lt;&gt;"AR","",IF(Y400="User Specified", AA400, INDEX('Refrigerant GWPs'!$G$2:$G$154,MATCH(Y400,'Refrigerant GWPs'!$A$2:$A$154,0))))</f>
        <v/>
      </c>
      <c r="DF400" s="146" t="str">
        <f>IF(W400&lt;&gt;"AR","",INDEX('Device Refrigerant Leakage'!$E$2:$E$42,MATCH(X400,'Device Refrigerant Leakage'!$B$2:$B$42,0)))</f>
        <v/>
      </c>
      <c r="DG400" s="146" t="str">
        <f>IF(W400&lt;&gt;"AR","",INDEX('Device Refrigerant Leakage'!$F$2:$F$42,MATCH(X400,'Device Refrigerant Leakage'!$B$2:$B$42,0)))</f>
        <v/>
      </c>
      <c r="DH400" s="146" t="str">
        <f>IF(W400&lt;&gt;"AR","",INDEX('Device Refrigerant Leakage'!$G$2:$G$42,MATCH(X400,'Device Refrigerant Leakage'!$B$2:$B$42,0)))</f>
        <v/>
      </c>
      <c r="DI400" s="146" t="str">
        <f>IF(W400&lt;&gt;"AR","",J400*INDEX('Device Refrigerant Leakage'!$D$2:$D$42,MATCH(X400,'Device Refrigerant Leakage'!$B$2:$B$42,0))*DF400/2204.62*DE400)</f>
        <v/>
      </c>
      <c r="DJ400" s="146" t="str">
        <f>IF(W400&lt;&gt;"AR","",J400*(INDEX('Device Refrigerant Leakage'!$D$2:$D$42,MATCH(X400,'Device Refrigerant Leakage'!$B$2:$B$42,0))-(INDEX('Device Refrigerant Leakage'!$D$2:$D$42,MATCH(X400,'Device Refrigerant Leakage'!$B$2:$B$42,0)))*DH400*DF400)*DG400/2204.62*DE400)</f>
        <v/>
      </c>
      <c r="DK400" s="146" t="str">
        <f>IF(W400&lt;&gt;"AR","",DI400*(K400-AB400)+'Fuel Sub Calcs-Deemed'!DJ400*((K400-AB400)/INDEX('Device Refrigerant Leakage'!$C$2:$C$42,MATCH('Fuel Sub Calcs-Deemed'!X400,'Device Refrigerant Leakage'!$B$2:$B$42,0))))</f>
        <v/>
      </c>
      <c r="DM400" s="56">
        <v>386</v>
      </c>
      <c r="DN400" s="67" t="e">
        <f t="shared" si="534"/>
        <v>#N/A</v>
      </c>
      <c r="DO400" s="45" t="e">
        <f t="shared" si="535"/>
        <v>#N/A</v>
      </c>
      <c r="DP400" s="67" t="e">
        <f t="shared" si="536"/>
        <v>#N/A</v>
      </c>
      <c r="DQ400" s="45" t="e">
        <f t="shared" si="537"/>
        <v>#N/A</v>
      </c>
      <c r="DR400" s="69" t="e">
        <f t="shared" si="538"/>
        <v>#N/A</v>
      </c>
      <c r="DS400" s="34"/>
      <c r="DT400" s="67" t="e">
        <f>((BX400*CJ400)+IF($W400=MAT_AR,(BZ400*CL400),0))*(1+Reference!$E$50+Reference!$E$51)</f>
        <v>#N/A</v>
      </c>
      <c r="DU400" s="67">
        <f>((BY400*CK400)+IF($W400=MAT_AR,(CA400*CM400),0))*(1+Reference!$G$50+Reference!$G$51)</f>
        <v>0</v>
      </c>
      <c r="DV400" s="67" t="e">
        <f t="shared" si="539"/>
        <v>#VALUE!</v>
      </c>
      <c r="DX400" s="56">
        <v>386</v>
      </c>
      <c r="DY400" s="67">
        <f t="shared" si="540"/>
        <v>0</v>
      </c>
      <c r="DZ400" s="45" t="e">
        <f>VLOOKUP($R400,Dropdown!$C$3:$D$4,2,FALSE)</f>
        <v>#N/A</v>
      </c>
      <c r="EA400" s="68">
        <f t="shared" si="541"/>
        <v>0</v>
      </c>
      <c r="EB400" s="68" t="str">
        <f t="shared" si="542"/>
        <v>N/A</v>
      </c>
      <c r="EC400" s="68">
        <f t="shared" si="543"/>
        <v>0</v>
      </c>
      <c r="ED400" s="68" t="str">
        <f t="shared" si="513"/>
        <v>N/A</v>
      </c>
      <c r="EF400" s="56">
        <v>386</v>
      </c>
      <c r="EG400" s="46">
        <f t="shared" si="544"/>
        <v>0</v>
      </c>
      <c r="EH400" s="68" t="e">
        <f t="shared" si="545"/>
        <v>#N/A</v>
      </c>
      <c r="EI400" s="68" t="e">
        <f t="shared" si="546"/>
        <v>#N/A</v>
      </c>
      <c r="EJ400" s="68" t="e">
        <f t="shared" si="547"/>
        <v>#N/A</v>
      </c>
      <c r="EK400" s="68" t="e">
        <f t="shared" si="548"/>
        <v>#N/A</v>
      </c>
      <c r="EL400" s="46">
        <f t="shared" si="549"/>
        <v>0</v>
      </c>
      <c r="EM400" s="46">
        <f t="shared" si="550"/>
        <v>0</v>
      </c>
    </row>
    <row r="401" spans="1:143">
      <c r="A401" s="89"/>
      <c r="B401" s="89"/>
      <c r="C401" s="89"/>
      <c r="D401" s="89"/>
      <c r="E401" s="89"/>
      <c r="F401" s="89"/>
      <c r="G401" s="34"/>
      <c r="H401" s="56">
        <f t="shared" si="551"/>
        <v>387</v>
      </c>
      <c r="I401" s="165"/>
      <c r="J401" s="163"/>
      <c r="K401" s="163"/>
      <c r="L401" s="164"/>
      <c r="M401" s="155"/>
      <c r="N401" s="155"/>
      <c r="O401" s="144"/>
      <c r="P401" s="159" t="str">
        <f>IFERROR(IF(O401&lt;&gt;"User Specified",IF(O401&lt;&gt;"", INDEX('Refrigerant GWPs'!$G$2:$G$154,MATCH(O401,'Refrigerant GWPs'!$A$2:$A$154,0)),""),U401),0)</f>
        <v/>
      </c>
      <c r="Q401" s="155"/>
      <c r="R401" s="155"/>
      <c r="S401" s="144"/>
      <c r="T401" s="159" t="str">
        <f>IF(S401&lt;&gt;"User Specified",IF(AND(S401&lt;&gt;"User Specified",S401&lt;&gt;""), INDEX('Refrigerant GWPs'!$G$2:$G$154,MATCH(S401,'Refrigerant GWPs'!$A$2:$A$154,0)),""),V401)</f>
        <v/>
      </c>
      <c r="U401" s="144"/>
      <c r="V401" s="144"/>
      <c r="W401" s="155"/>
      <c r="X401" s="155"/>
      <c r="Y401" s="144"/>
      <c r="Z401" s="159" t="str">
        <f>IF(AND(Y401&lt;&gt;"User Specified",Y401&lt;&gt;""), INDEX('Refrigerant GWPs'!$G$2:$G$154,MATCH(Y401,'Refrigerant GWPs'!$A$2:$A$154,0)),"")</f>
        <v/>
      </c>
      <c r="AA401" s="155"/>
      <c r="AB401" s="156"/>
      <c r="AC401" s="66"/>
      <c r="AD401" s="66"/>
      <c r="AE401" s="66"/>
      <c r="AF401" s="66"/>
      <c r="AG401" s="66"/>
      <c r="AH401" s="66"/>
      <c r="AI401" s="34"/>
      <c r="AJ401" s="88">
        <f t="shared" si="514"/>
        <v>0</v>
      </c>
      <c r="AK401" s="88">
        <f t="shared" si="515"/>
        <v>0</v>
      </c>
      <c r="AL401" s="88">
        <v>0</v>
      </c>
      <c r="AM401" s="88">
        <v>0</v>
      </c>
      <c r="AN401" s="81" t="str">
        <f t="shared" si="485"/>
        <v/>
      </c>
      <c r="AO401" s="88">
        <f t="shared" si="516"/>
        <v>0</v>
      </c>
      <c r="AP401" s="88">
        <f t="shared" si="517"/>
        <v>0</v>
      </c>
      <c r="AQ401" s="81" t="str">
        <f t="shared" si="518"/>
        <v/>
      </c>
      <c r="AS401" s="41" t="b">
        <f t="shared" si="519"/>
        <v>1</v>
      </c>
      <c r="AT401" s="38">
        <f t="shared" si="520"/>
        <v>0</v>
      </c>
      <c r="AU401" s="60">
        <f t="shared" si="521"/>
        <v>0</v>
      </c>
      <c r="AV401" s="41">
        <f t="shared" si="522"/>
        <v>0</v>
      </c>
      <c r="AW401" s="41" t="b">
        <f t="shared" si="523"/>
        <v>0</v>
      </c>
      <c r="AX401" t="str">
        <f t="shared" si="524"/>
        <v>+00</v>
      </c>
      <c r="AY401" t="str">
        <f t="shared" si="525"/>
        <v>+00</v>
      </c>
      <c r="BA401" s="47" t="b">
        <f t="shared" si="486"/>
        <v>1</v>
      </c>
      <c r="BB401" s="42" t="b">
        <f t="shared" si="487"/>
        <v>1</v>
      </c>
      <c r="BC401" s="42" t="b">
        <f t="shared" si="488"/>
        <v>0</v>
      </c>
      <c r="BD401" s="42" t="b">
        <f t="shared" si="489"/>
        <v>0</v>
      </c>
      <c r="BE401" s="70">
        <f t="shared" si="490"/>
        <v>0</v>
      </c>
      <c r="BF401" s="70">
        <f t="shared" si="491"/>
        <v>0</v>
      </c>
      <c r="BG401" s="34"/>
      <c r="BI401" s="47" t="b">
        <f t="shared" si="492"/>
        <v>1</v>
      </c>
      <c r="BJ401" s="47" t="b">
        <f t="shared" si="493"/>
        <v>1</v>
      </c>
      <c r="BK401" s="42" t="b">
        <f t="shared" si="494"/>
        <v>0</v>
      </c>
      <c r="BL401" s="42" t="b">
        <f t="shared" si="495"/>
        <v>0</v>
      </c>
      <c r="BM401" s="42">
        <f t="shared" si="496"/>
        <v>0</v>
      </c>
      <c r="BN401" s="42">
        <f t="shared" si="497"/>
        <v>0</v>
      </c>
      <c r="BP401" t="e">
        <f t="shared" si="498"/>
        <v>#N/A</v>
      </c>
      <c r="BQ401" t="e">
        <f t="shared" si="499"/>
        <v>#N/A</v>
      </c>
      <c r="BR401" t="e">
        <f t="shared" si="500"/>
        <v>#N/A</v>
      </c>
      <c r="BT401" s="60">
        <f t="shared" si="501"/>
        <v>0</v>
      </c>
      <c r="BU401" s="60">
        <f t="shared" si="502"/>
        <v>0</v>
      </c>
      <c r="BV401" s="60">
        <f t="shared" si="503"/>
        <v>0</v>
      </c>
      <c r="BW401" s="60">
        <f t="shared" si="504"/>
        <v>0</v>
      </c>
      <c r="BX401" s="60">
        <f t="shared" si="505"/>
        <v>0</v>
      </c>
      <c r="BY401" s="60">
        <f t="shared" si="506"/>
        <v>0</v>
      </c>
      <c r="BZ401" s="60">
        <f t="shared" si="507"/>
        <v>0</v>
      </c>
      <c r="CA401" s="60">
        <f t="shared" si="508"/>
        <v>0</v>
      </c>
      <c r="CB401" s="60" t="e">
        <f t="shared" si="526"/>
        <v>#N/A</v>
      </c>
      <c r="CC401" s="60">
        <f t="shared" si="527"/>
        <v>100000</v>
      </c>
      <c r="CD401" s="60" t="e">
        <f t="shared" si="528"/>
        <v>#N/A</v>
      </c>
      <c r="CE401" s="60">
        <f t="shared" si="529"/>
        <v>100000</v>
      </c>
      <c r="CF401" s="83" t="e">
        <f t="shared" si="509"/>
        <v>#N/A</v>
      </c>
      <c r="CG401" s="83">
        <f t="shared" si="510"/>
        <v>0</v>
      </c>
      <c r="CH401" s="83" t="e">
        <f t="shared" si="511"/>
        <v>#N/A</v>
      </c>
      <c r="CI401" s="83">
        <f t="shared" si="512"/>
        <v>0</v>
      </c>
      <c r="CJ401" s="86" t="e">
        <f t="shared" si="530"/>
        <v>#N/A</v>
      </c>
      <c r="CK401" s="82">
        <f t="shared" si="531"/>
        <v>5.3070370403969858E-3</v>
      </c>
      <c r="CL401" s="82" t="e">
        <f t="shared" si="532"/>
        <v>#N/A</v>
      </c>
      <c r="CM401" s="82">
        <f t="shared" si="533"/>
        <v>5.3070370403969858E-3</v>
      </c>
      <c r="CO401" s="149" t="str">
        <f>IF($I401&lt;&gt;"",IF(O401="User Specified",U401,INDEX('Refrigerant GWPs'!$G$2:$G$156,MATCH(O401,'Refrigerant GWPs'!$A$2:$A$156,0))),"")</f>
        <v/>
      </c>
      <c r="CP401" s="138" t="str">
        <f>IF($I401&lt;&gt;"",INDEX('Device Refrigerant Leakage'!$E$2:$E$42,MATCH($M401,'Device Refrigerant Leakage'!$B$2:$B$42,0)),"")</f>
        <v/>
      </c>
      <c r="CQ401" s="138" t="str">
        <f>IF($I401&lt;&gt;"",INDEX('Device Refrigerant Leakage'!$F$2:$F$42,MATCH($M401,'Device Refrigerant Leakage'!$B$2:$B$42,0)),"")</f>
        <v/>
      </c>
      <c r="CR401" s="145" t="str">
        <f>IF($I401&lt;&gt;"",INDEX('Device Refrigerant Leakage'!$G$2:$G$42,MATCH($M401,'Device Refrigerant Leakage'!$B$2:$B$42,0)),"")</f>
        <v/>
      </c>
      <c r="CS401" s="145" t="str">
        <f>IF($I401&lt;&gt;"",INDEX('Device Refrigerant Leakage'!$D$2:$D$42,MATCH($M401,'Device Refrigerant Leakage'!$B$2:$B$42,0))*CP401/2204.62*CO401,"")</f>
        <v/>
      </c>
      <c r="CT401" s="145" t="str">
        <f>IF($I401&lt;&gt;"",J401*(INDEX('Device Refrigerant Leakage'!$D$2:$D$42,MATCH($M401,'Device Refrigerant Leakage'!$B$2:$B$42,0))-(INDEX('Device Refrigerant Leakage'!$D$2:$D$42,MATCH($M401,'Device Refrigerant Leakage'!$B$2:$B$42,0)))*CR401*CP401)*CQ401/2204.62*CO401,"")</f>
        <v/>
      </c>
      <c r="CU401" s="135" t="str">
        <f>IF($I401&lt;&gt;"",J401*IF(W401&lt;&gt;"AR",(CS401*K401)+CT401,(CS401*AB401)+CT401*(AB401/INDEX('Device Refrigerant Leakage'!$C$2:$C$42,MATCH($M401,'Device Refrigerant Leakage'!$B$2:$B$42,0)))),"")</f>
        <v/>
      </c>
      <c r="CW401" s="135" t="str">
        <f>IF($I401&lt;&gt;"",IF(S401="User Specified",V401,INDEX('Refrigerant GWPs'!$G$2:$G$156,MATCH(S401,'Refrigerant GWPs'!$A$2:$A$157,0))),"")</f>
        <v/>
      </c>
      <c r="CX401" s="138" t="str">
        <f>IF($I401&lt;&gt;"",INDEX('Device Refrigerant Leakage'!$E$2:$E$42,MATCH($Q401,'Device Refrigerant Leakage'!$B$2:$B$42,0)),"")</f>
        <v/>
      </c>
      <c r="CY401" s="138" t="str">
        <f>IF($I401&lt;&gt;"",INDEX('Device Refrigerant Leakage'!$F$2:$F$42,MATCH($Q401,'Device Refrigerant Leakage'!$B$2:$B$42,0)),"")</f>
        <v/>
      </c>
      <c r="CZ401" s="145" t="str">
        <f>IF($I401&lt;&gt;"",INDEX('Device Refrigerant Leakage'!$G$2:$G$42,MATCH($Q401,'Device Refrigerant Leakage'!$B$2:$B$42,0)),"")</f>
        <v/>
      </c>
      <c r="DA401" s="145" t="str">
        <f>IF($I401&lt;&gt;"",J401*INDEX('Device Refrigerant Leakage'!$D$2:$D$42,MATCH($Q401,'Device Refrigerant Leakage'!$B$2:$B$42,0))*CX401/2204.62*CW401,"")</f>
        <v/>
      </c>
      <c r="DB401" s="145" t="str">
        <f>IF($I401&lt;&gt;"",J401*(INDEX('Device Refrigerant Leakage'!$D$2:$D$42,MATCH($Q401,'Device Refrigerant Leakage'!$B$2:$B$42,0))-(INDEX('Device Refrigerant Leakage'!$D$2:$D$42,MATCH($Q401,'Device Refrigerant Leakage'!$B$2:$B$42,0)))*CZ401*CX401)*CY401/2204.62*CW401,"")</f>
        <v/>
      </c>
      <c r="DC401" s="135" t="str">
        <f t="shared" si="552"/>
        <v/>
      </c>
      <c r="DE401" s="146" t="str">
        <f>IF(W401&lt;&gt;"AR","",IF(Y401="User Specified", AA401, INDEX('Refrigerant GWPs'!$G$2:$G$154,MATCH(Y401,'Refrigerant GWPs'!$A$2:$A$154,0))))</f>
        <v/>
      </c>
      <c r="DF401" s="146" t="str">
        <f>IF(W401&lt;&gt;"AR","",INDEX('Device Refrigerant Leakage'!$E$2:$E$42,MATCH(X401,'Device Refrigerant Leakage'!$B$2:$B$42,0)))</f>
        <v/>
      </c>
      <c r="DG401" s="146" t="str">
        <f>IF(W401&lt;&gt;"AR","",INDEX('Device Refrigerant Leakage'!$F$2:$F$42,MATCH(X401,'Device Refrigerant Leakage'!$B$2:$B$42,0)))</f>
        <v/>
      </c>
      <c r="DH401" s="146" t="str">
        <f>IF(W401&lt;&gt;"AR","",INDEX('Device Refrigerant Leakage'!$G$2:$G$42,MATCH(X401,'Device Refrigerant Leakage'!$B$2:$B$42,0)))</f>
        <v/>
      </c>
      <c r="DI401" s="146" t="str">
        <f>IF(W401&lt;&gt;"AR","",J401*INDEX('Device Refrigerant Leakage'!$D$2:$D$42,MATCH(X401,'Device Refrigerant Leakage'!$B$2:$B$42,0))*DF401/2204.62*DE401)</f>
        <v/>
      </c>
      <c r="DJ401" s="146" t="str">
        <f>IF(W401&lt;&gt;"AR","",J401*(INDEX('Device Refrigerant Leakage'!$D$2:$D$42,MATCH(X401,'Device Refrigerant Leakage'!$B$2:$B$42,0))-(INDEX('Device Refrigerant Leakage'!$D$2:$D$42,MATCH(X401,'Device Refrigerant Leakage'!$B$2:$B$42,0)))*DH401*DF401)*DG401/2204.62*DE401)</f>
        <v/>
      </c>
      <c r="DK401" s="146" t="str">
        <f>IF(W401&lt;&gt;"AR","",DI401*(K401-AB401)+'Fuel Sub Calcs-Deemed'!DJ401*((K401-AB401)/INDEX('Device Refrigerant Leakage'!$C$2:$C$42,MATCH('Fuel Sub Calcs-Deemed'!X401,'Device Refrigerant Leakage'!$B$2:$B$42,0))))</f>
        <v/>
      </c>
      <c r="DM401" s="56">
        <v>387</v>
      </c>
      <c r="DN401" s="67" t="e">
        <f t="shared" si="534"/>
        <v>#N/A</v>
      </c>
      <c r="DO401" s="45" t="e">
        <f t="shared" si="535"/>
        <v>#N/A</v>
      </c>
      <c r="DP401" s="67" t="e">
        <f t="shared" si="536"/>
        <v>#N/A</v>
      </c>
      <c r="DQ401" s="45" t="e">
        <f t="shared" si="537"/>
        <v>#N/A</v>
      </c>
      <c r="DR401" s="69" t="e">
        <f t="shared" si="538"/>
        <v>#N/A</v>
      </c>
      <c r="DS401" s="34"/>
      <c r="DT401" s="67" t="e">
        <f>((BX401*CJ401)+IF($W401=MAT_AR,(BZ401*CL401),0))*(1+Reference!$E$50+Reference!$E$51)</f>
        <v>#N/A</v>
      </c>
      <c r="DU401" s="67">
        <f>((BY401*CK401)+IF($W401=MAT_AR,(CA401*CM401),0))*(1+Reference!$G$50+Reference!$G$51)</f>
        <v>0</v>
      </c>
      <c r="DV401" s="67" t="e">
        <f t="shared" si="539"/>
        <v>#VALUE!</v>
      </c>
      <c r="DX401" s="56">
        <v>387</v>
      </c>
      <c r="DY401" s="67">
        <f t="shared" si="540"/>
        <v>0</v>
      </c>
      <c r="DZ401" s="45" t="e">
        <f>VLOOKUP($R401,Dropdown!$C$3:$D$4,2,FALSE)</f>
        <v>#N/A</v>
      </c>
      <c r="EA401" s="68">
        <f t="shared" si="541"/>
        <v>0</v>
      </c>
      <c r="EB401" s="68" t="str">
        <f t="shared" si="542"/>
        <v>N/A</v>
      </c>
      <c r="EC401" s="68">
        <f t="shared" si="543"/>
        <v>0</v>
      </c>
      <c r="ED401" s="68" t="str">
        <f t="shared" si="513"/>
        <v>N/A</v>
      </c>
      <c r="EF401" s="56">
        <v>387</v>
      </c>
      <c r="EG401" s="46">
        <f t="shared" si="544"/>
        <v>0</v>
      </c>
      <c r="EH401" s="68" t="e">
        <f t="shared" si="545"/>
        <v>#N/A</v>
      </c>
      <c r="EI401" s="68" t="e">
        <f t="shared" si="546"/>
        <v>#N/A</v>
      </c>
      <c r="EJ401" s="68" t="e">
        <f t="shared" si="547"/>
        <v>#N/A</v>
      </c>
      <c r="EK401" s="68" t="e">
        <f t="shared" si="548"/>
        <v>#N/A</v>
      </c>
      <c r="EL401" s="46">
        <f t="shared" si="549"/>
        <v>0</v>
      </c>
      <c r="EM401" s="46">
        <f t="shared" si="550"/>
        <v>0</v>
      </c>
    </row>
    <row r="402" spans="1:143">
      <c r="A402" s="89"/>
      <c r="B402" s="89"/>
      <c r="C402" s="89"/>
      <c r="D402" s="89"/>
      <c r="E402" s="89"/>
      <c r="F402" s="89"/>
      <c r="G402" s="34"/>
      <c r="H402" s="56">
        <f t="shared" si="551"/>
        <v>388</v>
      </c>
      <c r="I402" s="165"/>
      <c r="J402" s="163"/>
      <c r="K402" s="163"/>
      <c r="L402" s="164"/>
      <c r="M402" s="155"/>
      <c r="N402" s="155"/>
      <c r="O402" s="144"/>
      <c r="P402" s="159" t="str">
        <f>IFERROR(IF(O402&lt;&gt;"User Specified",IF(O402&lt;&gt;"", INDEX('Refrigerant GWPs'!$G$2:$G$154,MATCH(O402,'Refrigerant GWPs'!$A$2:$A$154,0)),""),U402),0)</f>
        <v/>
      </c>
      <c r="Q402" s="155"/>
      <c r="R402" s="155"/>
      <c r="S402" s="144"/>
      <c r="T402" s="159" t="str">
        <f>IF(S402&lt;&gt;"User Specified",IF(AND(S402&lt;&gt;"User Specified",S402&lt;&gt;""), INDEX('Refrigerant GWPs'!$G$2:$G$154,MATCH(S402,'Refrigerant GWPs'!$A$2:$A$154,0)),""),V402)</f>
        <v/>
      </c>
      <c r="U402" s="144"/>
      <c r="V402" s="144"/>
      <c r="W402" s="155"/>
      <c r="X402" s="155"/>
      <c r="Y402" s="144"/>
      <c r="Z402" s="159" t="str">
        <f>IF(AND(Y402&lt;&gt;"User Specified",Y402&lt;&gt;""), INDEX('Refrigerant GWPs'!$G$2:$G$154,MATCH(Y402,'Refrigerant GWPs'!$A$2:$A$154,0)),"")</f>
        <v/>
      </c>
      <c r="AA402" s="155"/>
      <c r="AB402" s="156"/>
      <c r="AC402" s="66"/>
      <c r="AD402" s="66"/>
      <c r="AE402" s="66"/>
      <c r="AF402" s="66"/>
      <c r="AG402" s="66"/>
      <c r="AH402" s="66"/>
      <c r="AI402" s="34"/>
      <c r="AJ402" s="88">
        <f t="shared" si="514"/>
        <v>0</v>
      </c>
      <c r="AK402" s="88">
        <f t="shared" si="515"/>
        <v>0</v>
      </c>
      <c r="AL402" s="88">
        <v>0</v>
      </c>
      <c r="AM402" s="88">
        <v>0</v>
      </c>
      <c r="AN402" s="81" t="str">
        <f t="shared" si="485"/>
        <v/>
      </c>
      <c r="AO402" s="88">
        <f t="shared" si="516"/>
        <v>0</v>
      </c>
      <c r="AP402" s="88">
        <f t="shared" si="517"/>
        <v>0</v>
      </c>
      <c r="AQ402" s="81" t="str">
        <f t="shared" si="518"/>
        <v/>
      </c>
      <c r="AS402" s="41" t="b">
        <f t="shared" si="519"/>
        <v>1</v>
      </c>
      <c r="AT402" s="38">
        <f t="shared" si="520"/>
        <v>0</v>
      </c>
      <c r="AU402" s="60">
        <f t="shared" si="521"/>
        <v>0</v>
      </c>
      <c r="AV402" s="41">
        <f t="shared" si="522"/>
        <v>0</v>
      </c>
      <c r="AW402" s="41" t="b">
        <f t="shared" si="523"/>
        <v>0</v>
      </c>
      <c r="AX402" t="str">
        <f t="shared" si="524"/>
        <v>+00</v>
      </c>
      <c r="AY402" t="str">
        <f t="shared" si="525"/>
        <v>+00</v>
      </c>
      <c r="BA402" s="47" t="b">
        <f t="shared" si="486"/>
        <v>1</v>
      </c>
      <c r="BB402" s="42" t="b">
        <f t="shared" si="487"/>
        <v>1</v>
      </c>
      <c r="BC402" s="42" t="b">
        <f t="shared" si="488"/>
        <v>0</v>
      </c>
      <c r="BD402" s="42" t="b">
        <f t="shared" si="489"/>
        <v>0</v>
      </c>
      <c r="BE402" s="70">
        <f t="shared" si="490"/>
        <v>0</v>
      </c>
      <c r="BF402" s="70">
        <f t="shared" si="491"/>
        <v>0</v>
      </c>
      <c r="BG402" s="34"/>
      <c r="BI402" s="47" t="b">
        <f t="shared" si="492"/>
        <v>1</v>
      </c>
      <c r="BJ402" s="47" t="b">
        <f t="shared" si="493"/>
        <v>1</v>
      </c>
      <c r="BK402" s="42" t="b">
        <f t="shared" si="494"/>
        <v>0</v>
      </c>
      <c r="BL402" s="42" t="b">
        <f t="shared" si="495"/>
        <v>0</v>
      </c>
      <c r="BM402" s="42">
        <f t="shared" si="496"/>
        <v>0</v>
      </c>
      <c r="BN402" s="42">
        <f t="shared" si="497"/>
        <v>0</v>
      </c>
      <c r="BP402" t="e">
        <f t="shared" si="498"/>
        <v>#N/A</v>
      </c>
      <c r="BQ402" t="e">
        <f t="shared" si="499"/>
        <v>#N/A</v>
      </c>
      <c r="BR402" t="e">
        <f t="shared" si="500"/>
        <v>#N/A</v>
      </c>
      <c r="BT402" s="60">
        <f t="shared" si="501"/>
        <v>0</v>
      </c>
      <c r="BU402" s="60">
        <f t="shared" si="502"/>
        <v>0</v>
      </c>
      <c r="BV402" s="60">
        <f t="shared" si="503"/>
        <v>0</v>
      </c>
      <c r="BW402" s="60">
        <f t="shared" si="504"/>
        <v>0</v>
      </c>
      <c r="BX402" s="60">
        <f t="shared" si="505"/>
        <v>0</v>
      </c>
      <c r="BY402" s="60">
        <f t="shared" si="506"/>
        <v>0</v>
      </c>
      <c r="BZ402" s="60">
        <f t="shared" si="507"/>
        <v>0</v>
      </c>
      <c r="CA402" s="60">
        <f t="shared" si="508"/>
        <v>0</v>
      </c>
      <c r="CB402" s="60" t="e">
        <f t="shared" si="526"/>
        <v>#N/A</v>
      </c>
      <c r="CC402" s="60">
        <f t="shared" si="527"/>
        <v>100000</v>
      </c>
      <c r="CD402" s="60" t="e">
        <f t="shared" si="528"/>
        <v>#N/A</v>
      </c>
      <c r="CE402" s="60">
        <f t="shared" si="529"/>
        <v>100000</v>
      </c>
      <c r="CF402" s="83" t="e">
        <f t="shared" si="509"/>
        <v>#N/A</v>
      </c>
      <c r="CG402" s="83">
        <f t="shared" si="510"/>
        <v>0</v>
      </c>
      <c r="CH402" s="83" t="e">
        <f t="shared" si="511"/>
        <v>#N/A</v>
      </c>
      <c r="CI402" s="83">
        <f t="shared" si="512"/>
        <v>0</v>
      </c>
      <c r="CJ402" s="86" t="e">
        <f t="shared" si="530"/>
        <v>#N/A</v>
      </c>
      <c r="CK402" s="82">
        <f t="shared" si="531"/>
        <v>5.3070370403969858E-3</v>
      </c>
      <c r="CL402" s="82" t="e">
        <f t="shared" si="532"/>
        <v>#N/A</v>
      </c>
      <c r="CM402" s="82">
        <f t="shared" si="533"/>
        <v>5.3070370403969858E-3</v>
      </c>
      <c r="CO402" s="149" t="str">
        <f>IF($I402&lt;&gt;"",IF(O402="User Specified",U402,INDEX('Refrigerant GWPs'!$G$2:$G$156,MATCH(O402,'Refrigerant GWPs'!$A$2:$A$156,0))),"")</f>
        <v/>
      </c>
      <c r="CP402" s="138" t="str">
        <f>IF($I402&lt;&gt;"",INDEX('Device Refrigerant Leakage'!$E$2:$E$42,MATCH($M402,'Device Refrigerant Leakage'!$B$2:$B$42,0)),"")</f>
        <v/>
      </c>
      <c r="CQ402" s="138" t="str">
        <f>IF($I402&lt;&gt;"",INDEX('Device Refrigerant Leakage'!$F$2:$F$42,MATCH($M402,'Device Refrigerant Leakage'!$B$2:$B$42,0)),"")</f>
        <v/>
      </c>
      <c r="CR402" s="145" t="str">
        <f>IF($I402&lt;&gt;"",INDEX('Device Refrigerant Leakage'!$G$2:$G$42,MATCH($M402,'Device Refrigerant Leakage'!$B$2:$B$42,0)),"")</f>
        <v/>
      </c>
      <c r="CS402" s="145" t="str">
        <f>IF($I402&lt;&gt;"",INDEX('Device Refrigerant Leakage'!$D$2:$D$42,MATCH($M402,'Device Refrigerant Leakage'!$B$2:$B$42,0))*CP402/2204.62*CO402,"")</f>
        <v/>
      </c>
      <c r="CT402" s="145" t="str">
        <f>IF($I402&lt;&gt;"",J402*(INDEX('Device Refrigerant Leakage'!$D$2:$D$42,MATCH($M402,'Device Refrigerant Leakage'!$B$2:$B$42,0))-(INDEX('Device Refrigerant Leakage'!$D$2:$D$42,MATCH($M402,'Device Refrigerant Leakage'!$B$2:$B$42,0)))*CR402*CP402)*CQ402/2204.62*CO402,"")</f>
        <v/>
      </c>
      <c r="CU402" s="135" t="str">
        <f>IF($I402&lt;&gt;"",J402*IF(W402&lt;&gt;"AR",(CS402*K402)+CT402,(CS402*AB402)+CT402*(AB402/INDEX('Device Refrigerant Leakage'!$C$2:$C$42,MATCH($M402,'Device Refrigerant Leakage'!$B$2:$B$42,0)))),"")</f>
        <v/>
      </c>
      <c r="CW402" s="135" t="str">
        <f>IF($I402&lt;&gt;"",IF(S402="User Specified",V402,INDEX('Refrigerant GWPs'!$G$2:$G$156,MATCH(S402,'Refrigerant GWPs'!$A$2:$A$157,0))),"")</f>
        <v/>
      </c>
      <c r="CX402" s="138" t="str">
        <f>IF($I402&lt;&gt;"",INDEX('Device Refrigerant Leakage'!$E$2:$E$42,MATCH($Q402,'Device Refrigerant Leakage'!$B$2:$B$42,0)),"")</f>
        <v/>
      </c>
      <c r="CY402" s="138" t="str">
        <f>IF($I402&lt;&gt;"",INDEX('Device Refrigerant Leakage'!$F$2:$F$42,MATCH($Q402,'Device Refrigerant Leakage'!$B$2:$B$42,0)),"")</f>
        <v/>
      </c>
      <c r="CZ402" s="145" t="str">
        <f>IF($I402&lt;&gt;"",INDEX('Device Refrigerant Leakage'!$G$2:$G$42,MATCH($Q402,'Device Refrigerant Leakage'!$B$2:$B$42,0)),"")</f>
        <v/>
      </c>
      <c r="DA402" s="145" t="str">
        <f>IF($I402&lt;&gt;"",J402*INDEX('Device Refrigerant Leakage'!$D$2:$D$42,MATCH($Q402,'Device Refrigerant Leakage'!$B$2:$B$42,0))*CX402/2204.62*CW402,"")</f>
        <v/>
      </c>
      <c r="DB402" s="145" t="str">
        <f>IF($I402&lt;&gt;"",J402*(INDEX('Device Refrigerant Leakage'!$D$2:$D$42,MATCH($Q402,'Device Refrigerant Leakage'!$B$2:$B$42,0))-(INDEX('Device Refrigerant Leakage'!$D$2:$D$42,MATCH($Q402,'Device Refrigerant Leakage'!$B$2:$B$42,0)))*CZ402*CX402)*CY402/2204.62*CW402,"")</f>
        <v/>
      </c>
      <c r="DC402" s="135" t="str">
        <f t="shared" si="552"/>
        <v/>
      </c>
      <c r="DE402" s="146" t="str">
        <f>IF(W402&lt;&gt;"AR","",IF(Y402="User Specified", AA402, INDEX('Refrigerant GWPs'!$G$2:$G$154,MATCH(Y402,'Refrigerant GWPs'!$A$2:$A$154,0))))</f>
        <v/>
      </c>
      <c r="DF402" s="146" t="str">
        <f>IF(W402&lt;&gt;"AR","",INDEX('Device Refrigerant Leakage'!$E$2:$E$42,MATCH(X402,'Device Refrigerant Leakage'!$B$2:$B$42,0)))</f>
        <v/>
      </c>
      <c r="DG402" s="146" t="str">
        <f>IF(W402&lt;&gt;"AR","",INDEX('Device Refrigerant Leakage'!$F$2:$F$42,MATCH(X402,'Device Refrigerant Leakage'!$B$2:$B$42,0)))</f>
        <v/>
      </c>
      <c r="DH402" s="146" t="str">
        <f>IF(W402&lt;&gt;"AR","",INDEX('Device Refrigerant Leakage'!$G$2:$G$42,MATCH(X402,'Device Refrigerant Leakage'!$B$2:$B$42,0)))</f>
        <v/>
      </c>
      <c r="DI402" s="146" t="str">
        <f>IF(W402&lt;&gt;"AR","",J402*INDEX('Device Refrigerant Leakage'!$D$2:$D$42,MATCH(X402,'Device Refrigerant Leakage'!$B$2:$B$42,0))*DF402/2204.62*DE402)</f>
        <v/>
      </c>
      <c r="DJ402" s="146" t="str">
        <f>IF(W402&lt;&gt;"AR","",J402*(INDEX('Device Refrigerant Leakage'!$D$2:$D$42,MATCH(X402,'Device Refrigerant Leakage'!$B$2:$B$42,0))-(INDEX('Device Refrigerant Leakage'!$D$2:$D$42,MATCH(X402,'Device Refrigerant Leakage'!$B$2:$B$42,0)))*DH402*DF402)*DG402/2204.62*DE402)</f>
        <v/>
      </c>
      <c r="DK402" s="146" t="str">
        <f>IF(W402&lt;&gt;"AR","",DI402*(K402-AB402)+'Fuel Sub Calcs-Deemed'!DJ402*((K402-AB402)/INDEX('Device Refrigerant Leakage'!$C$2:$C$42,MATCH('Fuel Sub Calcs-Deemed'!X402,'Device Refrigerant Leakage'!$B$2:$B$42,0))))</f>
        <v/>
      </c>
      <c r="DM402" s="56">
        <v>388</v>
      </c>
      <c r="DN402" s="67" t="e">
        <f t="shared" si="534"/>
        <v>#N/A</v>
      </c>
      <c r="DO402" s="45" t="e">
        <f t="shared" si="535"/>
        <v>#N/A</v>
      </c>
      <c r="DP402" s="67" t="e">
        <f t="shared" si="536"/>
        <v>#N/A</v>
      </c>
      <c r="DQ402" s="45" t="e">
        <f t="shared" si="537"/>
        <v>#N/A</v>
      </c>
      <c r="DR402" s="69" t="e">
        <f t="shared" si="538"/>
        <v>#N/A</v>
      </c>
      <c r="DS402" s="34"/>
      <c r="DT402" s="67" t="e">
        <f>((BX402*CJ402)+IF($W402=MAT_AR,(BZ402*CL402),0))*(1+Reference!$E$50+Reference!$E$51)</f>
        <v>#N/A</v>
      </c>
      <c r="DU402" s="67">
        <f>((BY402*CK402)+IF($W402=MAT_AR,(CA402*CM402),0))*(1+Reference!$G$50+Reference!$G$51)</f>
        <v>0</v>
      </c>
      <c r="DV402" s="67" t="e">
        <f t="shared" si="539"/>
        <v>#VALUE!</v>
      </c>
      <c r="DX402" s="56">
        <v>388</v>
      </c>
      <c r="DY402" s="67">
        <f t="shared" si="540"/>
        <v>0</v>
      </c>
      <c r="DZ402" s="45" t="e">
        <f>VLOOKUP($R402,Dropdown!$C$3:$D$4,2,FALSE)</f>
        <v>#N/A</v>
      </c>
      <c r="EA402" s="68">
        <f t="shared" si="541"/>
        <v>0</v>
      </c>
      <c r="EB402" s="68" t="str">
        <f t="shared" si="542"/>
        <v>N/A</v>
      </c>
      <c r="EC402" s="68">
        <f t="shared" si="543"/>
        <v>0</v>
      </c>
      <c r="ED402" s="68" t="str">
        <f t="shared" si="513"/>
        <v>N/A</v>
      </c>
      <c r="EF402" s="56">
        <v>388</v>
      </c>
      <c r="EG402" s="46">
        <f t="shared" si="544"/>
        <v>0</v>
      </c>
      <c r="EH402" s="68" t="e">
        <f t="shared" si="545"/>
        <v>#N/A</v>
      </c>
      <c r="EI402" s="68" t="e">
        <f t="shared" si="546"/>
        <v>#N/A</v>
      </c>
      <c r="EJ402" s="68" t="e">
        <f t="shared" si="547"/>
        <v>#N/A</v>
      </c>
      <c r="EK402" s="68" t="e">
        <f t="shared" si="548"/>
        <v>#N/A</v>
      </c>
      <c r="EL402" s="46">
        <f t="shared" si="549"/>
        <v>0</v>
      </c>
      <c r="EM402" s="46">
        <f t="shared" si="550"/>
        <v>0</v>
      </c>
    </row>
    <row r="403" spans="1:143">
      <c r="A403" s="89"/>
      <c r="B403" s="89"/>
      <c r="C403" s="89"/>
      <c r="D403" s="89"/>
      <c r="E403" s="89"/>
      <c r="F403" s="89"/>
      <c r="G403" s="34"/>
      <c r="H403" s="56">
        <f t="shared" si="551"/>
        <v>389</v>
      </c>
      <c r="I403" s="165"/>
      <c r="J403" s="163"/>
      <c r="K403" s="163"/>
      <c r="L403" s="164"/>
      <c r="M403" s="155"/>
      <c r="N403" s="155"/>
      <c r="O403" s="144"/>
      <c r="P403" s="159" t="str">
        <f>IFERROR(IF(O403&lt;&gt;"User Specified",IF(O403&lt;&gt;"", INDEX('Refrigerant GWPs'!$G$2:$G$154,MATCH(O403,'Refrigerant GWPs'!$A$2:$A$154,0)),""),U403),0)</f>
        <v/>
      </c>
      <c r="Q403" s="155"/>
      <c r="R403" s="155"/>
      <c r="S403" s="144"/>
      <c r="T403" s="159" t="str">
        <f>IF(S403&lt;&gt;"User Specified",IF(AND(S403&lt;&gt;"User Specified",S403&lt;&gt;""), INDEX('Refrigerant GWPs'!$G$2:$G$154,MATCH(S403,'Refrigerant GWPs'!$A$2:$A$154,0)),""),V403)</f>
        <v/>
      </c>
      <c r="U403" s="144"/>
      <c r="V403" s="144"/>
      <c r="W403" s="155"/>
      <c r="X403" s="155"/>
      <c r="Y403" s="144"/>
      <c r="Z403" s="159" t="str">
        <f>IF(AND(Y403&lt;&gt;"User Specified",Y403&lt;&gt;""), INDEX('Refrigerant GWPs'!$G$2:$G$154,MATCH(Y403,'Refrigerant GWPs'!$A$2:$A$154,0)),"")</f>
        <v/>
      </c>
      <c r="AA403" s="155"/>
      <c r="AB403" s="156"/>
      <c r="AC403" s="66"/>
      <c r="AD403" s="66"/>
      <c r="AE403" s="66"/>
      <c r="AF403" s="66"/>
      <c r="AG403" s="66"/>
      <c r="AH403" s="66"/>
      <c r="AI403" s="34"/>
      <c r="AJ403" s="88">
        <f t="shared" si="514"/>
        <v>0</v>
      </c>
      <c r="AK403" s="88">
        <f t="shared" si="515"/>
        <v>0</v>
      </c>
      <c r="AL403" s="88">
        <v>0</v>
      </c>
      <c r="AM403" s="88">
        <v>0</v>
      </c>
      <c r="AN403" s="81" t="str">
        <f t="shared" si="485"/>
        <v/>
      </c>
      <c r="AO403" s="88">
        <f t="shared" si="516"/>
        <v>0</v>
      </c>
      <c r="AP403" s="88">
        <f t="shared" si="517"/>
        <v>0</v>
      </c>
      <c r="AQ403" s="81" t="str">
        <f t="shared" si="518"/>
        <v/>
      </c>
      <c r="AS403" s="41" t="b">
        <f t="shared" si="519"/>
        <v>1</v>
      </c>
      <c r="AT403" s="38">
        <f t="shared" si="520"/>
        <v>0</v>
      </c>
      <c r="AU403" s="60">
        <f t="shared" si="521"/>
        <v>0</v>
      </c>
      <c r="AV403" s="41">
        <f t="shared" si="522"/>
        <v>0</v>
      </c>
      <c r="AW403" s="41" t="b">
        <f t="shared" si="523"/>
        <v>0</v>
      </c>
      <c r="AX403" t="str">
        <f t="shared" si="524"/>
        <v>+00</v>
      </c>
      <c r="AY403" t="str">
        <f t="shared" si="525"/>
        <v>+00</v>
      </c>
      <c r="BA403" s="47" t="b">
        <f t="shared" si="486"/>
        <v>1</v>
      </c>
      <c r="BB403" s="42" t="b">
        <f t="shared" si="487"/>
        <v>1</v>
      </c>
      <c r="BC403" s="42" t="b">
        <f t="shared" si="488"/>
        <v>0</v>
      </c>
      <c r="BD403" s="42" t="b">
        <f t="shared" si="489"/>
        <v>0</v>
      </c>
      <c r="BE403" s="70">
        <f t="shared" si="490"/>
        <v>0</v>
      </c>
      <c r="BF403" s="70">
        <f t="shared" si="491"/>
        <v>0</v>
      </c>
      <c r="BG403" s="34"/>
      <c r="BI403" s="47" t="b">
        <f t="shared" si="492"/>
        <v>1</v>
      </c>
      <c r="BJ403" s="47" t="b">
        <f t="shared" si="493"/>
        <v>1</v>
      </c>
      <c r="BK403" s="42" t="b">
        <f t="shared" si="494"/>
        <v>0</v>
      </c>
      <c r="BL403" s="42" t="b">
        <f t="shared" si="495"/>
        <v>0</v>
      </c>
      <c r="BM403" s="42">
        <f t="shared" si="496"/>
        <v>0</v>
      </c>
      <c r="BN403" s="42">
        <f t="shared" si="497"/>
        <v>0</v>
      </c>
      <c r="BP403" t="e">
        <f t="shared" si="498"/>
        <v>#N/A</v>
      </c>
      <c r="BQ403" t="e">
        <f t="shared" si="499"/>
        <v>#N/A</v>
      </c>
      <c r="BR403" t="e">
        <f t="shared" si="500"/>
        <v>#N/A</v>
      </c>
      <c r="BT403" s="60">
        <f t="shared" si="501"/>
        <v>0</v>
      </c>
      <c r="BU403" s="60">
        <f t="shared" si="502"/>
        <v>0</v>
      </c>
      <c r="BV403" s="60">
        <f t="shared" si="503"/>
        <v>0</v>
      </c>
      <c r="BW403" s="60">
        <f t="shared" si="504"/>
        <v>0</v>
      </c>
      <c r="BX403" s="60">
        <f t="shared" si="505"/>
        <v>0</v>
      </c>
      <c r="BY403" s="60">
        <f t="shared" si="506"/>
        <v>0</v>
      </c>
      <c r="BZ403" s="60">
        <f t="shared" si="507"/>
        <v>0</v>
      </c>
      <c r="CA403" s="60">
        <f t="shared" si="508"/>
        <v>0</v>
      </c>
      <c r="CB403" s="60" t="e">
        <f t="shared" si="526"/>
        <v>#N/A</v>
      </c>
      <c r="CC403" s="60">
        <f t="shared" si="527"/>
        <v>100000</v>
      </c>
      <c r="CD403" s="60" t="e">
        <f t="shared" si="528"/>
        <v>#N/A</v>
      </c>
      <c r="CE403" s="60">
        <f t="shared" si="529"/>
        <v>100000</v>
      </c>
      <c r="CF403" s="83" t="e">
        <f t="shared" si="509"/>
        <v>#N/A</v>
      </c>
      <c r="CG403" s="83">
        <f t="shared" si="510"/>
        <v>0</v>
      </c>
      <c r="CH403" s="83" t="e">
        <f t="shared" si="511"/>
        <v>#N/A</v>
      </c>
      <c r="CI403" s="83">
        <f t="shared" si="512"/>
        <v>0</v>
      </c>
      <c r="CJ403" s="86" t="e">
        <f t="shared" si="530"/>
        <v>#N/A</v>
      </c>
      <c r="CK403" s="82">
        <f t="shared" si="531"/>
        <v>5.3070370403969858E-3</v>
      </c>
      <c r="CL403" s="82" t="e">
        <f t="shared" si="532"/>
        <v>#N/A</v>
      </c>
      <c r="CM403" s="82">
        <f t="shared" si="533"/>
        <v>5.3070370403969858E-3</v>
      </c>
      <c r="CO403" s="149" t="str">
        <f>IF($I403&lt;&gt;"",IF(O403="User Specified",U403,INDEX('Refrigerant GWPs'!$G$2:$G$156,MATCH(O403,'Refrigerant GWPs'!$A$2:$A$156,0))),"")</f>
        <v/>
      </c>
      <c r="CP403" s="138" t="str">
        <f>IF($I403&lt;&gt;"",INDEX('Device Refrigerant Leakage'!$E$2:$E$42,MATCH($M403,'Device Refrigerant Leakage'!$B$2:$B$42,0)),"")</f>
        <v/>
      </c>
      <c r="CQ403" s="138" t="str">
        <f>IF($I403&lt;&gt;"",INDEX('Device Refrigerant Leakage'!$F$2:$F$42,MATCH($M403,'Device Refrigerant Leakage'!$B$2:$B$42,0)),"")</f>
        <v/>
      </c>
      <c r="CR403" s="145" t="str">
        <f>IF($I403&lt;&gt;"",INDEX('Device Refrigerant Leakage'!$G$2:$G$42,MATCH($M403,'Device Refrigerant Leakage'!$B$2:$B$42,0)),"")</f>
        <v/>
      </c>
      <c r="CS403" s="145" t="str">
        <f>IF($I403&lt;&gt;"",INDEX('Device Refrigerant Leakage'!$D$2:$D$42,MATCH($M403,'Device Refrigerant Leakage'!$B$2:$B$42,0))*CP403/2204.62*CO403,"")</f>
        <v/>
      </c>
      <c r="CT403" s="145" t="str">
        <f>IF($I403&lt;&gt;"",J403*(INDEX('Device Refrigerant Leakage'!$D$2:$D$42,MATCH($M403,'Device Refrigerant Leakage'!$B$2:$B$42,0))-(INDEX('Device Refrigerant Leakage'!$D$2:$D$42,MATCH($M403,'Device Refrigerant Leakage'!$B$2:$B$42,0)))*CR403*CP403)*CQ403/2204.62*CO403,"")</f>
        <v/>
      </c>
      <c r="CU403" s="135" t="str">
        <f>IF($I403&lt;&gt;"",J403*IF(W403&lt;&gt;"AR",(CS403*K403)+CT403,(CS403*AB403)+CT403*(AB403/INDEX('Device Refrigerant Leakage'!$C$2:$C$42,MATCH($M403,'Device Refrigerant Leakage'!$B$2:$B$42,0)))),"")</f>
        <v/>
      </c>
      <c r="CW403" s="135" t="str">
        <f>IF($I403&lt;&gt;"",IF(S403="User Specified",V403,INDEX('Refrigerant GWPs'!$G$2:$G$156,MATCH(S403,'Refrigerant GWPs'!$A$2:$A$157,0))),"")</f>
        <v/>
      </c>
      <c r="CX403" s="138" t="str">
        <f>IF($I403&lt;&gt;"",INDEX('Device Refrigerant Leakage'!$E$2:$E$42,MATCH($Q403,'Device Refrigerant Leakage'!$B$2:$B$42,0)),"")</f>
        <v/>
      </c>
      <c r="CY403" s="138" t="str">
        <f>IF($I403&lt;&gt;"",INDEX('Device Refrigerant Leakage'!$F$2:$F$42,MATCH($Q403,'Device Refrigerant Leakage'!$B$2:$B$42,0)),"")</f>
        <v/>
      </c>
      <c r="CZ403" s="145" t="str">
        <f>IF($I403&lt;&gt;"",INDEX('Device Refrigerant Leakage'!$G$2:$G$42,MATCH($Q403,'Device Refrigerant Leakage'!$B$2:$B$42,0)),"")</f>
        <v/>
      </c>
      <c r="DA403" s="145" t="str">
        <f>IF($I403&lt;&gt;"",J403*INDEX('Device Refrigerant Leakage'!$D$2:$D$42,MATCH($Q403,'Device Refrigerant Leakage'!$B$2:$B$42,0))*CX403/2204.62*CW403,"")</f>
        <v/>
      </c>
      <c r="DB403" s="145" t="str">
        <f>IF($I403&lt;&gt;"",J403*(INDEX('Device Refrigerant Leakage'!$D$2:$D$42,MATCH($Q403,'Device Refrigerant Leakage'!$B$2:$B$42,0))-(INDEX('Device Refrigerant Leakage'!$D$2:$D$42,MATCH($Q403,'Device Refrigerant Leakage'!$B$2:$B$42,0)))*CZ403*CX403)*CY403/2204.62*CW403,"")</f>
        <v/>
      </c>
      <c r="DC403" s="135" t="str">
        <f t="shared" si="552"/>
        <v/>
      </c>
      <c r="DE403" s="146" t="str">
        <f>IF(W403&lt;&gt;"AR","",IF(Y403="User Specified", AA403, INDEX('Refrigerant GWPs'!$G$2:$G$154,MATCH(Y403,'Refrigerant GWPs'!$A$2:$A$154,0))))</f>
        <v/>
      </c>
      <c r="DF403" s="146" t="str">
        <f>IF(W403&lt;&gt;"AR","",INDEX('Device Refrigerant Leakage'!$E$2:$E$42,MATCH(X403,'Device Refrigerant Leakage'!$B$2:$B$42,0)))</f>
        <v/>
      </c>
      <c r="DG403" s="146" t="str">
        <f>IF(W403&lt;&gt;"AR","",INDEX('Device Refrigerant Leakage'!$F$2:$F$42,MATCH(X403,'Device Refrigerant Leakage'!$B$2:$B$42,0)))</f>
        <v/>
      </c>
      <c r="DH403" s="146" t="str">
        <f>IF(W403&lt;&gt;"AR","",INDEX('Device Refrigerant Leakage'!$G$2:$G$42,MATCH(X403,'Device Refrigerant Leakage'!$B$2:$B$42,0)))</f>
        <v/>
      </c>
      <c r="DI403" s="146" t="str">
        <f>IF(W403&lt;&gt;"AR","",J403*INDEX('Device Refrigerant Leakage'!$D$2:$D$42,MATCH(X403,'Device Refrigerant Leakage'!$B$2:$B$42,0))*DF403/2204.62*DE403)</f>
        <v/>
      </c>
      <c r="DJ403" s="146" t="str">
        <f>IF(W403&lt;&gt;"AR","",J403*(INDEX('Device Refrigerant Leakage'!$D$2:$D$42,MATCH(X403,'Device Refrigerant Leakage'!$B$2:$B$42,0))-(INDEX('Device Refrigerant Leakage'!$D$2:$D$42,MATCH(X403,'Device Refrigerant Leakage'!$B$2:$B$42,0)))*DH403*DF403)*DG403/2204.62*DE403)</f>
        <v/>
      </c>
      <c r="DK403" s="146" t="str">
        <f>IF(W403&lt;&gt;"AR","",DI403*(K403-AB403)+'Fuel Sub Calcs-Deemed'!DJ403*((K403-AB403)/INDEX('Device Refrigerant Leakage'!$C$2:$C$42,MATCH('Fuel Sub Calcs-Deemed'!X403,'Device Refrigerant Leakage'!$B$2:$B$42,0))))</f>
        <v/>
      </c>
      <c r="DM403" s="56">
        <v>389</v>
      </c>
      <c r="DN403" s="67" t="e">
        <f t="shared" si="534"/>
        <v>#N/A</v>
      </c>
      <c r="DO403" s="45" t="e">
        <f t="shared" si="535"/>
        <v>#N/A</v>
      </c>
      <c r="DP403" s="67" t="e">
        <f t="shared" si="536"/>
        <v>#N/A</v>
      </c>
      <c r="DQ403" s="45" t="e">
        <f t="shared" si="537"/>
        <v>#N/A</v>
      </c>
      <c r="DR403" s="69" t="e">
        <f t="shared" si="538"/>
        <v>#N/A</v>
      </c>
      <c r="DS403" s="34"/>
      <c r="DT403" s="67" t="e">
        <f>((BX403*CJ403)+IF($W403=MAT_AR,(BZ403*CL403),0))*(1+Reference!$E$50+Reference!$E$51)</f>
        <v>#N/A</v>
      </c>
      <c r="DU403" s="67">
        <f>((BY403*CK403)+IF($W403=MAT_AR,(CA403*CM403),0))*(1+Reference!$G$50+Reference!$G$51)</f>
        <v>0</v>
      </c>
      <c r="DV403" s="67" t="e">
        <f t="shared" si="539"/>
        <v>#VALUE!</v>
      </c>
      <c r="DX403" s="56">
        <v>389</v>
      </c>
      <c r="DY403" s="67">
        <f t="shared" si="540"/>
        <v>0</v>
      </c>
      <c r="DZ403" s="45" t="e">
        <f>VLOOKUP($R403,Dropdown!$C$3:$D$4,2,FALSE)</f>
        <v>#N/A</v>
      </c>
      <c r="EA403" s="68">
        <f t="shared" si="541"/>
        <v>0</v>
      </c>
      <c r="EB403" s="68" t="str">
        <f t="shared" si="542"/>
        <v>N/A</v>
      </c>
      <c r="EC403" s="68">
        <f t="shared" si="543"/>
        <v>0</v>
      </c>
      <c r="ED403" s="68" t="str">
        <f t="shared" si="513"/>
        <v>N/A</v>
      </c>
      <c r="EF403" s="56">
        <v>389</v>
      </c>
      <c r="EG403" s="46">
        <f t="shared" si="544"/>
        <v>0</v>
      </c>
      <c r="EH403" s="68" t="e">
        <f t="shared" si="545"/>
        <v>#N/A</v>
      </c>
      <c r="EI403" s="68" t="e">
        <f t="shared" si="546"/>
        <v>#N/A</v>
      </c>
      <c r="EJ403" s="68" t="e">
        <f t="shared" si="547"/>
        <v>#N/A</v>
      </c>
      <c r="EK403" s="68" t="e">
        <f t="shared" si="548"/>
        <v>#N/A</v>
      </c>
      <c r="EL403" s="46">
        <f t="shared" si="549"/>
        <v>0</v>
      </c>
      <c r="EM403" s="46">
        <f t="shared" si="550"/>
        <v>0</v>
      </c>
    </row>
    <row r="404" spans="1:143">
      <c r="A404" s="89"/>
      <c r="B404" s="89"/>
      <c r="C404" s="89"/>
      <c r="D404" s="89"/>
      <c r="E404" s="89"/>
      <c r="F404" s="89"/>
      <c r="G404" s="34"/>
      <c r="H404" s="56">
        <f t="shared" si="551"/>
        <v>390</v>
      </c>
      <c r="I404" s="165"/>
      <c r="J404" s="163"/>
      <c r="K404" s="163"/>
      <c r="L404" s="164"/>
      <c r="M404" s="155"/>
      <c r="N404" s="155"/>
      <c r="O404" s="144"/>
      <c r="P404" s="159" t="str">
        <f>IFERROR(IF(O404&lt;&gt;"User Specified",IF(O404&lt;&gt;"", INDEX('Refrigerant GWPs'!$G$2:$G$154,MATCH(O404,'Refrigerant GWPs'!$A$2:$A$154,0)),""),U404),0)</f>
        <v/>
      </c>
      <c r="Q404" s="155"/>
      <c r="R404" s="155"/>
      <c r="S404" s="144"/>
      <c r="T404" s="159" t="str">
        <f>IF(S404&lt;&gt;"User Specified",IF(AND(S404&lt;&gt;"User Specified",S404&lt;&gt;""), INDEX('Refrigerant GWPs'!$G$2:$G$154,MATCH(S404,'Refrigerant GWPs'!$A$2:$A$154,0)),""),V404)</f>
        <v/>
      </c>
      <c r="U404" s="144"/>
      <c r="V404" s="144"/>
      <c r="W404" s="155"/>
      <c r="X404" s="155"/>
      <c r="Y404" s="144"/>
      <c r="Z404" s="159" t="str">
        <f>IF(AND(Y404&lt;&gt;"User Specified",Y404&lt;&gt;""), INDEX('Refrigerant GWPs'!$G$2:$G$154,MATCH(Y404,'Refrigerant GWPs'!$A$2:$A$154,0)),"")</f>
        <v/>
      </c>
      <c r="AA404" s="155"/>
      <c r="AB404" s="156"/>
      <c r="AC404" s="66"/>
      <c r="AD404" s="66"/>
      <c r="AE404" s="66"/>
      <c r="AF404" s="66"/>
      <c r="AG404" s="66"/>
      <c r="AH404" s="66"/>
      <c r="AI404" s="34"/>
      <c r="AJ404" s="88">
        <f t="shared" si="514"/>
        <v>0</v>
      </c>
      <c r="AK404" s="88">
        <f t="shared" si="515"/>
        <v>0</v>
      </c>
      <c r="AL404" s="88">
        <v>0</v>
      </c>
      <c r="AM404" s="88">
        <v>0</v>
      </c>
      <c r="AN404" s="81" t="str">
        <f t="shared" si="485"/>
        <v/>
      </c>
      <c r="AO404" s="88">
        <f t="shared" si="516"/>
        <v>0</v>
      </c>
      <c r="AP404" s="88">
        <f t="shared" si="517"/>
        <v>0</v>
      </c>
      <c r="AQ404" s="81" t="str">
        <f t="shared" si="518"/>
        <v/>
      </c>
      <c r="AS404" s="41" t="b">
        <f t="shared" si="519"/>
        <v>1</v>
      </c>
      <c r="AT404" s="38">
        <f t="shared" si="520"/>
        <v>0</v>
      </c>
      <c r="AU404" s="60">
        <f t="shared" si="521"/>
        <v>0</v>
      </c>
      <c r="AV404" s="41">
        <f t="shared" si="522"/>
        <v>0</v>
      </c>
      <c r="AW404" s="41" t="b">
        <f t="shared" si="523"/>
        <v>0</v>
      </c>
      <c r="AX404" t="str">
        <f t="shared" si="524"/>
        <v>+00</v>
      </c>
      <c r="AY404" t="str">
        <f t="shared" si="525"/>
        <v>+00</v>
      </c>
      <c r="BA404" s="47" t="b">
        <f t="shared" si="486"/>
        <v>1</v>
      </c>
      <c r="BB404" s="42" t="b">
        <f t="shared" si="487"/>
        <v>1</v>
      </c>
      <c r="BC404" s="42" t="b">
        <f t="shared" si="488"/>
        <v>0</v>
      </c>
      <c r="BD404" s="42" t="b">
        <f t="shared" si="489"/>
        <v>0</v>
      </c>
      <c r="BE404" s="70">
        <f t="shared" si="490"/>
        <v>0</v>
      </c>
      <c r="BF404" s="70">
        <f t="shared" si="491"/>
        <v>0</v>
      </c>
      <c r="BG404" s="34"/>
      <c r="BI404" s="47" t="b">
        <f t="shared" si="492"/>
        <v>1</v>
      </c>
      <c r="BJ404" s="47" t="b">
        <f t="shared" si="493"/>
        <v>1</v>
      </c>
      <c r="BK404" s="42" t="b">
        <f t="shared" si="494"/>
        <v>0</v>
      </c>
      <c r="BL404" s="42" t="b">
        <f t="shared" si="495"/>
        <v>0</v>
      </c>
      <c r="BM404" s="42">
        <f t="shared" si="496"/>
        <v>0</v>
      </c>
      <c r="BN404" s="42">
        <f t="shared" si="497"/>
        <v>0</v>
      </c>
      <c r="BP404" t="e">
        <f t="shared" si="498"/>
        <v>#N/A</v>
      </c>
      <c r="BQ404" t="e">
        <f t="shared" si="499"/>
        <v>#N/A</v>
      </c>
      <c r="BR404" t="e">
        <f t="shared" si="500"/>
        <v>#N/A</v>
      </c>
      <c r="BT404" s="60">
        <f t="shared" si="501"/>
        <v>0</v>
      </c>
      <c r="BU404" s="60">
        <f t="shared" si="502"/>
        <v>0</v>
      </c>
      <c r="BV404" s="60">
        <f t="shared" si="503"/>
        <v>0</v>
      </c>
      <c r="BW404" s="60">
        <f t="shared" si="504"/>
        <v>0</v>
      </c>
      <c r="BX404" s="60">
        <f t="shared" si="505"/>
        <v>0</v>
      </c>
      <c r="BY404" s="60">
        <f t="shared" si="506"/>
        <v>0</v>
      </c>
      <c r="BZ404" s="60">
        <f t="shared" si="507"/>
        <v>0</v>
      </c>
      <c r="CA404" s="60">
        <f t="shared" si="508"/>
        <v>0</v>
      </c>
      <c r="CB404" s="60" t="e">
        <f t="shared" si="526"/>
        <v>#N/A</v>
      </c>
      <c r="CC404" s="60">
        <f t="shared" si="527"/>
        <v>100000</v>
      </c>
      <c r="CD404" s="60" t="e">
        <f t="shared" si="528"/>
        <v>#N/A</v>
      </c>
      <c r="CE404" s="60">
        <f t="shared" si="529"/>
        <v>100000</v>
      </c>
      <c r="CF404" s="83" t="e">
        <f t="shared" si="509"/>
        <v>#N/A</v>
      </c>
      <c r="CG404" s="83">
        <f t="shared" si="510"/>
        <v>0</v>
      </c>
      <c r="CH404" s="83" t="e">
        <f t="shared" si="511"/>
        <v>#N/A</v>
      </c>
      <c r="CI404" s="83">
        <f t="shared" si="512"/>
        <v>0</v>
      </c>
      <c r="CJ404" s="86" t="e">
        <f t="shared" si="530"/>
        <v>#N/A</v>
      </c>
      <c r="CK404" s="82">
        <f t="shared" si="531"/>
        <v>5.3070370403969858E-3</v>
      </c>
      <c r="CL404" s="82" t="e">
        <f t="shared" si="532"/>
        <v>#N/A</v>
      </c>
      <c r="CM404" s="82">
        <f t="shared" si="533"/>
        <v>5.3070370403969858E-3</v>
      </c>
      <c r="CO404" s="149" t="str">
        <f>IF($I404&lt;&gt;"",IF(O404="User Specified",U404,INDEX('Refrigerant GWPs'!$G$2:$G$156,MATCH(O404,'Refrigerant GWPs'!$A$2:$A$156,0))),"")</f>
        <v/>
      </c>
      <c r="CP404" s="138" t="str">
        <f>IF($I404&lt;&gt;"",INDEX('Device Refrigerant Leakage'!$E$2:$E$42,MATCH($M404,'Device Refrigerant Leakage'!$B$2:$B$42,0)),"")</f>
        <v/>
      </c>
      <c r="CQ404" s="138" t="str">
        <f>IF($I404&lt;&gt;"",INDEX('Device Refrigerant Leakage'!$F$2:$F$42,MATCH($M404,'Device Refrigerant Leakage'!$B$2:$B$42,0)),"")</f>
        <v/>
      </c>
      <c r="CR404" s="145" t="str">
        <f>IF($I404&lt;&gt;"",INDEX('Device Refrigerant Leakage'!$G$2:$G$42,MATCH($M404,'Device Refrigerant Leakage'!$B$2:$B$42,0)),"")</f>
        <v/>
      </c>
      <c r="CS404" s="145" t="str">
        <f>IF($I404&lt;&gt;"",INDEX('Device Refrigerant Leakage'!$D$2:$D$42,MATCH($M404,'Device Refrigerant Leakage'!$B$2:$B$42,0))*CP404/2204.62*CO404,"")</f>
        <v/>
      </c>
      <c r="CT404" s="145" t="str">
        <f>IF($I404&lt;&gt;"",J404*(INDEX('Device Refrigerant Leakage'!$D$2:$D$42,MATCH($M404,'Device Refrigerant Leakage'!$B$2:$B$42,0))-(INDEX('Device Refrigerant Leakage'!$D$2:$D$42,MATCH($M404,'Device Refrigerant Leakage'!$B$2:$B$42,0)))*CR404*CP404)*CQ404/2204.62*CO404,"")</f>
        <v/>
      </c>
      <c r="CU404" s="135" t="str">
        <f>IF($I404&lt;&gt;"",J404*IF(W404&lt;&gt;"AR",(CS404*K404)+CT404,(CS404*AB404)+CT404*(AB404/INDEX('Device Refrigerant Leakage'!$C$2:$C$42,MATCH($M404,'Device Refrigerant Leakage'!$B$2:$B$42,0)))),"")</f>
        <v/>
      </c>
      <c r="CW404" s="135" t="str">
        <f>IF($I404&lt;&gt;"",IF(S404="User Specified",V404,INDEX('Refrigerant GWPs'!$G$2:$G$156,MATCH(S404,'Refrigerant GWPs'!$A$2:$A$157,0))),"")</f>
        <v/>
      </c>
      <c r="CX404" s="138" t="str">
        <f>IF($I404&lt;&gt;"",INDEX('Device Refrigerant Leakage'!$E$2:$E$42,MATCH($Q404,'Device Refrigerant Leakage'!$B$2:$B$42,0)),"")</f>
        <v/>
      </c>
      <c r="CY404" s="138" t="str">
        <f>IF($I404&lt;&gt;"",INDEX('Device Refrigerant Leakage'!$F$2:$F$42,MATCH($Q404,'Device Refrigerant Leakage'!$B$2:$B$42,0)),"")</f>
        <v/>
      </c>
      <c r="CZ404" s="145" t="str">
        <f>IF($I404&lt;&gt;"",INDEX('Device Refrigerant Leakage'!$G$2:$G$42,MATCH($Q404,'Device Refrigerant Leakage'!$B$2:$B$42,0)),"")</f>
        <v/>
      </c>
      <c r="DA404" s="145" t="str">
        <f>IF($I404&lt;&gt;"",J404*INDEX('Device Refrigerant Leakage'!$D$2:$D$42,MATCH($Q404,'Device Refrigerant Leakage'!$B$2:$B$42,0))*CX404/2204.62*CW404,"")</f>
        <v/>
      </c>
      <c r="DB404" s="145" t="str">
        <f>IF($I404&lt;&gt;"",J404*(INDEX('Device Refrigerant Leakage'!$D$2:$D$42,MATCH($Q404,'Device Refrigerant Leakage'!$B$2:$B$42,0))-(INDEX('Device Refrigerant Leakage'!$D$2:$D$42,MATCH($Q404,'Device Refrigerant Leakage'!$B$2:$B$42,0)))*CZ404*CX404)*CY404/2204.62*CW404,"")</f>
        <v/>
      </c>
      <c r="DC404" s="135" t="str">
        <f t="shared" si="552"/>
        <v/>
      </c>
      <c r="DE404" s="146" t="str">
        <f>IF(W404&lt;&gt;"AR","",IF(Y404="User Specified", AA404, INDEX('Refrigerant GWPs'!$G$2:$G$154,MATCH(Y404,'Refrigerant GWPs'!$A$2:$A$154,0))))</f>
        <v/>
      </c>
      <c r="DF404" s="146" t="str">
        <f>IF(W404&lt;&gt;"AR","",INDEX('Device Refrigerant Leakage'!$E$2:$E$42,MATCH(X404,'Device Refrigerant Leakage'!$B$2:$B$42,0)))</f>
        <v/>
      </c>
      <c r="DG404" s="146" t="str">
        <f>IF(W404&lt;&gt;"AR","",INDEX('Device Refrigerant Leakage'!$F$2:$F$42,MATCH(X404,'Device Refrigerant Leakage'!$B$2:$B$42,0)))</f>
        <v/>
      </c>
      <c r="DH404" s="146" t="str">
        <f>IF(W404&lt;&gt;"AR","",INDEX('Device Refrigerant Leakage'!$G$2:$G$42,MATCH(X404,'Device Refrigerant Leakage'!$B$2:$B$42,0)))</f>
        <v/>
      </c>
      <c r="DI404" s="146" t="str">
        <f>IF(W404&lt;&gt;"AR","",J404*INDEX('Device Refrigerant Leakage'!$D$2:$D$42,MATCH(X404,'Device Refrigerant Leakage'!$B$2:$B$42,0))*DF404/2204.62*DE404)</f>
        <v/>
      </c>
      <c r="DJ404" s="146" t="str">
        <f>IF(W404&lt;&gt;"AR","",J404*(INDEX('Device Refrigerant Leakage'!$D$2:$D$42,MATCH(X404,'Device Refrigerant Leakage'!$B$2:$B$42,0))-(INDEX('Device Refrigerant Leakage'!$D$2:$D$42,MATCH(X404,'Device Refrigerant Leakage'!$B$2:$B$42,0)))*DH404*DF404)*DG404/2204.62*DE404)</f>
        <v/>
      </c>
      <c r="DK404" s="146" t="str">
        <f>IF(W404&lt;&gt;"AR","",DI404*(K404-AB404)+'Fuel Sub Calcs-Deemed'!DJ404*((K404-AB404)/INDEX('Device Refrigerant Leakage'!$C$2:$C$42,MATCH('Fuel Sub Calcs-Deemed'!X404,'Device Refrigerant Leakage'!$B$2:$B$42,0))))</f>
        <v/>
      </c>
      <c r="DM404" s="56">
        <v>390</v>
      </c>
      <c r="DN404" s="67" t="e">
        <f t="shared" si="534"/>
        <v>#N/A</v>
      </c>
      <c r="DO404" s="45" t="e">
        <f t="shared" si="535"/>
        <v>#N/A</v>
      </c>
      <c r="DP404" s="67" t="e">
        <f t="shared" si="536"/>
        <v>#N/A</v>
      </c>
      <c r="DQ404" s="45" t="e">
        <f t="shared" si="537"/>
        <v>#N/A</v>
      </c>
      <c r="DR404" s="69" t="e">
        <f t="shared" si="538"/>
        <v>#N/A</v>
      </c>
      <c r="DS404" s="34"/>
      <c r="DT404" s="67" t="e">
        <f>((BX404*CJ404)+IF($W404=MAT_AR,(BZ404*CL404),0))*(1+Reference!$E$50+Reference!$E$51)</f>
        <v>#N/A</v>
      </c>
      <c r="DU404" s="67">
        <f>((BY404*CK404)+IF($W404=MAT_AR,(CA404*CM404),0))*(1+Reference!$G$50+Reference!$G$51)</f>
        <v>0</v>
      </c>
      <c r="DV404" s="67" t="e">
        <f t="shared" si="539"/>
        <v>#VALUE!</v>
      </c>
      <c r="DX404" s="56">
        <v>390</v>
      </c>
      <c r="DY404" s="67">
        <f t="shared" si="540"/>
        <v>0</v>
      </c>
      <c r="DZ404" s="45" t="e">
        <f>VLOOKUP($R404,Dropdown!$C$3:$D$4,2,FALSE)</f>
        <v>#N/A</v>
      </c>
      <c r="EA404" s="68">
        <f t="shared" si="541"/>
        <v>0</v>
      </c>
      <c r="EB404" s="68" t="str">
        <f t="shared" si="542"/>
        <v>N/A</v>
      </c>
      <c r="EC404" s="68">
        <f t="shared" si="543"/>
        <v>0</v>
      </c>
      <c r="ED404" s="68" t="str">
        <f t="shared" si="513"/>
        <v>N/A</v>
      </c>
      <c r="EF404" s="56">
        <v>390</v>
      </c>
      <c r="EG404" s="46">
        <f t="shared" si="544"/>
        <v>0</v>
      </c>
      <c r="EH404" s="68" t="e">
        <f t="shared" si="545"/>
        <v>#N/A</v>
      </c>
      <c r="EI404" s="68" t="e">
        <f t="shared" si="546"/>
        <v>#N/A</v>
      </c>
      <c r="EJ404" s="68" t="e">
        <f t="shared" si="547"/>
        <v>#N/A</v>
      </c>
      <c r="EK404" s="68" t="e">
        <f t="shared" si="548"/>
        <v>#N/A</v>
      </c>
      <c r="EL404" s="46">
        <f t="shared" si="549"/>
        <v>0</v>
      </c>
      <c r="EM404" s="46">
        <f t="shared" si="550"/>
        <v>0</v>
      </c>
    </row>
    <row r="405" spans="1:143">
      <c r="A405" s="89"/>
      <c r="B405" s="89"/>
      <c r="C405" s="89"/>
      <c r="D405" s="89"/>
      <c r="E405" s="89"/>
      <c r="F405" s="89"/>
      <c r="G405" s="34"/>
      <c r="H405" s="56">
        <f t="shared" si="551"/>
        <v>391</v>
      </c>
      <c r="I405" s="165"/>
      <c r="J405" s="163"/>
      <c r="K405" s="163"/>
      <c r="L405" s="164"/>
      <c r="M405" s="155"/>
      <c r="N405" s="155"/>
      <c r="O405" s="144"/>
      <c r="P405" s="159" t="str">
        <f>IFERROR(IF(O405&lt;&gt;"User Specified",IF(O405&lt;&gt;"", INDEX('Refrigerant GWPs'!$G$2:$G$154,MATCH(O405,'Refrigerant GWPs'!$A$2:$A$154,0)),""),U405),0)</f>
        <v/>
      </c>
      <c r="Q405" s="155"/>
      <c r="R405" s="155"/>
      <c r="S405" s="144"/>
      <c r="T405" s="159" t="str">
        <f>IF(S405&lt;&gt;"User Specified",IF(AND(S405&lt;&gt;"User Specified",S405&lt;&gt;""), INDEX('Refrigerant GWPs'!$G$2:$G$154,MATCH(S405,'Refrigerant GWPs'!$A$2:$A$154,0)),""),V405)</f>
        <v/>
      </c>
      <c r="U405" s="144"/>
      <c r="V405" s="144"/>
      <c r="W405" s="155"/>
      <c r="X405" s="155"/>
      <c r="Y405" s="144"/>
      <c r="Z405" s="159" t="str">
        <f>IF(AND(Y405&lt;&gt;"User Specified",Y405&lt;&gt;""), INDEX('Refrigerant GWPs'!$G$2:$G$154,MATCH(Y405,'Refrigerant GWPs'!$A$2:$A$154,0)),"")</f>
        <v/>
      </c>
      <c r="AA405" s="155"/>
      <c r="AB405" s="156"/>
      <c r="AC405" s="66"/>
      <c r="AD405" s="66"/>
      <c r="AE405" s="66"/>
      <c r="AF405" s="66"/>
      <c r="AG405" s="66"/>
      <c r="AH405" s="66"/>
      <c r="AI405" s="34"/>
      <c r="AJ405" s="88">
        <f t="shared" si="514"/>
        <v>0</v>
      </c>
      <c r="AK405" s="88">
        <f t="shared" si="515"/>
        <v>0</v>
      </c>
      <c r="AL405" s="88">
        <v>0</v>
      </c>
      <c r="AM405" s="88">
        <v>0</v>
      </c>
      <c r="AN405" s="81" t="str">
        <f t="shared" si="485"/>
        <v/>
      </c>
      <c r="AO405" s="88">
        <f t="shared" si="516"/>
        <v>0</v>
      </c>
      <c r="AP405" s="88">
        <f t="shared" si="517"/>
        <v>0</v>
      </c>
      <c r="AQ405" s="81" t="str">
        <f t="shared" si="518"/>
        <v/>
      </c>
      <c r="AS405" s="41" t="b">
        <f t="shared" si="519"/>
        <v>1</v>
      </c>
      <c r="AT405" s="38">
        <f t="shared" si="520"/>
        <v>0</v>
      </c>
      <c r="AU405" s="60">
        <f t="shared" si="521"/>
        <v>0</v>
      </c>
      <c r="AV405" s="41">
        <f t="shared" si="522"/>
        <v>0</v>
      </c>
      <c r="AW405" s="41" t="b">
        <f t="shared" si="523"/>
        <v>0</v>
      </c>
      <c r="AX405" t="str">
        <f t="shared" si="524"/>
        <v>+00</v>
      </c>
      <c r="AY405" t="str">
        <f t="shared" si="525"/>
        <v>+00</v>
      </c>
      <c r="BA405" s="47" t="b">
        <f t="shared" si="486"/>
        <v>1</v>
      </c>
      <c r="BB405" s="42" t="b">
        <f t="shared" si="487"/>
        <v>1</v>
      </c>
      <c r="BC405" s="42" t="b">
        <f t="shared" si="488"/>
        <v>0</v>
      </c>
      <c r="BD405" s="42" t="b">
        <f t="shared" si="489"/>
        <v>0</v>
      </c>
      <c r="BE405" s="70">
        <f t="shared" si="490"/>
        <v>0</v>
      </c>
      <c r="BF405" s="70">
        <f t="shared" si="491"/>
        <v>0</v>
      </c>
      <c r="BG405" s="34"/>
      <c r="BI405" s="47" t="b">
        <f t="shared" si="492"/>
        <v>1</v>
      </c>
      <c r="BJ405" s="47" t="b">
        <f t="shared" si="493"/>
        <v>1</v>
      </c>
      <c r="BK405" s="42" t="b">
        <f t="shared" si="494"/>
        <v>0</v>
      </c>
      <c r="BL405" s="42" t="b">
        <f t="shared" si="495"/>
        <v>0</v>
      </c>
      <c r="BM405" s="42">
        <f t="shared" si="496"/>
        <v>0</v>
      </c>
      <c r="BN405" s="42">
        <f t="shared" si="497"/>
        <v>0</v>
      </c>
      <c r="BP405" t="e">
        <f t="shared" si="498"/>
        <v>#N/A</v>
      </c>
      <c r="BQ405" t="e">
        <f t="shared" si="499"/>
        <v>#N/A</v>
      </c>
      <c r="BR405" t="e">
        <f t="shared" si="500"/>
        <v>#N/A</v>
      </c>
      <c r="BT405" s="60">
        <f t="shared" si="501"/>
        <v>0</v>
      </c>
      <c r="BU405" s="60">
        <f t="shared" si="502"/>
        <v>0</v>
      </c>
      <c r="BV405" s="60">
        <f t="shared" si="503"/>
        <v>0</v>
      </c>
      <c r="BW405" s="60">
        <f t="shared" si="504"/>
        <v>0</v>
      </c>
      <c r="BX405" s="60">
        <f t="shared" si="505"/>
        <v>0</v>
      </c>
      <c r="BY405" s="60">
        <f t="shared" si="506"/>
        <v>0</v>
      </c>
      <c r="BZ405" s="60">
        <f t="shared" si="507"/>
        <v>0</v>
      </c>
      <c r="CA405" s="60">
        <f t="shared" si="508"/>
        <v>0</v>
      </c>
      <c r="CB405" s="60" t="e">
        <f t="shared" si="526"/>
        <v>#N/A</v>
      </c>
      <c r="CC405" s="60">
        <f t="shared" si="527"/>
        <v>100000</v>
      </c>
      <c r="CD405" s="60" t="e">
        <f t="shared" si="528"/>
        <v>#N/A</v>
      </c>
      <c r="CE405" s="60">
        <f t="shared" si="529"/>
        <v>100000</v>
      </c>
      <c r="CF405" s="83" t="e">
        <f t="shared" si="509"/>
        <v>#N/A</v>
      </c>
      <c r="CG405" s="83">
        <f t="shared" si="510"/>
        <v>0</v>
      </c>
      <c r="CH405" s="83" t="e">
        <f t="shared" si="511"/>
        <v>#N/A</v>
      </c>
      <c r="CI405" s="83">
        <f t="shared" si="512"/>
        <v>0</v>
      </c>
      <c r="CJ405" s="86" t="e">
        <f t="shared" si="530"/>
        <v>#N/A</v>
      </c>
      <c r="CK405" s="82">
        <f t="shared" si="531"/>
        <v>5.3070370403969858E-3</v>
      </c>
      <c r="CL405" s="82" t="e">
        <f t="shared" si="532"/>
        <v>#N/A</v>
      </c>
      <c r="CM405" s="82">
        <f t="shared" si="533"/>
        <v>5.3070370403969858E-3</v>
      </c>
      <c r="CO405" s="149" t="str">
        <f>IF($I405&lt;&gt;"",IF(O405="User Specified",U405,INDEX('Refrigerant GWPs'!$G$2:$G$156,MATCH(O405,'Refrigerant GWPs'!$A$2:$A$156,0))),"")</f>
        <v/>
      </c>
      <c r="CP405" s="138" t="str">
        <f>IF($I405&lt;&gt;"",INDEX('Device Refrigerant Leakage'!$E$2:$E$42,MATCH($M405,'Device Refrigerant Leakage'!$B$2:$B$42,0)),"")</f>
        <v/>
      </c>
      <c r="CQ405" s="138" t="str">
        <f>IF($I405&lt;&gt;"",INDEX('Device Refrigerant Leakage'!$F$2:$F$42,MATCH($M405,'Device Refrigerant Leakage'!$B$2:$B$42,0)),"")</f>
        <v/>
      </c>
      <c r="CR405" s="145" t="str">
        <f>IF($I405&lt;&gt;"",INDEX('Device Refrigerant Leakage'!$G$2:$G$42,MATCH($M405,'Device Refrigerant Leakage'!$B$2:$B$42,0)),"")</f>
        <v/>
      </c>
      <c r="CS405" s="145" t="str">
        <f>IF($I405&lt;&gt;"",INDEX('Device Refrigerant Leakage'!$D$2:$D$42,MATCH($M405,'Device Refrigerant Leakage'!$B$2:$B$42,0))*CP405/2204.62*CO405,"")</f>
        <v/>
      </c>
      <c r="CT405" s="145" t="str">
        <f>IF($I405&lt;&gt;"",J405*(INDEX('Device Refrigerant Leakage'!$D$2:$D$42,MATCH($M405,'Device Refrigerant Leakage'!$B$2:$B$42,0))-(INDEX('Device Refrigerant Leakage'!$D$2:$D$42,MATCH($M405,'Device Refrigerant Leakage'!$B$2:$B$42,0)))*CR405*CP405)*CQ405/2204.62*CO405,"")</f>
        <v/>
      </c>
      <c r="CU405" s="135" t="str">
        <f>IF($I405&lt;&gt;"",J405*IF(W405&lt;&gt;"AR",(CS405*K405)+CT405,(CS405*AB405)+CT405*(AB405/INDEX('Device Refrigerant Leakage'!$C$2:$C$42,MATCH($M405,'Device Refrigerant Leakage'!$B$2:$B$42,0)))),"")</f>
        <v/>
      </c>
      <c r="CW405" s="135" t="str">
        <f>IF($I405&lt;&gt;"",IF(S405="User Specified",V405,INDEX('Refrigerant GWPs'!$G$2:$G$156,MATCH(S405,'Refrigerant GWPs'!$A$2:$A$157,0))),"")</f>
        <v/>
      </c>
      <c r="CX405" s="138" t="str">
        <f>IF($I405&lt;&gt;"",INDEX('Device Refrigerant Leakage'!$E$2:$E$42,MATCH($Q405,'Device Refrigerant Leakage'!$B$2:$B$42,0)),"")</f>
        <v/>
      </c>
      <c r="CY405" s="138" t="str">
        <f>IF($I405&lt;&gt;"",INDEX('Device Refrigerant Leakage'!$F$2:$F$42,MATCH($Q405,'Device Refrigerant Leakage'!$B$2:$B$42,0)),"")</f>
        <v/>
      </c>
      <c r="CZ405" s="145" t="str">
        <f>IF($I405&lt;&gt;"",INDEX('Device Refrigerant Leakage'!$G$2:$G$42,MATCH($Q405,'Device Refrigerant Leakage'!$B$2:$B$42,0)),"")</f>
        <v/>
      </c>
      <c r="DA405" s="145" t="str">
        <f>IF($I405&lt;&gt;"",J405*INDEX('Device Refrigerant Leakage'!$D$2:$D$42,MATCH($Q405,'Device Refrigerant Leakage'!$B$2:$B$42,0))*CX405/2204.62*CW405,"")</f>
        <v/>
      </c>
      <c r="DB405" s="145" t="str">
        <f>IF($I405&lt;&gt;"",J405*(INDEX('Device Refrigerant Leakage'!$D$2:$D$42,MATCH($Q405,'Device Refrigerant Leakage'!$B$2:$B$42,0))-(INDEX('Device Refrigerant Leakage'!$D$2:$D$42,MATCH($Q405,'Device Refrigerant Leakage'!$B$2:$B$42,0)))*CZ405*CX405)*CY405/2204.62*CW405,"")</f>
        <v/>
      </c>
      <c r="DC405" s="135" t="str">
        <f t="shared" si="552"/>
        <v/>
      </c>
      <c r="DE405" s="146" t="str">
        <f>IF(W405&lt;&gt;"AR","",IF(Y405="User Specified", AA405, INDEX('Refrigerant GWPs'!$G$2:$G$154,MATCH(Y405,'Refrigerant GWPs'!$A$2:$A$154,0))))</f>
        <v/>
      </c>
      <c r="DF405" s="146" t="str">
        <f>IF(W405&lt;&gt;"AR","",INDEX('Device Refrigerant Leakage'!$E$2:$E$42,MATCH(X405,'Device Refrigerant Leakage'!$B$2:$B$42,0)))</f>
        <v/>
      </c>
      <c r="DG405" s="146" t="str">
        <f>IF(W405&lt;&gt;"AR","",INDEX('Device Refrigerant Leakage'!$F$2:$F$42,MATCH(X405,'Device Refrigerant Leakage'!$B$2:$B$42,0)))</f>
        <v/>
      </c>
      <c r="DH405" s="146" t="str">
        <f>IF(W405&lt;&gt;"AR","",INDEX('Device Refrigerant Leakage'!$G$2:$G$42,MATCH(X405,'Device Refrigerant Leakage'!$B$2:$B$42,0)))</f>
        <v/>
      </c>
      <c r="DI405" s="146" t="str">
        <f>IF(W405&lt;&gt;"AR","",J405*INDEX('Device Refrigerant Leakage'!$D$2:$D$42,MATCH(X405,'Device Refrigerant Leakage'!$B$2:$B$42,0))*DF405/2204.62*DE405)</f>
        <v/>
      </c>
      <c r="DJ405" s="146" t="str">
        <f>IF(W405&lt;&gt;"AR","",J405*(INDEX('Device Refrigerant Leakage'!$D$2:$D$42,MATCH(X405,'Device Refrigerant Leakage'!$B$2:$B$42,0))-(INDEX('Device Refrigerant Leakage'!$D$2:$D$42,MATCH(X405,'Device Refrigerant Leakage'!$B$2:$B$42,0)))*DH405*DF405)*DG405/2204.62*DE405)</f>
        <v/>
      </c>
      <c r="DK405" s="146" t="str">
        <f>IF(W405&lt;&gt;"AR","",DI405*(K405-AB405)+'Fuel Sub Calcs-Deemed'!DJ405*((K405-AB405)/INDEX('Device Refrigerant Leakage'!$C$2:$C$42,MATCH('Fuel Sub Calcs-Deemed'!X405,'Device Refrigerant Leakage'!$B$2:$B$42,0))))</f>
        <v/>
      </c>
      <c r="DM405" s="56">
        <v>391</v>
      </c>
      <c r="DN405" s="67" t="e">
        <f t="shared" si="534"/>
        <v>#N/A</v>
      </c>
      <c r="DO405" s="45" t="e">
        <f t="shared" si="535"/>
        <v>#N/A</v>
      </c>
      <c r="DP405" s="67" t="e">
        <f t="shared" si="536"/>
        <v>#N/A</v>
      </c>
      <c r="DQ405" s="45" t="e">
        <f t="shared" si="537"/>
        <v>#N/A</v>
      </c>
      <c r="DR405" s="69" t="e">
        <f t="shared" si="538"/>
        <v>#N/A</v>
      </c>
      <c r="DS405" s="34"/>
      <c r="DT405" s="67" t="e">
        <f>((BX405*CJ405)+IF($W405=MAT_AR,(BZ405*CL405),0))*(1+Reference!$E$50+Reference!$E$51)</f>
        <v>#N/A</v>
      </c>
      <c r="DU405" s="67">
        <f>((BY405*CK405)+IF($W405=MAT_AR,(CA405*CM405),0))*(1+Reference!$G$50+Reference!$G$51)</f>
        <v>0</v>
      </c>
      <c r="DV405" s="67" t="e">
        <f t="shared" si="539"/>
        <v>#VALUE!</v>
      </c>
      <c r="DX405" s="56">
        <v>391</v>
      </c>
      <c r="DY405" s="67">
        <f t="shared" si="540"/>
        <v>0</v>
      </c>
      <c r="DZ405" s="45" t="e">
        <f>VLOOKUP($R405,Dropdown!$C$3:$D$4,2,FALSE)</f>
        <v>#N/A</v>
      </c>
      <c r="EA405" s="68">
        <f t="shared" si="541"/>
        <v>0</v>
      </c>
      <c r="EB405" s="68" t="str">
        <f t="shared" si="542"/>
        <v>N/A</v>
      </c>
      <c r="EC405" s="68">
        <f t="shared" si="543"/>
        <v>0</v>
      </c>
      <c r="ED405" s="68" t="str">
        <f t="shared" si="513"/>
        <v>N/A</v>
      </c>
      <c r="EF405" s="56">
        <v>391</v>
      </c>
      <c r="EG405" s="46">
        <f t="shared" si="544"/>
        <v>0</v>
      </c>
      <c r="EH405" s="68" t="e">
        <f t="shared" si="545"/>
        <v>#N/A</v>
      </c>
      <c r="EI405" s="68" t="e">
        <f t="shared" si="546"/>
        <v>#N/A</v>
      </c>
      <c r="EJ405" s="68" t="e">
        <f t="shared" si="547"/>
        <v>#N/A</v>
      </c>
      <c r="EK405" s="68" t="e">
        <f t="shared" si="548"/>
        <v>#N/A</v>
      </c>
      <c r="EL405" s="46">
        <f t="shared" si="549"/>
        <v>0</v>
      </c>
      <c r="EM405" s="46">
        <f t="shared" si="550"/>
        <v>0</v>
      </c>
    </row>
    <row r="406" spans="1:143">
      <c r="A406" s="89"/>
      <c r="B406" s="89"/>
      <c r="C406" s="89"/>
      <c r="D406" s="89"/>
      <c r="E406" s="89"/>
      <c r="F406" s="89"/>
      <c r="G406" s="34"/>
      <c r="H406" s="56">
        <f t="shared" si="551"/>
        <v>392</v>
      </c>
      <c r="I406" s="165"/>
      <c r="J406" s="163"/>
      <c r="K406" s="163"/>
      <c r="L406" s="164"/>
      <c r="M406" s="155"/>
      <c r="N406" s="155"/>
      <c r="O406" s="144"/>
      <c r="P406" s="159" t="str">
        <f>IFERROR(IF(O406&lt;&gt;"User Specified",IF(O406&lt;&gt;"", INDEX('Refrigerant GWPs'!$G$2:$G$154,MATCH(O406,'Refrigerant GWPs'!$A$2:$A$154,0)),""),U406),0)</f>
        <v/>
      </c>
      <c r="Q406" s="155"/>
      <c r="R406" s="155"/>
      <c r="S406" s="144"/>
      <c r="T406" s="159" t="str">
        <f>IF(S406&lt;&gt;"User Specified",IF(AND(S406&lt;&gt;"User Specified",S406&lt;&gt;""), INDEX('Refrigerant GWPs'!$G$2:$G$154,MATCH(S406,'Refrigerant GWPs'!$A$2:$A$154,0)),""),V406)</f>
        <v/>
      </c>
      <c r="U406" s="144"/>
      <c r="V406" s="144"/>
      <c r="W406" s="155"/>
      <c r="X406" s="155"/>
      <c r="Y406" s="144"/>
      <c r="Z406" s="159" t="str">
        <f>IF(AND(Y406&lt;&gt;"User Specified",Y406&lt;&gt;""), INDEX('Refrigerant GWPs'!$G$2:$G$154,MATCH(Y406,'Refrigerant GWPs'!$A$2:$A$154,0)),"")</f>
        <v/>
      </c>
      <c r="AA406" s="155"/>
      <c r="AB406" s="156"/>
      <c r="AC406" s="66"/>
      <c r="AD406" s="66"/>
      <c r="AE406" s="66"/>
      <c r="AF406" s="66"/>
      <c r="AG406" s="66"/>
      <c r="AH406" s="66"/>
      <c r="AI406" s="34"/>
      <c r="AJ406" s="88">
        <f t="shared" si="514"/>
        <v>0</v>
      </c>
      <c r="AK406" s="88">
        <f t="shared" si="515"/>
        <v>0</v>
      </c>
      <c r="AL406" s="88">
        <v>0</v>
      </c>
      <c r="AM406" s="88">
        <v>0</v>
      </c>
      <c r="AN406" s="81" t="str">
        <f t="shared" si="485"/>
        <v/>
      </c>
      <c r="AO406" s="88">
        <f t="shared" si="516"/>
        <v>0</v>
      </c>
      <c r="AP406" s="88">
        <f t="shared" si="517"/>
        <v>0</v>
      </c>
      <c r="AQ406" s="81" t="str">
        <f t="shared" si="518"/>
        <v/>
      </c>
      <c r="AS406" s="41" t="b">
        <f t="shared" si="519"/>
        <v>1</v>
      </c>
      <c r="AT406" s="38">
        <f t="shared" si="520"/>
        <v>0</v>
      </c>
      <c r="AU406" s="60">
        <f t="shared" si="521"/>
        <v>0</v>
      </c>
      <c r="AV406" s="41">
        <f t="shared" si="522"/>
        <v>0</v>
      </c>
      <c r="AW406" s="41" t="b">
        <f t="shared" si="523"/>
        <v>0</v>
      </c>
      <c r="AX406" t="str">
        <f t="shared" si="524"/>
        <v>+00</v>
      </c>
      <c r="AY406" t="str">
        <f t="shared" si="525"/>
        <v>+00</v>
      </c>
      <c r="BA406" s="47" t="b">
        <f t="shared" si="486"/>
        <v>1</v>
      </c>
      <c r="BB406" s="42" t="b">
        <f t="shared" si="487"/>
        <v>1</v>
      </c>
      <c r="BC406" s="42" t="b">
        <f t="shared" si="488"/>
        <v>0</v>
      </c>
      <c r="BD406" s="42" t="b">
        <f t="shared" si="489"/>
        <v>0</v>
      </c>
      <c r="BE406" s="70">
        <f t="shared" si="490"/>
        <v>0</v>
      </c>
      <c r="BF406" s="70">
        <f t="shared" si="491"/>
        <v>0</v>
      </c>
      <c r="BG406" s="34"/>
      <c r="BI406" s="47" t="b">
        <f t="shared" si="492"/>
        <v>1</v>
      </c>
      <c r="BJ406" s="47" t="b">
        <f t="shared" si="493"/>
        <v>1</v>
      </c>
      <c r="BK406" s="42" t="b">
        <f t="shared" si="494"/>
        <v>0</v>
      </c>
      <c r="BL406" s="42" t="b">
        <f t="shared" si="495"/>
        <v>0</v>
      </c>
      <c r="BM406" s="42">
        <f t="shared" si="496"/>
        <v>0</v>
      </c>
      <c r="BN406" s="42">
        <f t="shared" si="497"/>
        <v>0</v>
      </c>
      <c r="BP406" t="e">
        <f t="shared" si="498"/>
        <v>#N/A</v>
      </c>
      <c r="BQ406" t="e">
        <f t="shared" si="499"/>
        <v>#N/A</v>
      </c>
      <c r="BR406" t="e">
        <f t="shared" si="500"/>
        <v>#N/A</v>
      </c>
      <c r="BT406" s="60">
        <f t="shared" si="501"/>
        <v>0</v>
      </c>
      <c r="BU406" s="60">
        <f t="shared" si="502"/>
        <v>0</v>
      </c>
      <c r="BV406" s="60">
        <f t="shared" si="503"/>
        <v>0</v>
      </c>
      <c r="BW406" s="60">
        <f t="shared" si="504"/>
        <v>0</v>
      </c>
      <c r="BX406" s="60">
        <f t="shared" si="505"/>
        <v>0</v>
      </c>
      <c r="BY406" s="60">
        <f t="shared" si="506"/>
        <v>0</v>
      </c>
      <c r="BZ406" s="60">
        <f t="shared" si="507"/>
        <v>0</v>
      </c>
      <c r="CA406" s="60">
        <f t="shared" si="508"/>
        <v>0</v>
      </c>
      <c r="CB406" s="60" t="e">
        <f t="shared" si="526"/>
        <v>#N/A</v>
      </c>
      <c r="CC406" s="60">
        <f t="shared" si="527"/>
        <v>100000</v>
      </c>
      <c r="CD406" s="60" t="e">
        <f t="shared" si="528"/>
        <v>#N/A</v>
      </c>
      <c r="CE406" s="60">
        <f t="shared" si="529"/>
        <v>100000</v>
      </c>
      <c r="CF406" s="83" t="e">
        <f t="shared" si="509"/>
        <v>#N/A</v>
      </c>
      <c r="CG406" s="83">
        <f t="shared" si="510"/>
        <v>0</v>
      </c>
      <c r="CH406" s="83" t="e">
        <f t="shared" si="511"/>
        <v>#N/A</v>
      </c>
      <c r="CI406" s="83">
        <f t="shared" si="512"/>
        <v>0</v>
      </c>
      <c r="CJ406" s="86" t="e">
        <f t="shared" si="530"/>
        <v>#N/A</v>
      </c>
      <c r="CK406" s="82">
        <f t="shared" si="531"/>
        <v>5.3070370403969858E-3</v>
      </c>
      <c r="CL406" s="82" t="e">
        <f t="shared" si="532"/>
        <v>#N/A</v>
      </c>
      <c r="CM406" s="82">
        <f t="shared" si="533"/>
        <v>5.3070370403969858E-3</v>
      </c>
      <c r="CO406" s="149" t="str">
        <f>IF($I406&lt;&gt;"",IF(O406="User Specified",U406,INDEX('Refrigerant GWPs'!$G$2:$G$156,MATCH(O406,'Refrigerant GWPs'!$A$2:$A$156,0))),"")</f>
        <v/>
      </c>
      <c r="CP406" s="138" t="str">
        <f>IF($I406&lt;&gt;"",INDEX('Device Refrigerant Leakage'!$E$2:$E$42,MATCH($M406,'Device Refrigerant Leakage'!$B$2:$B$42,0)),"")</f>
        <v/>
      </c>
      <c r="CQ406" s="138" t="str">
        <f>IF($I406&lt;&gt;"",INDEX('Device Refrigerant Leakage'!$F$2:$F$42,MATCH($M406,'Device Refrigerant Leakage'!$B$2:$B$42,0)),"")</f>
        <v/>
      </c>
      <c r="CR406" s="145" t="str">
        <f>IF($I406&lt;&gt;"",INDEX('Device Refrigerant Leakage'!$G$2:$G$42,MATCH($M406,'Device Refrigerant Leakage'!$B$2:$B$42,0)),"")</f>
        <v/>
      </c>
      <c r="CS406" s="145" t="str">
        <f>IF($I406&lt;&gt;"",INDEX('Device Refrigerant Leakage'!$D$2:$D$42,MATCH($M406,'Device Refrigerant Leakage'!$B$2:$B$42,0))*CP406/2204.62*CO406,"")</f>
        <v/>
      </c>
      <c r="CT406" s="145" t="str">
        <f>IF($I406&lt;&gt;"",J406*(INDEX('Device Refrigerant Leakage'!$D$2:$D$42,MATCH($M406,'Device Refrigerant Leakage'!$B$2:$B$42,0))-(INDEX('Device Refrigerant Leakage'!$D$2:$D$42,MATCH($M406,'Device Refrigerant Leakage'!$B$2:$B$42,0)))*CR406*CP406)*CQ406/2204.62*CO406,"")</f>
        <v/>
      </c>
      <c r="CU406" s="135" t="str">
        <f>IF($I406&lt;&gt;"",J406*IF(W406&lt;&gt;"AR",(CS406*K406)+CT406,(CS406*AB406)+CT406*(AB406/INDEX('Device Refrigerant Leakage'!$C$2:$C$42,MATCH($M406,'Device Refrigerant Leakage'!$B$2:$B$42,0)))),"")</f>
        <v/>
      </c>
      <c r="CW406" s="135" t="str">
        <f>IF($I406&lt;&gt;"",IF(S406="User Specified",V406,INDEX('Refrigerant GWPs'!$G$2:$G$156,MATCH(S406,'Refrigerant GWPs'!$A$2:$A$157,0))),"")</f>
        <v/>
      </c>
      <c r="CX406" s="138" t="str">
        <f>IF($I406&lt;&gt;"",INDEX('Device Refrigerant Leakage'!$E$2:$E$42,MATCH($Q406,'Device Refrigerant Leakage'!$B$2:$B$42,0)),"")</f>
        <v/>
      </c>
      <c r="CY406" s="138" t="str">
        <f>IF($I406&lt;&gt;"",INDEX('Device Refrigerant Leakage'!$F$2:$F$42,MATCH($Q406,'Device Refrigerant Leakage'!$B$2:$B$42,0)),"")</f>
        <v/>
      </c>
      <c r="CZ406" s="145" t="str">
        <f>IF($I406&lt;&gt;"",INDEX('Device Refrigerant Leakage'!$G$2:$G$42,MATCH($Q406,'Device Refrigerant Leakage'!$B$2:$B$42,0)),"")</f>
        <v/>
      </c>
      <c r="DA406" s="145" t="str">
        <f>IF($I406&lt;&gt;"",J406*INDEX('Device Refrigerant Leakage'!$D$2:$D$42,MATCH($Q406,'Device Refrigerant Leakage'!$B$2:$B$42,0))*CX406/2204.62*CW406,"")</f>
        <v/>
      </c>
      <c r="DB406" s="145" t="str">
        <f>IF($I406&lt;&gt;"",J406*(INDEX('Device Refrigerant Leakage'!$D$2:$D$42,MATCH($Q406,'Device Refrigerant Leakage'!$B$2:$B$42,0))-(INDEX('Device Refrigerant Leakage'!$D$2:$D$42,MATCH($Q406,'Device Refrigerant Leakage'!$B$2:$B$42,0)))*CZ406*CX406)*CY406/2204.62*CW406,"")</f>
        <v/>
      </c>
      <c r="DC406" s="135" t="str">
        <f t="shared" si="552"/>
        <v/>
      </c>
      <c r="DE406" s="146" t="str">
        <f>IF(W406&lt;&gt;"AR","",IF(Y406="User Specified", AA406, INDEX('Refrigerant GWPs'!$G$2:$G$154,MATCH(Y406,'Refrigerant GWPs'!$A$2:$A$154,0))))</f>
        <v/>
      </c>
      <c r="DF406" s="146" t="str">
        <f>IF(W406&lt;&gt;"AR","",INDEX('Device Refrigerant Leakage'!$E$2:$E$42,MATCH(X406,'Device Refrigerant Leakage'!$B$2:$B$42,0)))</f>
        <v/>
      </c>
      <c r="DG406" s="146" t="str">
        <f>IF(W406&lt;&gt;"AR","",INDEX('Device Refrigerant Leakage'!$F$2:$F$42,MATCH(X406,'Device Refrigerant Leakage'!$B$2:$B$42,0)))</f>
        <v/>
      </c>
      <c r="DH406" s="146" t="str">
        <f>IF(W406&lt;&gt;"AR","",INDEX('Device Refrigerant Leakage'!$G$2:$G$42,MATCH(X406,'Device Refrigerant Leakage'!$B$2:$B$42,0)))</f>
        <v/>
      </c>
      <c r="DI406" s="146" t="str">
        <f>IF(W406&lt;&gt;"AR","",J406*INDEX('Device Refrigerant Leakage'!$D$2:$D$42,MATCH(X406,'Device Refrigerant Leakage'!$B$2:$B$42,0))*DF406/2204.62*DE406)</f>
        <v/>
      </c>
      <c r="DJ406" s="146" t="str">
        <f>IF(W406&lt;&gt;"AR","",J406*(INDEX('Device Refrigerant Leakage'!$D$2:$D$42,MATCH(X406,'Device Refrigerant Leakage'!$B$2:$B$42,0))-(INDEX('Device Refrigerant Leakage'!$D$2:$D$42,MATCH(X406,'Device Refrigerant Leakage'!$B$2:$B$42,0)))*DH406*DF406)*DG406/2204.62*DE406)</f>
        <v/>
      </c>
      <c r="DK406" s="146" t="str">
        <f>IF(W406&lt;&gt;"AR","",DI406*(K406-AB406)+'Fuel Sub Calcs-Deemed'!DJ406*((K406-AB406)/INDEX('Device Refrigerant Leakage'!$C$2:$C$42,MATCH('Fuel Sub Calcs-Deemed'!X406,'Device Refrigerant Leakage'!$B$2:$B$42,0))))</f>
        <v/>
      </c>
      <c r="DM406" s="56">
        <v>392</v>
      </c>
      <c r="DN406" s="67" t="e">
        <f t="shared" si="534"/>
        <v>#N/A</v>
      </c>
      <c r="DO406" s="45" t="e">
        <f t="shared" si="535"/>
        <v>#N/A</v>
      </c>
      <c r="DP406" s="67" t="e">
        <f t="shared" si="536"/>
        <v>#N/A</v>
      </c>
      <c r="DQ406" s="45" t="e">
        <f t="shared" si="537"/>
        <v>#N/A</v>
      </c>
      <c r="DR406" s="69" t="e">
        <f t="shared" si="538"/>
        <v>#N/A</v>
      </c>
      <c r="DS406" s="34"/>
      <c r="DT406" s="67" t="e">
        <f>((BX406*CJ406)+IF($W406=MAT_AR,(BZ406*CL406),0))*(1+Reference!$E$50+Reference!$E$51)</f>
        <v>#N/A</v>
      </c>
      <c r="DU406" s="67">
        <f>((BY406*CK406)+IF($W406=MAT_AR,(CA406*CM406),0))*(1+Reference!$G$50+Reference!$G$51)</f>
        <v>0</v>
      </c>
      <c r="DV406" s="67" t="e">
        <f t="shared" si="539"/>
        <v>#VALUE!</v>
      </c>
      <c r="DX406" s="56">
        <v>392</v>
      </c>
      <c r="DY406" s="67">
        <f t="shared" si="540"/>
        <v>0</v>
      </c>
      <c r="DZ406" s="45" t="e">
        <f>VLOOKUP($R406,Dropdown!$C$3:$D$4,2,FALSE)</f>
        <v>#N/A</v>
      </c>
      <c r="EA406" s="68">
        <f t="shared" si="541"/>
        <v>0</v>
      </c>
      <c r="EB406" s="68" t="str">
        <f t="shared" si="542"/>
        <v>N/A</v>
      </c>
      <c r="EC406" s="68">
        <f t="shared" si="543"/>
        <v>0</v>
      </c>
      <c r="ED406" s="68" t="str">
        <f t="shared" si="513"/>
        <v>N/A</v>
      </c>
      <c r="EF406" s="56">
        <v>392</v>
      </c>
      <c r="EG406" s="46">
        <f t="shared" si="544"/>
        <v>0</v>
      </c>
      <c r="EH406" s="68" t="e">
        <f t="shared" si="545"/>
        <v>#N/A</v>
      </c>
      <c r="EI406" s="68" t="e">
        <f t="shared" si="546"/>
        <v>#N/A</v>
      </c>
      <c r="EJ406" s="68" t="e">
        <f t="shared" si="547"/>
        <v>#N/A</v>
      </c>
      <c r="EK406" s="68" t="e">
        <f t="shared" si="548"/>
        <v>#N/A</v>
      </c>
      <c r="EL406" s="46">
        <f t="shared" si="549"/>
        <v>0</v>
      </c>
      <c r="EM406" s="46">
        <f t="shared" si="550"/>
        <v>0</v>
      </c>
    </row>
    <row r="407" spans="1:143">
      <c r="A407" s="89"/>
      <c r="B407" s="89"/>
      <c r="C407" s="89"/>
      <c r="D407" s="89"/>
      <c r="E407" s="89"/>
      <c r="F407" s="89"/>
      <c r="G407" s="34"/>
      <c r="H407" s="56">
        <f t="shared" si="551"/>
        <v>393</v>
      </c>
      <c r="I407" s="165"/>
      <c r="J407" s="163"/>
      <c r="K407" s="163"/>
      <c r="L407" s="164"/>
      <c r="M407" s="155"/>
      <c r="N407" s="155"/>
      <c r="O407" s="144"/>
      <c r="P407" s="159" t="str">
        <f>IFERROR(IF(O407&lt;&gt;"User Specified",IF(O407&lt;&gt;"", INDEX('Refrigerant GWPs'!$G$2:$G$154,MATCH(O407,'Refrigerant GWPs'!$A$2:$A$154,0)),""),U407),0)</f>
        <v/>
      </c>
      <c r="Q407" s="155"/>
      <c r="R407" s="155"/>
      <c r="S407" s="144"/>
      <c r="T407" s="159" t="str">
        <f>IF(S407&lt;&gt;"User Specified",IF(AND(S407&lt;&gt;"User Specified",S407&lt;&gt;""), INDEX('Refrigerant GWPs'!$G$2:$G$154,MATCH(S407,'Refrigerant GWPs'!$A$2:$A$154,0)),""),V407)</f>
        <v/>
      </c>
      <c r="U407" s="144"/>
      <c r="V407" s="144"/>
      <c r="W407" s="155"/>
      <c r="X407" s="155"/>
      <c r="Y407" s="144"/>
      <c r="Z407" s="159" t="str">
        <f>IF(AND(Y407&lt;&gt;"User Specified",Y407&lt;&gt;""), INDEX('Refrigerant GWPs'!$G$2:$G$154,MATCH(Y407,'Refrigerant GWPs'!$A$2:$A$154,0)),"")</f>
        <v/>
      </c>
      <c r="AA407" s="155"/>
      <c r="AB407" s="156"/>
      <c r="AC407" s="66"/>
      <c r="AD407" s="66"/>
      <c r="AE407" s="66"/>
      <c r="AF407" s="66"/>
      <c r="AG407" s="66"/>
      <c r="AH407" s="66"/>
      <c r="AI407" s="34"/>
      <c r="AJ407" s="88">
        <f t="shared" si="514"/>
        <v>0</v>
      </c>
      <c r="AK407" s="88">
        <f t="shared" si="515"/>
        <v>0</v>
      </c>
      <c r="AL407" s="88">
        <v>0</v>
      </c>
      <c r="AM407" s="88">
        <v>0</v>
      </c>
      <c r="AN407" s="81" t="str">
        <f t="shared" ref="AN407:AN470" si="553">IF(OR(BC407:BD407),"Warning: Need to enter baseline and measure consumption","")</f>
        <v/>
      </c>
      <c r="AO407" s="88">
        <f t="shared" si="516"/>
        <v>0</v>
      </c>
      <c r="AP407" s="88">
        <f t="shared" si="517"/>
        <v>0</v>
      </c>
      <c r="AQ407" s="81" t="str">
        <f t="shared" si="518"/>
        <v/>
      </c>
      <c r="AS407" s="41" t="b">
        <f t="shared" si="519"/>
        <v>1</v>
      </c>
      <c r="AT407" s="38">
        <f t="shared" si="520"/>
        <v>0</v>
      </c>
      <c r="AU407" s="60">
        <f t="shared" si="521"/>
        <v>0</v>
      </c>
      <c r="AV407" s="41">
        <f t="shared" si="522"/>
        <v>0</v>
      </c>
      <c r="AW407" s="41" t="b">
        <f t="shared" si="523"/>
        <v>0</v>
      </c>
      <c r="AX407" t="str">
        <f t="shared" si="524"/>
        <v>+00</v>
      </c>
      <c r="AY407" t="str">
        <f t="shared" si="525"/>
        <v>+00</v>
      </c>
      <c r="BA407" s="47" t="b">
        <f t="shared" ref="BA407:BA470" si="554">NOT(OR(ISBLANK(AJ407),ISBLANK(AL407)))</f>
        <v>1</v>
      </c>
      <c r="BB407" s="42" t="b">
        <f t="shared" ref="BB407:BB470" si="555">NOT(OR(ISBLANK(AK407),ISBLANK(AM407)))</f>
        <v>1</v>
      </c>
      <c r="BC407" s="42" t="b">
        <f t="shared" ref="BC407:BC470" si="556">AND(NOT(BA407))</f>
        <v>0</v>
      </c>
      <c r="BD407" s="42" t="b">
        <f t="shared" ref="BD407:BD470" si="557">AND(NOT(BB407))</f>
        <v>0</v>
      </c>
      <c r="BE407" s="70">
        <f t="shared" ref="BE407:BE470" si="558">AJ407-AL407</f>
        <v>0</v>
      </c>
      <c r="BF407" s="70">
        <f t="shared" ref="BF407:BF470" si="559">AK407-AM407</f>
        <v>0</v>
      </c>
      <c r="BG407" s="34"/>
      <c r="BI407" s="47" t="b">
        <f t="shared" ref="BI407:BI470" si="560">NOT(OR(ISBLANK(AL407),ISBLANK(AO407)))</f>
        <v>1</v>
      </c>
      <c r="BJ407" s="47" t="b">
        <f t="shared" ref="BJ407:BJ470" si="561">NOT(OR(ISBLANK(AM407),ISBLANK(AP407)))</f>
        <v>1</v>
      </c>
      <c r="BK407" s="42" t="b">
        <f t="shared" ref="BK407:BK470" si="562">AND(NOT(BI407))</f>
        <v>0</v>
      </c>
      <c r="BL407" s="42" t="b">
        <f t="shared" ref="BL407:BL470" si="563">AND(NOT(BJ407))</f>
        <v>0</v>
      </c>
      <c r="BM407" s="42">
        <f t="shared" ref="BM407:BM470" si="564">IF(NOT(OR(ISBLANK(AO407),ISBLANK(AL407))),AO407-AL407,0)</f>
        <v>0</v>
      </c>
      <c r="BN407" s="42">
        <f t="shared" ref="BN407:BN470" si="565">IF(NOT(OR(ISBLANK(AP407),ISBLANK(AM407))),AP407-AM407,0)</f>
        <v>0</v>
      </c>
      <c r="BP407" t="e">
        <f t="shared" ref="BP407:BP470" si="566">(DN407&gt;=0)</f>
        <v>#N/A</v>
      </c>
      <c r="BQ407" t="e">
        <f t="shared" ref="BQ407:BQ470" si="567">(DP407&gt;=0)</f>
        <v>#N/A</v>
      </c>
      <c r="BR407" t="e">
        <f t="shared" ref="BR407:BR470" si="568">AND(BP407,BQ407)</f>
        <v>#N/A</v>
      </c>
      <c r="BT407" s="60">
        <f t="shared" ref="BT407:BT470" si="569">$J407*BE407</f>
        <v>0</v>
      </c>
      <c r="BU407" s="60">
        <f t="shared" ref="BU407:BU470" si="570">$J407*BF407</f>
        <v>0</v>
      </c>
      <c r="BV407" s="60">
        <f t="shared" ref="BV407:BV470" si="571">$J407*BM407</f>
        <v>0</v>
      </c>
      <c r="BW407" s="60">
        <f t="shared" ref="BW407:BW470" si="572">$J407*BN407</f>
        <v>0</v>
      </c>
      <c r="BX407" s="60">
        <f t="shared" ref="BX407:BX470" si="573">$AT407*BT407</f>
        <v>0</v>
      </c>
      <c r="BY407" s="60">
        <f t="shared" ref="BY407:BY470" si="574">$AT407*BU407</f>
        <v>0</v>
      </c>
      <c r="BZ407" s="60">
        <f t="shared" ref="BZ407:BZ470" si="575">$AU407*BV407</f>
        <v>0</v>
      </c>
      <c r="CA407" s="60">
        <f t="shared" ref="CA407:CA470" si="576">$AU407*BW407</f>
        <v>0</v>
      </c>
      <c r="CB407" s="60" t="e">
        <f t="shared" si="526"/>
        <v>#N/A</v>
      </c>
      <c r="CC407" s="60">
        <f t="shared" si="527"/>
        <v>100000</v>
      </c>
      <c r="CD407" s="60" t="e">
        <f t="shared" si="528"/>
        <v>#N/A</v>
      </c>
      <c r="CE407" s="60">
        <f t="shared" si="529"/>
        <v>100000</v>
      </c>
      <c r="CF407" s="83" t="e">
        <f t="shared" ref="CF407:CF470" si="577">$AT407*CB407/1000000</f>
        <v>#N/A</v>
      </c>
      <c r="CG407" s="83">
        <f t="shared" ref="CG407:CG470" si="578">$AT407*CC407/1000000</f>
        <v>0</v>
      </c>
      <c r="CH407" s="83" t="e">
        <f t="shared" ref="CH407:CH470" si="579">$AU407*CD407/1000000</f>
        <v>#N/A</v>
      </c>
      <c r="CI407" s="83">
        <f t="shared" ref="CI407:CI470" si="580">$AU407*CE407/1000000</f>
        <v>0</v>
      </c>
      <c r="CJ407" s="86" t="e">
        <f t="shared" si="530"/>
        <v>#N/A</v>
      </c>
      <c r="CK407" s="82">
        <f t="shared" si="531"/>
        <v>5.3070370403969858E-3</v>
      </c>
      <c r="CL407" s="82" t="e">
        <f t="shared" si="532"/>
        <v>#N/A</v>
      </c>
      <c r="CM407" s="82">
        <f t="shared" si="533"/>
        <v>5.3070370403969858E-3</v>
      </c>
      <c r="CO407" s="149" t="str">
        <f>IF($I407&lt;&gt;"",IF(O407="User Specified",U407,INDEX('Refrigerant GWPs'!$G$2:$G$156,MATCH(O407,'Refrigerant GWPs'!$A$2:$A$156,0))),"")</f>
        <v/>
      </c>
      <c r="CP407" s="138" t="str">
        <f>IF($I407&lt;&gt;"",INDEX('Device Refrigerant Leakage'!$E$2:$E$42,MATCH($M407,'Device Refrigerant Leakage'!$B$2:$B$42,0)),"")</f>
        <v/>
      </c>
      <c r="CQ407" s="138" t="str">
        <f>IF($I407&lt;&gt;"",INDEX('Device Refrigerant Leakage'!$F$2:$F$42,MATCH($M407,'Device Refrigerant Leakage'!$B$2:$B$42,0)),"")</f>
        <v/>
      </c>
      <c r="CR407" s="145" t="str">
        <f>IF($I407&lt;&gt;"",INDEX('Device Refrigerant Leakage'!$G$2:$G$42,MATCH($M407,'Device Refrigerant Leakage'!$B$2:$B$42,0)),"")</f>
        <v/>
      </c>
      <c r="CS407" s="145" t="str">
        <f>IF($I407&lt;&gt;"",INDEX('Device Refrigerant Leakage'!$D$2:$D$42,MATCH($M407,'Device Refrigerant Leakage'!$B$2:$B$42,0))*CP407/2204.62*CO407,"")</f>
        <v/>
      </c>
      <c r="CT407" s="145" t="str">
        <f>IF($I407&lt;&gt;"",J407*(INDEX('Device Refrigerant Leakage'!$D$2:$D$42,MATCH($M407,'Device Refrigerant Leakage'!$B$2:$B$42,0))-(INDEX('Device Refrigerant Leakage'!$D$2:$D$42,MATCH($M407,'Device Refrigerant Leakage'!$B$2:$B$42,0)))*CR407*CP407)*CQ407/2204.62*CO407,"")</f>
        <v/>
      </c>
      <c r="CU407" s="135" t="str">
        <f>IF($I407&lt;&gt;"",J407*IF(W407&lt;&gt;"AR",(CS407*K407)+CT407,(CS407*AB407)+CT407*(AB407/INDEX('Device Refrigerant Leakage'!$C$2:$C$42,MATCH($M407,'Device Refrigerant Leakage'!$B$2:$B$42,0)))),"")</f>
        <v/>
      </c>
      <c r="CW407" s="135" t="str">
        <f>IF($I407&lt;&gt;"",IF(S407="User Specified",V407,INDEX('Refrigerant GWPs'!$G$2:$G$156,MATCH(S407,'Refrigerant GWPs'!$A$2:$A$157,0))),"")</f>
        <v/>
      </c>
      <c r="CX407" s="138" t="str">
        <f>IF($I407&lt;&gt;"",INDEX('Device Refrigerant Leakage'!$E$2:$E$42,MATCH($Q407,'Device Refrigerant Leakage'!$B$2:$B$42,0)),"")</f>
        <v/>
      </c>
      <c r="CY407" s="138" t="str">
        <f>IF($I407&lt;&gt;"",INDEX('Device Refrigerant Leakage'!$F$2:$F$42,MATCH($Q407,'Device Refrigerant Leakage'!$B$2:$B$42,0)),"")</f>
        <v/>
      </c>
      <c r="CZ407" s="145" t="str">
        <f>IF($I407&lt;&gt;"",INDEX('Device Refrigerant Leakage'!$G$2:$G$42,MATCH($Q407,'Device Refrigerant Leakage'!$B$2:$B$42,0)),"")</f>
        <v/>
      </c>
      <c r="DA407" s="145" t="str">
        <f>IF($I407&lt;&gt;"",J407*INDEX('Device Refrigerant Leakage'!$D$2:$D$42,MATCH($Q407,'Device Refrigerant Leakage'!$B$2:$B$42,0))*CX407/2204.62*CW407,"")</f>
        <v/>
      </c>
      <c r="DB407" s="145" t="str">
        <f>IF($I407&lt;&gt;"",J407*(INDEX('Device Refrigerant Leakage'!$D$2:$D$42,MATCH($Q407,'Device Refrigerant Leakage'!$B$2:$B$42,0))-(INDEX('Device Refrigerant Leakage'!$D$2:$D$42,MATCH($Q407,'Device Refrigerant Leakage'!$B$2:$B$42,0)))*CZ407*CX407)*CY407/2204.62*CW407,"")</f>
        <v/>
      </c>
      <c r="DC407" s="135" t="str">
        <f t="shared" si="552"/>
        <v/>
      </c>
      <c r="DE407" s="146" t="str">
        <f>IF(W407&lt;&gt;"AR","",IF(Y407="User Specified", AA407, INDEX('Refrigerant GWPs'!$G$2:$G$154,MATCH(Y407,'Refrigerant GWPs'!$A$2:$A$154,0))))</f>
        <v/>
      </c>
      <c r="DF407" s="146" t="str">
        <f>IF(W407&lt;&gt;"AR","",INDEX('Device Refrigerant Leakage'!$E$2:$E$42,MATCH(X407,'Device Refrigerant Leakage'!$B$2:$B$42,0)))</f>
        <v/>
      </c>
      <c r="DG407" s="146" t="str">
        <f>IF(W407&lt;&gt;"AR","",INDEX('Device Refrigerant Leakage'!$F$2:$F$42,MATCH(X407,'Device Refrigerant Leakage'!$B$2:$B$42,0)))</f>
        <v/>
      </c>
      <c r="DH407" s="146" t="str">
        <f>IF(W407&lt;&gt;"AR","",INDEX('Device Refrigerant Leakage'!$G$2:$G$42,MATCH(X407,'Device Refrigerant Leakage'!$B$2:$B$42,0)))</f>
        <v/>
      </c>
      <c r="DI407" s="146" t="str">
        <f>IF(W407&lt;&gt;"AR","",J407*INDEX('Device Refrigerant Leakage'!$D$2:$D$42,MATCH(X407,'Device Refrigerant Leakage'!$B$2:$B$42,0))*DF407/2204.62*DE407)</f>
        <v/>
      </c>
      <c r="DJ407" s="146" t="str">
        <f>IF(W407&lt;&gt;"AR","",J407*(INDEX('Device Refrigerant Leakage'!$D$2:$D$42,MATCH(X407,'Device Refrigerant Leakage'!$B$2:$B$42,0))-(INDEX('Device Refrigerant Leakage'!$D$2:$D$42,MATCH(X407,'Device Refrigerant Leakage'!$B$2:$B$42,0)))*DH407*DF407)*DG407/2204.62*DE407)</f>
        <v/>
      </c>
      <c r="DK407" s="146" t="str">
        <f>IF(W407&lt;&gt;"AR","",DI407*(K407-AB407)+'Fuel Sub Calcs-Deemed'!DJ407*((K407-AB407)/INDEX('Device Refrigerant Leakage'!$C$2:$C$42,MATCH('Fuel Sub Calcs-Deemed'!X407,'Device Refrigerant Leakage'!$B$2:$B$42,0))))</f>
        <v/>
      </c>
      <c r="DM407" s="56">
        <v>393</v>
      </c>
      <c r="DN407" s="67" t="e">
        <f t="shared" si="534"/>
        <v>#N/A</v>
      </c>
      <c r="DO407" s="45" t="e">
        <f t="shared" si="535"/>
        <v>#N/A</v>
      </c>
      <c r="DP407" s="67" t="e">
        <f t="shared" si="536"/>
        <v>#N/A</v>
      </c>
      <c r="DQ407" s="45" t="e">
        <f t="shared" si="537"/>
        <v>#N/A</v>
      </c>
      <c r="DR407" s="69" t="e">
        <f t="shared" si="538"/>
        <v>#N/A</v>
      </c>
      <c r="DS407" s="34"/>
      <c r="DT407" s="67" t="e">
        <f>((BX407*CJ407)+IF($W407=MAT_AR,(BZ407*CL407),0))*(1+Reference!$E$50+Reference!$E$51)</f>
        <v>#N/A</v>
      </c>
      <c r="DU407" s="67">
        <f>((BY407*CK407)+IF($W407=MAT_AR,(CA407*CM407),0))*(1+Reference!$G$50+Reference!$G$51)</f>
        <v>0</v>
      </c>
      <c r="DV407" s="67" t="e">
        <f t="shared" si="539"/>
        <v>#VALUE!</v>
      </c>
      <c r="DX407" s="56">
        <v>393</v>
      </c>
      <c r="DY407" s="67">
        <f t="shared" si="540"/>
        <v>0</v>
      </c>
      <c r="DZ407" s="45" t="e">
        <f>VLOOKUP($R407,Dropdown!$C$3:$D$4,2,FALSE)</f>
        <v>#N/A</v>
      </c>
      <c r="EA407" s="68">
        <f t="shared" si="541"/>
        <v>0</v>
      </c>
      <c r="EB407" s="68" t="str">
        <f t="shared" si="542"/>
        <v>N/A</v>
      </c>
      <c r="EC407" s="68">
        <f t="shared" si="543"/>
        <v>0</v>
      </c>
      <c r="ED407" s="68" t="str">
        <f t="shared" ref="ED407:ED470" si="581">IF($R407=fuel_electricity,DY407*10^6/Btu_therm,"N/A")</f>
        <v>N/A</v>
      </c>
      <c r="EF407" s="56">
        <v>393</v>
      </c>
      <c r="EG407" s="46">
        <f t="shared" si="544"/>
        <v>0</v>
      </c>
      <c r="EH407" s="68" t="e">
        <f t="shared" si="545"/>
        <v>#N/A</v>
      </c>
      <c r="EI407" s="68" t="e">
        <f t="shared" si="546"/>
        <v>#N/A</v>
      </c>
      <c r="EJ407" s="68" t="e">
        <f t="shared" si="547"/>
        <v>#N/A</v>
      </c>
      <c r="EK407" s="68" t="e">
        <f t="shared" si="548"/>
        <v>#N/A</v>
      </c>
      <c r="EL407" s="46">
        <f t="shared" si="549"/>
        <v>0</v>
      </c>
      <c r="EM407" s="46">
        <f t="shared" si="550"/>
        <v>0</v>
      </c>
    </row>
    <row r="408" spans="1:143">
      <c r="A408" s="89"/>
      <c r="B408" s="89"/>
      <c r="C408" s="89"/>
      <c r="D408" s="89"/>
      <c r="E408" s="89"/>
      <c r="F408" s="89"/>
      <c r="G408" s="34"/>
      <c r="H408" s="56">
        <f t="shared" si="551"/>
        <v>394</v>
      </c>
      <c r="I408" s="165"/>
      <c r="J408" s="163"/>
      <c r="K408" s="163"/>
      <c r="L408" s="164"/>
      <c r="M408" s="155"/>
      <c r="N408" s="155"/>
      <c r="O408" s="144"/>
      <c r="P408" s="159" t="str">
        <f>IFERROR(IF(O408&lt;&gt;"User Specified",IF(O408&lt;&gt;"", INDEX('Refrigerant GWPs'!$G$2:$G$154,MATCH(O408,'Refrigerant GWPs'!$A$2:$A$154,0)),""),U408),0)</f>
        <v/>
      </c>
      <c r="Q408" s="155"/>
      <c r="R408" s="155"/>
      <c r="S408" s="144"/>
      <c r="T408" s="159" t="str">
        <f>IF(S408&lt;&gt;"User Specified",IF(AND(S408&lt;&gt;"User Specified",S408&lt;&gt;""), INDEX('Refrigerant GWPs'!$G$2:$G$154,MATCH(S408,'Refrigerant GWPs'!$A$2:$A$154,0)),""),V408)</f>
        <v/>
      </c>
      <c r="U408" s="144"/>
      <c r="V408" s="144"/>
      <c r="W408" s="155"/>
      <c r="X408" s="155"/>
      <c r="Y408" s="144"/>
      <c r="Z408" s="159" t="str">
        <f>IF(AND(Y408&lt;&gt;"User Specified",Y408&lt;&gt;""), INDEX('Refrigerant GWPs'!$G$2:$G$154,MATCH(Y408,'Refrigerant GWPs'!$A$2:$A$154,0)),"")</f>
        <v/>
      </c>
      <c r="AA408" s="155"/>
      <c r="AB408" s="156"/>
      <c r="AC408" s="66"/>
      <c r="AD408" s="66"/>
      <c r="AE408" s="66"/>
      <c r="AF408" s="66"/>
      <c r="AG408" s="66"/>
      <c r="AH408" s="66"/>
      <c r="AI408" s="34"/>
      <c r="AJ408" s="88">
        <f t="shared" si="514"/>
        <v>0</v>
      </c>
      <c r="AK408" s="88">
        <f t="shared" si="515"/>
        <v>0</v>
      </c>
      <c r="AL408" s="88">
        <v>0</v>
      </c>
      <c r="AM408" s="88">
        <v>0</v>
      </c>
      <c r="AN408" s="81" t="str">
        <f t="shared" si="553"/>
        <v/>
      </c>
      <c r="AO408" s="88">
        <f t="shared" si="516"/>
        <v>0</v>
      </c>
      <c r="AP408" s="88">
        <f t="shared" si="517"/>
        <v>0</v>
      </c>
      <c r="AQ408" s="81" t="str">
        <f t="shared" si="518"/>
        <v/>
      </c>
      <c r="AS408" s="41" t="b">
        <f t="shared" si="519"/>
        <v>1</v>
      </c>
      <c r="AT408" s="38">
        <f t="shared" si="520"/>
        <v>0</v>
      </c>
      <c r="AU408" s="60">
        <f t="shared" si="521"/>
        <v>0</v>
      </c>
      <c r="AV408" s="41">
        <f t="shared" si="522"/>
        <v>0</v>
      </c>
      <c r="AW408" s="41" t="b">
        <f t="shared" si="523"/>
        <v>0</v>
      </c>
      <c r="AX408" t="str">
        <f t="shared" si="524"/>
        <v>+00</v>
      </c>
      <c r="AY408" t="str">
        <f t="shared" si="525"/>
        <v>+00</v>
      </c>
      <c r="BA408" s="47" t="b">
        <f t="shared" si="554"/>
        <v>1</v>
      </c>
      <c r="BB408" s="42" t="b">
        <f t="shared" si="555"/>
        <v>1</v>
      </c>
      <c r="BC408" s="42" t="b">
        <f t="shared" si="556"/>
        <v>0</v>
      </c>
      <c r="BD408" s="42" t="b">
        <f t="shared" si="557"/>
        <v>0</v>
      </c>
      <c r="BE408" s="70">
        <f t="shared" si="558"/>
        <v>0</v>
      </c>
      <c r="BF408" s="70">
        <f t="shared" si="559"/>
        <v>0</v>
      </c>
      <c r="BG408" s="34"/>
      <c r="BI408" s="47" t="b">
        <f t="shared" si="560"/>
        <v>1</v>
      </c>
      <c r="BJ408" s="47" t="b">
        <f t="shared" si="561"/>
        <v>1</v>
      </c>
      <c r="BK408" s="42" t="b">
        <f t="shared" si="562"/>
        <v>0</v>
      </c>
      <c r="BL408" s="42" t="b">
        <f t="shared" si="563"/>
        <v>0</v>
      </c>
      <c r="BM408" s="42">
        <f t="shared" si="564"/>
        <v>0</v>
      </c>
      <c r="BN408" s="42">
        <f t="shared" si="565"/>
        <v>0</v>
      </c>
      <c r="BP408" t="e">
        <f t="shared" si="566"/>
        <v>#N/A</v>
      </c>
      <c r="BQ408" t="e">
        <f t="shared" si="567"/>
        <v>#N/A</v>
      </c>
      <c r="BR408" t="e">
        <f t="shared" si="568"/>
        <v>#N/A</v>
      </c>
      <c r="BT408" s="60">
        <f t="shared" si="569"/>
        <v>0</v>
      </c>
      <c r="BU408" s="60">
        <f t="shared" si="570"/>
        <v>0</v>
      </c>
      <c r="BV408" s="60">
        <f t="shared" si="571"/>
        <v>0</v>
      </c>
      <c r="BW408" s="60">
        <f t="shared" si="572"/>
        <v>0</v>
      </c>
      <c r="BX408" s="60">
        <f t="shared" si="573"/>
        <v>0</v>
      </c>
      <c r="BY408" s="60">
        <f t="shared" si="574"/>
        <v>0</v>
      </c>
      <c r="BZ408" s="60">
        <f t="shared" si="575"/>
        <v>0</v>
      </c>
      <c r="CA408" s="60">
        <f t="shared" si="576"/>
        <v>0</v>
      </c>
      <c r="CB408" s="60" t="e">
        <f t="shared" si="526"/>
        <v>#N/A</v>
      </c>
      <c r="CC408" s="60">
        <f t="shared" si="527"/>
        <v>100000</v>
      </c>
      <c r="CD408" s="60" t="e">
        <f t="shared" si="528"/>
        <v>#N/A</v>
      </c>
      <c r="CE408" s="60">
        <f t="shared" si="529"/>
        <v>100000</v>
      </c>
      <c r="CF408" s="83" t="e">
        <f t="shared" si="577"/>
        <v>#N/A</v>
      </c>
      <c r="CG408" s="83">
        <f t="shared" si="578"/>
        <v>0</v>
      </c>
      <c r="CH408" s="83" t="e">
        <f t="shared" si="579"/>
        <v>#N/A</v>
      </c>
      <c r="CI408" s="83">
        <f t="shared" si="580"/>
        <v>0</v>
      </c>
      <c r="CJ408" s="86" t="e">
        <f t="shared" si="530"/>
        <v>#N/A</v>
      </c>
      <c r="CK408" s="82">
        <f t="shared" si="531"/>
        <v>5.3070370403969858E-3</v>
      </c>
      <c r="CL408" s="82" t="e">
        <f t="shared" si="532"/>
        <v>#N/A</v>
      </c>
      <c r="CM408" s="82">
        <f t="shared" si="533"/>
        <v>5.3070370403969858E-3</v>
      </c>
      <c r="CO408" s="149" t="str">
        <f>IF($I408&lt;&gt;"",IF(O408="User Specified",U408,INDEX('Refrigerant GWPs'!$G$2:$G$156,MATCH(O408,'Refrigerant GWPs'!$A$2:$A$156,0))),"")</f>
        <v/>
      </c>
      <c r="CP408" s="138" t="str">
        <f>IF($I408&lt;&gt;"",INDEX('Device Refrigerant Leakage'!$E$2:$E$42,MATCH($M408,'Device Refrigerant Leakage'!$B$2:$B$42,0)),"")</f>
        <v/>
      </c>
      <c r="CQ408" s="138" t="str">
        <f>IF($I408&lt;&gt;"",INDEX('Device Refrigerant Leakage'!$F$2:$F$42,MATCH($M408,'Device Refrigerant Leakage'!$B$2:$B$42,0)),"")</f>
        <v/>
      </c>
      <c r="CR408" s="145" t="str">
        <f>IF($I408&lt;&gt;"",INDEX('Device Refrigerant Leakage'!$G$2:$G$42,MATCH($M408,'Device Refrigerant Leakage'!$B$2:$B$42,0)),"")</f>
        <v/>
      </c>
      <c r="CS408" s="145" t="str">
        <f>IF($I408&lt;&gt;"",INDEX('Device Refrigerant Leakage'!$D$2:$D$42,MATCH($M408,'Device Refrigerant Leakage'!$B$2:$B$42,0))*CP408/2204.62*CO408,"")</f>
        <v/>
      </c>
      <c r="CT408" s="145" t="str">
        <f>IF($I408&lt;&gt;"",J408*(INDEX('Device Refrigerant Leakage'!$D$2:$D$42,MATCH($M408,'Device Refrigerant Leakage'!$B$2:$B$42,0))-(INDEX('Device Refrigerant Leakage'!$D$2:$D$42,MATCH($M408,'Device Refrigerant Leakage'!$B$2:$B$42,0)))*CR408*CP408)*CQ408/2204.62*CO408,"")</f>
        <v/>
      </c>
      <c r="CU408" s="135" t="str">
        <f>IF($I408&lt;&gt;"",J408*IF(W408&lt;&gt;"AR",(CS408*K408)+CT408,(CS408*AB408)+CT408*(AB408/INDEX('Device Refrigerant Leakage'!$C$2:$C$42,MATCH($M408,'Device Refrigerant Leakage'!$B$2:$B$42,0)))),"")</f>
        <v/>
      </c>
      <c r="CW408" s="135" t="str">
        <f>IF($I408&lt;&gt;"",IF(S408="User Specified",V408,INDEX('Refrigerant GWPs'!$G$2:$G$156,MATCH(S408,'Refrigerant GWPs'!$A$2:$A$157,0))),"")</f>
        <v/>
      </c>
      <c r="CX408" s="138" t="str">
        <f>IF($I408&lt;&gt;"",INDEX('Device Refrigerant Leakage'!$E$2:$E$42,MATCH($Q408,'Device Refrigerant Leakage'!$B$2:$B$42,0)),"")</f>
        <v/>
      </c>
      <c r="CY408" s="138" t="str">
        <f>IF($I408&lt;&gt;"",INDEX('Device Refrigerant Leakage'!$F$2:$F$42,MATCH($Q408,'Device Refrigerant Leakage'!$B$2:$B$42,0)),"")</f>
        <v/>
      </c>
      <c r="CZ408" s="145" t="str">
        <f>IF($I408&lt;&gt;"",INDEX('Device Refrigerant Leakage'!$G$2:$G$42,MATCH($Q408,'Device Refrigerant Leakage'!$B$2:$B$42,0)),"")</f>
        <v/>
      </c>
      <c r="DA408" s="145" t="str">
        <f>IF($I408&lt;&gt;"",J408*INDEX('Device Refrigerant Leakage'!$D$2:$D$42,MATCH($Q408,'Device Refrigerant Leakage'!$B$2:$B$42,0))*CX408/2204.62*CW408,"")</f>
        <v/>
      </c>
      <c r="DB408" s="145" t="str">
        <f>IF($I408&lt;&gt;"",J408*(INDEX('Device Refrigerant Leakage'!$D$2:$D$42,MATCH($Q408,'Device Refrigerant Leakage'!$B$2:$B$42,0))-(INDEX('Device Refrigerant Leakage'!$D$2:$D$42,MATCH($Q408,'Device Refrigerant Leakage'!$B$2:$B$42,0)))*CZ408*CX408)*CY408/2204.62*CW408,"")</f>
        <v/>
      </c>
      <c r="DC408" s="135" t="str">
        <f t="shared" si="552"/>
        <v/>
      </c>
      <c r="DE408" s="146" t="str">
        <f>IF(W408&lt;&gt;"AR","",IF(Y408="User Specified", AA408, INDEX('Refrigerant GWPs'!$G$2:$G$154,MATCH(Y408,'Refrigerant GWPs'!$A$2:$A$154,0))))</f>
        <v/>
      </c>
      <c r="DF408" s="146" t="str">
        <f>IF(W408&lt;&gt;"AR","",INDEX('Device Refrigerant Leakage'!$E$2:$E$42,MATCH(X408,'Device Refrigerant Leakage'!$B$2:$B$42,0)))</f>
        <v/>
      </c>
      <c r="DG408" s="146" t="str">
        <f>IF(W408&lt;&gt;"AR","",INDEX('Device Refrigerant Leakage'!$F$2:$F$42,MATCH(X408,'Device Refrigerant Leakage'!$B$2:$B$42,0)))</f>
        <v/>
      </c>
      <c r="DH408" s="146" t="str">
        <f>IF(W408&lt;&gt;"AR","",INDEX('Device Refrigerant Leakage'!$G$2:$G$42,MATCH(X408,'Device Refrigerant Leakage'!$B$2:$B$42,0)))</f>
        <v/>
      </c>
      <c r="DI408" s="146" t="str">
        <f>IF(W408&lt;&gt;"AR","",J408*INDEX('Device Refrigerant Leakage'!$D$2:$D$42,MATCH(X408,'Device Refrigerant Leakage'!$B$2:$B$42,0))*DF408/2204.62*DE408)</f>
        <v/>
      </c>
      <c r="DJ408" s="146" t="str">
        <f>IF(W408&lt;&gt;"AR","",J408*(INDEX('Device Refrigerant Leakage'!$D$2:$D$42,MATCH(X408,'Device Refrigerant Leakage'!$B$2:$B$42,0))-(INDEX('Device Refrigerant Leakage'!$D$2:$D$42,MATCH(X408,'Device Refrigerant Leakage'!$B$2:$B$42,0)))*DH408*DF408)*DG408/2204.62*DE408)</f>
        <v/>
      </c>
      <c r="DK408" s="146" t="str">
        <f>IF(W408&lt;&gt;"AR","",DI408*(K408-AB408)+'Fuel Sub Calcs-Deemed'!DJ408*((K408-AB408)/INDEX('Device Refrigerant Leakage'!$C$2:$C$42,MATCH('Fuel Sub Calcs-Deemed'!X408,'Device Refrigerant Leakage'!$B$2:$B$42,0))))</f>
        <v/>
      </c>
      <c r="DM408" s="56">
        <v>394</v>
      </c>
      <c r="DN408" s="67" t="e">
        <f t="shared" si="534"/>
        <v>#N/A</v>
      </c>
      <c r="DO408" s="45" t="e">
        <f t="shared" si="535"/>
        <v>#N/A</v>
      </c>
      <c r="DP408" s="67" t="e">
        <f t="shared" si="536"/>
        <v>#N/A</v>
      </c>
      <c r="DQ408" s="45" t="e">
        <f t="shared" si="537"/>
        <v>#N/A</v>
      </c>
      <c r="DR408" s="69" t="e">
        <f t="shared" si="538"/>
        <v>#N/A</v>
      </c>
      <c r="DS408" s="34"/>
      <c r="DT408" s="67" t="e">
        <f>((BX408*CJ408)+IF($W408=MAT_AR,(BZ408*CL408),0))*(1+Reference!$E$50+Reference!$E$51)</f>
        <v>#N/A</v>
      </c>
      <c r="DU408" s="67">
        <f>((BY408*CK408)+IF($W408=MAT_AR,(CA408*CM408),0))*(1+Reference!$G$50+Reference!$G$51)</f>
        <v>0</v>
      </c>
      <c r="DV408" s="67" t="e">
        <f t="shared" si="539"/>
        <v>#VALUE!</v>
      </c>
      <c r="DX408" s="56">
        <v>394</v>
      </c>
      <c r="DY408" s="67">
        <f t="shared" si="540"/>
        <v>0</v>
      </c>
      <c r="DZ408" s="45" t="e">
        <f>VLOOKUP($R408,Dropdown!$C$3:$D$4,2,FALSE)</f>
        <v>#N/A</v>
      </c>
      <c r="EA408" s="68">
        <f t="shared" si="541"/>
        <v>0</v>
      </c>
      <c r="EB408" s="68" t="str">
        <f t="shared" si="542"/>
        <v>N/A</v>
      </c>
      <c r="EC408" s="68">
        <f t="shared" si="543"/>
        <v>0</v>
      </c>
      <c r="ED408" s="68" t="str">
        <f t="shared" si="581"/>
        <v>N/A</v>
      </c>
      <c r="EF408" s="56">
        <v>394</v>
      </c>
      <c r="EG408" s="46">
        <f t="shared" si="544"/>
        <v>0</v>
      </c>
      <c r="EH408" s="68" t="e">
        <f t="shared" si="545"/>
        <v>#N/A</v>
      </c>
      <c r="EI408" s="68" t="e">
        <f t="shared" si="546"/>
        <v>#N/A</v>
      </c>
      <c r="EJ408" s="68" t="e">
        <f t="shared" si="547"/>
        <v>#N/A</v>
      </c>
      <c r="EK408" s="68" t="e">
        <f t="shared" si="548"/>
        <v>#N/A</v>
      </c>
      <c r="EL408" s="46">
        <f t="shared" si="549"/>
        <v>0</v>
      </c>
      <c r="EM408" s="46">
        <f t="shared" si="550"/>
        <v>0</v>
      </c>
    </row>
    <row r="409" spans="1:143">
      <c r="A409" s="89"/>
      <c r="B409" s="89"/>
      <c r="C409" s="89"/>
      <c r="D409" s="89"/>
      <c r="E409" s="89"/>
      <c r="F409" s="89"/>
      <c r="G409" s="34"/>
      <c r="H409" s="56">
        <f t="shared" si="551"/>
        <v>395</v>
      </c>
      <c r="I409" s="165"/>
      <c r="J409" s="163"/>
      <c r="K409" s="163"/>
      <c r="L409" s="164"/>
      <c r="M409" s="155"/>
      <c r="N409" s="155"/>
      <c r="O409" s="144"/>
      <c r="P409" s="159" t="str">
        <f>IFERROR(IF(O409&lt;&gt;"User Specified",IF(O409&lt;&gt;"", INDEX('Refrigerant GWPs'!$G$2:$G$154,MATCH(O409,'Refrigerant GWPs'!$A$2:$A$154,0)),""),U409),0)</f>
        <v/>
      </c>
      <c r="Q409" s="155"/>
      <c r="R409" s="155"/>
      <c r="S409" s="144"/>
      <c r="T409" s="159" t="str">
        <f>IF(S409&lt;&gt;"User Specified",IF(AND(S409&lt;&gt;"User Specified",S409&lt;&gt;""), INDEX('Refrigerant GWPs'!$G$2:$G$154,MATCH(S409,'Refrigerant GWPs'!$A$2:$A$154,0)),""),V409)</f>
        <v/>
      </c>
      <c r="U409" s="144"/>
      <c r="V409" s="144"/>
      <c r="W409" s="155"/>
      <c r="X409" s="155"/>
      <c r="Y409" s="144"/>
      <c r="Z409" s="159" t="str">
        <f>IF(AND(Y409&lt;&gt;"User Specified",Y409&lt;&gt;""), INDEX('Refrigerant GWPs'!$G$2:$G$154,MATCH(Y409,'Refrigerant GWPs'!$A$2:$A$154,0)),"")</f>
        <v/>
      </c>
      <c r="AA409" s="155"/>
      <c r="AB409" s="156"/>
      <c r="AC409" s="66"/>
      <c r="AD409" s="66"/>
      <c r="AE409" s="66"/>
      <c r="AF409" s="66"/>
      <c r="AG409" s="66"/>
      <c r="AH409" s="66"/>
      <c r="AI409" s="34"/>
      <c r="AJ409" s="88">
        <f t="shared" si="514"/>
        <v>0</v>
      </c>
      <c r="AK409" s="88">
        <f t="shared" si="515"/>
        <v>0</v>
      </c>
      <c r="AL409" s="88">
        <v>0</v>
      </c>
      <c r="AM409" s="88">
        <v>0</v>
      </c>
      <c r="AN409" s="81" t="str">
        <f t="shared" si="553"/>
        <v/>
      </c>
      <c r="AO409" s="88">
        <f t="shared" si="516"/>
        <v>0</v>
      </c>
      <c r="AP409" s="88">
        <f t="shared" si="517"/>
        <v>0</v>
      </c>
      <c r="AQ409" s="81" t="str">
        <f t="shared" si="518"/>
        <v/>
      </c>
      <c r="AS409" s="41" t="b">
        <f t="shared" si="519"/>
        <v>1</v>
      </c>
      <c r="AT409" s="38">
        <f t="shared" si="520"/>
        <v>0</v>
      </c>
      <c r="AU409" s="60">
        <f t="shared" si="521"/>
        <v>0</v>
      </c>
      <c r="AV409" s="41">
        <f t="shared" si="522"/>
        <v>0</v>
      </c>
      <c r="AW409" s="41" t="b">
        <f t="shared" si="523"/>
        <v>0</v>
      </c>
      <c r="AX409" t="str">
        <f t="shared" si="524"/>
        <v>+00</v>
      </c>
      <c r="AY409" t="str">
        <f t="shared" si="525"/>
        <v>+00</v>
      </c>
      <c r="BA409" s="47" t="b">
        <f t="shared" si="554"/>
        <v>1</v>
      </c>
      <c r="BB409" s="42" t="b">
        <f t="shared" si="555"/>
        <v>1</v>
      </c>
      <c r="BC409" s="42" t="b">
        <f t="shared" si="556"/>
        <v>0</v>
      </c>
      <c r="BD409" s="42" t="b">
        <f t="shared" si="557"/>
        <v>0</v>
      </c>
      <c r="BE409" s="70">
        <f t="shared" si="558"/>
        <v>0</v>
      </c>
      <c r="BF409" s="70">
        <f t="shared" si="559"/>
        <v>0</v>
      </c>
      <c r="BG409" s="34"/>
      <c r="BI409" s="47" t="b">
        <f t="shared" si="560"/>
        <v>1</v>
      </c>
      <c r="BJ409" s="47" t="b">
        <f t="shared" si="561"/>
        <v>1</v>
      </c>
      <c r="BK409" s="42" t="b">
        <f t="shared" si="562"/>
        <v>0</v>
      </c>
      <c r="BL409" s="42" t="b">
        <f t="shared" si="563"/>
        <v>0</v>
      </c>
      <c r="BM409" s="42">
        <f t="shared" si="564"/>
        <v>0</v>
      </c>
      <c r="BN409" s="42">
        <f t="shared" si="565"/>
        <v>0</v>
      </c>
      <c r="BP409" t="e">
        <f t="shared" si="566"/>
        <v>#N/A</v>
      </c>
      <c r="BQ409" t="e">
        <f t="shared" si="567"/>
        <v>#N/A</v>
      </c>
      <c r="BR409" t="e">
        <f t="shared" si="568"/>
        <v>#N/A</v>
      </c>
      <c r="BT409" s="60">
        <f t="shared" si="569"/>
        <v>0</v>
      </c>
      <c r="BU409" s="60">
        <f t="shared" si="570"/>
        <v>0</v>
      </c>
      <c r="BV409" s="60">
        <f t="shared" si="571"/>
        <v>0</v>
      </c>
      <c r="BW409" s="60">
        <f t="shared" si="572"/>
        <v>0</v>
      </c>
      <c r="BX409" s="60">
        <f t="shared" si="573"/>
        <v>0</v>
      </c>
      <c r="BY409" s="60">
        <f t="shared" si="574"/>
        <v>0</v>
      </c>
      <c r="BZ409" s="60">
        <f t="shared" si="575"/>
        <v>0</v>
      </c>
      <c r="CA409" s="60">
        <f t="shared" si="576"/>
        <v>0</v>
      </c>
      <c r="CB409" s="60" t="e">
        <f t="shared" si="526"/>
        <v>#N/A</v>
      </c>
      <c r="CC409" s="60">
        <f t="shared" si="527"/>
        <v>100000</v>
      </c>
      <c r="CD409" s="60" t="e">
        <f t="shared" si="528"/>
        <v>#N/A</v>
      </c>
      <c r="CE409" s="60">
        <f t="shared" si="529"/>
        <v>100000</v>
      </c>
      <c r="CF409" s="83" t="e">
        <f t="shared" si="577"/>
        <v>#N/A</v>
      </c>
      <c r="CG409" s="83">
        <f t="shared" si="578"/>
        <v>0</v>
      </c>
      <c r="CH409" s="83" t="e">
        <f t="shared" si="579"/>
        <v>#N/A</v>
      </c>
      <c r="CI409" s="83">
        <f t="shared" si="580"/>
        <v>0</v>
      </c>
      <c r="CJ409" s="86" t="e">
        <f t="shared" si="530"/>
        <v>#N/A</v>
      </c>
      <c r="CK409" s="82">
        <f t="shared" si="531"/>
        <v>5.3070370403969858E-3</v>
      </c>
      <c r="CL409" s="82" t="e">
        <f t="shared" si="532"/>
        <v>#N/A</v>
      </c>
      <c r="CM409" s="82">
        <f t="shared" si="533"/>
        <v>5.3070370403969858E-3</v>
      </c>
      <c r="CO409" s="149" t="str">
        <f>IF($I409&lt;&gt;"",IF(O409="User Specified",U409,INDEX('Refrigerant GWPs'!$G$2:$G$156,MATCH(O409,'Refrigerant GWPs'!$A$2:$A$156,0))),"")</f>
        <v/>
      </c>
      <c r="CP409" s="138" t="str">
        <f>IF($I409&lt;&gt;"",INDEX('Device Refrigerant Leakage'!$E$2:$E$42,MATCH($M409,'Device Refrigerant Leakage'!$B$2:$B$42,0)),"")</f>
        <v/>
      </c>
      <c r="CQ409" s="138" t="str">
        <f>IF($I409&lt;&gt;"",INDEX('Device Refrigerant Leakage'!$F$2:$F$42,MATCH($M409,'Device Refrigerant Leakage'!$B$2:$B$42,0)),"")</f>
        <v/>
      </c>
      <c r="CR409" s="145" t="str">
        <f>IF($I409&lt;&gt;"",INDEX('Device Refrigerant Leakage'!$G$2:$G$42,MATCH($M409,'Device Refrigerant Leakage'!$B$2:$B$42,0)),"")</f>
        <v/>
      </c>
      <c r="CS409" s="145" t="str">
        <f>IF($I409&lt;&gt;"",INDEX('Device Refrigerant Leakage'!$D$2:$D$42,MATCH($M409,'Device Refrigerant Leakage'!$B$2:$B$42,0))*CP409/2204.62*CO409,"")</f>
        <v/>
      </c>
      <c r="CT409" s="145" t="str">
        <f>IF($I409&lt;&gt;"",J409*(INDEX('Device Refrigerant Leakage'!$D$2:$D$42,MATCH($M409,'Device Refrigerant Leakage'!$B$2:$B$42,0))-(INDEX('Device Refrigerant Leakage'!$D$2:$D$42,MATCH($M409,'Device Refrigerant Leakage'!$B$2:$B$42,0)))*CR409*CP409)*CQ409/2204.62*CO409,"")</f>
        <v/>
      </c>
      <c r="CU409" s="135" t="str">
        <f>IF($I409&lt;&gt;"",J409*IF(W409&lt;&gt;"AR",(CS409*K409)+CT409,(CS409*AB409)+CT409*(AB409/INDEX('Device Refrigerant Leakage'!$C$2:$C$42,MATCH($M409,'Device Refrigerant Leakage'!$B$2:$B$42,0)))),"")</f>
        <v/>
      </c>
      <c r="CW409" s="135" t="str">
        <f>IF($I409&lt;&gt;"",IF(S409="User Specified",V409,INDEX('Refrigerant GWPs'!$G$2:$G$156,MATCH(S409,'Refrigerant GWPs'!$A$2:$A$157,0))),"")</f>
        <v/>
      </c>
      <c r="CX409" s="138" t="str">
        <f>IF($I409&lt;&gt;"",INDEX('Device Refrigerant Leakage'!$E$2:$E$42,MATCH($Q409,'Device Refrigerant Leakage'!$B$2:$B$42,0)),"")</f>
        <v/>
      </c>
      <c r="CY409" s="138" t="str">
        <f>IF($I409&lt;&gt;"",INDEX('Device Refrigerant Leakage'!$F$2:$F$42,MATCH($Q409,'Device Refrigerant Leakage'!$B$2:$B$42,0)),"")</f>
        <v/>
      </c>
      <c r="CZ409" s="145" t="str">
        <f>IF($I409&lt;&gt;"",INDEX('Device Refrigerant Leakage'!$G$2:$G$42,MATCH($Q409,'Device Refrigerant Leakage'!$B$2:$B$42,0)),"")</f>
        <v/>
      </c>
      <c r="DA409" s="145" t="str">
        <f>IF($I409&lt;&gt;"",J409*INDEX('Device Refrigerant Leakage'!$D$2:$D$42,MATCH($Q409,'Device Refrigerant Leakage'!$B$2:$B$42,0))*CX409/2204.62*CW409,"")</f>
        <v/>
      </c>
      <c r="DB409" s="145" t="str">
        <f>IF($I409&lt;&gt;"",J409*(INDEX('Device Refrigerant Leakage'!$D$2:$D$42,MATCH($Q409,'Device Refrigerant Leakage'!$B$2:$B$42,0))-(INDEX('Device Refrigerant Leakage'!$D$2:$D$42,MATCH($Q409,'Device Refrigerant Leakage'!$B$2:$B$42,0)))*CZ409*CX409)*CY409/2204.62*CW409,"")</f>
        <v/>
      </c>
      <c r="DC409" s="135" t="str">
        <f t="shared" si="552"/>
        <v/>
      </c>
      <c r="DE409" s="146" t="str">
        <f>IF(W409&lt;&gt;"AR","",IF(Y409="User Specified", AA409, INDEX('Refrigerant GWPs'!$G$2:$G$154,MATCH(Y409,'Refrigerant GWPs'!$A$2:$A$154,0))))</f>
        <v/>
      </c>
      <c r="DF409" s="146" t="str">
        <f>IF(W409&lt;&gt;"AR","",INDEX('Device Refrigerant Leakage'!$E$2:$E$42,MATCH(X409,'Device Refrigerant Leakage'!$B$2:$B$42,0)))</f>
        <v/>
      </c>
      <c r="DG409" s="146" t="str">
        <f>IF(W409&lt;&gt;"AR","",INDEX('Device Refrigerant Leakage'!$F$2:$F$42,MATCH(X409,'Device Refrigerant Leakage'!$B$2:$B$42,0)))</f>
        <v/>
      </c>
      <c r="DH409" s="146" t="str">
        <f>IF(W409&lt;&gt;"AR","",INDEX('Device Refrigerant Leakage'!$G$2:$G$42,MATCH(X409,'Device Refrigerant Leakage'!$B$2:$B$42,0)))</f>
        <v/>
      </c>
      <c r="DI409" s="146" t="str">
        <f>IF(W409&lt;&gt;"AR","",J409*INDEX('Device Refrigerant Leakage'!$D$2:$D$42,MATCH(X409,'Device Refrigerant Leakage'!$B$2:$B$42,0))*DF409/2204.62*DE409)</f>
        <v/>
      </c>
      <c r="DJ409" s="146" t="str">
        <f>IF(W409&lt;&gt;"AR","",J409*(INDEX('Device Refrigerant Leakage'!$D$2:$D$42,MATCH(X409,'Device Refrigerant Leakage'!$B$2:$B$42,0))-(INDEX('Device Refrigerant Leakage'!$D$2:$D$42,MATCH(X409,'Device Refrigerant Leakage'!$B$2:$B$42,0)))*DH409*DF409)*DG409/2204.62*DE409)</f>
        <v/>
      </c>
      <c r="DK409" s="146" t="str">
        <f>IF(W409&lt;&gt;"AR","",DI409*(K409-AB409)+'Fuel Sub Calcs-Deemed'!DJ409*((K409-AB409)/INDEX('Device Refrigerant Leakage'!$C$2:$C$42,MATCH('Fuel Sub Calcs-Deemed'!X409,'Device Refrigerant Leakage'!$B$2:$B$42,0))))</f>
        <v/>
      </c>
      <c r="DM409" s="56">
        <v>395</v>
      </c>
      <c r="DN409" s="67" t="e">
        <f t="shared" si="534"/>
        <v>#N/A</v>
      </c>
      <c r="DO409" s="45" t="e">
        <f t="shared" si="535"/>
        <v>#N/A</v>
      </c>
      <c r="DP409" s="67" t="e">
        <f t="shared" si="536"/>
        <v>#N/A</v>
      </c>
      <c r="DQ409" s="45" t="e">
        <f t="shared" si="537"/>
        <v>#N/A</v>
      </c>
      <c r="DR409" s="69" t="e">
        <f t="shared" si="538"/>
        <v>#N/A</v>
      </c>
      <c r="DS409" s="34"/>
      <c r="DT409" s="67" t="e">
        <f>((BX409*CJ409)+IF($W409=MAT_AR,(BZ409*CL409),0))*(1+Reference!$E$50+Reference!$E$51)</f>
        <v>#N/A</v>
      </c>
      <c r="DU409" s="67">
        <f>((BY409*CK409)+IF($W409=MAT_AR,(CA409*CM409),0))*(1+Reference!$G$50+Reference!$G$51)</f>
        <v>0</v>
      </c>
      <c r="DV409" s="67" t="e">
        <f t="shared" si="539"/>
        <v>#VALUE!</v>
      </c>
      <c r="DX409" s="56">
        <v>395</v>
      </c>
      <c r="DY409" s="67">
        <f t="shared" si="540"/>
        <v>0</v>
      </c>
      <c r="DZ409" s="45" t="e">
        <f>VLOOKUP($R409,Dropdown!$C$3:$D$4,2,FALSE)</f>
        <v>#N/A</v>
      </c>
      <c r="EA409" s="68">
        <f t="shared" si="541"/>
        <v>0</v>
      </c>
      <c r="EB409" s="68" t="str">
        <f t="shared" si="542"/>
        <v>N/A</v>
      </c>
      <c r="EC409" s="68">
        <f t="shared" si="543"/>
        <v>0</v>
      </c>
      <c r="ED409" s="68" t="str">
        <f t="shared" si="581"/>
        <v>N/A</v>
      </c>
      <c r="EF409" s="56">
        <v>395</v>
      </c>
      <c r="EG409" s="46">
        <f t="shared" si="544"/>
        <v>0</v>
      </c>
      <c r="EH409" s="68" t="e">
        <f t="shared" si="545"/>
        <v>#N/A</v>
      </c>
      <c r="EI409" s="68" t="e">
        <f t="shared" si="546"/>
        <v>#N/A</v>
      </c>
      <c r="EJ409" s="68" t="e">
        <f t="shared" si="547"/>
        <v>#N/A</v>
      </c>
      <c r="EK409" s="68" t="e">
        <f t="shared" si="548"/>
        <v>#N/A</v>
      </c>
      <c r="EL409" s="46">
        <f t="shared" si="549"/>
        <v>0</v>
      </c>
      <c r="EM409" s="46">
        <f t="shared" si="550"/>
        <v>0</v>
      </c>
    </row>
    <row r="410" spans="1:143">
      <c r="A410" s="89"/>
      <c r="B410" s="89"/>
      <c r="C410" s="89"/>
      <c r="D410" s="89"/>
      <c r="E410" s="89"/>
      <c r="F410" s="89"/>
      <c r="G410" s="34"/>
      <c r="H410" s="56">
        <f t="shared" si="551"/>
        <v>396</v>
      </c>
      <c r="I410" s="165"/>
      <c r="J410" s="163"/>
      <c r="K410" s="163"/>
      <c r="L410" s="164"/>
      <c r="M410" s="155"/>
      <c r="N410" s="155"/>
      <c r="O410" s="144"/>
      <c r="P410" s="159" t="str">
        <f>IFERROR(IF(O410&lt;&gt;"User Specified",IF(O410&lt;&gt;"", INDEX('Refrigerant GWPs'!$G$2:$G$154,MATCH(O410,'Refrigerant GWPs'!$A$2:$A$154,0)),""),U410),0)</f>
        <v/>
      </c>
      <c r="Q410" s="155"/>
      <c r="R410" s="155"/>
      <c r="S410" s="144"/>
      <c r="T410" s="159" t="str">
        <f>IF(S410&lt;&gt;"User Specified",IF(AND(S410&lt;&gt;"User Specified",S410&lt;&gt;""), INDEX('Refrigerant GWPs'!$G$2:$G$154,MATCH(S410,'Refrigerant GWPs'!$A$2:$A$154,0)),""),V410)</f>
        <v/>
      </c>
      <c r="U410" s="144"/>
      <c r="V410" s="144"/>
      <c r="W410" s="155"/>
      <c r="X410" s="155"/>
      <c r="Y410" s="144"/>
      <c r="Z410" s="159" t="str">
        <f>IF(AND(Y410&lt;&gt;"User Specified",Y410&lt;&gt;""), INDEX('Refrigerant GWPs'!$G$2:$G$154,MATCH(Y410,'Refrigerant GWPs'!$A$2:$A$154,0)),"")</f>
        <v/>
      </c>
      <c r="AA410" s="155"/>
      <c r="AB410" s="156"/>
      <c r="AC410" s="66"/>
      <c r="AD410" s="66"/>
      <c r="AE410" s="66"/>
      <c r="AF410" s="66"/>
      <c r="AG410" s="66"/>
      <c r="AH410" s="66"/>
      <c r="AI410" s="34"/>
      <c r="AJ410" s="88">
        <f t="shared" si="514"/>
        <v>0</v>
      </c>
      <c r="AK410" s="88">
        <f t="shared" si="515"/>
        <v>0</v>
      </c>
      <c r="AL410" s="88">
        <v>0</v>
      </c>
      <c r="AM410" s="88">
        <v>0</v>
      </c>
      <c r="AN410" s="81" t="str">
        <f t="shared" si="553"/>
        <v/>
      </c>
      <c r="AO410" s="88">
        <f t="shared" si="516"/>
        <v>0</v>
      </c>
      <c r="AP410" s="88">
        <f t="shared" si="517"/>
        <v>0</v>
      </c>
      <c r="AQ410" s="81" t="str">
        <f t="shared" si="518"/>
        <v/>
      </c>
      <c r="AS410" s="41" t="b">
        <f t="shared" si="519"/>
        <v>1</v>
      </c>
      <c r="AT410" s="38">
        <f t="shared" si="520"/>
        <v>0</v>
      </c>
      <c r="AU410" s="60">
        <f t="shared" si="521"/>
        <v>0</v>
      </c>
      <c r="AV410" s="41">
        <f t="shared" si="522"/>
        <v>0</v>
      </c>
      <c r="AW410" s="41" t="b">
        <f t="shared" si="523"/>
        <v>0</v>
      </c>
      <c r="AX410" t="str">
        <f t="shared" si="524"/>
        <v>+00</v>
      </c>
      <c r="AY410" t="str">
        <f t="shared" si="525"/>
        <v>+00</v>
      </c>
      <c r="BA410" s="47" t="b">
        <f t="shared" si="554"/>
        <v>1</v>
      </c>
      <c r="BB410" s="42" t="b">
        <f t="shared" si="555"/>
        <v>1</v>
      </c>
      <c r="BC410" s="42" t="b">
        <f t="shared" si="556"/>
        <v>0</v>
      </c>
      <c r="BD410" s="42" t="b">
        <f t="shared" si="557"/>
        <v>0</v>
      </c>
      <c r="BE410" s="70">
        <f t="shared" si="558"/>
        <v>0</v>
      </c>
      <c r="BF410" s="70">
        <f t="shared" si="559"/>
        <v>0</v>
      </c>
      <c r="BG410" s="34"/>
      <c r="BI410" s="47" t="b">
        <f t="shared" si="560"/>
        <v>1</v>
      </c>
      <c r="BJ410" s="47" t="b">
        <f t="shared" si="561"/>
        <v>1</v>
      </c>
      <c r="BK410" s="42" t="b">
        <f t="shared" si="562"/>
        <v>0</v>
      </c>
      <c r="BL410" s="42" t="b">
        <f t="shared" si="563"/>
        <v>0</v>
      </c>
      <c r="BM410" s="42">
        <f t="shared" si="564"/>
        <v>0</v>
      </c>
      <c r="BN410" s="42">
        <f t="shared" si="565"/>
        <v>0</v>
      </c>
      <c r="BP410" t="e">
        <f t="shared" si="566"/>
        <v>#N/A</v>
      </c>
      <c r="BQ410" t="e">
        <f t="shared" si="567"/>
        <v>#N/A</v>
      </c>
      <c r="BR410" t="e">
        <f t="shared" si="568"/>
        <v>#N/A</v>
      </c>
      <c r="BT410" s="60">
        <f t="shared" si="569"/>
        <v>0</v>
      </c>
      <c r="BU410" s="60">
        <f t="shared" si="570"/>
        <v>0</v>
      </c>
      <c r="BV410" s="60">
        <f t="shared" si="571"/>
        <v>0</v>
      </c>
      <c r="BW410" s="60">
        <f t="shared" si="572"/>
        <v>0</v>
      </c>
      <c r="BX410" s="60">
        <f t="shared" si="573"/>
        <v>0</v>
      </c>
      <c r="BY410" s="60">
        <f t="shared" si="574"/>
        <v>0</v>
      </c>
      <c r="BZ410" s="60">
        <f t="shared" si="575"/>
        <v>0</v>
      </c>
      <c r="CA410" s="60">
        <f t="shared" si="576"/>
        <v>0</v>
      </c>
      <c r="CB410" s="60" t="e">
        <f t="shared" si="526"/>
        <v>#N/A</v>
      </c>
      <c r="CC410" s="60">
        <f t="shared" si="527"/>
        <v>100000</v>
      </c>
      <c r="CD410" s="60" t="e">
        <f t="shared" si="528"/>
        <v>#N/A</v>
      </c>
      <c r="CE410" s="60">
        <f t="shared" si="529"/>
        <v>100000</v>
      </c>
      <c r="CF410" s="83" t="e">
        <f t="shared" si="577"/>
        <v>#N/A</v>
      </c>
      <c r="CG410" s="83">
        <f t="shared" si="578"/>
        <v>0</v>
      </c>
      <c r="CH410" s="83" t="e">
        <f t="shared" si="579"/>
        <v>#N/A</v>
      </c>
      <c r="CI410" s="83">
        <f t="shared" si="580"/>
        <v>0</v>
      </c>
      <c r="CJ410" s="86" t="e">
        <f t="shared" si="530"/>
        <v>#N/A</v>
      </c>
      <c r="CK410" s="82">
        <f t="shared" si="531"/>
        <v>5.3070370403969858E-3</v>
      </c>
      <c r="CL410" s="82" t="e">
        <f t="shared" si="532"/>
        <v>#N/A</v>
      </c>
      <c r="CM410" s="82">
        <f t="shared" si="533"/>
        <v>5.3070370403969858E-3</v>
      </c>
      <c r="CO410" s="149" t="str">
        <f>IF($I410&lt;&gt;"",IF(O410="User Specified",U410,INDEX('Refrigerant GWPs'!$G$2:$G$156,MATCH(O410,'Refrigerant GWPs'!$A$2:$A$156,0))),"")</f>
        <v/>
      </c>
      <c r="CP410" s="138" t="str">
        <f>IF($I410&lt;&gt;"",INDEX('Device Refrigerant Leakage'!$E$2:$E$42,MATCH($M410,'Device Refrigerant Leakage'!$B$2:$B$42,0)),"")</f>
        <v/>
      </c>
      <c r="CQ410" s="138" t="str">
        <f>IF($I410&lt;&gt;"",INDEX('Device Refrigerant Leakage'!$F$2:$F$42,MATCH($M410,'Device Refrigerant Leakage'!$B$2:$B$42,0)),"")</f>
        <v/>
      </c>
      <c r="CR410" s="145" t="str">
        <f>IF($I410&lt;&gt;"",INDEX('Device Refrigerant Leakage'!$G$2:$G$42,MATCH($M410,'Device Refrigerant Leakage'!$B$2:$B$42,0)),"")</f>
        <v/>
      </c>
      <c r="CS410" s="145" t="str">
        <f>IF($I410&lt;&gt;"",INDEX('Device Refrigerant Leakage'!$D$2:$D$42,MATCH($M410,'Device Refrigerant Leakage'!$B$2:$B$42,0))*CP410/2204.62*CO410,"")</f>
        <v/>
      </c>
      <c r="CT410" s="145" t="str">
        <f>IF($I410&lt;&gt;"",J410*(INDEX('Device Refrigerant Leakage'!$D$2:$D$42,MATCH($M410,'Device Refrigerant Leakage'!$B$2:$B$42,0))-(INDEX('Device Refrigerant Leakage'!$D$2:$D$42,MATCH($M410,'Device Refrigerant Leakage'!$B$2:$B$42,0)))*CR410*CP410)*CQ410/2204.62*CO410,"")</f>
        <v/>
      </c>
      <c r="CU410" s="135" t="str">
        <f>IF($I410&lt;&gt;"",J410*IF(W410&lt;&gt;"AR",(CS410*K410)+CT410,(CS410*AB410)+CT410*(AB410/INDEX('Device Refrigerant Leakage'!$C$2:$C$42,MATCH($M410,'Device Refrigerant Leakage'!$B$2:$B$42,0)))),"")</f>
        <v/>
      </c>
      <c r="CW410" s="135" t="str">
        <f>IF($I410&lt;&gt;"",IF(S410="User Specified",V410,INDEX('Refrigerant GWPs'!$G$2:$G$156,MATCH(S410,'Refrigerant GWPs'!$A$2:$A$157,0))),"")</f>
        <v/>
      </c>
      <c r="CX410" s="138" t="str">
        <f>IF($I410&lt;&gt;"",INDEX('Device Refrigerant Leakage'!$E$2:$E$42,MATCH($Q410,'Device Refrigerant Leakage'!$B$2:$B$42,0)),"")</f>
        <v/>
      </c>
      <c r="CY410" s="138" t="str">
        <f>IF($I410&lt;&gt;"",INDEX('Device Refrigerant Leakage'!$F$2:$F$42,MATCH($Q410,'Device Refrigerant Leakage'!$B$2:$B$42,0)),"")</f>
        <v/>
      </c>
      <c r="CZ410" s="145" t="str">
        <f>IF($I410&lt;&gt;"",INDEX('Device Refrigerant Leakage'!$G$2:$G$42,MATCH($Q410,'Device Refrigerant Leakage'!$B$2:$B$42,0)),"")</f>
        <v/>
      </c>
      <c r="DA410" s="145" t="str">
        <f>IF($I410&lt;&gt;"",J410*INDEX('Device Refrigerant Leakage'!$D$2:$D$42,MATCH($Q410,'Device Refrigerant Leakage'!$B$2:$B$42,0))*CX410/2204.62*CW410,"")</f>
        <v/>
      </c>
      <c r="DB410" s="145" t="str">
        <f>IF($I410&lt;&gt;"",J410*(INDEX('Device Refrigerant Leakage'!$D$2:$D$42,MATCH($Q410,'Device Refrigerant Leakage'!$B$2:$B$42,0))-(INDEX('Device Refrigerant Leakage'!$D$2:$D$42,MATCH($Q410,'Device Refrigerant Leakage'!$B$2:$B$42,0)))*CZ410*CX410)*CY410/2204.62*CW410,"")</f>
        <v/>
      </c>
      <c r="DC410" s="135" t="str">
        <f t="shared" si="552"/>
        <v/>
      </c>
      <c r="DE410" s="146" t="str">
        <f>IF(W410&lt;&gt;"AR","",IF(Y410="User Specified", AA410, INDEX('Refrigerant GWPs'!$G$2:$G$154,MATCH(Y410,'Refrigerant GWPs'!$A$2:$A$154,0))))</f>
        <v/>
      </c>
      <c r="DF410" s="146" t="str">
        <f>IF(W410&lt;&gt;"AR","",INDEX('Device Refrigerant Leakage'!$E$2:$E$42,MATCH(X410,'Device Refrigerant Leakage'!$B$2:$B$42,0)))</f>
        <v/>
      </c>
      <c r="DG410" s="146" t="str">
        <f>IF(W410&lt;&gt;"AR","",INDEX('Device Refrigerant Leakage'!$F$2:$F$42,MATCH(X410,'Device Refrigerant Leakage'!$B$2:$B$42,0)))</f>
        <v/>
      </c>
      <c r="DH410" s="146" t="str">
        <f>IF(W410&lt;&gt;"AR","",INDEX('Device Refrigerant Leakage'!$G$2:$G$42,MATCH(X410,'Device Refrigerant Leakage'!$B$2:$B$42,0)))</f>
        <v/>
      </c>
      <c r="DI410" s="146" t="str">
        <f>IF(W410&lt;&gt;"AR","",J410*INDEX('Device Refrigerant Leakage'!$D$2:$D$42,MATCH(X410,'Device Refrigerant Leakage'!$B$2:$B$42,0))*DF410/2204.62*DE410)</f>
        <v/>
      </c>
      <c r="DJ410" s="146" t="str">
        <f>IF(W410&lt;&gt;"AR","",J410*(INDEX('Device Refrigerant Leakage'!$D$2:$D$42,MATCH(X410,'Device Refrigerant Leakage'!$B$2:$B$42,0))-(INDEX('Device Refrigerant Leakage'!$D$2:$D$42,MATCH(X410,'Device Refrigerant Leakage'!$B$2:$B$42,0)))*DH410*DF410)*DG410/2204.62*DE410)</f>
        <v/>
      </c>
      <c r="DK410" s="146" t="str">
        <f>IF(W410&lt;&gt;"AR","",DI410*(K410-AB410)+'Fuel Sub Calcs-Deemed'!DJ410*((K410-AB410)/INDEX('Device Refrigerant Leakage'!$C$2:$C$42,MATCH('Fuel Sub Calcs-Deemed'!X410,'Device Refrigerant Leakage'!$B$2:$B$42,0))))</f>
        <v/>
      </c>
      <c r="DM410" s="56">
        <v>396</v>
      </c>
      <c r="DN410" s="67" t="e">
        <f t="shared" si="534"/>
        <v>#N/A</v>
      </c>
      <c r="DO410" s="45" t="e">
        <f t="shared" si="535"/>
        <v>#N/A</v>
      </c>
      <c r="DP410" s="67" t="e">
        <f t="shared" si="536"/>
        <v>#N/A</v>
      </c>
      <c r="DQ410" s="45" t="e">
        <f t="shared" si="537"/>
        <v>#N/A</v>
      </c>
      <c r="DR410" s="69" t="e">
        <f t="shared" si="538"/>
        <v>#N/A</v>
      </c>
      <c r="DS410" s="34"/>
      <c r="DT410" s="67" t="e">
        <f>((BX410*CJ410)+IF($W410=MAT_AR,(BZ410*CL410),0))*(1+Reference!$E$50+Reference!$E$51)</f>
        <v>#N/A</v>
      </c>
      <c r="DU410" s="67">
        <f>((BY410*CK410)+IF($W410=MAT_AR,(CA410*CM410),0))*(1+Reference!$G$50+Reference!$G$51)</f>
        <v>0</v>
      </c>
      <c r="DV410" s="67" t="e">
        <f t="shared" si="539"/>
        <v>#VALUE!</v>
      </c>
      <c r="DX410" s="56">
        <v>396</v>
      </c>
      <c r="DY410" s="67">
        <f t="shared" si="540"/>
        <v>0</v>
      </c>
      <c r="DZ410" s="45" t="e">
        <f>VLOOKUP($R410,Dropdown!$C$3:$D$4,2,FALSE)</f>
        <v>#N/A</v>
      </c>
      <c r="EA410" s="68">
        <f t="shared" si="541"/>
        <v>0</v>
      </c>
      <c r="EB410" s="68" t="str">
        <f t="shared" si="542"/>
        <v>N/A</v>
      </c>
      <c r="EC410" s="68">
        <f t="shared" si="543"/>
        <v>0</v>
      </c>
      <c r="ED410" s="68" t="str">
        <f t="shared" si="581"/>
        <v>N/A</v>
      </c>
      <c r="EF410" s="56">
        <v>396</v>
      </c>
      <c r="EG410" s="46">
        <f t="shared" si="544"/>
        <v>0</v>
      </c>
      <c r="EH410" s="68" t="e">
        <f t="shared" si="545"/>
        <v>#N/A</v>
      </c>
      <c r="EI410" s="68" t="e">
        <f t="shared" si="546"/>
        <v>#N/A</v>
      </c>
      <c r="EJ410" s="68" t="e">
        <f t="shared" si="547"/>
        <v>#N/A</v>
      </c>
      <c r="EK410" s="68" t="e">
        <f t="shared" si="548"/>
        <v>#N/A</v>
      </c>
      <c r="EL410" s="46">
        <f t="shared" si="549"/>
        <v>0</v>
      </c>
      <c r="EM410" s="46">
        <f t="shared" si="550"/>
        <v>0</v>
      </c>
    </row>
    <row r="411" spans="1:143">
      <c r="A411" s="89"/>
      <c r="B411" s="89"/>
      <c r="C411" s="89"/>
      <c r="D411" s="89"/>
      <c r="E411" s="89"/>
      <c r="F411" s="89"/>
      <c r="G411" s="34"/>
      <c r="H411" s="56">
        <f t="shared" si="551"/>
        <v>397</v>
      </c>
      <c r="I411" s="165"/>
      <c r="J411" s="163"/>
      <c r="K411" s="163"/>
      <c r="L411" s="164"/>
      <c r="M411" s="155"/>
      <c r="N411" s="155"/>
      <c r="O411" s="144"/>
      <c r="P411" s="159" t="str">
        <f>IFERROR(IF(O411&lt;&gt;"User Specified",IF(O411&lt;&gt;"", INDEX('Refrigerant GWPs'!$G$2:$G$154,MATCH(O411,'Refrigerant GWPs'!$A$2:$A$154,0)),""),U411),0)</f>
        <v/>
      </c>
      <c r="Q411" s="155"/>
      <c r="R411" s="155"/>
      <c r="S411" s="144"/>
      <c r="T411" s="159" t="str">
        <f>IF(S411&lt;&gt;"User Specified",IF(AND(S411&lt;&gt;"User Specified",S411&lt;&gt;""), INDEX('Refrigerant GWPs'!$G$2:$G$154,MATCH(S411,'Refrigerant GWPs'!$A$2:$A$154,0)),""),V411)</f>
        <v/>
      </c>
      <c r="U411" s="144"/>
      <c r="V411" s="144"/>
      <c r="W411" s="155"/>
      <c r="X411" s="155"/>
      <c r="Y411" s="144"/>
      <c r="Z411" s="159" t="str">
        <f>IF(AND(Y411&lt;&gt;"User Specified",Y411&lt;&gt;""), INDEX('Refrigerant GWPs'!$G$2:$G$154,MATCH(Y411,'Refrigerant GWPs'!$A$2:$A$154,0)),"")</f>
        <v/>
      </c>
      <c r="AA411" s="155"/>
      <c r="AB411" s="156"/>
      <c r="AC411" s="66"/>
      <c r="AD411" s="66"/>
      <c r="AE411" s="66"/>
      <c r="AF411" s="66"/>
      <c r="AG411" s="66"/>
      <c r="AH411" s="66"/>
      <c r="AI411" s="34"/>
      <c r="AJ411" s="88">
        <f t="shared" si="514"/>
        <v>0</v>
      </c>
      <c r="AK411" s="88">
        <f t="shared" si="515"/>
        <v>0</v>
      </c>
      <c r="AL411" s="88">
        <v>0</v>
      </c>
      <c r="AM411" s="88">
        <v>0</v>
      </c>
      <c r="AN411" s="81" t="str">
        <f t="shared" si="553"/>
        <v/>
      </c>
      <c r="AO411" s="88">
        <f t="shared" si="516"/>
        <v>0</v>
      </c>
      <c r="AP411" s="88">
        <f t="shared" si="517"/>
        <v>0</v>
      </c>
      <c r="AQ411" s="81" t="str">
        <f t="shared" si="518"/>
        <v/>
      </c>
      <c r="AS411" s="41" t="b">
        <f t="shared" si="519"/>
        <v>1</v>
      </c>
      <c r="AT411" s="38">
        <f t="shared" si="520"/>
        <v>0</v>
      </c>
      <c r="AU411" s="60">
        <f t="shared" si="521"/>
        <v>0</v>
      </c>
      <c r="AV411" s="41">
        <f t="shared" si="522"/>
        <v>0</v>
      </c>
      <c r="AW411" s="41" t="b">
        <f t="shared" si="523"/>
        <v>0</v>
      </c>
      <c r="AX411" t="str">
        <f t="shared" si="524"/>
        <v>+00</v>
      </c>
      <c r="AY411" t="str">
        <f t="shared" si="525"/>
        <v>+00</v>
      </c>
      <c r="BA411" s="47" t="b">
        <f t="shared" si="554"/>
        <v>1</v>
      </c>
      <c r="BB411" s="42" t="b">
        <f t="shared" si="555"/>
        <v>1</v>
      </c>
      <c r="BC411" s="42" t="b">
        <f t="shared" si="556"/>
        <v>0</v>
      </c>
      <c r="BD411" s="42" t="b">
        <f t="shared" si="557"/>
        <v>0</v>
      </c>
      <c r="BE411" s="70">
        <f t="shared" si="558"/>
        <v>0</v>
      </c>
      <c r="BF411" s="70">
        <f t="shared" si="559"/>
        <v>0</v>
      </c>
      <c r="BG411" s="34"/>
      <c r="BI411" s="47" t="b">
        <f t="shared" si="560"/>
        <v>1</v>
      </c>
      <c r="BJ411" s="47" t="b">
        <f t="shared" si="561"/>
        <v>1</v>
      </c>
      <c r="BK411" s="42" t="b">
        <f t="shared" si="562"/>
        <v>0</v>
      </c>
      <c r="BL411" s="42" t="b">
        <f t="shared" si="563"/>
        <v>0</v>
      </c>
      <c r="BM411" s="42">
        <f t="shared" si="564"/>
        <v>0</v>
      </c>
      <c r="BN411" s="42">
        <f t="shared" si="565"/>
        <v>0</v>
      </c>
      <c r="BP411" t="e">
        <f t="shared" si="566"/>
        <v>#N/A</v>
      </c>
      <c r="BQ411" t="e">
        <f t="shared" si="567"/>
        <v>#N/A</v>
      </c>
      <c r="BR411" t="e">
        <f t="shared" si="568"/>
        <v>#N/A</v>
      </c>
      <c r="BT411" s="60">
        <f t="shared" si="569"/>
        <v>0</v>
      </c>
      <c r="BU411" s="60">
        <f t="shared" si="570"/>
        <v>0</v>
      </c>
      <c r="BV411" s="60">
        <f t="shared" si="571"/>
        <v>0</v>
      </c>
      <c r="BW411" s="60">
        <f t="shared" si="572"/>
        <v>0</v>
      </c>
      <c r="BX411" s="60">
        <f t="shared" si="573"/>
        <v>0</v>
      </c>
      <c r="BY411" s="60">
        <f t="shared" si="574"/>
        <v>0</v>
      </c>
      <c r="BZ411" s="60">
        <f t="shared" si="575"/>
        <v>0</v>
      </c>
      <c r="CA411" s="60">
        <f t="shared" si="576"/>
        <v>0</v>
      </c>
      <c r="CB411" s="60" t="e">
        <f t="shared" si="526"/>
        <v>#N/A</v>
      </c>
      <c r="CC411" s="60">
        <f t="shared" si="527"/>
        <v>100000</v>
      </c>
      <c r="CD411" s="60" t="e">
        <f t="shared" si="528"/>
        <v>#N/A</v>
      </c>
      <c r="CE411" s="60">
        <f t="shared" si="529"/>
        <v>100000</v>
      </c>
      <c r="CF411" s="83" t="e">
        <f t="shared" si="577"/>
        <v>#N/A</v>
      </c>
      <c r="CG411" s="83">
        <f t="shared" si="578"/>
        <v>0</v>
      </c>
      <c r="CH411" s="83" t="e">
        <f t="shared" si="579"/>
        <v>#N/A</v>
      </c>
      <c r="CI411" s="83">
        <f t="shared" si="580"/>
        <v>0</v>
      </c>
      <c r="CJ411" s="86" t="e">
        <f t="shared" si="530"/>
        <v>#N/A</v>
      </c>
      <c r="CK411" s="82">
        <f t="shared" si="531"/>
        <v>5.3070370403969858E-3</v>
      </c>
      <c r="CL411" s="82" t="e">
        <f t="shared" si="532"/>
        <v>#N/A</v>
      </c>
      <c r="CM411" s="82">
        <f t="shared" si="533"/>
        <v>5.3070370403969858E-3</v>
      </c>
      <c r="CO411" s="149" t="str">
        <f>IF($I411&lt;&gt;"",IF(O411="User Specified",U411,INDEX('Refrigerant GWPs'!$G$2:$G$156,MATCH(O411,'Refrigerant GWPs'!$A$2:$A$156,0))),"")</f>
        <v/>
      </c>
      <c r="CP411" s="138" t="str">
        <f>IF($I411&lt;&gt;"",INDEX('Device Refrigerant Leakage'!$E$2:$E$42,MATCH($M411,'Device Refrigerant Leakage'!$B$2:$B$42,0)),"")</f>
        <v/>
      </c>
      <c r="CQ411" s="138" t="str">
        <f>IF($I411&lt;&gt;"",INDEX('Device Refrigerant Leakage'!$F$2:$F$42,MATCH($M411,'Device Refrigerant Leakage'!$B$2:$B$42,0)),"")</f>
        <v/>
      </c>
      <c r="CR411" s="145" t="str">
        <f>IF($I411&lt;&gt;"",INDEX('Device Refrigerant Leakage'!$G$2:$G$42,MATCH($M411,'Device Refrigerant Leakage'!$B$2:$B$42,0)),"")</f>
        <v/>
      </c>
      <c r="CS411" s="145" t="str">
        <f>IF($I411&lt;&gt;"",INDEX('Device Refrigerant Leakage'!$D$2:$D$42,MATCH($M411,'Device Refrigerant Leakage'!$B$2:$B$42,0))*CP411/2204.62*CO411,"")</f>
        <v/>
      </c>
      <c r="CT411" s="145" t="str">
        <f>IF($I411&lt;&gt;"",J411*(INDEX('Device Refrigerant Leakage'!$D$2:$D$42,MATCH($M411,'Device Refrigerant Leakage'!$B$2:$B$42,0))-(INDEX('Device Refrigerant Leakage'!$D$2:$D$42,MATCH($M411,'Device Refrigerant Leakage'!$B$2:$B$42,0)))*CR411*CP411)*CQ411/2204.62*CO411,"")</f>
        <v/>
      </c>
      <c r="CU411" s="135" t="str">
        <f>IF($I411&lt;&gt;"",J411*IF(W411&lt;&gt;"AR",(CS411*K411)+CT411,(CS411*AB411)+CT411*(AB411/INDEX('Device Refrigerant Leakage'!$C$2:$C$42,MATCH($M411,'Device Refrigerant Leakage'!$B$2:$B$42,0)))),"")</f>
        <v/>
      </c>
      <c r="CW411" s="135" t="str">
        <f>IF($I411&lt;&gt;"",IF(S411="User Specified",V411,INDEX('Refrigerant GWPs'!$G$2:$G$156,MATCH(S411,'Refrigerant GWPs'!$A$2:$A$157,0))),"")</f>
        <v/>
      </c>
      <c r="CX411" s="138" t="str">
        <f>IF($I411&lt;&gt;"",INDEX('Device Refrigerant Leakage'!$E$2:$E$42,MATCH($Q411,'Device Refrigerant Leakage'!$B$2:$B$42,0)),"")</f>
        <v/>
      </c>
      <c r="CY411" s="138" t="str">
        <f>IF($I411&lt;&gt;"",INDEX('Device Refrigerant Leakage'!$F$2:$F$42,MATCH($Q411,'Device Refrigerant Leakage'!$B$2:$B$42,0)),"")</f>
        <v/>
      </c>
      <c r="CZ411" s="145" t="str">
        <f>IF($I411&lt;&gt;"",INDEX('Device Refrigerant Leakage'!$G$2:$G$42,MATCH($Q411,'Device Refrigerant Leakage'!$B$2:$B$42,0)),"")</f>
        <v/>
      </c>
      <c r="DA411" s="145" t="str">
        <f>IF($I411&lt;&gt;"",J411*INDEX('Device Refrigerant Leakage'!$D$2:$D$42,MATCH($Q411,'Device Refrigerant Leakage'!$B$2:$B$42,0))*CX411/2204.62*CW411,"")</f>
        <v/>
      </c>
      <c r="DB411" s="145" t="str">
        <f>IF($I411&lt;&gt;"",J411*(INDEX('Device Refrigerant Leakage'!$D$2:$D$42,MATCH($Q411,'Device Refrigerant Leakage'!$B$2:$B$42,0))-(INDEX('Device Refrigerant Leakage'!$D$2:$D$42,MATCH($Q411,'Device Refrigerant Leakage'!$B$2:$B$42,0)))*CZ411*CX411)*CY411/2204.62*CW411,"")</f>
        <v/>
      </c>
      <c r="DC411" s="135" t="str">
        <f t="shared" si="552"/>
        <v/>
      </c>
      <c r="DE411" s="146" t="str">
        <f>IF(W411&lt;&gt;"AR","",IF(Y411="User Specified", AA411, INDEX('Refrigerant GWPs'!$G$2:$G$154,MATCH(Y411,'Refrigerant GWPs'!$A$2:$A$154,0))))</f>
        <v/>
      </c>
      <c r="DF411" s="146" t="str">
        <f>IF(W411&lt;&gt;"AR","",INDEX('Device Refrigerant Leakage'!$E$2:$E$42,MATCH(X411,'Device Refrigerant Leakage'!$B$2:$B$42,0)))</f>
        <v/>
      </c>
      <c r="DG411" s="146" t="str">
        <f>IF(W411&lt;&gt;"AR","",INDEX('Device Refrigerant Leakage'!$F$2:$F$42,MATCH(X411,'Device Refrigerant Leakage'!$B$2:$B$42,0)))</f>
        <v/>
      </c>
      <c r="DH411" s="146" t="str">
        <f>IF(W411&lt;&gt;"AR","",INDEX('Device Refrigerant Leakage'!$G$2:$G$42,MATCH(X411,'Device Refrigerant Leakage'!$B$2:$B$42,0)))</f>
        <v/>
      </c>
      <c r="DI411" s="146" t="str">
        <f>IF(W411&lt;&gt;"AR","",J411*INDEX('Device Refrigerant Leakage'!$D$2:$D$42,MATCH(X411,'Device Refrigerant Leakage'!$B$2:$B$42,0))*DF411/2204.62*DE411)</f>
        <v/>
      </c>
      <c r="DJ411" s="146" t="str">
        <f>IF(W411&lt;&gt;"AR","",J411*(INDEX('Device Refrigerant Leakage'!$D$2:$D$42,MATCH(X411,'Device Refrigerant Leakage'!$B$2:$B$42,0))-(INDEX('Device Refrigerant Leakage'!$D$2:$D$42,MATCH(X411,'Device Refrigerant Leakage'!$B$2:$B$42,0)))*DH411*DF411)*DG411/2204.62*DE411)</f>
        <v/>
      </c>
      <c r="DK411" s="146" t="str">
        <f>IF(W411&lt;&gt;"AR","",DI411*(K411-AB411)+'Fuel Sub Calcs-Deemed'!DJ411*((K411-AB411)/INDEX('Device Refrigerant Leakage'!$C$2:$C$42,MATCH('Fuel Sub Calcs-Deemed'!X411,'Device Refrigerant Leakage'!$B$2:$B$42,0))))</f>
        <v/>
      </c>
      <c r="DM411" s="56">
        <v>397</v>
      </c>
      <c r="DN411" s="67" t="e">
        <f t="shared" si="534"/>
        <v>#N/A</v>
      </c>
      <c r="DO411" s="45" t="e">
        <f t="shared" si="535"/>
        <v>#N/A</v>
      </c>
      <c r="DP411" s="67" t="e">
        <f t="shared" si="536"/>
        <v>#N/A</v>
      </c>
      <c r="DQ411" s="45" t="e">
        <f t="shared" si="537"/>
        <v>#N/A</v>
      </c>
      <c r="DR411" s="69" t="e">
        <f t="shared" si="538"/>
        <v>#N/A</v>
      </c>
      <c r="DS411" s="34"/>
      <c r="DT411" s="67" t="e">
        <f>((BX411*CJ411)+IF($W411=MAT_AR,(BZ411*CL411),0))*(1+Reference!$E$50+Reference!$E$51)</f>
        <v>#N/A</v>
      </c>
      <c r="DU411" s="67">
        <f>((BY411*CK411)+IF($W411=MAT_AR,(CA411*CM411),0))*(1+Reference!$G$50+Reference!$G$51)</f>
        <v>0</v>
      </c>
      <c r="DV411" s="67" t="e">
        <f t="shared" si="539"/>
        <v>#VALUE!</v>
      </c>
      <c r="DX411" s="56">
        <v>397</v>
      </c>
      <c r="DY411" s="67">
        <f t="shared" si="540"/>
        <v>0</v>
      </c>
      <c r="DZ411" s="45" t="e">
        <f>VLOOKUP($R411,Dropdown!$C$3:$D$4,2,FALSE)</f>
        <v>#N/A</v>
      </c>
      <c r="EA411" s="68">
        <f t="shared" si="541"/>
        <v>0</v>
      </c>
      <c r="EB411" s="68" t="str">
        <f t="shared" si="542"/>
        <v>N/A</v>
      </c>
      <c r="EC411" s="68">
        <f t="shared" si="543"/>
        <v>0</v>
      </c>
      <c r="ED411" s="68" t="str">
        <f t="shared" si="581"/>
        <v>N/A</v>
      </c>
      <c r="EF411" s="56">
        <v>397</v>
      </c>
      <c r="EG411" s="46">
        <f t="shared" si="544"/>
        <v>0</v>
      </c>
      <c r="EH411" s="68" t="e">
        <f t="shared" si="545"/>
        <v>#N/A</v>
      </c>
      <c r="EI411" s="68" t="e">
        <f t="shared" si="546"/>
        <v>#N/A</v>
      </c>
      <c r="EJ411" s="68" t="e">
        <f t="shared" si="547"/>
        <v>#N/A</v>
      </c>
      <c r="EK411" s="68" t="e">
        <f t="shared" si="548"/>
        <v>#N/A</v>
      </c>
      <c r="EL411" s="46">
        <f t="shared" si="549"/>
        <v>0</v>
      </c>
      <c r="EM411" s="46">
        <f t="shared" si="550"/>
        <v>0</v>
      </c>
    </row>
    <row r="412" spans="1:143">
      <c r="A412" s="89"/>
      <c r="B412" s="89"/>
      <c r="C412" s="89"/>
      <c r="D412" s="89"/>
      <c r="E412" s="89"/>
      <c r="F412" s="89"/>
      <c r="G412" s="34"/>
      <c r="H412" s="56">
        <f t="shared" si="551"/>
        <v>398</v>
      </c>
      <c r="I412" s="165"/>
      <c r="J412" s="163"/>
      <c r="K412" s="163"/>
      <c r="L412" s="164"/>
      <c r="M412" s="155"/>
      <c r="N412" s="155"/>
      <c r="O412" s="144"/>
      <c r="P412" s="159" t="str">
        <f>IFERROR(IF(O412&lt;&gt;"User Specified",IF(O412&lt;&gt;"", INDEX('Refrigerant GWPs'!$G$2:$G$154,MATCH(O412,'Refrigerant GWPs'!$A$2:$A$154,0)),""),U412),0)</f>
        <v/>
      </c>
      <c r="Q412" s="155"/>
      <c r="R412" s="155"/>
      <c r="S412" s="144"/>
      <c r="T412" s="159" t="str">
        <f>IF(S412&lt;&gt;"User Specified",IF(AND(S412&lt;&gt;"User Specified",S412&lt;&gt;""), INDEX('Refrigerant GWPs'!$G$2:$G$154,MATCH(S412,'Refrigerant GWPs'!$A$2:$A$154,0)),""),V412)</f>
        <v/>
      </c>
      <c r="U412" s="144"/>
      <c r="V412" s="144"/>
      <c r="W412" s="155"/>
      <c r="X412" s="155"/>
      <c r="Y412" s="144"/>
      <c r="Z412" s="159" t="str">
        <f>IF(AND(Y412&lt;&gt;"User Specified",Y412&lt;&gt;""), INDEX('Refrigerant GWPs'!$G$2:$G$154,MATCH(Y412,'Refrigerant GWPs'!$A$2:$A$154,0)),"")</f>
        <v/>
      </c>
      <c r="AA412" s="155"/>
      <c r="AB412" s="156"/>
      <c r="AC412" s="66"/>
      <c r="AD412" s="66"/>
      <c r="AE412" s="66"/>
      <c r="AF412" s="66"/>
      <c r="AG412" s="66"/>
      <c r="AH412" s="66"/>
      <c r="AI412" s="34"/>
      <c r="AJ412" s="88">
        <f t="shared" si="514"/>
        <v>0</v>
      </c>
      <c r="AK412" s="88">
        <f t="shared" si="515"/>
        <v>0</v>
      </c>
      <c r="AL412" s="88">
        <v>0</v>
      </c>
      <c r="AM412" s="88">
        <v>0</v>
      </c>
      <c r="AN412" s="81" t="str">
        <f t="shared" si="553"/>
        <v/>
      </c>
      <c r="AO412" s="88">
        <f t="shared" si="516"/>
        <v>0</v>
      </c>
      <c r="AP412" s="88">
        <f t="shared" si="517"/>
        <v>0</v>
      </c>
      <c r="AQ412" s="81" t="str">
        <f t="shared" si="518"/>
        <v/>
      </c>
      <c r="AS412" s="41" t="b">
        <f t="shared" si="519"/>
        <v>1</v>
      </c>
      <c r="AT412" s="38">
        <f t="shared" si="520"/>
        <v>0</v>
      </c>
      <c r="AU412" s="60">
        <f t="shared" si="521"/>
        <v>0</v>
      </c>
      <c r="AV412" s="41">
        <f t="shared" si="522"/>
        <v>0</v>
      </c>
      <c r="AW412" s="41" t="b">
        <f t="shared" si="523"/>
        <v>0</v>
      </c>
      <c r="AX412" t="str">
        <f t="shared" si="524"/>
        <v>+00</v>
      </c>
      <c r="AY412" t="str">
        <f t="shared" si="525"/>
        <v>+00</v>
      </c>
      <c r="BA412" s="47" t="b">
        <f t="shared" si="554"/>
        <v>1</v>
      </c>
      <c r="BB412" s="42" t="b">
        <f t="shared" si="555"/>
        <v>1</v>
      </c>
      <c r="BC412" s="42" t="b">
        <f t="shared" si="556"/>
        <v>0</v>
      </c>
      <c r="BD412" s="42" t="b">
        <f t="shared" si="557"/>
        <v>0</v>
      </c>
      <c r="BE412" s="70">
        <f t="shared" si="558"/>
        <v>0</v>
      </c>
      <c r="BF412" s="70">
        <f t="shared" si="559"/>
        <v>0</v>
      </c>
      <c r="BG412" s="34"/>
      <c r="BI412" s="47" t="b">
        <f t="shared" si="560"/>
        <v>1</v>
      </c>
      <c r="BJ412" s="47" t="b">
        <f t="shared" si="561"/>
        <v>1</v>
      </c>
      <c r="BK412" s="42" t="b">
        <f t="shared" si="562"/>
        <v>0</v>
      </c>
      <c r="BL412" s="42" t="b">
        <f t="shared" si="563"/>
        <v>0</v>
      </c>
      <c r="BM412" s="42">
        <f t="shared" si="564"/>
        <v>0</v>
      </c>
      <c r="BN412" s="42">
        <f t="shared" si="565"/>
        <v>0</v>
      </c>
      <c r="BP412" t="e">
        <f t="shared" si="566"/>
        <v>#N/A</v>
      </c>
      <c r="BQ412" t="e">
        <f t="shared" si="567"/>
        <v>#N/A</v>
      </c>
      <c r="BR412" t="e">
        <f t="shared" si="568"/>
        <v>#N/A</v>
      </c>
      <c r="BT412" s="60">
        <f t="shared" si="569"/>
        <v>0</v>
      </c>
      <c r="BU412" s="60">
        <f t="shared" si="570"/>
        <v>0</v>
      </c>
      <c r="BV412" s="60">
        <f t="shared" si="571"/>
        <v>0</v>
      </c>
      <c r="BW412" s="60">
        <f t="shared" si="572"/>
        <v>0</v>
      </c>
      <c r="BX412" s="60">
        <f t="shared" si="573"/>
        <v>0</v>
      </c>
      <c r="BY412" s="60">
        <f t="shared" si="574"/>
        <v>0</v>
      </c>
      <c r="BZ412" s="60">
        <f t="shared" si="575"/>
        <v>0</v>
      </c>
      <c r="CA412" s="60">
        <f t="shared" si="576"/>
        <v>0</v>
      </c>
      <c r="CB412" s="60" t="e">
        <f t="shared" si="526"/>
        <v>#N/A</v>
      </c>
      <c r="CC412" s="60">
        <f t="shared" si="527"/>
        <v>100000</v>
      </c>
      <c r="CD412" s="60" t="e">
        <f t="shared" si="528"/>
        <v>#N/A</v>
      </c>
      <c r="CE412" s="60">
        <f t="shared" si="529"/>
        <v>100000</v>
      </c>
      <c r="CF412" s="83" t="e">
        <f t="shared" si="577"/>
        <v>#N/A</v>
      </c>
      <c r="CG412" s="83">
        <f t="shared" si="578"/>
        <v>0</v>
      </c>
      <c r="CH412" s="83" t="e">
        <f t="shared" si="579"/>
        <v>#N/A</v>
      </c>
      <c r="CI412" s="83">
        <f t="shared" si="580"/>
        <v>0</v>
      </c>
      <c r="CJ412" s="86" t="e">
        <f t="shared" si="530"/>
        <v>#N/A</v>
      </c>
      <c r="CK412" s="82">
        <f t="shared" si="531"/>
        <v>5.3070370403969858E-3</v>
      </c>
      <c r="CL412" s="82" t="e">
        <f t="shared" si="532"/>
        <v>#N/A</v>
      </c>
      <c r="CM412" s="82">
        <f t="shared" si="533"/>
        <v>5.3070370403969858E-3</v>
      </c>
      <c r="CO412" s="149" t="str">
        <f>IF($I412&lt;&gt;"",IF(O412="User Specified",U412,INDEX('Refrigerant GWPs'!$G$2:$G$156,MATCH(O412,'Refrigerant GWPs'!$A$2:$A$156,0))),"")</f>
        <v/>
      </c>
      <c r="CP412" s="138" t="str">
        <f>IF($I412&lt;&gt;"",INDEX('Device Refrigerant Leakage'!$E$2:$E$42,MATCH($M412,'Device Refrigerant Leakage'!$B$2:$B$42,0)),"")</f>
        <v/>
      </c>
      <c r="CQ412" s="138" t="str">
        <f>IF($I412&lt;&gt;"",INDEX('Device Refrigerant Leakage'!$F$2:$F$42,MATCH($M412,'Device Refrigerant Leakage'!$B$2:$B$42,0)),"")</f>
        <v/>
      </c>
      <c r="CR412" s="145" t="str">
        <f>IF($I412&lt;&gt;"",INDEX('Device Refrigerant Leakage'!$G$2:$G$42,MATCH($M412,'Device Refrigerant Leakage'!$B$2:$B$42,0)),"")</f>
        <v/>
      </c>
      <c r="CS412" s="145" t="str">
        <f>IF($I412&lt;&gt;"",INDEX('Device Refrigerant Leakage'!$D$2:$D$42,MATCH($M412,'Device Refrigerant Leakage'!$B$2:$B$42,0))*CP412/2204.62*CO412,"")</f>
        <v/>
      </c>
      <c r="CT412" s="145" t="str">
        <f>IF($I412&lt;&gt;"",J412*(INDEX('Device Refrigerant Leakage'!$D$2:$D$42,MATCH($M412,'Device Refrigerant Leakage'!$B$2:$B$42,0))-(INDEX('Device Refrigerant Leakage'!$D$2:$D$42,MATCH($M412,'Device Refrigerant Leakage'!$B$2:$B$42,0)))*CR412*CP412)*CQ412/2204.62*CO412,"")</f>
        <v/>
      </c>
      <c r="CU412" s="135" t="str">
        <f>IF($I412&lt;&gt;"",J412*IF(W412&lt;&gt;"AR",(CS412*K412)+CT412,(CS412*AB412)+CT412*(AB412/INDEX('Device Refrigerant Leakage'!$C$2:$C$42,MATCH($M412,'Device Refrigerant Leakage'!$B$2:$B$42,0)))),"")</f>
        <v/>
      </c>
      <c r="CW412" s="135" t="str">
        <f>IF($I412&lt;&gt;"",IF(S412="User Specified",V412,INDEX('Refrigerant GWPs'!$G$2:$G$156,MATCH(S412,'Refrigerant GWPs'!$A$2:$A$157,0))),"")</f>
        <v/>
      </c>
      <c r="CX412" s="138" t="str">
        <f>IF($I412&lt;&gt;"",INDEX('Device Refrigerant Leakage'!$E$2:$E$42,MATCH($Q412,'Device Refrigerant Leakage'!$B$2:$B$42,0)),"")</f>
        <v/>
      </c>
      <c r="CY412" s="138" t="str">
        <f>IF($I412&lt;&gt;"",INDEX('Device Refrigerant Leakage'!$F$2:$F$42,MATCH($Q412,'Device Refrigerant Leakage'!$B$2:$B$42,0)),"")</f>
        <v/>
      </c>
      <c r="CZ412" s="145" t="str">
        <f>IF($I412&lt;&gt;"",INDEX('Device Refrigerant Leakage'!$G$2:$G$42,MATCH($Q412,'Device Refrigerant Leakage'!$B$2:$B$42,0)),"")</f>
        <v/>
      </c>
      <c r="DA412" s="145" t="str">
        <f>IF($I412&lt;&gt;"",J412*INDEX('Device Refrigerant Leakage'!$D$2:$D$42,MATCH($Q412,'Device Refrigerant Leakage'!$B$2:$B$42,0))*CX412/2204.62*CW412,"")</f>
        <v/>
      </c>
      <c r="DB412" s="145" t="str">
        <f>IF($I412&lt;&gt;"",J412*(INDEX('Device Refrigerant Leakage'!$D$2:$D$42,MATCH($Q412,'Device Refrigerant Leakage'!$B$2:$B$42,0))-(INDEX('Device Refrigerant Leakage'!$D$2:$D$42,MATCH($Q412,'Device Refrigerant Leakage'!$B$2:$B$42,0)))*CZ412*CX412)*CY412/2204.62*CW412,"")</f>
        <v/>
      </c>
      <c r="DC412" s="135" t="str">
        <f t="shared" si="552"/>
        <v/>
      </c>
      <c r="DE412" s="146" t="str">
        <f>IF(W412&lt;&gt;"AR","",IF(Y412="User Specified", AA412, INDEX('Refrigerant GWPs'!$G$2:$G$154,MATCH(Y412,'Refrigerant GWPs'!$A$2:$A$154,0))))</f>
        <v/>
      </c>
      <c r="DF412" s="146" t="str">
        <f>IF(W412&lt;&gt;"AR","",INDEX('Device Refrigerant Leakage'!$E$2:$E$42,MATCH(X412,'Device Refrigerant Leakage'!$B$2:$B$42,0)))</f>
        <v/>
      </c>
      <c r="DG412" s="146" t="str">
        <f>IF(W412&lt;&gt;"AR","",INDEX('Device Refrigerant Leakage'!$F$2:$F$42,MATCH(X412,'Device Refrigerant Leakage'!$B$2:$B$42,0)))</f>
        <v/>
      </c>
      <c r="DH412" s="146" t="str">
        <f>IF(W412&lt;&gt;"AR","",INDEX('Device Refrigerant Leakage'!$G$2:$G$42,MATCH(X412,'Device Refrigerant Leakage'!$B$2:$B$42,0)))</f>
        <v/>
      </c>
      <c r="DI412" s="146" t="str">
        <f>IF(W412&lt;&gt;"AR","",J412*INDEX('Device Refrigerant Leakage'!$D$2:$D$42,MATCH(X412,'Device Refrigerant Leakage'!$B$2:$B$42,0))*DF412/2204.62*DE412)</f>
        <v/>
      </c>
      <c r="DJ412" s="146" t="str">
        <f>IF(W412&lt;&gt;"AR","",J412*(INDEX('Device Refrigerant Leakage'!$D$2:$D$42,MATCH(X412,'Device Refrigerant Leakage'!$B$2:$B$42,0))-(INDEX('Device Refrigerant Leakage'!$D$2:$D$42,MATCH(X412,'Device Refrigerant Leakage'!$B$2:$B$42,0)))*DH412*DF412)*DG412/2204.62*DE412)</f>
        <v/>
      </c>
      <c r="DK412" s="146" t="str">
        <f>IF(W412&lt;&gt;"AR","",DI412*(K412-AB412)+'Fuel Sub Calcs-Deemed'!DJ412*((K412-AB412)/INDEX('Device Refrigerant Leakage'!$C$2:$C$42,MATCH('Fuel Sub Calcs-Deemed'!X412,'Device Refrigerant Leakage'!$B$2:$B$42,0))))</f>
        <v/>
      </c>
      <c r="DM412" s="56">
        <v>398</v>
      </c>
      <c r="DN412" s="67" t="e">
        <f t="shared" si="534"/>
        <v>#N/A</v>
      </c>
      <c r="DO412" s="45" t="e">
        <f t="shared" si="535"/>
        <v>#N/A</v>
      </c>
      <c r="DP412" s="67" t="e">
        <f t="shared" si="536"/>
        <v>#N/A</v>
      </c>
      <c r="DQ412" s="45" t="e">
        <f t="shared" si="537"/>
        <v>#N/A</v>
      </c>
      <c r="DR412" s="69" t="e">
        <f t="shared" si="538"/>
        <v>#N/A</v>
      </c>
      <c r="DS412" s="34"/>
      <c r="DT412" s="67" t="e">
        <f>((BX412*CJ412)+IF($W412=MAT_AR,(BZ412*CL412),0))*(1+Reference!$E$50+Reference!$E$51)</f>
        <v>#N/A</v>
      </c>
      <c r="DU412" s="67">
        <f>((BY412*CK412)+IF($W412=MAT_AR,(CA412*CM412),0))*(1+Reference!$G$50+Reference!$G$51)</f>
        <v>0</v>
      </c>
      <c r="DV412" s="67" t="e">
        <f t="shared" si="539"/>
        <v>#VALUE!</v>
      </c>
      <c r="DX412" s="56">
        <v>398</v>
      </c>
      <c r="DY412" s="67">
        <f t="shared" si="540"/>
        <v>0</v>
      </c>
      <c r="DZ412" s="45" t="e">
        <f>VLOOKUP($R412,Dropdown!$C$3:$D$4,2,FALSE)</f>
        <v>#N/A</v>
      </c>
      <c r="EA412" s="68">
        <f t="shared" si="541"/>
        <v>0</v>
      </c>
      <c r="EB412" s="68" t="str">
        <f t="shared" si="542"/>
        <v>N/A</v>
      </c>
      <c r="EC412" s="68">
        <f t="shared" si="543"/>
        <v>0</v>
      </c>
      <c r="ED412" s="68" t="str">
        <f t="shared" si="581"/>
        <v>N/A</v>
      </c>
      <c r="EF412" s="56">
        <v>398</v>
      </c>
      <c r="EG412" s="46">
        <f t="shared" si="544"/>
        <v>0</v>
      </c>
      <c r="EH412" s="68" t="e">
        <f t="shared" si="545"/>
        <v>#N/A</v>
      </c>
      <c r="EI412" s="68" t="e">
        <f t="shared" si="546"/>
        <v>#N/A</v>
      </c>
      <c r="EJ412" s="68" t="e">
        <f t="shared" si="547"/>
        <v>#N/A</v>
      </c>
      <c r="EK412" s="68" t="e">
        <f t="shared" si="548"/>
        <v>#N/A</v>
      </c>
      <c r="EL412" s="46">
        <f t="shared" si="549"/>
        <v>0</v>
      </c>
      <c r="EM412" s="46">
        <f t="shared" si="550"/>
        <v>0</v>
      </c>
    </row>
    <row r="413" spans="1:143">
      <c r="A413" s="89"/>
      <c r="B413" s="89"/>
      <c r="C413" s="89"/>
      <c r="D413" s="89"/>
      <c r="E413" s="89"/>
      <c r="F413" s="89"/>
      <c r="G413" s="34"/>
      <c r="H413" s="56">
        <f t="shared" si="551"/>
        <v>399</v>
      </c>
      <c r="I413" s="165"/>
      <c r="J413" s="163"/>
      <c r="K413" s="163"/>
      <c r="L413" s="164"/>
      <c r="M413" s="155"/>
      <c r="N413" s="155"/>
      <c r="O413" s="144"/>
      <c r="P413" s="159" t="str">
        <f>IFERROR(IF(O413&lt;&gt;"User Specified",IF(O413&lt;&gt;"", INDEX('Refrigerant GWPs'!$G$2:$G$154,MATCH(O413,'Refrigerant GWPs'!$A$2:$A$154,0)),""),U413),0)</f>
        <v/>
      </c>
      <c r="Q413" s="155"/>
      <c r="R413" s="155"/>
      <c r="S413" s="144"/>
      <c r="T413" s="159" t="str">
        <f>IF(S413&lt;&gt;"User Specified",IF(AND(S413&lt;&gt;"User Specified",S413&lt;&gt;""), INDEX('Refrigerant GWPs'!$G$2:$G$154,MATCH(S413,'Refrigerant GWPs'!$A$2:$A$154,0)),""),V413)</f>
        <v/>
      </c>
      <c r="U413" s="144"/>
      <c r="V413" s="144"/>
      <c r="W413" s="155"/>
      <c r="X413" s="155"/>
      <c r="Y413" s="144"/>
      <c r="Z413" s="159" t="str">
        <f>IF(AND(Y413&lt;&gt;"User Specified",Y413&lt;&gt;""), INDEX('Refrigerant GWPs'!$G$2:$G$154,MATCH(Y413,'Refrigerant GWPs'!$A$2:$A$154,0)),"")</f>
        <v/>
      </c>
      <c r="AA413" s="155"/>
      <c r="AB413" s="156"/>
      <c r="AC413" s="66"/>
      <c r="AD413" s="66"/>
      <c r="AE413" s="66"/>
      <c r="AF413" s="66"/>
      <c r="AG413" s="66"/>
      <c r="AH413" s="66"/>
      <c r="AI413" s="34"/>
      <c r="AJ413" s="88">
        <f t="shared" si="514"/>
        <v>0</v>
      </c>
      <c r="AK413" s="88">
        <f t="shared" si="515"/>
        <v>0</v>
      </c>
      <c r="AL413" s="88">
        <v>0</v>
      </c>
      <c r="AM413" s="88">
        <v>0</v>
      </c>
      <c r="AN413" s="81" t="str">
        <f t="shared" si="553"/>
        <v/>
      </c>
      <c r="AO413" s="88">
        <f t="shared" si="516"/>
        <v>0</v>
      </c>
      <c r="AP413" s="88">
        <f t="shared" si="517"/>
        <v>0</v>
      </c>
      <c r="AQ413" s="81" t="str">
        <f t="shared" si="518"/>
        <v/>
      </c>
      <c r="AS413" s="41" t="b">
        <f t="shared" si="519"/>
        <v>1</v>
      </c>
      <c r="AT413" s="38">
        <f t="shared" si="520"/>
        <v>0</v>
      </c>
      <c r="AU413" s="60">
        <f t="shared" si="521"/>
        <v>0</v>
      </c>
      <c r="AV413" s="41">
        <f t="shared" si="522"/>
        <v>0</v>
      </c>
      <c r="AW413" s="41" t="b">
        <f t="shared" si="523"/>
        <v>0</v>
      </c>
      <c r="AX413" t="str">
        <f t="shared" si="524"/>
        <v>+00</v>
      </c>
      <c r="AY413" t="str">
        <f t="shared" si="525"/>
        <v>+00</v>
      </c>
      <c r="BA413" s="47" t="b">
        <f t="shared" si="554"/>
        <v>1</v>
      </c>
      <c r="BB413" s="42" t="b">
        <f t="shared" si="555"/>
        <v>1</v>
      </c>
      <c r="BC413" s="42" t="b">
        <f t="shared" si="556"/>
        <v>0</v>
      </c>
      <c r="BD413" s="42" t="b">
        <f t="shared" si="557"/>
        <v>0</v>
      </c>
      <c r="BE413" s="70">
        <f t="shared" si="558"/>
        <v>0</v>
      </c>
      <c r="BF413" s="70">
        <f t="shared" si="559"/>
        <v>0</v>
      </c>
      <c r="BG413" s="34"/>
      <c r="BI413" s="47" t="b">
        <f t="shared" si="560"/>
        <v>1</v>
      </c>
      <c r="BJ413" s="47" t="b">
        <f t="shared" si="561"/>
        <v>1</v>
      </c>
      <c r="BK413" s="42" t="b">
        <f t="shared" si="562"/>
        <v>0</v>
      </c>
      <c r="BL413" s="42" t="b">
        <f t="shared" si="563"/>
        <v>0</v>
      </c>
      <c r="BM413" s="42">
        <f t="shared" si="564"/>
        <v>0</v>
      </c>
      <c r="BN413" s="42">
        <f t="shared" si="565"/>
        <v>0</v>
      </c>
      <c r="BP413" t="e">
        <f t="shared" si="566"/>
        <v>#N/A</v>
      </c>
      <c r="BQ413" t="e">
        <f t="shared" si="567"/>
        <v>#N/A</v>
      </c>
      <c r="BR413" t="e">
        <f t="shared" si="568"/>
        <v>#N/A</v>
      </c>
      <c r="BT413" s="60">
        <f t="shared" si="569"/>
        <v>0</v>
      </c>
      <c r="BU413" s="60">
        <f t="shared" si="570"/>
        <v>0</v>
      </c>
      <c r="BV413" s="60">
        <f t="shared" si="571"/>
        <v>0</v>
      </c>
      <c r="BW413" s="60">
        <f t="shared" si="572"/>
        <v>0</v>
      </c>
      <c r="BX413" s="60">
        <f t="shared" si="573"/>
        <v>0</v>
      </c>
      <c r="BY413" s="60">
        <f t="shared" si="574"/>
        <v>0</v>
      </c>
      <c r="BZ413" s="60">
        <f t="shared" si="575"/>
        <v>0</v>
      </c>
      <c r="CA413" s="60">
        <f t="shared" si="576"/>
        <v>0</v>
      </c>
      <c r="CB413" s="60" t="e">
        <f t="shared" si="526"/>
        <v>#N/A</v>
      </c>
      <c r="CC413" s="60">
        <f t="shared" si="527"/>
        <v>100000</v>
      </c>
      <c r="CD413" s="60" t="e">
        <f t="shared" si="528"/>
        <v>#N/A</v>
      </c>
      <c r="CE413" s="60">
        <f t="shared" si="529"/>
        <v>100000</v>
      </c>
      <c r="CF413" s="83" t="e">
        <f t="shared" si="577"/>
        <v>#N/A</v>
      </c>
      <c r="CG413" s="83">
        <f t="shared" si="578"/>
        <v>0</v>
      </c>
      <c r="CH413" s="83" t="e">
        <f t="shared" si="579"/>
        <v>#N/A</v>
      </c>
      <c r="CI413" s="83">
        <f t="shared" si="580"/>
        <v>0</v>
      </c>
      <c r="CJ413" s="86" t="e">
        <f t="shared" si="530"/>
        <v>#N/A</v>
      </c>
      <c r="CK413" s="82">
        <f t="shared" si="531"/>
        <v>5.3070370403969858E-3</v>
      </c>
      <c r="CL413" s="82" t="e">
        <f t="shared" si="532"/>
        <v>#N/A</v>
      </c>
      <c r="CM413" s="82">
        <f t="shared" si="533"/>
        <v>5.3070370403969858E-3</v>
      </c>
      <c r="CO413" s="149" t="str">
        <f>IF($I413&lt;&gt;"",IF(O413="User Specified",U413,INDEX('Refrigerant GWPs'!$G$2:$G$156,MATCH(O413,'Refrigerant GWPs'!$A$2:$A$156,0))),"")</f>
        <v/>
      </c>
      <c r="CP413" s="138" t="str">
        <f>IF($I413&lt;&gt;"",INDEX('Device Refrigerant Leakage'!$E$2:$E$42,MATCH($M413,'Device Refrigerant Leakage'!$B$2:$B$42,0)),"")</f>
        <v/>
      </c>
      <c r="CQ413" s="138" t="str">
        <f>IF($I413&lt;&gt;"",INDEX('Device Refrigerant Leakage'!$F$2:$F$42,MATCH($M413,'Device Refrigerant Leakage'!$B$2:$B$42,0)),"")</f>
        <v/>
      </c>
      <c r="CR413" s="145" t="str">
        <f>IF($I413&lt;&gt;"",INDEX('Device Refrigerant Leakage'!$G$2:$G$42,MATCH($M413,'Device Refrigerant Leakage'!$B$2:$B$42,0)),"")</f>
        <v/>
      </c>
      <c r="CS413" s="145" t="str">
        <f>IF($I413&lt;&gt;"",INDEX('Device Refrigerant Leakage'!$D$2:$D$42,MATCH($M413,'Device Refrigerant Leakage'!$B$2:$B$42,0))*CP413/2204.62*CO413,"")</f>
        <v/>
      </c>
      <c r="CT413" s="145" t="str">
        <f>IF($I413&lt;&gt;"",J413*(INDEX('Device Refrigerant Leakage'!$D$2:$D$42,MATCH($M413,'Device Refrigerant Leakage'!$B$2:$B$42,0))-(INDEX('Device Refrigerant Leakage'!$D$2:$D$42,MATCH($M413,'Device Refrigerant Leakage'!$B$2:$B$42,0)))*CR413*CP413)*CQ413/2204.62*CO413,"")</f>
        <v/>
      </c>
      <c r="CU413" s="135" t="str">
        <f>IF($I413&lt;&gt;"",J413*IF(W413&lt;&gt;"AR",(CS413*K413)+CT413,(CS413*AB413)+CT413*(AB413/INDEX('Device Refrigerant Leakage'!$C$2:$C$42,MATCH($M413,'Device Refrigerant Leakage'!$B$2:$B$42,0)))),"")</f>
        <v/>
      </c>
      <c r="CW413" s="135" t="str">
        <f>IF($I413&lt;&gt;"",IF(S413="User Specified",V413,INDEX('Refrigerant GWPs'!$G$2:$G$156,MATCH(S413,'Refrigerant GWPs'!$A$2:$A$157,0))),"")</f>
        <v/>
      </c>
      <c r="CX413" s="138" t="str">
        <f>IF($I413&lt;&gt;"",INDEX('Device Refrigerant Leakage'!$E$2:$E$42,MATCH($Q413,'Device Refrigerant Leakage'!$B$2:$B$42,0)),"")</f>
        <v/>
      </c>
      <c r="CY413" s="138" t="str">
        <f>IF($I413&lt;&gt;"",INDEX('Device Refrigerant Leakage'!$F$2:$F$42,MATCH($Q413,'Device Refrigerant Leakage'!$B$2:$B$42,0)),"")</f>
        <v/>
      </c>
      <c r="CZ413" s="145" t="str">
        <f>IF($I413&lt;&gt;"",INDEX('Device Refrigerant Leakage'!$G$2:$G$42,MATCH($Q413,'Device Refrigerant Leakage'!$B$2:$B$42,0)),"")</f>
        <v/>
      </c>
      <c r="DA413" s="145" t="str">
        <f>IF($I413&lt;&gt;"",J413*INDEX('Device Refrigerant Leakage'!$D$2:$D$42,MATCH($Q413,'Device Refrigerant Leakage'!$B$2:$B$42,0))*CX413/2204.62*CW413,"")</f>
        <v/>
      </c>
      <c r="DB413" s="145" t="str">
        <f>IF($I413&lt;&gt;"",J413*(INDEX('Device Refrigerant Leakage'!$D$2:$D$42,MATCH($Q413,'Device Refrigerant Leakage'!$B$2:$B$42,0))-(INDEX('Device Refrigerant Leakage'!$D$2:$D$42,MATCH($Q413,'Device Refrigerant Leakage'!$B$2:$B$42,0)))*CZ413*CX413)*CY413/2204.62*CW413,"")</f>
        <v/>
      </c>
      <c r="DC413" s="135" t="str">
        <f t="shared" si="552"/>
        <v/>
      </c>
      <c r="DE413" s="146" t="str">
        <f>IF(W413&lt;&gt;"AR","",IF(Y413="User Specified", AA413, INDEX('Refrigerant GWPs'!$G$2:$G$154,MATCH(Y413,'Refrigerant GWPs'!$A$2:$A$154,0))))</f>
        <v/>
      </c>
      <c r="DF413" s="146" t="str">
        <f>IF(W413&lt;&gt;"AR","",INDEX('Device Refrigerant Leakage'!$E$2:$E$42,MATCH(X413,'Device Refrigerant Leakage'!$B$2:$B$42,0)))</f>
        <v/>
      </c>
      <c r="DG413" s="146" t="str">
        <f>IF(W413&lt;&gt;"AR","",INDEX('Device Refrigerant Leakage'!$F$2:$F$42,MATCH(X413,'Device Refrigerant Leakage'!$B$2:$B$42,0)))</f>
        <v/>
      </c>
      <c r="DH413" s="146" t="str">
        <f>IF(W413&lt;&gt;"AR","",INDEX('Device Refrigerant Leakage'!$G$2:$G$42,MATCH(X413,'Device Refrigerant Leakage'!$B$2:$B$42,0)))</f>
        <v/>
      </c>
      <c r="DI413" s="146" t="str">
        <f>IF(W413&lt;&gt;"AR","",J413*INDEX('Device Refrigerant Leakage'!$D$2:$D$42,MATCH(X413,'Device Refrigerant Leakage'!$B$2:$B$42,0))*DF413/2204.62*DE413)</f>
        <v/>
      </c>
      <c r="DJ413" s="146" t="str">
        <f>IF(W413&lt;&gt;"AR","",J413*(INDEX('Device Refrigerant Leakage'!$D$2:$D$42,MATCH(X413,'Device Refrigerant Leakage'!$B$2:$B$42,0))-(INDEX('Device Refrigerant Leakage'!$D$2:$D$42,MATCH(X413,'Device Refrigerant Leakage'!$B$2:$B$42,0)))*DH413*DF413)*DG413/2204.62*DE413)</f>
        <v/>
      </c>
      <c r="DK413" s="146" t="str">
        <f>IF(W413&lt;&gt;"AR","",DI413*(K413-AB413)+'Fuel Sub Calcs-Deemed'!DJ413*((K413-AB413)/INDEX('Device Refrigerant Leakage'!$C$2:$C$42,MATCH('Fuel Sub Calcs-Deemed'!X413,'Device Refrigerant Leakage'!$B$2:$B$42,0))))</f>
        <v/>
      </c>
      <c r="DM413" s="56">
        <v>399</v>
      </c>
      <c r="DN413" s="67" t="e">
        <f t="shared" si="534"/>
        <v>#N/A</v>
      </c>
      <c r="DO413" s="45" t="e">
        <f t="shared" si="535"/>
        <v>#N/A</v>
      </c>
      <c r="DP413" s="67" t="e">
        <f t="shared" si="536"/>
        <v>#N/A</v>
      </c>
      <c r="DQ413" s="45" t="e">
        <f t="shared" si="537"/>
        <v>#N/A</v>
      </c>
      <c r="DR413" s="69" t="e">
        <f t="shared" si="538"/>
        <v>#N/A</v>
      </c>
      <c r="DS413" s="34"/>
      <c r="DT413" s="67" t="e">
        <f>((BX413*CJ413)+IF($W413=MAT_AR,(BZ413*CL413),0))*(1+Reference!$E$50+Reference!$E$51)</f>
        <v>#N/A</v>
      </c>
      <c r="DU413" s="67">
        <f>((BY413*CK413)+IF($W413=MAT_AR,(CA413*CM413),0))*(1+Reference!$G$50+Reference!$G$51)</f>
        <v>0</v>
      </c>
      <c r="DV413" s="67" t="e">
        <f t="shared" si="539"/>
        <v>#VALUE!</v>
      </c>
      <c r="DX413" s="56">
        <v>399</v>
      </c>
      <c r="DY413" s="67">
        <f t="shared" si="540"/>
        <v>0</v>
      </c>
      <c r="DZ413" s="45" t="e">
        <f>VLOOKUP($R413,Dropdown!$C$3:$D$4,2,FALSE)</f>
        <v>#N/A</v>
      </c>
      <c r="EA413" s="68">
        <f t="shared" si="541"/>
        <v>0</v>
      </c>
      <c r="EB413" s="68" t="str">
        <f t="shared" si="542"/>
        <v>N/A</v>
      </c>
      <c r="EC413" s="68">
        <f t="shared" si="543"/>
        <v>0</v>
      </c>
      <c r="ED413" s="68" t="str">
        <f t="shared" si="581"/>
        <v>N/A</v>
      </c>
      <c r="EF413" s="56">
        <v>399</v>
      </c>
      <c r="EG413" s="46">
        <f t="shared" si="544"/>
        <v>0</v>
      </c>
      <c r="EH413" s="68" t="e">
        <f t="shared" si="545"/>
        <v>#N/A</v>
      </c>
      <c r="EI413" s="68" t="e">
        <f t="shared" si="546"/>
        <v>#N/A</v>
      </c>
      <c r="EJ413" s="68" t="e">
        <f t="shared" si="547"/>
        <v>#N/A</v>
      </c>
      <c r="EK413" s="68" t="e">
        <f t="shared" si="548"/>
        <v>#N/A</v>
      </c>
      <c r="EL413" s="46">
        <f t="shared" si="549"/>
        <v>0</v>
      </c>
      <c r="EM413" s="46">
        <f t="shared" si="550"/>
        <v>0</v>
      </c>
    </row>
    <row r="414" spans="1:143">
      <c r="A414" s="89"/>
      <c r="B414" s="89"/>
      <c r="C414" s="89"/>
      <c r="D414" s="89"/>
      <c r="E414" s="89"/>
      <c r="F414" s="89"/>
      <c r="G414" s="34"/>
      <c r="H414" s="56">
        <f t="shared" si="551"/>
        <v>400</v>
      </c>
      <c r="I414" s="165"/>
      <c r="J414" s="163"/>
      <c r="K414" s="163"/>
      <c r="L414" s="164"/>
      <c r="M414" s="155"/>
      <c r="N414" s="155"/>
      <c r="O414" s="144"/>
      <c r="P414" s="159" t="str">
        <f>IFERROR(IF(O414&lt;&gt;"User Specified",IF(O414&lt;&gt;"", INDEX('Refrigerant GWPs'!$G$2:$G$154,MATCH(O414,'Refrigerant GWPs'!$A$2:$A$154,0)),""),U414),0)</f>
        <v/>
      </c>
      <c r="Q414" s="155"/>
      <c r="R414" s="155"/>
      <c r="S414" s="144"/>
      <c r="T414" s="159" t="str">
        <f>IF(S414&lt;&gt;"User Specified",IF(AND(S414&lt;&gt;"User Specified",S414&lt;&gt;""), INDEX('Refrigerant GWPs'!$G$2:$G$154,MATCH(S414,'Refrigerant GWPs'!$A$2:$A$154,0)),""),V414)</f>
        <v/>
      </c>
      <c r="U414" s="144"/>
      <c r="V414" s="144"/>
      <c r="W414" s="155"/>
      <c r="X414" s="155"/>
      <c r="Y414" s="144"/>
      <c r="Z414" s="159" t="str">
        <f>IF(AND(Y414&lt;&gt;"User Specified",Y414&lt;&gt;""), INDEX('Refrigerant GWPs'!$G$2:$G$154,MATCH(Y414,'Refrigerant GWPs'!$A$2:$A$154,0)),"")</f>
        <v/>
      </c>
      <c r="AA414" s="155"/>
      <c r="AB414" s="156"/>
      <c r="AC414" s="66"/>
      <c r="AD414" s="66"/>
      <c r="AE414" s="66"/>
      <c r="AF414" s="66"/>
      <c r="AG414" s="66"/>
      <c r="AH414" s="66"/>
      <c r="AI414" s="34"/>
      <c r="AJ414" s="88">
        <f t="shared" si="514"/>
        <v>0</v>
      </c>
      <c r="AK414" s="88">
        <f t="shared" si="515"/>
        <v>0</v>
      </c>
      <c r="AL414" s="88">
        <v>0</v>
      </c>
      <c r="AM414" s="88">
        <v>0</v>
      </c>
      <c r="AN414" s="81" t="str">
        <f t="shared" si="553"/>
        <v/>
      </c>
      <c r="AO414" s="88">
        <f t="shared" si="516"/>
        <v>0</v>
      </c>
      <c r="AP414" s="88">
        <f t="shared" si="517"/>
        <v>0</v>
      </c>
      <c r="AQ414" s="81" t="str">
        <f t="shared" si="518"/>
        <v/>
      </c>
      <c r="AS414" s="41" t="b">
        <f t="shared" si="519"/>
        <v>1</v>
      </c>
      <c r="AT414" s="38">
        <f t="shared" si="520"/>
        <v>0</v>
      </c>
      <c r="AU414" s="60">
        <f t="shared" si="521"/>
        <v>0</v>
      </c>
      <c r="AV414" s="41">
        <f t="shared" si="522"/>
        <v>0</v>
      </c>
      <c r="AW414" s="41" t="b">
        <f t="shared" si="523"/>
        <v>0</v>
      </c>
      <c r="AX414" t="str">
        <f t="shared" si="524"/>
        <v>+00</v>
      </c>
      <c r="AY414" t="str">
        <f t="shared" si="525"/>
        <v>+00</v>
      </c>
      <c r="BA414" s="47" t="b">
        <f t="shared" si="554"/>
        <v>1</v>
      </c>
      <c r="BB414" s="42" t="b">
        <f t="shared" si="555"/>
        <v>1</v>
      </c>
      <c r="BC414" s="42" t="b">
        <f t="shared" si="556"/>
        <v>0</v>
      </c>
      <c r="BD414" s="42" t="b">
        <f t="shared" si="557"/>
        <v>0</v>
      </c>
      <c r="BE414" s="70">
        <f t="shared" si="558"/>
        <v>0</v>
      </c>
      <c r="BF414" s="70">
        <f t="shared" si="559"/>
        <v>0</v>
      </c>
      <c r="BG414" s="34"/>
      <c r="BI414" s="47" t="b">
        <f t="shared" si="560"/>
        <v>1</v>
      </c>
      <c r="BJ414" s="47" t="b">
        <f t="shared" si="561"/>
        <v>1</v>
      </c>
      <c r="BK414" s="42" t="b">
        <f t="shared" si="562"/>
        <v>0</v>
      </c>
      <c r="BL414" s="42" t="b">
        <f t="shared" si="563"/>
        <v>0</v>
      </c>
      <c r="BM414" s="42">
        <f t="shared" si="564"/>
        <v>0</v>
      </c>
      <c r="BN414" s="42">
        <f t="shared" si="565"/>
        <v>0</v>
      </c>
      <c r="BP414" t="e">
        <f t="shared" si="566"/>
        <v>#N/A</v>
      </c>
      <c r="BQ414" t="e">
        <f t="shared" si="567"/>
        <v>#N/A</v>
      </c>
      <c r="BR414" t="e">
        <f t="shared" si="568"/>
        <v>#N/A</v>
      </c>
      <c r="BT414" s="60">
        <f t="shared" si="569"/>
        <v>0</v>
      </c>
      <c r="BU414" s="60">
        <f t="shared" si="570"/>
        <v>0</v>
      </c>
      <c r="BV414" s="60">
        <f t="shared" si="571"/>
        <v>0</v>
      </c>
      <c r="BW414" s="60">
        <f t="shared" si="572"/>
        <v>0</v>
      </c>
      <c r="BX414" s="60">
        <f t="shared" si="573"/>
        <v>0</v>
      </c>
      <c r="BY414" s="60">
        <f t="shared" si="574"/>
        <v>0</v>
      </c>
      <c r="BZ414" s="60">
        <f t="shared" si="575"/>
        <v>0</v>
      </c>
      <c r="CA414" s="60">
        <f t="shared" si="576"/>
        <v>0</v>
      </c>
      <c r="CB414" s="60" t="e">
        <f t="shared" si="526"/>
        <v>#N/A</v>
      </c>
      <c r="CC414" s="60">
        <f t="shared" si="527"/>
        <v>100000</v>
      </c>
      <c r="CD414" s="60" t="e">
        <f t="shared" si="528"/>
        <v>#N/A</v>
      </c>
      <c r="CE414" s="60">
        <f t="shared" si="529"/>
        <v>100000</v>
      </c>
      <c r="CF414" s="83" t="e">
        <f t="shared" si="577"/>
        <v>#N/A</v>
      </c>
      <c r="CG414" s="83">
        <f t="shared" si="578"/>
        <v>0</v>
      </c>
      <c r="CH414" s="83" t="e">
        <f t="shared" si="579"/>
        <v>#N/A</v>
      </c>
      <c r="CI414" s="83">
        <f t="shared" si="580"/>
        <v>0</v>
      </c>
      <c r="CJ414" s="86" t="e">
        <f t="shared" si="530"/>
        <v>#N/A</v>
      </c>
      <c r="CK414" s="82">
        <f t="shared" si="531"/>
        <v>5.3070370403969858E-3</v>
      </c>
      <c r="CL414" s="82" t="e">
        <f t="shared" si="532"/>
        <v>#N/A</v>
      </c>
      <c r="CM414" s="82">
        <f t="shared" si="533"/>
        <v>5.3070370403969858E-3</v>
      </c>
      <c r="CO414" s="149" t="str">
        <f>IF($I414&lt;&gt;"",IF(O414="User Specified",U414,INDEX('Refrigerant GWPs'!$G$2:$G$156,MATCH(O414,'Refrigerant GWPs'!$A$2:$A$156,0))),"")</f>
        <v/>
      </c>
      <c r="CP414" s="138" t="str">
        <f>IF($I414&lt;&gt;"",INDEX('Device Refrigerant Leakage'!$E$2:$E$42,MATCH($M414,'Device Refrigerant Leakage'!$B$2:$B$42,0)),"")</f>
        <v/>
      </c>
      <c r="CQ414" s="138" t="str">
        <f>IF($I414&lt;&gt;"",INDEX('Device Refrigerant Leakage'!$F$2:$F$42,MATCH($M414,'Device Refrigerant Leakage'!$B$2:$B$42,0)),"")</f>
        <v/>
      </c>
      <c r="CR414" s="145" t="str">
        <f>IF($I414&lt;&gt;"",INDEX('Device Refrigerant Leakage'!$G$2:$G$42,MATCH($M414,'Device Refrigerant Leakage'!$B$2:$B$42,0)),"")</f>
        <v/>
      </c>
      <c r="CS414" s="145" t="str">
        <f>IF($I414&lt;&gt;"",INDEX('Device Refrigerant Leakage'!$D$2:$D$42,MATCH($M414,'Device Refrigerant Leakage'!$B$2:$B$42,0))*CP414/2204.62*CO414,"")</f>
        <v/>
      </c>
      <c r="CT414" s="145" t="str">
        <f>IF($I414&lt;&gt;"",J414*(INDEX('Device Refrigerant Leakage'!$D$2:$D$42,MATCH($M414,'Device Refrigerant Leakage'!$B$2:$B$42,0))-(INDEX('Device Refrigerant Leakage'!$D$2:$D$42,MATCH($M414,'Device Refrigerant Leakage'!$B$2:$B$42,0)))*CR414*CP414)*CQ414/2204.62*CO414,"")</f>
        <v/>
      </c>
      <c r="CU414" s="135" t="str">
        <f>IF($I414&lt;&gt;"",J414*IF(W414&lt;&gt;"AR",(CS414*K414)+CT414,(CS414*AB414)+CT414*(AB414/INDEX('Device Refrigerant Leakage'!$C$2:$C$42,MATCH($M414,'Device Refrigerant Leakage'!$B$2:$B$42,0)))),"")</f>
        <v/>
      </c>
      <c r="CW414" s="135" t="str">
        <f>IF($I414&lt;&gt;"",IF(S414="User Specified",V414,INDEX('Refrigerant GWPs'!$G$2:$G$156,MATCH(S414,'Refrigerant GWPs'!$A$2:$A$157,0))),"")</f>
        <v/>
      </c>
      <c r="CX414" s="138" t="str">
        <f>IF($I414&lt;&gt;"",INDEX('Device Refrigerant Leakage'!$E$2:$E$42,MATCH($Q414,'Device Refrigerant Leakage'!$B$2:$B$42,0)),"")</f>
        <v/>
      </c>
      <c r="CY414" s="138" t="str">
        <f>IF($I414&lt;&gt;"",INDEX('Device Refrigerant Leakage'!$F$2:$F$42,MATCH($Q414,'Device Refrigerant Leakage'!$B$2:$B$42,0)),"")</f>
        <v/>
      </c>
      <c r="CZ414" s="145" t="str">
        <f>IF($I414&lt;&gt;"",INDEX('Device Refrigerant Leakage'!$G$2:$G$42,MATCH($Q414,'Device Refrigerant Leakage'!$B$2:$B$42,0)),"")</f>
        <v/>
      </c>
      <c r="DA414" s="145" t="str">
        <f>IF($I414&lt;&gt;"",J414*INDEX('Device Refrigerant Leakage'!$D$2:$D$42,MATCH($Q414,'Device Refrigerant Leakage'!$B$2:$B$42,0))*CX414/2204.62*CW414,"")</f>
        <v/>
      </c>
      <c r="DB414" s="145" t="str">
        <f>IF($I414&lt;&gt;"",J414*(INDEX('Device Refrigerant Leakage'!$D$2:$D$42,MATCH($Q414,'Device Refrigerant Leakage'!$B$2:$B$42,0))-(INDEX('Device Refrigerant Leakage'!$D$2:$D$42,MATCH($Q414,'Device Refrigerant Leakage'!$B$2:$B$42,0)))*CZ414*CX414)*CY414/2204.62*CW414,"")</f>
        <v/>
      </c>
      <c r="DC414" s="135" t="str">
        <f t="shared" si="552"/>
        <v/>
      </c>
      <c r="DE414" s="146" t="str">
        <f>IF(W414&lt;&gt;"AR","",IF(Y414="User Specified", AA414, INDEX('Refrigerant GWPs'!$G$2:$G$154,MATCH(Y414,'Refrigerant GWPs'!$A$2:$A$154,0))))</f>
        <v/>
      </c>
      <c r="DF414" s="146" t="str">
        <f>IF(W414&lt;&gt;"AR","",INDEX('Device Refrigerant Leakage'!$E$2:$E$42,MATCH(X414,'Device Refrigerant Leakage'!$B$2:$B$42,0)))</f>
        <v/>
      </c>
      <c r="DG414" s="146" t="str">
        <f>IF(W414&lt;&gt;"AR","",INDEX('Device Refrigerant Leakage'!$F$2:$F$42,MATCH(X414,'Device Refrigerant Leakage'!$B$2:$B$42,0)))</f>
        <v/>
      </c>
      <c r="DH414" s="146" t="str">
        <f>IF(W414&lt;&gt;"AR","",INDEX('Device Refrigerant Leakage'!$G$2:$G$42,MATCH(X414,'Device Refrigerant Leakage'!$B$2:$B$42,0)))</f>
        <v/>
      </c>
      <c r="DI414" s="146" t="str">
        <f>IF(W414&lt;&gt;"AR","",J414*INDEX('Device Refrigerant Leakage'!$D$2:$D$42,MATCH(X414,'Device Refrigerant Leakage'!$B$2:$B$42,0))*DF414/2204.62*DE414)</f>
        <v/>
      </c>
      <c r="DJ414" s="146" t="str">
        <f>IF(W414&lt;&gt;"AR","",J414*(INDEX('Device Refrigerant Leakage'!$D$2:$D$42,MATCH(X414,'Device Refrigerant Leakage'!$B$2:$B$42,0))-(INDEX('Device Refrigerant Leakage'!$D$2:$D$42,MATCH(X414,'Device Refrigerant Leakage'!$B$2:$B$42,0)))*DH414*DF414)*DG414/2204.62*DE414)</f>
        <v/>
      </c>
      <c r="DK414" s="146" t="str">
        <f>IF(W414&lt;&gt;"AR","",DI414*(K414-AB414)+'Fuel Sub Calcs-Deemed'!DJ414*((K414-AB414)/INDEX('Device Refrigerant Leakage'!$C$2:$C$42,MATCH('Fuel Sub Calcs-Deemed'!X414,'Device Refrigerant Leakage'!$B$2:$B$42,0))))</f>
        <v/>
      </c>
      <c r="DM414" s="56">
        <v>400</v>
      </c>
      <c r="DN414" s="67" t="e">
        <f t="shared" si="534"/>
        <v>#N/A</v>
      </c>
      <c r="DO414" s="45" t="e">
        <f t="shared" si="535"/>
        <v>#N/A</v>
      </c>
      <c r="DP414" s="67" t="e">
        <f t="shared" si="536"/>
        <v>#N/A</v>
      </c>
      <c r="DQ414" s="45" t="e">
        <f t="shared" si="537"/>
        <v>#N/A</v>
      </c>
      <c r="DR414" s="69" t="e">
        <f t="shared" si="538"/>
        <v>#N/A</v>
      </c>
      <c r="DS414" s="34"/>
      <c r="DT414" s="67" t="e">
        <f>((BX414*CJ414)+IF($W414=MAT_AR,(BZ414*CL414),0))*(1+Reference!$E$50+Reference!$E$51)</f>
        <v>#N/A</v>
      </c>
      <c r="DU414" s="67">
        <f>((BY414*CK414)+IF($W414=MAT_AR,(CA414*CM414),0))*(1+Reference!$G$50+Reference!$G$51)</f>
        <v>0</v>
      </c>
      <c r="DV414" s="67" t="e">
        <f t="shared" si="539"/>
        <v>#VALUE!</v>
      </c>
      <c r="DX414" s="56">
        <v>400</v>
      </c>
      <c r="DY414" s="67">
        <f t="shared" si="540"/>
        <v>0</v>
      </c>
      <c r="DZ414" s="45" t="e">
        <f>VLOOKUP($R414,Dropdown!$C$3:$D$4,2,FALSE)</f>
        <v>#N/A</v>
      </c>
      <c r="EA414" s="68">
        <f t="shared" si="541"/>
        <v>0</v>
      </c>
      <c r="EB414" s="68" t="str">
        <f t="shared" si="542"/>
        <v>N/A</v>
      </c>
      <c r="EC414" s="68">
        <f t="shared" si="543"/>
        <v>0</v>
      </c>
      <c r="ED414" s="68" t="str">
        <f t="shared" si="581"/>
        <v>N/A</v>
      </c>
      <c r="EF414" s="56">
        <v>400</v>
      </c>
      <c r="EG414" s="46">
        <f t="shared" si="544"/>
        <v>0</v>
      </c>
      <c r="EH414" s="68" t="e">
        <f t="shared" si="545"/>
        <v>#N/A</v>
      </c>
      <c r="EI414" s="68" t="e">
        <f t="shared" si="546"/>
        <v>#N/A</v>
      </c>
      <c r="EJ414" s="68" t="e">
        <f t="shared" si="547"/>
        <v>#N/A</v>
      </c>
      <c r="EK414" s="68" t="e">
        <f t="shared" si="548"/>
        <v>#N/A</v>
      </c>
      <c r="EL414" s="46">
        <f t="shared" si="549"/>
        <v>0</v>
      </c>
      <c r="EM414" s="46">
        <f t="shared" si="550"/>
        <v>0</v>
      </c>
    </row>
    <row r="415" spans="1:143">
      <c r="A415" s="89"/>
      <c r="B415" s="89"/>
      <c r="C415" s="89"/>
      <c r="D415" s="89"/>
      <c r="E415" s="89"/>
      <c r="F415" s="89"/>
      <c r="G415" s="34"/>
      <c r="H415" s="56">
        <f t="shared" si="551"/>
        <v>401</v>
      </c>
      <c r="I415" s="165"/>
      <c r="J415" s="163"/>
      <c r="K415" s="163"/>
      <c r="L415" s="164"/>
      <c r="M415" s="155"/>
      <c r="N415" s="155"/>
      <c r="O415" s="144"/>
      <c r="P415" s="159" t="str">
        <f>IFERROR(IF(O415&lt;&gt;"User Specified",IF(O415&lt;&gt;"", INDEX('Refrigerant GWPs'!$G$2:$G$154,MATCH(O415,'Refrigerant GWPs'!$A$2:$A$154,0)),""),U415),0)</f>
        <v/>
      </c>
      <c r="Q415" s="155"/>
      <c r="R415" s="155"/>
      <c r="S415" s="144"/>
      <c r="T415" s="159" t="str">
        <f>IF(S415&lt;&gt;"User Specified",IF(AND(S415&lt;&gt;"User Specified",S415&lt;&gt;""), INDEX('Refrigerant GWPs'!$G$2:$G$154,MATCH(S415,'Refrigerant GWPs'!$A$2:$A$154,0)),""),V415)</f>
        <v/>
      </c>
      <c r="U415" s="144"/>
      <c r="V415" s="144"/>
      <c r="W415" s="155"/>
      <c r="X415" s="155"/>
      <c r="Y415" s="144"/>
      <c r="Z415" s="159" t="str">
        <f>IF(AND(Y415&lt;&gt;"User Specified",Y415&lt;&gt;""), INDEX('Refrigerant GWPs'!$G$2:$G$154,MATCH(Y415,'Refrigerant GWPs'!$A$2:$A$154,0)),"")</f>
        <v/>
      </c>
      <c r="AA415" s="155"/>
      <c r="AB415" s="156"/>
      <c r="AC415" s="66"/>
      <c r="AD415" s="66"/>
      <c r="AE415" s="66"/>
      <c r="AF415" s="66"/>
      <c r="AG415" s="66"/>
      <c r="AH415" s="66"/>
      <c r="AI415" s="34"/>
      <c r="AJ415" s="88">
        <f t="shared" si="514"/>
        <v>0</v>
      </c>
      <c r="AK415" s="88">
        <f t="shared" si="515"/>
        <v>0</v>
      </c>
      <c r="AL415" s="88">
        <v>0</v>
      </c>
      <c r="AM415" s="88">
        <v>0</v>
      </c>
      <c r="AN415" s="81" t="str">
        <f t="shared" si="553"/>
        <v/>
      </c>
      <c r="AO415" s="88">
        <f t="shared" si="516"/>
        <v>0</v>
      </c>
      <c r="AP415" s="88">
        <f t="shared" si="517"/>
        <v>0</v>
      </c>
      <c r="AQ415" s="81" t="str">
        <f t="shared" si="518"/>
        <v/>
      </c>
      <c r="AS415" s="41" t="b">
        <f t="shared" si="519"/>
        <v>1</v>
      </c>
      <c r="AT415" s="38">
        <f t="shared" si="520"/>
        <v>0</v>
      </c>
      <c r="AU415" s="60">
        <f t="shared" si="521"/>
        <v>0</v>
      </c>
      <c r="AV415" s="41">
        <f t="shared" si="522"/>
        <v>0</v>
      </c>
      <c r="AW415" s="41" t="b">
        <f t="shared" si="523"/>
        <v>0</v>
      </c>
      <c r="AX415" t="str">
        <f t="shared" si="524"/>
        <v>+00</v>
      </c>
      <c r="AY415" t="str">
        <f t="shared" si="525"/>
        <v>+00</v>
      </c>
      <c r="BA415" s="47" t="b">
        <f t="shared" si="554"/>
        <v>1</v>
      </c>
      <c r="BB415" s="42" t="b">
        <f t="shared" si="555"/>
        <v>1</v>
      </c>
      <c r="BC415" s="42" t="b">
        <f t="shared" si="556"/>
        <v>0</v>
      </c>
      <c r="BD415" s="42" t="b">
        <f t="shared" si="557"/>
        <v>0</v>
      </c>
      <c r="BE415" s="70">
        <f t="shared" si="558"/>
        <v>0</v>
      </c>
      <c r="BF415" s="70">
        <f t="shared" si="559"/>
        <v>0</v>
      </c>
      <c r="BG415" s="34"/>
      <c r="BI415" s="47" t="b">
        <f t="shared" si="560"/>
        <v>1</v>
      </c>
      <c r="BJ415" s="47" t="b">
        <f t="shared" si="561"/>
        <v>1</v>
      </c>
      <c r="BK415" s="42" t="b">
        <f t="shared" si="562"/>
        <v>0</v>
      </c>
      <c r="BL415" s="42" t="b">
        <f t="shared" si="563"/>
        <v>0</v>
      </c>
      <c r="BM415" s="42">
        <f t="shared" si="564"/>
        <v>0</v>
      </c>
      <c r="BN415" s="42">
        <f t="shared" si="565"/>
        <v>0</v>
      </c>
      <c r="BP415" t="e">
        <f t="shared" si="566"/>
        <v>#N/A</v>
      </c>
      <c r="BQ415" t="e">
        <f t="shared" si="567"/>
        <v>#N/A</v>
      </c>
      <c r="BR415" t="e">
        <f t="shared" si="568"/>
        <v>#N/A</v>
      </c>
      <c r="BT415" s="60">
        <f t="shared" si="569"/>
        <v>0</v>
      </c>
      <c r="BU415" s="60">
        <f t="shared" si="570"/>
        <v>0</v>
      </c>
      <c r="BV415" s="60">
        <f t="shared" si="571"/>
        <v>0</v>
      </c>
      <c r="BW415" s="60">
        <f t="shared" si="572"/>
        <v>0</v>
      </c>
      <c r="BX415" s="60">
        <f t="shared" si="573"/>
        <v>0</v>
      </c>
      <c r="BY415" s="60">
        <f t="shared" si="574"/>
        <v>0</v>
      </c>
      <c r="BZ415" s="60">
        <f t="shared" si="575"/>
        <v>0</v>
      </c>
      <c r="CA415" s="60">
        <f t="shared" si="576"/>
        <v>0</v>
      </c>
      <c r="CB415" s="60" t="e">
        <f t="shared" si="526"/>
        <v>#N/A</v>
      </c>
      <c r="CC415" s="60">
        <f t="shared" si="527"/>
        <v>100000</v>
      </c>
      <c r="CD415" s="60" t="e">
        <f t="shared" si="528"/>
        <v>#N/A</v>
      </c>
      <c r="CE415" s="60">
        <f t="shared" si="529"/>
        <v>100000</v>
      </c>
      <c r="CF415" s="83" t="e">
        <f t="shared" si="577"/>
        <v>#N/A</v>
      </c>
      <c r="CG415" s="83">
        <f t="shared" si="578"/>
        <v>0</v>
      </c>
      <c r="CH415" s="83" t="e">
        <f t="shared" si="579"/>
        <v>#N/A</v>
      </c>
      <c r="CI415" s="83">
        <f t="shared" si="580"/>
        <v>0</v>
      </c>
      <c r="CJ415" s="86" t="e">
        <f t="shared" si="530"/>
        <v>#N/A</v>
      </c>
      <c r="CK415" s="82">
        <f t="shared" si="531"/>
        <v>5.3070370403969858E-3</v>
      </c>
      <c r="CL415" s="82" t="e">
        <f t="shared" si="532"/>
        <v>#N/A</v>
      </c>
      <c r="CM415" s="82">
        <f t="shared" si="533"/>
        <v>5.3070370403969858E-3</v>
      </c>
      <c r="CO415" s="149" t="str">
        <f>IF($I415&lt;&gt;"",IF(O415="User Specified",U415,INDEX('Refrigerant GWPs'!$G$2:$G$156,MATCH(O415,'Refrigerant GWPs'!$A$2:$A$156,0))),"")</f>
        <v/>
      </c>
      <c r="CP415" s="138" t="str">
        <f>IF($I415&lt;&gt;"",INDEX('Device Refrigerant Leakage'!$E$2:$E$42,MATCH($M415,'Device Refrigerant Leakage'!$B$2:$B$42,0)),"")</f>
        <v/>
      </c>
      <c r="CQ415" s="138" t="str">
        <f>IF($I415&lt;&gt;"",INDEX('Device Refrigerant Leakage'!$F$2:$F$42,MATCH($M415,'Device Refrigerant Leakage'!$B$2:$B$42,0)),"")</f>
        <v/>
      </c>
      <c r="CR415" s="145" t="str">
        <f>IF($I415&lt;&gt;"",INDEX('Device Refrigerant Leakage'!$G$2:$G$42,MATCH($M415,'Device Refrigerant Leakage'!$B$2:$B$42,0)),"")</f>
        <v/>
      </c>
      <c r="CS415" s="145" t="str">
        <f>IF($I415&lt;&gt;"",INDEX('Device Refrigerant Leakage'!$D$2:$D$42,MATCH($M415,'Device Refrigerant Leakage'!$B$2:$B$42,0))*CP415/2204.62*CO415,"")</f>
        <v/>
      </c>
      <c r="CT415" s="145" t="str">
        <f>IF($I415&lt;&gt;"",J415*(INDEX('Device Refrigerant Leakage'!$D$2:$D$42,MATCH($M415,'Device Refrigerant Leakage'!$B$2:$B$42,0))-(INDEX('Device Refrigerant Leakage'!$D$2:$D$42,MATCH($M415,'Device Refrigerant Leakage'!$B$2:$B$42,0)))*CR415*CP415)*CQ415/2204.62*CO415,"")</f>
        <v/>
      </c>
      <c r="CU415" s="135" t="str">
        <f>IF($I415&lt;&gt;"",J415*IF(W415&lt;&gt;"AR",(CS415*K415)+CT415,(CS415*AB415)+CT415*(AB415/INDEX('Device Refrigerant Leakage'!$C$2:$C$42,MATCH($M415,'Device Refrigerant Leakage'!$B$2:$B$42,0)))),"")</f>
        <v/>
      </c>
      <c r="CW415" s="135" t="str">
        <f>IF($I415&lt;&gt;"",IF(S415="User Specified",V415,INDEX('Refrigerant GWPs'!$G$2:$G$156,MATCH(S415,'Refrigerant GWPs'!$A$2:$A$157,0))),"")</f>
        <v/>
      </c>
      <c r="CX415" s="138" t="str">
        <f>IF($I415&lt;&gt;"",INDEX('Device Refrigerant Leakage'!$E$2:$E$42,MATCH($Q415,'Device Refrigerant Leakage'!$B$2:$B$42,0)),"")</f>
        <v/>
      </c>
      <c r="CY415" s="138" t="str">
        <f>IF($I415&lt;&gt;"",INDEX('Device Refrigerant Leakage'!$F$2:$F$42,MATCH($Q415,'Device Refrigerant Leakage'!$B$2:$B$42,0)),"")</f>
        <v/>
      </c>
      <c r="CZ415" s="145" t="str">
        <f>IF($I415&lt;&gt;"",INDEX('Device Refrigerant Leakage'!$G$2:$G$42,MATCH($Q415,'Device Refrigerant Leakage'!$B$2:$B$42,0)),"")</f>
        <v/>
      </c>
      <c r="DA415" s="145" t="str">
        <f>IF($I415&lt;&gt;"",J415*INDEX('Device Refrigerant Leakage'!$D$2:$D$42,MATCH($Q415,'Device Refrigerant Leakage'!$B$2:$B$42,0))*CX415/2204.62*CW415,"")</f>
        <v/>
      </c>
      <c r="DB415" s="145" t="str">
        <f>IF($I415&lt;&gt;"",J415*(INDEX('Device Refrigerant Leakage'!$D$2:$D$42,MATCH($Q415,'Device Refrigerant Leakage'!$B$2:$B$42,0))-(INDEX('Device Refrigerant Leakage'!$D$2:$D$42,MATCH($Q415,'Device Refrigerant Leakage'!$B$2:$B$42,0)))*CZ415*CX415)*CY415/2204.62*CW415,"")</f>
        <v/>
      </c>
      <c r="DC415" s="135" t="str">
        <f t="shared" si="552"/>
        <v/>
      </c>
      <c r="DE415" s="146" t="str">
        <f>IF(W415&lt;&gt;"AR","",IF(Y415="User Specified", AA415, INDEX('Refrigerant GWPs'!$G$2:$G$154,MATCH(Y415,'Refrigerant GWPs'!$A$2:$A$154,0))))</f>
        <v/>
      </c>
      <c r="DF415" s="146" t="str">
        <f>IF(W415&lt;&gt;"AR","",INDEX('Device Refrigerant Leakage'!$E$2:$E$42,MATCH(X415,'Device Refrigerant Leakage'!$B$2:$B$42,0)))</f>
        <v/>
      </c>
      <c r="DG415" s="146" t="str">
        <f>IF(W415&lt;&gt;"AR","",INDEX('Device Refrigerant Leakage'!$F$2:$F$42,MATCH(X415,'Device Refrigerant Leakage'!$B$2:$B$42,0)))</f>
        <v/>
      </c>
      <c r="DH415" s="146" t="str">
        <f>IF(W415&lt;&gt;"AR","",INDEX('Device Refrigerant Leakage'!$G$2:$G$42,MATCH(X415,'Device Refrigerant Leakage'!$B$2:$B$42,0)))</f>
        <v/>
      </c>
      <c r="DI415" s="146" t="str">
        <f>IF(W415&lt;&gt;"AR","",J415*INDEX('Device Refrigerant Leakage'!$D$2:$D$42,MATCH(X415,'Device Refrigerant Leakage'!$B$2:$B$42,0))*DF415/2204.62*DE415)</f>
        <v/>
      </c>
      <c r="DJ415" s="146" t="str">
        <f>IF(W415&lt;&gt;"AR","",J415*(INDEX('Device Refrigerant Leakage'!$D$2:$D$42,MATCH(X415,'Device Refrigerant Leakage'!$B$2:$B$42,0))-(INDEX('Device Refrigerant Leakage'!$D$2:$D$42,MATCH(X415,'Device Refrigerant Leakage'!$B$2:$B$42,0)))*DH415*DF415)*DG415/2204.62*DE415)</f>
        <v/>
      </c>
      <c r="DK415" s="146" t="str">
        <f>IF(W415&lt;&gt;"AR","",DI415*(K415-AB415)+'Fuel Sub Calcs-Deemed'!DJ415*((K415-AB415)/INDEX('Device Refrigerant Leakage'!$C$2:$C$42,MATCH('Fuel Sub Calcs-Deemed'!X415,'Device Refrigerant Leakage'!$B$2:$B$42,0))))</f>
        <v/>
      </c>
      <c r="DM415" s="56">
        <v>401</v>
      </c>
      <c r="DN415" s="67" t="e">
        <f t="shared" si="534"/>
        <v>#N/A</v>
      </c>
      <c r="DO415" s="45" t="e">
        <f t="shared" si="535"/>
        <v>#N/A</v>
      </c>
      <c r="DP415" s="67" t="e">
        <f t="shared" si="536"/>
        <v>#N/A</v>
      </c>
      <c r="DQ415" s="45" t="e">
        <f t="shared" si="537"/>
        <v>#N/A</v>
      </c>
      <c r="DR415" s="69" t="e">
        <f t="shared" si="538"/>
        <v>#N/A</v>
      </c>
      <c r="DS415" s="34"/>
      <c r="DT415" s="67" t="e">
        <f>((BX415*CJ415)+IF($W415=MAT_AR,(BZ415*CL415),0))*(1+Reference!$E$50+Reference!$E$51)</f>
        <v>#N/A</v>
      </c>
      <c r="DU415" s="67">
        <f>((BY415*CK415)+IF($W415=MAT_AR,(CA415*CM415),0))*(1+Reference!$G$50+Reference!$G$51)</f>
        <v>0</v>
      </c>
      <c r="DV415" s="67" t="e">
        <f t="shared" si="539"/>
        <v>#VALUE!</v>
      </c>
      <c r="DX415" s="56">
        <v>401</v>
      </c>
      <c r="DY415" s="67">
        <f t="shared" si="540"/>
        <v>0</v>
      </c>
      <c r="DZ415" s="45" t="e">
        <f>VLOOKUP($R415,Dropdown!$C$3:$D$4,2,FALSE)</f>
        <v>#N/A</v>
      </c>
      <c r="EA415" s="68">
        <f t="shared" si="541"/>
        <v>0</v>
      </c>
      <c r="EB415" s="68" t="str">
        <f t="shared" si="542"/>
        <v>N/A</v>
      </c>
      <c r="EC415" s="68">
        <f t="shared" si="543"/>
        <v>0</v>
      </c>
      <c r="ED415" s="68" t="str">
        <f t="shared" si="581"/>
        <v>N/A</v>
      </c>
      <c r="EF415" s="56">
        <v>401</v>
      </c>
      <c r="EG415" s="46">
        <f t="shared" si="544"/>
        <v>0</v>
      </c>
      <c r="EH415" s="68" t="e">
        <f t="shared" si="545"/>
        <v>#N/A</v>
      </c>
      <c r="EI415" s="68" t="e">
        <f t="shared" si="546"/>
        <v>#N/A</v>
      </c>
      <c r="EJ415" s="68" t="e">
        <f t="shared" si="547"/>
        <v>#N/A</v>
      </c>
      <c r="EK415" s="68" t="e">
        <f t="shared" si="548"/>
        <v>#N/A</v>
      </c>
      <c r="EL415" s="46">
        <f t="shared" si="549"/>
        <v>0</v>
      </c>
      <c r="EM415" s="46">
        <f t="shared" si="550"/>
        <v>0</v>
      </c>
    </row>
    <row r="416" spans="1:143">
      <c r="A416" s="89"/>
      <c r="B416" s="89"/>
      <c r="C416" s="89"/>
      <c r="D416" s="89"/>
      <c r="E416" s="89"/>
      <c r="F416" s="89"/>
      <c r="G416" s="34"/>
      <c r="H416" s="56">
        <f t="shared" si="551"/>
        <v>402</v>
      </c>
      <c r="I416" s="165"/>
      <c r="J416" s="163"/>
      <c r="K416" s="163"/>
      <c r="L416" s="164"/>
      <c r="M416" s="155"/>
      <c r="N416" s="155"/>
      <c r="O416" s="144"/>
      <c r="P416" s="159" t="str">
        <f>IFERROR(IF(O416&lt;&gt;"User Specified",IF(O416&lt;&gt;"", INDEX('Refrigerant GWPs'!$G$2:$G$154,MATCH(O416,'Refrigerant GWPs'!$A$2:$A$154,0)),""),U416),0)</f>
        <v/>
      </c>
      <c r="Q416" s="155"/>
      <c r="R416" s="155"/>
      <c r="S416" s="144"/>
      <c r="T416" s="159" t="str">
        <f>IF(S416&lt;&gt;"User Specified",IF(AND(S416&lt;&gt;"User Specified",S416&lt;&gt;""), INDEX('Refrigerant GWPs'!$G$2:$G$154,MATCH(S416,'Refrigerant GWPs'!$A$2:$A$154,0)),""),V416)</f>
        <v/>
      </c>
      <c r="U416" s="144"/>
      <c r="V416" s="144"/>
      <c r="W416" s="155"/>
      <c r="X416" s="155"/>
      <c r="Y416" s="144"/>
      <c r="Z416" s="159" t="str">
        <f>IF(AND(Y416&lt;&gt;"User Specified",Y416&lt;&gt;""), INDEX('Refrigerant GWPs'!$G$2:$G$154,MATCH(Y416,'Refrigerant GWPs'!$A$2:$A$154,0)),"")</f>
        <v/>
      </c>
      <c r="AA416" s="155"/>
      <c r="AB416" s="156"/>
      <c r="AC416" s="66"/>
      <c r="AD416" s="66"/>
      <c r="AE416" s="66"/>
      <c r="AF416" s="66"/>
      <c r="AG416" s="66"/>
      <c r="AH416" s="66"/>
      <c r="AI416" s="34"/>
      <c r="AJ416" s="88">
        <f t="shared" si="514"/>
        <v>0</v>
      </c>
      <c r="AK416" s="88">
        <f t="shared" si="515"/>
        <v>0</v>
      </c>
      <c r="AL416" s="88">
        <v>0</v>
      </c>
      <c r="AM416" s="88">
        <v>0</v>
      </c>
      <c r="AN416" s="81" t="str">
        <f t="shared" si="553"/>
        <v/>
      </c>
      <c r="AO416" s="88">
        <f t="shared" si="516"/>
        <v>0</v>
      </c>
      <c r="AP416" s="88">
        <f t="shared" si="517"/>
        <v>0</v>
      </c>
      <c r="AQ416" s="81" t="str">
        <f t="shared" si="518"/>
        <v/>
      </c>
      <c r="AS416" s="41" t="b">
        <f t="shared" si="519"/>
        <v>1</v>
      </c>
      <c r="AT416" s="38">
        <f t="shared" si="520"/>
        <v>0</v>
      </c>
      <c r="AU416" s="60">
        <f t="shared" si="521"/>
        <v>0</v>
      </c>
      <c r="AV416" s="41">
        <f t="shared" si="522"/>
        <v>0</v>
      </c>
      <c r="AW416" s="41" t="b">
        <f t="shared" si="523"/>
        <v>0</v>
      </c>
      <c r="AX416" t="str">
        <f t="shared" si="524"/>
        <v>+00</v>
      </c>
      <c r="AY416" t="str">
        <f t="shared" si="525"/>
        <v>+00</v>
      </c>
      <c r="BA416" s="47" t="b">
        <f t="shared" si="554"/>
        <v>1</v>
      </c>
      <c r="BB416" s="42" t="b">
        <f t="shared" si="555"/>
        <v>1</v>
      </c>
      <c r="BC416" s="42" t="b">
        <f t="shared" si="556"/>
        <v>0</v>
      </c>
      <c r="BD416" s="42" t="b">
        <f t="shared" si="557"/>
        <v>0</v>
      </c>
      <c r="BE416" s="70">
        <f t="shared" si="558"/>
        <v>0</v>
      </c>
      <c r="BF416" s="70">
        <f t="shared" si="559"/>
        <v>0</v>
      </c>
      <c r="BG416" s="34"/>
      <c r="BI416" s="47" t="b">
        <f t="shared" si="560"/>
        <v>1</v>
      </c>
      <c r="BJ416" s="47" t="b">
        <f t="shared" si="561"/>
        <v>1</v>
      </c>
      <c r="BK416" s="42" t="b">
        <f t="shared" si="562"/>
        <v>0</v>
      </c>
      <c r="BL416" s="42" t="b">
        <f t="shared" si="563"/>
        <v>0</v>
      </c>
      <c r="BM416" s="42">
        <f t="shared" si="564"/>
        <v>0</v>
      </c>
      <c r="BN416" s="42">
        <f t="shared" si="565"/>
        <v>0</v>
      </c>
      <c r="BP416" t="e">
        <f t="shared" si="566"/>
        <v>#N/A</v>
      </c>
      <c r="BQ416" t="e">
        <f t="shared" si="567"/>
        <v>#N/A</v>
      </c>
      <c r="BR416" t="e">
        <f t="shared" si="568"/>
        <v>#N/A</v>
      </c>
      <c r="BT416" s="60">
        <f t="shared" si="569"/>
        <v>0</v>
      </c>
      <c r="BU416" s="60">
        <f t="shared" si="570"/>
        <v>0</v>
      </c>
      <c r="BV416" s="60">
        <f t="shared" si="571"/>
        <v>0</v>
      </c>
      <c r="BW416" s="60">
        <f t="shared" si="572"/>
        <v>0</v>
      </c>
      <c r="BX416" s="60">
        <f t="shared" si="573"/>
        <v>0</v>
      </c>
      <c r="BY416" s="60">
        <f t="shared" si="574"/>
        <v>0</v>
      </c>
      <c r="BZ416" s="60">
        <f t="shared" si="575"/>
        <v>0</v>
      </c>
      <c r="CA416" s="60">
        <f t="shared" si="576"/>
        <v>0</v>
      </c>
      <c r="CB416" s="60" t="e">
        <f t="shared" si="526"/>
        <v>#N/A</v>
      </c>
      <c r="CC416" s="60">
        <f t="shared" si="527"/>
        <v>100000</v>
      </c>
      <c r="CD416" s="60" t="e">
        <f t="shared" si="528"/>
        <v>#N/A</v>
      </c>
      <c r="CE416" s="60">
        <f t="shared" si="529"/>
        <v>100000</v>
      </c>
      <c r="CF416" s="83" t="e">
        <f t="shared" si="577"/>
        <v>#N/A</v>
      </c>
      <c r="CG416" s="83">
        <f t="shared" si="578"/>
        <v>0</v>
      </c>
      <c r="CH416" s="83" t="e">
        <f t="shared" si="579"/>
        <v>#N/A</v>
      </c>
      <c r="CI416" s="83">
        <f t="shared" si="580"/>
        <v>0</v>
      </c>
      <c r="CJ416" s="86" t="e">
        <f t="shared" si="530"/>
        <v>#N/A</v>
      </c>
      <c r="CK416" s="82">
        <f t="shared" si="531"/>
        <v>5.3070370403969858E-3</v>
      </c>
      <c r="CL416" s="82" t="e">
        <f t="shared" si="532"/>
        <v>#N/A</v>
      </c>
      <c r="CM416" s="82">
        <f t="shared" si="533"/>
        <v>5.3070370403969858E-3</v>
      </c>
      <c r="CO416" s="149" t="str">
        <f>IF($I416&lt;&gt;"",IF(O416="User Specified",U416,INDEX('Refrigerant GWPs'!$G$2:$G$156,MATCH(O416,'Refrigerant GWPs'!$A$2:$A$156,0))),"")</f>
        <v/>
      </c>
      <c r="CP416" s="138" t="str">
        <f>IF($I416&lt;&gt;"",INDEX('Device Refrigerant Leakage'!$E$2:$E$42,MATCH($M416,'Device Refrigerant Leakage'!$B$2:$B$42,0)),"")</f>
        <v/>
      </c>
      <c r="CQ416" s="138" t="str">
        <f>IF($I416&lt;&gt;"",INDEX('Device Refrigerant Leakage'!$F$2:$F$42,MATCH($M416,'Device Refrigerant Leakage'!$B$2:$B$42,0)),"")</f>
        <v/>
      </c>
      <c r="CR416" s="145" t="str">
        <f>IF($I416&lt;&gt;"",INDEX('Device Refrigerant Leakage'!$G$2:$G$42,MATCH($M416,'Device Refrigerant Leakage'!$B$2:$B$42,0)),"")</f>
        <v/>
      </c>
      <c r="CS416" s="145" t="str">
        <f>IF($I416&lt;&gt;"",INDEX('Device Refrigerant Leakage'!$D$2:$D$42,MATCH($M416,'Device Refrigerant Leakage'!$B$2:$B$42,0))*CP416/2204.62*CO416,"")</f>
        <v/>
      </c>
      <c r="CT416" s="145" t="str">
        <f>IF($I416&lt;&gt;"",J416*(INDEX('Device Refrigerant Leakage'!$D$2:$D$42,MATCH($M416,'Device Refrigerant Leakage'!$B$2:$B$42,0))-(INDEX('Device Refrigerant Leakage'!$D$2:$D$42,MATCH($M416,'Device Refrigerant Leakage'!$B$2:$B$42,0)))*CR416*CP416)*CQ416/2204.62*CO416,"")</f>
        <v/>
      </c>
      <c r="CU416" s="135" t="str">
        <f>IF($I416&lt;&gt;"",J416*IF(W416&lt;&gt;"AR",(CS416*K416)+CT416,(CS416*AB416)+CT416*(AB416/INDEX('Device Refrigerant Leakage'!$C$2:$C$42,MATCH($M416,'Device Refrigerant Leakage'!$B$2:$B$42,0)))),"")</f>
        <v/>
      </c>
      <c r="CW416" s="135" t="str">
        <f>IF($I416&lt;&gt;"",IF(S416="User Specified",V416,INDEX('Refrigerant GWPs'!$G$2:$G$156,MATCH(S416,'Refrigerant GWPs'!$A$2:$A$157,0))),"")</f>
        <v/>
      </c>
      <c r="CX416" s="138" t="str">
        <f>IF($I416&lt;&gt;"",INDEX('Device Refrigerant Leakage'!$E$2:$E$42,MATCH($Q416,'Device Refrigerant Leakage'!$B$2:$B$42,0)),"")</f>
        <v/>
      </c>
      <c r="CY416" s="138" t="str">
        <f>IF($I416&lt;&gt;"",INDEX('Device Refrigerant Leakage'!$F$2:$F$42,MATCH($Q416,'Device Refrigerant Leakage'!$B$2:$B$42,0)),"")</f>
        <v/>
      </c>
      <c r="CZ416" s="145" t="str">
        <f>IF($I416&lt;&gt;"",INDEX('Device Refrigerant Leakage'!$G$2:$G$42,MATCH($Q416,'Device Refrigerant Leakage'!$B$2:$B$42,0)),"")</f>
        <v/>
      </c>
      <c r="DA416" s="145" t="str">
        <f>IF($I416&lt;&gt;"",J416*INDEX('Device Refrigerant Leakage'!$D$2:$D$42,MATCH($Q416,'Device Refrigerant Leakage'!$B$2:$B$42,0))*CX416/2204.62*CW416,"")</f>
        <v/>
      </c>
      <c r="DB416" s="145" t="str">
        <f>IF($I416&lt;&gt;"",J416*(INDEX('Device Refrigerant Leakage'!$D$2:$D$42,MATCH($Q416,'Device Refrigerant Leakage'!$B$2:$B$42,0))-(INDEX('Device Refrigerant Leakage'!$D$2:$D$42,MATCH($Q416,'Device Refrigerant Leakage'!$B$2:$B$42,0)))*CZ416*CX416)*CY416/2204.62*CW416,"")</f>
        <v/>
      </c>
      <c r="DC416" s="135" t="str">
        <f t="shared" si="552"/>
        <v/>
      </c>
      <c r="DE416" s="146" t="str">
        <f>IF(W416&lt;&gt;"AR","",IF(Y416="User Specified", AA416, INDEX('Refrigerant GWPs'!$G$2:$G$154,MATCH(Y416,'Refrigerant GWPs'!$A$2:$A$154,0))))</f>
        <v/>
      </c>
      <c r="DF416" s="146" t="str">
        <f>IF(W416&lt;&gt;"AR","",INDEX('Device Refrigerant Leakage'!$E$2:$E$42,MATCH(X416,'Device Refrigerant Leakage'!$B$2:$B$42,0)))</f>
        <v/>
      </c>
      <c r="DG416" s="146" t="str">
        <f>IF(W416&lt;&gt;"AR","",INDEX('Device Refrigerant Leakage'!$F$2:$F$42,MATCH(X416,'Device Refrigerant Leakage'!$B$2:$B$42,0)))</f>
        <v/>
      </c>
      <c r="DH416" s="146" t="str">
        <f>IF(W416&lt;&gt;"AR","",INDEX('Device Refrigerant Leakage'!$G$2:$G$42,MATCH(X416,'Device Refrigerant Leakage'!$B$2:$B$42,0)))</f>
        <v/>
      </c>
      <c r="DI416" s="146" t="str">
        <f>IF(W416&lt;&gt;"AR","",J416*INDEX('Device Refrigerant Leakage'!$D$2:$D$42,MATCH(X416,'Device Refrigerant Leakage'!$B$2:$B$42,0))*DF416/2204.62*DE416)</f>
        <v/>
      </c>
      <c r="DJ416" s="146" t="str">
        <f>IF(W416&lt;&gt;"AR","",J416*(INDEX('Device Refrigerant Leakage'!$D$2:$D$42,MATCH(X416,'Device Refrigerant Leakage'!$B$2:$B$42,0))-(INDEX('Device Refrigerant Leakage'!$D$2:$D$42,MATCH(X416,'Device Refrigerant Leakage'!$B$2:$B$42,0)))*DH416*DF416)*DG416/2204.62*DE416)</f>
        <v/>
      </c>
      <c r="DK416" s="146" t="str">
        <f>IF(W416&lt;&gt;"AR","",DI416*(K416-AB416)+'Fuel Sub Calcs-Deemed'!DJ416*((K416-AB416)/INDEX('Device Refrigerant Leakage'!$C$2:$C$42,MATCH('Fuel Sub Calcs-Deemed'!X416,'Device Refrigerant Leakage'!$B$2:$B$42,0))))</f>
        <v/>
      </c>
      <c r="DM416" s="56">
        <v>402</v>
      </c>
      <c r="DN416" s="67" t="e">
        <f t="shared" si="534"/>
        <v>#N/A</v>
      </c>
      <c r="DO416" s="45" t="e">
        <f t="shared" si="535"/>
        <v>#N/A</v>
      </c>
      <c r="DP416" s="67" t="e">
        <f t="shared" si="536"/>
        <v>#N/A</v>
      </c>
      <c r="DQ416" s="45" t="e">
        <f t="shared" si="537"/>
        <v>#N/A</v>
      </c>
      <c r="DR416" s="69" t="e">
        <f t="shared" si="538"/>
        <v>#N/A</v>
      </c>
      <c r="DS416" s="34"/>
      <c r="DT416" s="67" t="e">
        <f>((BX416*CJ416)+IF($W416=MAT_AR,(BZ416*CL416),0))*(1+Reference!$E$50+Reference!$E$51)</f>
        <v>#N/A</v>
      </c>
      <c r="DU416" s="67">
        <f>((BY416*CK416)+IF($W416=MAT_AR,(CA416*CM416),0))*(1+Reference!$G$50+Reference!$G$51)</f>
        <v>0</v>
      </c>
      <c r="DV416" s="67" t="e">
        <f t="shared" si="539"/>
        <v>#VALUE!</v>
      </c>
      <c r="DX416" s="56">
        <v>402</v>
      </c>
      <c r="DY416" s="67">
        <f t="shared" si="540"/>
        <v>0</v>
      </c>
      <c r="DZ416" s="45" t="e">
        <f>VLOOKUP($R416,Dropdown!$C$3:$D$4,2,FALSE)</f>
        <v>#N/A</v>
      </c>
      <c r="EA416" s="68">
        <f t="shared" si="541"/>
        <v>0</v>
      </c>
      <c r="EB416" s="68" t="str">
        <f t="shared" si="542"/>
        <v>N/A</v>
      </c>
      <c r="EC416" s="68">
        <f t="shared" si="543"/>
        <v>0</v>
      </c>
      <c r="ED416" s="68" t="str">
        <f t="shared" si="581"/>
        <v>N/A</v>
      </c>
      <c r="EF416" s="56">
        <v>402</v>
      </c>
      <c r="EG416" s="46">
        <f t="shared" si="544"/>
        <v>0</v>
      </c>
      <c r="EH416" s="68" t="e">
        <f t="shared" si="545"/>
        <v>#N/A</v>
      </c>
      <c r="EI416" s="68" t="e">
        <f t="shared" si="546"/>
        <v>#N/A</v>
      </c>
      <c r="EJ416" s="68" t="e">
        <f t="shared" si="547"/>
        <v>#N/A</v>
      </c>
      <c r="EK416" s="68" t="e">
        <f t="shared" si="548"/>
        <v>#N/A</v>
      </c>
      <c r="EL416" s="46">
        <f t="shared" si="549"/>
        <v>0</v>
      </c>
      <c r="EM416" s="46">
        <f t="shared" si="550"/>
        <v>0</v>
      </c>
    </row>
    <row r="417" spans="1:143">
      <c r="A417" s="89"/>
      <c r="B417" s="89"/>
      <c r="C417" s="89"/>
      <c r="D417" s="89"/>
      <c r="E417" s="89"/>
      <c r="F417" s="89"/>
      <c r="G417" s="34"/>
      <c r="H417" s="56">
        <f t="shared" si="551"/>
        <v>403</v>
      </c>
      <c r="I417" s="165"/>
      <c r="J417" s="163"/>
      <c r="K417" s="163"/>
      <c r="L417" s="164"/>
      <c r="M417" s="155"/>
      <c r="N417" s="155"/>
      <c r="O417" s="144"/>
      <c r="P417" s="159" t="str">
        <f>IFERROR(IF(O417&lt;&gt;"User Specified",IF(O417&lt;&gt;"", INDEX('Refrigerant GWPs'!$G$2:$G$154,MATCH(O417,'Refrigerant GWPs'!$A$2:$A$154,0)),""),U417),0)</f>
        <v/>
      </c>
      <c r="Q417" s="155"/>
      <c r="R417" s="155"/>
      <c r="S417" s="144"/>
      <c r="T417" s="159" t="str">
        <f>IF(S417&lt;&gt;"User Specified",IF(AND(S417&lt;&gt;"User Specified",S417&lt;&gt;""), INDEX('Refrigerant GWPs'!$G$2:$G$154,MATCH(S417,'Refrigerant GWPs'!$A$2:$A$154,0)),""),V417)</f>
        <v/>
      </c>
      <c r="U417" s="144"/>
      <c r="V417" s="144"/>
      <c r="W417" s="155"/>
      <c r="X417" s="155"/>
      <c r="Y417" s="144"/>
      <c r="Z417" s="159" t="str">
        <f>IF(AND(Y417&lt;&gt;"User Specified",Y417&lt;&gt;""), INDEX('Refrigerant GWPs'!$G$2:$G$154,MATCH(Y417,'Refrigerant GWPs'!$A$2:$A$154,0)),"")</f>
        <v/>
      </c>
      <c r="AA417" s="155"/>
      <c r="AB417" s="156"/>
      <c r="AC417" s="66"/>
      <c r="AD417" s="66"/>
      <c r="AE417" s="66"/>
      <c r="AF417" s="66"/>
      <c r="AG417" s="66"/>
      <c r="AH417" s="66"/>
      <c r="AI417" s="34"/>
      <c r="AJ417" s="88">
        <f t="shared" si="514"/>
        <v>0</v>
      </c>
      <c r="AK417" s="88">
        <f t="shared" si="515"/>
        <v>0</v>
      </c>
      <c r="AL417" s="88">
        <v>0</v>
      </c>
      <c r="AM417" s="88">
        <v>0</v>
      </c>
      <c r="AN417" s="81" t="str">
        <f t="shared" si="553"/>
        <v/>
      </c>
      <c r="AO417" s="88">
        <f t="shared" si="516"/>
        <v>0</v>
      </c>
      <c r="AP417" s="88">
        <f t="shared" si="517"/>
        <v>0</v>
      </c>
      <c r="AQ417" s="81" t="str">
        <f t="shared" si="518"/>
        <v/>
      </c>
      <c r="AS417" s="41" t="b">
        <f t="shared" si="519"/>
        <v>1</v>
      </c>
      <c r="AT417" s="38">
        <f t="shared" si="520"/>
        <v>0</v>
      </c>
      <c r="AU417" s="60">
        <f t="shared" si="521"/>
        <v>0</v>
      </c>
      <c r="AV417" s="41">
        <f t="shared" si="522"/>
        <v>0</v>
      </c>
      <c r="AW417" s="41" t="b">
        <f t="shared" si="523"/>
        <v>0</v>
      </c>
      <c r="AX417" t="str">
        <f t="shared" si="524"/>
        <v>+00</v>
      </c>
      <c r="AY417" t="str">
        <f t="shared" si="525"/>
        <v>+00</v>
      </c>
      <c r="BA417" s="47" t="b">
        <f t="shared" si="554"/>
        <v>1</v>
      </c>
      <c r="BB417" s="42" t="b">
        <f t="shared" si="555"/>
        <v>1</v>
      </c>
      <c r="BC417" s="42" t="b">
        <f t="shared" si="556"/>
        <v>0</v>
      </c>
      <c r="BD417" s="42" t="b">
        <f t="shared" si="557"/>
        <v>0</v>
      </c>
      <c r="BE417" s="70">
        <f t="shared" si="558"/>
        <v>0</v>
      </c>
      <c r="BF417" s="70">
        <f t="shared" si="559"/>
        <v>0</v>
      </c>
      <c r="BG417" s="34"/>
      <c r="BI417" s="47" t="b">
        <f t="shared" si="560"/>
        <v>1</v>
      </c>
      <c r="BJ417" s="47" t="b">
        <f t="shared" si="561"/>
        <v>1</v>
      </c>
      <c r="BK417" s="42" t="b">
        <f t="shared" si="562"/>
        <v>0</v>
      </c>
      <c r="BL417" s="42" t="b">
        <f t="shared" si="563"/>
        <v>0</v>
      </c>
      <c r="BM417" s="42">
        <f t="shared" si="564"/>
        <v>0</v>
      </c>
      <c r="BN417" s="42">
        <f t="shared" si="565"/>
        <v>0</v>
      </c>
      <c r="BP417" t="e">
        <f t="shared" si="566"/>
        <v>#N/A</v>
      </c>
      <c r="BQ417" t="e">
        <f t="shared" si="567"/>
        <v>#N/A</v>
      </c>
      <c r="BR417" t="e">
        <f t="shared" si="568"/>
        <v>#N/A</v>
      </c>
      <c r="BT417" s="60">
        <f t="shared" si="569"/>
        <v>0</v>
      </c>
      <c r="BU417" s="60">
        <f t="shared" si="570"/>
        <v>0</v>
      </c>
      <c r="BV417" s="60">
        <f t="shared" si="571"/>
        <v>0</v>
      </c>
      <c r="BW417" s="60">
        <f t="shared" si="572"/>
        <v>0</v>
      </c>
      <c r="BX417" s="60">
        <f t="shared" si="573"/>
        <v>0</v>
      </c>
      <c r="BY417" s="60">
        <f t="shared" si="574"/>
        <v>0</v>
      </c>
      <c r="BZ417" s="60">
        <f t="shared" si="575"/>
        <v>0</v>
      </c>
      <c r="CA417" s="60">
        <f t="shared" si="576"/>
        <v>0</v>
      </c>
      <c r="CB417" s="60" t="e">
        <f t="shared" si="526"/>
        <v>#N/A</v>
      </c>
      <c r="CC417" s="60">
        <f t="shared" si="527"/>
        <v>100000</v>
      </c>
      <c r="CD417" s="60" t="e">
        <f t="shared" si="528"/>
        <v>#N/A</v>
      </c>
      <c r="CE417" s="60">
        <f t="shared" si="529"/>
        <v>100000</v>
      </c>
      <c r="CF417" s="83" t="e">
        <f t="shared" si="577"/>
        <v>#N/A</v>
      </c>
      <c r="CG417" s="83">
        <f t="shared" si="578"/>
        <v>0</v>
      </c>
      <c r="CH417" s="83" t="e">
        <f t="shared" si="579"/>
        <v>#N/A</v>
      </c>
      <c r="CI417" s="83">
        <f t="shared" si="580"/>
        <v>0</v>
      </c>
      <c r="CJ417" s="86" t="e">
        <f t="shared" si="530"/>
        <v>#N/A</v>
      </c>
      <c r="CK417" s="82">
        <f t="shared" si="531"/>
        <v>5.3070370403969858E-3</v>
      </c>
      <c r="CL417" s="82" t="e">
        <f t="shared" si="532"/>
        <v>#N/A</v>
      </c>
      <c r="CM417" s="82">
        <f t="shared" si="533"/>
        <v>5.3070370403969858E-3</v>
      </c>
      <c r="CO417" s="149" t="str">
        <f>IF($I417&lt;&gt;"",IF(O417="User Specified",U417,INDEX('Refrigerant GWPs'!$G$2:$G$156,MATCH(O417,'Refrigerant GWPs'!$A$2:$A$156,0))),"")</f>
        <v/>
      </c>
      <c r="CP417" s="138" t="str">
        <f>IF($I417&lt;&gt;"",INDEX('Device Refrigerant Leakage'!$E$2:$E$42,MATCH($M417,'Device Refrigerant Leakage'!$B$2:$B$42,0)),"")</f>
        <v/>
      </c>
      <c r="CQ417" s="138" t="str">
        <f>IF($I417&lt;&gt;"",INDEX('Device Refrigerant Leakage'!$F$2:$F$42,MATCH($M417,'Device Refrigerant Leakage'!$B$2:$B$42,0)),"")</f>
        <v/>
      </c>
      <c r="CR417" s="145" t="str">
        <f>IF($I417&lt;&gt;"",INDEX('Device Refrigerant Leakage'!$G$2:$G$42,MATCH($M417,'Device Refrigerant Leakage'!$B$2:$B$42,0)),"")</f>
        <v/>
      </c>
      <c r="CS417" s="145" t="str">
        <f>IF($I417&lt;&gt;"",INDEX('Device Refrigerant Leakage'!$D$2:$D$42,MATCH($M417,'Device Refrigerant Leakage'!$B$2:$B$42,0))*CP417/2204.62*CO417,"")</f>
        <v/>
      </c>
      <c r="CT417" s="145" t="str">
        <f>IF($I417&lt;&gt;"",J417*(INDEX('Device Refrigerant Leakage'!$D$2:$D$42,MATCH($M417,'Device Refrigerant Leakage'!$B$2:$B$42,0))-(INDEX('Device Refrigerant Leakage'!$D$2:$D$42,MATCH($M417,'Device Refrigerant Leakage'!$B$2:$B$42,0)))*CR417*CP417)*CQ417/2204.62*CO417,"")</f>
        <v/>
      </c>
      <c r="CU417" s="135" t="str">
        <f>IF($I417&lt;&gt;"",J417*IF(W417&lt;&gt;"AR",(CS417*K417)+CT417,(CS417*AB417)+CT417*(AB417/INDEX('Device Refrigerant Leakage'!$C$2:$C$42,MATCH($M417,'Device Refrigerant Leakage'!$B$2:$B$42,0)))),"")</f>
        <v/>
      </c>
      <c r="CW417" s="135" t="str">
        <f>IF($I417&lt;&gt;"",IF(S417="User Specified",V417,INDEX('Refrigerant GWPs'!$G$2:$G$156,MATCH(S417,'Refrigerant GWPs'!$A$2:$A$157,0))),"")</f>
        <v/>
      </c>
      <c r="CX417" s="138" t="str">
        <f>IF($I417&lt;&gt;"",INDEX('Device Refrigerant Leakage'!$E$2:$E$42,MATCH($Q417,'Device Refrigerant Leakage'!$B$2:$B$42,0)),"")</f>
        <v/>
      </c>
      <c r="CY417" s="138" t="str">
        <f>IF($I417&lt;&gt;"",INDEX('Device Refrigerant Leakage'!$F$2:$F$42,MATCH($Q417,'Device Refrigerant Leakage'!$B$2:$B$42,0)),"")</f>
        <v/>
      </c>
      <c r="CZ417" s="145" t="str">
        <f>IF($I417&lt;&gt;"",INDEX('Device Refrigerant Leakage'!$G$2:$G$42,MATCH($Q417,'Device Refrigerant Leakage'!$B$2:$B$42,0)),"")</f>
        <v/>
      </c>
      <c r="DA417" s="145" t="str">
        <f>IF($I417&lt;&gt;"",J417*INDEX('Device Refrigerant Leakage'!$D$2:$D$42,MATCH($Q417,'Device Refrigerant Leakage'!$B$2:$B$42,0))*CX417/2204.62*CW417,"")</f>
        <v/>
      </c>
      <c r="DB417" s="145" t="str">
        <f>IF($I417&lt;&gt;"",J417*(INDEX('Device Refrigerant Leakage'!$D$2:$D$42,MATCH($Q417,'Device Refrigerant Leakage'!$B$2:$B$42,0))-(INDEX('Device Refrigerant Leakage'!$D$2:$D$42,MATCH($Q417,'Device Refrigerant Leakage'!$B$2:$B$42,0)))*CZ417*CX417)*CY417/2204.62*CW417,"")</f>
        <v/>
      </c>
      <c r="DC417" s="135" t="str">
        <f t="shared" si="552"/>
        <v/>
      </c>
      <c r="DE417" s="146" t="str">
        <f>IF(W417&lt;&gt;"AR","",IF(Y417="User Specified", AA417, INDEX('Refrigerant GWPs'!$G$2:$G$154,MATCH(Y417,'Refrigerant GWPs'!$A$2:$A$154,0))))</f>
        <v/>
      </c>
      <c r="DF417" s="146" t="str">
        <f>IF(W417&lt;&gt;"AR","",INDEX('Device Refrigerant Leakage'!$E$2:$E$42,MATCH(X417,'Device Refrigerant Leakage'!$B$2:$B$42,0)))</f>
        <v/>
      </c>
      <c r="DG417" s="146" t="str">
        <f>IF(W417&lt;&gt;"AR","",INDEX('Device Refrigerant Leakage'!$F$2:$F$42,MATCH(X417,'Device Refrigerant Leakage'!$B$2:$B$42,0)))</f>
        <v/>
      </c>
      <c r="DH417" s="146" t="str">
        <f>IF(W417&lt;&gt;"AR","",INDEX('Device Refrigerant Leakage'!$G$2:$G$42,MATCH(X417,'Device Refrigerant Leakage'!$B$2:$B$42,0)))</f>
        <v/>
      </c>
      <c r="DI417" s="146" t="str">
        <f>IF(W417&lt;&gt;"AR","",J417*INDEX('Device Refrigerant Leakage'!$D$2:$D$42,MATCH(X417,'Device Refrigerant Leakage'!$B$2:$B$42,0))*DF417/2204.62*DE417)</f>
        <v/>
      </c>
      <c r="DJ417" s="146" t="str">
        <f>IF(W417&lt;&gt;"AR","",J417*(INDEX('Device Refrigerant Leakage'!$D$2:$D$42,MATCH(X417,'Device Refrigerant Leakage'!$B$2:$B$42,0))-(INDEX('Device Refrigerant Leakage'!$D$2:$D$42,MATCH(X417,'Device Refrigerant Leakage'!$B$2:$B$42,0)))*DH417*DF417)*DG417/2204.62*DE417)</f>
        <v/>
      </c>
      <c r="DK417" s="146" t="str">
        <f>IF(W417&lt;&gt;"AR","",DI417*(K417-AB417)+'Fuel Sub Calcs-Deemed'!DJ417*((K417-AB417)/INDEX('Device Refrigerant Leakage'!$C$2:$C$42,MATCH('Fuel Sub Calcs-Deemed'!X417,'Device Refrigerant Leakage'!$B$2:$B$42,0))))</f>
        <v/>
      </c>
      <c r="DM417" s="56">
        <v>403</v>
      </c>
      <c r="DN417" s="67" t="e">
        <f t="shared" si="534"/>
        <v>#N/A</v>
      </c>
      <c r="DO417" s="45" t="e">
        <f t="shared" si="535"/>
        <v>#N/A</v>
      </c>
      <c r="DP417" s="67" t="e">
        <f t="shared" si="536"/>
        <v>#N/A</v>
      </c>
      <c r="DQ417" s="45" t="e">
        <f t="shared" si="537"/>
        <v>#N/A</v>
      </c>
      <c r="DR417" s="69" t="e">
        <f t="shared" si="538"/>
        <v>#N/A</v>
      </c>
      <c r="DS417" s="34"/>
      <c r="DT417" s="67" t="e">
        <f>((BX417*CJ417)+IF($W417=MAT_AR,(BZ417*CL417),0))*(1+Reference!$E$50+Reference!$E$51)</f>
        <v>#N/A</v>
      </c>
      <c r="DU417" s="67">
        <f>((BY417*CK417)+IF($W417=MAT_AR,(CA417*CM417),0))*(1+Reference!$G$50+Reference!$G$51)</f>
        <v>0</v>
      </c>
      <c r="DV417" s="67" t="e">
        <f t="shared" si="539"/>
        <v>#VALUE!</v>
      </c>
      <c r="DX417" s="56">
        <v>403</v>
      </c>
      <c r="DY417" s="67">
        <f t="shared" si="540"/>
        <v>0</v>
      </c>
      <c r="DZ417" s="45" t="e">
        <f>VLOOKUP($R417,Dropdown!$C$3:$D$4,2,FALSE)</f>
        <v>#N/A</v>
      </c>
      <c r="EA417" s="68">
        <f t="shared" si="541"/>
        <v>0</v>
      </c>
      <c r="EB417" s="68" t="str">
        <f t="shared" si="542"/>
        <v>N/A</v>
      </c>
      <c r="EC417" s="68">
        <f t="shared" si="543"/>
        <v>0</v>
      </c>
      <c r="ED417" s="68" t="str">
        <f t="shared" si="581"/>
        <v>N/A</v>
      </c>
      <c r="EF417" s="56">
        <v>403</v>
      </c>
      <c r="EG417" s="46">
        <f t="shared" si="544"/>
        <v>0</v>
      </c>
      <c r="EH417" s="68" t="e">
        <f t="shared" si="545"/>
        <v>#N/A</v>
      </c>
      <c r="EI417" s="68" t="e">
        <f t="shared" si="546"/>
        <v>#N/A</v>
      </c>
      <c r="EJ417" s="68" t="e">
        <f t="shared" si="547"/>
        <v>#N/A</v>
      </c>
      <c r="EK417" s="68" t="e">
        <f t="shared" si="548"/>
        <v>#N/A</v>
      </c>
      <c r="EL417" s="46">
        <f t="shared" si="549"/>
        <v>0</v>
      </c>
      <c r="EM417" s="46">
        <f t="shared" si="550"/>
        <v>0</v>
      </c>
    </row>
    <row r="418" spans="1:143">
      <c r="A418" s="89"/>
      <c r="B418" s="89"/>
      <c r="C418" s="89"/>
      <c r="D418" s="89"/>
      <c r="E418" s="89"/>
      <c r="F418" s="89"/>
      <c r="G418" s="34"/>
      <c r="H418" s="56">
        <f t="shared" si="551"/>
        <v>404</v>
      </c>
      <c r="I418" s="165"/>
      <c r="J418" s="163"/>
      <c r="K418" s="163"/>
      <c r="L418" s="164"/>
      <c r="M418" s="155"/>
      <c r="N418" s="155"/>
      <c r="O418" s="144"/>
      <c r="P418" s="159" t="str">
        <f>IFERROR(IF(O418&lt;&gt;"User Specified",IF(O418&lt;&gt;"", INDEX('Refrigerant GWPs'!$G$2:$G$154,MATCH(O418,'Refrigerant GWPs'!$A$2:$A$154,0)),""),U418),0)</f>
        <v/>
      </c>
      <c r="Q418" s="155"/>
      <c r="R418" s="155"/>
      <c r="S418" s="144"/>
      <c r="T418" s="159" t="str">
        <f>IF(S418&lt;&gt;"User Specified",IF(AND(S418&lt;&gt;"User Specified",S418&lt;&gt;""), INDEX('Refrigerant GWPs'!$G$2:$G$154,MATCH(S418,'Refrigerant GWPs'!$A$2:$A$154,0)),""),V418)</f>
        <v/>
      </c>
      <c r="U418" s="144"/>
      <c r="V418" s="144"/>
      <c r="W418" s="155"/>
      <c r="X418" s="155"/>
      <c r="Y418" s="144"/>
      <c r="Z418" s="159" t="str">
        <f>IF(AND(Y418&lt;&gt;"User Specified",Y418&lt;&gt;""), INDEX('Refrigerant GWPs'!$G$2:$G$154,MATCH(Y418,'Refrigerant GWPs'!$A$2:$A$154,0)),"")</f>
        <v/>
      </c>
      <c r="AA418" s="155"/>
      <c r="AB418" s="156"/>
      <c r="AC418" s="66"/>
      <c r="AD418" s="66"/>
      <c r="AE418" s="66"/>
      <c r="AF418" s="66"/>
      <c r="AG418" s="66"/>
      <c r="AH418" s="66"/>
      <c r="AI418" s="34"/>
      <c r="AJ418" s="88">
        <f t="shared" si="514"/>
        <v>0</v>
      </c>
      <c r="AK418" s="88">
        <f t="shared" si="515"/>
        <v>0</v>
      </c>
      <c r="AL418" s="88">
        <v>0</v>
      </c>
      <c r="AM418" s="88">
        <v>0</v>
      </c>
      <c r="AN418" s="81" t="str">
        <f t="shared" si="553"/>
        <v/>
      </c>
      <c r="AO418" s="88">
        <f t="shared" si="516"/>
        <v>0</v>
      </c>
      <c r="AP418" s="88">
        <f t="shared" si="517"/>
        <v>0</v>
      </c>
      <c r="AQ418" s="81" t="str">
        <f t="shared" si="518"/>
        <v/>
      </c>
      <c r="AS418" s="41" t="b">
        <f t="shared" si="519"/>
        <v>1</v>
      </c>
      <c r="AT418" s="38">
        <f t="shared" si="520"/>
        <v>0</v>
      </c>
      <c r="AU418" s="60">
        <f t="shared" si="521"/>
        <v>0</v>
      </c>
      <c r="AV418" s="41">
        <f t="shared" si="522"/>
        <v>0</v>
      </c>
      <c r="AW418" s="41" t="b">
        <f t="shared" si="523"/>
        <v>0</v>
      </c>
      <c r="AX418" t="str">
        <f t="shared" si="524"/>
        <v>+00</v>
      </c>
      <c r="AY418" t="str">
        <f t="shared" si="525"/>
        <v>+00</v>
      </c>
      <c r="BA418" s="47" t="b">
        <f t="shared" si="554"/>
        <v>1</v>
      </c>
      <c r="BB418" s="42" t="b">
        <f t="shared" si="555"/>
        <v>1</v>
      </c>
      <c r="BC418" s="42" t="b">
        <f t="shared" si="556"/>
        <v>0</v>
      </c>
      <c r="BD418" s="42" t="b">
        <f t="shared" si="557"/>
        <v>0</v>
      </c>
      <c r="BE418" s="70">
        <f t="shared" si="558"/>
        <v>0</v>
      </c>
      <c r="BF418" s="70">
        <f t="shared" si="559"/>
        <v>0</v>
      </c>
      <c r="BG418" s="34"/>
      <c r="BI418" s="47" t="b">
        <f t="shared" si="560"/>
        <v>1</v>
      </c>
      <c r="BJ418" s="47" t="b">
        <f t="shared" si="561"/>
        <v>1</v>
      </c>
      <c r="BK418" s="42" t="b">
        <f t="shared" si="562"/>
        <v>0</v>
      </c>
      <c r="BL418" s="42" t="b">
        <f t="shared" si="563"/>
        <v>0</v>
      </c>
      <c r="BM418" s="42">
        <f t="shared" si="564"/>
        <v>0</v>
      </c>
      <c r="BN418" s="42">
        <f t="shared" si="565"/>
        <v>0</v>
      </c>
      <c r="BP418" t="e">
        <f t="shared" si="566"/>
        <v>#N/A</v>
      </c>
      <c r="BQ418" t="e">
        <f t="shared" si="567"/>
        <v>#N/A</v>
      </c>
      <c r="BR418" t="e">
        <f t="shared" si="568"/>
        <v>#N/A</v>
      </c>
      <c r="BT418" s="60">
        <f t="shared" si="569"/>
        <v>0</v>
      </c>
      <c r="BU418" s="60">
        <f t="shared" si="570"/>
        <v>0</v>
      </c>
      <c r="BV418" s="60">
        <f t="shared" si="571"/>
        <v>0</v>
      </c>
      <c r="BW418" s="60">
        <f t="shared" si="572"/>
        <v>0</v>
      </c>
      <c r="BX418" s="60">
        <f t="shared" si="573"/>
        <v>0</v>
      </c>
      <c r="BY418" s="60">
        <f t="shared" si="574"/>
        <v>0</v>
      </c>
      <c r="BZ418" s="60">
        <f t="shared" si="575"/>
        <v>0</v>
      </c>
      <c r="CA418" s="60">
        <f t="shared" si="576"/>
        <v>0</v>
      </c>
      <c r="CB418" s="60" t="e">
        <f t="shared" si="526"/>
        <v>#N/A</v>
      </c>
      <c r="CC418" s="60">
        <f t="shared" si="527"/>
        <v>100000</v>
      </c>
      <c r="CD418" s="60" t="e">
        <f t="shared" si="528"/>
        <v>#N/A</v>
      </c>
      <c r="CE418" s="60">
        <f t="shared" si="529"/>
        <v>100000</v>
      </c>
      <c r="CF418" s="83" t="e">
        <f t="shared" si="577"/>
        <v>#N/A</v>
      </c>
      <c r="CG418" s="83">
        <f t="shared" si="578"/>
        <v>0</v>
      </c>
      <c r="CH418" s="83" t="e">
        <f t="shared" si="579"/>
        <v>#N/A</v>
      </c>
      <c r="CI418" s="83">
        <f t="shared" si="580"/>
        <v>0</v>
      </c>
      <c r="CJ418" s="86" t="e">
        <f t="shared" si="530"/>
        <v>#N/A</v>
      </c>
      <c r="CK418" s="82">
        <f t="shared" si="531"/>
        <v>5.3070370403969858E-3</v>
      </c>
      <c r="CL418" s="82" t="e">
        <f t="shared" si="532"/>
        <v>#N/A</v>
      </c>
      <c r="CM418" s="82">
        <f t="shared" si="533"/>
        <v>5.3070370403969858E-3</v>
      </c>
      <c r="CO418" s="149" t="str">
        <f>IF($I418&lt;&gt;"",IF(O418="User Specified",U418,INDEX('Refrigerant GWPs'!$G$2:$G$156,MATCH(O418,'Refrigerant GWPs'!$A$2:$A$156,0))),"")</f>
        <v/>
      </c>
      <c r="CP418" s="138" t="str">
        <f>IF($I418&lt;&gt;"",INDEX('Device Refrigerant Leakage'!$E$2:$E$42,MATCH($M418,'Device Refrigerant Leakage'!$B$2:$B$42,0)),"")</f>
        <v/>
      </c>
      <c r="CQ418" s="138" t="str">
        <f>IF($I418&lt;&gt;"",INDEX('Device Refrigerant Leakage'!$F$2:$F$42,MATCH($M418,'Device Refrigerant Leakage'!$B$2:$B$42,0)),"")</f>
        <v/>
      </c>
      <c r="CR418" s="145" t="str">
        <f>IF($I418&lt;&gt;"",INDEX('Device Refrigerant Leakage'!$G$2:$G$42,MATCH($M418,'Device Refrigerant Leakage'!$B$2:$B$42,0)),"")</f>
        <v/>
      </c>
      <c r="CS418" s="145" t="str">
        <f>IF($I418&lt;&gt;"",INDEX('Device Refrigerant Leakage'!$D$2:$D$42,MATCH($M418,'Device Refrigerant Leakage'!$B$2:$B$42,0))*CP418/2204.62*CO418,"")</f>
        <v/>
      </c>
      <c r="CT418" s="145" t="str">
        <f>IF($I418&lt;&gt;"",J418*(INDEX('Device Refrigerant Leakage'!$D$2:$D$42,MATCH($M418,'Device Refrigerant Leakage'!$B$2:$B$42,0))-(INDEX('Device Refrigerant Leakage'!$D$2:$D$42,MATCH($M418,'Device Refrigerant Leakage'!$B$2:$B$42,0)))*CR418*CP418)*CQ418/2204.62*CO418,"")</f>
        <v/>
      </c>
      <c r="CU418" s="135" t="str">
        <f>IF($I418&lt;&gt;"",J418*IF(W418&lt;&gt;"AR",(CS418*K418)+CT418,(CS418*AB418)+CT418*(AB418/INDEX('Device Refrigerant Leakage'!$C$2:$C$42,MATCH($M418,'Device Refrigerant Leakage'!$B$2:$B$42,0)))),"")</f>
        <v/>
      </c>
      <c r="CW418" s="135" t="str">
        <f>IF($I418&lt;&gt;"",IF(S418="User Specified",V418,INDEX('Refrigerant GWPs'!$G$2:$G$156,MATCH(S418,'Refrigerant GWPs'!$A$2:$A$157,0))),"")</f>
        <v/>
      </c>
      <c r="CX418" s="138" t="str">
        <f>IF($I418&lt;&gt;"",INDEX('Device Refrigerant Leakage'!$E$2:$E$42,MATCH($Q418,'Device Refrigerant Leakage'!$B$2:$B$42,0)),"")</f>
        <v/>
      </c>
      <c r="CY418" s="138" t="str">
        <f>IF($I418&lt;&gt;"",INDEX('Device Refrigerant Leakage'!$F$2:$F$42,MATCH($Q418,'Device Refrigerant Leakage'!$B$2:$B$42,0)),"")</f>
        <v/>
      </c>
      <c r="CZ418" s="145" t="str">
        <f>IF($I418&lt;&gt;"",INDEX('Device Refrigerant Leakage'!$G$2:$G$42,MATCH($Q418,'Device Refrigerant Leakage'!$B$2:$B$42,0)),"")</f>
        <v/>
      </c>
      <c r="DA418" s="145" t="str">
        <f>IF($I418&lt;&gt;"",J418*INDEX('Device Refrigerant Leakage'!$D$2:$D$42,MATCH($Q418,'Device Refrigerant Leakage'!$B$2:$B$42,0))*CX418/2204.62*CW418,"")</f>
        <v/>
      </c>
      <c r="DB418" s="145" t="str">
        <f>IF($I418&lt;&gt;"",J418*(INDEX('Device Refrigerant Leakage'!$D$2:$D$42,MATCH($Q418,'Device Refrigerant Leakage'!$B$2:$B$42,0))-(INDEX('Device Refrigerant Leakage'!$D$2:$D$42,MATCH($Q418,'Device Refrigerant Leakage'!$B$2:$B$42,0)))*CZ418*CX418)*CY418/2204.62*CW418,"")</f>
        <v/>
      </c>
      <c r="DC418" s="135" t="str">
        <f t="shared" si="552"/>
        <v/>
      </c>
      <c r="DE418" s="146" t="str">
        <f>IF(W418&lt;&gt;"AR","",IF(Y418="User Specified", AA418, INDEX('Refrigerant GWPs'!$G$2:$G$154,MATCH(Y418,'Refrigerant GWPs'!$A$2:$A$154,0))))</f>
        <v/>
      </c>
      <c r="DF418" s="146" t="str">
        <f>IF(W418&lt;&gt;"AR","",INDEX('Device Refrigerant Leakage'!$E$2:$E$42,MATCH(X418,'Device Refrigerant Leakage'!$B$2:$B$42,0)))</f>
        <v/>
      </c>
      <c r="DG418" s="146" t="str">
        <f>IF(W418&lt;&gt;"AR","",INDEX('Device Refrigerant Leakage'!$F$2:$F$42,MATCH(X418,'Device Refrigerant Leakage'!$B$2:$B$42,0)))</f>
        <v/>
      </c>
      <c r="DH418" s="146" t="str">
        <f>IF(W418&lt;&gt;"AR","",INDEX('Device Refrigerant Leakage'!$G$2:$G$42,MATCH(X418,'Device Refrigerant Leakage'!$B$2:$B$42,0)))</f>
        <v/>
      </c>
      <c r="DI418" s="146" t="str">
        <f>IF(W418&lt;&gt;"AR","",J418*INDEX('Device Refrigerant Leakage'!$D$2:$D$42,MATCH(X418,'Device Refrigerant Leakage'!$B$2:$B$42,0))*DF418/2204.62*DE418)</f>
        <v/>
      </c>
      <c r="DJ418" s="146" t="str">
        <f>IF(W418&lt;&gt;"AR","",J418*(INDEX('Device Refrigerant Leakage'!$D$2:$D$42,MATCH(X418,'Device Refrigerant Leakage'!$B$2:$B$42,0))-(INDEX('Device Refrigerant Leakage'!$D$2:$D$42,MATCH(X418,'Device Refrigerant Leakage'!$B$2:$B$42,0)))*DH418*DF418)*DG418/2204.62*DE418)</f>
        <v/>
      </c>
      <c r="DK418" s="146" t="str">
        <f>IF(W418&lt;&gt;"AR","",DI418*(K418-AB418)+'Fuel Sub Calcs-Deemed'!DJ418*((K418-AB418)/INDEX('Device Refrigerant Leakage'!$C$2:$C$42,MATCH('Fuel Sub Calcs-Deemed'!X418,'Device Refrigerant Leakage'!$B$2:$B$42,0))))</f>
        <v/>
      </c>
      <c r="DM418" s="56">
        <v>404</v>
      </c>
      <c r="DN418" s="67" t="e">
        <f t="shared" si="534"/>
        <v>#N/A</v>
      </c>
      <c r="DO418" s="45" t="e">
        <f t="shared" si="535"/>
        <v>#N/A</v>
      </c>
      <c r="DP418" s="67" t="e">
        <f t="shared" si="536"/>
        <v>#N/A</v>
      </c>
      <c r="DQ418" s="45" t="e">
        <f t="shared" si="537"/>
        <v>#N/A</v>
      </c>
      <c r="DR418" s="69" t="e">
        <f t="shared" si="538"/>
        <v>#N/A</v>
      </c>
      <c r="DS418" s="34"/>
      <c r="DT418" s="67" t="e">
        <f>((BX418*CJ418)+IF($W418=MAT_AR,(BZ418*CL418),0))*(1+Reference!$E$50+Reference!$E$51)</f>
        <v>#N/A</v>
      </c>
      <c r="DU418" s="67">
        <f>((BY418*CK418)+IF($W418=MAT_AR,(CA418*CM418),0))*(1+Reference!$G$50+Reference!$G$51)</f>
        <v>0</v>
      </c>
      <c r="DV418" s="67" t="e">
        <f t="shared" si="539"/>
        <v>#VALUE!</v>
      </c>
      <c r="DX418" s="56">
        <v>404</v>
      </c>
      <c r="DY418" s="67">
        <f t="shared" si="540"/>
        <v>0</v>
      </c>
      <c r="DZ418" s="45" t="e">
        <f>VLOOKUP($R418,Dropdown!$C$3:$D$4,2,FALSE)</f>
        <v>#N/A</v>
      </c>
      <c r="EA418" s="68">
        <f t="shared" si="541"/>
        <v>0</v>
      </c>
      <c r="EB418" s="68" t="str">
        <f t="shared" si="542"/>
        <v>N/A</v>
      </c>
      <c r="EC418" s="68">
        <f t="shared" si="543"/>
        <v>0</v>
      </c>
      <c r="ED418" s="68" t="str">
        <f t="shared" si="581"/>
        <v>N/A</v>
      </c>
      <c r="EF418" s="56">
        <v>404</v>
      </c>
      <c r="EG418" s="46">
        <f t="shared" si="544"/>
        <v>0</v>
      </c>
      <c r="EH418" s="68" t="e">
        <f t="shared" si="545"/>
        <v>#N/A</v>
      </c>
      <c r="EI418" s="68" t="e">
        <f t="shared" si="546"/>
        <v>#N/A</v>
      </c>
      <c r="EJ418" s="68" t="e">
        <f t="shared" si="547"/>
        <v>#N/A</v>
      </c>
      <c r="EK418" s="68" t="e">
        <f t="shared" si="548"/>
        <v>#N/A</v>
      </c>
      <c r="EL418" s="46">
        <f t="shared" si="549"/>
        <v>0</v>
      </c>
      <c r="EM418" s="46">
        <f t="shared" si="550"/>
        <v>0</v>
      </c>
    </row>
    <row r="419" spans="1:143">
      <c r="A419" s="89"/>
      <c r="B419" s="89"/>
      <c r="C419" s="89"/>
      <c r="D419" s="89"/>
      <c r="E419" s="89"/>
      <c r="F419" s="89"/>
      <c r="G419" s="34"/>
      <c r="H419" s="56">
        <f t="shared" si="551"/>
        <v>405</v>
      </c>
      <c r="I419" s="165"/>
      <c r="J419" s="163"/>
      <c r="K419" s="163"/>
      <c r="L419" s="164"/>
      <c r="M419" s="155"/>
      <c r="N419" s="155"/>
      <c r="O419" s="144"/>
      <c r="P419" s="159" t="str">
        <f>IFERROR(IF(O419&lt;&gt;"User Specified",IF(O419&lt;&gt;"", INDEX('Refrigerant GWPs'!$G$2:$G$154,MATCH(O419,'Refrigerant GWPs'!$A$2:$A$154,0)),""),U419),0)</f>
        <v/>
      </c>
      <c r="Q419" s="155"/>
      <c r="R419" s="155"/>
      <c r="S419" s="144"/>
      <c r="T419" s="159" t="str">
        <f>IF(S419&lt;&gt;"User Specified",IF(AND(S419&lt;&gt;"User Specified",S419&lt;&gt;""), INDEX('Refrigerant GWPs'!$G$2:$G$154,MATCH(S419,'Refrigerant GWPs'!$A$2:$A$154,0)),""),V419)</f>
        <v/>
      </c>
      <c r="U419" s="144"/>
      <c r="V419" s="144"/>
      <c r="W419" s="155"/>
      <c r="X419" s="155"/>
      <c r="Y419" s="144"/>
      <c r="Z419" s="159" t="str">
        <f>IF(AND(Y419&lt;&gt;"User Specified",Y419&lt;&gt;""), INDEX('Refrigerant GWPs'!$G$2:$G$154,MATCH(Y419,'Refrigerant GWPs'!$A$2:$A$154,0)),"")</f>
        <v/>
      </c>
      <c r="AA419" s="155"/>
      <c r="AB419" s="156"/>
      <c r="AC419" s="66"/>
      <c r="AD419" s="66"/>
      <c r="AE419" s="66"/>
      <c r="AF419" s="66"/>
      <c r="AG419" s="66"/>
      <c r="AH419" s="66"/>
      <c r="AI419" s="34"/>
      <c r="AJ419" s="88">
        <f t="shared" si="514"/>
        <v>0</v>
      </c>
      <c r="AK419" s="88">
        <f t="shared" si="515"/>
        <v>0</v>
      </c>
      <c r="AL419" s="88">
        <v>0</v>
      </c>
      <c r="AM419" s="88">
        <v>0</v>
      </c>
      <c r="AN419" s="81" t="str">
        <f t="shared" si="553"/>
        <v/>
      </c>
      <c r="AO419" s="88">
        <f t="shared" si="516"/>
        <v>0</v>
      </c>
      <c r="AP419" s="88">
        <f t="shared" si="517"/>
        <v>0</v>
      </c>
      <c r="AQ419" s="81" t="str">
        <f t="shared" si="518"/>
        <v/>
      </c>
      <c r="AS419" s="41" t="b">
        <f t="shared" si="519"/>
        <v>1</v>
      </c>
      <c r="AT419" s="38">
        <f t="shared" si="520"/>
        <v>0</v>
      </c>
      <c r="AU419" s="60">
        <f t="shared" si="521"/>
        <v>0</v>
      </c>
      <c r="AV419" s="41">
        <f t="shared" si="522"/>
        <v>0</v>
      </c>
      <c r="AW419" s="41" t="b">
        <f t="shared" si="523"/>
        <v>0</v>
      </c>
      <c r="AX419" t="str">
        <f t="shared" si="524"/>
        <v>+00</v>
      </c>
      <c r="AY419" t="str">
        <f t="shared" si="525"/>
        <v>+00</v>
      </c>
      <c r="BA419" s="47" t="b">
        <f t="shared" si="554"/>
        <v>1</v>
      </c>
      <c r="BB419" s="42" t="b">
        <f t="shared" si="555"/>
        <v>1</v>
      </c>
      <c r="BC419" s="42" t="b">
        <f t="shared" si="556"/>
        <v>0</v>
      </c>
      <c r="BD419" s="42" t="b">
        <f t="shared" si="557"/>
        <v>0</v>
      </c>
      <c r="BE419" s="70">
        <f t="shared" si="558"/>
        <v>0</v>
      </c>
      <c r="BF419" s="70">
        <f t="shared" si="559"/>
        <v>0</v>
      </c>
      <c r="BG419" s="34"/>
      <c r="BI419" s="47" t="b">
        <f t="shared" si="560"/>
        <v>1</v>
      </c>
      <c r="BJ419" s="47" t="b">
        <f t="shared" si="561"/>
        <v>1</v>
      </c>
      <c r="BK419" s="42" t="b">
        <f t="shared" si="562"/>
        <v>0</v>
      </c>
      <c r="BL419" s="42" t="b">
        <f t="shared" si="563"/>
        <v>0</v>
      </c>
      <c r="BM419" s="42">
        <f t="shared" si="564"/>
        <v>0</v>
      </c>
      <c r="BN419" s="42">
        <f t="shared" si="565"/>
        <v>0</v>
      </c>
      <c r="BP419" t="e">
        <f t="shared" si="566"/>
        <v>#N/A</v>
      </c>
      <c r="BQ419" t="e">
        <f t="shared" si="567"/>
        <v>#N/A</v>
      </c>
      <c r="BR419" t="e">
        <f t="shared" si="568"/>
        <v>#N/A</v>
      </c>
      <c r="BT419" s="60">
        <f t="shared" si="569"/>
        <v>0</v>
      </c>
      <c r="BU419" s="60">
        <f t="shared" si="570"/>
        <v>0</v>
      </c>
      <c r="BV419" s="60">
        <f t="shared" si="571"/>
        <v>0</v>
      </c>
      <c r="BW419" s="60">
        <f t="shared" si="572"/>
        <v>0</v>
      </c>
      <c r="BX419" s="60">
        <f t="shared" si="573"/>
        <v>0</v>
      </c>
      <c r="BY419" s="60">
        <f t="shared" si="574"/>
        <v>0</v>
      </c>
      <c r="BZ419" s="60">
        <f t="shared" si="575"/>
        <v>0</v>
      </c>
      <c r="CA419" s="60">
        <f t="shared" si="576"/>
        <v>0</v>
      </c>
      <c r="CB419" s="60" t="e">
        <f t="shared" si="526"/>
        <v>#N/A</v>
      </c>
      <c r="CC419" s="60">
        <f t="shared" si="527"/>
        <v>100000</v>
      </c>
      <c r="CD419" s="60" t="e">
        <f t="shared" si="528"/>
        <v>#N/A</v>
      </c>
      <c r="CE419" s="60">
        <f t="shared" si="529"/>
        <v>100000</v>
      </c>
      <c r="CF419" s="83" t="e">
        <f t="shared" si="577"/>
        <v>#N/A</v>
      </c>
      <c r="CG419" s="83">
        <f t="shared" si="578"/>
        <v>0</v>
      </c>
      <c r="CH419" s="83" t="e">
        <f t="shared" si="579"/>
        <v>#N/A</v>
      </c>
      <c r="CI419" s="83">
        <f t="shared" si="580"/>
        <v>0</v>
      </c>
      <c r="CJ419" s="86" t="e">
        <f t="shared" si="530"/>
        <v>#N/A</v>
      </c>
      <c r="CK419" s="82">
        <f t="shared" si="531"/>
        <v>5.3070370403969858E-3</v>
      </c>
      <c r="CL419" s="82" t="e">
        <f t="shared" si="532"/>
        <v>#N/A</v>
      </c>
      <c r="CM419" s="82">
        <f t="shared" si="533"/>
        <v>5.3070370403969858E-3</v>
      </c>
      <c r="CO419" s="149" t="str">
        <f>IF($I419&lt;&gt;"",IF(O419="User Specified",U419,INDEX('Refrigerant GWPs'!$G$2:$G$156,MATCH(O419,'Refrigerant GWPs'!$A$2:$A$156,0))),"")</f>
        <v/>
      </c>
      <c r="CP419" s="138" t="str">
        <f>IF($I419&lt;&gt;"",INDEX('Device Refrigerant Leakage'!$E$2:$E$42,MATCH($M419,'Device Refrigerant Leakage'!$B$2:$B$42,0)),"")</f>
        <v/>
      </c>
      <c r="CQ419" s="138" t="str">
        <f>IF($I419&lt;&gt;"",INDEX('Device Refrigerant Leakage'!$F$2:$F$42,MATCH($M419,'Device Refrigerant Leakage'!$B$2:$B$42,0)),"")</f>
        <v/>
      </c>
      <c r="CR419" s="145" t="str">
        <f>IF($I419&lt;&gt;"",INDEX('Device Refrigerant Leakage'!$G$2:$G$42,MATCH($M419,'Device Refrigerant Leakage'!$B$2:$B$42,0)),"")</f>
        <v/>
      </c>
      <c r="CS419" s="145" t="str">
        <f>IF($I419&lt;&gt;"",INDEX('Device Refrigerant Leakage'!$D$2:$D$42,MATCH($M419,'Device Refrigerant Leakage'!$B$2:$B$42,0))*CP419/2204.62*CO419,"")</f>
        <v/>
      </c>
      <c r="CT419" s="145" t="str">
        <f>IF($I419&lt;&gt;"",J419*(INDEX('Device Refrigerant Leakage'!$D$2:$D$42,MATCH($M419,'Device Refrigerant Leakage'!$B$2:$B$42,0))-(INDEX('Device Refrigerant Leakage'!$D$2:$D$42,MATCH($M419,'Device Refrigerant Leakage'!$B$2:$B$42,0)))*CR419*CP419)*CQ419/2204.62*CO419,"")</f>
        <v/>
      </c>
      <c r="CU419" s="135" t="str">
        <f>IF($I419&lt;&gt;"",J419*IF(W419&lt;&gt;"AR",(CS419*K419)+CT419,(CS419*AB419)+CT419*(AB419/INDEX('Device Refrigerant Leakage'!$C$2:$C$42,MATCH($M419,'Device Refrigerant Leakage'!$B$2:$B$42,0)))),"")</f>
        <v/>
      </c>
      <c r="CW419" s="135" t="str">
        <f>IF($I419&lt;&gt;"",IF(S419="User Specified",V419,INDEX('Refrigerant GWPs'!$G$2:$G$156,MATCH(S419,'Refrigerant GWPs'!$A$2:$A$157,0))),"")</f>
        <v/>
      </c>
      <c r="CX419" s="138" t="str">
        <f>IF($I419&lt;&gt;"",INDEX('Device Refrigerant Leakage'!$E$2:$E$42,MATCH($Q419,'Device Refrigerant Leakage'!$B$2:$B$42,0)),"")</f>
        <v/>
      </c>
      <c r="CY419" s="138" t="str">
        <f>IF($I419&lt;&gt;"",INDEX('Device Refrigerant Leakage'!$F$2:$F$42,MATCH($Q419,'Device Refrigerant Leakage'!$B$2:$B$42,0)),"")</f>
        <v/>
      </c>
      <c r="CZ419" s="145" t="str">
        <f>IF($I419&lt;&gt;"",INDEX('Device Refrigerant Leakage'!$G$2:$G$42,MATCH($Q419,'Device Refrigerant Leakage'!$B$2:$B$42,0)),"")</f>
        <v/>
      </c>
      <c r="DA419" s="145" t="str">
        <f>IF($I419&lt;&gt;"",J419*INDEX('Device Refrigerant Leakage'!$D$2:$D$42,MATCH($Q419,'Device Refrigerant Leakage'!$B$2:$B$42,0))*CX419/2204.62*CW419,"")</f>
        <v/>
      </c>
      <c r="DB419" s="145" t="str">
        <f>IF($I419&lt;&gt;"",J419*(INDEX('Device Refrigerant Leakage'!$D$2:$D$42,MATCH($Q419,'Device Refrigerant Leakage'!$B$2:$B$42,0))-(INDEX('Device Refrigerant Leakage'!$D$2:$D$42,MATCH($Q419,'Device Refrigerant Leakage'!$B$2:$B$42,0)))*CZ419*CX419)*CY419/2204.62*CW419,"")</f>
        <v/>
      </c>
      <c r="DC419" s="135" t="str">
        <f t="shared" si="552"/>
        <v/>
      </c>
      <c r="DE419" s="146" t="str">
        <f>IF(W419&lt;&gt;"AR","",IF(Y419="User Specified", AA419, INDEX('Refrigerant GWPs'!$G$2:$G$154,MATCH(Y419,'Refrigerant GWPs'!$A$2:$A$154,0))))</f>
        <v/>
      </c>
      <c r="DF419" s="146" t="str">
        <f>IF(W419&lt;&gt;"AR","",INDEX('Device Refrigerant Leakage'!$E$2:$E$42,MATCH(X419,'Device Refrigerant Leakage'!$B$2:$B$42,0)))</f>
        <v/>
      </c>
      <c r="DG419" s="146" t="str">
        <f>IF(W419&lt;&gt;"AR","",INDEX('Device Refrigerant Leakage'!$F$2:$F$42,MATCH(X419,'Device Refrigerant Leakage'!$B$2:$B$42,0)))</f>
        <v/>
      </c>
      <c r="DH419" s="146" t="str">
        <f>IF(W419&lt;&gt;"AR","",INDEX('Device Refrigerant Leakage'!$G$2:$G$42,MATCH(X419,'Device Refrigerant Leakage'!$B$2:$B$42,0)))</f>
        <v/>
      </c>
      <c r="DI419" s="146" t="str">
        <f>IF(W419&lt;&gt;"AR","",J419*INDEX('Device Refrigerant Leakage'!$D$2:$D$42,MATCH(X419,'Device Refrigerant Leakage'!$B$2:$B$42,0))*DF419/2204.62*DE419)</f>
        <v/>
      </c>
      <c r="DJ419" s="146" t="str">
        <f>IF(W419&lt;&gt;"AR","",J419*(INDEX('Device Refrigerant Leakage'!$D$2:$D$42,MATCH(X419,'Device Refrigerant Leakage'!$B$2:$B$42,0))-(INDEX('Device Refrigerant Leakage'!$D$2:$D$42,MATCH(X419,'Device Refrigerant Leakage'!$B$2:$B$42,0)))*DH419*DF419)*DG419/2204.62*DE419)</f>
        <v/>
      </c>
      <c r="DK419" s="146" t="str">
        <f>IF(W419&lt;&gt;"AR","",DI419*(K419-AB419)+'Fuel Sub Calcs-Deemed'!DJ419*((K419-AB419)/INDEX('Device Refrigerant Leakage'!$C$2:$C$42,MATCH('Fuel Sub Calcs-Deemed'!X419,'Device Refrigerant Leakage'!$B$2:$B$42,0))))</f>
        <v/>
      </c>
      <c r="DM419" s="56">
        <v>405</v>
      </c>
      <c r="DN419" s="67" t="e">
        <f t="shared" si="534"/>
        <v>#N/A</v>
      </c>
      <c r="DO419" s="45" t="e">
        <f t="shared" si="535"/>
        <v>#N/A</v>
      </c>
      <c r="DP419" s="67" t="e">
        <f t="shared" si="536"/>
        <v>#N/A</v>
      </c>
      <c r="DQ419" s="45" t="e">
        <f t="shared" si="537"/>
        <v>#N/A</v>
      </c>
      <c r="DR419" s="69" t="e">
        <f t="shared" si="538"/>
        <v>#N/A</v>
      </c>
      <c r="DS419" s="34"/>
      <c r="DT419" s="67" t="e">
        <f>((BX419*CJ419)+IF($W419=MAT_AR,(BZ419*CL419),0))*(1+Reference!$E$50+Reference!$E$51)</f>
        <v>#N/A</v>
      </c>
      <c r="DU419" s="67">
        <f>((BY419*CK419)+IF($W419=MAT_AR,(CA419*CM419),0))*(1+Reference!$G$50+Reference!$G$51)</f>
        <v>0</v>
      </c>
      <c r="DV419" s="67" t="e">
        <f t="shared" si="539"/>
        <v>#VALUE!</v>
      </c>
      <c r="DX419" s="56">
        <v>405</v>
      </c>
      <c r="DY419" s="67">
        <f t="shared" si="540"/>
        <v>0</v>
      </c>
      <c r="DZ419" s="45" t="e">
        <f>VLOOKUP($R419,Dropdown!$C$3:$D$4,2,FALSE)</f>
        <v>#N/A</v>
      </c>
      <c r="EA419" s="68">
        <f t="shared" si="541"/>
        <v>0</v>
      </c>
      <c r="EB419" s="68" t="str">
        <f t="shared" si="542"/>
        <v>N/A</v>
      </c>
      <c r="EC419" s="68">
        <f t="shared" si="543"/>
        <v>0</v>
      </c>
      <c r="ED419" s="68" t="str">
        <f t="shared" si="581"/>
        <v>N/A</v>
      </c>
      <c r="EF419" s="56">
        <v>405</v>
      </c>
      <c r="EG419" s="46">
        <f t="shared" si="544"/>
        <v>0</v>
      </c>
      <c r="EH419" s="68" t="e">
        <f t="shared" si="545"/>
        <v>#N/A</v>
      </c>
      <c r="EI419" s="68" t="e">
        <f t="shared" si="546"/>
        <v>#N/A</v>
      </c>
      <c r="EJ419" s="68" t="e">
        <f t="shared" si="547"/>
        <v>#N/A</v>
      </c>
      <c r="EK419" s="68" t="e">
        <f t="shared" si="548"/>
        <v>#N/A</v>
      </c>
      <c r="EL419" s="46">
        <f t="shared" si="549"/>
        <v>0</v>
      </c>
      <c r="EM419" s="46">
        <f t="shared" si="550"/>
        <v>0</v>
      </c>
    </row>
    <row r="420" spans="1:143">
      <c r="A420" s="89"/>
      <c r="B420" s="89"/>
      <c r="C420" s="89"/>
      <c r="D420" s="89"/>
      <c r="E420" s="89"/>
      <c r="F420" s="89"/>
      <c r="G420" s="34"/>
      <c r="H420" s="56">
        <f t="shared" si="551"/>
        <v>406</v>
      </c>
      <c r="I420" s="165"/>
      <c r="J420" s="163"/>
      <c r="K420" s="163"/>
      <c r="L420" s="164"/>
      <c r="M420" s="155"/>
      <c r="N420" s="155"/>
      <c r="O420" s="144"/>
      <c r="P420" s="159" t="str">
        <f>IFERROR(IF(O420&lt;&gt;"User Specified",IF(O420&lt;&gt;"", INDEX('Refrigerant GWPs'!$G$2:$G$154,MATCH(O420,'Refrigerant GWPs'!$A$2:$A$154,0)),""),U420),0)</f>
        <v/>
      </c>
      <c r="Q420" s="155"/>
      <c r="R420" s="155"/>
      <c r="S420" s="144"/>
      <c r="T420" s="159" t="str">
        <f>IF(S420&lt;&gt;"User Specified",IF(AND(S420&lt;&gt;"User Specified",S420&lt;&gt;""), INDEX('Refrigerant GWPs'!$G$2:$G$154,MATCH(S420,'Refrigerant GWPs'!$A$2:$A$154,0)),""),V420)</f>
        <v/>
      </c>
      <c r="U420" s="144"/>
      <c r="V420" s="144"/>
      <c r="W420" s="155"/>
      <c r="X420" s="155"/>
      <c r="Y420" s="144"/>
      <c r="Z420" s="159" t="str">
        <f>IF(AND(Y420&lt;&gt;"User Specified",Y420&lt;&gt;""), INDEX('Refrigerant GWPs'!$G$2:$G$154,MATCH(Y420,'Refrigerant GWPs'!$A$2:$A$154,0)),"")</f>
        <v/>
      </c>
      <c r="AA420" s="155"/>
      <c r="AB420" s="156"/>
      <c r="AC420" s="66"/>
      <c r="AD420" s="66"/>
      <c r="AE420" s="66"/>
      <c r="AF420" s="66"/>
      <c r="AG420" s="66"/>
      <c r="AH420" s="66"/>
      <c r="AI420" s="34"/>
      <c r="AJ420" s="88">
        <f t="shared" si="514"/>
        <v>0</v>
      </c>
      <c r="AK420" s="88">
        <f t="shared" si="515"/>
        <v>0</v>
      </c>
      <c r="AL420" s="88">
        <v>0</v>
      </c>
      <c r="AM420" s="88">
        <v>0</v>
      </c>
      <c r="AN420" s="81" t="str">
        <f t="shared" si="553"/>
        <v/>
      </c>
      <c r="AO420" s="88">
        <f t="shared" si="516"/>
        <v>0</v>
      </c>
      <c r="AP420" s="88">
        <f t="shared" si="517"/>
        <v>0</v>
      </c>
      <c r="AQ420" s="81" t="str">
        <f t="shared" si="518"/>
        <v/>
      </c>
      <c r="AS420" s="41" t="b">
        <f t="shared" si="519"/>
        <v>1</v>
      </c>
      <c r="AT420" s="38">
        <f t="shared" si="520"/>
        <v>0</v>
      </c>
      <c r="AU420" s="60">
        <f t="shared" si="521"/>
        <v>0</v>
      </c>
      <c r="AV420" s="41">
        <f t="shared" si="522"/>
        <v>0</v>
      </c>
      <c r="AW420" s="41" t="b">
        <f t="shared" si="523"/>
        <v>0</v>
      </c>
      <c r="AX420" t="str">
        <f t="shared" si="524"/>
        <v>+00</v>
      </c>
      <c r="AY420" t="str">
        <f t="shared" si="525"/>
        <v>+00</v>
      </c>
      <c r="BA420" s="47" t="b">
        <f t="shared" si="554"/>
        <v>1</v>
      </c>
      <c r="BB420" s="42" t="b">
        <f t="shared" si="555"/>
        <v>1</v>
      </c>
      <c r="BC420" s="42" t="b">
        <f t="shared" si="556"/>
        <v>0</v>
      </c>
      <c r="BD420" s="42" t="b">
        <f t="shared" si="557"/>
        <v>0</v>
      </c>
      <c r="BE420" s="70">
        <f t="shared" si="558"/>
        <v>0</v>
      </c>
      <c r="BF420" s="70">
        <f t="shared" si="559"/>
        <v>0</v>
      </c>
      <c r="BG420" s="34"/>
      <c r="BI420" s="47" t="b">
        <f t="shared" si="560"/>
        <v>1</v>
      </c>
      <c r="BJ420" s="47" t="b">
        <f t="shared" si="561"/>
        <v>1</v>
      </c>
      <c r="BK420" s="42" t="b">
        <f t="shared" si="562"/>
        <v>0</v>
      </c>
      <c r="BL420" s="42" t="b">
        <f t="shared" si="563"/>
        <v>0</v>
      </c>
      <c r="BM420" s="42">
        <f t="shared" si="564"/>
        <v>0</v>
      </c>
      <c r="BN420" s="42">
        <f t="shared" si="565"/>
        <v>0</v>
      </c>
      <c r="BP420" t="e">
        <f t="shared" si="566"/>
        <v>#N/A</v>
      </c>
      <c r="BQ420" t="e">
        <f t="shared" si="567"/>
        <v>#N/A</v>
      </c>
      <c r="BR420" t="e">
        <f t="shared" si="568"/>
        <v>#N/A</v>
      </c>
      <c r="BT420" s="60">
        <f t="shared" si="569"/>
        <v>0</v>
      </c>
      <c r="BU420" s="60">
        <f t="shared" si="570"/>
        <v>0</v>
      </c>
      <c r="BV420" s="60">
        <f t="shared" si="571"/>
        <v>0</v>
      </c>
      <c r="BW420" s="60">
        <f t="shared" si="572"/>
        <v>0</v>
      </c>
      <c r="BX420" s="60">
        <f t="shared" si="573"/>
        <v>0</v>
      </c>
      <c r="BY420" s="60">
        <f t="shared" si="574"/>
        <v>0</v>
      </c>
      <c r="BZ420" s="60">
        <f t="shared" si="575"/>
        <v>0</v>
      </c>
      <c r="CA420" s="60">
        <f t="shared" si="576"/>
        <v>0</v>
      </c>
      <c r="CB420" s="60" t="e">
        <f t="shared" si="526"/>
        <v>#N/A</v>
      </c>
      <c r="CC420" s="60">
        <f t="shared" si="527"/>
        <v>100000</v>
      </c>
      <c r="CD420" s="60" t="e">
        <f t="shared" si="528"/>
        <v>#N/A</v>
      </c>
      <c r="CE420" s="60">
        <f t="shared" si="529"/>
        <v>100000</v>
      </c>
      <c r="CF420" s="83" t="e">
        <f t="shared" si="577"/>
        <v>#N/A</v>
      </c>
      <c r="CG420" s="83">
        <f t="shared" si="578"/>
        <v>0</v>
      </c>
      <c r="CH420" s="83" t="e">
        <f t="shared" si="579"/>
        <v>#N/A</v>
      </c>
      <c r="CI420" s="83">
        <f t="shared" si="580"/>
        <v>0</v>
      </c>
      <c r="CJ420" s="86" t="e">
        <f t="shared" si="530"/>
        <v>#N/A</v>
      </c>
      <c r="CK420" s="82">
        <f t="shared" si="531"/>
        <v>5.3070370403969858E-3</v>
      </c>
      <c r="CL420" s="82" t="e">
        <f t="shared" si="532"/>
        <v>#N/A</v>
      </c>
      <c r="CM420" s="82">
        <f t="shared" si="533"/>
        <v>5.3070370403969858E-3</v>
      </c>
      <c r="CO420" s="149" t="str">
        <f>IF($I420&lt;&gt;"",IF(O420="User Specified",U420,INDEX('Refrigerant GWPs'!$G$2:$G$156,MATCH(O420,'Refrigerant GWPs'!$A$2:$A$156,0))),"")</f>
        <v/>
      </c>
      <c r="CP420" s="138" t="str">
        <f>IF($I420&lt;&gt;"",INDEX('Device Refrigerant Leakage'!$E$2:$E$42,MATCH($M420,'Device Refrigerant Leakage'!$B$2:$B$42,0)),"")</f>
        <v/>
      </c>
      <c r="CQ420" s="138" t="str">
        <f>IF($I420&lt;&gt;"",INDEX('Device Refrigerant Leakage'!$F$2:$F$42,MATCH($M420,'Device Refrigerant Leakage'!$B$2:$B$42,0)),"")</f>
        <v/>
      </c>
      <c r="CR420" s="145" t="str">
        <f>IF($I420&lt;&gt;"",INDEX('Device Refrigerant Leakage'!$G$2:$G$42,MATCH($M420,'Device Refrigerant Leakage'!$B$2:$B$42,0)),"")</f>
        <v/>
      </c>
      <c r="CS420" s="145" t="str">
        <f>IF($I420&lt;&gt;"",INDEX('Device Refrigerant Leakage'!$D$2:$D$42,MATCH($M420,'Device Refrigerant Leakage'!$B$2:$B$42,0))*CP420/2204.62*CO420,"")</f>
        <v/>
      </c>
      <c r="CT420" s="145" t="str">
        <f>IF($I420&lt;&gt;"",J420*(INDEX('Device Refrigerant Leakage'!$D$2:$D$42,MATCH($M420,'Device Refrigerant Leakage'!$B$2:$B$42,0))-(INDEX('Device Refrigerant Leakage'!$D$2:$D$42,MATCH($M420,'Device Refrigerant Leakage'!$B$2:$B$42,0)))*CR420*CP420)*CQ420/2204.62*CO420,"")</f>
        <v/>
      </c>
      <c r="CU420" s="135" t="str">
        <f>IF($I420&lt;&gt;"",J420*IF(W420&lt;&gt;"AR",(CS420*K420)+CT420,(CS420*AB420)+CT420*(AB420/INDEX('Device Refrigerant Leakage'!$C$2:$C$42,MATCH($M420,'Device Refrigerant Leakage'!$B$2:$B$42,0)))),"")</f>
        <v/>
      </c>
      <c r="CW420" s="135" t="str">
        <f>IF($I420&lt;&gt;"",IF(S420="User Specified",V420,INDEX('Refrigerant GWPs'!$G$2:$G$156,MATCH(S420,'Refrigerant GWPs'!$A$2:$A$157,0))),"")</f>
        <v/>
      </c>
      <c r="CX420" s="138" t="str">
        <f>IF($I420&lt;&gt;"",INDEX('Device Refrigerant Leakage'!$E$2:$E$42,MATCH($Q420,'Device Refrigerant Leakage'!$B$2:$B$42,0)),"")</f>
        <v/>
      </c>
      <c r="CY420" s="138" t="str">
        <f>IF($I420&lt;&gt;"",INDEX('Device Refrigerant Leakage'!$F$2:$F$42,MATCH($Q420,'Device Refrigerant Leakage'!$B$2:$B$42,0)),"")</f>
        <v/>
      </c>
      <c r="CZ420" s="145" t="str">
        <f>IF($I420&lt;&gt;"",INDEX('Device Refrigerant Leakage'!$G$2:$G$42,MATCH($Q420,'Device Refrigerant Leakage'!$B$2:$B$42,0)),"")</f>
        <v/>
      </c>
      <c r="DA420" s="145" t="str">
        <f>IF($I420&lt;&gt;"",J420*INDEX('Device Refrigerant Leakage'!$D$2:$D$42,MATCH($Q420,'Device Refrigerant Leakage'!$B$2:$B$42,0))*CX420/2204.62*CW420,"")</f>
        <v/>
      </c>
      <c r="DB420" s="145" t="str">
        <f>IF($I420&lt;&gt;"",J420*(INDEX('Device Refrigerant Leakage'!$D$2:$D$42,MATCH($Q420,'Device Refrigerant Leakage'!$B$2:$B$42,0))-(INDEX('Device Refrigerant Leakage'!$D$2:$D$42,MATCH($Q420,'Device Refrigerant Leakage'!$B$2:$B$42,0)))*CZ420*CX420)*CY420/2204.62*CW420,"")</f>
        <v/>
      </c>
      <c r="DC420" s="135" t="str">
        <f t="shared" si="552"/>
        <v/>
      </c>
      <c r="DE420" s="146" t="str">
        <f>IF(W420&lt;&gt;"AR","",IF(Y420="User Specified", AA420, INDEX('Refrigerant GWPs'!$G$2:$G$154,MATCH(Y420,'Refrigerant GWPs'!$A$2:$A$154,0))))</f>
        <v/>
      </c>
      <c r="DF420" s="146" t="str">
        <f>IF(W420&lt;&gt;"AR","",INDEX('Device Refrigerant Leakage'!$E$2:$E$42,MATCH(X420,'Device Refrigerant Leakage'!$B$2:$B$42,0)))</f>
        <v/>
      </c>
      <c r="DG420" s="146" t="str">
        <f>IF(W420&lt;&gt;"AR","",INDEX('Device Refrigerant Leakage'!$F$2:$F$42,MATCH(X420,'Device Refrigerant Leakage'!$B$2:$B$42,0)))</f>
        <v/>
      </c>
      <c r="DH420" s="146" t="str">
        <f>IF(W420&lt;&gt;"AR","",INDEX('Device Refrigerant Leakage'!$G$2:$G$42,MATCH(X420,'Device Refrigerant Leakage'!$B$2:$B$42,0)))</f>
        <v/>
      </c>
      <c r="DI420" s="146" t="str">
        <f>IF(W420&lt;&gt;"AR","",J420*INDEX('Device Refrigerant Leakage'!$D$2:$D$42,MATCH(X420,'Device Refrigerant Leakage'!$B$2:$B$42,0))*DF420/2204.62*DE420)</f>
        <v/>
      </c>
      <c r="DJ420" s="146" t="str">
        <f>IF(W420&lt;&gt;"AR","",J420*(INDEX('Device Refrigerant Leakage'!$D$2:$D$42,MATCH(X420,'Device Refrigerant Leakage'!$B$2:$B$42,0))-(INDEX('Device Refrigerant Leakage'!$D$2:$D$42,MATCH(X420,'Device Refrigerant Leakage'!$B$2:$B$42,0)))*DH420*DF420)*DG420/2204.62*DE420)</f>
        <v/>
      </c>
      <c r="DK420" s="146" t="str">
        <f>IF(W420&lt;&gt;"AR","",DI420*(K420-AB420)+'Fuel Sub Calcs-Deemed'!DJ420*((K420-AB420)/INDEX('Device Refrigerant Leakage'!$C$2:$C$42,MATCH('Fuel Sub Calcs-Deemed'!X420,'Device Refrigerant Leakage'!$B$2:$B$42,0))))</f>
        <v/>
      </c>
      <c r="DM420" s="56">
        <v>406</v>
      </c>
      <c r="DN420" s="67" t="e">
        <f t="shared" si="534"/>
        <v>#N/A</v>
      </c>
      <c r="DO420" s="45" t="e">
        <f t="shared" si="535"/>
        <v>#N/A</v>
      </c>
      <c r="DP420" s="67" t="e">
        <f t="shared" si="536"/>
        <v>#N/A</v>
      </c>
      <c r="DQ420" s="45" t="e">
        <f t="shared" si="537"/>
        <v>#N/A</v>
      </c>
      <c r="DR420" s="69" t="e">
        <f t="shared" si="538"/>
        <v>#N/A</v>
      </c>
      <c r="DS420" s="34"/>
      <c r="DT420" s="67" t="e">
        <f>((BX420*CJ420)+IF($W420=MAT_AR,(BZ420*CL420),0))*(1+Reference!$E$50+Reference!$E$51)</f>
        <v>#N/A</v>
      </c>
      <c r="DU420" s="67">
        <f>((BY420*CK420)+IF($W420=MAT_AR,(CA420*CM420),0))*(1+Reference!$G$50+Reference!$G$51)</f>
        <v>0</v>
      </c>
      <c r="DV420" s="67" t="e">
        <f t="shared" si="539"/>
        <v>#VALUE!</v>
      </c>
      <c r="DX420" s="56">
        <v>406</v>
      </c>
      <c r="DY420" s="67">
        <f t="shared" si="540"/>
        <v>0</v>
      </c>
      <c r="DZ420" s="45" t="e">
        <f>VLOOKUP($R420,Dropdown!$C$3:$D$4,2,FALSE)</f>
        <v>#N/A</v>
      </c>
      <c r="EA420" s="68">
        <f t="shared" si="541"/>
        <v>0</v>
      </c>
      <c r="EB420" s="68" t="str">
        <f t="shared" si="542"/>
        <v>N/A</v>
      </c>
      <c r="EC420" s="68">
        <f t="shared" si="543"/>
        <v>0</v>
      </c>
      <c r="ED420" s="68" t="str">
        <f t="shared" si="581"/>
        <v>N/A</v>
      </c>
      <c r="EF420" s="56">
        <v>406</v>
      </c>
      <c r="EG420" s="46">
        <f t="shared" si="544"/>
        <v>0</v>
      </c>
      <c r="EH420" s="68" t="e">
        <f t="shared" si="545"/>
        <v>#N/A</v>
      </c>
      <c r="EI420" s="68" t="e">
        <f t="shared" si="546"/>
        <v>#N/A</v>
      </c>
      <c r="EJ420" s="68" t="e">
        <f t="shared" si="547"/>
        <v>#N/A</v>
      </c>
      <c r="EK420" s="68" t="e">
        <f t="shared" si="548"/>
        <v>#N/A</v>
      </c>
      <c r="EL420" s="46">
        <f t="shared" si="549"/>
        <v>0</v>
      </c>
      <c r="EM420" s="46">
        <f t="shared" si="550"/>
        <v>0</v>
      </c>
    </row>
    <row r="421" spans="1:143">
      <c r="A421" s="89"/>
      <c r="B421" s="89"/>
      <c r="C421" s="89"/>
      <c r="D421" s="89"/>
      <c r="E421" s="89"/>
      <c r="F421" s="89"/>
      <c r="G421" s="34"/>
      <c r="H421" s="56">
        <f t="shared" si="551"/>
        <v>407</v>
      </c>
      <c r="I421" s="165"/>
      <c r="J421" s="163"/>
      <c r="K421" s="163"/>
      <c r="L421" s="164"/>
      <c r="M421" s="155"/>
      <c r="N421" s="155"/>
      <c r="O421" s="144"/>
      <c r="P421" s="159" t="str">
        <f>IFERROR(IF(O421&lt;&gt;"User Specified",IF(O421&lt;&gt;"", INDEX('Refrigerant GWPs'!$G$2:$G$154,MATCH(O421,'Refrigerant GWPs'!$A$2:$A$154,0)),""),U421),0)</f>
        <v/>
      </c>
      <c r="Q421" s="155"/>
      <c r="R421" s="155"/>
      <c r="S421" s="144"/>
      <c r="T421" s="159" t="str">
        <f>IF(S421&lt;&gt;"User Specified",IF(AND(S421&lt;&gt;"User Specified",S421&lt;&gt;""), INDEX('Refrigerant GWPs'!$G$2:$G$154,MATCH(S421,'Refrigerant GWPs'!$A$2:$A$154,0)),""),V421)</f>
        <v/>
      </c>
      <c r="U421" s="144"/>
      <c r="V421" s="144"/>
      <c r="W421" s="155"/>
      <c r="X421" s="155"/>
      <c r="Y421" s="144"/>
      <c r="Z421" s="159" t="str">
        <f>IF(AND(Y421&lt;&gt;"User Specified",Y421&lt;&gt;""), INDEX('Refrigerant GWPs'!$G$2:$G$154,MATCH(Y421,'Refrigerant GWPs'!$A$2:$A$154,0)),"")</f>
        <v/>
      </c>
      <c r="AA421" s="155"/>
      <c r="AB421" s="156"/>
      <c r="AC421" s="66"/>
      <c r="AD421" s="66"/>
      <c r="AE421" s="66"/>
      <c r="AF421" s="66"/>
      <c r="AG421" s="66"/>
      <c r="AH421" s="66"/>
      <c r="AI421" s="34"/>
      <c r="AJ421" s="88">
        <f t="shared" si="514"/>
        <v>0</v>
      </c>
      <c r="AK421" s="88">
        <f t="shared" si="515"/>
        <v>0</v>
      </c>
      <c r="AL421" s="88">
        <v>0</v>
      </c>
      <c r="AM421" s="88">
        <v>0</v>
      </c>
      <c r="AN421" s="81" t="str">
        <f t="shared" si="553"/>
        <v/>
      </c>
      <c r="AO421" s="88">
        <f t="shared" si="516"/>
        <v>0</v>
      </c>
      <c r="AP421" s="88">
        <f t="shared" si="517"/>
        <v>0</v>
      </c>
      <c r="AQ421" s="81" t="str">
        <f t="shared" si="518"/>
        <v/>
      </c>
      <c r="AS421" s="41" t="b">
        <f t="shared" si="519"/>
        <v>1</v>
      </c>
      <c r="AT421" s="38">
        <f t="shared" si="520"/>
        <v>0</v>
      </c>
      <c r="AU421" s="60">
        <f t="shared" si="521"/>
        <v>0</v>
      </c>
      <c r="AV421" s="41">
        <f t="shared" si="522"/>
        <v>0</v>
      </c>
      <c r="AW421" s="41" t="b">
        <f t="shared" si="523"/>
        <v>0</v>
      </c>
      <c r="AX421" t="str">
        <f t="shared" si="524"/>
        <v>+00</v>
      </c>
      <c r="AY421" t="str">
        <f t="shared" si="525"/>
        <v>+00</v>
      </c>
      <c r="BA421" s="47" t="b">
        <f t="shared" si="554"/>
        <v>1</v>
      </c>
      <c r="BB421" s="42" t="b">
        <f t="shared" si="555"/>
        <v>1</v>
      </c>
      <c r="BC421" s="42" t="b">
        <f t="shared" si="556"/>
        <v>0</v>
      </c>
      <c r="BD421" s="42" t="b">
        <f t="shared" si="557"/>
        <v>0</v>
      </c>
      <c r="BE421" s="70">
        <f t="shared" si="558"/>
        <v>0</v>
      </c>
      <c r="BF421" s="70">
        <f t="shared" si="559"/>
        <v>0</v>
      </c>
      <c r="BG421" s="34"/>
      <c r="BI421" s="47" t="b">
        <f t="shared" si="560"/>
        <v>1</v>
      </c>
      <c r="BJ421" s="47" t="b">
        <f t="shared" si="561"/>
        <v>1</v>
      </c>
      <c r="BK421" s="42" t="b">
        <f t="shared" si="562"/>
        <v>0</v>
      </c>
      <c r="BL421" s="42" t="b">
        <f t="shared" si="563"/>
        <v>0</v>
      </c>
      <c r="BM421" s="42">
        <f t="shared" si="564"/>
        <v>0</v>
      </c>
      <c r="BN421" s="42">
        <f t="shared" si="565"/>
        <v>0</v>
      </c>
      <c r="BP421" t="e">
        <f t="shared" si="566"/>
        <v>#N/A</v>
      </c>
      <c r="BQ421" t="e">
        <f t="shared" si="567"/>
        <v>#N/A</v>
      </c>
      <c r="BR421" t="e">
        <f t="shared" si="568"/>
        <v>#N/A</v>
      </c>
      <c r="BT421" s="60">
        <f t="shared" si="569"/>
        <v>0</v>
      </c>
      <c r="BU421" s="60">
        <f t="shared" si="570"/>
        <v>0</v>
      </c>
      <c r="BV421" s="60">
        <f t="shared" si="571"/>
        <v>0</v>
      </c>
      <c r="BW421" s="60">
        <f t="shared" si="572"/>
        <v>0</v>
      </c>
      <c r="BX421" s="60">
        <f t="shared" si="573"/>
        <v>0</v>
      </c>
      <c r="BY421" s="60">
        <f t="shared" si="574"/>
        <v>0</v>
      </c>
      <c r="BZ421" s="60">
        <f t="shared" si="575"/>
        <v>0</v>
      </c>
      <c r="CA421" s="60">
        <f t="shared" si="576"/>
        <v>0</v>
      </c>
      <c r="CB421" s="60" t="e">
        <f t="shared" si="526"/>
        <v>#N/A</v>
      </c>
      <c r="CC421" s="60">
        <f t="shared" si="527"/>
        <v>100000</v>
      </c>
      <c r="CD421" s="60" t="e">
        <f t="shared" si="528"/>
        <v>#N/A</v>
      </c>
      <c r="CE421" s="60">
        <f t="shared" si="529"/>
        <v>100000</v>
      </c>
      <c r="CF421" s="83" t="e">
        <f t="shared" si="577"/>
        <v>#N/A</v>
      </c>
      <c r="CG421" s="83">
        <f t="shared" si="578"/>
        <v>0</v>
      </c>
      <c r="CH421" s="83" t="e">
        <f t="shared" si="579"/>
        <v>#N/A</v>
      </c>
      <c r="CI421" s="83">
        <f t="shared" si="580"/>
        <v>0</v>
      </c>
      <c r="CJ421" s="86" t="e">
        <f t="shared" si="530"/>
        <v>#N/A</v>
      </c>
      <c r="CK421" s="82">
        <f t="shared" si="531"/>
        <v>5.3070370403969858E-3</v>
      </c>
      <c r="CL421" s="82" t="e">
        <f t="shared" si="532"/>
        <v>#N/A</v>
      </c>
      <c r="CM421" s="82">
        <f t="shared" si="533"/>
        <v>5.3070370403969858E-3</v>
      </c>
      <c r="CO421" s="149" t="str">
        <f>IF($I421&lt;&gt;"",IF(O421="User Specified",U421,INDEX('Refrigerant GWPs'!$G$2:$G$156,MATCH(O421,'Refrigerant GWPs'!$A$2:$A$156,0))),"")</f>
        <v/>
      </c>
      <c r="CP421" s="138" t="str">
        <f>IF($I421&lt;&gt;"",INDEX('Device Refrigerant Leakage'!$E$2:$E$42,MATCH($M421,'Device Refrigerant Leakage'!$B$2:$B$42,0)),"")</f>
        <v/>
      </c>
      <c r="CQ421" s="138" t="str">
        <f>IF($I421&lt;&gt;"",INDEX('Device Refrigerant Leakage'!$F$2:$F$42,MATCH($M421,'Device Refrigerant Leakage'!$B$2:$B$42,0)),"")</f>
        <v/>
      </c>
      <c r="CR421" s="145" t="str">
        <f>IF($I421&lt;&gt;"",INDEX('Device Refrigerant Leakage'!$G$2:$G$42,MATCH($M421,'Device Refrigerant Leakage'!$B$2:$B$42,0)),"")</f>
        <v/>
      </c>
      <c r="CS421" s="145" t="str">
        <f>IF($I421&lt;&gt;"",INDEX('Device Refrigerant Leakage'!$D$2:$D$42,MATCH($M421,'Device Refrigerant Leakage'!$B$2:$B$42,0))*CP421/2204.62*CO421,"")</f>
        <v/>
      </c>
      <c r="CT421" s="145" t="str">
        <f>IF($I421&lt;&gt;"",J421*(INDEX('Device Refrigerant Leakage'!$D$2:$D$42,MATCH($M421,'Device Refrigerant Leakage'!$B$2:$B$42,0))-(INDEX('Device Refrigerant Leakage'!$D$2:$D$42,MATCH($M421,'Device Refrigerant Leakage'!$B$2:$B$42,0)))*CR421*CP421)*CQ421/2204.62*CO421,"")</f>
        <v/>
      </c>
      <c r="CU421" s="135" t="str">
        <f>IF($I421&lt;&gt;"",J421*IF(W421&lt;&gt;"AR",(CS421*K421)+CT421,(CS421*AB421)+CT421*(AB421/INDEX('Device Refrigerant Leakage'!$C$2:$C$42,MATCH($M421,'Device Refrigerant Leakage'!$B$2:$B$42,0)))),"")</f>
        <v/>
      </c>
      <c r="CW421" s="135" t="str">
        <f>IF($I421&lt;&gt;"",IF(S421="User Specified",V421,INDEX('Refrigerant GWPs'!$G$2:$G$156,MATCH(S421,'Refrigerant GWPs'!$A$2:$A$157,0))),"")</f>
        <v/>
      </c>
      <c r="CX421" s="138" t="str">
        <f>IF($I421&lt;&gt;"",INDEX('Device Refrigerant Leakage'!$E$2:$E$42,MATCH($Q421,'Device Refrigerant Leakage'!$B$2:$B$42,0)),"")</f>
        <v/>
      </c>
      <c r="CY421" s="138" t="str">
        <f>IF($I421&lt;&gt;"",INDEX('Device Refrigerant Leakage'!$F$2:$F$42,MATCH($Q421,'Device Refrigerant Leakage'!$B$2:$B$42,0)),"")</f>
        <v/>
      </c>
      <c r="CZ421" s="145" t="str">
        <f>IF($I421&lt;&gt;"",INDEX('Device Refrigerant Leakage'!$G$2:$G$42,MATCH($Q421,'Device Refrigerant Leakage'!$B$2:$B$42,0)),"")</f>
        <v/>
      </c>
      <c r="DA421" s="145" t="str">
        <f>IF($I421&lt;&gt;"",J421*INDEX('Device Refrigerant Leakage'!$D$2:$D$42,MATCH($Q421,'Device Refrigerant Leakage'!$B$2:$B$42,0))*CX421/2204.62*CW421,"")</f>
        <v/>
      </c>
      <c r="DB421" s="145" t="str">
        <f>IF($I421&lt;&gt;"",J421*(INDEX('Device Refrigerant Leakage'!$D$2:$D$42,MATCH($Q421,'Device Refrigerant Leakage'!$B$2:$B$42,0))-(INDEX('Device Refrigerant Leakage'!$D$2:$D$42,MATCH($Q421,'Device Refrigerant Leakage'!$B$2:$B$42,0)))*CZ421*CX421)*CY421/2204.62*CW421,"")</f>
        <v/>
      </c>
      <c r="DC421" s="135" t="str">
        <f t="shared" si="552"/>
        <v/>
      </c>
      <c r="DE421" s="146" t="str">
        <f>IF(W421&lt;&gt;"AR","",IF(Y421="User Specified", AA421, INDEX('Refrigerant GWPs'!$G$2:$G$154,MATCH(Y421,'Refrigerant GWPs'!$A$2:$A$154,0))))</f>
        <v/>
      </c>
      <c r="DF421" s="146" t="str">
        <f>IF(W421&lt;&gt;"AR","",INDEX('Device Refrigerant Leakage'!$E$2:$E$42,MATCH(X421,'Device Refrigerant Leakage'!$B$2:$B$42,0)))</f>
        <v/>
      </c>
      <c r="DG421" s="146" t="str">
        <f>IF(W421&lt;&gt;"AR","",INDEX('Device Refrigerant Leakage'!$F$2:$F$42,MATCH(X421,'Device Refrigerant Leakage'!$B$2:$B$42,0)))</f>
        <v/>
      </c>
      <c r="DH421" s="146" t="str">
        <f>IF(W421&lt;&gt;"AR","",INDEX('Device Refrigerant Leakage'!$G$2:$G$42,MATCH(X421,'Device Refrigerant Leakage'!$B$2:$B$42,0)))</f>
        <v/>
      </c>
      <c r="DI421" s="146" t="str">
        <f>IF(W421&lt;&gt;"AR","",J421*INDEX('Device Refrigerant Leakage'!$D$2:$D$42,MATCH(X421,'Device Refrigerant Leakage'!$B$2:$B$42,0))*DF421/2204.62*DE421)</f>
        <v/>
      </c>
      <c r="DJ421" s="146" t="str">
        <f>IF(W421&lt;&gt;"AR","",J421*(INDEX('Device Refrigerant Leakage'!$D$2:$D$42,MATCH(X421,'Device Refrigerant Leakage'!$B$2:$B$42,0))-(INDEX('Device Refrigerant Leakage'!$D$2:$D$42,MATCH(X421,'Device Refrigerant Leakage'!$B$2:$B$42,0)))*DH421*DF421)*DG421/2204.62*DE421)</f>
        <v/>
      </c>
      <c r="DK421" s="146" t="str">
        <f>IF(W421&lt;&gt;"AR","",DI421*(K421-AB421)+'Fuel Sub Calcs-Deemed'!DJ421*((K421-AB421)/INDEX('Device Refrigerant Leakage'!$C$2:$C$42,MATCH('Fuel Sub Calcs-Deemed'!X421,'Device Refrigerant Leakage'!$B$2:$B$42,0))))</f>
        <v/>
      </c>
      <c r="DM421" s="56">
        <v>407</v>
      </c>
      <c r="DN421" s="67" t="e">
        <f t="shared" si="534"/>
        <v>#N/A</v>
      </c>
      <c r="DO421" s="45" t="e">
        <f t="shared" si="535"/>
        <v>#N/A</v>
      </c>
      <c r="DP421" s="67" t="e">
        <f t="shared" si="536"/>
        <v>#N/A</v>
      </c>
      <c r="DQ421" s="45" t="e">
        <f t="shared" si="537"/>
        <v>#N/A</v>
      </c>
      <c r="DR421" s="69" t="e">
        <f t="shared" si="538"/>
        <v>#N/A</v>
      </c>
      <c r="DS421" s="34"/>
      <c r="DT421" s="67" t="e">
        <f>((BX421*CJ421)+IF($W421=MAT_AR,(BZ421*CL421),0))*(1+Reference!$E$50+Reference!$E$51)</f>
        <v>#N/A</v>
      </c>
      <c r="DU421" s="67">
        <f>((BY421*CK421)+IF($W421=MAT_AR,(CA421*CM421),0))*(1+Reference!$G$50+Reference!$G$51)</f>
        <v>0</v>
      </c>
      <c r="DV421" s="67" t="e">
        <f t="shared" si="539"/>
        <v>#VALUE!</v>
      </c>
      <c r="DX421" s="56">
        <v>407</v>
      </c>
      <c r="DY421" s="67">
        <f t="shared" si="540"/>
        <v>0</v>
      </c>
      <c r="DZ421" s="45" t="e">
        <f>VLOOKUP($R421,Dropdown!$C$3:$D$4,2,FALSE)</f>
        <v>#N/A</v>
      </c>
      <c r="EA421" s="68">
        <f t="shared" si="541"/>
        <v>0</v>
      </c>
      <c r="EB421" s="68" t="str">
        <f t="shared" si="542"/>
        <v>N/A</v>
      </c>
      <c r="EC421" s="68">
        <f t="shared" si="543"/>
        <v>0</v>
      </c>
      <c r="ED421" s="68" t="str">
        <f t="shared" si="581"/>
        <v>N/A</v>
      </c>
      <c r="EF421" s="56">
        <v>407</v>
      </c>
      <c r="EG421" s="46">
        <f t="shared" si="544"/>
        <v>0</v>
      </c>
      <c r="EH421" s="68" t="e">
        <f t="shared" si="545"/>
        <v>#N/A</v>
      </c>
      <c r="EI421" s="68" t="e">
        <f t="shared" si="546"/>
        <v>#N/A</v>
      </c>
      <c r="EJ421" s="68" t="e">
        <f t="shared" si="547"/>
        <v>#N/A</v>
      </c>
      <c r="EK421" s="68" t="e">
        <f t="shared" si="548"/>
        <v>#N/A</v>
      </c>
      <c r="EL421" s="46">
        <f t="shared" si="549"/>
        <v>0</v>
      </c>
      <c r="EM421" s="46">
        <f t="shared" si="550"/>
        <v>0</v>
      </c>
    </row>
    <row r="422" spans="1:143">
      <c r="A422" s="89"/>
      <c r="B422" s="89"/>
      <c r="C422" s="89"/>
      <c r="D422" s="89"/>
      <c r="E422" s="89"/>
      <c r="F422" s="89"/>
      <c r="G422" s="34"/>
      <c r="H422" s="56">
        <f t="shared" si="551"/>
        <v>408</v>
      </c>
      <c r="I422" s="165"/>
      <c r="J422" s="163"/>
      <c r="K422" s="163"/>
      <c r="L422" s="164"/>
      <c r="M422" s="155"/>
      <c r="N422" s="155"/>
      <c r="O422" s="144"/>
      <c r="P422" s="159" t="str">
        <f>IFERROR(IF(O422&lt;&gt;"User Specified",IF(O422&lt;&gt;"", INDEX('Refrigerant GWPs'!$G$2:$G$154,MATCH(O422,'Refrigerant GWPs'!$A$2:$A$154,0)),""),U422),0)</f>
        <v/>
      </c>
      <c r="Q422" s="155"/>
      <c r="R422" s="155"/>
      <c r="S422" s="144"/>
      <c r="T422" s="159" t="str">
        <f>IF(S422&lt;&gt;"User Specified",IF(AND(S422&lt;&gt;"User Specified",S422&lt;&gt;""), INDEX('Refrigerant GWPs'!$G$2:$G$154,MATCH(S422,'Refrigerant GWPs'!$A$2:$A$154,0)),""),V422)</f>
        <v/>
      </c>
      <c r="U422" s="144"/>
      <c r="V422" s="144"/>
      <c r="W422" s="155"/>
      <c r="X422" s="155"/>
      <c r="Y422" s="144"/>
      <c r="Z422" s="159" t="str">
        <f>IF(AND(Y422&lt;&gt;"User Specified",Y422&lt;&gt;""), INDEX('Refrigerant GWPs'!$G$2:$G$154,MATCH(Y422,'Refrigerant GWPs'!$A$2:$A$154,0)),"")</f>
        <v/>
      </c>
      <c r="AA422" s="155"/>
      <c r="AB422" s="156"/>
      <c r="AC422" s="66"/>
      <c r="AD422" s="66"/>
      <c r="AE422" s="66"/>
      <c r="AF422" s="66"/>
      <c r="AG422" s="66"/>
      <c r="AH422" s="66"/>
      <c r="AI422" s="34"/>
      <c r="AJ422" s="88">
        <f t="shared" si="514"/>
        <v>0</v>
      </c>
      <c r="AK422" s="88">
        <f t="shared" si="515"/>
        <v>0</v>
      </c>
      <c r="AL422" s="88">
        <v>0</v>
      </c>
      <c r="AM422" s="88">
        <v>0</v>
      </c>
      <c r="AN422" s="81" t="str">
        <f t="shared" si="553"/>
        <v/>
      </c>
      <c r="AO422" s="88">
        <f t="shared" si="516"/>
        <v>0</v>
      </c>
      <c r="AP422" s="88">
        <f t="shared" si="517"/>
        <v>0</v>
      </c>
      <c r="AQ422" s="81" t="str">
        <f t="shared" si="518"/>
        <v/>
      </c>
      <c r="AS422" s="41" t="b">
        <f t="shared" si="519"/>
        <v>1</v>
      </c>
      <c r="AT422" s="38">
        <f t="shared" si="520"/>
        <v>0</v>
      </c>
      <c r="AU422" s="60">
        <f t="shared" si="521"/>
        <v>0</v>
      </c>
      <c r="AV422" s="41">
        <f t="shared" si="522"/>
        <v>0</v>
      </c>
      <c r="AW422" s="41" t="b">
        <f t="shared" si="523"/>
        <v>0</v>
      </c>
      <c r="AX422" t="str">
        <f t="shared" si="524"/>
        <v>+00</v>
      </c>
      <c r="AY422" t="str">
        <f t="shared" si="525"/>
        <v>+00</v>
      </c>
      <c r="BA422" s="47" t="b">
        <f t="shared" si="554"/>
        <v>1</v>
      </c>
      <c r="BB422" s="42" t="b">
        <f t="shared" si="555"/>
        <v>1</v>
      </c>
      <c r="BC422" s="42" t="b">
        <f t="shared" si="556"/>
        <v>0</v>
      </c>
      <c r="BD422" s="42" t="b">
        <f t="shared" si="557"/>
        <v>0</v>
      </c>
      <c r="BE422" s="70">
        <f t="shared" si="558"/>
        <v>0</v>
      </c>
      <c r="BF422" s="70">
        <f t="shared" si="559"/>
        <v>0</v>
      </c>
      <c r="BG422" s="34"/>
      <c r="BI422" s="47" t="b">
        <f t="shared" si="560"/>
        <v>1</v>
      </c>
      <c r="BJ422" s="47" t="b">
        <f t="shared" si="561"/>
        <v>1</v>
      </c>
      <c r="BK422" s="42" t="b">
        <f t="shared" si="562"/>
        <v>0</v>
      </c>
      <c r="BL422" s="42" t="b">
        <f t="shared" si="563"/>
        <v>0</v>
      </c>
      <c r="BM422" s="42">
        <f t="shared" si="564"/>
        <v>0</v>
      </c>
      <c r="BN422" s="42">
        <f t="shared" si="565"/>
        <v>0</v>
      </c>
      <c r="BP422" t="e">
        <f t="shared" si="566"/>
        <v>#N/A</v>
      </c>
      <c r="BQ422" t="e">
        <f t="shared" si="567"/>
        <v>#N/A</v>
      </c>
      <c r="BR422" t="e">
        <f t="shared" si="568"/>
        <v>#N/A</v>
      </c>
      <c r="BT422" s="60">
        <f t="shared" si="569"/>
        <v>0</v>
      </c>
      <c r="BU422" s="60">
        <f t="shared" si="570"/>
        <v>0</v>
      </c>
      <c r="BV422" s="60">
        <f t="shared" si="571"/>
        <v>0</v>
      </c>
      <c r="BW422" s="60">
        <f t="shared" si="572"/>
        <v>0</v>
      </c>
      <c r="BX422" s="60">
        <f t="shared" si="573"/>
        <v>0</v>
      </c>
      <c r="BY422" s="60">
        <f t="shared" si="574"/>
        <v>0</v>
      </c>
      <c r="BZ422" s="60">
        <f t="shared" si="575"/>
        <v>0</v>
      </c>
      <c r="CA422" s="60">
        <f t="shared" si="576"/>
        <v>0</v>
      </c>
      <c r="CB422" s="60" t="e">
        <f t="shared" si="526"/>
        <v>#N/A</v>
      </c>
      <c r="CC422" s="60">
        <f t="shared" si="527"/>
        <v>100000</v>
      </c>
      <c r="CD422" s="60" t="e">
        <f t="shared" si="528"/>
        <v>#N/A</v>
      </c>
      <c r="CE422" s="60">
        <f t="shared" si="529"/>
        <v>100000</v>
      </c>
      <c r="CF422" s="83" t="e">
        <f t="shared" si="577"/>
        <v>#N/A</v>
      </c>
      <c r="CG422" s="83">
        <f t="shared" si="578"/>
        <v>0</v>
      </c>
      <c r="CH422" s="83" t="e">
        <f t="shared" si="579"/>
        <v>#N/A</v>
      </c>
      <c r="CI422" s="83">
        <f t="shared" si="580"/>
        <v>0</v>
      </c>
      <c r="CJ422" s="86" t="e">
        <f t="shared" si="530"/>
        <v>#N/A</v>
      </c>
      <c r="CK422" s="82">
        <f t="shared" si="531"/>
        <v>5.3070370403969858E-3</v>
      </c>
      <c r="CL422" s="82" t="e">
        <f t="shared" si="532"/>
        <v>#N/A</v>
      </c>
      <c r="CM422" s="82">
        <f t="shared" si="533"/>
        <v>5.3070370403969858E-3</v>
      </c>
      <c r="CO422" s="149" t="str">
        <f>IF($I422&lt;&gt;"",IF(O422="User Specified",U422,INDEX('Refrigerant GWPs'!$G$2:$G$156,MATCH(O422,'Refrigerant GWPs'!$A$2:$A$156,0))),"")</f>
        <v/>
      </c>
      <c r="CP422" s="138" t="str">
        <f>IF($I422&lt;&gt;"",INDEX('Device Refrigerant Leakage'!$E$2:$E$42,MATCH($M422,'Device Refrigerant Leakage'!$B$2:$B$42,0)),"")</f>
        <v/>
      </c>
      <c r="CQ422" s="138" t="str">
        <f>IF($I422&lt;&gt;"",INDEX('Device Refrigerant Leakage'!$F$2:$F$42,MATCH($M422,'Device Refrigerant Leakage'!$B$2:$B$42,0)),"")</f>
        <v/>
      </c>
      <c r="CR422" s="145" t="str">
        <f>IF($I422&lt;&gt;"",INDEX('Device Refrigerant Leakage'!$G$2:$G$42,MATCH($M422,'Device Refrigerant Leakage'!$B$2:$B$42,0)),"")</f>
        <v/>
      </c>
      <c r="CS422" s="145" t="str">
        <f>IF($I422&lt;&gt;"",INDEX('Device Refrigerant Leakage'!$D$2:$D$42,MATCH($M422,'Device Refrigerant Leakage'!$B$2:$B$42,0))*CP422/2204.62*CO422,"")</f>
        <v/>
      </c>
      <c r="CT422" s="145" t="str">
        <f>IF($I422&lt;&gt;"",J422*(INDEX('Device Refrigerant Leakage'!$D$2:$D$42,MATCH($M422,'Device Refrigerant Leakage'!$B$2:$B$42,0))-(INDEX('Device Refrigerant Leakage'!$D$2:$D$42,MATCH($M422,'Device Refrigerant Leakage'!$B$2:$B$42,0)))*CR422*CP422)*CQ422/2204.62*CO422,"")</f>
        <v/>
      </c>
      <c r="CU422" s="135" t="str">
        <f>IF($I422&lt;&gt;"",J422*IF(W422&lt;&gt;"AR",(CS422*K422)+CT422,(CS422*AB422)+CT422*(AB422/INDEX('Device Refrigerant Leakage'!$C$2:$C$42,MATCH($M422,'Device Refrigerant Leakage'!$B$2:$B$42,0)))),"")</f>
        <v/>
      </c>
      <c r="CW422" s="135" t="str">
        <f>IF($I422&lt;&gt;"",IF(S422="User Specified",V422,INDEX('Refrigerant GWPs'!$G$2:$G$156,MATCH(S422,'Refrigerant GWPs'!$A$2:$A$157,0))),"")</f>
        <v/>
      </c>
      <c r="CX422" s="138" t="str">
        <f>IF($I422&lt;&gt;"",INDEX('Device Refrigerant Leakage'!$E$2:$E$42,MATCH($Q422,'Device Refrigerant Leakage'!$B$2:$B$42,0)),"")</f>
        <v/>
      </c>
      <c r="CY422" s="138" t="str">
        <f>IF($I422&lt;&gt;"",INDEX('Device Refrigerant Leakage'!$F$2:$F$42,MATCH($Q422,'Device Refrigerant Leakage'!$B$2:$B$42,0)),"")</f>
        <v/>
      </c>
      <c r="CZ422" s="145" t="str">
        <f>IF($I422&lt;&gt;"",INDEX('Device Refrigerant Leakage'!$G$2:$G$42,MATCH($Q422,'Device Refrigerant Leakage'!$B$2:$B$42,0)),"")</f>
        <v/>
      </c>
      <c r="DA422" s="145" t="str">
        <f>IF($I422&lt;&gt;"",J422*INDEX('Device Refrigerant Leakage'!$D$2:$D$42,MATCH($Q422,'Device Refrigerant Leakage'!$B$2:$B$42,0))*CX422/2204.62*CW422,"")</f>
        <v/>
      </c>
      <c r="DB422" s="145" t="str">
        <f>IF($I422&lt;&gt;"",J422*(INDEX('Device Refrigerant Leakage'!$D$2:$D$42,MATCH($Q422,'Device Refrigerant Leakage'!$B$2:$B$42,0))-(INDEX('Device Refrigerant Leakage'!$D$2:$D$42,MATCH($Q422,'Device Refrigerant Leakage'!$B$2:$B$42,0)))*CZ422*CX422)*CY422/2204.62*CW422,"")</f>
        <v/>
      </c>
      <c r="DC422" s="135" t="str">
        <f t="shared" si="552"/>
        <v/>
      </c>
      <c r="DE422" s="146" t="str">
        <f>IF(W422&lt;&gt;"AR","",IF(Y422="User Specified", AA422, INDEX('Refrigerant GWPs'!$G$2:$G$154,MATCH(Y422,'Refrigerant GWPs'!$A$2:$A$154,0))))</f>
        <v/>
      </c>
      <c r="DF422" s="146" t="str">
        <f>IF(W422&lt;&gt;"AR","",INDEX('Device Refrigerant Leakage'!$E$2:$E$42,MATCH(X422,'Device Refrigerant Leakage'!$B$2:$B$42,0)))</f>
        <v/>
      </c>
      <c r="DG422" s="146" t="str">
        <f>IF(W422&lt;&gt;"AR","",INDEX('Device Refrigerant Leakage'!$F$2:$F$42,MATCH(X422,'Device Refrigerant Leakage'!$B$2:$B$42,0)))</f>
        <v/>
      </c>
      <c r="DH422" s="146" t="str">
        <f>IF(W422&lt;&gt;"AR","",INDEX('Device Refrigerant Leakage'!$G$2:$G$42,MATCH(X422,'Device Refrigerant Leakage'!$B$2:$B$42,0)))</f>
        <v/>
      </c>
      <c r="DI422" s="146" t="str">
        <f>IF(W422&lt;&gt;"AR","",J422*INDEX('Device Refrigerant Leakage'!$D$2:$D$42,MATCH(X422,'Device Refrigerant Leakage'!$B$2:$B$42,0))*DF422/2204.62*DE422)</f>
        <v/>
      </c>
      <c r="DJ422" s="146" t="str">
        <f>IF(W422&lt;&gt;"AR","",J422*(INDEX('Device Refrigerant Leakage'!$D$2:$D$42,MATCH(X422,'Device Refrigerant Leakage'!$B$2:$B$42,0))-(INDEX('Device Refrigerant Leakage'!$D$2:$D$42,MATCH(X422,'Device Refrigerant Leakage'!$B$2:$B$42,0)))*DH422*DF422)*DG422/2204.62*DE422)</f>
        <v/>
      </c>
      <c r="DK422" s="146" t="str">
        <f>IF(W422&lt;&gt;"AR","",DI422*(K422-AB422)+'Fuel Sub Calcs-Deemed'!DJ422*((K422-AB422)/INDEX('Device Refrigerant Leakage'!$C$2:$C$42,MATCH('Fuel Sub Calcs-Deemed'!X422,'Device Refrigerant Leakage'!$B$2:$B$42,0))))</f>
        <v/>
      </c>
      <c r="DM422" s="56">
        <v>408</v>
      </c>
      <c r="DN422" s="67" t="e">
        <f t="shared" si="534"/>
        <v>#N/A</v>
      </c>
      <c r="DO422" s="45" t="e">
        <f t="shared" si="535"/>
        <v>#N/A</v>
      </c>
      <c r="DP422" s="67" t="e">
        <f t="shared" si="536"/>
        <v>#N/A</v>
      </c>
      <c r="DQ422" s="45" t="e">
        <f t="shared" si="537"/>
        <v>#N/A</v>
      </c>
      <c r="DR422" s="69" t="e">
        <f t="shared" si="538"/>
        <v>#N/A</v>
      </c>
      <c r="DS422" s="34"/>
      <c r="DT422" s="67" t="e">
        <f>((BX422*CJ422)+IF($W422=MAT_AR,(BZ422*CL422),0))*(1+Reference!$E$50+Reference!$E$51)</f>
        <v>#N/A</v>
      </c>
      <c r="DU422" s="67">
        <f>((BY422*CK422)+IF($W422=MAT_AR,(CA422*CM422),0))*(1+Reference!$G$50+Reference!$G$51)</f>
        <v>0</v>
      </c>
      <c r="DV422" s="67" t="e">
        <f t="shared" si="539"/>
        <v>#VALUE!</v>
      </c>
      <c r="DX422" s="56">
        <v>408</v>
      </c>
      <c r="DY422" s="67">
        <f t="shared" si="540"/>
        <v>0</v>
      </c>
      <c r="DZ422" s="45" t="e">
        <f>VLOOKUP($R422,Dropdown!$C$3:$D$4,2,FALSE)</f>
        <v>#N/A</v>
      </c>
      <c r="EA422" s="68">
        <f t="shared" si="541"/>
        <v>0</v>
      </c>
      <c r="EB422" s="68" t="str">
        <f t="shared" si="542"/>
        <v>N/A</v>
      </c>
      <c r="EC422" s="68">
        <f t="shared" si="543"/>
        <v>0</v>
      </c>
      <c r="ED422" s="68" t="str">
        <f t="shared" si="581"/>
        <v>N/A</v>
      </c>
      <c r="EF422" s="56">
        <v>408</v>
      </c>
      <c r="EG422" s="46">
        <f t="shared" si="544"/>
        <v>0</v>
      </c>
      <c r="EH422" s="68" t="e">
        <f t="shared" si="545"/>
        <v>#N/A</v>
      </c>
      <c r="EI422" s="68" t="e">
        <f t="shared" si="546"/>
        <v>#N/A</v>
      </c>
      <c r="EJ422" s="68" t="e">
        <f t="shared" si="547"/>
        <v>#N/A</v>
      </c>
      <c r="EK422" s="68" t="e">
        <f t="shared" si="548"/>
        <v>#N/A</v>
      </c>
      <c r="EL422" s="46">
        <f t="shared" si="549"/>
        <v>0</v>
      </c>
      <c r="EM422" s="46">
        <f t="shared" si="550"/>
        <v>0</v>
      </c>
    </row>
    <row r="423" spans="1:143">
      <c r="A423" s="89"/>
      <c r="B423" s="89"/>
      <c r="C423" s="89"/>
      <c r="D423" s="89"/>
      <c r="E423" s="89"/>
      <c r="F423" s="89"/>
      <c r="G423" s="34"/>
      <c r="H423" s="56">
        <f t="shared" si="551"/>
        <v>409</v>
      </c>
      <c r="I423" s="165"/>
      <c r="J423" s="163"/>
      <c r="K423" s="163"/>
      <c r="L423" s="164"/>
      <c r="M423" s="155"/>
      <c r="N423" s="155"/>
      <c r="O423" s="144"/>
      <c r="P423" s="159" t="str">
        <f>IFERROR(IF(O423&lt;&gt;"User Specified",IF(O423&lt;&gt;"", INDEX('Refrigerant GWPs'!$G$2:$G$154,MATCH(O423,'Refrigerant GWPs'!$A$2:$A$154,0)),""),U423),0)</f>
        <v/>
      </c>
      <c r="Q423" s="155"/>
      <c r="R423" s="155"/>
      <c r="S423" s="144"/>
      <c r="T423" s="159" t="str">
        <f>IF(S423&lt;&gt;"User Specified",IF(AND(S423&lt;&gt;"User Specified",S423&lt;&gt;""), INDEX('Refrigerant GWPs'!$G$2:$G$154,MATCH(S423,'Refrigerant GWPs'!$A$2:$A$154,0)),""),V423)</f>
        <v/>
      </c>
      <c r="U423" s="144"/>
      <c r="V423" s="144"/>
      <c r="W423" s="155"/>
      <c r="X423" s="155"/>
      <c r="Y423" s="144"/>
      <c r="Z423" s="159" t="str">
        <f>IF(AND(Y423&lt;&gt;"User Specified",Y423&lt;&gt;""), INDEX('Refrigerant GWPs'!$G$2:$G$154,MATCH(Y423,'Refrigerant GWPs'!$A$2:$A$154,0)),"")</f>
        <v/>
      </c>
      <c r="AA423" s="155"/>
      <c r="AB423" s="156"/>
      <c r="AC423" s="66"/>
      <c r="AD423" s="66"/>
      <c r="AE423" s="66"/>
      <c r="AF423" s="66"/>
      <c r="AG423" s="66"/>
      <c r="AH423" s="66"/>
      <c r="AI423" s="34"/>
      <c r="AJ423" s="88">
        <f t="shared" si="514"/>
        <v>0</v>
      </c>
      <c r="AK423" s="88">
        <f t="shared" si="515"/>
        <v>0</v>
      </c>
      <c r="AL423" s="88">
        <v>0</v>
      </c>
      <c r="AM423" s="88">
        <v>0</v>
      </c>
      <c r="AN423" s="81" t="str">
        <f t="shared" si="553"/>
        <v/>
      </c>
      <c r="AO423" s="88">
        <f t="shared" si="516"/>
        <v>0</v>
      </c>
      <c r="AP423" s="88">
        <f t="shared" si="517"/>
        <v>0</v>
      </c>
      <c r="AQ423" s="81" t="str">
        <f t="shared" si="518"/>
        <v/>
      </c>
      <c r="AS423" s="41" t="b">
        <f t="shared" si="519"/>
        <v>1</v>
      </c>
      <c r="AT423" s="38">
        <f t="shared" si="520"/>
        <v>0</v>
      </c>
      <c r="AU423" s="60">
        <f t="shared" si="521"/>
        <v>0</v>
      </c>
      <c r="AV423" s="41">
        <f t="shared" si="522"/>
        <v>0</v>
      </c>
      <c r="AW423" s="41" t="b">
        <f t="shared" si="523"/>
        <v>0</v>
      </c>
      <c r="AX423" t="str">
        <f t="shared" si="524"/>
        <v>+00</v>
      </c>
      <c r="AY423" t="str">
        <f t="shared" si="525"/>
        <v>+00</v>
      </c>
      <c r="BA423" s="47" t="b">
        <f t="shared" si="554"/>
        <v>1</v>
      </c>
      <c r="BB423" s="42" t="b">
        <f t="shared" si="555"/>
        <v>1</v>
      </c>
      <c r="BC423" s="42" t="b">
        <f t="shared" si="556"/>
        <v>0</v>
      </c>
      <c r="BD423" s="42" t="b">
        <f t="shared" si="557"/>
        <v>0</v>
      </c>
      <c r="BE423" s="70">
        <f t="shared" si="558"/>
        <v>0</v>
      </c>
      <c r="BF423" s="70">
        <f t="shared" si="559"/>
        <v>0</v>
      </c>
      <c r="BG423" s="34"/>
      <c r="BI423" s="47" t="b">
        <f t="shared" si="560"/>
        <v>1</v>
      </c>
      <c r="BJ423" s="47" t="b">
        <f t="shared" si="561"/>
        <v>1</v>
      </c>
      <c r="BK423" s="42" t="b">
        <f t="shared" si="562"/>
        <v>0</v>
      </c>
      <c r="BL423" s="42" t="b">
        <f t="shared" si="563"/>
        <v>0</v>
      </c>
      <c r="BM423" s="42">
        <f t="shared" si="564"/>
        <v>0</v>
      </c>
      <c r="BN423" s="42">
        <f t="shared" si="565"/>
        <v>0</v>
      </c>
      <c r="BP423" t="e">
        <f t="shared" si="566"/>
        <v>#N/A</v>
      </c>
      <c r="BQ423" t="e">
        <f t="shared" si="567"/>
        <v>#N/A</v>
      </c>
      <c r="BR423" t="e">
        <f t="shared" si="568"/>
        <v>#N/A</v>
      </c>
      <c r="BT423" s="60">
        <f t="shared" si="569"/>
        <v>0</v>
      </c>
      <c r="BU423" s="60">
        <f t="shared" si="570"/>
        <v>0</v>
      </c>
      <c r="BV423" s="60">
        <f t="shared" si="571"/>
        <v>0</v>
      </c>
      <c r="BW423" s="60">
        <f t="shared" si="572"/>
        <v>0</v>
      </c>
      <c r="BX423" s="60">
        <f t="shared" si="573"/>
        <v>0</v>
      </c>
      <c r="BY423" s="60">
        <f t="shared" si="574"/>
        <v>0</v>
      </c>
      <c r="BZ423" s="60">
        <f t="shared" si="575"/>
        <v>0</v>
      </c>
      <c r="CA423" s="60">
        <f t="shared" si="576"/>
        <v>0</v>
      </c>
      <c r="CB423" s="60" t="e">
        <f t="shared" si="526"/>
        <v>#N/A</v>
      </c>
      <c r="CC423" s="60">
        <f t="shared" si="527"/>
        <v>100000</v>
      </c>
      <c r="CD423" s="60" t="e">
        <f t="shared" si="528"/>
        <v>#N/A</v>
      </c>
      <c r="CE423" s="60">
        <f t="shared" si="529"/>
        <v>100000</v>
      </c>
      <c r="CF423" s="83" t="e">
        <f t="shared" si="577"/>
        <v>#N/A</v>
      </c>
      <c r="CG423" s="83">
        <f t="shared" si="578"/>
        <v>0</v>
      </c>
      <c r="CH423" s="83" t="e">
        <f t="shared" si="579"/>
        <v>#N/A</v>
      </c>
      <c r="CI423" s="83">
        <f t="shared" si="580"/>
        <v>0</v>
      </c>
      <c r="CJ423" s="86" t="e">
        <f t="shared" si="530"/>
        <v>#N/A</v>
      </c>
      <c r="CK423" s="82">
        <f t="shared" si="531"/>
        <v>5.3070370403969858E-3</v>
      </c>
      <c r="CL423" s="82" t="e">
        <f t="shared" si="532"/>
        <v>#N/A</v>
      </c>
      <c r="CM423" s="82">
        <f t="shared" si="533"/>
        <v>5.3070370403969858E-3</v>
      </c>
      <c r="CO423" s="149" t="str">
        <f>IF($I423&lt;&gt;"",IF(O423="User Specified",U423,INDEX('Refrigerant GWPs'!$G$2:$G$156,MATCH(O423,'Refrigerant GWPs'!$A$2:$A$156,0))),"")</f>
        <v/>
      </c>
      <c r="CP423" s="138" t="str">
        <f>IF($I423&lt;&gt;"",INDEX('Device Refrigerant Leakage'!$E$2:$E$42,MATCH($M423,'Device Refrigerant Leakage'!$B$2:$B$42,0)),"")</f>
        <v/>
      </c>
      <c r="CQ423" s="138" t="str">
        <f>IF($I423&lt;&gt;"",INDEX('Device Refrigerant Leakage'!$F$2:$F$42,MATCH($M423,'Device Refrigerant Leakage'!$B$2:$B$42,0)),"")</f>
        <v/>
      </c>
      <c r="CR423" s="145" t="str">
        <f>IF($I423&lt;&gt;"",INDEX('Device Refrigerant Leakage'!$G$2:$G$42,MATCH($M423,'Device Refrigerant Leakage'!$B$2:$B$42,0)),"")</f>
        <v/>
      </c>
      <c r="CS423" s="145" t="str">
        <f>IF($I423&lt;&gt;"",INDEX('Device Refrigerant Leakage'!$D$2:$D$42,MATCH($M423,'Device Refrigerant Leakage'!$B$2:$B$42,0))*CP423/2204.62*CO423,"")</f>
        <v/>
      </c>
      <c r="CT423" s="145" t="str">
        <f>IF($I423&lt;&gt;"",J423*(INDEX('Device Refrigerant Leakage'!$D$2:$D$42,MATCH($M423,'Device Refrigerant Leakage'!$B$2:$B$42,0))-(INDEX('Device Refrigerant Leakage'!$D$2:$D$42,MATCH($M423,'Device Refrigerant Leakage'!$B$2:$B$42,0)))*CR423*CP423)*CQ423/2204.62*CO423,"")</f>
        <v/>
      </c>
      <c r="CU423" s="135" t="str">
        <f>IF($I423&lt;&gt;"",J423*IF(W423&lt;&gt;"AR",(CS423*K423)+CT423,(CS423*AB423)+CT423*(AB423/INDEX('Device Refrigerant Leakage'!$C$2:$C$42,MATCH($M423,'Device Refrigerant Leakage'!$B$2:$B$42,0)))),"")</f>
        <v/>
      </c>
      <c r="CW423" s="135" t="str">
        <f>IF($I423&lt;&gt;"",IF(S423="User Specified",V423,INDEX('Refrigerant GWPs'!$G$2:$G$156,MATCH(S423,'Refrigerant GWPs'!$A$2:$A$157,0))),"")</f>
        <v/>
      </c>
      <c r="CX423" s="138" t="str">
        <f>IF($I423&lt;&gt;"",INDEX('Device Refrigerant Leakage'!$E$2:$E$42,MATCH($Q423,'Device Refrigerant Leakage'!$B$2:$B$42,0)),"")</f>
        <v/>
      </c>
      <c r="CY423" s="138" t="str">
        <f>IF($I423&lt;&gt;"",INDEX('Device Refrigerant Leakage'!$F$2:$F$42,MATCH($Q423,'Device Refrigerant Leakage'!$B$2:$B$42,0)),"")</f>
        <v/>
      </c>
      <c r="CZ423" s="145" t="str">
        <f>IF($I423&lt;&gt;"",INDEX('Device Refrigerant Leakage'!$G$2:$G$42,MATCH($Q423,'Device Refrigerant Leakage'!$B$2:$B$42,0)),"")</f>
        <v/>
      </c>
      <c r="DA423" s="145" t="str">
        <f>IF($I423&lt;&gt;"",J423*INDEX('Device Refrigerant Leakage'!$D$2:$D$42,MATCH($Q423,'Device Refrigerant Leakage'!$B$2:$B$42,0))*CX423/2204.62*CW423,"")</f>
        <v/>
      </c>
      <c r="DB423" s="145" t="str">
        <f>IF($I423&lt;&gt;"",J423*(INDEX('Device Refrigerant Leakage'!$D$2:$D$42,MATCH($Q423,'Device Refrigerant Leakage'!$B$2:$B$42,0))-(INDEX('Device Refrigerant Leakage'!$D$2:$D$42,MATCH($Q423,'Device Refrigerant Leakage'!$B$2:$B$42,0)))*CZ423*CX423)*CY423/2204.62*CW423,"")</f>
        <v/>
      </c>
      <c r="DC423" s="135" t="str">
        <f t="shared" si="552"/>
        <v/>
      </c>
      <c r="DE423" s="146" t="str">
        <f>IF(W423&lt;&gt;"AR","",IF(Y423="User Specified", AA423, INDEX('Refrigerant GWPs'!$G$2:$G$154,MATCH(Y423,'Refrigerant GWPs'!$A$2:$A$154,0))))</f>
        <v/>
      </c>
      <c r="DF423" s="146" t="str">
        <f>IF(W423&lt;&gt;"AR","",INDEX('Device Refrigerant Leakage'!$E$2:$E$42,MATCH(X423,'Device Refrigerant Leakage'!$B$2:$B$42,0)))</f>
        <v/>
      </c>
      <c r="DG423" s="146" t="str">
        <f>IF(W423&lt;&gt;"AR","",INDEX('Device Refrigerant Leakage'!$F$2:$F$42,MATCH(X423,'Device Refrigerant Leakage'!$B$2:$B$42,0)))</f>
        <v/>
      </c>
      <c r="DH423" s="146" t="str">
        <f>IF(W423&lt;&gt;"AR","",INDEX('Device Refrigerant Leakage'!$G$2:$G$42,MATCH(X423,'Device Refrigerant Leakage'!$B$2:$B$42,0)))</f>
        <v/>
      </c>
      <c r="DI423" s="146" t="str">
        <f>IF(W423&lt;&gt;"AR","",J423*INDEX('Device Refrigerant Leakage'!$D$2:$D$42,MATCH(X423,'Device Refrigerant Leakage'!$B$2:$B$42,0))*DF423/2204.62*DE423)</f>
        <v/>
      </c>
      <c r="DJ423" s="146" t="str">
        <f>IF(W423&lt;&gt;"AR","",J423*(INDEX('Device Refrigerant Leakage'!$D$2:$D$42,MATCH(X423,'Device Refrigerant Leakage'!$B$2:$B$42,0))-(INDEX('Device Refrigerant Leakage'!$D$2:$D$42,MATCH(X423,'Device Refrigerant Leakage'!$B$2:$B$42,0)))*DH423*DF423)*DG423/2204.62*DE423)</f>
        <v/>
      </c>
      <c r="DK423" s="146" t="str">
        <f>IF(W423&lt;&gt;"AR","",DI423*(K423-AB423)+'Fuel Sub Calcs-Deemed'!DJ423*((K423-AB423)/INDEX('Device Refrigerant Leakage'!$C$2:$C$42,MATCH('Fuel Sub Calcs-Deemed'!X423,'Device Refrigerant Leakage'!$B$2:$B$42,0))))</f>
        <v/>
      </c>
      <c r="DM423" s="56">
        <v>409</v>
      </c>
      <c r="DN423" s="67" t="e">
        <f t="shared" si="534"/>
        <v>#N/A</v>
      </c>
      <c r="DO423" s="45" t="e">
        <f t="shared" si="535"/>
        <v>#N/A</v>
      </c>
      <c r="DP423" s="67" t="e">
        <f t="shared" si="536"/>
        <v>#N/A</v>
      </c>
      <c r="DQ423" s="45" t="e">
        <f t="shared" si="537"/>
        <v>#N/A</v>
      </c>
      <c r="DR423" s="69" t="e">
        <f t="shared" si="538"/>
        <v>#N/A</v>
      </c>
      <c r="DS423" s="34"/>
      <c r="DT423" s="67" t="e">
        <f>((BX423*CJ423)+IF($W423=MAT_AR,(BZ423*CL423),0))*(1+Reference!$E$50+Reference!$E$51)</f>
        <v>#N/A</v>
      </c>
      <c r="DU423" s="67">
        <f>((BY423*CK423)+IF($W423=MAT_AR,(CA423*CM423),0))*(1+Reference!$G$50+Reference!$G$51)</f>
        <v>0</v>
      </c>
      <c r="DV423" s="67" t="e">
        <f t="shared" si="539"/>
        <v>#VALUE!</v>
      </c>
      <c r="DX423" s="56">
        <v>409</v>
      </c>
      <c r="DY423" s="67">
        <f t="shared" si="540"/>
        <v>0</v>
      </c>
      <c r="DZ423" s="45" t="e">
        <f>VLOOKUP($R423,Dropdown!$C$3:$D$4,2,FALSE)</f>
        <v>#N/A</v>
      </c>
      <c r="EA423" s="68">
        <f t="shared" si="541"/>
        <v>0</v>
      </c>
      <c r="EB423" s="68" t="str">
        <f t="shared" si="542"/>
        <v>N/A</v>
      </c>
      <c r="EC423" s="68">
        <f t="shared" si="543"/>
        <v>0</v>
      </c>
      <c r="ED423" s="68" t="str">
        <f t="shared" si="581"/>
        <v>N/A</v>
      </c>
      <c r="EF423" s="56">
        <v>409</v>
      </c>
      <c r="EG423" s="46">
        <f t="shared" si="544"/>
        <v>0</v>
      </c>
      <c r="EH423" s="68" t="e">
        <f t="shared" si="545"/>
        <v>#N/A</v>
      </c>
      <c r="EI423" s="68" t="e">
        <f t="shared" si="546"/>
        <v>#N/A</v>
      </c>
      <c r="EJ423" s="68" t="e">
        <f t="shared" si="547"/>
        <v>#N/A</v>
      </c>
      <c r="EK423" s="68" t="e">
        <f t="shared" si="548"/>
        <v>#N/A</v>
      </c>
      <c r="EL423" s="46">
        <f t="shared" si="549"/>
        <v>0</v>
      </c>
      <c r="EM423" s="46">
        <f t="shared" si="550"/>
        <v>0</v>
      </c>
    </row>
    <row r="424" spans="1:143">
      <c r="A424" s="89"/>
      <c r="B424" s="89"/>
      <c r="C424" s="89"/>
      <c r="D424" s="89"/>
      <c r="E424" s="89"/>
      <c r="F424" s="89"/>
      <c r="G424" s="34"/>
      <c r="H424" s="56">
        <f t="shared" si="551"/>
        <v>410</v>
      </c>
      <c r="I424" s="165"/>
      <c r="J424" s="163"/>
      <c r="K424" s="163"/>
      <c r="L424" s="164"/>
      <c r="M424" s="155"/>
      <c r="N424" s="155"/>
      <c r="O424" s="144"/>
      <c r="P424" s="159" t="str">
        <f>IFERROR(IF(O424&lt;&gt;"User Specified",IF(O424&lt;&gt;"", INDEX('Refrigerant GWPs'!$G$2:$G$154,MATCH(O424,'Refrigerant GWPs'!$A$2:$A$154,0)),""),U424),0)</f>
        <v/>
      </c>
      <c r="Q424" s="155"/>
      <c r="R424" s="155"/>
      <c r="S424" s="144"/>
      <c r="T424" s="159" t="str">
        <f>IF(S424&lt;&gt;"User Specified",IF(AND(S424&lt;&gt;"User Specified",S424&lt;&gt;""), INDEX('Refrigerant GWPs'!$G$2:$G$154,MATCH(S424,'Refrigerant GWPs'!$A$2:$A$154,0)),""),V424)</f>
        <v/>
      </c>
      <c r="U424" s="144"/>
      <c r="V424" s="144"/>
      <c r="W424" s="155"/>
      <c r="X424" s="155"/>
      <c r="Y424" s="144"/>
      <c r="Z424" s="159" t="str">
        <f>IF(AND(Y424&lt;&gt;"User Specified",Y424&lt;&gt;""), INDEX('Refrigerant GWPs'!$G$2:$G$154,MATCH(Y424,'Refrigerant GWPs'!$A$2:$A$154,0)),"")</f>
        <v/>
      </c>
      <c r="AA424" s="155"/>
      <c r="AB424" s="156"/>
      <c r="AC424" s="66"/>
      <c r="AD424" s="66"/>
      <c r="AE424" s="66"/>
      <c r="AF424" s="66"/>
      <c r="AG424" s="66"/>
      <c r="AH424" s="66"/>
      <c r="AI424" s="34"/>
      <c r="AJ424" s="88">
        <f t="shared" si="514"/>
        <v>0</v>
      </c>
      <c r="AK424" s="88">
        <f t="shared" si="515"/>
        <v>0</v>
      </c>
      <c r="AL424" s="88">
        <v>0</v>
      </c>
      <c r="AM424" s="88">
        <v>0</v>
      </c>
      <c r="AN424" s="81" t="str">
        <f t="shared" si="553"/>
        <v/>
      </c>
      <c r="AO424" s="88">
        <f t="shared" si="516"/>
        <v>0</v>
      </c>
      <c r="AP424" s="88">
        <f t="shared" si="517"/>
        <v>0</v>
      </c>
      <c r="AQ424" s="81" t="str">
        <f t="shared" si="518"/>
        <v/>
      </c>
      <c r="AS424" s="41" t="b">
        <f t="shared" si="519"/>
        <v>1</v>
      </c>
      <c r="AT424" s="38">
        <f t="shared" si="520"/>
        <v>0</v>
      </c>
      <c r="AU424" s="60">
        <f t="shared" si="521"/>
        <v>0</v>
      </c>
      <c r="AV424" s="41">
        <f t="shared" si="522"/>
        <v>0</v>
      </c>
      <c r="AW424" s="41" t="b">
        <f t="shared" si="523"/>
        <v>0</v>
      </c>
      <c r="AX424" t="str">
        <f t="shared" si="524"/>
        <v>+00</v>
      </c>
      <c r="AY424" t="str">
        <f t="shared" si="525"/>
        <v>+00</v>
      </c>
      <c r="BA424" s="47" t="b">
        <f t="shared" si="554"/>
        <v>1</v>
      </c>
      <c r="BB424" s="42" t="b">
        <f t="shared" si="555"/>
        <v>1</v>
      </c>
      <c r="BC424" s="42" t="b">
        <f t="shared" si="556"/>
        <v>0</v>
      </c>
      <c r="BD424" s="42" t="b">
        <f t="shared" si="557"/>
        <v>0</v>
      </c>
      <c r="BE424" s="70">
        <f t="shared" si="558"/>
        <v>0</v>
      </c>
      <c r="BF424" s="70">
        <f t="shared" si="559"/>
        <v>0</v>
      </c>
      <c r="BG424" s="34"/>
      <c r="BI424" s="47" t="b">
        <f t="shared" si="560"/>
        <v>1</v>
      </c>
      <c r="BJ424" s="47" t="b">
        <f t="shared" si="561"/>
        <v>1</v>
      </c>
      <c r="BK424" s="42" t="b">
        <f t="shared" si="562"/>
        <v>0</v>
      </c>
      <c r="BL424" s="42" t="b">
        <f t="shared" si="563"/>
        <v>0</v>
      </c>
      <c r="BM424" s="42">
        <f t="shared" si="564"/>
        <v>0</v>
      </c>
      <c r="BN424" s="42">
        <f t="shared" si="565"/>
        <v>0</v>
      </c>
      <c r="BP424" t="e">
        <f t="shared" si="566"/>
        <v>#N/A</v>
      </c>
      <c r="BQ424" t="e">
        <f t="shared" si="567"/>
        <v>#N/A</v>
      </c>
      <c r="BR424" t="e">
        <f t="shared" si="568"/>
        <v>#N/A</v>
      </c>
      <c r="BT424" s="60">
        <f t="shared" si="569"/>
        <v>0</v>
      </c>
      <c r="BU424" s="60">
        <f t="shared" si="570"/>
        <v>0</v>
      </c>
      <c r="BV424" s="60">
        <f t="shared" si="571"/>
        <v>0</v>
      </c>
      <c r="BW424" s="60">
        <f t="shared" si="572"/>
        <v>0</v>
      </c>
      <c r="BX424" s="60">
        <f t="shared" si="573"/>
        <v>0</v>
      </c>
      <c r="BY424" s="60">
        <f t="shared" si="574"/>
        <v>0</v>
      </c>
      <c r="BZ424" s="60">
        <f t="shared" si="575"/>
        <v>0</v>
      </c>
      <c r="CA424" s="60">
        <f t="shared" si="576"/>
        <v>0</v>
      </c>
      <c r="CB424" s="60" t="e">
        <f t="shared" si="526"/>
        <v>#N/A</v>
      </c>
      <c r="CC424" s="60">
        <f t="shared" si="527"/>
        <v>100000</v>
      </c>
      <c r="CD424" s="60" t="e">
        <f t="shared" si="528"/>
        <v>#N/A</v>
      </c>
      <c r="CE424" s="60">
        <f t="shared" si="529"/>
        <v>100000</v>
      </c>
      <c r="CF424" s="83" t="e">
        <f t="shared" si="577"/>
        <v>#N/A</v>
      </c>
      <c r="CG424" s="83">
        <f t="shared" si="578"/>
        <v>0</v>
      </c>
      <c r="CH424" s="83" t="e">
        <f t="shared" si="579"/>
        <v>#N/A</v>
      </c>
      <c r="CI424" s="83">
        <f t="shared" si="580"/>
        <v>0</v>
      </c>
      <c r="CJ424" s="86" t="e">
        <f t="shared" si="530"/>
        <v>#N/A</v>
      </c>
      <c r="CK424" s="82">
        <f t="shared" si="531"/>
        <v>5.3070370403969858E-3</v>
      </c>
      <c r="CL424" s="82" t="e">
        <f t="shared" si="532"/>
        <v>#N/A</v>
      </c>
      <c r="CM424" s="82">
        <f t="shared" si="533"/>
        <v>5.3070370403969858E-3</v>
      </c>
      <c r="CO424" s="149" t="str">
        <f>IF($I424&lt;&gt;"",IF(O424="User Specified",U424,INDEX('Refrigerant GWPs'!$G$2:$G$156,MATCH(O424,'Refrigerant GWPs'!$A$2:$A$156,0))),"")</f>
        <v/>
      </c>
      <c r="CP424" s="138" t="str">
        <f>IF($I424&lt;&gt;"",INDEX('Device Refrigerant Leakage'!$E$2:$E$42,MATCH($M424,'Device Refrigerant Leakage'!$B$2:$B$42,0)),"")</f>
        <v/>
      </c>
      <c r="CQ424" s="138" t="str">
        <f>IF($I424&lt;&gt;"",INDEX('Device Refrigerant Leakage'!$F$2:$F$42,MATCH($M424,'Device Refrigerant Leakage'!$B$2:$B$42,0)),"")</f>
        <v/>
      </c>
      <c r="CR424" s="145" t="str">
        <f>IF($I424&lt;&gt;"",INDEX('Device Refrigerant Leakage'!$G$2:$G$42,MATCH($M424,'Device Refrigerant Leakage'!$B$2:$B$42,0)),"")</f>
        <v/>
      </c>
      <c r="CS424" s="145" t="str">
        <f>IF($I424&lt;&gt;"",INDEX('Device Refrigerant Leakage'!$D$2:$D$42,MATCH($M424,'Device Refrigerant Leakage'!$B$2:$B$42,0))*CP424/2204.62*CO424,"")</f>
        <v/>
      </c>
      <c r="CT424" s="145" t="str">
        <f>IF($I424&lt;&gt;"",J424*(INDEX('Device Refrigerant Leakage'!$D$2:$D$42,MATCH($M424,'Device Refrigerant Leakage'!$B$2:$B$42,0))-(INDEX('Device Refrigerant Leakage'!$D$2:$D$42,MATCH($M424,'Device Refrigerant Leakage'!$B$2:$B$42,0)))*CR424*CP424)*CQ424/2204.62*CO424,"")</f>
        <v/>
      </c>
      <c r="CU424" s="135" t="str">
        <f>IF($I424&lt;&gt;"",J424*IF(W424&lt;&gt;"AR",(CS424*K424)+CT424,(CS424*AB424)+CT424*(AB424/INDEX('Device Refrigerant Leakage'!$C$2:$C$42,MATCH($M424,'Device Refrigerant Leakage'!$B$2:$B$42,0)))),"")</f>
        <v/>
      </c>
      <c r="CW424" s="135" t="str">
        <f>IF($I424&lt;&gt;"",IF(S424="User Specified",V424,INDEX('Refrigerant GWPs'!$G$2:$G$156,MATCH(S424,'Refrigerant GWPs'!$A$2:$A$157,0))),"")</f>
        <v/>
      </c>
      <c r="CX424" s="138" t="str">
        <f>IF($I424&lt;&gt;"",INDEX('Device Refrigerant Leakage'!$E$2:$E$42,MATCH($Q424,'Device Refrigerant Leakage'!$B$2:$B$42,0)),"")</f>
        <v/>
      </c>
      <c r="CY424" s="138" t="str">
        <f>IF($I424&lt;&gt;"",INDEX('Device Refrigerant Leakage'!$F$2:$F$42,MATCH($Q424,'Device Refrigerant Leakage'!$B$2:$B$42,0)),"")</f>
        <v/>
      </c>
      <c r="CZ424" s="145" t="str">
        <f>IF($I424&lt;&gt;"",INDEX('Device Refrigerant Leakage'!$G$2:$G$42,MATCH($Q424,'Device Refrigerant Leakage'!$B$2:$B$42,0)),"")</f>
        <v/>
      </c>
      <c r="DA424" s="145" t="str">
        <f>IF($I424&lt;&gt;"",J424*INDEX('Device Refrigerant Leakage'!$D$2:$D$42,MATCH($Q424,'Device Refrigerant Leakage'!$B$2:$B$42,0))*CX424/2204.62*CW424,"")</f>
        <v/>
      </c>
      <c r="DB424" s="145" t="str">
        <f>IF($I424&lt;&gt;"",J424*(INDEX('Device Refrigerant Leakage'!$D$2:$D$42,MATCH($Q424,'Device Refrigerant Leakage'!$B$2:$B$42,0))-(INDEX('Device Refrigerant Leakage'!$D$2:$D$42,MATCH($Q424,'Device Refrigerant Leakage'!$B$2:$B$42,0)))*CZ424*CX424)*CY424/2204.62*CW424,"")</f>
        <v/>
      </c>
      <c r="DC424" s="135" t="str">
        <f t="shared" si="552"/>
        <v/>
      </c>
      <c r="DE424" s="146" t="str">
        <f>IF(W424&lt;&gt;"AR","",IF(Y424="User Specified", AA424, INDEX('Refrigerant GWPs'!$G$2:$G$154,MATCH(Y424,'Refrigerant GWPs'!$A$2:$A$154,0))))</f>
        <v/>
      </c>
      <c r="DF424" s="146" t="str">
        <f>IF(W424&lt;&gt;"AR","",INDEX('Device Refrigerant Leakage'!$E$2:$E$42,MATCH(X424,'Device Refrigerant Leakage'!$B$2:$B$42,0)))</f>
        <v/>
      </c>
      <c r="DG424" s="146" t="str">
        <f>IF(W424&lt;&gt;"AR","",INDEX('Device Refrigerant Leakage'!$F$2:$F$42,MATCH(X424,'Device Refrigerant Leakage'!$B$2:$B$42,0)))</f>
        <v/>
      </c>
      <c r="DH424" s="146" t="str">
        <f>IF(W424&lt;&gt;"AR","",INDEX('Device Refrigerant Leakage'!$G$2:$G$42,MATCH(X424,'Device Refrigerant Leakage'!$B$2:$B$42,0)))</f>
        <v/>
      </c>
      <c r="DI424" s="146" t="str">
        <f>IF(W424&lt;&gt;"AR","",J424*INDEX('Device Refrigerant Leakage'!$D$2:$D$42,MATCH(X424,'Device Refrigerant Leakage'!$B$2:$B$42,0))*DF424/2204.62*DE424)</f>
        <v/>
      </c>
      <c r="DJ424" s="146" t="str">
        <f>IF(W424&lt;&gt;"AR","",J424*(INDEX('Device Refrigerant Leakage'!$D$2:$D$42,MATCH(X424,'Device Refrigerant Leakage'!$B$2:$B$42,0))-(INDEX('Device Refrigerant Leakage'!$D$2:$D$42,MATCH(X424,'Device Refrigerant Leakage'!$B$2:$B$42,0)))*DH424*DF424)*DG424/2204.62*DE424)</f>
        <v/>
      </c>
      <c r="DK424" s="146" t="str">
        <f>IF(W424&lt;&gt;"AR","",DI424*(K424-AB424)+'Fuel Sub Calcs-Deemed'!DJ424*((K424-AB424)/INDEX('Device Refrigerant Leakage'!$C$2:$C$42,MATCH('Fuel Sub Calcs-Deemed'!X424,'Device Refrigerant Leakage'!$B$2:$B$42,0))))</f>
        <v/>
      </c>
      <c r="DM424" s="56">
        <v>410</v>
      </c>
      <c r="DN424" s="67" t="e">
        <f t="shared" si="534"/>
        <v>#N/A</v>
      </c>
      <c r="DO424" s="45" t="e">
        <f t="shared" si="535"/>
        <v>#N/A</v>
      </c>
      <c r="DP424" s="67" t="e">
        <f t="shared" si="536"/>
        <v>#N/A</v>
      </c>
      <c r="DQ424" s="45" t="e">
        <f t="shared" si="537"/>
        <v>#N/A</v>
      </c>
      <c r="DR424" s="69" t="e">
        <f t="shared" si="538"/>
        <v>#N/A</v>
      </c>
      <c r="DS424" s="34"/>
      <c r="DT424" s="67" t="e">
        <f>((BX424*CJ424)+IF($W424=MAT_AR,(BZ424*CL424),0))*(1+Reference!$E$50+Reference!$E$51)</f>
        <v>#N/A</v>
      </c>
      <c r="DU424" s="67">
        <f>((BY424*CK424)+IF($W424=MAT_AR,(CA424*CM424),0))*(1+Reference!$G$50+Reference!$G$51)</f>
        <v>0</v>
      </c>
      <c r="DV424" s="67" t="e">
        <f t="shared" si="539"/>
        <v>#VALUE!</v>
      </c>
      <c r="DX424" s="56">
        <v>410</v>
      </c>
      <c r="DY424" s="67">
        <f t="shared" si="540"/>
        <v>0</v>
      </c>
      <c r="DZ424" s="45" t="e">
        <f>VLOOKUP($R424,Dropdown!$C$3:$D$4,2,FALSE)</f>
        <v>#N/A</v>
      </c>
      <c r="EA424" s="68">
        <f t="shared" si="541"/>
        <v>0</v>
      </c>
      <c r="EB424" s="68" t="str">
        <f t="shared" si="542"/>
        <v>N/A</v>
      </c>
      <c r="EC424" s="68">
        <f t="shared" si="543"/>
        <v>0</v>
      </c>
      <c r="ED424" s="68" t="str">
        <f t="shared" si="581"/>
        <v>N/A</v>
      </c>
      <c r="EF424" s="56">
        <v>410</v>
      </c>
      <c r="EG424" s="46">
        <f t="shared" si="544"/>
        <v>0</v>
      </c>
      <c r="EH424" s="68" t="e">
        <f t="shared" si="545"/>
        <v>#N/A</v>
      </c>
      <c r="EI424" s="68" t="e">
        <f t="shared" si="546"/>
        <v>#N/A</v>
      </c>
      <c r="EJ424" s="68" t="e">
        <f t="shared" si="547"/>
        <v>#N/A</v>
      </c>
      <c r="EK424" s="68" t="e">
        <f t="shared" si="548"/>
        <v>#N/A</v>
      </c>
      <c r="EL424" s="46">
        <f t="shared" si="549"/>
        <v>0</v>
      </c>
      <c r="EM424" s="46">
        <f t="shared" si="550"/>
        <v>0</v>
      </c>
    </row>
    <row r="425" spans="1:143">
      <c r="A425" s="89"/>
      <c r="B425" s="89"/>
      <c r="C425" s="89"/>
      <c r="D425" s="89"/>
      <c r="E425" s="89"/>
      <c r="F425" s="89"/>
      <c r="G425" s="34"/>
      <c r="H425" s="56">
        <f t="shared" si="551"/>
        <v>411</v>
      </c>
      <c r="I425" s="165"/>
      <c r="J425" s="163"/>
      <c r="K425" s="163"/>
      <c r="L425" s="164"/>
      <c r="M425" s="155"/>
      <c r="N425" s="155"/>
      <c r="O425" s="144"/>
      <c r="P425" s="159" t="str">
        <f>IFERROR(IF(O425&lt;&gt;"User Specified",IF(O425&lt;&gt;"", INDEX('Refrigerant GWPs'!$G$2:$G$154,MATCH(O425,'Refrigerant GWPs'!$A$2:$A$154,0)),""),U425),0)</f>
        <v/>
      </c>
      <c r="Q425" s="155"/>
      <c r="R425" s="155"/>
      <c r="S425" s="144"/>
      <c r="T425" s="159" t="str">
        <f>IF(S425&lt;&gt;"User Specified",IF(AND(S425&lt;&gt;"User Specified",S425&lt;&gt;""), INDEX('Refrigerant GWPs'!$G$2:$G$154,MATCH(S425,'Refrigerant GWPs'!$A$2:$A$154,0)),""),V425)</f>
        <v/>
      </c>
      <c r="U425" s="144"/>
      <c r="V425" s="144"/>
      <c r="W425" s="155"/>
      <c r="X425" s="155"/>
      <c r="Y425" s="144"/>
      <c r="Z425" s="159" t="str">
        <f>IF(AND(Y425&lt;&gt;"User Specified",Y425&lt;&gt;""), INDEX('Refrigerant GWPs'!$G$2:$G$154,MATCH(Y425,'Refrigerant GWPs'!$A$2:$A$154,0)),"")</f>
        <v/>
      </c>
      <c r="AA425" s="155"/>
      <c r="AB425" s="156"/>
      <c r="AC425" s="66"/>
      <c r="AD425" s="66"/>
      <c r="AE425" s="66"/>
      <c r="AF425" s="66"/>
      <c r="AG425" s="66"/>
      <c r="AH425" s="66"/>
      <c r="AI425" s="34"/>
      <c r="AJ425" s="88">
        <f t="shared" si="514"/>
        <v>0</v>
      </c>
      <c r="AK425" s="88">
        <f t="shared" si="515"/>
        <v>0</v>
      </c>
      <c r="AL425" s="88">
        <v>0</v>
      </c>
      <c r="AM425" s="88">
        <v>0</v>
      </c>
      <c r="AN425" s="81" t="str">
        <f t="shared" si="553"/>
        <v/>
      </c>
      <c r="AO425" s="88">
        <f t="shared" si="516"/>
        <v>0</v>
      </c>
      <c r="AP425" s="88">
        <f t="shared" si="517"/>
        <v>0</v>
      </c>
      <c r="AQ425" s="81" t="str">
        <f t="shared" si="518"/>
        <v/>
      </c>
      <c r="AS425" s="41" t="b">
        <f t="shared" si="519"/>
        <v>1</v>
      </c>
      <c r="AT425" s="38">
        <f t="shared" si="520"/>
        <v>0</v>
      </c>
      <c r="AU425" s="60">
        <f t="shared" si="521"/>
        <v>0</v>
      </c>
      <c r="AV425" s="41">
        <f t="shared" si="522"/>
        <v>0</v>
      </c>
      <c r="AW425" s="41" t="b">
        <f t="shared" si="523"/>
        <v>0</v>
      </c>
      <c r="AX425" t="str">
        <f t="shared" si="524"/>
        <v>+00</v>
      </c>
      <c r="AY425" t="str">
        <f t="shared" si="525"/>
        <v>+00</v>
      </c>
      <c r="BA425" s="47" t="b">
        <f t="shared" si="554"/>
        <v>1</v>
      </c>
      <c r="BB425" s="42" t="b">
        <f t="shared" si="555"/>
        <v>1</v>
      </c>
      <c r="BC425" s="42" t="b">
        <f t="shared" si="556"/>
        <v>0</v>
      </c>
      <c r="BD425" s="42" t="b">
        <f t="shared" si="557"/>
        <v>0</v>
      </c>
      <c r="BE425" s="70">
        <f t="shared" si="558"/>
        <v>0</v>
      </c>
      <c r="BF425" s="70">
        <f t="shared" si="559"/>
        <v>0</v>
      </c>
      <c r="BG425" s="34"/>
      <c r="BI425" s="47" t="b">
        <f t="shared" si="560"/>
        <v>1</v>
      </c>
      <c r="BJ425" s="47" t="b">
        <f t="shared" si="561"/>
        <v>1</v>
      </c>
      <c r="BK425" s="42" t="b">
        <f t="shared" si="562"/>
        <v>0</v>
      </c>
      <c r="BL425" s="42" t="b">
        <f t="shared" si="563"/>
        <v>0</v>
      </c>
      <c r="BM425" s="42">
        <f t="shared" si="564"/>
        <v>0</v>
      </c>
      <c r="BN425" s="42">
        <f t="shared" si="565"/>
        <v>0</v>
      </c>
      <c r="BP425" t="e">
        <f t="shared" si="566"/>
        <v>#N/A</v>
      </c>
      <c r="BQ425" t="e">
        <f t="shared" si="567"/>
        <v>#N/A</v>
      </c>
      <c r="BR425" t="e">
        <f t="shared" si="568"/>
        <v>#N/A</v>
      </c>
      <c r="BT425" s="60">
        <f t="shared" si="569"/>
        <v>0</v>
      </c>
      <c r="BU425" s="60">
        <f t="shared" si="570"/>
        <v>0</v>
      </c>
      <c r="BV425" s="60">
        <f t="shared" si="571"/>
        <v>0</v>
      </c>
      <c r="BW425" s="60">
        <f t="shared" si="572"/>
        <v>0</v>
      </c>
      <c r="BX425" s="60">
        <f t="shared" si="573"/>
        <v>0</v>
      </c>
      <c r="BY425" s="60">
        <f t="shared" si="574"/>
        <v>0</v>
      </c>
      <c r="BZ425" s="60">
        <f t="shared" si="575"/>
        <v>0</v>
      </c>
      <c r="CA425" s="60">
        <f t="shared" si="576"/>
        <v>0</v>
      </c>
      <c r="CB425" s="60" t="e">
        <f t="shared" si="526"/>
        <v>#N/A</v>
      </c>
      <c r="CC425" s="60">
        <f t="shared" si="527"/>
        <v>100000</v>
      </c>
      <c r="CD425" s="60" t="e">
        <f t="shared" si="528"/>
        <v>#N/A</v>
      </c>
      <c r="CE425" s="60">
        <f t="shared" si="529"/>
        <v>100000</v>
      </c>
      <c r="CF425" s="83" t="e">
        <f t="shared" si="577"/>
        <v>#N/A</v>
      </c>
      <c r="CG425" s="83">
        <f t="shared" si="578"/>
        <v>0</v>
      </c>
      <c r="CH425" s="83" t="e">
        <f t="shared" si="579"/>
        <v>#N/A</v>
      </c>
      <c r="CI425" s="83">
        <f t="shared" si="580"/>
        <v>0</v>
      </c>
      <c r="CJ425" s="86" t="e">
        <f t="shared" si="530"/>
        <v>#N/A</v>
      </c>
      <c r="CK425" s="82">
        <f t="shared" si="531"/>
        <v>5.3070370403969858E-3</v>
      </c>
      <c r="CL425" s="82" t="e">
        <f t="shared" si="532"/>
        <v>#N/A</v>
      </c>
      <c r="CM425" s="82">
        <f t="shared" si="533"/>
        <v>5.3070370403969858E-3</v>
      </c>
      <c r="CO425" s="149" t="str">
        <f>IF($I425&lt;&gt;"",IF(O425="User Specified",U425,INDEX('Refrigerant GWPs'!$G$2:$G$156,MATCH(O425,'Refrigerant GWPs'!$A$2:$A$156,0))),"")</f>
        <v/>
      </c>
      <c r="CP425" s="138" t="str">
        <f>IF($I425&lt;&gt;"",INDEX('Device Refrigerant Leakage'!$E$2:$E$42,MATCH($M425,'Device Refrigerant Leakage'!$B$2:$B$42,0)),"")</f>
        <v/>
      </c>
      <c r="CQ425" s="138" t="str">
        <f>IF($I425&lt;&gt;"",INDEX('Device Refrigerant Leakage'!$F$2:$F$42,MATCH($M425,'Device Refrigerant Leakage'!$B$2:$B$42,0)),"")</f>
        <v/>
      </c>
      <c r="CR425" s="145" t="str">
        <f>IF($I425&lt;&gt;"",INDEX('Device Refrigerant Leakage'!$G$2:$G$42,MATCH($M425,'Device Refrigerant Leakage'!$B$2:$B$42,0)),"")</f>
        <v/>
      </c>
      <c r="CS425" s="145" t="str">
        <f>IF($I425&lt;&gt;"",INDEX('Device Refrigerant Leakage'!$D$2:$D$42,MATCH($M425,'Device Refrigerant Leakage'!$B$2:$B$42,0))*CP425/2204.62*CO425,"")</f>
        <v/>
      </c>
      <c r="CT425" s="145" t="str">
        <f>IF($I425&lt;&gt;"",J425*(INDEX('Device Refrigerant Leakage'!$D$2:$D$42,MATCH($M425,'Device Refrigerant Leakage'!$B$2:$B$42,0))-(INDEX('Device Refrigerant Leakage'!$D$2:$D$42,MATCH($M425,'Device Refrigerant Leakage'!$B$2:$B$42,0)))*CR425*CP425)*CQ425/2204.62*CO425,"")</f>
        <v/>
      </c>
      <c r="CU425" s="135" t="str">
        <f>IF($I425&lt;&gt;"",J425*IF(W425&lt;&gt;"AR",(CS425*K425)+CT425,(CS425*AB425)+CT425*(AB425/INDEX('Device Refrigerant Leakage'!$C$2:$C$42,MATCH($M425,'Device Refrigerant Leakage'!$B$2:$B$42,0)))),"")</f>
        <v/>
      </c>
      <c r="CW425" s="135" t="str">
        <f>IF($I425&lt;&gt;"",IF(S425="User Specified",V425,INDEX('Refrigerant GWPs'!$G$2:$G$156,MATCH(S425,'Refrigerant GWPs'!$A$2:$A$157,0))),"")</f>
        <v/>
      </c>
      <c r="CX425" s="138" t="str">
        <f>IF($I425&lt;&gt;"",INDEX('Device Refrigerant Leakage'!$E$2:$E$42,MATCH($Q425,'Device Refrigerant Leakage'!$B$2:$B$42,0)),"")</f>
        <v/>
      </c>
      <c r="CY425" s="138" t="str">
        <f>IF($I425&lt;&gt;"",INDEX('Device Refrigerant Leakage'!$F$2:$F$42,MATCH($Q425,'Device Refrigerant Leakage'!$B$2:$B$42,0)),"")</f>
        <v/>
      </c>
      <c r="CZ425" s="145" t="str">
        <f>IF($I425&lt;&gt;"",INDEX('Device Refrigerant Leakage'!$G$2:$G$42,MATCH($Q425,'Device Refrigerant Leakage'!$B$2:$B$42,0)),"")</f>
        <v/>
      </c>
      <c r="DA425" s="145" t="str">
        <f>IF($I425&lt;&gt;"",J425*INDEX('Device Refrigerant Leakage'!$D$2:$D$42,MATCH($Q425,'Device Refrigerant Leakage'!$B$2:$B$42,0))*CX425/2204.62*CW425,"")</f>
        <v/>
      </c>
      <c r="DB425" s="145" t="str">
        <f>IF($I425&lt;&gt;"",J425*(INDEX('Device Refrigerant Leakage'!$D$2:$D$42,MATCH($Q425,'Device Refrigerant Leakage'!$B$2:$B$42,0))-(INDEX('Device Refrigerant Leakage'!$D$2:$D$42,MATCH($Q425,'Device Refrigerant Leakage'!$B$2:$B$42,0)))*CZ425*CX425)*CY425/2204.62*CW425,"")</f>
        <v/>
      </c>
      <c r="DC425" s="135" t="str">
        <f t="shared" si="552"/>
        <v/>
      </c>
      <c r="DE425" s="146" t="str">
        <f>IF(W425&lt;&gt;"AR","",IF(Y425="User Specified", AA425, INDEX('Refrigerant GWPs'!$G$2:$G$154,MATCH(Y425,'Refrigerant GWPs'!$A$2:$A$154,0))))</f>
        <v/>
      </c>
      <c r="DF425" s="146" t="str">
        <f>IF(W425&lt;&gt;"AR","",INDEX('Device Refrigerant Leakage'!$E$2:$E$42,MATCH(X425,'Device Refrigerant Leakage'!$B$2:$B$42,0)))</f>
        <v/>
      </c>
      <c r="DG425" s="146" t="str">
        <f>IF(W425&lt;&gt;"AR","",INDEX('Device Refrigerant Leakage'!$F$2:$F$42,MATCH(X425,'Device Refrigerant Leakage'!$B$2:$B$42,0)))</f>
        <v/>
      </c>
      <c r="DH425" s="146" t="str">
        <f>IF(W425&lt;&gt;"AR","",INDEX('Device Refrigerant Leakage'!$G$2:$G$42,MATCH(X425,'Device Refrigerant Leakage'!$B$2:$B$42,0)))</f>
        <v/>
      </c>
      <c r="DI425" s="146" t="str">
        <f>IF(W425&lt;&gt;"AR","",J425*INDEX('Device Refrigerant Leakage'!$D$2:$D$42,MATCH(X425,'Device Refrigerant Leakage'!$B$2:$B$42,0))*DF425/2204.62*DE425)</f>
        <v/>
      </c>
      <c r="DJ425" s="146" t="str">
        <f>IF(W425&lt;&gt;"AR","",J425*(INDEX('Device Refrigerant Leakage'!$D$2:$D$42,MATCH(X425,'Device Refrigerant Leakage'!$B$2:$B$42,0))-(INDEX('Device Refrigerant Leakage'!$D$2:$D$42,MATCH(X425,'Device Refrigerant Leakage'!$B$2:$B$42,0)))*DH425*DF425)*DG425/2204.62*DE425)</f>
        <v/>
      </c>
      <c r="DK425" s="146" t="str">
        <f>IF(W425&lt;&gt;"AR","",DI425*(K425-AB425)+'Fuel Sub Calcs-Deemed'!DJ425*((K425-AB425)/INDEX('Device Refrigerant Leakage'!$C$2:$C$42,MATCH('Fuel Sub Calcs-Deemed'!X425,'Device Refrigerant Leakage'!$B$2:$B$42,0))))</f>
        <v/>
      </c>
      <c r="DM425" s="56">
        <v>411</v>
      </c>
      <c r="DN425" s="67" t="e">
        <f t="shared" si="534"/>
        <v>#N/A</v>
      </c>
      <c r="DO425" s="45" t="e">
        <f t="shared" si="535"/>
        <v>#N/A</v>
      </c>
      <c r="DP425" s="67" t="e">
        <f t="shared" si="536"/>
        <v>#N/A</v>
      </c>
      <c r="DQ425" s="45" t="e">
        <f t="shared" si="537"/>
        <v>#N/A</v>
      </c>
      <c r="DR425" s="69" t="e">
        <f t="shared" si="538"/>
        <v>#N/A</v>
      </c>
      <c r="DS425" s="34"/>
      <c r="DT425" s="67" t="e">
        <f>((BX425*CJ425)+IF($W425=MAT_AR,(BZ425*CL425),0))*(1+Reference!$E$50+Reference!$E$51)</f>
        <v>#N/A</v>
      </c>
      <c r="DU425" s="67">
        <f>((BY425*CK425)+IF($W425=MAT_AR,(CA425*CM425),0))*(1+Reference!$G$50+Reference!$G$51)</f>
        <v>0</v>
      </c>
      <c r="DV425" s="67" t="e">
        <f t="shared" si="539"/>
        <v>#VALUE!</v>
      </c>
      <c r="DX425" s="56">
        <v>411</v>
      </c>
      <c r="DY425" s="67">
        <f t="shared" si="540"/>
        <v>0</v>
      </c>
      <c r="DZ425" s="45" t="e">
        <f>VLOOKUP($R425,Dropdown!$C$3:$D$4,2,FALSE)</f>
        <v>#N/A</v>
      </c>
      <c r="EA425" s="68">
        <f t="shared" si="541"/>
        <v>0</v>
      </c>
      <c r="EB425" s="68" t="str">
        <f t="shared" si="542"/>
        <v>N/A</v>
      </c>
      <c r="EC425" s="68">
        <f t="shared" si="543"/>
        <v>0</v>
      </c>
      <c r="ED425" s="68" t="str">
        <f t="shared" si="581"/>
        <v>N/A</v>
      </c>
      <c r="EF425" s="56">
        <v>411</v>
      </c>
      <c r="EG425" s="46">
        <f t="shared" si="544"/>
        <v>0</v>
      </c>
      <c r="EH425" s="68" t="e">
        <f t="shared" si="545"/>
        <v>#N/A</v>
      </c>
      <c r="EI425" s="68" t="e">
        <f t="shared" si="546"/>
        <v>#N/A</v>
      </c>
      <c r="EJ425" s="68" t="e">
        <f t="shared" si="547"/>
        <v>#N/A</v>
      </c>
      <c r="EK425" s="68" t="e">
        <f t="shared" si="548"/>
        <v>#N/A</v>
      </c>
      <c r="EL425" s="46">
        <f t="shared" si="549"/>
        <v>0</v>
      </c>
      <c r="EM425" s="46">
        <f t="shared" si="550"/>
        <v>0</v>
      </c>
    </row>
    <row r="426" spans="1:143">
      <c r="A426" s="89"/>
      <c r="B426" s="89"/>
      <c r="C426" s="89"/>
      <c r="D426" s="89"/>
      <c r="E426" s="89"/>
      <c r="F426" s="89"/>
      <c r="G426" s="34"/>
      <c r="H426" s="56">
        <f t="shared" si="551"/>
        <v>412</v>
      </c>
      <c r="I426" s="165"/>
      <c r="J426" s="163"/>
      <c r="K426" s="163"/>
      <c r="L426" s="164"/>
      <c r="M426" s="155"/>
      <c r="N426" s="155"/>
      <c r="O426" s="144"/>
      <c r="P426" s="159" t="str">
        <f>IFERROR(IF(O426&lt;&gt;"User Specified",IF(O426&lt;&gt;"", INDEX('Refrigerant GWPs'!$G$2:$G$154,MATCH(O426,'Refrigerant GWPs'!$A$2:$A$154,0)),""),U426),0)</f>
        <v/>
      </c>
      <c r="Q426" s="155"/>
      <c r="R426" s="155"/>
      <c r="S426" s="144"/>
      <c r="T426" s="159" t="str">
        <f>IF(S426&lt;&gt;"User Specified",IF(AND(S426&lt;&gt;"User Specified",S426&lt;&gt;""), INDEX('Refrigerant GWPs'!$G$2:$G$154,MATCH(S426,'Refrigerant GWPs'!$A$2:$A$154,0)),""),V426)</f>
        <v/>
      </c>
      <c r="U426" s="144"/>
      <c r="V426" s="144"/>
      <c r="W426" s="155"/>
      <c r="X426" s="155"/>
      <c r="Y426" s="144"/>
      <c r="Z426" s="159" t="str">
        <f>IF(AND(Y426&lt;&gt;"User Specified",Y426&lt;&gt;""), INDEX('Refrigerant GWPs'!$G$2:$G$154,MATCH(Y426,'Refrigerant GWPs'!$A$2:$A$154,0)),"")</f>
        <v/>
      </c>
      <c r="AA426" s="155"/>
      <c r="AB426" s="156"/>
      <c r="AC426" s="66"/>
      <c r="AD426" s="66"/>
      <c r="AE426" s="66"/>
      <c r="AF426" s="66"/>
      <c r="AG426" s="66"/>
      <c r="AH426" s="66"/>
      <c r="AI426" s="34"/>
      <c r="AJ426" s="88">
        <f t="shared" si="514"/>
        <v>0</v>
      </c>
      <c r="AK426" s="88">
        <f t="shared" si="515"/>
        <v>0</v>
      </c>
      <c r="AL426" s="88">
        <v>0</v>
      </c>
      <c r="AM426" s="88">
        <v>0</v>
      </c>
      <c r="AN426" s="81" t="str">
        <f t="shared" si="553"/>
        <v/>
      </c>
      <c r="AO426" s="88">
        <f t="shared" si="516"/>
        <v>0</v>
      </c>
      <c r="AP426" s="88">
        <f t="shared" si="517"/>
        <v>0</v>
      </c>
      <c r="AQ426" s="81" t="str">
        <f t="shared" si="518"/>
        <v/>
      </c>
      <c r="AS426" s="41" t="b">
        <f t="shared" si="519"/>
        <v>1</v>
      </c>
      <c r="AT426" s="38">
        <f t="shared" si="520"/>
        <v>0</v>
      </c>
      <c r="AU426" s="60">
        <f t="shared" si="521"/>
        <v>0</v>
      </c>
      <c r="AV426" s="41">
        <f t="shared" si="522"/>
        <v>0</v>
      </c>
      <c r="AW426" s="41" t="b">
        <f t="shared" si="523"/>
        <v>0</v>
      </c>
      <c r="AX426" t="str">
        <f t="shared" si="524"/>
        <v>+00</v>
      </c>
      <c r="AY426" t="str">
        <f t="shared" si="525"/>
        <v>+00</v>
      </c>
      <c r="BA426" s="47" t="b">
        <f t="shared" si="554"/>
        <v>1</v>
      </c>
      <c r="BB426" s="42" t="b">
        <f t="shared" si="555"/>
        <v>1</v>
      </c>
      <c r="BC426" s="42" t="b">
        <f t="shared" si="556"/>
        <v>0</v>
      </c>
      <c r="BD426" s="42" t="b">
        <f t="shared" si="557"/>
        <v>0</v>
      </c>
      <c r="BE426" s="70">
        <f t="shared" si="558"/>
        <v>0</v>
      </c>
      <c r="BF426" s="70">
        <f t="shared" si="559"/>
        <v>0</v>
      </c>
      <c r="BG426" s="34"/>
      <c r="BI426" s="47" t="b">
        <f t="shared" si="560"/>
        <v>1</v>
      </c>
      <c r="BJ426" s="47" t="b">
        <f t="shared" si="561"/>
        <v>1</v>
      </c>
      <c r="BK426" s="42" t="b">
        <f t="shared" si="562"/>
        <v>0</v>
      </c>
      <c r="BL426" s="42" t="b">
        <f t="shared" si="563"/>
        <v>0</v>
      </c>
      <c r="BM426" s="42">
        <f t="shared" si="564"/>
        <v>0</v>
      </c>
      <c r="BN426" s="42">
        <f t="shared" si="565"/>
        <v>0</v>
      </c>
      <c r="BP426" t="e">
        <f t="shared" si="566"/>
        <v>#N/A</v>
      </c>
      <c r="BQ426" t="e">
        <f t="shared" si="567"/>
        <v>#N/A</v>
      </c>
      <c r="BR426" t="e">
        <f t="shared" si="568"/>
        <v>#N/A</v>
      </c>
      <c r="BT426" s="60">
        <f t="shared" si="569"/>
        <v>0</v>
      </c>
      <c r="BU426" s="60">
        <f t="shared" si="570"/>
        <v>0</v>
      </c>
      <c r="BV426" s="60">
        <f t="shared" si="571"/>
        <v>0</v>
      </c>
      <c r="BW426" s="60">
        <f t="shared" si="572"/>
        <v>0</v>
      </c>
      <c r="BX426" s="60">
        <f t="shared" si="573"/>
        <v>0</v>
      </c>
      <c r="BY426" s="60">
        <f t="shared" si="574"/>
        <v>0</v>
      </c>
      <c r="BZ426" s="60">
        <f t="shared" si="575"/>
        <v>0</v>
      </c>
      <c r="CA426" s="60">
        <f t="shared" si="576"/>
        <v>0</v>
      </c>
      <c r="CB426" s="60" t="e">
        <f t="shared" si="526"/>
        <v>#N/A</v>
      </c>
      <c r="CC426" s="60">
        <f t="shared" si="527"/>
        <v>100000</v>
      </c>
      <c r="CD426" s="60" t="e">
        <f t="shared" si="528"/>
        <v>#N/A</v>
      </c>
      <c r="CE426" s="60">
        <f t="shared" si="529"/>
        <v>100000</v>
      </c>
      <c r="CF426" s="83" t="e">
        <f t="shared" si="577"/>
        <v>#N/A</v>
      </c>
      <c r="CG426" s="83">
        <f t="shared" si="578"/>
        <v>0</v>
      </c>
      <c r="CH426" s="83" t="e">
        <f t="shared" si="579"/>
        <v>#N/A</v>
      </c>
      <c r="CI426" s="83">
        <f t="shared" si="580"/>
        <v>0</v>
      </c>
      <c r="CJ426" s="86" t="e">
        <f t="shared" si="530"/>
        <v>#N/A</v>
      </c>
      <c r="CK426" s="82">
        <f t="shared" si="531"/>
        <v>5.3070370403969858E-3</v>
      </c>
      <c r="CL426" s="82" t="e">
        <f t="shared" si="532"/>
        <v>#N/A</v>
      </c>
      <c r="CM426" s="82">
        <f t="shared" si="533"/>
        <v>5.3070370403969858E-3</v>
      </c>
      <c r="CO426" s="149" t="str">
        <f>IF($I426&lt;&gt;"",IF(O426="User Specified",U426,INDEX('Refrigerant GWPs'!$G$2:$G$156,MATCH(O426,'Refrigerant GWPs'!$A$2:$A$156,0))),"")</f>
        <v/>
      </c>
      <c r="CP426" s="138" t="str">
        <f>IF($I426&lt;&gt;"",INDEX('Device Refrigerant Leakage'!$E$2:$E$42,MATCH($M426,'Device Refrigerant Leakage'!$B$2:$B$42,0)),"")</f>
        <v/>
      </c>
      <c r="CQ426" s="138" t="str">
        <f>IF($I426&lt;&gt;"",INDEX('Device Refrigerant Leakage'!$F$2:$F$42,MATCH($M426,'Device Refrigerant Leakage'!$B$2:$B$42,0)),"")</f>
        <v/>
      </c>
      <c r="CR426" s="145" t="str">
        <f>IF($I426&lt;&gt;"",INDEX('Device Refrigerant Leakage'!$G$2:$G$42,MATCH($M426,'Device Refrigerant Leakage'!$B$2:$B$42,0)),"")</f>
        <v/>
      </c>
      <c r="CS426" s="145" t="str">
        <f>IF($I426&lt;&gt;"",INDEX('Device Refrigerant Leakage'!$D$2:$D$42,MATCH($M426,'Device Refrigerant Leakage'!$B$2:$B$42,0))*CP426/2204.62*CO426,"")</f>
        <v/>
      </c>
      <c r="CT426" s="145" t="str">
        <f>IF($I426&lt;&gt;"",J426*(INDEX('Device Refrigerant Leakage'!$D$2:$D$42,MATCH($M426,'Device Refrigerant Leakage'!$B$2:$B$42,0))-(INDEX('Device Refrigerant Leakage'!$D$2:$D$42,MATCH($M426,'Device Refrigerant Leakage'!$B$2:$B$42,0)))*CR426*CP426)*CQ426/2204.62*CO426,"")</f>
        <v/>
      </c>
      <c r="CU426" s="135" t="str">
        <f>IF($I426&lt;&gt;"",J426*IF(W426&lt;&gt;"AR",(CS426*K426)+CT426,(CS426*AB426)+CT426*(AB426/INDEX('Device Refrigerant Leakage'!$C$2:$C$42,MATCH($M426,'Device Refrigerant Leakage'!$B$2:$B$42,0)))),"")</f>
        <v/>
      </c>
      <c r="CW426" s="135" t="str">
        <f>IF($I426&lt;&gt;"",IF(S426="User Specified",V426,INDEX('Refrigerant GWPs'!$G$2:$G$156,MATCH(S426,'Refrigerant GWPs'!$A$2:$A$157,0))),"")</f>
        <v/>
      </c>
      <c r="CX426" s="138" t="str">
        <f>IF($I426&lt;&gt;"",INDEX('Device Refrigerant Leakage'!$E$2:$E$42,MATCH($Q426,'Device Refrigerant Leakage'!$B$2:$B$42,0)),"")</f>
        <v/>
      </c>
      <c r="CY426" s="138" t="str">
        <f>IF($I426&lt;&gt;"",INDEX('Device Refrigerant Leakage'!$F$2:$F$42,MATCH($Q426,'Device Refrigerant Leakage'!$B$2:$B$42,0)),"")</f>
        <v/>
      </c>
      <c r="CZ426" s="145" t="str">
        <f>IF($I426&lt;&gt;"",INDEX('Device Refrigerant Leakage'!$G$2:$G$42,MATCH($Q426,'Device Refrigerant Leakage'!$B$2:$B$42,0)),"")</f>
        <v/>
      </c>
      <c r="DA426" s="145" t="str">
        <f>IF($I426&lt;&gt;"",J426*INDEX('Device Refrigerant Leakage'!$D$2:$D$42,MATCH($Q426,'Device Refrigerant Leakage'!$B$2:$B$42,0))*CX426/2204.62*CW426,"")</f>
        <v/>
      </c>
      <c r="DB426" s="145" t="str">
        <f>IF($I426&lt;&gt;"",J426*(INDEX('Device Refrigerant Leakage'!$D$2:$D$42,MATCH($Q426,'Device Refrigerant Leakage'!$B$2:$B$42,0))-(INDEX('Device Refrigerant Leakage'!$D$2:$D$42,MATCH($Q426,'Device Refrigerant Leakage'!$B$2:$B$42,0)))*CZ426*CX426)*CY426/2204.62*CW426,"")</f>
        <v/>
      </c>
      <c r="DC426" s="135" t="str">
        <f t="shared" si="552"/>
        <v/>
      </c>
      <c r="DE426" s="146" t="str">
        <f>IF(W426&lt;&gt;"AR","",IF(Y426="User Specified", AA426, INDEX('Refrigerant GWPs'!$G$2:$G$154,MATCH(Y426,'Refrigerant GWPs'!$A$2:$A$154,0))))</f>
        <v/>
      </c>
      <c r="DF426" s="146" t="str">
        <f>IF(W426&lt;&gt;"AR","",INDEX('Device Refrigerant Leakage'!$E$2:$E$42,MATCH(X426,'Device Refrigerant Leakage'!$B$2:$B$42,0)))</f>
        <v/>
      </c>
      <c r="DG426" s="146" t="str">
        <f>IF(W426&lt;&gt;"AR","",INDEX('Device Refrigerant Leakage'!$F$2:$F$42,MATCH(X426,'Device Refrigerant Leakage'!$B$2:$B$42,0)))</f>
        <v/>
      </c>
      <c r="DH426" s="146" t="str">
        <f>IF(W426&lt;&gt;"AR","",INDEX('Device Refrigerant Leakage'!$G$2:$G$42,MATCH(X426,'Device Refrigerant Leakage'!$B$2:$B$42,0)))</f>
        <v/>
      </c>
      <c r="DI426" s="146" t="str">
        <f>IF(W426&lt;&gt;"AR","",J426*INDEX('Device Refrigerant Leakage'!$D$2:$D$42,MATCH(X426,'Device Refrigerant Leakage'!$B$2:$B$42,0))*DF426/2204.62*DE426)</f>
        <v/>
      </c>
      <c r="DJ426" s="146" t="str">
        <f>IF(W426&lt;&gt;"AR","",J426*(INDEX('Device Refrigerant Leakage'!$D$2:$D$42,MATCH(X426,'Device Refrigerant Leakage'!$B$2:$B$42,0))-(INDEX('Device Refrigerant Leakage'!$D$2:$D$42,MATCH(X426,'Device Refrigerant Leakage'!$B$2:$B$42,0)))*DH426*DF426)*DG426/2204.62*DE426)</f>
        <v/>
      </c>
      <c r="DK426" s="146" t="str">
        <f>IF(W426&lt;&gt;"AR","",DI426*(K426-AB426)+'Fuel Sub Calcs-Deemed'!DJ426*((K426-AB426)/INDEX('Device Refrigerant Leakage'!$C$2:$C$42,MATCH('Fuel Sub Calcs-Deemed'!X426,'Device Refrigerant Leakage'!$B$2:$B$42,0))))</f>
        <v/>
      </c>
      <c r="DM426" s="56">
        <v>412</v>
      </c>
      <c r="DN426" s="67" t="e">
        <f t="shared" si="534"/>
        <v>#N/A</v>
      </c>
      <c r="DO426" s="45" t="e">
        <f t="shared" si="535"/>
        <v>#N/A</v>
      </c>
      <c r="DP426" s="67" t="e">
        <f t="shared" si="536"/>
        <v>#N/A</v>
      </c>
      <c r="DQ426" s="45" t="e">
        <f t="shared" si="537"/>
        <v>#N/A</v>
      </c>
      <c r="DR426" s="69" t="e">
        <f t="shared" si="538"/>
        <v>#N/A</v>
      </c>
      <c r="DS426" s="34"/>
      <c r="DT426" s="67" t="e">
        <f>((BX426*CJ426)+IF($W426=MAT_AR,(BZ426*CL426),0))*(1+Reference!$E$50+Reference!$E$51)</f>
        <v>#N/A</v>
      </c>
      <c r="DU426" s="67">
        <f>((BY426*CK426)+IF($W426=MAT_AR,(CA426*CM426),0))*(1+Reference!$G$50+Reference!$G$51)</f>
        <v>0</v>
      </c>
      <c r="DV426" s="67" t="e">
        <f t="shared" si="539"/>
        <v>#VALUE!</v>
      </c>
      <c r="DX426" s="56">
        <v>412</v>
      </c>
      <c r="DY426" s="67">
        <f t="shared" si="540"/>
        <v>0</v>
      </c>
      <c r="DZ426" s="45" t="e">
        <f>VLOOKUP($R426,Dropdown!$C$3:$D$4,2,FALSE)</f>
        <v>#N/A</v>
      </c>
      <c r="EA426" s="68">
        <f t="shared" si="541"/>
        <v>0</v>
      </c>
      <c r="EB426" s="68" t="str">
        <f t="shared" si="542"/>
        <v>N/A</v>
      </c>
      <c r="EC426" s="68">
        <f t="shared" si="543"/>
        <v>0</v>
      </c>
      <c r="ED426" s="68" t="str">
        <f t="shared" si="581"/>
        <v>N/A</v>
      </c>
      <c r="EF426" s="56">
        <v>412</v>
      </c>
      <c r="EG426" s="46">
        <f t="shared" si="544"/>
        <v>0</v>
      </c>
      <c r="EH426" s="68" t="e">
        <f t="shared" si="545"/>
        <v>#N/A</v>
      </c>
      <c r="EI426" s="68" t="e">
        <f t="shared" si="546"/>
        <v>#N/A</v>
      </c>
      <c r="EJ426" s="68" t="e">
        <f t="shared" si="547"/>
        <v>#N/A</v>
      </c>
      <c r="EK426" s="68" t="e">
        <f t="shared" si="548"/>
        <v>#N/A</v>
      </c>
      <c r="EL426" s="46">
        <f t="shared" si="549"/>
        <v>0</v>
      </c>
      <c r="EM426" s="46">
        <f t="shared" si="550"/>
        <v>0</v>
      </c>
    </row>
    <row r="427" spans="1:143">
      <c r="A427" s="89"/>
      <c r="B427" s="89"/>
      <c r="C427" s="89"/>
      <c r="D427" s="89"/>
      <c r="E427" s="89"/>
      <c r="F427" s="89"/>
      <c r="G427" s="34"/>
      <c r="H427" s="56">
        <f t="shared" si="551"/>
        <v>413</v>
      </c>
      <c r="I427" s="165"/>
      <c r="J427" s="163"/>
      <c r="K427" s="163"/>
      <c r="L427" s="164"/>
      <c r="M427" s="155"/>
      <c r="N427" s="155"/>
      <c r="O427" s="144"/>
      <c r="P427" s="159" t="str">
        <f>IFERROR(IF(O427&lt;&gt;"User Specified",IF(O427&lt;&gt;"", INDEX('Refrigerant GWPs'!$G$2:$G$154,MATCH(O427,'Refrigerant GWPs'!$A$2:$A$154,0)),""),U427),0)</f>
        <v/>
      </c>
      <c r="Q427" s="155"/>
      <c r="R427" s="155"/>
      <c r="S427" s="144"/>
      <c r="T427" s="159" t="str">
        <f>IF(S427&lt;&gt;"User Specified",IF(AND(S427&lt;&gt;"User Specified",S427&lt;&gt;""), INDEX('Refrigerant GWPs'!$G$2:$G$154,MATCH(S427,'Refrigerant GWPs'!$A$2:$A$154,0)),""),V427)</f>
        <v/>
      </c>
      <c r="U427" s="144"/>
      <c r="V427" s="144"/>
      <c r="W427" s="155"/>
      <c r="X427" s="155"/>
      <c r="Y427" s="144"/>
      <c r="Z427" s="159" t="str">
        <f>IF(AND(Y427&lt;&gt;"User Specified",Y427&lt;&gt;""), INDEX('Refrigerant GWPs'!$G$2:$G$154,MATCH(Y427,'Refrigerant GWPs'!$A$2:$A$154,0)),"")</f>
        <v/>
      </c>
      <c r="AA427" s="155"/>
      <c r="AB427" s="156"/>
      <c r="AC427" s="66"/>
      <c r="AD427" s="66"/>
      <c r="AE427" s="66"/>
      <c r="AF427" s="66"/>
      <c r="AG427" s="66"/>
      <c r="AH427" s="66"/>
      <c r="AI427" s="34"/>
      <c r="AJ427" s="88">
        <f t="shared" si="514"/>
        <v>0</v>
      </c>
      <c r="AK427" s="88">
        <f t="shared" si="515"/>
        <v>0</v>
      </c>
      <c r="AL427" s="88">
        <v>0</v>
      </c>
      <c r="AM427" s="88">
        <v>0</v>
      </c>
      <c r="AN427" s="81" t="str">
        <f t="shared" si="553"/>
        <v/>
      </c>
      <c r="AO427" s="88">
        <f t="shared" si="516"/>
        <v>0</v>
      </c>
      <c r="AP427" s="88">
        <f t="shared" si="517"/>
        <v>0</v>
      </c>
      <c r="AQ427" s="81" t="str">
        <f t="shared" si="518"/>
        <v/>
      </c>
      <c r="AS427" s="41" t="b">
        <f t="shared" si="519"/>
        <v>1</v>
      </c>
      <c r="AT427" s="38">
        <f t="shared" si="520"/>
        <v>0</v>
      </c>
      <c r="AU427" s="60">
        <f t="shared" si="521"/>
        <v>0</v>
      </c>
      <c r="AV427" s="41">
        <f t="shared" si="522"/>
        <v>0</v>
      </c>
      <c r="AW427" s="41" t="b">
        <f t="shared" si="523"/>
        <v>0</v>
      </c>
      <c r="AX427" t="str">
        <f t="shared" si="524"/>
        <v>+00</v>
      </c>
      <c r="AY427" t="str">
        <f t="shared" si="525"/>
        <v>+00</v>
      </c>
      <c r="BA427" s="47" t="b">
        <f t="shared" si="554"/>
        <v>1</v>
      </c>
      <c r="BB427" s="42" t="b">
        <f t="shared" si="555"/>
        <v>1</v>
      </c>
      <c r="BC427" s="42" t="b">
        <f t="shared" si="556"/>
        <v>0</v>
      </c>
      <c r="BD427" s="42" t="b">
        <f t="shared" si="557"/>
        <v>0</v>
      </c>
      <c r="BE427" s="70">
        <f t="shared" si="558"/>
        <v>0</v>
      </c>
      <c r="BF427" s="70">
        <f t="shared" si="559"/>
        <v>0</v>
      </c>
      <c r="BG427" s="34"/>
      <c r="BI427" s="47" t="b">
        <f t="shared" si="560"/>
        <v>1</v>
      </c>
      <c r="BJ427" s="47" t="b">
        <f t="shared" si="561"/>
        <v>1</v>
      </c>
      <c r="BK427" s="42" t="b">
        <f t="shared" si="562"/>
        <v>0</v>
      </c>
      <c r="BL427" s="42" t="b">
        <f t="shared" si="563"/>
        <v>0</v>
      </c>
      <c r="BM427" s="42">
        <f t="shared" si="564"/>
        <v>0</v>
      </c>
      <c r="BN427" s="42">
        <f t="shared" si="565"/>
        <v>0</v>
      </c>
      <c r="BP427" t="e">
        <f t="shared" si="566"/>
        <v>#N/A</v>
      </c>
      <c r="BQ427" t="e">
        <f t="shared" si="567"/>
        <v>#N/A</v>
      </c>
      <c r="BR427" t="e">
        <f t="shared" si="568"/>
        <v>#N/A</v>
      </c>
      <c r="BT427" s="60">
        <f t="shared" si="569"/>
        <v>0</v>
      </c>
      <c r="BU427" s="60">
        <f t="shared" si="570"/>
        <v>0</v>
      </c>
      <c r="BV427" s="60">
        <f t="shared" si="571"/>
        <v>0</v>
      </c>
      <c r="BW427" s="60">
        <f t="shared" si="572"/>
        <v>0</v>
      </c>
      <c r="BX427" s="60">
        <f t="shared" si="573"/>
        <v>0</v>
      </c>
      <c r="BY427" s="60">
        <f t="shared" si="574"/>
        <v>0</v>
      </c>
      <c r="BZ427" s="60">
        <f t="shared" si="575"/>
        <v>0</v>
      </c>
      <c r="CA427" s="60">
        <f t="shared" si="576"/>
        <v>0</v>
      </c>
      <c r="CB427" s="60" t="e">
        <f t="shared" si="526"/>
        <v>#N/A</v>
      </c>
      <c r="CC427" s="60">
        <f t="shared" si="527"/>
        <v>100000</v>
      </c>
      <c r="CD427" s="60" t="e">
        <f t="shared" si="528"/>
        <v>#N/A</v>
      </c>
      <c r="CE427" s="60">
        <f t="shared" si="529"/>
        <v>100000</v>
      </c>
      <c r="CF427" s="83" t="e">
        <f t="shared" si="577"/>
        <v>#N/A</v>
      </c>
      <c r="CG427" s="83">
        <f t="shared" si="578"/>
        <v>0</v>
      </c>
      <c r="CH427" s="83" t="e">
        <f t="shared" si="579"/>
        <v>#N/A</v>
      </c>
      <c r="CI427" s="83">
        <f t="shared" si="580"/>
        <v>0</v>
      </c>
      <c r="CJ427" s="86" t="e">
        <f t="shared" si="530"/>
        <v>#N/A</v>
      </c>
      <c r="CK427" s="82">
        <f t="shared" si="531"/>
        <v>5.3070370403969858E-3</v>
      </c>
      <c r="CL427" s="82" t="e">
        <f t="shared" si="532"/>
        <v>#N/A</v>
      </c>
      <c r="CM427" s="82">
        <f t="shared" si="533"/>
        <v>5.3070370403969858E-3</v>
      </c>
      <c r="CO427" s="149" t="str">
        <f>IF($I427&lt;&gt;"",IF(O427="User Specified",U427,INDEX('Refrigerant GWPs'!$G$2:$G$156,MATCH(O427,'Refrigerant GWPs'!$A$2:$A$156,0))),"")</f>
        <v/>
      </c>
      <c r="CP427" s="138" t="str">
        <f>IF($I427&lt;&gt;"",INDEX('Device Refrigerant Leakage'!$E$2:$E$42,MATCH($M427,'Device Refrigerant Leakage'!$B$2:$B$42,0)),"")</f>
        <v/>
      </c>
      <c r="CQ427" s="138" t="str">
        <f>IF($I427&lt;&gt;"",INDEX('Device Refrigerant Leakage'!$F$2:$F$42,MATCH($M427,'Device Refrigerant Leakage'!$B$2:$B$42,0)),"")</f>
        <v/>
      </c>
      <c r="CR427" s="145" t="str">
        <f>IF($I427&lt;&gt;"",INDEX('Device Refrigerant Leakage'!$G$2:$G$42,MATCH($M427,'Device Refrigerant Leakage'!$B$2:$B$42,0)),"")</f>
        <v/>
      </c>
      <c r="CS427" s="145" t="str">
        <f>IF($I427&lt;&gt;"",INDEX('Device Refrigerant Leakage'!$D$2:$D$42,MATCH($M427,'Device Refrigerant Leakage'!$B$2:$B$42,0))*CP427/2204.62*CO427,"")</f>
        <v/>
      </c>
      <c r="CT427" s="145" t="str">
        <f>IF($I427&lt;&gt;"",J427*(INDEX('Device Refrigerant Leakage'!$D$2:$D$42,MATCH($M427,'Device Refrigerant Leakage'!$B$2:$B$42,0))-(INDEX('Device Refrigerant Leakage'!$D$2:$D$42,MATCH($M427,'Device Refrigerant Leakage'!$B$2:$B$42,0)))*CR427*CP427)*CQ427/2204.62*CO427,"")</f>
        <v/>
      </c>
      <c r="CU427" s="135" t="str">
        <f>IF($I427&lt;&gt;"",J427*IF(W427&lt;&gt;"AR",(CS427*K427)+CT427,(CS427*AB427)+CT427*(AB427/INDEX('Device Refrigerant Leakage'!$C$2:$C$42,MATCH($M427,'Device Refrigerant Leakage'!$B$2:$B$42,0)))),"")</f>
        <v/>
      </c>
      <c r="CW427" s="135" t="str">
        <f>IF($I427&lt;&gt;"",IF(S427="User Specified",V427,INDEX('Refrigerant GWPs'!$G$2:$G$156,MATCH(S427,'Refrigerant GWPs'!$A$2:$A$157,0))),"")</f>
        <v/>
      </c>
      <c r="CX427" s="138" t="str">
        <f>IF($I427&lt;&gt;"",INDEX('Device Refrigerant Leakage'!$E$2:$E$42,MATCH($Q427,'Device Refrigerant Leakage'!$B$2:$B$42,0)),"")</f>
        <v/>
      </c>
      <c r="CY427" s="138" t="str">
        <f>IF($I427&lt;&gt;"",INDEX('Device Refrigerant Leakage'!$F$2:$F$42,MATCH($Q427,'Device Refrigerant Leakage'!$B$2:$B$42,0)),"")</f>
        <v/>
      </c>
      <c r="CZ427" s="145" t="str">
        <f>IF($I427&lt;&gt;"",INDEX('Device Refrigerant Leakage'!$G$2:$G$42,MATCH($Q427,'Device Refrigerant Leakage'!$B$2:$B$42,0)),"")</f>
        <v/>
      </c>
      <c r="DA427" s="145" t="str">
        <f>IF($I427&lt;&gt;"",J427*INDEX('Device Refrigerant Leakage'!$D$2:$D$42,MATCH($Q427,'Device Refrigerant Leakage'!$B$2:$B$42,0))*CX427/2204.62*CW427,"")</f>
        <v/>
      </c>
      <c r="DB427" s="145" t="str">
        <f>IF($I427&lt;&gt;"",J427*(INDEX('Device Refrigerant Leakage'!$D$2:$D$42,MATCH($Q427,'Device Refrigerant Leakage'!$B$2:$B$42,0))-(INDEX('Device Refrigerant Leakage'!$D$2:$D$42,MATCH($Q427,'Device Refrigerant Leakage'!$B$2:$B$42,0)))*CZ427*CX427)*CY427/2204.62*CW427,"")</f>
        <v/>
      </c>
      <c r="DC427" s="135" t="str">
        <f t="shared" si="552"/>
        <v/>
      </c>
      <c r="DE427" s="146" t="str">
        <f>IF(W427&lt;&gt;"AR","",IF(Y427="User Specified", AA427, INDEX('Refrigerant GWPs'!$G$2:$G$154,MATCH(Y427,'Refrigerant GWPs'!$A$2:$A$154,0))))</f>
        <v/>
      </c>
      <c r="DF427" s="146" t="str">
        <f>IF(W427&lt;&gt;"AR","",INDEX('Device Refrigerant Leakage'!$E$2:$E$42,MATCH(X427,'Device Refrigerant Leakage'!$B$2:$B$42,0)))</f>
        <v/>
      </c>
      <c r="DG427" s="146" t="str">
        <f>IF(W427&lt;&gt;"AR","",INDEX('Device Refrigerant Leakage'!$F$2:$F$42,MATCH(X427,'Device Refrigerant Leakage'!$B$2:$B$42,0)))</f>
        <v/>
      </c>
      <c r="DH427" s="146" t="str">
        <f>IF(W427&lt;&gt;"AR","",INDEX('Device Refrigerant Leakage'!$G$2:$G$42,MATCH(X427,'Device Refrigerant Leakage'!$B$2:$B$42,0)))</f>
        <v/>
      </c>
      <c r="DI427" s="146" t="str">
        <f>IF(W427&lt;&gt;"AR","",J427*INDEX('Device Refrigerant Leakage'!$D$2:$D$42,MATCH(X427,'Device Refrigerant Leakage'!$B$2:$B$42,0))*DF427/2204.62*DE427)</f>
        <v/>
      </c>
      <c r="DJ427" s="146" t="str">
        <f>IF(W427&lt;&gt;"AR","",J427*(INDEX('Device Refrigerant Leakage'!$D$2:$D$42,MATCH(X427,'Device Refrigerant Leakage'!$B$2:$B$42,0))-(INDEX('Device Refrigerant Leakage'!$D$2:$D$42,MATCH(X427,'Device Refrigerant Leakage'!$B$2:$B$42,0)))*DH427*DF427)*DG427/2204.62*DE427)</f>
        <v/>
      </c>
      <c r="DK427" s="146" t="str">
        <f>IF(W427&lt;&gt;"AR","",DI427*(K427-AB427)+'Fuel Sub Calcs-Deemed'!DJ427*((K427-AB427)/INDEX('Device Refrigerant Leakage'!$C$2:$C$42,MATCH('Fuel Sub Calcs-Deemed'!X427,'Device Refrigerant Leakage'!$B$2:$B$42,0))))</f>
        <v/>
      </c>
      <c r="DM427" s="56">
        <v>413</v>
      </c>
      <c r="DN427" s="67" t="e">
        <f t="shared" si="534"/>
        <v>#N/A</v>
      </c>
      <c r="DO427" s="45" t="e">
        <f t="shared" si="535"/>
        <v>#N/A</v>
      </c>
      <c r="DP427" s="67" t="e">
        <f t="shared" si="536"/>
        <v>#N/A</v>
      </c>
      <c r="DQ427" s="45" t="e">
        <f t="shared" si="537"/>
        <v>#N/A</v>
      </c>
      <c r="DR427" s="69" t="e">
        <f t="shared" si="538"/>
        <v>#N/A</v>
      </c>
      <c r="DS427" s="34"/>
      <c r="DT427" s="67" t="e">
        <f>((BX427*CJ427)+IF($W427=MAT_AR,(BZ427*CL427),0))*(1+Reference!$E$50+Reference!$E$51)</f>
        <v>#N/A</v>
      </c>
      <c r="DU427" s="67">
        <f>((BY427*CK427)+IF($W427=MAT_AR,(CA427*CM427),0))*(1+Reference!$G$50+Reference!$G$51)</f>
        <v>0</v>
      </c>
      <c r="DV427" s="67" t="e">
        <f t="shared" si="539"/>
        <v>#VALUE!</v>
      </c>
      <c r="DX427" s="56">
        <v>413</v>
      </c>
      <c r="DY427" s="67">
        <f t="shared" si="540"/>
        <v>0</v>
      </c>
      <c r="DZ427" s="45" t="e">
        <f>VLOOKUP($R427,Dropdown!$C$3:$D$4,2,FALSE)</f>
        <v>#N/A</v>
      </c>
      <c r="EA427" s="68">
        <f t="shared" si="541"/>
        <v>0</v>
      </c>
      <c r="EB427" s="68" t="str">
        <f t="shared" si="542"/>
        <v>N/A</v>
      </c>
      <c r="EC427" s="68">
        <f t="shared" si="543"/>
        <v>0</v>
      </c>
      <c r="ED427" s="68" t="str">
        <f t="shared" si="581"/>
        <v>N/A</v>
      </c>
      <c r="EF427" s="56">
        <v>413</v>
      </c>
      <c r="EG427" s="46">
        <f t="shared" si="544"/>
        <v>0</v>
      </c>
      <c r="EH427" s="68" t="e">
        <f t="shared" si="545"/>
        <v>#N/A</v>
      </c>
      <c r="EI427" s="68" t="e">
        <f t="shared" si="546"/>
        <v>#N/A</v>
      </c>
      <c r="EJ427" s="68" t="e">
        <f t="shared" si="547"/>
        <v>#N/A</v>
      </c>
      <c r="EK427" s="68" t="e">
        <f t="shared" si="548"/>
        <v>#N/A</v>
      </c>
      <c r="EL427" s="46">
        <f t="shared" si="549"/>
        <v>0</v>
      </c>
      <c r="EM427" s="46">
        <f t="shared" si="550"/>
        <v>0</v>
      </c>
    </row>
    <row r="428" spans="1:143">
      <c r="A428" s="89"/>
      <c r="B428" s="89"/>
      <c r="C428" s="89"/>
      <c r="D428" s="89"/>
      <c r="E428" s="89"/>
      <c r="F428" s="89"/>
      <c r="G428" s="34"/>
      <c r="H428" s="56">
        <f t="shared" si="551"/>
        <v>414</v>
      </c>
      <c r="I428" s="165"/>
      <c r="J428" s="163"/>
      <c r="K428" s="163"/>
      <c r="L428" s="164"/>
      <c r="M428" s="155"/>
      <c r="N428" s="155"/>
      <c r="O428" s="144"/>
      <c r="P428" s="159" t="str">
        <f>IFERROR(IF(O428&lt;&gt;"User Specified",IF(O428&lt;&gt;"", INDEX('Refrigerant GWPs'!$G$2:$G$154,MATCH(O428,'Refrigerant GWPs'!$A$2:$A$154,0)),""),U428),0)</f>
        <v/>
      </c>
      <c r="Q428" s="155"/>
      <c r="R428" s="155"/>
      <c r="S428" s="144"/>
      <c r="T428" s="159" t="str">
        <f>IF(S428&lt;&gt;"User Specified",IF(AND(S428&lt;&gt;"User Specified",S428&lt;&gt;""), INDEX('Refrigerant GWPs'!$G$2:$G$154,MATCH(S428,'Refrigerant GWPs'!$A$2:$A$154,0)),""),V428)</f>
        <v/>
      </c>
      <c r="U428" s="144"/>
      <c r="V428" s="144"/>
      <c r="W428" s="155"/>
      <c r="X428" s="155"/>
      <c r="Y428" s="144"/>
      <c r="Z428" s="159" t="str">
        <f>IF(AND(Y428&lt;&gt;"User Specified",Y428&lt;&gt;""), INDEX('Refrigerant GWPs'!$G$2:$G$154,MATCH(Y428,'Refrigerant GWPs'!$A$2:$A$154,0)),"")</f>
        <v/>
      </c>
      <c r="AA428" s="155"/>
      <c r="AB428" s="156"/>
      <c r="AC428" s="66"/>
      <c r="AD428" s="66"/>
      <c r="AE428" s="66"/>
      <c r="AF428" s="66"/>
      <c r="AG428" s="66"/>
      <c r="AH428" s="66"/>
      <c r="AI428" s="34"/>
      <c r="AJ428" s="88">
        <f t="shared" si="514"/>
        <v>0</v>
      </c>
      <c r="AK428" s="88">
        <f t="shared" si="515"/>
        <v>0</v>
      </c>
      <c r="AL428" s="88">
        <v>0</v>
      </c>
      <c r="AM428" s="88">
        <v>0</v>
      </c>
      <c r="AN428" s="81" t="str">
        <f t="shared" si="553"/>
        <v/>
      </c>
      <c r="AO428" s="88">
        <f t="shared" si="516"/>
        <v>0</v>
      </c>
      <c r="AP428" s="88">
        <f t="shared" si="517"/>
        <v>0</v>
      </c>
      <c r="AQ428" s="81" t="str">
        <f t="shared" si="518"/>
        <v/>
      </c>
      <c r="AS428" s="41" t="b">
        <f t="shared" si="519"/>
        <v>1</v>
      </c>
      <c r="AT428" s="38">
        <f t="shared" si="520"/>
        <v>0</v>
      </c>
      <c r="AU428" s="60">
        <f t="shared" si="521"/>
        <v>0</v>
      </c>
      <c r="AV428" s="41">
        <f t="shared" si="522"/>
        <v>0</v>
      </c>
      <c r="AW428" s="41" t="b">
        <f t="shared" si="523"/>
        <v>0</v>
      </c>
      <c r="AX428" t="str">
        <f t="shared" si="524"/>
        <v>+00</v>
      </c>
      <c r="AY428" t="str">
        <f t="shared" si="525"/>
        <v>+00</v>
      </c>
      <c r="BA428" s="47" t="b">
        <f t="shared" si="554"/>
        <v>1</v>
      </c>
      <c r="BB428" s="42" t="b">
        <f t="shared" si="555"/>
        <v>1</v>
      </c>
      <c r="BC428" s="42" t="b">
        <f t="shared" si="556"/>
        <v>0</v>
      </c>
      <c r="BD428" s="42" t="b">
        <f t="shared" si="557"/>
        <v>0</v>
      </c>
      <c r="BE428" s="70">
        <f t="shared" si="558"/>
        <v>0</v>
      </c>
      <c r="BF428" s="70">
        <f t="shared" si="559"/>
        <v>0</v>
      </c>
      <c r="BG428" s="34"/>
      <c r="BI428" s="47" t="b">
        <f t="shared" si="560"/>
        <v>1</v>
      </c>
      <c r="BJ428" s="47" t="b">
        <f t="shared" si="561"/>
        <v>1</v>
      </c>
      <c r="BK428" s="42" t="b">
        <f t="shared" si="562"/>
        <v>0</v>
      </c>
      <c r="BL428" s="42" t="b">
        <f t="shared" si="563"/>
        <v>0</v>
      </c>
      <c r="BM428" s="42">
        <f t="shared" si="564"/>
        <v>0</v>
      </c>
      <c r="BN428" s="42">
        <f t="shared" si="565"/>
        <v>0</v>
      </c>
      <c r="BP428" t="e">
        <f t="shared" si="566"/>
        <v>#N/A</v>
      </c>
      <c r="BQ428" t="e">
        <f t="shared" si="567"/>
        <v>#N/A</v>
      </c>
      <c r="BR428" t="e">
        <f t="shared" si="568"/>
        <v>#N/A</v>
      </c>
      <c r="BT428" s="60">
        <f t="shared" si="569"/>
        <v>0</v>
      </c>
      <c r="BU428" s="60">
        <f t="shared" si="570"/>
        <v>0</v>
      </c>
      <c r="BV428" s="60">
        <f t="shared" si="571"/>
        <v>0</v>
      </c>
      <c r="BW428" s="60">
        <f t="shared" si="572"/>
        <v>0</v>
      </c>
      <c r="BX428" s="60">
        <f t="shared" si="573"/>
        <v>0</v>
      </c>
      <c r="BY428" s="60">
        <f t="shared" si="574"/>
        <v>0</v>
      </c>
      <c r="BZ428" s="60">
        <f t="shared" si="575"/>
        <v>0</v>
      </c>
      <c r="CA428" s="60">
        <f t="shared" si="576"/>
        <v>0</v>
      </c>
      <c r="CB428" s="60" t="e">
        <f t="shared" si="526"/>
        <v>#N/A</v>
      </c>
      <c r="CC428" s="60">
        <f t="shared" si="527"/>
        <v>100000</v>
      </c>
      <c r="CD428" s="60" t="e">
        <f t="shared" si="528"/>
        <v>#N/A</v>
      </c>
      <c r="CE428" s="60">
        <f t="shared" si="529"/>
        <v>100000</v>
      </c>
      <c r="CF428" s="83" t="e">
        <f t="shared" si="577"/>
        <v>#N/A</v>
      </c>
      <c r="CG428" s="83">
        <f t="shared" si="578"/>
        <v>0</v>
      </c>
      <c r="CH428" s="83" t="e">
        <f t="shared" si="579"/>
        <v>#N/A</v>
      </c>
      <c r="CI428" s="83">
        <f t="shared" si="580"/>
        <v>0</v>
      </c>
      <c r="CJ428" s="86" t="e">
        <f t="shared" si="530"/>
        <v>#N/A</v>
      </c>
      <c r="CK428" s="82">
        <f t="shared" si="531"/>
        <v>5.3070370403969858E-3</v>
      </c>
      <c r="CL428" s="82" t="e">
        <f t="shared" si="532"/>
        <v>#N/A</v>
      </c>
      <c r="CM428" s="82">
        <f t="shared" si="533"/>
        <v>5.3070370403969858E-3</v>
      </c>
      <c r="CO428" s="149" t="str">
        <f>IF($I428&lt;&gt;"",IF(O428="User Specified",U428,INDEX('Refrigerant GWPs'!$G$2:$G$156,MATCH(O428,'Refrigerant GWPs'!$A$2:$A$156,0))),"")</f>
        <v/>
      </c>
      <c r="CP428" s="138" t="str">
        <f>IF($I428&lt;&gt;"",INDEX('Device Refrigerant Leakage'!$E$2:$E$42,MATCH($M428,'Device Refrigerant Leakage'!$B$2:$B$42,0)),"")</f>
        <v/>
      </c>
      <c r="CQ428" s="138" t="str">
        <f>IF($I428&lt;&gt;"",INDEX('Device Refrigerant Leakage'!$F$2:$F$42,MATCH($M428,'Device Refrigerant Leakage'!$B$2:$B$42,0)),"")</f>
        <v/>
      </c>
      <c r="CR428" s="145" t="str">
        <f>IF($I428&lt;&gt;"",INDEX('Device Refrigerant Leakage'!$G$2:$G$42,MATCH($M428,'Device Refrigerant Leakage'!$B$2:$B$42,0)),"")</f>
        <v/>
      </c>
      <c r="CS428" s="145" t="str">
        <f>IF($I428&lt;&gt;"",INDEX('Device Refrigerant Leakage'!$D$2:$D$42,MATCH($M428,'Device Refrigerant Leakage'!$B$2:$B$42,0))*CP428/2204.62*CO428,"")</f>
        <v/>
      </c>
      <c r="CT428" s="145" t="str">
        <f>IF($I428&lt;&gt;"",J428*(INDEX('Device Refrigerant Leakage'!$D$2:$D$42,MATCH($M428,'Device Refrigerant Leakage'!$B$2:$B$42,0))-(INDEX('Device Refrigerant Leakage'!$D$2:$D$42,MATCH($M428,'Device Refrigerant Leakage'!$B$2:$B$42,0)))*CR428*CP428)*CQ428/2204.62*CO428,"")</f>
        <v/>
      </c>
      <c r="CU428" s="135" t="str">
        <f>IF($I428&lt;&gt;"",J428*IF(W428&lt;&gt;"AR",(CS428*K428)+CT428,(CS428*AB428)+CT428*(AB428/INDEX('Device Refrigerant Leakage'!$C$2:$C$42,MATCH($M428,'Device Refrigerant Leakage'!$B$2:$B$42,0)))),"")</f>
        <v/>
      </c>
      <c r="CW428" s="135" t="str">
        <f>IF($I428&lt;&gt;"",IF(S428="User Specified",V428,INDEX('Refrigerant GWPs'!$G$2:$G$156,MATCH(S428,'Refrigerant GWPs'!$A$2:$A$157,0))),"")</f>
        <v/>
      </c>
      <c r="CX428" s="138" t="str">
        <f>IF($I428&lt;&gt;"",INDEX('Device Refrigerant Leakage'!$E$2:$E$42,MATCH($Q428,'Device Refrigerant Leakage'!$B$2:$B$42,0)),"")</f>
        <v/>
      </c>
      <c r="CY428" s="138" t="str">
        <f>IF($I428&lt;&gt;"",INDEX('Device Refrigerant Leakage'!$F$2:$F$42,MATCH($Q428,'Device Refrigerant Leakage'!$B$2:$B$42,0)),"")</f>
        <v/>
      </c>
      <c r="CZ428" s="145" t="str">
        <f>IF($I428&lt;&gt;"",INDEX('Device Refrigerant Leakage'!$G$2:$G$42,MATCH($Q428,'Device Refrigerant Leakage'!$B$2:$B$42,0)),"")</f>
        <v/>
      </c>
      <c r="DA428" s="145" t="str">
        <f>IF($I428&lt;&gt;"",J428*INDEX('Device Refrigerant Leakage'!$D$2:$D$42,MATCH($Q428,'Device Refrigerant Leakage'!$B$2:$B$42,0))*CX428/2204.62*CW428,"")</f>
        <v/>
      </c>
      <c r="DB428" s="145" t="str">
        <f>IF($I428&lt;&gt;"",J428*(INDEX('Device Refrigerant Leakage'!$D$2:$D$42,MATCH($Q428,'Device Refrigerant Leakage'!$B$2:$B$42,0))-(INDEX('Device Refrigerant Leakage'!$D$2:$D$42,MATCH($Q428,'Device Refrigerant Leakage'!$B$2:$B$42,0)))*CZ428*CX428)*CY428/2204.62*CW428,"")</f>
        <v/>
      </c>
      <c r="DC428" s="135" t="str">
        <f t="shared" si="552"/>
        <v/>
      </c>
      <c r="DE428" s="146" t="str">
        <f>IF(W428&lt;&gt;"AR","",IF(Y428="User Specified", AA428, INDEX('Refrigerant GWPs'!$G$2:$G$154,MATCH(Y428,'Refrigerant GWPs'!$A$2:$A$154,0))))</f>
        <v/>
      </c>
      <c r="DF428" s="146" t="str">
        <f>IF(W428&lt;&gt;"AR","",INDEX('Device Refrigerant Leakage'!$E$2:$E$42,MATCH(X428,'Device Refrigerant Leakage'!$B$2:$B$42,0)))</f>
        <v/>
      </c>
      <c r="DG428" s="146" t="str">
        <f>IF(W428&lt;&gt;"AR","",INDEX('Device Refrigerant Leakage'!$F$2:$F$42,MATCH(X428,'Device Refrigerant Leakage'!$B$2:$B$42,0)))</f>
        <v/>
      </c>
      <c r="DH428" s="146" t="str">
        <f>IF(W428&lt;&gt;"AR","",INDEX('Device Refrigerant Leakage'!$G$2:$G$42,MATCH(X428,'Device Refrigerant Leakage'!$B$2:$B$42,0)))</f>
        <v/>
      </c>
      <c r="DI428" s="146" t="str">
        <f>IF(W428&lt;&gt;"AR","",J428*INDEX('Device Refrigerant Leakage'!$D$2:$D$42,MATCH(X428,'Device Refrigerant Leakage'!$B$2:$B$42,0))*DF428/2204.62*DE428)</f>
        <v/>
      </c>
      <c r="DJ428" s="146" t="str">
        <f>IF(W428&lt;&gt;"AR","",J428*(INDEX('Device Refrigerant Leakage'!$D$2:$D$42,MATCH(X428,'Device Refrigerant Leakage'!$B$2:$B$42,0))-(INDEX('Device Refrigerant Leakage'!$D$2:$D$42,MATCH(X428,'Device Refrigerant Leakage'!$B$2:$B$42,0)))*DH428*DF428)*DG428/2204.62*DE428)</f>
        <v/>
      </c>
      <c r="DK428" s="146" t="str">
        <f>IF(W428&lt;&gt;"AR","",DI428*(K428-AB428)+'Fuel Sub Calcs-Deemed'!DJ428*((K428-AB428)/INDEX('Device Refrigerant Leakage'!$C$2:$C$42,MATCH('Fuel Sub Calcs-Deemed'!X428,'Device Refrigerant Leakage'!$B$2:$B$42,0))))</f>
        <v/>
      </c>
      <c r="DM428" s="56">
        <v>414</v>
      </c>
      <c r="DN428" s="67" t="e">
        <f t="shared" si="534"/>
        <v>#N/A</v>
      </c>
      <c r="DO428" s="45" t="e">
        <f t="shared" si="535"/>
        <v>#N/A</v>
      </c>
      <c r="DP428" s="67" t="e">
        <f t="shared" si="536"/>
        <v>#N/A</v>
      </c>
      <c r="DQ428" s="45" t="e">
        <f t="shared" si="537"/>
        <v>#N/A</v>
      </c>
      <c r="DR428" s="69" t="e">
        <f t="shared" si="538"/>
        <v>#N/A</v>
      </c>
      <c r="DS428" s="34"/>
      <c r="DT428" s="67" t="e">
        <f>((BX428*CJ428)+IF($W428=MAT_AR,(BZ428*CL428),0))*(1+Reference!$E$50+Reference!$E$51)</f>
        <v>#N/A</v>
      </c>
      <c r="DU428" s="67">
        <f>((BY428*CK428)+IF($W428=MAT_AR,(CA428*CM428),0))*(1+Reference!$G$50+Reference!$G$51)</f>
        <v>0</v>
      </c>
      <c r="DV428" s="67" t="e">
        <f t="shared" si="539"/>
        <v>#VALUE!</v>
      </c>
      <c r="DX428" s="56">
        <v>414</v>
      </c>
      <c r="DY428" s="67">
        <f t="shared" si="540"/>
        <v>0</v>
      </c>
      <c r="DZ428" s="45" t="e">
        <f>VLOOKUP($R428,Dropdown!$C$3:$D$4,2,FALSE)</f>
        <v>#N/A</v>
      </c>
      <c r="EA428" s="68">
        <f t="shared" si="541"/>
        <v>0</v>
      </c>
      <c r="EB428" s="68" t="str">
        <f t="shared" si="542"/>
        <v>N/A</v>
      </c>
      <c r="EC428" s="68">
        <f t="shared" si="543"/>
        <v>0</v>
      </c>
      <c r="ED428" s="68" t="str">
        <f t="shared" si="581"/>
        <v>N/A</v>
      </c>
      <c r="EF428" s="56">
        <v>414</v>
      </c>
      <c r="EG428" s="46">
        <f t="shared" si="544"/>
        <v>0</v>
      </c>
      <c r="EH428" s="68" t="e">
        <f t="shared" si="545"/>
        <v>#N/A</v>
      </c>
      <c r="EI428" s="68" t="e">
        <f t="shared" si="546"/>
        <v>#N/A</v>
      </c>
      <c r="EJ428" s="68" t="e">
        <f t="shared" si="547"/>
        <v>#N/A</v>
      </c>
      <c r="EK428" s="68" t="e">
        <f t="shared" si="548"/>
        <v>#N/A</v>
      </c>
      <c r="EL428" s="46">
        <f t="shared" si="549"/>
        <v>0</v>
      </c>
      <c r="EM428" s="46">
        <f t="shared" si="550"/>
        <v>0</v>
      </c>
    </row>
    <row r="429" spans="1:143">
      <c r="A429" s="89"/>
      <c r="B429" s="89"/>
      <c r="C429" s="89"/>
      <c r="D429" s="89"/>
      <c r="E429" s="89"/>
      <c r="F429" s="89"/>
      <c r="G429" s="34"/>
      <c r="H429" s="56">
        <f t="shared" si="551"/>
        <v>415</v>
      </c>
      <c r="I429" s="165"/>
      <c r="J429" s="163"/>
      <c r="K429" s="163"/>
      <c r="L429" s="164"/>
      <c r="M429" s="155"/>
      <c r="N429" s="155"/>
      <c r="O429" s="144"/>
      <c r="P429" s="159" t="str">
        <f>IFERROR(IF(O429&lt;&gt;"User Specified",IF(O429&lt;&gt;"", INDEX('Refrigerant GWPs'!$G$2:$G$154,MATCH(O429,'Refrigerant GWPs'!$A$2:$A$154,0)),""),U429),0)</f>
        <v/>
      </c>
      <c r="Q429" s="155"/>
      <c r="R429" s="155"/>
      <c r="S429" s="144"/>
      <c r="T429" s="159" t="str">
        <f>IF(S429&lt;&gt;"User Specified",IF(AND(S429&lt;&gt;"User Specified",S429&lt;&gt;""), INDEX('Refrigerant GWPs'!$G$2:$G$154,MATCH(S429,'Refrigerant GWPs'!$A$2:$A$154,0)),""),V429)</f>
        <v/>
      </c>
      <c r="U429" s="144"/>
      <c r="V429" s="144"/>
      <c r="W429" s="155"/>
      <c r="X429" s="155"/>
      <c r="Y429" s="144"/>
      <c r="Z429" s="159" t="str">
        <f>IF(AND(Y429&lt;&gt;"User Specified",Y429&lt;&gt;""), INDEX('Refrigerant GWPs'!$G$2:$G$154,MATCH(Y429,'Refrigerant GWPs'!$A$2:$A$154,0)),"")</f>
        <v/>
      </c>
      <c r="AA429" s="155"/>
      <c r="AB429" s="156"/>
      <c r="AC429" s="66"/>
      <c r="AD429" s="66"/>
      <c r="AE429" s="66"/>
      <c r="AF429" s="66"/>
      <c r="AG429" s="66"/>
      <c r="AH429" s="66"/>
      <c r="AI429" s="34"/>
      <c r="AJ429" s="88">
        <f t="shared" si="514"/>
        <v>0</v>
      </c>
      <c r="AK429" s="88">
        <f t="shared" si="515"/>
        <v>0</v>
      </c>
      <c r="AL429" s="88">
        <v>0</v>
      </c>
      <c r="AM429" s="88">
        <v>0</v>
      </c>
      <c r="AN429" s="81" t="str">
        <f t="shared" si="553"/>
        <v/>
      </c>
      <c r="AO429" s="88">
        <f t="shared" si="516"/>
        <v>0</v>
      </c>
      <c r="AP429" s="88">
        <f t="shared" si="517"/>
        <v>0</v>
      </c>
      <c r="AQ429" s="81" t="str">
        <f t="shared" si="518"/>
        <v/>
      </c>
      <c r="AS429" s="41" t="b">
        <f t="shared" si="519"/>
        <v>1</v>
      </c>
      <c r="AT429" s="38">
        <f t="shared" si="520"/>
        <v>0</v>
      </c>
      <c r="AU429" s="60">
        <f t="shared" si="521"/>
        <v>0</v>
      </c>
      <c r="AV429" s="41">
        <f t="shared" si="522"/>
        <v>0</v>
      </c>
      <c r="AW429" s="41" t="b">
        <f t="shared" si="523"/>
        <v>0</v>
      </c>
      <c r="AX429" t="str">
        <f t="shared" si="524"/>
        <v>+00</v>
      </c>
      <c r="AY429" t="str">
        <f t="shared" si="525"/>
        <v>+00</v>
      </c>
      <c r="BA429" s="47" t="b">
        <f t="shared" si="554"/>
        <v>1</v>
      </c>
      <c r="BB429" s="42" t="b">
        <f t="shared" si="555"/>
        <v>1</v>
      </c>
      <c r="BC429" s="42" t="b">
        <f t="shared" si="556"/>
        <v>0</v>
      </c>
      <c r="BD429" s="42" t="b">
        <f t="shared" si="557"/>
        <v>0</v>
      </c>
      <c r="BE429" s="70">
        <f t="shared" si="558"/>
        <v>0</v>
      </c>
      <c r="BF429" s="70">
        <f t="shared" si="559"/>
        <v>0</v>
      </c>
      <c r="BG429" s="34"/>
      <c r="BI429" s="47" t="b">
        <f t="shared" si="560"/>
        <v>1</v>
      </c>
      <c r="BJ429" s="47" t="b">
        <f t="shared" si="561"/>
        <v>1</v>
      </c>
      <c r="BK429" s="42" t="b">
        <f t="shared" si="562"/>
        <v>0</v>
      </c>
      <c r="BL429" s="42" t="b">
        <f t="shared" si="563"/>
        <v>0</v>
      </c>
      <c r="BM429" s="42">
        <f t="shared" si="564"/>
        <v>0</v>
      </c>
      <c r="BN429" s="42">
        <f t="shared" si="565"/>
        <v>0</v>
      </c>
      <c r="BP429" t="e">
        <f t="shared" si="566"/>
        <v>#N/A</v>
      </c>
      <c r="BQ429" t="e">
        <f t="shared" si="567"/>
        <v>#N/A</v>
      </c>
      <c r="BR429" t="e">
        <f t="shared" si="568"/>
        <v>#N/A</v>
      </c>
      <c r="BT429" s="60">
        <f t="shared" si="569"/>
        <v>0</v>
      </c>
      <c r="BU429" s="60">
        <f t="shared" si="570"/>
        <v>0</v>
      </c>
      <c r="BV429" s="60">
        <f t="shared" si="571"/>
        <v>0</v>
      </c>
      <c r="BW429" s="60">
        <f t="shared" si="572"/>
        <v>0</v>
      </c>
      <c r="BX429" s="60">
        <f t="shared" si="573"/>
        <v>0</v>
      </c>
      <c r="BY429" s="60">
        <f t="shared" si="574"/>
        <v>0</v>
      </c>
      <c r="BZ429" s="60">
        <f t="shared" si="575"/>
        <v>0</v>
      </c>
      <c r="CA429" s="60">
        <f t="shared" si="576"/>
        <v>0</v>
      </c>
      <c r="CB429" s="60" t="e">
        <f t="shared" si="526"/>
        <v>#N/A</v>
      </c>
      <c r="CC429" s="60">
        <f t="shared" si="527"/>
        <v>100000</v>
      </c>
      <c r="CD429" s="60" t="e">
        <f t="shared" si="528"/>
        <v>#N/A</v>
      </c>
      <c r="CE429" s="60">
        <f t="shared" si="529"/>
        <v>100000</v>
      </c>
      <c r="CF429" s="83" t="e">
        <f t="shared" si="577"/>
        <v>#N/A</v>
      </c>
      <c r="CG429" s="83">
        <f t="shared" si="578"/>
        <v>0</v>
      </c>
      <c r="CH429" s="83" t="e">
        <f t="shared" si="579"/>
        <v>#N/A</v>
      </c>
      <c r="CI429" s="83">
        <f t="shared" si="580"/>
        <v>0</v>
      </c>
      <c r="CJ429" s="86" t="e">
        <f t="shared" si="530"/>
        <v>#N/A</v>
      </c>
      <c r="CK429" s="82">
        <f t="shared" si="531"/>
        <v>5.3070370403969858E-3</v>
      </c>
      <c r="CL429" s="82" t="e">
        <f t="shared" si="532"/>
        <v>#N/A</v>
      </c>
      <c r="CM429" s="82">
        <f t="shared" si="533"/>
        <v>5.3070370403969858E-3</v>
      </c>
      <c r="CO429" s="149" t="str">
        <f>IF($I429&lt;&gt;"",IF(O429="User Specified",U429,INDEX('Refrigerant GWPs'!$G$2:$G$156,MATCH(O429,'Refrigerant GWPs'!$A$2:$A$156,0))),"")</f>
        <v/>
      </c>
      <c r="CP429" s="138" t="str">
        <f>IF($I429&lt;&gt;"",INDEX('Device Refrigerant Leakage'!$E$2:$E$42,MATCH($M429,'Device Refrigerant Leakage'!$B$2:$B$42,0)),"")</f>
        <v/>
      </c>
      <c r="CQ429" s="138" t="str">
        <f>IF($I429&lt;&gt;"",INDEX('Device Refrigerant Leakage'!$F$2:$F$42,MATCH($M429,'Device Refrigerant Leakage'!$B$2:$B$42,0)),"")</f>
        <v/>
      </c>
      <c r="CR429" s="145" t="str">
        <f>IF($I429&lt;&gt;"",INDEX('Device Refrigerant Leakage'!$G$2:$G$42,MATCH($M429,'Device Refrigerant Leakage'!$B$2:$B$42,0)),"")</f>
        <v/>
      </c>
      <c r="CS429" s="145" t="str">
        <f>IF($I429&lt;&gt;"",INDEX('Device Refrigerant Leakage'!$D$2:$D$42,MATCH($M429,'Device Refrigerant Leakage'!$B$2:$B$42,0))*CP429/2204.62*CO429,"")</f>
        <v/>
      </c>
      <c r="CT429" s="145" t="str">
        <f>IF($I429&lt;&gt;"",J429*(INDEX('Device Refrigerant Leakage'!$D$2:$D$42,MATCH($M429,'Device Refrigerant Leakage'!$B$2:$B$42,0))-(INDEX('Device Refrigerant Leakage'!$D$2:$D$42,MATCH($M429,'Device Refrigerant Leakage'!$B$2:$B$42,0)))*CR429*CP429)*CQ429/2204.62*CO429,"")</f>
        <v/>
      </c>
      <c r="CU429" s="135" t="str">
        <f>IF($I429&lt;&gt;"",J429*IF(W429&lt;&gt;"AR",(CS429*K429)+CT429,(CS429*AB429)+CT429*(AB429/INDEX('Device Refrigerant Leakage'!$C$2:$C$42,MATCH($M429,'Device Refrigerant Leakage'!$B$2:$B$42,0)))),"")</f>
        <v/>
      </c>
      <c r="CW429" s="135" t="str">
        <f>IF($I429&lt;&gt;"",IF(S429="User Specified",V429,INDEX('Refrigerant GWPs'!$G$2:$G$156,MATCH(S429,'Refrigerant GWPs'!$A$2:$A$157,0))),"")</f>
        <v/>
      </c>
      <c r="CX429" s="138" t="str">
        <f>IF($I429&lt;&gt;"",INDEX('Device Refrigerant Leakage'!$E$2:$E$42,MATCH($Q429,'Device Refrigerant Leakage'!$B$2:$B$42,0)),"")</f>
        <v/>
      </c>
      <c r="CY429" s="138" t="str">
        <f>IF($I429&lt;&gt;"",INDEX('Device Refrigerant Leakage'!$F$2:$F$42,MATCH($Q429,'Device Refrigerant Leakage'!$B$2:$B$42,0)),"")</f>
        <v/>
      </c>
      <c r="CZ429" s="145" t="str">
        <f>IF($I429&lt;&gt;"",INDEX('Device Refrigerant Leakage'!$G$2:$G$42,MATCH($Q429,'Device Refrigerant Leakage'!$B$2:$B$42,0)),"")</f>
        <v/>
      </c>
      <c r="DA429" s="145" t="str">
        <f>IF($I429&lt;&gt;"",J429*INDEX('Device Refrigerant Leakage'!$D$2:$D$42,MATCH($Q429,'Device Refrigerant Leakage'!$B$2:$B$42,0))*CX429/2204.62*CW429,"")</f>
        <v/>
      </c>
      <c r="DB429" s="145" t="str">
        <f>IF($I429&lt;&gt;"",J429*(INDEX('Device Refrigerant Leakage'!$D$2:$D$42,MATCH($Q429,'Device Refrigerant Leakage'!$B$2:$B$42,0))-(INDEX('Device Refrigerant Leakage'!$D$2:$D$42,MATCH($Q429,'Device Refrigerant Leakage'!$B$2:$B$42,0)))*CZ429*CX429)*CY429/2204.62*CW429,"")</f>
        <v/>
      </c>
      <c r="DC429" s="135" t="str">
        <f t="shared" si="552"/>
        <v/>
      </c>
      <c r="DE429" s="146" t="str">
        <f>IF(W429&lt;&gt;"AR","",IF(Y429="User Specified", AA429, INDEX('Refrigerant GWPs'!$G$2:$G$154,MATCH(Y429,'Refrigerant GWPs'!$A$2:$A$154,0))))</f>
        <v/>
      </c>
      <c r="DF429" s="146" t="str">
        <f>IF(W429&lt;&gt;"AR","",INDEX('Device Refrigerant Leakage'!$E$2:$E$42,MATCH(X429,'Device Refrigerant Leakage'!$B$2:$B$42,0)))</f>
        <v/>
      </c>
      <c r="DG429" s="146" t="str">
        <f>IF(W429&lt;&gt;"AR","",INDEX('Device Refrigerant Leakage'!$F$2:$F$42,MATCH(X429,'Device Refrigerant Leakage'!$B$2:$B$42,0)))</f>
        <v/>
      </c>
      <c r="DH429" s="146" t="str">
        <f>IF(W429&lt;&gt;"AR","",INDEX('Device Refrigerant Leakage'!$G$2:$G$42,MATCH(X429,'Device Refrigerant Leakage'!$B$2:$B$42,0)))</f>
        <v/>
      </c>
      <c r="DI429" s="146" t="str">
        <f>IF(W429&lt;&gt;"AR","",J429*INDEX('Device Refrigerant Leakage'!$D$2:$D$42,MATCH(X429,'Device Refrigerant Leakage'!$B$2:$B$42,0))*DF429/2204.62*DE429)</f>
        <v/>
      </c>
      <c r="DJ429" s="146" t="str">
        <f>IF(W429&lt;&gt;"AR","",J429*(INDEX('Device Refrigerant Leakage'!$D$2:$D$42,MATCH(X429,'Device Refrigerant Leakage'!$B$2:$B$42,0))-(INDEX('Device Refrigerant Leakage'!$D$2:$D$42,MATCH(X429,'Device Refrigerant Leakage'!$B$2:$B$42,0)))*DH429*DF429)*DG429/2204.62*DE429)</f>
        <v/>
      </c>
      <c r="DK429" s="146" t="str">
        <f>IF(W429&lt;&gt;"AR","",DI429*(K429-AB429)+'Fuel Sub Calcs-Deemed'!DJ429*((K429-AB429)/INDEX('Device Refrigerant Leakage'!$C$2:$C$42,MATCH('Fuel Sub Calcs-Deemed'!X429,'Device Refrigerant Leakage'!$B$2:$B$42,0))))</f>
        <v/>
      </c>
      <c r="DM429" s="56">
        <v>415</v>
      </c>
      <c r="DN429" s="67" t="e">
        <f t="shared" si="534"/>
        <v>#N/A</v>
      </c>
      <c r="DO429" s="45" t="e">
        <f t="shared" si="535"/>
        <v>#N/A</v>
      </c>
      <c r="DP429" s="67" t="e">
        <f t="shared" si="536"/>
        <v>#N/A</v>
      </c>
      <c r="DQ429" s="45" t="e">
        <f t="shared" si="537"/>
        <v>#N/A</v>
      </c>
      <c r="DR429" s="69" t="e">
        <f t="shared" si="538"/>
        <v>#N/A</v>
      </c>
      <c r="DS429" s="34"/>
      <c r="DT429" s="67" t="e">
        <f>((BX429*CJ429)+IF($W429=MAT_AR,(BZ429*CL429),0))*(1+Reference!$E$50+Reference!$E$51)</f>
        <v>#N/A</v>
      </c>
      <c r="DU429" s="67">
        <f>((BY429*CK429)+IF($W429=MAT_AR,(CA429*CM429),0))*(1+Reference!$G$50+Reference!$G$51)</f>
        <v>0</v>
      </c>
      <c r="DV429" s="67" t="e">
        <f t="shared" si="539"/>
        <v>#VALUE!</v>
      </c>
      <c r="DX429" s="56">
        <v>415</v>
      </c>
      <c r="DY429" s="67">
        <f t="shared" si="540"/>
        <v>0</v>
      </c>
      <c r="DZ429" s="45" t="e">
        <f>VLOOKUP($R429,Dropdown!$C$3:$D$4,2,FALSE)</f>
        <v>#N/A</v>
      </c>
      <c r="EA429" s="68">
        <f t="shared" si="541"/>
        <v>0</v>
      </c>
      <c r="EB429" s="68" t="str">
        <f t="shared" si="542"/>
        <v>N/A</v>
      </c>
      <c r="EC429" s="68">
        <f t="shared" si="543"/>
        <v>0</v>
      </c>
      <c r="ED429" s="68" t="str">
        <f t="shared" si="581"/>
        <v>N/A</v>
      </c>
      <c r="EF429" s="56">
        <v>415</v>
      </c>
      <c r="EG429" s="46">
        <f t="shared" si="544"/>
        <v>0</v>
      </c>
      <c r="EH429" s="68" t="e">
        <f t="shared" si="545"/>
        <v>#N/A</v>
      </c>
      <c r="EI429" s="68" t="e">
        <f t="shared" si="546"/>
        <v>#N/A</v>
      </c>
      <c r="EJ429" s="68" t="e">
        <f t="shared" si="547"/>
        <v>#N/A</v>
      </c>
      <c r="EK429" s="68" t="e">
        <f t="shared" si="548"/>
        <v>#N/A</v>
      </c>
      <c r="EL429" s="46">
        <f t="shared" si="549"/>
        <v>0</v>
      </c>
      <c r="EM429" s="46">
        <f t="shared" si="550"/>
        <v>0</v>
      </c>
    </row>
    <row r="430" spans="1:143">
      <c r="A430" s="89"/>
      <c r="B430" s="89"/>
      <c r="C430" s="89"/>
      <c r="D430" s="89"/>
      <c r="E430" s="89"/>
      <c r="F430" s="89"/>
      <c r="G430" s="34"/>
      <c r="H430" s="56">
        <f t="shared" si="551"/>
        <v>416</v>
      </c>
      <c r="I430" s="165"/>
      <c r="J430" s="163"/>
      <c r="K430" s="163"/>
      <c r="L430" s="164"/>
      <c r="M430" s="155"/>
      <c r="N430" s="155"/>
      <c r="O430" s="144"/>
      <c r="P430" s="159" t="str">
        <f>IFERROR(IF(O430&lt;&gt;"User Specified",IF(O430&lt;&gt;"", INDEX('Refrigerant GWPs'!$G$2:$G$154,MATCH(O430,'Refrigerant GWPs'!$A$2:$A$154,0)),""),U430),0)</f>
        <v/>
      </c>
      <c r="Q430" s="155"/>
      <c r="R430" s="155"/>
      <c r="S430" s="144"/>
      <c r="T430" s="159" t="str">
        <f>IF(S430&lt;&gt;"User Specified",IF(AND(S430&lt;&gt;"User Specified",S430&lt;&gt;""), INDEX('Refrigerant GWPs'!$G$2:$G$154,MATCH(S430,'Refrigerant GWPs'!$A$2:$A$154,0)),""),V430)</f>
        <v/>
      </c>
      <c r="U430" s="144"/>
      <c r="V430" s="144"/>
      <c r="W430" s="155"/>
      <c r="X430" s="155"/>
      <c r="Y430" s="144"/>
      <c r="Z430" s="159" t="str">
        <f>IF(AND(Y430&lt;&gt;"User Specified",Y430&lt;&gt;""), INDEX('Refrigerant GWPs'!$G$2:$G$154,MATCH(Y430,'Refrigerant GWPs'!$A$2:$A$154,0)),"")</f>
        <v/>
      </c>
      <c r="AA430" s="155"/>
      <c r="AB430" s="156"/>
      <c r="AC430" s="66"/>
      <c r="AD430" s="66"/>
      <c r="AE430" s="66"/>
      <c r="AF430" s="66"/>
      <c r="AG430" s="66"/>
      <c r="AH430" s="66"/>
      <c r="AI430" s="34"/>
      <c r="AJ430" s="88">
        <f t="shared" si="514"/>
        <v>0</v>
      </c>
      <c r="AK430" s="88">
        <f t="shared" si="515"/>
        <v>0</v>
      </c>
      <c r="AL430" s="88">
        <v>0</v>
      </c>
      <c r="AM430" s="88">
        <v>0</v>
      </c>
      <c r="AN430" s="81" t="str">
        <f t="shared" si="553"/>
        <v/>
      </c>
      <c r="AO430" s="88">
        <f t="shared" si="516"/>
        <v>0</v>
      </c>
      <c r="AP430" s="88">
        <f t="shared" si="517"/>
        <v>0</v>
      </c>
      <c r="AQ430" s="81" t="str">
        <f t="shared" si="518"/>
        <v/>
      </c>
      <c r="AS430" s="41" t="b">
        <f t="shared" si="519"/>
        <v>1</v>
      </c>
      <c r="AT430" s="38">
        <f t="shared" si="520"/>
        <v>0</v>
      </c>
      <c r="AU430" s="60">
        <f t="shared" si="521"/>
        <v>0</v>
      </c>
      <c r="AV430" s="41">
        <f t="shared" si="522"/>
        <v>0</v>
      </c>
      <c r="AW430" s="41" t="b">
        <f t="shared" si="523"/>
        <v>0</v>
      </c>
      <c r="AX430" t="str">
        <f t="shared" si="524"/>
        <v>+00</v>
      </c>
      <c r="AY430" t="str">
        <f t="shared" si="525"/>
        <v>+00</v>
      </c>
      <c r="BA430" s="47" t="b">
        <f t="shared" si="554"/>
        <v>1</v>
      </c>
      <c r="BB430" s="42" t="b">
        <f t="shared" si="555"/>
        <v>1</v>
      </c>
      <c r="BC430" s="42" t="b">
        <f t="shared" si="556"/>
        <v>0</v>
      </c>
      <c r="BD430" s="42" t="b">
        <f t="shared" si="557"/>
        <v>0</v>
      </c>
      <c r="BE430" s="70">
        <f t="shared" si="558"/>
        <v>0</v>
      </c>
      <c r="BF430" s="70">
        <f t="shared" si="559"/>
        <v>0</v>
      </c>
      <c r="BG430" s="34"/>
      <c r="BI430" s="47" t="b">
        <f t="shared" si="560"/>
        <v>1</v>
      </c>
      <c r="BJ430" s="47" t="b">
        <f t="shared" si="561"/>
        <v>1</v>
      </c>
      <c r="BK430" s="42" t="b">
        <f t="shared" si="562"/>
        <v>0</v>
      </c>
      <c r="BL430" s="42" t="b">
        <f t="shared" si="563"/>
        <v>0</v>
      </c>
      <c r="BM430" s="42">
        <f t="shared" si="564"/>
        <v>0</v>
      </c>
      <c r="BN430" s="42">
        <f t="shared" si="565"/>
        <v>0</v>
      </c>
      <c r="BP430" t="e">
        <f t="shared" si="566"/>
        <v>#N/A</v>
      </c>
      <c r="BQ430" t="e">
        <f t="shared" si="567"/>
        <v>#N/A</v>
      </c>
      <c r="BR430" t="e">
        <f t="shared" si="568"/>
        <v>#N/A</v>
      </c>
      <c r="BT430" s="60">
        <f t="shared" si="569"/>
        <v>0</v>
      </c>
      <c r="BU430" s="60">
        <f t="shared" si="570"/>
        <v>0</v>
      </c>
      <c r="BV430" s="60">
        <f t="shared" si="571"/>
        <v>0</v>
      </c>
      <c r="BW430" s="60">
        <f t="shared" si="572"/>
        <v>0</v>
      </c>
      <c r="BX430" s="60">
        <f t="shared" si="573"/>
        <v>0</v>
      </c>
      <c r="BY430" s="60">
        <f t="shared" si="574"/>
        <v>0</v>
      </c>
      <c r="BZ430" s="60">
        <f t="shared" si="575"/>
        <v>0</v>
      </c>
      <c r="CA430" s="60">
        <f t="shared" si="576"/>
        <v>0</v>
      </c>
      <c r="CB430" s="60" t="e">
        <f t="shared" si="526"/>
        <v>#N/A</v>
      </c>
      <c r="CC430" s="60">
        <f t="shared" si="527"/>
        <v>100000</v>
      </c>
      <c r="CD430" s="60" t="e">
        <f t="shared" si="528"/>
        <v>#N/A</v>
      </c>
      <c r="CE430" s="60">
        <f t="shared" si="529"/>
        <v>100000</v>
      </c>
      <c r="CF430" s="83" t="e">
        <f t="shared" si="577"/>
        <v>#N/A</v>
      </c>
      <c r="CG430" s="83">
        <f t="shared" si="578"/>
        <v>0</v>
      </c>
      <c r="CH430" s="83" t="e">
        <f t="shared" si="579"/>
        <v>#N/A</v>
      </c>
      <c r="CI430" s="83">
        <f t="shared" si="580"/>
        <v>0</v>
      </c>
      <c r="CJ430" s="86" t="e">
        <f t="shared" si="530"/>
        <v>#N/A</v>
      </c>
      <c r="CK430" s="82">
        <f t="shared" si="531"/>
        <v>5.3070370403969858E-3</v>
      </c>
      <c r="CL430" s="82" t="e">
        <f t="shared" si="532"/>
        <v>#N/A</v>
      </c>
      <c r="CM430" s="82">
        <f t="shared" si="533"/>
        <v>5.3070370403969858E-3</v>
      </c>
      <c r="CO430" s="149" t="str">
        <f>IF($I430&lt;&gt;"",IF(O430="User Specified",U430,INDEX('Refrigerant GWPs'!$G$2:$G$156,MATCH(O430,'Refrigerant GWPs'!$A$2:$A$156,0))),"")</f>
        <v/>
      </c>
      <c r="CP430" s="138" t="str">
        <f>IF($I430&lt;&gt;"",INDEX('Device Refrigerant Leakage'!$E$2:$E$42,MATCH($M430,'Device Refrigerant Leakage'!$B$2:$B$42,0)),"")</f>
        <v/>
      </c>
      <c r="CQ430" s="138" t="str">
        <f>IF($I430&lt;&gt;"",INDEX('Device Refrigerant Leakage'!$F$2:$F$42,MATCH($M430,'Device Refrigerant Leakage'!$B$2:$B$42,0)),"")</f>
        <v/>
      </c>
      <c r="CR430" s="145" t="str">
        <f>IF($I430&lt;&gt;"",INDEX('Device Refrigerant Leakage'!$G$2:$G$42,MATCH($M430,'Device Refrigerant Leakage'!$B$2:$B$42,0)),"")</f>
        <v/>
      </c>
      <c r="CS430" s="145" t="str">
        <f>IF($I430&lt;&gt;"",INDEX('Device Refrigerant Leakage'!$D$2:$D$42,MATCH($M430,'Device Refrigerant Leakage'!$B$2:$B$42,0))*CP430/2204.62*CO430,"")</f>
        <v/>
      </c>
      <c r="CT430" s="145" t="str">
        <f>IF($I430&lt;&gt;"",J430*(INDEX('Device Refrigerant Leakage'!$D$2:$D$42,MATCH($M430,'Device Refrigerant Leakage'!$B$2:$B$42,0))-(INDEX('Device Refrigerant Leakage'!$D$2:$D$42,MATCH($M430,'Device Refrigerant Leakage'!$B$2:$B$42,0)))*CR430*CP430)*CQ430/2204.62*CO430,"")</f>
        <v/>
      </c>
      <c r="CU430" s="135" t="str">
        <f>IF($I430&lt;&gt;"",J430*IF(W430&lt;&gt;"AR",(CS430*K430)+CT430,(CS430*AB430)+CT430*(AB430/INDEX('Device Refrigerant Leakage'!$C$2:$C$42,MATCH($M430,'Device Refrigerant Leakage'!$B$2:$B$42,0)))),"")</f>
        <v/>
      </c>
      <c r="CW430" s="135" t="str">
        <f>IF($I430&lt;&gt;"",IF(S430="User Specified",V430,INDEX('Refrigerant GWPs'!$G$2:$G$156,MATCH(S430,'Refrigerant GWPs'!$A$2:$A$157,0))),"")</f>
        <v/>
      </c>
      <c r="CX430" s="138" t="str">
        <f>IF($I430&lt;&gt;"",INDEX('Device Refrigerant Leakage'!$E$2:$E$42,MATCH($Q430,'Device Refrigerant Leakage'!$B$2:$B$42,0)),"")</f>
        <v/>
      </c>
      <c r="CY430" s="138" t="str">
        <f>IF($I430&lt;&gt;"",INDEX('Device Refrigerant Leakage'!$F$2:$F$42,MATCH($Q430,'Device Refrigerant Leakage'!$B$2:$B$42,0)),"")</f>
        <v/>
      </c>
      <c r="CZ430" s="145" t="str">
        <f>IF($I430&lt;&gt;"",INDEX('Device Refrigerant Leakage'!$G$2:$G$42,MATCH($Q430,'Device Refrigerant Leakage'!$B$2:$B$42,0)),"")</f>
        <v/>
      </c>
      <c r="DA430" s="145" t="str">
        <f>IF($I430&lt;&gt;"",J430*INDEX('Device Refrigerant Leakage'!$D$2:$D$42,MATCH($Q430,'Device Refrigerant Leakage'!$B$2:$B$42,0))*CX430/2204.62*CW430,"")</f>
        <v/>
      </c>
      <c r="DB430" s="145" t="str">
        <f>IF($I430&lt;&gt;"",J430*(INDEX('Device Refrigerant Leakage'!$D$2:$D$42,MATCH($Q430,'Device Refrigerant Leakage'!$B$2:$B$42,0))-(INDEX('Device Refrigerant Leakage'!$D$2:$D$42,MATCH($Q430,'Device Refrigerant Leakage'!$B$2:$B$42,0)))*CZ430*CX430)*CY430/2204.62*CW430,"")</f>
        <v/>
      </c>
      <c r="DC430" s="135" t="str">
        <f t="shared" si="552"/>
        <v/>
      </c>
      <c r="DE430" s="146" t="str">
        <f>IF(W430&lt;&gt;"AR","",IF(Y430="User Specified", AA430, INDEX('Refrigerant GWPs'!$G$2:$G$154,MATCH(Y430,'Refrigerant GWPs'!$A$2:$A$154,0))))</f>
        <v/>
      </c>
      <c r="DF430" s="146" t="str">
        <f>IF(W430&lt;&gt;"AR","",INDEX('Device Refrigerant Leakage'!$E$2:$E$42,MATCH(X430,'Device Refrigerant Leakage'!$B$2:$B$42,0)))</f>
        <v/>
      </c>
      <c r="DG430" s="146" t="str">
        <f>IF(W430&lt;&gt;"AR","",INDEX('Device Refrigerant Leakage'!$F$2:$F$42,MATCH(X430,'Device Refrigerant Leakage'!$B$2:$B$42,0)))</f>
        <v/>
      </c>
      <c r="DH430" s="146" t="str">
        <f>IF(W430&lt;&gt;"AR","",INDEX('Device Refrigerant Leakage'!$G$2:$G$42,MATCH(X430,'Device Refrigerant Leakage'!$B$2:$B$42,0)))</f>
        <v/>
      </c>
      <c r="DI430" s="146" t="str">
        <f>IF(W430&lt;&gt;"AR","",J430*INDEX('Device Refrigerant Leakage'!$D$2:$D$42,MATCH(X430,'Device Refrigerant Leakage'!$B$2:$B$42,0))*DF430/2204.62*DE430)</f>
        <v/>
      </c>
      <c r="DJ430" s="146" t="str">
        <f>IF(W430&lt;&gt;"AR","",J430*(INDEX('Device Refrigerant Leakage'!$D$2:$D$42,MATCH(X430,'Device Refrigerant Leakage'!$B$2:$B$42,0))-(INDEX('Device Refrigerant Leakage'!$D$2:$D$42,MATCH(X430,'Device Refrigerant Leakage'!$B$2:$B$42,0)))*DH430*DF430)*DG430/2204.62*DE430)</f>
        <v/>
      </c>
      <c r="DK430" s="146" t="str">
        <f>IF(W430&lt;&gt;"AR","",DI430*(K430-AB430)+'Fuel Sub Calcs-Deemed'!DJ430*((K430-AB430)/INDEX('Device Refrigerant Leakage'!$C$2:$C$42,MATCH('Fuel Sub Calcs-Deemed'!X430,'Device Refrigerant Leakage'!$B$2:$B$42,0))))</f>
        <v/>
      </c>
      <c r="DM430" s="56">
        <v>416</v>
      </c>
      <c r="DN430" s="67" t="e">
        <f t="shared" si="534"/>
        <v>#N/A</v>
      </c>
      <c r="DO430" s="45" t="e">
        <f t="shared" si="535"/>
        <v>#N/A</v>
      </c>
      <c r="DP430" s="67" t="e">
        <f t="shared" si="536"/>
        <v>#N/A</v>
      </c>
      <c r="DQ430" s="45" t="e">
        <f t="shared" si="537"/>
        <v>#N/A</v>
      </c>
      <c r="DR430" s="69" t="e">
        <f t="shared" si="538"/>
        <v>#N/A</v>
      </c>
      <c r="DS430" s="34"/>
      <c r="DT430" s="67" t="e">
        <f>((BX430*CJ430)+IF($W430=MAT_AR,(BZ430*CL430),0))*(1+Reference!$E$50+Reference!$E$51)</f>
        <v>#N/A</v>
      </c>
      <c r="DU430" s="67">
        <f>((BY430*CK430)+IF($W430=MAT_AR,(CA430*CM430),0))*(1+Reference!$G$50+Reference!$G$51)</f>
        <v>0</v>
      </c>
      <c r="DV430" s="67" t="e">
        <f t="shared" si="539"/>
        <v>#VALUE!</v>
      </c>
      <c r="DX430" s="56">
        <v>416</v>
      </c>
      <c r="DY430" s="67">
        <f t="shared" si="540"/>
        <v>0</v>
      </c>
      <c r="DZ430" s="45" t="e">
        <f>VLOOKUP($R430,Dropdown!$C$3:$D$4,2,FALSE)</f>
        <v>#N/A</v>
      </c>
      <c r="EA430" s="68">
        <f t="shared" si="541"/>
        <v>0</v>
      </c>
      <c r="EB430" s="68" t="str">
        <f t="shared" si="542"/>
        <v>N/A</v>
      </c>
      <c r="EC430" s="68">
        <f t="shared" si="543"/>
        <v>0</v>
      </c>
      <c r="ED430" s="68" t="str">
        <f t="shared" si="581"/>
        <v>N/A</v>
      </c>
      <c r="EF430" s="56">
        <v>416</v>
      </c>
      <c r="EG430" s="46">
        <f t="shared" si="544"/>
        <v>0</v>
      </c>
      <c r="EH430" s="68" t="e">
        <f t="shared" si="545"/>
        <v>#N/A</v>
      </c>
      <c r="EI430" s="68" t="e">
        <f t="shared" si="546"/>
        <v>#N/A</v>
      </c>
      <c r="EJ430" s="68" t="e">
        <f t="shared" si="547"/>
        <v>#N/A</v>
      </c>
      <c r="EK430" s="68" t="e">
        <f t="shared" si="548"/>
        <v>#N/A</v>
      </c>
      <c r="EL430" s="46">
        <f t="shared" si="549"/>
        <v>0</v>
      </c>
      <c r="EM430" s="46">
        <f t="shared" si="550"/>
        <v>0</v>
      </c>
    </row>
    <row r="431" spans="1:143">
      <c r="A431" s="89"/>
      <c r="B431" s="89"/>
      <c r="C431" s="89"/>
      <c r="D431" s="89"/>
      <c r="E431" s="89"/>
      <c r="F431" s="89"/>
      <c r="G431" s="34"/>
      <c r="H431" s="56">
        <f t="shared" si="551"/>
        <v>417</v>
      </c>
      <c r="I431" s="165"/>
      <c r="J431" s="163"/>
      <c r="K431" s="163"/>
      <c r="L431" s="164"/>
      <c r="M431" s="155"/>
      <c r="N431" s="155"/>
      <c r="O431" s="144"/>
      <c r="P431" s="159" t="str">
        <f>IFERROR(IF(O431&lt;&gt;"User Specified",IF(O431&lt;&gt;"", INDEX('Refrigerant GWPs'!$G$2:$G$154,MATCH(O431,'Refrigerant GWPs'!$A$2:$A$154,0)),""),U431),0)</f>
        <v/>
      </c>
      <c r="Q431" s="155"/>
      <c r="R431" s="155"/>
      <c r="S431" s="144"/>
      <c r="T431" s="159" t="str">
        <f>IF(S431&lt;&gt;"User Specified",IF(AND(S431&lt;&gt;"User Specified",S431&lt;&gt;""), INDEX('Refrigerant GWPs'!$G$2:$G$154,MATCH(S431,'Refrigerant GWPs'!$A$2:$A$154,0)),""),V431)</f>
        <v/>
      </c>
      <c r="U431" s="144"/>
      <c r="V431" s="144"/>
      <c r="W431" s="155"/>
      <c r="X431" s="155"/>
      <c r="Y431" s="144"/>
      <c r="Z431" s="159" t="str">
        <f>IF(AND(Y431&lt;&gt;"User Specified",Y431&lt;&gt;""), INDEX('Refrigerant GWPs'!$G$2:$G$154,MATCH(Y431,'Refrigerant GWPs'!$A$2:$A$154,0)),"")</f>
        <v/>
      </c>
      <c r="AA431" s="155"/>
      <c r="AB431" s="156"/>
      <c r="AC431" s="66"/>
      <c r="AD431" s="66"/>
      <c r="AE431" s="66"/>
      <c r="AF431" s="66"/>
      <c r="AG431" s="66"/>
      <c r="AH431" s="66"/>
      <c r="AI431" s="34"/>
      <c r="AJ431" s="88">
        <f t="shared" si="514"/>
        <v>0</v>
      </c>
      <c r="AK431" s="88">
        <f t="shared" si="515"/>
        <v>0</v>
      </c>
      <c r="AL431" s="88">
        <v>0</v>
      </c>
      <c r="AM431" s="88">
        <v>0</v>
      </c>
      <c r="AN431" s="81" t="str">
        <f t="shared" si="553"/>
        <v/>
      </c>
      <c r="AO431" s="88">
        <f t="shared" si="516"/>
        <v>0</v>
      </c>
      <c r="AP431" s="88">
        <f t="shared" si="517"/>
        <v>0</v>
      </c>
      <c r="AQ431" s="81" t="str">
        <f t="shared" si="518"/>
        <v/>
      </c>
      <c r="AS431" s="41" t="b">
        <f t="shared" si="519"/>
        <v>1</v>
      </c>
      <c r="AT431" s="38">
        <f t="shared" si="520"/>
        <v>0</v>
      </c>
      <c r="AU431" s="60">
        <f t="shared" si="521"/>
        <v>0</v>
      </c>
      <c r="AV431" s="41">
        <f t="shared" si="522"/>
        <v>0</v>
      </c>
      <c r="AW431" s="41" t="b">
        <f t="shared" si="523"/>
        <v>0</v>
      </c>
      <c r="AX431" t="str">
        <f t="shared" si="524"/>
        <v>+00</v>
      </c>
      <c r="AY431" t="str">
        <f t="shared" si="525"/>
        <v>+00</v>
      </c>
      <c r="BA431" s="47" t="b">
        <f t="shared" si="554"/>
        <v>1</v>
      </c>
      <c r="BB431" s="42" t="b">
        <f t="shared" si="555"/>
        <v>1</v>
      </c>
      <c r="BC431" s="42" t="b">
        <f t="shared" si="556"/>
        <v>0</v>
      </c>
      <c r="BD431" s="42" t="b">
        <f t="shared" si="557"/>
        <v>0</v>
      </c>
      <c r="BE431" s="70">
        <f t="shared" si="558"/>
        <v>0</v>
      </c>
      <c r="BF431" s="70">
        <f t="shared" si="559"/>
        <v>0</v>
      </c>
      <c r="BG431" s="34"/>
      <c r="BI431" s="47" t="b">
        <f t="shared" si="560"/>
        <v>1</v>
      </c>
      <c r="BJ431" s="47" t="b">
        <f t="shared" si="561"/>
        <v>1</v>
      </c>
      <c r="BK431" s="42" t="b">
        <f t="shared" si="562"/>
        <v>0</v>
      </c>
      <c r="BL431" s="42" t="b">
        <f t="shared" si="563"/>
        <v>0</v>
      </c>
      <c r="BM431" s="42">
        <f t="shared" si="564"/>
        <v>0</v>
      </c>
      <c r="BN431" s="42">
        <f t="shared" si="565"/>
        <v>0</v>
      </c>
      <c r="BP431" t="e">
        <f t="shared" si="566"/>
        <v>#N/A</v>
      </c>
      <c r="BQ431" t="e">
        <f t="shared" si="567"/>
        <v>#N/A</v>
      </c>
      <c r="BR431" t="e">
        <f t="shared" si="568"/>
        <v>#N/A</v>
      </c>
      <c r="BT431" s="60">
        <f t="shared" si="569"/>
        <v>0</v>
      </c>
      <c r="BU431" s="60">
        <f t="shared" si="570"/>
        <v>0</v>
      </c>
      <c r="BV431" s="60">
        <f t="shared" si="571"/>
        <v>0</v>
      </c>
      <c r="BW431" s="60">
        <f t="shared" si="572"/>
        <v>0</v>
      </c>
      <c r="BX431" s="60">
        <f t="shared" si="573"/>
        <v>0</v>
      </c>
      <c r="BY431" s="60">
        <f t="shared" si="574"/>
        <v>0</v>
      </c>
      <c r="BZ431" s="60">
        <f t="shared" si="575"/>
        <v>0</v>
      </c>
      <c r="CA431" s="60">
        <f t="shared" si="576"/>
        <v>0</v>
      </c>
      <c r="CB431" s="60" t="e">
        <f t="shared" si="526"/>
        <v>#N/A</v>
      </c>
      <c r="CC431" s="60">
        <f t="shared" si="527"/>
        <v>100000</v>
      </c>
      <c r="CD431" s="60" t="e">
        <f t="shared" si="528"/>
        <v>#N/A</v>
      </c>
      <c r="CE431" s="60">
        <f t="shared" si="529"/>
        <v>100000</v>
      </c>
      <c r="CF431" s="83" t="e">
        <f t="shared" si="577"/>
        <v>#N/A</v>
      </c>
      <c r="CG431" s="83">
        <f t="shared" si="578"/>
        <v>0</v>
      </c>
      <c r="CH431" s="83" t="e">
        <f t="shared" si="579"/>
        <v>#N/A</v>
      </c>
      <c r="CI431" s="83">
        <f t="shared" si="580"/>
        <v>0</v>
      </c>
      <c r="CJ431" s="86" t="e">
        <f t="shared" si="530"/>
        <v>#N/A</v>
      </c>
      <c r="CK431" s="82">
        <f t="shared" si="531"/>
        <v>5.3070370403969858E-3</v>
      </c>
      <c r="CL431" s="82" t="e">
        <f t="shared" si="532"/>
        <v>#N/A</v>
      </c>
      <c r="CM431" s="82">
        <f t="shared" si="533"/>
        <v>5.3070370403969858E-3</v>
      </c>
      <c r="CO431" s="149" t="str">
        <f>IF($I431&lt;&gt;"",IF(O431="User Specified",U431,INDEX('Refrigerant GWPs'!$G$2:$G$156,MATCH(O431,'Refrigerant GWPs'!$A$2:$A$156,0))),"")</f>
        <v/>
      </c>
      <c r="CP431" s="138" t="str">
        <f>IF($I431&lt;&gt;"",INDEX('Device Refrigerant Leakage'!$E$2:$E$42,MATCH($M431,'Device Refrigerant Leakage'!$B$2:$B$42,0)),"")</f>
        <v/>
      </c>
      <c r="CQ431" s="138" t="str">
        <f>IF($I431&lt;&gt;"",INDEX('Device Refrigerant Leakage'!$F$2:$F$42,MATCH($M431,'Device Refrigerant Leakage'!$B$2:$B$42,0)),"")</f>
        <v/>
      </c>
      <c r="CR431" s="145" t="str">
        <f>IF($I431&lt;&gt;"",INDEX('Device Refrigerant Leakage'!$G$2:$G$42,MATCH($M431,'Device Refrigerant Leakage'!$B$2:$B$42,0)),"")</f>
        <v/>
      </c>
      <c r="CS431" s="145" t="str">
        <f>IF($I431&lt;&gt;"",INDEX('Device Refrigerant Leakage'!$D$2:$D$42,MATCH($M431,'Device Refrigerant Leakage'!$B$2:$B$42,0))*CP431/2204.62*CO431,"")</f>
        <v/>
      </c>
      <c r="CT431" s="145" t="str">
        <f>IF($I431&lt;&gt;"",J431*(INDEX('Device Refrigerant Leakage'!$D$2:$D$42,MATCH($M431,'Device Refrigerant Leakage'!$B$2:$B$42,0))-(INDEX('Device Refrigerant Leakage'!$D$2:$D$42,MATCH($M431,'Device Refrigerant Leakage'!$B$2:$B$42,0)))*CR431*CP431)*CQ431/2204.62*CO431,"")</f>
        <v/>
      </c>
      <c r="CU431" s="135" t="str">
        <f>IF($I431&lt;&gt;"",J431*IF(W431&lt;&gt;"AR",(CS431*K431)+CT431,(CS431*AB431)+CT431*(AB431/INDEX('Device Refrigerant Leakage'!$C$2:$C$42,MATCH($M431,'Device Refrigerant Leakage'!$B$2:$B$42,0)))),"")</f>
        <v/>
      </c>
      <c r="CW431" s="135" t="str">
        <f>IF($I431&lt;&gt;"",IF(S431="User Specified",V431,INDEX('Refrigerant GWPs'!$G$2:$G$156,MATCH(S431,'Refrigerant GWPs'!$A$2:$A$157,0))),"")</f>
        <v/>
      </c>
      <c r="CX431" s="138" t="str">
        <f>IF($I431&lt;&gt;"",INDEX('Device Refrigerant Leakage'!$E$2:$E$42,MATCH($Q431,'Device Refrigerant Leakage'!$B$2:$B$42,0)),"")</f>
        <v/>
      </c>
      <c r="CY431" s="138" t="str">
        <f>IF($I431&lt;&gt;"",INDEX('Device Refrigerant Leakage'!$F$2:$F$42,MATCH($Q431,'Device Refrigerant Leakage'!$B$2:$B$42,0)),"")</f>
        <v/>
      </c>
      <c r="CZ431" s="145" t="str">
        <f>IF($I431&lt;&gt;"",INDEX('Device Refrigerant Leakage'!$G$2:$G$42,MATCH($Q431,'Device Refrigerant Leakage'!$B$2:$B$42,0)),"")</f>
        <v/>
      </c>
      <c r="DA431" s="145" t="str">
        <f>IF($I431&lt;&gt;"",J431*INDEX('Device Refrigerant Leakage'!$D$2:$D$42,MATCH($Q431,'Device Refrigerant Leakage'!$B$2:$B$42,0))*CX431/2204.62*CW431,"")</f>
        <v/>
      </c>
      <c r="DB431" s="145" t="str">
        <f>IF($I431&lt;&gt;"",J431*(INDEX('Device Refrigerant Leakage'!$D$2:$D$42,MATCH($Q431,'Device Refrigerant Leakage'!$B$2:$B$42,0))-(INDEX('Device Refrigerant Leakage'!$D$2:$D$42,MATCH($Q431,'Device Refrigerant Leakage'!$B$2:$B$42,0)))*CZ431*CX431)*CY431/2204.62*CW431,"")</f>
        <v/>
      </c>
      <c r="DC431" s="135" t="str">
        <f t="shared" si="552"/>
        <v/>
      </c>
      <c r="DE431" s="146" t="str">
        <f>IF(W431&lt;&gt;"AR","",IF(Y431="User Specified", AA431, INDEX('Refrigerant GWPs'!$G$2:$G$154,MATCH(Y431,'Refrigerant GWPs'!$A$2:$A$154,0))))</f>
        <v/>
      </c>
      <c r="DF431" s="146" t="str">
        <f>IF(W431&lt;&gt;"AR","",INDEX('Device Refrigerant Leakage'!$E$2:$E$42,MATCH(X431,'Device Refrigerant Leakage'!$B$2:$B$42,0)))</f>
        <v/>
      </c>
      <c r="DG431" s="146" t="str">
        <f>IF(W431&lt;&gt;"AR","",INDEX('Device Refrigerant Leakage'!$F$2:$F$42,MATCH(X431,'Device Refrigerant Leakage'!$B$2:$B$42,0)))</f>
        <v/>
      </c>
      <c r="DH431" s="146" t="str">
        <f>IF(W431&lt;&gt;"AR","",INDEX('Device Refrigerant Leakage'!$G$2:$G$42,MATCH(X431,'Device Refrigerant Leakage'!$B$2:$B$42,0)))</f>
        <v/>
      </c>
      <c r="DI431" s="146" t="str">
        <f>IF(W431&lt;&gt;"AR","",J431*INDEX('Device Refrigerant Leakage'!$D$2:$D$42,MATCH(X431,'Device Refrigerant Leakage'!$B$2:$B$42,0))*DF431/2204.62*DE431)</f>
        <v/>
      </c>
      <c r="DJ431" s="146" t="str">
        <f>IF(W431&lt;&gt;"AR","",J431*(INDEX('Device Refrigerant Leakage'!$D$2:$D$42,MATCH(X431,'Device Refrigerant Leakage'!$B$2:$B$42,0))-(INDEX('Device Refrigerant Leakage'!$D$2:$D$42,MATCH(X431,'Device Refrigerant Leakage'!$B$2:$B$42,0)))*DH431*DF431)*DG431/2204.62*DE431)</f>
        <v/>
      </c>
      <c r="DK431" s="146" t="str">
        <f>IF(W431&lt;&gt;"AR","",DI431*(K431-AB431)+'Fuel Sub Calcs-Deemed'!DJ431*((K431-AB431)/INDEX('Device Refrigerant Leakage'!$C$2:$C$42,MATCH('Fuel Sub Calcs-Deemed'!X431,'Device Refrigerant Leakage'!$B$2:$B$42,0))))</f>
        <v/>
      </c>
      <c r="DM431" s="56">
        <v>417</v>
      </c>
      <c r="DN431" s="67" t="e">
        <f t="shared" si="534"/>
        <v>#N/A</v>
      </c>
      <c r="DO431" s="45" t="e">
        <f t="shared" si="535"/>
        <v>#N/A</v>
      </c>
      <c r="DP431" s="67" t="e">
        <f t="shared" si="536"/>
        <v>#N/A</v>
      </c>
      <c r="DQ431" s="45" t="e">
        <f t="shared" si="537"/>
        <v>#N/A</v>
      </c>
      <c r="DR431" s="69" t="e">
        <f t="shared" si="538"/>
        <v>#N/A</v>
      </c>
      <c r="DS431" s="34"/>
      <c r="DT431" s="67" t="e">
        <f>((BX431*CJ431)+IF($W431=MAT_AR,(BZ431*CL431),0))*(1+Reference!$E$50+Reference!$E$51)</f>
        <v>#N/A</v>
      </c>
      <c r="DU431" s="67">
        <f>((BY431*CK431)+IF($W431=MAT_AR,(CA431*CM431),0))*(1+Reference!$G$50+Reference!$G$51)</f>
        <v>0</v>
      </c>
      <c r="DV431" s="67" t="e">
        <f t="shared" si="539"/>
        <v>#VALUE!</v>
      </c>
      <c r="DX431" s="56">
        <v>417</v>
      </c>
      <c r="DY431" s="67">
        <f t="shared" si="540"/>
        <v>0</v>
      </c>
      <c r="DZ431" s="45" t="e">
        <f>VLOOKUP($R431,Dropdown!$C$3:$D$4,2,FALSE)</f>
        <v>#N/A</v>
      </c>
      <c r="EA431" s="68">
        <f t="shared" si="541"/>
        <v>0</v>
      </c>
      <c r="EB431" s="68" t="str">
        <f t="shared" si="542"/>
        <v>N/A</v>
      </c>
      <c r="EC431" s="68">
        <f t="shared" si="543"/>
        <v>0</v>
      </c>
      <c r="ED431" s="68" t="str">
        <f t="shared" si="581"/>
        <v>N/A</v>
      </c>
      <c r="EF431" s="56">
        <v>417</v>
      </c>
      <c r="EG431" s="46">
        <f t="shared" si="544"/>
        <v>0</v>
      </c>
      <c r="EH431" s="68" t="e">
        <f t="shared" si="545"/>
        <v>#N/A</v>
      </c>
      <c r="EI431" s="68" t="e">
        <f t="shared" si="546"/>
        <v>#N/A</v>
      </c>
      <c r="EJ431" s="68" t="e">
        <f t="shared" si="547"/>
        <v>#N/A</v>
      </c>
      <c r="EK431" s="68" t="e">
        <f t="shared" si="548"/>
        <v>#N/A</v>
      </c>
      <c r="EL431" s="46">
        <f t="shared" si="549"/>
        <v>0</v>
      </c>
      <c r="EM431" s="46">
        <f t="shared" si="550"/>
        <v>0</v>
      </c>
    </row>
    <row r="432" spans="1:143">
      <c r="A432" s="89"/>
      <c r="B432" s="89"/>
      <c r="C432" s="89"/>
      <c r="D432" s="89"/>
      <c r="E432" s="89"/>
      <c r="F432" s="89"/>
      <c r="G432" s="34"/>
      <c r="H432" s="56">
        <f t="shared" si="551"/>
        <v>418</v>
      </c>
      <c r="I432" s="165"/>
      <c r="J432" s="163"/>
      <c r="K432" s="163"/>
      <c r="L432" s="164"/>
      <c r="M432" s="155"/>
      <c r="N432" s="155"/>
      <c r="O432" s="144"/>
      <c r="P432" s="159" t="str">
        <f>IFERROR(IF(O432&lt;&gt;"User Specified",IF(O432&lt;&gt;"", INDEX('Refrigerant GWPs'!$G$2:$G$154,MATCH(O432,'Refrigerant GWPs'!$A$2:$A$154,0)),""),U432),0)</f>
        <v/>
      </c>
      <c r="Q432" s="155"/>
      <c r="R432" s="155"/>
      <c r="S432" s="144"/>
      <c r="T432" s="159" t="str">
        <f>IF(S432&lt;&gt;"User Specified",IF(AND(S432&lt;&gt;"User Specified",S432&lt;&gt;""), INDEX('Refrigerant GWPs'!$G$2:$G$154,MATCH(S432,'Refrigerant GWPs'!$A$2:$A$154,0)),""),V432)</f>
        <v/>
      </c>
      <c r="U432" s="144"/>
      <c r="V432" s="144"/>
      <c r="W432" s="155"/>
      <c r="X432" s="155"/>
      <c r="Y432" s="144"/>
      <c r="Z432" s="159" t="str">
        <f>IF(AND(Y432&lt;&gt;"User Specified",Y432&lt;&gt;""), INDEX('Refrigerant GWPs'!$G$2:$G$154,MATCH(Y432,'Refrigerant GWPs'!$A$2:$A$154,0)),"")</f>
        <v/>
      </c>
      <c r="AA432" s="155"/>
      <c r="AB432" s="156"/>
      <c r="AC432" s="66"/>
      <c r="AD432" s="66"/>
      <c r="AE432" s="66"/>
      <c r="AF432" s="66"/>
      <c r="AG432" s="66"/>
      <c r="AH432" s="66"/>
      <c r="AI432" s="34"/>
      <c r="AJ432" s="88">
        <f t="shared" si="514"/>
        <v>0</v>
      </c>
      <c r="AK432" s="88">
        <f t="shared" si="515"/>
        <v>0</v>
      </c>
      <c r="AL432" s="88">
        <v>0</v>
      </c>
      <c r="AM432" s="88">
        <v>0</v>
      </c>
      <c r="AN432" s="81" t="str">
        <f t="shared" si="553"/>
        <v/>
      </c>
      <c r="AO432" s="88">
        <f t="shared" si="516"/>
        <v>0</v>
      </c>
      <c r="AP432" s="88">
        <f t="shared" si="517"/>
        <v>0</v>
      </c>
      <c r="AQ432" s="81" t="str">
        <f t="shared" si="518"/>
        <v/>
      </c>
      <c r="AS432" s="41" t="b">
        <f t="shared" si="519"/>
        <v>1</v>
      </c>
      <c r="AT432" s="38">
        <f t="shared" si="520"/>
        <v>0</v>
      </c>
      <c r="AU432" s="60">
        <f t="shared" si="521"/>
        <v>0</v>
      </c>
      <c r="AV432" s="41">
        <f t="shared" si="522"/>
        <v>0</v>
      </c>
      <c r="AW432" s="41" t="b">
        <f t="shared" si="523"/>
        <v>0</v>
      </c>
      <c r="AX432" t="str">
        <f t="shared" si="524"/>
        <v>+00</v>
      </c>
      <c r="AY432" t="str">
        <f t="shared" si="525"/>
        <v>+00</v>
      </c>
      <c r="BA432" s="47" t="b">
        <f t="shared" si="554"/>
        <v>1</v>
      </c>
      <c r="BB432" s="42" t="b">
        <f t="shared" si="555"/>
        <v>1</v>
      </c>
      <c r="BC432" s="42" t="b">
        <f t="shared" si="556"/>
        <v>0</v>
      </c>
      <c r="BD432" s="42" t="b">
        <f t="shared" si="557"/>
        <v>0</v>
      </c>
      <c r="BE432" s="70">
        <f t="shared" si="558"/>
        <v>0</v>
      </c>
      <c r="BF432" s="70">
        <f t="shared" si="559"/>
        <v>0</v>
      </c>
      <c r="BG432" s="34"/>
      <c r="BI432" s="47" t="b">
        <f t="shared" si="560"/>
        <v>1</v>
      </c>
      <c r="BJ432" s="47" t="b">
        <f t="shared" si="561"/>
        <v>1</v>
      </c>
      <c r="BK432" s="42" t="b">
        <f t="shared" si="562"/>
        <v>0</v>
      </c>
      <c r="BL432" s="42" t="b">
        <f t="shared" si="563"/>
        <v>0</v>
      </c>
      <c r="BM432" s="42">
        <f t="shared" si="564"/>
        <v>0</v>
      </c>
      <c r="BN432" s="42">
        <f t="shared" si="565"/>
        <v>0</v>
      </c>
      <c r="BP432" t="e">
        <f t="shared" si="566"/>
        <v>#N/A</v>
      </c>
      <c r="BQ432" t="e">
        <f t="shared" si="567"/>
        <v>#N/A</v>
      </c>
      <c r="BR432" t="e">
        <f t="shared" si="568"/>
        <v>#N/A</v>
      </c>
      <c r="BT432" s="60">
        <f t="shared" si="569"/>
        <v>0</v>
      </c>
      <c r="BU432" s="60">
        <f t="shared" si="570"/>
        <v>0</v>
      </c>
      <c r="BV432" s="60">
        <f t="shared" si="571"/>
        <v>0</v>
      </c>
      <c r="BW432" s="60">
        <f t="shared" si="572"/>
        <v>0</v>
      </c>
      <c r="BX432" s="60">
        <f t="shared" si="573"/>
        <v>0</v>
      </c>
      <c r="BY432" s="60">
        <f t="shared" si="574"/>
        <v>0</v>
      </c>
      <c r="BZ432" s="60">
        <f t="shared" si="575"/>
        <v>0</v>
      </c>
      <c r="CA432" s="60">
        <f t="shared" si="576"/>
        <v>0</v>
      </c>
      <c r="CB432" s="60" t="e">
        <f t="shared" si="526"/>
        <v>#N/A</v>
      </c>
      <c r="CC432" s="60">
        <f t="shared" si="527"/>
        <v>100000</v>
      </c>
      <c r="CD432" s="60" t="e">
        <f t="shared" si="528"/>
        <v>#N/A</v>
      </c>
      <c r="CE432" s="60">
        <f t="shared" si="529"/>
        <v>100000</v>
      </c>
      <c r="CF432" s="83" t="e">
        <f t="shared" si="577"/>
        <v>#N/A</v>
      </c>
      <c r="CG432" s="83">
        <f t="shared" si="578"/>
        <v>0</v>
      </c>
      <c r="CH432" s="83" t="e">
        <f t="shared" si="579"/>
        <v>#N/A</v>
      </c>
      <c r="CI432" s="83">
        <f t="shared" si="580"/>
        <v>0</v>
      </c>
      <c r="CJ432" s="86" t="e">
        <f t="shared" si="530"/>
        <v>#N/A</v>
      </c>
      <c r="CK432" s="82">
        <f t="shared" si="531"/>
        <v>5.3070370403969858E-3</v>
      </c>
      <c r="CL432" s="82" t="e">
        <f t="shared" si="532"/>
        <v>#N/A</v>
      </c>
      <c r="CM432" s="82">
        <f t="shared" si="533"/>
        <v>5.3070370403969858E-3</v>
      </c>
      <c r="CO432" s="149" t="str">
        <f>IF($I432&lt;&gt;"",IF(O432="User Specified",U432,INDEX('Refrigerant GWPs'!$G$2:$G$156,MATCH(O432,'Refrigerant GWPs'!$A$2:$A$156,0))),"")</f>
        <v/>
      </c>
      <c r="CP432" s="138" t="str">
        <f>IF($I432&lt;&gt;"",INDEX('Device Refrigerant Leakage'!$E$2:$E$42,MATCH($M432,'Device Refrigerant Leakage'!$B$2:$B$42,0)),"")</f>
        <v/>
      </c>
      <c r="CQ432" s="138" t="str">
        <f>IF($I432&lt;&gt;"",INDEX('Device Refrigerant Leakage'!$F$2:$F$42,MATCH($M432,'Device Refrigerant Leakage'!$B$2:$B$42,0)),"")</f>
        <v/>
      </c>
      <c r="CR432" s="145" t="str">
        <f>IF($I432&lt;&gt;"",INDEX('Device Refrigerant Leakage'!$G$2:$G$42,MATCH($M432,'Device Refrigerant Leakage'!$B$2:$B$42,0)),"")</f>
        <v/>
      </c>
      <c r="CS432" s="145" t="str">
        <f>IF($I432&lt;&gt;"",INDEX('Device Refrigerant Leakage'!$D$2:$D$42,MATCH($M432,'Device Refrigerant Leakage'!$B$2:$B$42,0))*CP432/2204.62*CO432,"")</f>
        <v/>
      </c>
      <c r="CT432" s="145" t="str">
        <f>IF($I432&lt;&gt;"",J432*(INDEX('Device Refrigerant Leakage'!$D$2:$D$42,MATCH($M432,'Device Refrigerant Leakage'!$B$2:$B$42,0))-(INDEX('Device Refrigerant Leakage'!$D$2:$D$42,MATCH($M432,'Device Refrigerant Leakage'!$B$2:$B$42,0)))*CR432*CP432)*CQ432/2204.62*CO432,"")</f>
        <v/>
      </c>
      <c r="CU432" s="135" t="str">
        <f>IF($I432&lt;&gt;"",J432*IF(W432&lt;&gt;"AR",(CS432*K432)+CT432,(CS432*AB432)+CT432*(AB432/INDEX('Device Refrigerant Leakage'!$C$2:$C$42,MATCH($M432,'Device Refrigerant Leakage'!$B$2:$B$42,0)))),"")</f>
        <v/>
      </c>
      <c r="CW432" s="135" t="str">
        <f>IF($I432&lt;&gt;"",IF(S432="User Specified",V432,INDEX('Refrigerant GWPs'!$G$2:$G$156,MATCH(S432,'Refrigerant GWPs'!$A$2:$A$157,0))),"")</f>
        <v/>
      </c>
      <c r="CX432" s="138" t="str">
        <f>IF($I432&lt;&gt;"",INDEX('Device Refrigerant Leakage'!$E$2:$E$42,MATCH($Q432,'Device Refrigerant Leakage'!$B$2:$B$42,0)),"")</f>
        <v/>
      </c>
      <c r="CY432" s="138" t="str">
        <f>IF($I432&lt;&gt;"",INDEX('Device Refrigerant Leakage'!$F$2:$F$42,MATCH($Q432,'Device Refrigerant Leakage'!$B$2:$B$42,0)),"")</f>
        <v/>
      </c>
      <c r="CZ432" s="145" t="str">
        <f>IF($I432&lt;&gt;"",INDEX('Device Refrigerant Leakage'!$G$2:$G$42,MATCH($Q432,'Device Refrigerant Leakage'!$B$2:$B$42,0)),"")</f>
        <v/>
      </c>
      <c r="DA432" s="145" t="str">
        <f>IF($I432&lt;&gt;"",J432*INDEX('Device Refrigerant Leakage'!$D$2:$D$42,MATCH($Q432,'Device Refrigerant Leakage'!$B$2:$B$42,0))*CX432/2204.62*CW432,"")</f>
        <v/>
      </c>
      <c r="DB432" s="145" t="str">
        <f>IF($I432&lt;&gt;"",J432*(INDEX('Device Refrigerant Leakage'!$D$2:$D$42,MATCH($Q432,'Device Refrigerant Leakage'!$B$2:$B$42,0))-(INDEX('Device Refrigerant Leakage'!$D$2:$D$42,MATCH($Q432,'Device Refrigerant Leakage'!$B$2:$B$42,0)))*CZ432*CX432)*CY432/2204.62*CW432,"")</f>
        <v/>
      </c>
      <c r="DC432" s="135" t="str">
        <f t="shared" si="552"/>
        <v/>
      </c>
      <c r="DE432" s="146" t="str">
        <f>IF(W432&lt;&gt;"AR","",IF(Y432="User Specified", AA432, INDEX('Refrigerant GWPs'!$G$2:$G$154,MATCH(Y432,'Refrigerant GWPs'!$A$2:$A$154,0))))</f>
        <v/>
      </c>
      <c r="DF432" s="146" t="str">
        <f>IF(W432&lt;&gt;"AR","",INDEX('Device Refrigerant Leakage'!$E$2:$E$42,MATCH(X432,'Device Refrigerant Leakage'!$B$2:$B$42,0)))</f>
        <v/>
      </c>
      <c r="DG432" s="146" t="str">
        <f>IF(W432&lt;&gt;"AR","",INDEX('Device Refrigerant Leakage'!$F$2:$F$42,MATCH(X432,'Device Refrigerant Leakage'!$B$2:$B$42,0)))</f>
        <v/>
      </c>
      <c r="DH432" s="146" t="str">
        <f>IF(W432&lt;&gt;"AR","",INDEX('Device Refrigerant Leakage'!$G$2:$G$42,MATCH(X432,'Device Refrigerant Leakage'!$B$2:$B$42,0)))</f>
        <v/>
      </c>
      <c r="DI432" s="146" t="str">
        <f>IF(W432&lt;&gt;"AR","",J432*INDEX('Device Refrigerant Leakage'!$D$2:$D$42,MATCH(X432,'Device Refrigerant Leakage'!$B$2:$B$42,0))*DF432/2204.62*DE432)</f>
        <v/>
      </c>
      <c r="DJ432" s="146" t="str">
        <f>IF(W432&lt;&gt;"AR","",J432*(INDEX('Device Refrigerant Leakage'!$D$2:$D$42,MATCH(X432,'Device Refrigerant Leakage'!$B$2:$B$42,0))-(INDEX('Device Refrigerant Leakage'!$D$2:$D$42,MATCH(X432,'Device Refrigerant Leakage'!$B$2:$B$42,0)))*DH432*DF432)*DG432/2204.62*DE432)</f>
        <v/>
      </c>
      <c r="DK432" s="146" t="str">
        <f>IF(W432&lt;&gt;"AR","",DI432*(K432-AB432)+'Fuel Sub Calcs-Deemed'!DJ432*((K432-AB432)/INDEX('Device Refrigerant Leakage'!$C$2:$C$42,MATCH('Fuel Sub Calcs-Deemed'!X432,'Device Refrigerant Leakage'!$B$2:$B$42,0))))</f>
        <v/>
      </c>
      <c r="DM432" s="56">
        <v>418</v>
      </c>
      <c r="DN432" s="67" t="e">
        <f t="shared" si="534"/>
        <v>#N/A</v>
      </c>
      <c r="DO432" s="45" t="e">
        <f t="shared" si="535"/>
        <v>#N/A</v>
      </c>
      <c r="DP432" s="67" t="e">
        <f t="shared" si="536"/>
        <v>#N/A</v>
      </c>
      <c r="DQ432" s="45" t="e">
        <f t="shared" si="537"/>
        <v>#N/A</v>
      </c>
      <c r="DR432" s="69" t="e">
        <f t="shared" si="538"/>
        <v>#N/A</v>
      </c>
      <c r="DS432" s="34"/>
      <c r="DT432" s="67" t="e">
        <f>((BX432*CJ432)+IF($W432=MAT_AR,(BZ432*CL432),0))*(1+Reference!$E$50+Reference!$E$51)</f>
        <v>#N/A</v>
      </c>
      <c r="DU432" s="67">
        <f>((BY432*CK432)+IF($W432=MAT_AR,(CA432*CM432),0))*(1+Reference!$G$50+Reference!$G$51)</f>
        <v>0</v>
      </c>
      <c r="DV432" s="67" t="e">
        <f t="shared" si="539"/>
        <v>#VALUE!</v>
      </c>
      <c r="DX432" s="56">
        <v>418</v>
      </c>
      <c r="DY432" s="67">
        <f t="shared" si="540"/>
        <v>0</v>
      </c>
      <c r="DZ432" s="45" t="e">
        <f>VLOOKUP($R432,Dropdown!$C$3:$D$4,2,FALSE)</f>
        <v>#N/A</v>
      </c>
      <c r="EA432" s="68">
        <f t="shared" si="541"/>
        <v>0</v>
      </c>
      <c r="EB432" s="68" t="str">
        <f t="shared" si="542"/>
        <v>N/A</v>
      </c>
      <c r="EC432" s="68">
        <f t="shared" si="543"/>
        <v>0</v>
      </c>
      <c r="ED432" s="68" t="str">
        <f t="shared" si="581"/>
        <v>N/A</v>
      </c>
      <c r="EF432" s="56">
        <v>418</v>
      </c>
      <c r="EG432" s="46">
        <f t="shared" si="544"/>
        <v>0</v>
      </c>
      <c r="EH432" s="68" t="e">
        <f t="shared" si="545"/>
        <v>#N/A</v>
      </c>
      <c r="EI432" s="68" t="e">
        <f t="shared" si="546"/>
        <v>#N/A</v>
      </c>
      <c r="EJ432" s="68" t="e">
        <f t="shared" si="547"/>
        <v>#N/A</v>
      </c>
      <c r="EK432" s="68" t="e">
        <f t="shared" si="548"/>
        <v>#N/A</v>
      </c>
      <c r="EL432" s="46">
        <f t="shared" si="549"/>
        <v>0</v>
      </c>
      <c r="EM432" s="46">
        <f t="shared" si="550"/>
        <v>0</v>
      </c>
    </row>
    <row r="433" spans="1:143">
      <c r="A433" s="89"/>
      <c r="B433" s="89"/>
      <c r="C433" s="89"/>
      <c r="D433" s="89"/>
      <c r="E433" s="89"/>
      <c r="F433" s="89"/>
      <c r="G433" s="34"/>
      <c r="H433" s="56">
        <f t="shared" si="551"/>
        <v>419</v>
      </c>
      <c r="I433" s="165"/>
      <c r="J433" s="163"/>
      <c r="K433" s="163"/>
      <c r="L433" s="164"/>
      <c r="M433" s="155"/>
      <c r="N433" s="155"/>
      <c r="O433" s="144"/>
      <c r="P433" s="159" t="str">
        <f>IFERROR(IF(O433&lt;&gt;"User Specified",IF(O433&lt;&gt;"", INDEX('Refrigerant GWPs'!$G$2:$G$154,MATCH(O433,'Refrigerant GWPs'!$A$2:$A$154,0)),""),U433),0)</f>
        <v/>
      </c>
      <c r="Q433" s="155"/>
      <c r="R433" s="155"/>
      <c r="S433" s="144"/>
      <c r="T433" s="159" t="str">
        <f>IF(S433&lt;&gt;"User Specified",IF(AND(S433&lt;&gt;"User Specified",S433&lt;&gt;""), INDEX('Refrigerant GWPs'!$G$2:$G$154,MATCH(S433,'Refrigerant GWPs'!$A$2:$A$154,0)),""),V433)</f>
        <v/>
      </c>
      <c r="U433" s="144"/>
      <c r="V433" s="144"/>
      <c r="W433" s="155"/>
      <c r="X433" s="155"/>
      <c r="Y433" s="144"/>
      <c r="Z433" s="159" t="str">
        <f>IF(AND(Y433&lt;&gt;"User Specified",Y433&lt;&gt;""), INDEX('Refrigerant GWPs'!$G$2:$G$154,MATCH(Y433,'Refrigerant GWPs'!$A$2:$A$154,0)),"")</f>
        <v/>
      </c>
      <c r="AA433" s="155"/>
      <c r="AB433" s="156"/>
      <c r="AC433" s="66"/>
      <c r="AD433" s="66"/>
      <c r="AE433" s="66"/>
      <c r="AF433" s="66"/>
      <c r="AG433" s="66"/>
      <c r="AH433" s="66"/>
      <c r="AI433" s="34"/>
      <c r="AJ433" s="88">
        <f t="shared" si="514"/>
        <v>0</v>
      </c>
      <c r="AK433" s="88">
        <f t="shared" si="515"/>
        <v>0</v>
      </c>
      <c r="AL433" s="88">
        <v>0</v>
      </c>
      <c r="AM433" s="88">
        <v>0</v>
      </c>
      <c r="AN433" s="81" t="str">
        <f t="shared" si="553"/>
        <v/>
      </c>
      <c r="AO433" s="88">
        <f t="shared" si="516"/>
        <v>0</v>
      </c>
      <c r="AP433" s="88">
        <f t="shared" si="517"/>
        <v>0</v>
      </c>
      <c r="AQ433" s="81" t="str">
        <f t="shared" si="518"/>
        <v/>
      </c>
      <c r="AS433" s="41" t="b">
        <f t="shared" si="519"/>
        <v>1</v>
      </c>
      <c r="AT433" s="38">
        <f t="shared" si="520"/>
        <v>0</v>
      </c>
      <c r="AU433" s="60">
        <f t="shared" si="521"/>
        <v>0</v>
      </c>
      <c r="AV433" s="41">
        <f t="shared" si="522"/>
        <v>0</v>
      </c>
      <c r="AW433" s="41" t="b">
        <f t="shared" si="523"/>
        <v>0</v>
      </c>
      <c r="AX433" t="str">
        <f t="shared" si="524"/>
        <v>+00</v>
      </c>
      <c r="AY433" t="str">
        <f t="shared" si="525"/>
        <v>+00</v>
      </c>
      <c r="BA433" s="47" t="b">
        <f t="shared" si="554"/>
        <v>1</v>
      </c>
      <c r="BB433" s="42" t="b">
        <f t="shared" si="555"/>
        <v>1</v>
      </c>
      <c r="BC433" s="42" t="b">
        <f t="shared" si="556"/>
        <v>0</v>
      </c>
      <c r="BD433" s="42" t="b">
        <f t="shared" si="557"/>
        <v>0</v>
      </c>
      <c r="BE433" s="70">
        <f t="shared" si="558"/>
        <v>0</v>
      </c>
      <c r="BF433" s="70">
        <f t="shared" si="559"/>
        <v>0</v>
      </c>
      <c r="BG433" s="34"/>
      <c r="BI433" s="47" t="b">
        <f t="shared" si="560"/>
        <v>1</v>
      </c>
      <c r="BJ433" s="47" t="b">
        <f t="shared" si="561"/>
        <v>1</v>
      </c>
      <c r="BK433" s="42" t="b">
        <f t="shared" si="562"/>
        <v>0</v>
      </c>
      <c r="BL433" s="42" t="b">
        <f t="shared" si="563"/>
        <v>0</v>
      </c>
      <c r="BM433" s="42">
        <f t="shared" si="564"/>
        <v>0</v>
      </c>
      <c r="BN433" s="42">
        <f t="shared" si="565"/>
        <v>0</v>
      </c>
      <c r="BP433" t="e">
        <f t="shared" si="566"/>
        <v>#N/A</v>
      </c>
      <c r="BQ433" t="e">
        <f t="shared" si="567"/>
        <v>#N/A</v>
      </c>
      <c r="BR433" t="e">
        <f t="shared" si="568"/>
        <v>#N/A</v>
      </c>
      <c r="BT433" s="60">
        <f t="shared" si="569"/>
        <v>0</v>
      </c>
      <c r="BU433" s="60">
        <f t="shared" si="570"/>
        <v>0</v>
      </c>
      <c r="BV433" s="60">
        <f t="shared" si="571"/>
        <v>0</v>
      </c>
      <c r="BW433" s="60">
        <f t="shared" si="572"/>
        <v>0</v>
      </c>
      <c r="BX433" s="60">
        <f t="shared" si="573"/>
        <v>0</v>
      </c>
      <c r="BY433" s="60">
        <f t="shared" si="574"/>
        <v>0</v>
      </c>
      <c r="BZ433" s="60">
        <f t="shared" si="575"/>
        <v>0</v>
      </c>
      <c r="CA433" s="60">
        <f t="shared" si="576"/>
        <v>0</v>
      </c>
      <c r="CB433" s="60" t="e">
        <f t="shared" si="526"/>
        <v>#N/A</v>
      </c>
      <c r="CC433" s="60">
        <f t="shared" si="527"/>
        <v>100000</v>
      </c>
      <c r="CD433" s="60" t="e">
        <f t="shared" si="528"/>
        <v>#N/A</v>
      </c>
      <c r="CE433" s="60">
        <f t="shared" si="529"/>
        <v>100000</v>
      </c>
      <c r="CF433" s="83" t="e">
        <f t="shared" si="577"/>
        <v>#N/A</v>
      </c>
      <c r="CG433" s="83">
        <f t="shared" si="578"/>
        <v>0</v>
      </c>
      <c r="CH433" s="83" t="e">
        <f t="shared" si="579"/>
        <v>#N/A</v>
      </c>
      <c r="CI433" s="83">
        <f t="shared" si="580"/>
        <v>0</v>
      </c>
      <c r="CJ433" s="86" t="e">
        <f t="shared" si="530"/>
        <v>#N/A</v>
      </c>
      <c r="CK433" s="82">
        <f t="shared" si="531"/>
        <v>5.3070370403969858E-3</v>
      </c>
      <c r="CL433" s="82" t="e">
        <f t="shared" si="532"/>
        <v>#N/A</v>
      </c>
      <c r="CM433" s="82">
        <f t="shared" si="533"/>
        <v>5.3070370403969858E-3</v>
      </c>
      <c r="CO433" s="149" t="str">
        <f>IF($I433&lt;&gt;"",IF(O433="User Specified",U433,INDEX('Refrigerant GWPs'!$G$2:$G$156,MATCH(O433,'Refrigerant GWPs'!$A$2:$A$156,0))),"")</f>
        <v/>
      </c>
      <c r="CP433" s="138" t="str">
        <f>IF($I433&lt;&gt;"",INDEX('Device Refrigerant Leakage'!$E$2:$E$42,MATCH($M433,'Device Refrigerant Leakage'!$B$2:$B$42,0)),"")</f>
        <v/>
      </c>
      <c r="CQ433" s="138" t="str">
        <f>IF($I433&lt;&gt;"",INDEX('Device Refrigerant Leakage'!$F$2:$F$42,MATCH($M433,'Device Refrigerant Leakage'!$B$2:$B$42,0)),"")</f>
        <v/>
      </c>
      <c r="CR433" s="145" t="str">
        <f>IF($I433&lt;&gt;"",INDEX('Device Refrigerant Leakage'!$G$2:$G$42,MATCH($M433,'Device Refrigerant Leakage'!$B$2:$B$42,0)),"")</f>
        <v/>
      </c>
      <c r="CS433" s="145" t="str">
        <f>IF($I433&lt;&gt;"",INDEX('Device Refrigerant Leakage'!$D$2:$D$42,MATCH($M433,'Device Refrigerant Leakage'!$B$2:$B$42,0))*CP433/2204.62*CO433,"")</f>
        <v/>
      </c>
      <c r="CT433" s="145" t="str">
        <f>IF($I433&lt;&gt;"",J433*(INDEX('Device Refrigerant Leakage'!$D$2:$D$42,MATCH($M433,'Device Refrigerant Leakage'!$B$2:$B$42,0))-(INDEX('Device Refrigerant Leakage'!$D$2:$D$42,MATCH($M433,'Device Refrigerant Leakage'!$B$2:$B$42,0)))*CR433*CP433)*CQ433/2204.62*CO433,"")</f>
        <v/>
      </c>
      <c r="CU433" s="135" t="str">
        <f>IF($I433&lt;&gt;"",J433*IF(W433&lt;&gt;"AR",(CS433*K433)+CT433,(CS433*AB433)+CT433*(AB433/INDEX('Device Refrigerant Leakage'!$C$2:$C$42,MATCH($M433,'Device Refrigerant Leakage'!$B$2:$B$42,0)))),"")</f>
        <v/>
      </c>
      <c r="CW433" s="135" t="str">
        <f>IF($I433&lt;&gt;"",IF(S433="User Specified",V433,INDEX('Refrigerant GWPs'!$G$2:$G$156,MATCH(S433,'Refrigerant GWPs'!$A$2:$A$157,0))),"")</f>
        <v/>
      </c>
      <c r="CX433" s="138" t="str">
        <f>IF($I433&lt;&gt;"",INDEX('Device Refrigerant Leakage'!$E$2:$E$42,MATCH($Q433,'Device Refrigerant Leakage'!$B$2:$B$42,0)),"")</f>
        <v/>
      </c>
      <c r="CY433" s="138" t="str">
        <f>IF($I433&lt;&gt;"",INDEX('Device Refrigerant Leakage'!$F$2:$F$42,MATCH($Q433,'Device Refrigerant Leakage'!$B$2:$B$42,0)),"")</f>
        <v/>
      </c>
      <c r="CZ433" s="145" t="str">
        <f>IF($I433&lt;&gt;"",INDEX('Device Refrigerant Leakage'!$G$2:$G$42,MATCH($Q433,'Device Refrigerant Leakage'!$B$2:$B$42,0)),"")</f>
        <v/>
      </c>
      <c r="DA433" s="145" t="str">
        <f>IF($I433&lt;&gt;"",J433*INDEX('Device Refrigerant Leakage'!$D$2:$D$42,MATCH($Q433,'Device Refrigerant Leakage'!$B$2:$B$42,0))*CX433/2204.62*CW433,"")</f>
        <v/>
      </c>
      <c r="DB433" s="145" t="str">
        <f>IF($I433&lt;&gt;"",J433*(INDEX('Device Refrigerant Leakage'!$D$2:$D$42,MATCH($Q433,'Device Refrigerant Leakage'!$B$2:$B$42,0))-(INDEX('Device Refrigerant Leakage'!$D$2:$D$42,MATCH($Q433,'Device Refrigerant Leakage'!$B$2:$B$42,0)))*CZ433*CX433)*CY433/2204.62*CW433,"")</f>
        <v/>
      </c>
      <c r="DC433" s="135" t="str">
        <f t="shared" si="552"/>
        <v/>
      </c>
      <c r="DE433" s="146" t="str">
        <f>IF(W433&lt;&gt;"AR","",IF(Y433="User Specified", AA433, INDEX('Refrigerant GWPs'!$G$2:$G$154,MATCH(Y433,'Refrigerant GWPs'!$A$2:$A$154,0))))</f>
        <v/>
      </c>
      <c r="DF433" s="146" t="str">
        <f>IF(W433&lt;&gt;"AR","",INDEX('Device Refrigerant Leakage'!$E$2:$E$42,MATCH(X433,'Device Refrigerant Leakage'!$B$2:$B$42,0)))</f>
        <v/>
      </c>
      <c r="DG433" s="146" t="str">
        <f>IF(W433&lt;&gt;"AR","",INDEX('Device Refrigerant Leakage'!$F$2:$F$42,MATCH(X433,'Device Refrigerant Leakage'!$B$2:$B$42,0)))</f>
        <v/>
      </c>
      <c r="DH433" s="146" t="str">
        <f>IF(W433&lt;&gt;"AR","",INDEX('Device Refrigerant Leakage'!$G$2:$G$42,MATCH(X433,'Device Refrigerant Leakage'!$B$2:$B$42,0)))</f>
        <v/>
      </c>
      <c r="DI433" s="146" t="str">
        <f>IF(W433&lt;&gt;"AR","",J433*INDEX('Device Refrigerant Leakage'!$D$2:$D$42,MATCH(X433,'Device Refrigerant Leakage'!$B$2:$B$42,0))*DF433/2204.62*DE433)</f>
        <v/>
      </c>
      <c r="DJ433" s="146" t="str">
        <f>IF(W433&lt;&gt;"AR","",J433*(INDEX('Device Refrigerant Leakage'!$D$2:$D$42,MATCH(X433,'Device Refrigerant Leakage'!$B$2:$B$42,0))-(INDEX('Device Refrigerant Leakage'!$D$2:$D$42,MATCH(X433,'Device Refrigerant Leakage'!$B$2:$B$42,0)))*DH433*DF433)*DG433/2204.62*DE433)</f>
        <v/>
      </c>
      <c r="DK433" s="146" t="str">
        <f>IF(W433&lt;&gt;"AR","",DI433*(K433-AB433)+'Fuel Sub Calcs-Deemed'!DJ433*((K433-AB433)/INDEX('Device Refrigerant Leakage'!$C$2:$C$42,MATCH('Fuel Sub Calcs-Deemed'!X433,'Device Refrigerant Leakage'!$B$2:$B$42,0))))</f>
        <v/>
      </c>
      <c r="DM433" s="56">
        <v>419</v>
      </c>
      <c r="DN433" s="67" t="e">
        <f t="shared" si="534"/>
        <v>#N/A</v>
      </c>
      <c r="DO433" s="45" t="e">
        <f t="shared" si="535"/>
        <v>#N/A</v>
      </c>
      <c r="DP433" s="67" t="e">
        <f t="shared" si="536"/>
        <v>#N/A</v>
      </c>
      <c r="DQ433" s="45" t="e">
        <f t="shared" si="537"/>
        <v>#N/A</v>
      </c>
      <c r="DR433" s="69" t="e">
        <f t="shared" si="538"/>
        <v>#N/A</v>
      </c>
      <c r="DS433" s="34"/>
      <c r="DT433" s="67" t="e">
        <f>((BX433*CJ433)+IF($W433=MAT_AR,(BZ433*CL433),0))*(1+Reference!$E$50+Reference!$E$51)</f>
        <v>#N/A</v>
      </c>
      <c r="DU433" s="67">
        <f>((BY433*CK433)+IF($W433=MAT_AR,(CA433*CM433),0))*(1+Reference!$G$50+Reference!$G$51)</f>
        <v>0</v>
      </c>
      <c r="DV433" s="67" t="e">
        <f t="shared" si="539"/>
        <v>#VALUE!</v>
      </c>
      <c r="DX433" s="56">
        <v>419</v>
      </c>
      <c r="DY433" s="67">
        <f t="shared" si="540"/>
        <v>0</v>
      </c>
      <c r="DZ433" s="45" t="e">
        <f>VLOOKUP($R433,Dropdown!$C$3:$D$4,2,FALSE)</f>
        <v>#N/A</v>
      </c>
      <c r="EA433" s="68">
        <f t="shared" si="541"/>
        <v>0</v>
      </c>
      <c r="EB433" s="68" t="str">
        <f t="shared" si="542"/>
        <v>N/A</v>
      </c>
      <c r="EC433" s="68">
        <f t="shared" si="543"/>
        <v>0</v>
      </c>
      <c r="ED433" s="68" t="str">
        <f t="shared" si="581"/>
        <v>N/A</v>
      </c>
      <c r="EF433" s="56">
        <v>419</v>
      </c>
      <c r="EG433" s="46">
        <f t="shared" si="544"/>
        <v>0</v>
      </c>
      <c r="EH433" s="68" t="e">
        <f t="shared" si="545"/>
        <v>#N/A</v>
      </c>
      <c r="EI433" s="68" t="e">
        <f t="shared" si="546"/>
        <v>#N/A</v>
      </c>
      <c r="EJ433" s="68" t="e">
        <f t="shared" si="547"/>
        <v>#N/A</v>
      </c>
      <c r="EK433" s="68" t="e">
        <f t="shared" si="548"/>
        <v>#N/A</v>
      </c>
      <c r="EL433" s="46">
        <f t="shared" si="549"/>
        <v>0</v>
      </c>
      <c r="EM433" s="46">
        <f t="shared" si="550"/>
        <v>0</v>
      </c>
    </row>
    <row r="434" spans="1:143">
      <c r="A434" s="89"/>
      <c r="B434" s="89"/>
      <c r="C434" s="89"/>
      <c r="D434" s="89"/>
      <c r="E434" s="89"/>
      <c r="F434" s="89"/>
      <c r="G434" s="34"/>
      <c r="H434" s="56">
        <f t="shared" si="551"/>
        <v>420</v>
      </c>
      <c r="I434" s="165"/>
      <c r="J434" s="163"/>
      <c r="K434" s="163"/>
      <c r="L434" s="164"/>
      <c r="M434" s="155"/>
      <c r="N434" s="155"/>
      <c r="O434" s="144"/>
      <c r="P434" s="159" t="str">
        <f>IFERROR(IF(O434&lt;&gt;"User Specified",IF(O434&lt;&gt;"", INDEX('Refrigerant GWPs'!$G$2:$G$154,MATCH(O434,'Refrigerant GWPs'!$A$2:$A$154,0)),""),U434),0)</f>
        <v/>
      </c>
      <c r="Q434" s="155"/>
      <c r="R434" s="155"/>
      <c r="S434" s="144"/>
      <c r="T434" s="159" t="str">
        <f>IF(S434&lt;&gt;"User Specified",IF(AND(S434&lt;&gt;"User Specified",S434&lt;&gt;""), INDEX('Refrigerant GWPs'!$G$2:$G$154,MATCH(S434,'Refrigerant GWPs'!$A$2:$A$154,0)),""),V434)</f>
        <v/>
      </c>
      <c r="U434" s="144"/>
      <c r="V434" s="144"/>
      <c r="W434" s="155"/>
      <c r="X434" s="155"/>
      <c r="Y434" s="144"/>
      <c r="Z434" s="159" t="str">
        <f>IF(AND(Y434&lt;&gt;"User Specified",Y434&lt;&gt;""), INDEX('Refrigerant GWPs'!$G$2:$G$154,MATCH(Y434,'Refrigerant GWPs'!$A$2:$A$154,0)),"")</f>
        <v/>
      </c>
      <c r="AA434" s="155"/>
      <c r="AB434" s="156"/>
      <c r="AC434" s="66"/>
      <c r="AD434" s="66"/>
      <c r="AE434" s="66"/>
      <c r="AF434" s="66"/>
      <c r="AG434" s="66"/>
      <c r="AH434" s="66"/>
      <c r="AI434" s="34"/>
      <c r="AJ434" s="88">
        <f t="shared" si="514"/>
        <v>0</v>
      </c>
      <c r="AK434" s="88">
        <f t="shared" si="515"/>
        <v>0</v>
      </c>
      <c r="AL434" s="88">
        <v>0</v>
      </c>
      <c r="AM434" s="88">
        <v>0</v>
      </c>
      <c r="AN434" s="81" t="str">
        <f t="shared" si="553"/>
        <v/>
      </c>
      <c r="AO434" s="88">
        <f t="shared" si="516"/>
        <v>0</v>
      </c>
      <c r="AP434" s="88">
        <f t="shared" si="517"/>
        <v>0</v>
      </c>
      <c r="AQ434" s="81" t="str">
        <f t="shared" si="518"/>
        <v/>
      </c>
      <c r="AS434" s="41" t="b">
        <f t="shared" si="519"/>
        <v>1</v>
      </c>
      <c r="AT434" s="38">
        <f t="shared" si="520"/>
        <v>0</v>
      </c>
      <c r="AU434" s="60">
        <f t="shared" si="521"/>
        <v>0</v>
      </c>
      <c r="AV434" s="41">
        <f t="shared" si="522"/>
        <v>0</v>
      </c>
      <c r="AW434" s="41" t="b">
        <f t="shared" si="523"/>
        <v>0</v>
      </c>
      <c r="AX434" t="str">
        <f t="shared" si="524"/>
        <v>+00</v>
      </c>
      <c r="AY434" t="str">
        <f t="shared" si="525"/>
        <v>+00</v>
      </c>
      <c r="BA434" s="47" t="b">
        <f t="shared" si="554"/>
        <v>1</v>
      </c>
      <c r="BB434" s="42" t="b">
        <f t="shared" si="555"/>
        <v>1</v>
      </c>
      <c r="BC434" s="42" t="b">
        <f t="shared" si="556"/>
        <v>0</v>
      </c>
      <c r="BD434" s="42" t="b">
        <f t="shared" si="557"/>
        <v>0</v>
      </c>
      <c r="BE434" s="70">
        <f t="shared" si="558"/>
        <v>0</v>
      </c>
      <c r="BF434" s="70">
        <f t="shared" si="559"/>
        <v>0</v>
      </c>
      <c r="BG434" s="34"/>
      <c r="BI434" s="47" t="b">
        <f t="shared" si="560"/>
        <v>1</v>
      </c>
      <c r="BJ434" s="47" t="b">
        <f t="shared" si="561"/>
        <v>1</v>
      </c>
      <c r="BK434" s="42" t="b">
        <f t="shared" si="562"/>
        <v>0</v>
      </c>
      <c r="BL434" s="42" t="b">
        <f t="shared" si="563"/>
        <v>0</v>
      </c>
      <c r="BM434" s="42">
        <f t="shared" si="564"/>
        <v>0</v>
      </c>
      <c r="BN434" s="42">
        <f t="shared" si="565"/>
        <v>0</v>
      </c>
      <c r="BP434" t="e">
        <f t="shared" si="566"/>
        <v>#N/A</v>
      </c>
      <c r="BQ434" t="e">
        <f t="shared" si="567"/>
        <v>#N/A</v>
      </c>
      <c r="BR434" t="e">
        <f t="shared" si="568"/>
        <v>#N/A</v>
      </c>
      <c r="BT434" s="60">
        <f t="shared" si="569"/>
        <v>0</v>
      </c>
      <c r="BU434" s="60">
        <f t="shared" si="570"/>
        <v>0</v>
      </c>
      <c r="BV434" s="60">
        <f t="shared" si="571"/>
        <v>0</v>
      </c>
      <c r="BW434" s="60">
        <f t="shared" si="572"/>
        <v>0</v>
      </c>
      <c r="BX434" s="60">
        <f t="shared" si="573"/>
        <v>0</v>
      </c>
      <c r="BY434" s="60">
        <f t="shared" si="574"/>
        <v>0</v>
      </c>
      <c r="BZ434" s="60">
        <f t="shared" si="575"/>
        <v>0</v>
      </c>
      <c r="CA434" s="60">
        <f t="shared" si="576"/>
        <v>0</v>
      </c>
      <c r="CB434" s="60" t="e">
        <f t="shared" si="526"/>
        <v>#N/A</v>
      </c>
      <c r="CC434" s="60">
        <f t="shared" si="527"/>
        <v>100000</v>
      </c>
      <c r="CD434" s="60" t="e">
        <f t="shared" si="528"/>
        <v>#N/A</v>
      </c>
      <c r="CE434" s="60">
        <f t="shared" si="529"/>
        <v>100000</v>
      </c>
      <c r="CF434" s="83" t="e">
        <f t="shared" si="577"/>
        <v>#N/A</v>
      </c>
      <c r="CG434" s="83">
        <f t="shared" si="578"/>
        <v>0</v>
      </c>
      <c r="CH434" s="83" t="e">
        <f t="shared" si="579"/>
        <v>#N/A</v>
      </c>
      <c r="CI434" s="83">
        <f t="shared" si="580"/>
        <v>0</v>
      </c>
      <c r="CJ434" s="86" t="e">
        <f t="shared" si="530"/>
        <v>#N/A</v>
      </c>
      <c r="CK434" s="82">
        <f t="shared" si="531"/>
        <v>5.3070370403969858E-3</v>
      </c>
      <c r="CL434" s="82" t="e">
        <f t="shared" si="532"/>
        <v>#N/A</v>
      </c>
      <c r="CM434" s="82">
        <f t="shared" si="533"/>
        <v>5.3070370403969858E-3</v>
      </c>
      <c r="CO434" s="149" t="str">
        <f>IF($I434&lt;&gt;"",IF(O434="User Specified",U434,INDEX('Refrigerant GWPs'!$G$2:$G$156,MATCH(O434,'Refrigerant GWPs'!$A$2:$A$156,0))),"")</f>
        <v/>
      </c>
      <c r="CP434" s="138" t="str">
        <f>IF($I434&lt;&gt;"",INDEX('Device Refrigerant Leakage'!$E$2:$E$42,MATCH($M434,'Device Refrigerant Leakage'!$B$2:$B$42,0)),"")</f>
        <v/>
      </c>
      <c r="CQ434" s="138" t="str">
        <f>IF($I434&lt;&gt;"",INDEX('Device Refrigerant Leakage'!$F$2:$F$42,MATCH($M434,'Device Refrigerant Leakage'!$B$2:$B$42,0)),"")</f>
        <v/>
      </c>
      <c r="CR434" s="145" t="str">
        <f>IF($I434&lt;&gt;"",INDEX('Device Refrigerant Leakage'!$G$2:$G$42,MATCH($M434,'Device Refrigerant Leakage'!$B$2:$B$42,0)),"")</f>
        <v/>
      </c>
      <c r="CS434" s="145" t="str">
        <f>IF($I434&lt;&gt;"",INDEX('Device Refrigerant Leakage'!$D$2:$D$42,MATCH($M434,'Device Refrigerant Leakage'!$B$2:$B$42,0))*CP434/2204.62*CO434,"")</f>
        <v/>
      </c>
      <c r="CT434" s="145" t="str">
        <f>IF($I434&lt;&gt;"",J434*(INDEX('Device Refrigerant Leakage'!$D$2:$D$42,MATCH($M434,'Device Refrigerant Leakage'!$B$2:$B$42,0))-(INDEX('Device Refrigerant Leakage'!$D$2:$D$42,MATCH($M434,'Device Refrigerant Leakage'!$B$2:$B$42,0)))*CR434*CP434)*CQ434/2204.62*CO434,"")</f>
        <v/>
      </c>
      <c r="CU434" s="135" t="str">
        <f>IF($I434&lt;&gt;"",J434*IF(W434&lt;&gt;"AR",(CS434*K434)+CT434,(CS434*AB434)+CT434*(AB434/INDEX('Device Refrigerant Leakage'!$C$2:$C$42,MATCH($M434,'Device Refrigerant Leakage'!$B$2:$B$42,0)))),"")</f>
        <v/>
      </c>
      <c r="CW434" s="135" t="str">
        <f>IF($I434&lt;&gt;"",IF(S434="User Specified",V434,INDEX('Refrigerant GWPs'!$G$2:$G$156,MATCH(S434,'Refrigerant GWPs'!$A$2:$A$157,0))),"")</f>
        <v/>
      </c>
      <c r="CX434" s="138" t="str">
        <f>IF($I434&lt;&gt;"",INDEX('Device Refrigerant Leakage'!$E$2:$E$42,MATCH($Q434,'Device Refrigerant Leakage'!$B$2:$B$42,0)),"")</f>
        <v/>
      </c>
      <c r="CY434" s="138" t="str">
        <f>IF($I434&lt;&gt;"",INDEX('Device Refrigerant Leakage'!$F$2:$F$42,MATCH($Q434,'Device Refrigerant Leakage'!$B$2:$B$42,0)),"")</f>
        <v/>
      </c>
      <c r="CZ434" s="145" t="str">
        <f>IF($I434&lt;&gt;"",INDEX('Device Refrigerant Leakage'!$G$2:$G$42,MATCH($Q434,'Device Refrigerant Leakage'!$B$2:$B$42,0)),"")</f>
        <v/>
      </c>
      <c r="DA434" s="145" t="str">
        <f>IF($I434&lt;&gt;"",J434*INDEX('Device Refrigerant Leakage'!$D$2:$D$42,MATCH($Q434,'Device Refrigerant Leakage'!$B$2:$B$42,0))*CX434/2204.62*CW434,"")</f>
        <v/>
      </c>
      <c r="DB434" s="145" t="str">
        <f>IF($I434&lt;&gt;"",J434*(INDEX('Device Refrigerant Leakage'!$D$2:$D$42,MATCH($Q434,'Device Refrigerant Leakage'!$B$2:$B$42,0))-(INDEX('Device Refrigerant Leakage'!$D$2:$D$42,MATCH($Q434,'Device Refrigerant Leakage'!$B$2:$B$42,0)))*CZ434*CX434)*CY434/2204.62*CW434,"")</f>
        <v/>
      </c>
      <c r="DC434" s="135" t="str">
        <f t="shared" si="552"/>
        <v/>
      </c>
      <c r="DE434" s="146" t="str">
        <f>IF(W434&lt;&gt;"AR","",IF(Y434="User Specified", AA434, INDEX('Refrigerant GWPs'!$G$2:$G$154,MATCH(Y434,'Refrigerant GWPs'!$A$2:$A$154,0))))</f>
        <v/>
      </c>
      <c r="DF434" s="146" t="str">
        <f>IF(W434&lt;&gt;"AR","",INDEX('Device Refrigerant Leakage'!$E$2:$E$42,MATCH(X434,'Device Refrigerant Leakage'!$B$2:$B$42,0)))</f>
        <v/>
      </c>
      <c r="DG434" s="146" t="str">
        <f>IF(W434&lt;&gt;"AR","",INDEX('Device Refrigerant Leakage'!$F$2:$F$42,MATCH(X434,'Device Refrigerant Leakage'!$B$2:$B$42,0)))</f>
        <v/>
      </c>
      <c r="DH434" s="146" t="str">
        <f>IF(W434&lt;&gt;"AR","",INDEX('Device Refrigerant Leakage'!$G$2:$G$42,MATCH(X434,'Device Refrigerant Leakage'!$B$2:$B$42,0)))</f>
        <v/>
      </c>
      <c r="DI434" s="146" t="str">
        <f>IF(W434&lt;&gt;"AR","",J434*INDEX('Device Refrigerant Leakage'!$D$2:$D$42,MATCH(X434,'Device Refrigerant Leakage'!$B$2:$B$42,0))*DF434/2204.62*DE434)</f>
        <v/>
      </c>
      <c r="DJ434" s="146" t="str">
        <f>IF(W434&lt;&gt;"AR","",J434*(INDEX('Device Refrigerant Leakage'!$D$2:$D$42,MATCH(X434,'Device Refrigerant Leakage'!$B$2:$B$42,0))-(INDEX('Device Refrigerant Leakage'!$D$2:$D$42,MATCH(X434,'Device Refrigerant Leakage'!$B$2:$B$42,0)))*DH434*DF434)*DG434/2204.62*DE434)</f>
        <v/>
      </c>
      <c r="DK434" s="146" t="str">
        <f>IF(W434&lt;&gt;"AR","",DI434*(K434-AB434)+'Fuel Sub Calcs-Deemed'!DJ434*((K434-AB434)/INDEX('Device Refrigerant Leakage'!$C$2:$C$42,MATCH('Fuel Sub Calcs-Deemed'!X434,'Device Refrigerant Leakage'!$B$2:$B$42,0))))</f>
        <v/>
      </c>
      <c r="DM434" s="56">
        <v>420</v>
      </c>
      <c r="DN434" s="67" t="e">
        <f t="shared" si="534"/>
        <v>#N/A</v>
      </c>
      <c r="DO434" s="45" t="e">
        <f t="shared" si="535"/>
        <v>#N/A</v>
      </c>
      <c r="DP434" s="67" t="e">
        <f t="shared" si="536"/>
        <v>#N/A</v>
      </c>
      <c r="DQ434" s="45" t="e">
        <f t="shared" si="537"/>
        <v>#N/A</v>
      </c>
      <c r="DR434" s="69" t="e">
        <f t="shared" si="538"/>
        <v>#N/A</v>
      </c>
      <c r="DS434" s="34"/>
      <c r="DT434" s="67" t="e">
        <f>((BX434*CJ434)+IF($W434=MAT_AR,(BZ434*CL434),0))*(1+Reference!$E$50+Reference!$E$51)</f>
        <v>#N/A</v>
      </c>
      <c r="DU434" s="67">
        <f>((BY434*CK434)+IF($W434=MAT_AR,(CA434*CM434),0))*(1+Reference!$G$50+Reference!$G$51)</f>
        <v>0</v>
      </c>
      <c r="DV434" s="67" t="e">
        <f t="shared" si="539"/>
        <v>#VALUE!</v>
      </c>
      <c r="DX434" s="56">
        <v>420</v>
      </c>
      <c r="DY434" s="67">
        <f t="shared" si="540"/>
        <v>0</v>
      </c>
      <c r="DZ434" s="45" t="e">
        <f>VLOOKUP($R434,Dropdown!$C$3:$D$4,2,FALSE)</f>
        <v>#N/A</v>
      </c>
      <c r="EA434" s="68">
        <f t="shared" si="541"/>
        <v>0</v>
      </c>
      <c r="EB434" s="68" t="str">
        <f t="shared" si="542"/>
        <v>N/A</v>
      </c>
      <c r="EC434" s="68">
        <f t="shared" si="543"/>
        <v>0</v>
      </c>
      <c r="ED434" s="68" t="str">
        <f t="shared" si="581"/>
        <v>N/A</v>
      </c>
      <c r="EF434" s="56">
        <v>420</v>
      </c>
      <c r="EG434" s="46">
        <f t="shared" si="544"/>
        <v>0</v>
      </c>
      <c r="EH434" s="68" t="e">
        <f t="shared" si="545"/>
        <v>#N/A</v>
      </c>
      <c r="EI434" s="68" t="e">
        <f t="shared" si="546"/>
        <v>#N/A</v>
      </c>
      <c r="EJ434" s="68" t="e">
        <f t="shared" si="547"/>
        <v>#N/A</v>
      </c>
      <c r="EK434" s="68" t="e">
        <f t="shared" si="548"/>
        <v>#N/A</v>
      </c>
      <c r="EL434" s="46">
        <f t="shared" si="549"/>
        <v>0</v>
      </c>
      <c r="EM434" s="46">
        <f t="shared" si="550"/>
        <v>0</v>
      </c>
    </row>
    <row r="435" spans="1:143">
      <c r="A435" s="89"/>
      <c r="B435" s="89"/>
      <c r="C435" s="89"/>
      <c r="D435" s="89"/>
      <c r="E435" s="89"/>
      <c r="F435" s="89"/>
      <c r="G435" s="34"/>
      <c r="H435" s="56">
        <f t="shared" si="551"/>
        <v>421</v>
      </c>
      <c r="I435" s="165"/>
      <c r="J435" s="163"/>
      <c r="K435" s="163"/>
      <c r="L435" s="164"/>
      <c r="M435" s="155"/>
      <c r="N435" s="155"/>
      <c r="O435" s="144"/>
      <c r="P435" s="159" t="str">
        <f>IFERROR(IF(O435&lt;&gt;"User Specified",IF(O435&lt;&gt;"", INDEX('Refrigerant GWPs'!$G$2:$G$154,MATCH(O435,'Refrigerant GWPs'!$A$2:$A$154,0)),""),U435),0)</f>
        <v/>
      </c>
      <c r="Q435" s="155"/>
      <c r="R435" s="155"/>
      <c r="S435" s="144"/>
      <c r="T435" s="159" t="str">
        <f>IF(S435&lt;&gt;"User Specified",IF(AND(S435&lt;&gt;"User Specified",S435&lt;&gt;""), INDEX('Refrigerant GWPs'!$G$2:$G$154,MATCH(S435,'Refrigerant GWPs'!$A$2:$A$154,0)),""),V435)</f>
        <v/>
      </c>
      <c r="U435" s="144"/>
      <c r="V435" s="144"/>
      <c r="W435" s="155"/>
      <c r="X435" s="155"/>
      <c r="Y435" s="144"/>
      <c r="Z435" s="159" t="str">
        <f>IF(AND(Y435&lt;&gt;"User Specified",Y435&lt;&gt;""), INDEX('Refrigerant GWPs'!$G$2:$G$154,MATCH(Y435,'Refrigerant GWPs'!$A$2:$A$154,0)),"")</f>
        <v/>
      </c>
      <c r="AA435" s="155"/>
      <c r="AB435" s="156"/>
      <c r="AC435" s="66"/>
      <c r="AD435" s="66"/>
      <c r="AE435" s="66"/>
      <c r="AF435" s="66"/>
      <c r="AG435" s="66"/>
      <c r="AH435" s="66"/>
      <c r="AI435" s="34"/>
      <c r="AJ435" s="88">
        <f t="shared" si="514"/>
        <v>0</v>
      </c>
      <c r="AK435" s="88">
        <f t="shared" si="515"/>
        <v>0</v>
      </c>
      <c r="AL435" s="88">
        <v>0</v>
      </c>
      <c r="AM435" s="88">
        <v>0</v>
      </c>
      <c r="AN435" s="81" t="str">
        <f t="shared" si="553"/>
        <v/>
      </c>
      <c r="AO435" s="88">
        <f t="shared" si="516"/>
        <v>0</v>
      </c>
      <c r="AP435" s="88">
        <f t="shared" si="517"/>
        <v>0</v>
      </c>
      <c r="AQ435" s="81" t="str">
        <f t="shared" si="518"/>
        <v/>
      </c>
      <c r="AS435" s="41" t="b">
        <f t="shared" si="519"/>
        <v>1</v>
      </c>
      <c r="AT435" s="38">
        <f t="shared" si="520"/>
        <v>0</v>
      </c>
      <c r="AU435" s="60">
        <f t="shared" si="521"/>
        <v>0</v>
      </c>
      <c r="AV435" s="41">
        <f t="shared" si="522"/>
        <v>0</v>
      </c>
      <c r="AW435" s="41" t="b">
        <f t="shared" si="523"/>
        <v>0</v>
      </c>
      <c r="AX435" t="str">
        <f t="shared" si="524"/>
        <v>+00</v>
      </c>
      <c r="AY435" t="str">
        <f t="shared" si="525"/>
        <v>+00</v>
      </c>
      <c r="BA435" s="47" t="b">
        <f t="shared" si="554"/>
        <v>1</v>
      </c>
      <c r="BB435" s="42" t="b">
        <f t="shared" si="555"/>
        <v>1</v>
      </c>
      <c r="BC435" s="42" t="b">
        <f t="shared" si="556"/>
        <v>0</v>
      </c>
      <c r="BD435" s="42" t="b">
        <f t="shared" si="557"/>
        <v>0</v>
      </c>
      <c r="BE435" s="70">
        <f t="shared" si="558"/>
        <v>0</v>
      </c>
      <c r="BF435" s="70">
        <f t="shared" si="559"/>
        <v>0</v>
      </c>
      <c r="BG435" s="34"/>
      <c r="BI435" s="47" t="b">
        <f t="shared" si="560"/>
        <v>1</v>
      </c>
      <c r="BJ435" s="47" t="b">
        <f t="shared" si="561"/>
        <v>1</v>
      </c>
      <c r="BK435" s="42" t="b">
        <f t="shared" si="562"/>
        <v>0</v>
      </c>
      <c r="BL435" s="42" t="b">
        <f t="shared" si="563"/>
        <v>0</v>
      </c>
      <c r="BM435" s="42">
        <f t="shared" si="564"/>
        <v>0</v>
      </c>
      <c r="BN435" s="42">
        <f t="shared" si="565"/>
        <v>0</v>
      </c>
      <c r="BP435" t="e">
        <f t="shared" si="566"/>
        <v>#N/A</v>
      </c>
      <c r="BQ435" t="e">
        <f t="shared" si="567"/>
        <v>#N/A</v>
      </c>
      <c r="BR435" t="e">
        <f t="shared" si="568"/>
        <v>#N/A</v>
      </c>
      <c r="BT435" s="60">
        <f t="shared" si="569"/>
        <v>0</v>
      </c>
      <c r="BU435" s="60">
        <f t="shared" si="570"/>
        <v>0</v>
      </c>
      <c r="BV435" s="60">
        <f t="shared" si="571"/>
        <v>0</v>
      </c>
      <c r="BW435" s="60">
        <f t="shared" si="572"/>
        <v>0</v>
      </c>
      <c r="BX435" s="60">
        <f t="shared" si="573"/>
        <v>0</v>
      </c>
      <c r="BY435" s="60">
        <f t="shared" si="574"/>
        <v>0</v>
      </c>
      <c r="BZ435" s="60">
        <f t="shared" si="575"/>
        <v>0</v>
      </c>
      <c r="CA435" s="60">
        <f t="shared" si="576"/>
        <v>0</v>
      </c>
      <c r="CB435" s="60" t="e">
        <f t="shared" si="526"/>
        <v>#N/A</v>
      </c>
      <c r="CC435" s="60">
        <f t="shared" si="527"/>
        <v>100000</v>
      </c>
      <c r="CD435" s="60" t="e">
        <f t="shared" si="528"/>
        <v>#N/A</v>
      </c>
      <c r="CE435" s="60">
        <f t="shared" si="529"/>
        <v>100000</v>
      </c>
      <c r="CF435" s="83" t="e">
        <f t="shared" si="577"/>
        <v>#N/A</v>
      </c>
      <c r="CG435" s="83">
        <f t="shared" si="578"/>
        <v>0</v>
      </c>
      <c r="CH435" s="83" t="e">
        <f t="shared" si="579"/>
        <v>#N/A</v>
      </c>
      <c r="CI435" s="83">
        <f t="shared" si="580"/>
        <v>0</v>
      </c>
      <c r="CJ435" s="86" t="e">
        <f t="shared" si="530"/>
        <v>#N/A</v>
      </c>
      <c r="CK435" s="82">
        <f t="shared" si="531"/>
        <v>5.3070370403969858E-3</v>
      </c>
      <c r="CL435" s="82" t="e">
        <f t="shared" si="532"/>
        <v>#N/A</v>
      </c>
      <c r="CM435" s="82">
        <f t="shared" si="533"/>
        <v>5.3070370403969858E-3</v>
      </c>
      <c r="CO435" s="149" t="str">
        <f>IF($I435&lt;&gt;"",IF(O435="User Specified",U435,INDEX('Refrigerant GWPs'!$G$2:$G$156,MATCH(O435,'Refrigerant GWPs'!$A$2:$A$156,0))),"")</f>
        <v/>
      </c>
      <c r="CP435" s="138" t="str">
        <f>IF($I435&lt;&gt;"",INDEX('Device Refrigerant Leakage'!$E$2:$E$42,MATCH($M435,'Device Refrigerant Leakage'!$B$2:$B$42,0)),"")</f>
        <v/>
      </c>
      <c r="CQ435" s="138" t="str">
        <f>IF($I435&lt;&gt;"",INDEX('Device Refrigerant Leakage'!$F$2:$F$42,MATCH($M435,'Device Refrigerant Leakage'!$B$2:$B$42,0)),"")</f>
        <v/>
      </c>
      <c r="CR435" s="145" t="str">
        <f>IF($I435&lt;&gt;"",INDEX('Device Refrigerant Leakage'!$G$2:$G$42,MATCH($M435,'Device Refrigerant Leakage'!$B$2:$B$42,0)),"")</f>
        <v/>
      </c>
      <c r="CS435" s="145" t="str">
        <f>IF($I435&lt;&gt;"",INDEX('Device Refrigerant Leakage'!$D$2:$D$42,MATCH($M435,'Device Refrigerant Leakage'!$B$2:$B$42,0))*CP435/2204.62*CO435,"")</f>
        <v/>
      </c>
      <c r="CT435" s="145" t="str">
        <f>IF($I435&lt;&gt;"",J435*(INDEX('Device Refrigerant Leakage'!$D$2:$D$42,MATCH($M435,'Device Refrigerant Leakage'!$B$2:$B$42,0))-(INDEX('Device Refrigerant Leakage'!$D$2:$D$42,MATCH($M435,'Device Refrigerant Leakage'!$B$2:$B$42,0)))*CR435*CP435)*CQ435/2204.62*CO435,"")</f>
        <v/>
      </c>
      <c r="CU435" s="135" t="str">
        <f>IF($I435&lt;&gt;"",J435*IF(W435&lt;&gt;"AR",(CS435*K435)+CT435,(CS435*AB435)+CT435*(AB435/INDEX('Device Refrigerant Leakage'!$C$2:$C$42,MATCH($M435,'Device Refrigerant Leakage'!$B$2:$B$42,0)))),"")</f>
        <v/>
      </c>
      <c r="CW435" s="135" t="str">
        <f>IF($I435&lt;&gt;"",IF(S435="User Specified",V435,INDEX('Refrigerant GWPs'!$G$2:$G$156,MATCH(S435,'Refrigerant GWPs'!$A$2:$A$157,0))),"")</f>
        <v/>
      </c>
      <c r="CX435" s="138" t="str">
        <f>IF($I435&lt;&gt;"",INDEX('Device Refrigerant Leakage'!$E$2:$E$42,MATCH($Q435,'Device Refrigerant Leakage'!$B$2:$B$42,0)),"")</f>
        <v/>
      </c>
      <c r="CY435" s="138" t="str">
        <f>IF($I435&lt;&gt;"",INDEX('Device Refrigerant Leakage'!$F$2:$F$42,MATCH($Q435,'Device Refrigerant Leakage'!$B$2:$B$42,0)),"")</f>
        <v/>
      </c>
      <c r="CZ435" s="145" t="str">
        <f>IF($I435&lt;&gt;"",INDEX('Device Refrigerant Leakage'!$G$2:$G$42,MATCH($Q435,'Device Refrigerant Leakage'!$B$2:$B$42,0)),"")</f>
        <v/>
      </c>
      <c r="DA435" s="145" t="str">
        <f>IF($I435&lt;&gt;"",J435*INDEX('Device Refrigerant Leakage'!$D$2:$D$42,MATCH($Q435,'Device Refrigerant Leakage'!$B$2:$B$42,0))*CX435/2204.62*CW435,"")</f>
        <v/>
      </c>
      <c r="DB435" s="145" t="str">
        <f>IF($I435&lt;&gt;"",J435*(INDEX('Device Refrigerant Leakage'!$D$2:$D$42,MATCH($Q435,'Device Refrigerant Leakage'!$B$2:$B$42,0))-(INDEX('Device Refrigerant Leakage'!$D$2:$D$42,MATCH($Q435,'Device Refrigerant Leakage'!$B$2:$B$42,0)))*CZ435*CX435)*CY435/2204.62*CW435,"")</f>
        <v/>
      </c>
      <c r="DC435" s="135" t="str">
        <f t="shared" si="552"/>
        <v/>
      </c>
      <c r="DE435" s="146" t="str">
        <f>IF(W435&lt;&gt;"AR","",IF(Y435="User Specified", AA435, INDEX('Refrigerant GWPs'!$G$2:$G$154,MATCH(Y435,'Refrigerant GWPs'!$A$2:$A$154,0))))</f>
        <v/>
      </c>
      <c r="DF435" s="146" t="str">
        <f>IF(W435&lt;&gt;"AR","",INDEX('Device Refrigerant Leakage'!$E$2:$E$42,MATCH(X435,'Device Refrigerant Leakage'!$B$2:$B$42,0)))</f>
        <v/>
      </c>
      <c r="DG435" s="146" t="str">
        <f>IF(W435&lt;&gt;"AR","",INDEX('Device Refrigerant Leakage'!$F$2:$F$42,MATCH(X435,'Device Refrigerant Leakage'!$B$2:$B$42,0)))</f>
        <v/>
      </c>
      <c r="DH435" s="146" t="str">
        <f>IF(W435&lt;&gt;"AR","",INDEX('Device Refrigerant Leakage'!$G$2:$G$42,MATCH(X435,'Device Refrigerant Leakage'!$B$2:$B$42,0)))</f>
        <v/>
      </c>
      <c r="DI435" s="146" t="str">
        <f>IF(W435&lt;&gt;"AR","",J435*INDEX('Device Refrigerant Leakage'!$D$2:$D$42,MATCH(X435,'Device Refrigerant Leakage'!$B$2:$B$42,0))*DF435/2204.62*DE435)</f>
        <v/>
      </c>
      <c r="DJ435" s="146" t="str">
        <f>IF(W435&lt;&gt;"AR","",J435*(INDEX('Device Refrigerant Leakage'!$D$2:$D$42,MATCH(X435,'Device Refrigerant Leakage'!$B$2:$B$42,0))-(INDEX('Device Refrigerant Leakage'!$D$2:$D$42,MATCH(X435,'Device Refrigerant Leakage'!$B$2:$B$42,0)))*DH435*DF435)*DG435/2204.62*DE435)</f>
        <v/>
      </c>
      <c r="DK435" s="146" t="str">
        <f>IF(W435&lt;&gt;"AR","",DI435*(K435-AB435)+'Fuel Sub Calcs-Deemed'!DJ435*((K435-AB435)/INDEX('Device Refrigerant Leakage'!$C$2:$C$42,MATCH('Fuel Sub Calcs-Deemed'!X435,'Device Refrigerant Leakage'!$B$2:$B$42,0))))</f>
        <v/>
      </c>
      <c r="DM435" s="56">
        <v>421</v>
      </c>
      <c r="DN435" s="67" t="e">
        <f t="shared" si="534"/>
        <v>#N/A</v>
      </c>
      <c r="DO435" s="45" t="e">
        <f t="shared" si="535"/>
        <v>#N/A</v>
      </c>
      <c r="DP435" s="67" t="e">
        <f t="shared" si="536"/>
        <v>#N/A</v>
      </c>
      <c r="DQ435" s="45" t="e">
        <f t="shared" si="537"/>
        <v>#N/A</v>
      </c>
      <c r="DR435" s="69" t="e">
        <f t="shared" si="538"/>
        <v>#N/A</v>
      </c>
      <c r="DS435" s="34"/>
      <c r="DT435" s="67" t="e">
        <f>((BX435*CJ435)+IF($W435=MAT_AR,(BZ435*CL435),0))*(1+Reference!$E$50+Reference!$E$51)</f>
        <v>#N/A</v>
      </c>
      <c r="DU435" s="67">
        <f>((BY435*CK435)+IF($W435=MAT_AR,(CA435*CM435),0))*(1+Reference!$G$50+Reference!$G$51)</f>
        <v>0</v>
      </c>
      <c r="DV435" s="67" t="e">
        <f t="shared" si="539"/>
        <v>#VALUE!</v>
      </c>
      <c r="DX435" s="56">
        <v>421</v>
      </c>
      <c r="DY435" s="67">
        <f t="shared" si="540"/>
        <v>0</v>
      </c>
      <c r="DZ435" s="45" t="e">
        <f>VLOOKUP($R435,Dropdown!$C$3:$D$4,2,FALSE)</f>
        <v>#N/A</v>
      </c>
      <c r="EA435" s="68">
        <f t="shared" si="541"/>
        <v>0</v>
      </c>
      <c r="EB435" s="68" t="str">
        <f t="shared" si="542"/>
        <v>N/A</v>
      </c>
      <c r="EC435" s="68">
        <f t="shared" si="543"/>
        <v>0</v>
      </c>
      <c r="ED435" s="68" t="str">
        <f t="shared" si="581"/>
        <v>N/A</v>
      </c>
      <c r="EF435" s="56">
        <v>421</v>
      </c>
      <c r="EG435" s="46">
        <f t="shared" si="544"/>
        <v>0</v>
      </c>
      <c r="EH435" s="68" t="e">
        <f t="shared" si="545"/>
        <v>#N/A</v>
      </c>
      <c r="EI435" s="68" t="e">
        <f t="shared" si="546"/>
        <v>#N/A</v>
      </c>
      <c r="EJ435" s="68" t="e">
        <f t="shared" si="547"/>
        <v>#N/A</v>
      </c>
      <c r="EK435" s="68" t="e">
        <f t="shared" si="548"/>
        <v>#N/A</v>
      </c>
      <c r="EL435" s="46">
        <f t="shared" si="549"/>
        <v>0</v>
      </c>
      <c r="EM435" s="46">
        <f t="shared" si="550"/>
        <v>0</v>
      </c>
    </row>
    <row r="436" spans="1:143">
      <c r="A436" s="89"/>
      <c r="B436" s="89"/>
      <c r="C436" s="89"/>
      <c r="D436" s="89"/>
      <c r="E436" s="89"/>
      <c r="F436" s="89"/>
      <c r="G436" s="34"/>
      <c r="H436" s="56">
        <f t="shared" si="551"/>
        <v>422</v>
      </c>
      <c r="I436" s="165"/>
      <c r="J436" s="163"/>
      <c r="K436" s="163"/>
      <c r="L436" s="164"/>
      <c r="M436" s="155"/>
      <c r="N436" s="155"/>
      <c r="O436" s="144"/>
      <c r="P436" s="159" t="str">
        <f>IFERROR(IF(O436&lt;&gt;"User Specified",IF(O436&lt;&gt;"", INDEX('Refrigerant GWPs'!$G$2:$G$154,MATCH(O436,'Refrigerant GWPs'!$A$2:$A$154,0)),""),U436),0)</f>
        <v/>
      </c>
      <c r="Q436" s="155"/>
      <c r="R436" s="155"/>
      <c r="S436" s="144"/>
      <c r="T436" s="159" t="str">
        <f>IF(S436&lt;&gt;"User Specified",IF(AND(S436&lt;&gt;"User Specified",S436&lt;&gt;""), INDEX('Refrigerant GWPs'!$G$2:$G$154,MATCH(S436,'Refrigerant GWPs'!$A$2:$A$154,0)),""),V436)</f>
        <v/>
      </c>
      <c r="U436" s="144"/>
      <c r="V436" s="144"/>
      <c r="W436" s="155"/>
      <c r="X436" s="155"/>
      <c r="Y436" s="144"/>
      <c r="Z436" s="159" t="str">
        <f>IF(AND(Y436&lt;&gt;"User Specified",Y436&lt;&gt;""), INDEX('Refrigerant GWPs'!$G$2:$G$154,MATCH(Y436,'Refrigerant GWPs'!$A$2:$A$154,0)),"")</f>
        <v/>
      </c>
      <c r="AA436" s="155"/>
      <c r="AB436" s="156"/>
      <c r="AC436" s="66"/>
      <c r="AD436" s="66"/>
      <c r="AE436" s="66"/>
      <c r="AF436" s="66"/>
      <c r="AG436" s="66"/>
      <c r="AH436" s="66"/>
      <c r="AI436" s="34"/>
      <c r="AJ436" s="88">
        <f t="shared" si="514"/>
        <v>0</v>
      </c>
      <c r="AK436" s="88">
        <f t="shared" si="515"/>
        <v>0</v>
      </c>
      <c r="AL436" s="88">
        <v>0</v>
      </c>
      <c r="AM436" s="88">
        <v>0</v>
      </c>
      <c r="AN436" s="81" t="str">
        <f t="shared" si="553"/>
        <v/>
      </c>
      <c r="AO436" s="88">
        <f t="shared" si="516"/>
        <v>0</v>
      </c>
      <c r="AP436" s="88">
        <f t="shared" si="517"/>
        <v>0</v>
      </c>
      <c r="AQ436" s="81" t="str">
        <f t="shared" si="518"/>
        <v/>
      </c>
      <c r="AS436" s="41" t="b">
        <f t="shared" si="519"/>
        <v>1</v>
      </c>
      <c r="AT436" s="38">
        <f t="shared" si="520"/>
        <v>0</v>
      </c>
      <c r="AU436" s="60">
        <f t="shared" si="521"/>
        <v>0</v>
      </c>
      <c r="AV436" s="41">
        <f t="shared" si="522"/>
        <v>0</v>
      </c>
      <c r="AW436" s="41" t="b">
        <f t="shared" si="523"/>
        <v>0</v>
      </c>
      <c r="AX436" t="str">
        <f t="shared" si="524"/>
        <v>+00</v>
      </c>
      <c r="AY436" t="str">
        <f t="shared" si="525"/>
        <v>+00</v>
      </c>
      <c r="BA436" s="47" t="b">
        <f t="shared" si="554"/>
        <v>1</v>
      </c>
      <c r="BB436" s="42" t="b">
        <f t="shared" si="555"/>
        <v>1</v>
      </c>
      <c r="BC436" s="42" t="b">
        <f t="shared" si="556"/>
        <v>0</v>
      </c>
      <c r="BD436" s="42" t="b">
        <f t="shared" si="557"/>
        <v>0</v>
      </c>
      <c r="BE436" s="70">
        <f t="shared" si="558"/>
        <v>0</v>
      </c>
      <c r="BF436" s="70">
        <f t="shared" si="559"/>
        <v>0</v>
      </c>
      <c r="BG436" s="34"/>
      <c r="BI436" s="47" t="b">
        <f t="shared" si="560"/>
        <v>1</v>
      </c>
      <c r="BJ436" s="47" t="b">
        <f t="shared" si="561"/>
        <v>1</v>
      </c>
      <c r="BK436" s="42" t="b">
        <f t="shared" si="562"/>
        <v>0</v>
      </c>
      <c r="BL436" s="42" t="b">
        <f t="shared" si="563"/>
        <v>0</v>
      </c>
      <c r="BM436" s="42">
        <f t="shared" si="564"/>
        <v>0</v>
      </c>
      <c r="BN436" s="42">
        <f t="shared" si="565"/>
        <v>0</v>
      </c>
      <c r="BP436" t="e">
        <f t="shared" si="566"/>
        <v>#N/A</v>
      </c>
      <c r="BQ436" t="e">
        <f t="shared" si="567"/>
        <v>#N/A</v>
      </c>
      <c r="BR436" t="e">
        <f t="shared" si="568"/>
        <v>#N/A</v>
      </c>
      <c r="BT436" s="60">
        <f t="shared" si="569"/>
        <v>0</v>
      </c>
      <c r="BU436" s="60">
        <f t="shared" si="570"/>
        <v>0</v>
      </c>
      <c r="BV436" s="60">
        <f t="shared" si="571"/>
        <v>0</v>
      </c>
      <c r="BW436" s="60">
        <f t="shared" si="572"/>
        <v>0</v>
      </c>
      <c r="BX436" s="60">
        <f t="shared" si="573"/>
        <v>0</v>
      </c>
      <c r="BY436" s="60">
        <f t="shared" si="574"/>
        <v>0</v>
      </c>
      <c r="BZ436" s="60">
        <f t="shared" si="575"/>
        <v>0</v>
      </c>
      <c r="CA436" s="60">
        <f t="shared" si="576"/>
        <v>0</v>
      </c>
      <c r="CB436" s="60" t="e">
        <f t="shared" si="526"/>
        <v>#N/A</v>
      </c>
      <c r="CC436" s="60">
        <f t="shared" si="527"/>
        <v>100000</v>
      </c>
      <c r="CD436" s="60" t="e">
        <f t="shared" si="528"/>
        <v>#N/A</v>
      </c>
      <c r="CE436" s="60">
        <f t="shared" si="529"/>
        <v>100000</v>
      </c>
      <c r="CF436" s="83" t="e">
        <f t="shared" si="577"/>
        <v>#N/A</v>
      </c>
      <c r="CG436" s="83">
        <f t="shared" si="578"/>
        <v>0</v>
      </c>
      <c r="CH436" s="83" t="e">
        <f t="shared" si="579"/>
        <v>#N/A</v>
      </c>
      <c r="CI436" s="83">
        <f t="shared" si="580"/>
        <v>0</v>
      </c>
      <c r="CJ436" s="86" t="e">
        <f t="shared" si="530"/>
        <v>#N/A</v>
      </c>
      <c r="CK436" s="82">
        <f t="shared" si="531"/>
        <v>5.3070370403969858E-3</v>
      </c>
      <c r="CL436" s="82" t="e">
        <f t="shared" si="532"/>
        <v>#N/A</v>
      </c>
      <c r="CM436" s="82">
        <f t="shared" si="533"/>
        <v>5.3070370403969858E-3</v>
      </c>
      <c r="CO436" s="149" t="str">
        <f>IF($I436&lt;&gt;"",IF(O436="User Specified",U436,INDEX('Refrigerant GWPs'!$G$2:$G$156,MATCH(O436,'Refrigerant GWPs'!$A$2:$A$156,0))),"")</f>
        <v/>
      </c>
      <c r="CP436" s="138" t="str">
        <f>IF($I436&lt;&gt;"",INDEX('Device Refrigerant Leakage'!$E$2:$E$42,MATCH($M436,'Device Refrigerant Leakage'!$B$2:$B$42,0)),"")</f>
        <v/>
      </c>
      <c r="CQ436" s="138" t="str">
        <f>IF($I436&lt;&gt;"",INDEX('Device Refrigerant Leakage'!$F$2:$F$42,MATCH($M436,'Device Refrigerant Leakage'!$B$2:$B$42,0)),"")</f>
        <v/>
      </c>
      <c r="CR436" s="145" t="str">
        <f>IF($I436&lt;&gt;"",INDEX('Device Refrigerant Leakage'!$G$2:$G$42,MATCH($M436,'Device Refrigerant Leakage'!$B$2:$B$42,0)),"")</f>
        <v/>
      </c>
      <c r="CS436" s="145" t="str">
        <f>IF($I436&lt;&gt;"",INDEX('Device Refrigerant Leakage'!$D$2:$D$42,MATCH($M436,'Device Refrigerant Leakage'!$B$2:$B$42,0))*CP436/2204.62*CO436,"")</f>
        <v/>
      </c>
      <c r="CT436" s="145" t="str">
        <f>IF($I436&lt;&gt;"",J436*(INDEX('Device Refrigerant Leakage'!$D$2:$D$42,MATCH($M436,'Device Refrigerant Leakage'!$B$2:$B$42,0))-(INDEX('Device Refrigerant Leakage'!$D$2:$D$42,MATCH($M436,'Device Refrigerant Leakage'!$B$2:$B$42,0)))*CR436*CP436)*CQ436/2204.62*CO436,"")</f>
        <v/>
      </c>
      <c r="CU436" s="135" t="str">
        <f>IF($I436&lt;&gt;"",J436*IF(W436&lt;&gt;"AR",(CS436*K436)+CT436,(CS436*AB436)+CT436*(AB436/INDEX('Device Refrigerant Leakage'!$C$2:$C$42,MATCH($M436,'Device Refrigerant Leakage'!$B$2:$B$42,0)))),"")</f>
        <v/>
      </c>
      <c r="CW436" s="135" t="str">
        <f>IF($I436&lt;&gt;"",IF(S436="User Specified",V436,INDEX('Refrigerant GWPs'!$G$2:$G$156,MATCH(S436,'Refrigerant GWPs'!$A$2:$A$157,0))),"")</f>
        <v/>
      </c>
      <c r="CX436" s="138" t="str">
        <f>IF($I436&lt;&gt;"",INDEX('Device Refrigerant Leakage'!$E$2:$E$42,MATCH($Q436,'Device Refrigerant Leakage'!$B$2:$B$42,0)),"")</f>
        <v/>
      </c>
      <c r="CY436" s="138" t="str">
        <f>IF($I436&lt;&gt;"",INDEX('Device Refrigerant Leakage'!$F$2:$F$42,MATCH($Q436,'Device Refrigerant Leakage'!$B$2:$B$42,0)),"")</f>
        <v/>
      </c>
      <c r="CZ436" s="145" t="str">
        <f>IF($I436&lt;&gt;"",INDEX('Device Refrigerant Leakage'!$G$2:$G$42,MATCH($Q436,'Device Refrigerant Leakage'!$B$2:$B$42,0)),"")</f>
        <v/>
      </c>
      <c r="DA436" s="145" t="str">
        <f>IF($I436&lt;&gt;"",J436*INDEX('Device Refrigerant Leakage'!$D$2:$D$42,MATCH($Q436,'Device Refrigerant Leakage'!$B$2:$B$42,0))*CX436/2204.62*CW436,"")</f>
        <v/>
      </c>
      <c r="DB436" s="145" t="str">
        <f>IF($I436&lt;&gt;"",J436*(INDEX('Device Refrigerant Leakage'!$D$2:$D$42,MATCH($Q436,'Device Refrigerant Leakage'!$B$2:$B$42,0))-(INDEX('Device Refrigerant Leakage'!$D$2:$D$42,MATCH($Q436,'Device Refrigerant Leakage'!$B$2:$B$42,0)))*CZ436*CX436)*CY436/2204.62*CW436,"")</f>
        <v/>
      </c>
      <c r="DC436" s="135" t="str">
        <f t="shared" si="552"/>
        <v/>
      </c>
      <c r="DE436" s="146" t="str">
        <f>IF(W436&lt;&gt;"AR","",IF(Y436="User Specified", AA436, INDEX('Refrigerant GWPs'!$G$2:$G$154,MATCH(Y436,'Refrigerant GWPs'!$A$2:$A$154,0))))</f>
        <v/>
      </c>
      <c r="DF436" s="146" t="str">
        <f>IF(W436&lt;&gt;"AR","",INDEX('Device Refrigerant Leakage'!$E$2:$E$42,MATCH(X436,'Device Refrigerant Leakage'!$B$2:$B$42,0)))</f>
        <v/>
      </c>
      <c r="DG436" s="146" t="str">
        <f>IF(W436&lt;&gt;"AR","",INDEX('Device Refrigerant Leakage'!$F$2:$F$42,MATCH(X436,'Device Refrigerant Leakage'!$B$2:$B$42,0)))</f>
        <v/>
      </c>
      <c r="DH436" s="146" t="str">
        <f>IF(W436&lt;&gt;"AR","",INDEX('Device Refrigerant Leakage'!$G$2:$G$42,MATCH(X436,'Device Refrigerant Leakage'!$B$2:$B$42,0)))</f>
        <v/>
      </c>
      <c r="DI436" s="146" t="str">
        <f>IF(W436&lt;&gt;"AR","",J436*INDEX('Device Refrigerant Leakage'!$D$2:$D$42,MATCH(X436,'Device Refrigerant Leakage'!$B$2:$B$42,0))*DF436/2204.62*DE436)</f>
        <v/>
      </c>
      <c r="DJ436" s="146" t="str">
        <f>IF(W436&lt;&gt;"AR","",J436*(INDEX('Device Refrigerant Leakage'!$D$2:$D$42,MATCH(X436,'Device Refrigerant Leakage'!$B$2:$B$42,0))-(INDEX('Device Refrigerant Leakage'!$D$2:$D$42,MATCH(X436,'Device Refrigerant Leakage'!$B$2:$B$42,0)))*DH436*DF436)*DG436/2204.62*DE436)</f>
        <v/>
      </c>
      <c r="DK436" s="146" t="str">
        <f>IF(W436&lt;&gt;"AR","",DI436*(K436-AB436)+'Fuel Sub Calcs-Deemed'!DJ436*((K436-AB436)/INDEX('Device Refrigerant Leakage'!$C$2:$C$42,MATCH('Fuel Sub Calcs-Deemed'!X436,'Device Refrigerant Leakage'!$B$2:$B$42,0))))</f>
        <v/>
      </c>
      <c r="DM436" s="56">
        <v>422</v>
      </c>
      <c r="DN436" s="67" t="e">
        <f t="shared" si="534"/>
        <v>#N/A</v>
      </c>
      <c r="DO436" s="45" t="e">
        <f t="shared" si="535"/>
        <v>#N/A</v>
      </c>
      <c r="DP436" s="67" t="e">
        <f t="shared" si="536"/>
        <v>#N/A</v>
      </c>
      <c r="DQ436" s="45" t="e">
        <f t="shared" si="537"/>
        <v>#N/A</v>
      </c>
      <c r="DR436" s="69" t="e">
        <f t="shared" si="538"/>
        <v>#N/A</v>
      </c>
      <c r="DS436" s="34"/>
      <c r="DT436" s="67" t="e">
        <f>((BX436*CJ436)+IF($W436=MAT_AR,(BZ436*CL436),0))*(1+Reference!$E$50+Reference!$E$51)</f>
        <v>#N/A</v>
      </c>
      <c r="DU436" s="67">
        <f>((BY436*CK436)+IF($W436=MAT_AR,(CA436*CM436),0))*(1+Reference!$G$50+Reference!$G$51)</f>
        <v>0</v>
      </c>
      <c r="DV436" s="67" t="e">
        <f t="shared" si="539"/>
        <v>#VALUE!</v>
      </c>
      <c r="DX436" s="56">
        <v>422</v>
      </c>
      <c r="DY436" s="67">
        <f t="shared" si="540"/>
        <v>0</v>
      </c>
      <c r="DZ436" s="45" t="e">
        <f>VLOOKUP($R436,Dropdown!$C$3:$D$4,2,FALSE)</f>
        <v>#N/A</v>
      </c>
      <c r="EA436" s="68">
        <f t="shared" si="541"/>
        <v>0</v>
      </c>
      <c r="EB436" s="68" t="str">
        <f t="shared" si="542"/>
        <v>N/A</v>
      </c>
      <c r="EC436" s="68">
        <f t="shared" si="543"/>
        <v>0</v>
      </c>
      <c r="ED436" s="68" t="str">
        <f t="shared" si="581"/>
        <v>N/A</v>
      </c>
      <c r="EF436" s="56">
        <v>422</v>
      </c>
      <c r="EG436" s="46">
        <f t="shared" si="544"/>
        <v>0</v>
      </c>
      <c r="EH436" s="68" t="e">
        <f t="shared" si="545"/>
        <v>#N/A</v>
      </c>
      <c r="EI436" s="68" t="e">
        <f t="shared" si="546"/>
        <v>#N/A</v>
      </c>
      <c r="EJ436" s="68" t="e">
        <f t="shared" si="547"/>
        <v>#N/A</v>
      </c>
      <c r="EK436" s="68" t="e">
        <f t="shared" si="548"/>
        <v>#N/A</v>
      </c>
      <c r="EL436" s="46">
        <f t="shared" si="549"/>
        <v>0</v>
      </c>
      <c r="EM436" s="46">
        <f t="shared" si="550"/>
        <v>0</v>
      </c>
    </row>
    <row r="437" spans="1:143">
      <c r="A437" s="89"/>
      <c r="B437" s="89"/>
      <c r="C437" s="89"/>
      <c r="D437" s="89"/>
      <c r="E437" s="89"/>
      <c r="F437" s="89"/>
      <c r="G437" s="34"/>
      <c r="H437" s="56">
        <f t="shared" si="551"/>
        <v>423</v>
      </c>
      <c r="I437" s="165"/>
      <c r="J437" s="163"/>
      <c r="K437" s="163"/>
      <c r="L437" s="164"/>
      <c r="M437" s="155"/>
      <c r="N437" s="155"/>
      <c r="O437" s="144"/>
      <c r="P437" s="159" t="str">
        <f>IFERROR(IF(O437&lt;&gt;"User Specified",IF(O437&lt;&gt;"", INDEX('Refrigerant GWPs'!$G$2:$G$154,MATCH(O437,'Refrigerant GWPs'!$A$2:$A$154,0)),""),U437),0)</f>
        <v/>
      </c>
      <c r="Q437" s="155"/>
      <c r="R437" s="155"/>
      <c r="S437" s="144"/>
      <c r="T437" s="159" t="str">
        <f>IF(S437&lt;&gt;"User Specified",IF(AND(S437&lt;&gt;"User Specified",S437&lt;&gt;""), INDEX('Refrigerant GWPs'!$G$2:$G$154,MATCH(S437,'Refrigerant GWPs'!$A$2:$A$154,0)),""),V437)</f>
        <v/>
      </c>
      <c r="U437" s="144"/>
      <c r="V437" s="144"/>
      <c r="W437" s="155"/>
      <c r="X437" s="155"/>
      <c r="Y437" s="144"/>
      <c r="Z437" s="159" t="str">
        <f>IF(AND(Y437&lt;&gt;"User Specified",Y437&lt;&gt;""), INDEX('Refrigerant GWPs'!$G$2:$G$154,MATCH(Y437,'Refrigerant GWPs'!$A$2:$A$154,0)),"")</f>
        <v/>
      </c>
      <c r="AA437" s="155"/>
      <c r="AB437" s="156"/>
      <c r="AC437" s="66"/>
      <c r="AD437" s="66"/>
      <c r="AE437" s="66"/>
      <c r="AF437" s="66"/>
      <c r="AG437" s="66"/>
      <c r="AH437" s="66"/>
      <c r="AI437" s="34"/>
      <c r="AJ437" s="88">
        <f t="shared" si="514"/>
        <v>0</v>
      </c>
      <c r="AK437" s="88">
        <f t="shared" si="515"/>
        <v>0</v>
      </c>
      <c r="AL437" s="88">
        <v>0</v>
      </c>
      <c r="AM437" s="88">
        <v>0</v>
      </c>
      <c r="AN437" s="81" t="str">
        <f t="shared" si="553"/>
        <v/>
      </c>
      <c r="AO437" s="88">
        <f t="shared" si="516"/>
        <v>0</v>
      </c>
      <c r="AP437" s="88">
        <f t="shared" si="517"/>
        <v>0</v>
      </c>
      <c r="AQ437" s="81" t="str">
        <f t="shared" si="518"/>
        <v/>
      </c>
      <c r="AS437" s="41" t="b">
        <f t="shared" si="519"/>
        <v>1</v>
      </c>
      <c r="AT437" s="38">
        <f t="shared" si="520"/>
        <v>0</v>
      </c>
      <c r="AU437" s="60">
        <f t="shared" si="521"/>
        <v>0</v>
      </c>
      <c r="AV437" s="41">
        <f t="shared" si="522"/>
        <v>0</v>
      </c>
      <c r="AW437" s="41" t="b">
        <f t="shared" si="523"/>
        <v>0</v>
      </c>
      <c r="AX437" t="str">
        <f t="shared" si="524"/>
        <v>+00</v>
      </c>
      <c r="AY437" t="str">
        <f t="shared" si="525"/>
        <v>+00</v>
      </c>
      <c r="BA437" s="47" t="b">
        <f t="shared" si="554"/>
        <v>1</v>
      </c>
      <c r="BB437" s="42" t="b">
        <f t="shared" si="555"/>
        <v>1</v>
      </c>
      <c r="BC437" s="42" t="b">
        <f t="shared" si="556"/>
        <v>0</v>
      </c>
      <c r="BD437" s="42" t="b">
        <f t="shared" si="557"/>
        <v>0</v>
      </c>
      <c r="BE437" s="70">
        <f t="shared" si="558"/>
        <v>0</v>
      </c>
      <c r="BF437" s="70">
        <f t="shared" si="559"/>
        <v>0</v>
      </c>
      <c r="BG437" s="34"/>
      <c r="BI437" s="47" t="b">
        <f t="shared" si="560"/>
        <v>1</v>
      </c>
      <c r="BJ437" s="47" t="b">
        <f t="shared" si="561"/>
        <v>1</v>
      </c>
      <c r="BK437" s="42" t="b">
        <f t="shared" si="562"/>
        <v>0</v>
      </c>
      <c r="BL437" s="42" t="b">
        <f t="shared" si="563"/>
        <v>0</v>
      </c>
      <c r="BM437" s="42">
        <f t="shared" si="564"/>
        <v>0</v>
      </c>
      <c r="BN437" s="42">
        <f t="shared" si="565"/>
        <v>0</v>
      </c>
      <c r="BP437" t="e">
        <f t="shared" si="566"/>
        <v>#N/A</v>
      </c>
      <c r="BQ437" t="e">
        <f t="shared" si="567"/>
        <v>#N/A</v>
      </c>
      <c r="BR437" t="e">
        <f t="shared" si="568"/>
        <v>#N/A</v>
      </c>
      <c r="BT437" s="60">
        <f t="shared" si="569"/>
        <v>0</v>
      </c>
      <c r="BU437" s="60">
        <f t="shared" si="570"/>
        <v>0</v>
      </c>
      <c r="BV437" s="60">
        <f t="shared" si="571"/>
        <v>0</v>
      </c>
      <c r="BW437" s="60">
        <f t="shared" si="572"/>
        <v>0</v>
      </c>
      <c r="BX437" s="60">
        <f t="shared" si="573"/>
        <v>0</v>
      </c>
      <c r="BY437" s="60">
        <f t="shared" si="574"/>
        <v>0</v>
      </c>
      <c r="BZ437" s="60">
        <f t="shared" si="575"/>
        <v>0</v>
      </c>
      <c r="CA437" s="60">
        <f t="shared" si="576"/>
        <v>0</v>
      </c>
      <c r="CB437" s="60" t="e">
        <f t="shared" si="526"/>
        <v>#N/A</v>
      </c>
      <c r="CC437" s="60">
        <f t="shared" si="527"/>
        <v>100000</v>
      </c>
      <c r="CD437" s="60" t="e">
        <f t="shared" si="528"/>
        <v>#N/A</v>
      </c>
      <c r="CE437" s="60">
        <f t="shared" si="529"/>
        <v>100000</v>
      </c>
      <c r="CF437" s="83" t="e">
        <f t="shared" si="577"/>
        <v>#N/A</v>
      </c>
      <c r="CG437" s="83">
        <f t="shared" si="578"/>
        <v>0</v>
      </c>
      <c r="CH437" s="83" t="e">
        <f t="shared" si="579"/>
        <v>#N/A</v>
      </c>
      <c r="CI437" s="83">
        <f t="shared" si="580"/>
        <v>0</v>
      </c>
      <c r="CJ437" s="86" t="e">
        <f t="shared" si="530"/>
        <v>#N/A</v>
      </c>
      <c r="CK437" s="82">
        <f t="shared" si="531"/>
        <v>5.3070370403969858E-3</v>
      </c>
      <c r="CL437" s="82" t="e">
        <f t="shared" si="532"/>
        <v>#N/A</v>
      </c>
      <c r="CM437" s="82">
        <f t="shared" si="533"/>
        <v>5.3070370403969858E-3</v>
      </c>
      <c r="CO437" s="149" t="str">
        <f>IF($I437&lt;&gt;"",IF(O437="User Specified",U437,INDEX('Refrigerant GWPs'!$G$2:$G$156,MATCH(O437,'Refrigerant GWPs'!$A$2:$A$156,0))),"")</f>
        <v/>
      </c>
      <c r="CP437" s="138" t="str">
        <f>IF($I437&lt;&gt;"",INDEX('Device Refrigerant Leakage'!$E$2:$E$42,MATCH($M437,'Device Refrigerant Leakage'!$B$2:$B$42,0)),"")</f>
        <v/>
      </c>
      <c r="CQ437" s="138" t="str">
        <f>IF($I437&lt;&gt;"",INDEX('Device Refrigerant Leakage'!$F$2:$F$42,MATCH($M437,'Device Refrigerant Leakage'!$B$2:$B$42,0)),"")</f>
        <v/>
      </c>
      <c r="CR437" s="145" t="str">
        <f>IF($I437&lt;&gt;"",INDEX('Device Refrigerant Leakage'!$G$2:$G$42,MATCH($M437,'Device Refrigerant Leakage'!$B$2:$B$42,0)),"")</f>
        <v/>
      </c>
      <c r="CS437" s="145" t="str">
        <f>IF($I437&lt;&gt;"",INDEX('Device Refrigerant Leakage'!$D$2:$D$42,MATCH($M437,'Device Refrigerant Leakage'!$B$2:$B$42,0))*CP437/2204.62*CO437,"")</f>
        <v/>
      </c>
      <c r="CT437" s="145" t="str">
        <f>IF($I437&lt;&gt;"",J437*(INDEX('Device Refrigerant Leakage'!$D$2:$D$42,MATCH($M437,'Device Refrigerant Leakage'!$B$2:$B$42,0))-(INDEX('Device Refrigerant Leakage'!$D$2:$D$42,MATCH($M437,'Device Refrigerant Leakage'!$B$2:$B$42,0)))*CR437*CP437)*CQ437/2204.62*CO437,"")</f>
        <v/>
      </c>
      <c r="CU437" s="135" t="str">
        <f>IF($I437&lt;&gt;"",J437*IF(W437&lt;&gt;"AR",(CS437*K437)+CT437,(CS437*AB437)+CT437*(AB437/INDEX('Device Refrigerant Leakage'!$C$2:$C$42,MATCH($M437,'Device Refrigerant Leakage'!$B$2:$B$42,0)))),"")</f>
        <v/>
      </c>
      <c r="CW437" s="135" t="str">
        <f>IF($I437&lt;&gt;"",IF(S437="User Specified",V437,INDEX('Refrigerant GWPs'!$G$2:$G$156,MATCH(S437,'Refrigerant GWPs'!$A$2:$A$157,0))),"")</f>
        <v/>
      </c>
      <c r="CX437" s="138" t="str">
        <f>IF($I437&lt;&gt;"",INDEX('Device Refrigerant Leakage'!$E$2:$E$42,MATCH($Q437,'Device Refrigerant Leakage'!$B$2:$B$42,0)),"")</f>
        <v/>
      </c>
      <c r="CY437" s="138" t="str">
        <f>IF($I437&lt;&gt;"",INDEX('Device Refrigerant Leakage'!$F$2:$F$42,MATCH($Q437,'Device Refrigerant Leakage'!$B$2:$B$42,0)),"")</f>
        <v/>
      </c>
      <c r="CZ437" s="145" t="str">
        <f>IF($I437&lt;&gt;"",INDEX('Device Refrigerant Leakage'!$G$2:$G$42,MATCH($Q437,'Device Refrigerant Leakage'!$B$2:$B$42,0)),"")</f>
        <v/>
      </c>
      <c r="DA437" s="145" t="str">
        <f>IF($I437&lt;&gt;"",J437*INDEX('Device Refrigerant Leakage'!$D$2:$D$42,MATCH($Q437,'Device Refrigerant Leakage'!$B$2:$B$42,0))*CX437/2204.62*CW437,"")</f>
        <v/>
      </c>
      <c r="DB437" s="145" t="str">
        <f>IF($I437&lt;&gt;"",J437*(INDEX('Device Refrigerant Leakage'!$D$2:$D$42,MATCH($Q437,'Device Refrigerant Leakage'!$B$2:$B$42,0))-(INDEX('Device Refrigerant Leakage'!$D$2:$D$42,MATCH($Q437,'Device Refrigerant Leakage'!$B$2:$B$42,0)))*CZ437*CX437)*CY437/2204.62*CW437,"")</f>
        <v/>
      </c>
      <c r="DC437" s="135" t="str">
        <f t="shared" si="552"/>
        <v/>
      </c>
      <c r="DE437" s="146" t="str">
        <f>IF(W437&lt;&gt;"AR","",IF(Y437="User Specified", AA437, INDEX('Refrigerant GWPs'!$G$2:$G$154,MATCH(Y437,'Refrigerant GWPs'!$A$2:$A$154,0))))</f>
        <v/>
      </c>
      <c r="DF437" s="146" t="str">
        <f>IF(W437&lt;&gt;"AR","",INDEX('Device Refrigerant Leakage'!$E$2:$E$42,MATCH(X437,'Device Refrigerant Leakage'!$B$2:$B$42,0)))</f>
        <v/>
      </c>
      <c r="DG437" s="146" t="str">
        <f>IF(W437&lt;&gt;"AR","",INDEX('Device Refrigerant Leakage'!$F$2:$F$42,MATCH(X437,'Device Refrigerant Leakage'!$B$2:$B$42,0)))</f>
        <v/>
      </c>
      <c r="DH437" s="146" t="str">
        <f>IF(W437&lt;&gt;"AR","",INDEX('Device Refrigerant Leakage'!$G$2:$G$42,MATCH(X437,'Device Refrigerant Leakage'!$B$2:$B$42,0)))</f>
        <v/>
      </c>
      <c r="DI437" s="146" t="str">
        <f>IF(W437&lt;&gt;"AR","",J437*INDEX('Device Refrigerant Leakage'!$D$2:$D$42,MATCH(X437,'Device Refrigerant Leakage'!$B$2:$B$42,0))*DF437/2204.62*DE437)</f>
        <v/>
      </c>
      <c r="DJ437" s="146" t="str">
        <f>IF(W437&lt;&gt;"AR","",J437*(INDEX('Device Refrigerant Leakage'!$D$2:$D$42,MATCH(X437,'Device Refrigerant Leakage'!$B$2:$B$42,0))-(INDEX('Device Refrigerant Leakage'!$D$2:$D$42,MATCH(X437,'Device Refrigerant Leakage'!$B$2:$B$42,0)))*DH437*DF437)*DG437/2204.62*DE437)</f>
        <v/>
      </c>
      <c r="DK437" s="146" t="str">
        <f>IF(W437&lt;&gt;"AR","",DI437*(K437-AB437)+'Fuel Sub Calcs-Deemed'!DJ437*((K437-AB437)/INDEX('Device Refrigerant Leakage'!$C$2:$C$42,MATCH('Fuel Sub Calcs-Deemed'!X437,'Device Refrigerant Leakage'!$B$2:$B$42,0))))</f>
        <v/>
      </c>
      <c r="DM437" s="56">
        <v>423</v>
      </c>
      <c r="DN437" s="67" t="e">
        <f t="shared" si="534"/>
        <v>#N/A</v>
      </c>
      <c r="DO437" s="45" t="e">
        <f t="shared" si="535"/>
        <v>#N/A</v>
      </c>
      <c r="DP437" s="67" t="e">
        <f t="shared" si="536"/>
        <v>#N/A</v>
      </c>
      <c r="DQ437" s="45" t="e">
        <f t="shared" si="537"/>
        <v>#N/A</v>
      </c>
      <c r="DR437" s="69" t="e">
        <f t="shared" si="538"/>
        <v>#N/A</v>
      </c>
      <c r="DS437" s="34"/>
      <c r="DT437" s="67" t="e">
        <f>((BX437*CJ437)+IF($W437=MAT_AR,(BZ437*CL437),0))*(1+Reference!$E$50+Reference!$E$51)</f>
        <v>#N/A</v>
      </c>
      <c r="DU437" s="67">
        <f>((BY437*CK437)+IF($W437=MAT_AR,(CA437*CM437),0))*(1+Reference!$G$50+Reference!$G$51)</f>
        <v>0</v>
      </c>
      <c r="DV437" s="67" t="e">
        <f t="shared" si="539"/>
        <v>#VALUE!</v>
      </c>
      <c r="DX437" s="56">
        <v>423</v>
      </c>
      <c r="DY437" s="67">
        <f t="shared" si="540"/>
        <v>0</v>
      </c>
      <c r="DZ437" s="45" t="e">
        <f>VLOOKUP($R437,Dropdown!$C$3:$D$4,2,FALSE)</f>
        <v>#N/A</v>
      </c>
      <c r="EA437" s="68">
        <f t="shared" si="541"/>
        <v>0</v>
      </c>
      <c r="EB437" s="68" t="str">
        <f t="shared" si="542"/>
        <v>N/A</v>
      </c>
      <c r="EC437" s="68">
        <f t="shared" si="543"/>
        <v>0</v>
      </c>
      <c r="ED437" s="68" t="str">
        <f t="shared" si="581"/>
        <v>N/A</v>
      </c>
      <c r="EF437" s="56">
        <v>423</v>
      </c>
      <c r="EG437" s="46">
        <f t="shared" si="544"/>
        <v>0</v>
      </c>
      <c r="EH437" s="68" t="e">
        <f t="shared" si="545"/>
        <v>#N/A</v>
      </c>
      <c r="EI437" s="68" t="e">
        <f t="shared" si="546"/>
        <v>#N/A</v>
      </c>
      <c r="EJ437" s="68" t="e">
        <f t="shared" si="547"/>
        <v>#N/A</v>
      </c>
      <c r="EK437" s="68" t="e">
        <f t="shared" si="548"/>
        <v>#N/A</v>
      </c>
      <c r="EL437" s="46">
        <f t="shared" si="549"/>
        <v>0</v>
      </c>
      <c r="EM437" s="46">
        <f t="shared" si="550"/>
        <v>0</v>
      </c>
    </row>
    <row r="438" spans="1:143">
      <c r="A438" s="89"/>
      <c r="B438" s="89"/>
      <c r="C438" s="89"/>
      <c r="D438" s="89"/>
      <c r="E438" s="89"/>
      <c r="F438" s="89"/>
      <c r="G438" s="34"/>
      <c r="H438" s="56">
        <f t="shared" si="551"/>
        <v>424</v>
      </c>
      <c r="I438" s="165"/>
      <c r="J438" s="163"/>
      <c r="K438" s="163"/>
      <c r="L438" s="164"/>
      <c r="M438" s="155"/>
      <c r="N438" s="155"/>
      <c r="O438" s="144"/>
      <c r="P438" s="159" t="str">
        <f>IFERROR(IF(O438&lt;&gt;"User Specified",IF(O438&lt;&gt;"", INDEX('Refrigerant GWPs'!$G$2:$G$154,MATCH(O438,'Refrigerant GWPs'!$A$2:$A$154,0)),""),U438),0)</f>
        <v/>
      </c>
      <c r="Q438" s="155"/>
      <c r="R438" s="155"/>
      <c r="S438" s="144"/>
      <c r="T438" s="159" t="str">
        <f>IF(S438&lt;&gt;"User Specified",IF(AND(S438&lt;&gt;"User Specified",S438&lt;&gt;""), INDEX('Refrigerant GWPs'!$G$2:$G$154,MATCH(S438,'Refrigerant GWPs'!$A$2:$A$154,0)),""),V438)</f>
        <v/>
      </c>
      <c r="U438" s="144"/>
      <c r="V438" s="144"/>
      <c r="W438" s="155"/>
      <c r="X438" s="155"/>
      <c r="Y438" s="144"/>
      <c r="Z438" s="159" t="str">
        <f>IF(AND(Y438&lt;&gt;"User Specified",Y438&lt;&gt;""), INDEX('Refrigerant GWPs'!$G$2:$G$154,MATCH(Y438,'Refrigerant GWPs'!$A$2:$A$154,0)),"")</f>
        <v/>
      </c>
      <c r="AA438" s="155"/>
      <c r="AB438" s="156"/>
      <c r="AC438" s="66"/>
      <c r="AD438" s="66"/>
      <c r="AE438" s="66"/>
      <c r="AF438" s="66"/>
      <c r="AG438" s="66"/>
      <c r="AH438" s="66"/>
      <c r="AI438" s="34"/>
      <c r="AJ438" s="88">
        <f t="shared" si="514"/>
        <v>0</v>
      </c>
      <c r="AK438" s="88">
        <f t="shared" si="515"/>
        <v>0</v>
      </c>
      <c r="AL438" s="88">
        <v>0</v>
      </c>
      <c r="AM438" s="88">
        <v>0</v>
      </c>
      <c r="AN438" s="81" t="str">
        <f t="shared" si="553"/>
        <v/>
      </c>
      <c r="AO438" s="88">
        <f t="shared" si="516"/>
        <v>0</v>
      </c>
      <c r="AP438" s="88">
        <f t="shared" si="517"/>
        <v>0</v>
      </c>
      <c r="AQ438" s="81" t="str">
        <f t="shared" si="518"/>
        <v/>
      </c>
      <c r="AS438" s="41" t="b">
        <f t="shared" si="519"/>
        <v>1</v>
      </c>
      <c r="AT438" s="38">
        <f t="shared" si="520"/>
        <v>0</v>
      </c>
      <c r="AU438" s="60">
        <f t="shared" si="521"/>
        <v>0</v>
      </c>
      <c r="AV438" s="41">
        <f t="shared" si="522"/>
        <v>0</v>
      </c>
      <c r="AW438" s="41" t="b">
        <f t="shared" si="523"/>
        <v>0</v>
      </c>
      <c r="AX438" t="str">
        <f t="shared" si="524"/>
        <v>+00</v>
      </c>
      <c r="AY438" t="str">
        <f t="shared" si="525"/>
        <v>+00</v>
      </c>
      <c r="BA438" s="47" t="b">
        <f t="shared" si="554"/>
        <v>1</v>
      </c>
      <c r="BB438" s="42" t="b">
        <f t="shared" si="555"/>
        <v>1</v>
      </c>
      <c r="BC438" s="42" t="b">
        <f t="shared" si="556"/>
        <v>0</v>
      </c>
      <c r="BD438" s="42" t="b">
        <f t="shared" si="557"/>
        <v>0</v>
      </c>
      <c r="BE438" s="70">
        <f t="shared" si="558"/>
        <v>0</v>
      </c>
      <c r="BF438" s="70">
        <f t="shared" si="559"/>
        <v>0</v>
      </c>
      <c r="BG438" s="34"/>
      <c r="BI438" s="47" t="b">
        <f t="shared" si="560"/>
        <v>1</v>
      </c>
      <c r="BJ438" s="47" t="b">
        <f t="shared" si="561"/>
        <v>1</v>
      </c>
      <c r="BK438" s="42" t="b">
        <f t="shared" si="562"/>
        <v>0</v>
      </c>
      <c r="BL438" s="42" t="b">
        <f t="shared" si="563"/>
        <v>0</v>
      </c>
      <c r="BM438" s="42">
        <f t="shared" si="564"/>
        <v>0</v>
      </c>
      <c r="BN438" s="42">
        <f t="shared" si="565"/>
        <v>0</v>
      </c>
      <c r="BP438" t="e">
        <f t="shared" si="566"/>
        <v>#N/A</v>
      </c>
      <c r="BQ438" t="e">
        <f t="shared" si="567"/>
        <v>#N/A</v>
      </c>
      <c r="BR438" t="e">
        <f t="shared" si="568"/>
        <v>#N/A</v>
      </c>
      <c r="BT438" s="60">
        <f t="shared" si="569"/>
        <v>0</v>
      </c>
      <c r="BU438" s="60">
        <f t="shared" si="570"/>
        <v>0</v>
      </c>
      <c r="BV438" s="60">
        <f t="shared" si="571"/>
        <v>0</v>
      </c>
      <c r="BW438" s="60">
        <f t="shared" si="572"/>
        <v>0</v>
      </c>
      <c r="BX438" s="60">
        <f t="shared" si="573"/>
        <v>0</v>
      </c>
      <c r="BY438" s="60">
        <f t="shared" si="574"/>
        <v>0</v>
      </c>
      <c r="BZ438" s="60">
        <f t="shared" si="575"/>
        <v>0</v>
      </c>
      <c r="CA438" s="60">
        <f t="shared" si="576"/>
        <v>0</v>
      </c>
      <c r="CB438" s="60" t="e">
        <f t="shared" si="526"/>
        <v>#N/A</v>
      </c>
      <c r="CC438" s="60">
        <f t="shared" si="527"/>
        <v>100000</v>
      </c>
      <c r="CD438" s="60" t="e">
        <f t="shared" si="528"/>
        <v>#N/A</v>
      </c>
      <c r="CE438" s="60">
        <f t="shared" si="529"/>
        <v>100000</v>
      </c>
      <c r="CF438" s="83" t="e">
        <f t="shared" si="577"/>
        <v>#N/A</v>
      </c>
      <c r="CG438" s="83">
        <f t="shared" si="578"/>
        <v>0</v>
      </c>
      <c r="CH438" s="83" t="e">
        <f t="shared" si="579"/>
        <v>#N/A</v>
      </c>
      <c r="CI438" s="83">
        <f t="shared" si="580"/>
        <v>0</v>
      </c>
      <c r="CJ438" s="86" t="e">
        <f t="shared" si="530"/>
        <v>#N/A</v>
      </c>
      <c r="CK438" s="82">
        <f t="shared" si="531"/>
        <v>5.3070370403969858E-3</v>
      </c>
      <c r="CL438" s="82" t="e">
        <f t="shared" si="532"/>
        <v>#N/A</v>
      </c>
      <c r="CM438" s="82">
        <f t="shared" si="533"/>
        <v>5.3070370403969858E-3</v>
      </c>
      <c r="CO438" s="149" t="str">
        <f>IF($I438&lt;&gt;"",IF(O438="User Specified",U438,INDEX('Refrigerant GWPs'!$G$2:$G$156,MATCH(O438,'Refrigerant GWPs'!$A$2:$A$156,0))),"")</f>
        <v/>
      </c>
      <c r="CP438" s="138" t="str">
        <f>IF($I438&lt;&gt;"",INDEX('Device Refrigerant Leakage'!$E$2:$E$42,MATCH($M438,'Device Refrigerant Leakage'!$B$2:$B$42,0)),"")</f>
        <v/>
      </c>
      <c r="CQ438" s="138" t="str">
        <f>IF($I438&lt;&gt;"",INDEX('Device Refrigerant Leakage'!$F$2:$F$42,MATCH($M438,'Device Refrigerant Leakage'!$B$2:$B$42,0)),"")</f>
        <v/>
      </c>
      <c r="CR438" s="145" t="str">
        <f>IF($I438&lt;&gt;"",INDEX('Device Refrigerant Leakage'!$G$2:$G$42,MATCH($M438,'Device Refrigerant Leakage'!$B$2:$B$42,0)),"")</f>
        <v/>
      </c>
      <c r="CS438" s="145" t="str">
        <f>IF($I438&lt;&gt;"",INDEX('Device Refrigerant Leakage'!$D$2:$D$42,MATCH($M438,'Device Refrigerant Leakage'!$B$2:$B$42,0))*CP438/2204.62*CO438,"")</f>
        <v/>
      </c>
      <c r="CT438" s="145" t="str">
        <f>IF($I438&lt;&gt;"",J438*(INDEX('Device Refrigerant Leakage'!$D$2:$D$42,MATCH($M438,'Device Refrigerant Leakage'!$B$2:$B$42,0))-(INDEX('Device Refrigerant Leakage'!$D$2:$D$42,MATCH($M438,'Device Refrigerant Leakage'!$B$2:$B$42,0)))*CR438*CP438)*CQ438/2204.62*CO438,"")</f>
        <v/>
      </c>
      <c r="CU438" s="135" t="str">
        <f>IF($I438&lt;&gt;"",J438*IF(W438&lt;&gt;"AR",(CS438*K438)+CT438,(CS438*AB438)+CT438*(AB438/INDEX('Device Refrigerant Leakage'!$C$2:$C$42,MATCH($M438,'Device Refrigerant Leakage'!$B$2:$B$42,0)))),"")</f>
        <v/>
      </c>
      <c r="CW438" s="135" t="str">
        <f>IF($I438&lt;&gt;"",IF(S438="User Specified",V438,INDEX('Refrigerant GWPs'!$G$2:$G$156,MATCH(S438,'Refrigerant GWPs'!$A$2:$A$157,0))),"")</f>
        <v/>
      </c>
      <c r="CX438" s="138" t="str">
        <f>IF($I438&lt;&gt;"",INDEX('Device Refrigerant Leakage'!$E$2:$E$42,MATCH($Q438,'Device Refrigerant Leakage'!$B$2:$B$42,0)),"")</f>
        <v/>
      </c>
      <c r="CY438" s="138" t="str">
        <f>IF($I438&lt;&gt;"",INDEX('Device Refrigerant Leakage'!$F$2:$F$42,MATCH($Q438,'Device Refrigerant Leakage'!$B$2:$B$42,0)),"")</f>
        <v/>
      </c>
      <c r="CZ438" s="145" t="str">
        <f>IF($I438&lt;&gt;"",INDEX('Device Refrigerant Leakage'!$G$2:$G$42,MATCH($Q438,'Device Refrigerant Leakage'!$B$2:$B$42,0)),"")</f>
        <v/>
      </c>
      <c r="DA438" s="145" t="str">
        <f>IF($I438&lt;&gt;"",J438*INDEX('Device Refrigerant Leakage'!$D$2:$D$42,MATCH($Q438,'Device Refrigerant Leakage'!$B$2:$B$42,0))*CX438/2204.62*CW438,"")</f>
        <v/>
      </c>
      <c r="DB438" s="145" t="str">
        <f>IF($I438&lt;&gt;"",J438*(INDEX('Device Refrigerant Leakage'!$D$2:$D$42,MATCH($Q438,'Device Refrigerant Leakage'!$B$2:$B$42,0))-(INDEX('Device Refrigerant Leakage'!$D$2:$D$42,MATCH($Q438,'Device Refrigerant Leakage'!$B$2:$B$42,0)))*CZ438*CX438)*CY438/2204.62*CW438,"")</f>
        <v/>
      </c>
      <c r="DC438" s="135" t="str">
        <f t="shared" si="552"/>
        <v/>
      </c>
      <c r="DE438" s="146" t="str">
        <f>IF(W438&lt;&gt;"AR","",IF(Y438="User Specified", AA438, INDEX('Refrigerant GWPs'!$G$2:$G$154,MATCH(Y438,'Refrigerant GWPs'!$A$2:$A$154,0))))</f>
        <v/>
      </c>
      <c r="DF438" s="146" t="str">
        <f>IF(W438&lt;&gt;"AR","",INDEX('Device Refrigerant Leakage'!$E$2:$E$42,MATCH(X438,'Device Refrigerant Leakage'!$B$2:$B$42,0)))</f>
        <v/>
      </c>
      <c r="DG438" s="146" t="str">
        <f>IF(W438&lt;&gt;"AR","",INDEX('Device Refrigerant Leakage'!$F$2:$F$42,MATCH(X438,'Device Refrigerant Leakage'!$B$2:$B$42,0)))</f>
        <v/>
      </c>
      <c r="DH438" s="146" t="str">
        <f>IF(W438&lt;&gt;"AR","",INDEX('Device Refrigerant Leakage'!$G$2:$G$42,MATCH(X438,'Device Refrigerant Leakage'!$B$2:$B$42,0)))</f>
        <v/>
      </c>
      <c r="DI438" s="146" t="str">
        <f>IF(W438&lt;&gt;"AR","",J438*INDEX('Device Refrigerant Leakage'!$D$2:$D$42,MATCH(X438,'Device Refrigerant Leakage'!$B$2:$B$42,0))*DF438/2204.62*DE438)</f>
        <v/>
      </c>
      <c r="DJ438" s="146" t="str">
        <f>IF(W438&lt;&gt;"AR","",J438*(INDEX('Device Refrigerant Leakage'!$D$2:$D$42,MATCH(X438,'Device Refrigerant Leakage'!$B$2:$B$42,0))-(INDEX('Device Refrigerant Leakage'!$D$2:$D$42,MATCH(X438,'Device Refrigerant Leakage'!$B$2:$B$42,0)))*DH438*DF438)*DG438/2204.62*DE438)</f>
        <v/>
      </c>
      <c r="DK438" s="146" t="str">
        <f>IF(W438&lt;&gt;"AR","",DI438*(K438-AB438)+'Fuel Sub Calcs-Deemed'!DJ438*((K438-AB438)/INDEX('Device Refrigerant Leakage'!$C$2:$C$42,MATCH('Fuel Sub Calcs-Deemed'!X438,'Device Refrigerant Leakage'!$B$2:$B$42,0))))</f>
        <v/>
      </c>
      <c r="DM438" s="56">
        <v>424</v>
      </c>
      <c r="DN438" s="67" t="e">
        <f t="shared" si="534"/>
        <v>#N/A</v>
      </c>
      <c r="DO438" s="45" t="e">
        <f t="shared" si="535"/>
        <v>#N/A</v>
      </c>
      <c r="DP438" s="67" t="e">
        <f t="shared" si="536"/>
        <v>#N/A</v>
      </c>
      <c r="DQ438" s="45" t="e">
        <f t="shared" si="537"/>
        <v>#N/A</v>
      </c>
      <c r="DR438" s="69" t="e">
        <f t="shared" si="538"/>
        <v>#N/A</v>
      </c>
      <c r="DS438" s="34"/>
      <c r="DT438" s="67" t="e">
        <f>((BX438*CJ438)+IF($W438=MAT_AR,(BZ438*CL438),0))*(1+Reference!$E$50+Reference!$E$51)</f>
        <v>#N/A</v>
      </c>
      <c r="DU438" s="67">
        <f>((BY438*CK438)+IF($W438=MAT_AR,(CA438*CM438),0))*(1+Reference!$G$50+Reference!$G$51)</f>
        <v>0</v>
      </c>
      <c r="DV438" s="67" t="e">
        <f t="shared" si="539"/>
        <v>#VALUE!</v>
      </c>
      <c r="DX438" s="56">
        <v>424</v>
      </c>
      <c r="DY438" s="67">
        <f t="shared" si="540"/>
        <v>0</v>
      </c>
      <c r="DZ438" s="45" t="e">
        <f>VLOOKUP($R438,Dropdown!$C$3:$D$4,2,FALSE)</f>
        <v>#N/A</v>
      </c>
      <c r="EA438" s="68">
        <f t="shared" si="541"/>
        <v>0</v>
      </c>
      <c r="EB438" s="68" t="str">
        <f t="shared" si="542"/>
        <v>N/A</v>
      </c>
      <c r="EC438" s="68">
        <f t="shared" si="543"/>
        <v>0</v>
      </c>
      <c r="ED438" s="68" t="str">
        <f t="shared" si="581"/>
        <v>N/A</v>
      </c>
      <c r="EF438" s="56">
        <v>424</v>
      </c>
      <c r="EG438" s="46">
        <f t="shared" si="544"/>
        <v>0</v>
      </c>
      <c r="EH438" s="68" t="e">
        <f t="shared" si="545"/>
        <v>#N/A</v>
      </c>
      <c r="EI438" s="68" t="e">
        <f t="shared" si="546"/>
        <v>#N/A</v>
      </c>
      <c r="EJ438" s="68" t="e">
        <f t="shared" si="547"/>
        <v>#N/A</v>
      </c>
      <c r="EK438" s="68" t="e">
        <f t="shared" si="548"/>
        <v>#N/A</v>
      </c>
      <c r="EL438" s="46">
        <f t="shared" si="549"/>
        <v>0</v>
      </c>
      <c r="EM438" s="46">
        <f t="shared" si="550"/>
        <v>0</v>
      </c>
    </row>
    <row r="439" spans="1:143">
      <c r="A439" s="89"/>
      <c r="B439" s="89"/>
      <c r="C439" s="89"/>
      <c r="D439" s="89"/>
      <c r="E439" s="89"/>
      <c r="F439" s="89"/>
      <c r="G439" s="34"/>
      <c r="H439" s="56">
        <f t="shared" si="551"/>
        <v>425</v>
      </c>
      <c r="I439" s="165"/>
      <c r="J439" s="163"/>
      <c r="K439" s="163"/>
      <c r="L439" s="164"/>
      <c r="M439" s="155"/>
      <c r="N439" s="155"/>
      <c r="O439" s="144"/>
      <c r="P439" s="159" t="str">
        <f>IFERROR(IF(O439&lt;&gt;"User Specified",IF(O439&lt;&gt;"", INDEX('Refrigerant GWPs'!$G$2:$G$154,MATCH(O439,'Refrigerant GWPs'!$A$2:$A$154,0)),""),U439),0)</f>
        <v/>
      </c>
      <c r="Q439" s="155"/>
      <c r="R439" s="155"/>
      <c r="S439" s="144"/>
      <c r="T439" s="159" t="str">
        <f>IF(S439&lt;&gt;"User Specified",IF(AND(S439&lt;&gt;"User Specified",S439&lt;&gt;""), INDEX('Refrigerant GWPs'!$G$2:$G$154,MATCH(S439,'Refrigerant GWPs'!$A$2:$A$154,0)),""),V439)</f>
        <v/>
      </c>
      <c r="U439" s="144"/>
      <c r="V439" s="144"/>
      <c r="W439" s="155"/>
      <c r="X439" s="155"/>
      <c r="Y439" s="144"/>
      <c r="Z439" s="159" t="str">
        <f>IF(AND(Y439&lt;&gt;"User Specified",Y439&lt;&gt;""), INDEX('Refrigerant GWPs'!$G$2:$G$154,MATCH(Y439,'Refrigerant GWPs'!$A$2:$A$154,0)),"")</f>
        <v/>
      </c>
      <c r="AA439" s="155"/>
      <c r="AB439" s="156"/>
      <c r="AC439" s="66"/>
      <c r="AD439" s="66"/>
      <c r="AE439" s="66"/>
      <c r="AF439" s="66"/>
      <c r="AG439" s="66"/>
      <c r="AH439" s="66"/>
      <c r="AI439" s="34"/>
      <c r="AJ439" s="88">
        <f t="shared" si="514"/>
        <v>0</v>
      </c>
      <c r="AK439" s="88">
        <f t="shared" si="515"/>
        <v>0</v>
      </c>
      <c r="AL439" s="88">
        <v>0</v>
      </c>
      <c r="AM439" s="88">
        <v>0</v>
      </c>
      <c r="AN439" s="81" t="str">
        <f t="shared" si="553"/>
        <v/>
      </c>
      <c r="AO439" s="88">
        <f t="shared" si="516"/>
        <v>0</v>
      </c>
      <c r="AP439" s="88">
        <f t="shared" si="517"/>
        <v>0</v>
      </c>
      <c r="AQ439" s="81" t="str">
        <f t="shared" si="518"/>
        <v/>
      </c>
      <c r="AS439" s="41" t="b">
        <f t="shared" si="519"/>
        <v>1</v>
      </c>
      <c r="AT439" s="38">
        <f t="shared" si="520"/>
        <v>0</v>
      </c>
      <c r="AU439" s="60">
        <f t="shared" si="521"/>
        <v>0</v>
      </c>
      <c r="AV439" s="41">
        <f t="shared" si="522"/>
        <v>0</v>
      </c>
      <c r="AW439" s="41" t="b">
        <f t="shared" si="523"/>
        <v>0</v>
      </c>
      <c r="AX439" t="str">
        <f t="shared" si="524"/>
        <v>+00</v>
      </c>
      <c r="AY439" t="str">
        <f t="shared" si="525"/>
        <v>+00</v>
      </c>
      <c r="BA439" s="47" t="b">
        <f t="shared" si="554"/>
        <v>1</v>
      </c>
      <c r="BB439" s="42" t="b">
        <f t="shared" si="555"/>
        <v>1</v>
      </c>
      <c r="BC439" s="42" t="b">
        <f t="shared" si="556"/>
        <v>0</v>
      </c>
      <c r="BD439" s="42" t="b">
        <f t="shared" si="557"/>
        <v>0</v>
      </c>
      <c r="BE439" s="70">
        <f t="shared" si="558"/>
        <v>0</v>
      </c>
      <c r="BF439" s="70">
        <f t="shared" si="559"/>
        <v>0</v>
      </c>
      <c r="BG439" s="34"/>
      <c r="BI439" s="47" t="b">
        <f t="shared" si="560"/>
        <v>1</v>
      </c>
      <c r="BJ439" s="47" t="b">
        <f t="shared" si="561"/>
        <v>1</v>
      </c>
      <c r="BK439" s="42" t="b">
        <f t="shared" si="562"/>
        <v>0</v>
      </c>
      <c r="BL439" s="42" t="b">
        <f t="shared" si="563"/>
        <v>0</v>
      </c>
      <c r="BM439" s="42">
        <f t="shared" si="564"/>
        <v>0</v>
      </c>
      <c r="BN439" s="42">
        <f t="shared" si="565"/>
        <v>0</v>
      </c>
      <c r="BP439" t="e">
        <f t="shared" si="566"/>
        <v>#N/A</v>
      </c>
      <c r="BQ439" t="e">
        <f t="shared" si="567"/>
        <v>#N/A</v>
      </c>
      <c r="BR439" t="e">
        <f t="shared" si="568"/>
        <v>#N/A</v>
      </c>
      <c r="BT439" s="60">
        <f t="shared" si="569"/>
        <v>0</v>
      </c>
      <c r="BU439" s="60">
        <f t="shared" si="570"/>
        <v>0</v>
      </c>
      <c r="BV439" s="60">
        <f t="shared" si="571"/>
        <v>0</v>
      </c>
      <c r="BW439" s="60">
        <f t="shared" si="572"/>
        <v>0</v>
      </c>
      <c r="BX439" s="60">
        <f t="shared" si="573"/>
        <v>0</v>
      </c>
      <c r="BY439" s="60">
        <f t="shared" si="574"/>
        <v>0</v>
      </c>
      <c r="BZ439" s="60">
        <f t="shared" si="575"/>
        <v>0</v>
      </c>
      <c r="CA439" s="60">
        <f t="shared" si="576"/>
        <v>0</v>
      </c>
      <c r="CB439" s="60" t="e">
        <f t="shared" si="526"/>
        <v>#N/A</v>
      </c>
      <c r="CC439" s="60">
        <f t="shared" si="527"/>
        <v>100000</v>
      </c>
      <c r="CD439" s="60" t="e">
        <f t="shared" si="528"/>
        <v>#N/A</v>
      </c>
      <c r="CE439" s="60">
        <f t="shared" si="529"/>
        <v>100000</v>
      </c>
      <c r="CF439" s="83" t="e">
        <f t="shared" si="577"/>
        <v>#N/A</v>
      </c>
      <c r="CG439" s="83">
        <f t="shared" si="578"/>
        <v>0</v>
      </c>
      <c r="CH439" s="83" t="e">
        <f t="shared" si="579"/>
        <v>#N/A</v>
      </c>
      <c r="CI439" s="83">
        <f t="shared" si="580"/>
        <v>0</v>
      </c>
      <c r="CJ439" s="86" t="e">
        <f t="shared" si="530"/>
        <v>#N/A</v>
      </c>
      <c r="CK439" s="82">
        <f t="shared" si="531"/>
        <v>5.3070370403969858E-3</v>
      </c>
      <c r="CL439" s="82" t="e">
        <f t="shared" si="532"/>
        <v>#N/A</v>
      </c>
      <c r="CM439" s="82">
        <f t="shared" si="533"/>
        <v>5.3070370403969858E-3</v>
      </c>
      <c r="CO439" s="149" t="str">
        <f>IF($I439&lt;&gt;"",IF(O439="User Specified",U439,INDEX('Refrigerant GWPs'!$G$2:$G$156,MATCH(O439,'Refrigerant GWPs'!$A$2:$A$156,0))),"")</f>
        <v/>
      </c>
      <c r="CP439" s="138" t="str">
        <f>IF($I439&lt;&gt;"",INDEX('Device Refrigerant Leakage'!$E$2:$E$42,MATCH($M439,'Device Refrigerant Leakage'!$B$2:$B$42,0)),"")</f>
        <v/>
      </c>
      <c r="CQ439" s="138" t="str">
        <f>IF($I439&lt;&gt;"",INDEX('Device Refrigerant Leakage'!$F$2:$F$42,MATCH($M439,'Device Refrigerant Leakage'!$B$2:$B$42,0)),"")</f>
        <v/>
      </c>
      <c r="CR439" s="145" t="str">
        <f>IF($I439&lt;&gt;"",INDEX('Device Refrigerant Leakage'!$G$2:$G$42,MATCH($M439,'Device Refrigerant Leakage'!$B$2:$B$42,0)),"")</f>
        <v/>
      </c>
      <c r="CS439" s="145" t="str">
        <f>IF($I439&lt;&gt;"",INDEX('Device Refrigerant Leakage'!$D$2:$D$42,MATCH($M439,'Device Refrigerant Leakage'!$B$2:$B$42,0))*CP439/2204.62*CO439,"")</f>
        <v/>
      </c>
      <c r="CT439" s="145" t="str">
        <f>IF($I439&lt;&gt;"",J439*(INDEX('Device Refrigerant Leakage'!$D$2:$D$42,MATCH($M439,'Device Refrigerant Leakage'!$B$2:$B$42,0))-(INDEX('Device Refrigerant Leakage'!$D$2:$D$42,MATCH($M439,'Device Refrigerant Leakage'!$B$2:$B$42,0)))*CR439*CP439)*CQ439/2204.62*CO439,"")</f>
        <v/>
      </c>
      <c r="CU439" s="135" t="str">
        <f>IF($I439&lt;&gt;"",J439*IF(W439&lt;&gt;"AR",(CS439*K439)+CT439,(CS439*AB439)+CT439*(AB439/INDEX('Device Refrigerant Leakage'!$C$2:$C$42,MATCH($M439,'Device Refrigerant Leakage'!$B$2:$B$42,0)))),"")</f>
        <v/>
      </c>
      <c r="CW439" s="135" t="str">
        <f>IF($I439&lt;&gt;"",IF(S439="User Specified",V439,INDEX('Refrigerant GWPs'!$G$2:$G$156,MATCH(S439,'Refrigerant GWPs'!$A$2:$A$157,0))),"")</f>
        <v/>
      </c>
      <c r="CX439" s="138" t="str">
        <f>IF($I439&lt;&gt;"",INDEX('Device Refrigerant Leakage'!$E$2:$E$42,MATCH($Q439,'Device Refrigerant Leakage'!$B$2:$B$42,0)),"")</f>
        <v/>
      </c>
      <c r="CY439" s="138" t="str">
        <f>IF($I439&lt;&gt;"",INDEX('Device Refrigerant Leakage'!$F$2:$F$42,MATCH($Q439,'Device Refrigerant Leakage'!$B$2:$B$42,0)),"")</f>
        <v/>
      </c>
      <c r="CZ439" s="145" t="str">
        <f>IF($I439&lt;&gt;"",INDEX('Device Refrigerant Leakage'!$G$2:$G$42,MATCH($Q439,'Device Refrigerant Leakage'!$B$2:$B$42,0)),"")</f>
        <v/>
      </c>
      <c r="DA439" s="145" t="str">
        <f>IF($I439&lt;&gt;"",J439*INDEX('Device Refrigerant Leakage'!$D$2:$D$42,MATCH($Q439,'Device Refrigerant Leakage'!$B$2:$B$42,0))*CX439/2204.62*CW439,"")</f>
        <v/>
      </c>
      <c r="DB439" s="145" t="str">
        <f>IF($I439&lt;&gt;"",J439*(INDEX('Device Refrigerant Leakage'!$D$2:$D$42,MATCH($Q439,'Device Refrigerant Leakage'!$B$2:$B$42,0))-(INDEX('Device Refrigerant Leakage'!$D$2:$D$42,MATCH($Q439,'Device Refrigerant Leakage'!$B$2:$B$42,0)))*CZ439*CX439)*CY439/2204.62*CW439,"")</f>
        <v/>
      </c>
      <c r="DC439" s="135" t="str">
        <f t="shared" si="552"/>
        <v/>
      </c>
      <c r="DE439" s="146" t="str">
        <f>IF(W439&lt;&gt;"AR","",IF(Y439="User Specified", AA439, INDEX('Refrigerant GWPs'!$G$2:$G$154,MATCH(Y439,'Refrigerant GWPs'!$A$2:$A$154,0))))</f>
        <v/>
      </c>
      <c r="DF439" s="146" t="str">
        <f>IF(W439&lt;&gt;"AR","",INDEX('Device Refrigerant Leakage'!$E$2:$E$42,MATCH(X439,'Device Refrigerant Leakage'!$B$2:$B$42,0)))</f>
        <v/>
      </c>
      <c r="DG439" s="146" t="str">
        <f>IF(W439&lt;&gt;"AR","",INDEX('Device Refrigerant Leakage'!$F$2:$F$42,MATCH(X439,'Device Refrigerant Leakage'!$B$2:$B$42,0)))</f>
        <v/>
      </c>
      <c r="DH439" s="146" t="str">
        <f>IF(W439&lt;&gt;"AR","",INDEX('Device Refrigerant Leakage'!$G$2:$G$42,MATCH(X439,'Device Refrigerant Leakage'!$B$2:$B$42,0)))</f>
        <v/>
      </c>
      <c r="DI439" s="146" t="str">
        <f>IF(W439&lt;&gt;"AR","",J439*INDEX('Device Refrigerant Leakage'!$D$2:$D$42,MATCH(X439,'Device Refrigerant Leakage'!$B$2:$B$42,0))*DF439/2204.62*DE439)</f>
        <v/>
      </c>
      <c r="DJ439" s="146" t="str">
        <f>IF(W439&lt;&gt;"AR","",J439*(INDEX('Device Refrigerant Leakage'!$D$2:$D$42,MATCH(X439,'Device Refrigerant Leakage'!$B$2:$B$42,0))-(INDEX('Device Refrigerant Leakage'!$D$2:$D$42,MATCH(X439,'Device Refrigerant Leakage'!$B$2:$B$42,0)))*DH439*DF439)*DG439/2204.62*DE439)</f>
        <v/>
      </c>
      <c r="DK439" s="146" t="str">
        <f>IF(W439&lt;&gt;"AR","",DI439*(K439-AB439)+'Fuel Sub Calcs-Deemed'!DJ439*((K439-AB439)/INDEX('Device Refrigerant Leakage'!$C$2:$C$42,MATCH('Fuel Sub Calcs-Deemed'!X439,'Device Refrigerant Leakage'!$B$2:$B$42,0))))</f>
        <v/>
      </c>
      <c r="DM439" s="56">
        <v>425</v>
      </c>
      <c r="DN439" s="67" t="e">
        <f t="shared" si="534"/>
        <v>#N/A</v>
      </c>
      <c r="DO439" s="45" t="e">
        <f t="shared" si="535"/>
        <v>#N/A</v>
      </c>
      <c r="DP439" s="67" t="e">
        <f t="shared" si="536"/>
        <v>#N/A</v>
      </c>
      <c r="DQ439" s="45" t="e">
        <f t="shared" si="537"/>
        <v>#N/A</v>
      </c>
      <c r="DR439" s="69" t="e">
        <f t="shared" si="538"/>
        <v>#N/A</v>
      </c>
      <c r="DS439" s="34"/>
      <c r="DT439" s="67" t="e">
        <f>((BX439*CJ439)+IF($W439=MAT_AR,(BZ439*CL439),0))*(1+Reference!$E$50+Reference!$E$51)</f>
        <v>#N/A</v>
      </c>
      <c r="DU439" s="67">
        <f>((BY439*CK439)+IF($W439=MAT_AR,(CA439*CM439),0))*(1+Reference!$G$50+Reference!$G$51)</f>
        <v>0</v>
      </c>
      <c r="DV439" s="67" t="e">
        <f t="shared" si="539"/>
        <v>#VALUE!</v>
      </c>
      <c r="DX439" s="56">
        <v>425</v>
      </c>
      <c r="DY439" s="67">
        <f t="shared" si="540"/>
        <v>0</v>
      </c>
      <c r="DZ439" s="45" t="e">
        <f>VLOOKUP($R439,Dropdown!$C$3:$D$4,2,FALSE)</f>
        <v>#N/A</v>
      </c>
      <c r="EA439" s="68">
        <f t="shared" si="541"/>
        <v>0</v>
      </c>
      <c r="EB439" s="68" t="str">
        <f t="shared" si="542"/>
        <v>N/A</v>
      </c>
      <c r="EC439" s="68">
        <f t="shared" si="543"/>
        <v>0</v>
      </c>
      <c r="ED439" s="68" t="str">
        <f t="shared" si="581"/>
        <v>N/A</v>
      </c>
      <c r="EF439" s="56">
        <v>425</v>
      </c>
      <c r="EG439" s="46">
        <f t="shared" si="544"/>
        <v>0</v>
      </c>
      <c r="EH439" s="68" t="e">
        <f t="shared" si="545"/>
        <v>#N/A</v>
      </c>
      <c r="EI439" s="68" t="e">
        <f t="shared" si="546"/>
        <v>#N/A</v>
      </c>
      <c r="EJ439" s="68" t="e">
        <f t="shared" si="547"/>
        <v>#N/A</v>
      </c>
      <c r="EK439" s="68" t="e">
        <f t="shared" si="548"/>
        <v>#N/A</v>
      </c>
      <c r="EL439" s="46">
        <f t="shared" si="549"/>
        <v>0</v>
      </c>
      <c r="EM439" s="46">
        <f t="shared" si="550"/>
        <v>0</v>
      </c>
    </row>
    <row r="440" spans="1:143">
      <c r="A440" s="89"/>
      <c r="B440" s="89"/>
      <c r="C440" s="89"/>
      <c r="D440" s="89"/>
      <c r="E440" s="89"/>
      <c r="F440" s="89"/>
      <c r="G440" s="34"/>
      <c r="H440" s="56">
        <f t="shared" si="551"/>
        <v>426</v>
      </c>
      <c r="I440" s="165"/>
      <c r="J440" s="163"/>
      <c r="K440" s="163"/>
      <c r="L440" s="164"/>
      <c r="M440" s="155"/>
      <c r="N440" s="155"/>
      <c r="O440" s="144"/>
      <c r="P440" s="159" t="str">
        <f>IFERROR(IF(O440&lt;&gt;"User Specified",IF(O440&lt;&gt;"", INDEX('Refrigerant GWPs'!$G$2:$G$154,MATCH(O440,'Refrigerant GWPs'!$A$2:$A$154,0)),""),U440),0)</f>
        <v/>
      </c>
      <c r="Q440" s="155"/>
      <c r="R440" s="155"/>
      <c r="S440" s="144"/>
      <c r="T440" s="159" t="str">
        <f>IF(S440&lt;&gt;"User Specified",IF(AND(S440&lt;&gt;"User Specified",S440&lt;&gt;""), INDEX('Refrigerant GWPs'!$G$2:$G$154,MATCH(S440,'Refrigerant GWPs'!$A$2:$A$154,0)),""),V440)</f>
        <v/>
      </c>
      <c r="U440" s="144"/>
      <c r="V440" s="144"/>
      <c r="W440" s="155"/>
      <c r="X440" s="155"/>
      <c r="Y440" s="144"/>
      <c r="Z440" s="159" t="str">
        <f>IF(AND(Y440&lt;&gt;"User Specified",Y440&lt;&gt;""), INDEX('Refrigerant GWPs'!$G$2:$G$154,MATCH(Y440,'Refrigerant GWPs'!$A$2:$A$154,0)),"")</f>
        <v/>
      </c>
      <c r="AA440" s="155"/>
      <c r="AB440" s="156"/>
      <c r="AC440" s="66"/>
      <c r="AD440" s="66"/>
      <c r="AE440" s="66"/>
      <c r="AF440" s="66"/>
      <c r="AG440" s="66"/>
      <c r="AH440" s="66"/>
      <c r="AI440" s="34"/>
      <c r="AJ440" s="88">
        <f t="shared" si="514"/>
        <v>0</v>
      </c>
      <c r="AK440" s="88">
        <f t="shared" si="515"/>
        <v>0</v>
      </c>
      <c r="AL440" s="88">
        <v>0</v>
      </c>
      <c r="AM440" s="88">
        <v>0</v>
      </c>
      <c r="AN440" s="81" t="str">
        <f t="shared" si="553"/>
        <v/>
      </c>
      <c r="AO440" s="88">
        <f t="shared" si="516"/>
        <v>0</v>
      </c>
      <c r="AP440" s="88">
        <f t="shared" si="517"/>
        <v>0</v>
      </c>
      <c r="AQ440" s="81" t="str">
        <f t="shared" si="518"/>
        <v/>
      </c>
      <c r="AS440" s="41" t="b">
        <f t="shared" si="519"/>
        <v>1</v>
      </c>
      <c r="AT440" s="38">
        <f t="shared" si="520"/>
        <v>0</v>
      </c>
      <c r="AU440" s="60">
        <f t="shared" si="521"/>
        <v>0</v>
      </c>
      <c r="AV440" s="41">
        <f t="shared" si="522"/>
        <v>0</v>
      </c>
      <c r="AW440" s="41" t="b">
        <f t="shared" si="523"/>
        <v>0</v>
      </c>
      <c r="AX440" t="str">
        <f t="shared" si="524"/>
        <v>+00</v>
      </c>
      <c r="AY440" t="str">
        <f t="shared" si="525"/>
        <v>+00</v>
      </c>
      <c r="BA440" s="47" t="b">
        <f t="shared" si="554"/>
        <v>1</v>
      </c>
      <c r="BB440" s="42" t="b">
        <f t="shared" si="555"/>
        <v>1</v>
      </c>
      <c r="BC440" s="42" t="b">
        <f t="shared" si="556"/>
        <v>0</v>
      </c>
      <c r="BD440" s="42" t="b">
        <f t="shared" si="557"/>
        <v>0</v>
      </c>
      <c r="BE440" s="70">
        <f t="shared" si="558"/>
        <v>0</v>
      </c>
      <c r="BF440" s="70">
        <f t="shared" si="559"/>
        <v>0</v>
      </c>
      <c r="BG440" s="34"/>
      <c r="BI440" s="47" t="b">
        <f t="shared" si="560"/>
        <v>1</v>
      </c>
      <c r="BJ440" s="47" t="b">
        <f t="shared" si="561"/>
        <v>1</v>
      </c>
      <c r="BK440" s="42" t="b">
        <f t="shared" si="562"/>
        <v>0</v>
      </c>
      <c r="BL440" s="42" t="b">
        <f t="shared" si="563"/>
        <v>0</v>
      </c>
      <c r="BM440" s="42">
        <f t="shared" si="564"/>
        <v>0</v>
      </c>
      <c r="BN440" s="42">
        <f t="shared" si="565"/>
        <v>0</v>
      </c>
      <c r="BP440" t="e">
        <f t="shared" si="566"/>
        <v>#N/A</v>
      </c>
      <c r="BQ440" t="e">
        <f t="shared" si="567"/>
        <v>#N/A</v>
      </c>
      <c r="BR440" t="e">
        <f t="shared" si="568"/>
        <v>#N/A</v>
      </c>
      <c r="BT440" s="60">
        <f t="shared" si="569"/>
        <v>0</v>
      </c>
      <c r="BU440" s="60">
        <f t="shared" si="570"/>
        <v>0</v>
      </c>
      <c r="BV440" s="60">
        <f t="shared" si="571"/>
        <v>0</v>
      </c>
      <c r="BW440" s="60">
        <f t="shared" si="572"/>
        <v>0</v>
      </c>
      <c r="BX440" s="60">
        <f t="shared" si="573"/>
        <v>0</v>
      </c>
      <c r="BY440" s="60">
        <f t="shared" si="574"/>
        <v>0</v>
      </c>
      <c r="BZ440" s="60">
        <f t="shared" si="575"/>
        <v>0</v>
      </c>
      <c r="CA440" s="60">
        <f t="shared" si="576"/>
        <v>0</v>
      </c>
      <c r="CB440" s="60" t="e">
        <f t="shared" si="526"/>
        <v>#N/A</v>
      </c>
      <c r="CC440" s="60">
        <f t="shared" si="527"/>
        <v>100000</v>
      </c>
      <c r="CD440" s="60" t="e">
        <f t="shared" si="528"/>
        <v>#N/A</v>
      </c>
      <c r="CE440" s="60">
        <f t="shared" si="529"/>
        <v>100000</v>
      </c>
      <c r="CF440" s="83" t="e">
        <f t="shared" si="577"/>
        <v>#N/A</v>
      </c>
      <c r="CG440" s="83">
        <f t="shared" si="578"/>
        <v>0</v>
      </c>
      <c r="CH440" s="83" t="e">
        <f t="shared" si="579"/>
        <v>#N/A</v>
      </c>
      <c r="CI440" s="83">
        <f t="shared" si="580"/>
        <v>0</v>
      </c>
      <c r="CJ440" s="86" t="e">
        <f t="shared" si="530"/>
        <v>#N/A</v>
      </c>
      <c r="CK440" s="82">
        <f t="shared" si="531"/>
        <v>5.3070370403969858E-3</v>
      </c>
      <c r="CL440" s="82" t="e">
        <f t="shared" si="532"/>
        <v>#N/A</v>
      </c>
      <c r="CM440" s="82">
        <f t="shared" si="533"/>
        <v>5.3070370403969858E-3</v>
      </c>
      <c r="CO440" s="149" t="str">
        <f>IF($I440&lt;&gt;"",IF(O440="User Specified",U440,INDEX('Refrigerant GWPs'!$G$2:$G$156,MATCH(O440,'Refrigerant GWPs'!$A$2:$A$156,0))),"")</f>
        <v/>
      </c>
      <c r="CP440" s="138" t="str">
        <f>IF($I440&lt;&gt;"",INDEX('Device Refrigerant Leakage'!$E$2:$E$42,MATCH($M440,'Device Refrigerant Leakage'!$B$2:$B$42,0)),"")</f>
        <v/>
      </c>
      <c r="CQ440" s="138" t="str">
        <f>IF($I440&lt;&gt;"",INDEX('Device Refrigerant Leakage'!$F$2:$F$42,MATCH($M440,'Device Refrigerant Leakage'!$B$2:$B$42,0)),"")</f>
        <v/>
      </c>
      <c r="CR440" s="145" t="str">
        <f>IF($I440&lt;&gt;"",INDEX('Device Refrigerant Leakage'!$G$2:$G$42,MATCH($M440,'Device Refrigerant Leakage'!$B$2:$B$42,0)),"")</f>
        <v/>
      </c>
      <c r="CS440" s="145" t="str">
        <f>IF($I440&lt;&gt;"",INDEX('Device Refrigerant Leakage'!$D$2:$D$42,MATCH($M440,'Device Refrigerant Leakage'!$B$2:$B$42,0))*CP440/2204.62*CO440,"")</f>
        <v/>
      </c>
      <c r="CT440" s="145" t="str">
        <f>IF($I440&lt;&gt;"",J440*(INDEX('Device Refrigerant Leakage'!$D$2:$D$42,MATCH($M440,'Device Refrigerant Leakage'!$B$2:$B$42,0))-(INDEX('Device Refrigerant Leakage'!$D$2:$D$42,MATCH($M440,'Device Refrigerant Leakage'!$B$2:$B$42,0)))*CR440*CP440)*CQ440/2204.62*CO440,"")</f>
        <v/>
      </c>
      <c r="CU440" s="135" t="str">
        <f>IF($I440&lt;&gt;"",J440*IF(W440&lt;&gt;"AR",(CS440*K440)+CT440,(CS440*AB440)+CT440*(AB440/INDEX('Device Refrigerant Leakage'!$C$2:$C$42,MATCH($M440,'Device Refrigerant Leakage'!$B$2:$B$42,0)))),"")</f>
        <v/>
      </c>
      <c r="CW440" s="135" t="str">
        <f>IF($I440&lt;&gt;"",IF(S440="User Specified",V440,INDEX('Refrigerant GWPs'!$G$2:$G$156,MATCH(S440,'Refrigerant GWPs'!$A$2:$A$157,0))),"")</f>
        <v/>
      </c>
      <c r="CX440" s="138" t="str">
        <f>IF($I440&lt;&gt;"",INDEX('Device Refrigerant Leakage'!$E$2:$E$42,MATCH($Q440,'Device Refrigerant Leakage'!$B$2:$B$42,0)),"")</f>
        <v/>
      </c>
      <c r="CY440" s="138" t="str">
        <f>IF($I440&lt;&gt;"",INDEX('Device Refrigerant Leakage'!$F$2:$F$42,MATCH($Q440,'Device Refrigerant Leakage'!$B$2:$B$42,0)),"")</f>
        <v/>
      </c>
      <c r="CZ440" s="145" t="str">
        <f>IF($I440&lt;&gt;"",INDEX('Device Refrigerant Leakage'!$G$2:$G$42,MATCH($Q440,'Device Refrigerant Leakage'!$B$2:$B$42,0)),"")</f>
        <v/>
      </c>
      <c r="DA440" s="145" t="str">
        <f>IF($I440&lt;&gt;"",J440*INDEX('Device Refrigerant Leakage'!$D$2:$D$42,MATCH($Q440,'Device Refrigerant Leakage'!$B$2:$B$42,0))*CX440/2204.62*CW440,"")</f>
        <v/>
      </c>
      <c r="DB440" s="145" t="str">
        <f>IF($I440&lt;&gt;"",J440*(INDEX('Device Refrigerant Leakage'!$D$2:$D$42,MATCH($Q440,'Device Refrigerant Leakage'!$B$2:$B$42,0))-(INDEX('Device Refrigerant Leakage'!$D$2:$D$42,MATCH($Q440,'Device Refrigerant Leakage'!$B$2:$B$42,0)))*CZ440*CX440)*CY440/2204.62*CW440,"")</f>
        <v/>
      </c>
      <c r="DC440" s="135" t="str">
        <f t="shared" si="552"/>
        <v/>
      </c>
      <c r="DE440" s="146" t="str">
        <f>IF(W440&lt;&gt;"AR","",IF(Y440="User Specified", AA440, INDEX('Refrigerant GWPs'!$G$2:$G$154,MATCH(Y440,'Refrigerant GWPs'!$A$2:$A$154,0))))</f>
        <v/>
      </c>
      <c r="DF440" s="146" t="str">
        <f>IF(W440&lt;&gt;"AR","",INDEX('Device Refrigerant Leakage'!$E$2:$E$42,MATCH(X440,'Device Refrigerant Leakage'!$B$2:$B$42,0)))</f>
        <v/>
      </c>
      <c r="DG440" s="146" t="str">
        <f>IF(W440&lt;&gt;"AR","",INDEX('Device Refrigerant Leakage'!$F$2:$F$42,MATCH(X440,'Device Refrigerant Leakage'!$B$2:$B$42,0)))</f>
        <v/>
      </c>
      <c r="DH440" s="146" t="str">
        <f>IF(W440&lt;&gt;"AR","",INDEX('Device Refrigerant Leakage'!$G$2:$G$42,MATCH(X440,'Device Refrigerant Leakage'!$B$2:$B$42,0)))</f>
        <v/>
      </c>
      <c r="DI440" s="146" t="str">
        <f>IF(W440&lt;&gt;"AR","",J440*INDEX('Device Refrigerant Leakage'!$D$2:$D$42,MATCH(X440,'Device Refrigerant Leakage'!$B$2:$B$42,0))*DF440/2204.62*DE440)</f>
        <v/>
      </c>
      <c r="DJ440" s="146" t="str">
        <f>IF(W440&lt;&gt;"AR","",J440*(INDEX('Device Refrigerant Leakage'!$D$2:$D$42,MATCH(X440,'Device Refrigerant Leakage'!$B$2:$B$42,0))-(INDEX('Device Refrigerant Leakage'!$D$2:$D$42,MATCH(X440,'Device Refrigerant Leakage'!$B$2:$B$42,0)))*DH440*DF440)*DG440/2204.62*DE440)</f>
        <v/>
      </c>
      <c r="DK440" s="146" t="str">
        <f>IF(W440&lt;&gt;"AR","",DI440*(K440-AB440)+'Fuel Sub Calcs-Deemed'!DJ440*((K440-AB440)/INDEX('Device Refrigerant Leakage'!$C$2:$C$42,MATCH('Fuel Sub Calcs-Deemed'!X440,'Device Refrigerant Leakage'!$B$2:$B$42,0))))</f>
        <v/>
      </c>
      <c r="DM440" s="56">
        <v>426</v>
      </c>
      <c r="DN440" s="67" t="e">
        <f t="shared" si="534"/>
        <v>#N/A</v>
      </c>
      <c r="DO440" s="45" t="e">
        <f t="shared" si="535"/>
        <v>#N/A</v>
      </c>
      <c r="DP440" s="67" t="e">
        <f t="shared" si="536"/>
        <v>#N/A</v>
      </c>
      <c r="DQ440" s="45" t="e">
        <f t="shared" si="537"/>
        <v>#N/A</v>
      </c>
      <c r="DR440" s="69" t="e">
        <f t="shared" si="538"/>
        <v>#N/A</v>
      </c>
      <c r="DS440" s="34"/>
      <c r="DT440" s="67" t="e">
        <f>((BX440*CJ440)+IF($W440=MAT_AR,(BZ440*CL440),0))*(1+Reference!$E$50+Reference!$E$51)</f>
        <v>#N/A</v>
      </c>
      <c r="DU440" s="67">
        <f>((BY440*CK440)+IF($W440=MAT_AR,(CA440*CM440),0))*(1+Reference!$G$50+Reference!$G$51)</f>
        <v>0</v>
      </c>
      <c r="DV440" s="67" t="e">
        <f t="shared" si="539"/>
        <v>#VALUE!</v>
      </c>
      <c r="DX440" s="56">
        <v>426</v>
      </c>
      <c r="DY440" s="67">
        <f t="shared" si="540"/>
        <v>0</v>
      </c>
      <c r="DZ440" s="45" t="e">
        <f>VLOOKUP($R440,Dropdown!$C$3:$D$4,2,FALSE)</f>
        <v>#N/A</v>
      </c>
      <c r="EA440" s="68">
        <f t="shared" si="541"/>
        <v>0</v>
      </c>
      <c r="EB440" s="68" t="str">
        <f t="shared" si="542"/>
        <v>N/A</v>
      </c>
      <c r="EC440" s="68">
        <f t="shared" si="543"/>
        <v>0</v>
      </c>
      <c r="ED440" s="68" t="str">
        <f t="shared" si="581"/>
        <v>N/A</v>
      </c>
      <c r="EF440" s="56">
        <v>426</v>
      </c>
      <c r="EG440" s="46">
        <f t="shared" si="544"/>
        <v>0</v>
      </c>
      <c r="EH440" s="68" t="e">
        <f t="shared" si="545"/>
        <v>#N/A</v>
      </c>
      <c r="EI440" s="68" t="e">
        <f t="shared" si="546"/>
        <v>#N/A</v>
      </c>
      <c r="EJ440" s="68" t="e">
        <f t="shared" si="547"/>
        <v>#N/A</v>
      </c>
      <c r="EK440" s="68" t="e">
        <f t="shared" si="548"/>
        <v>#N/A</v>
      </c>
      <c r="EL440" s="46">
        <f t="shared" si="549"/>
        <v>0</v>
      </c>
      <c r="EM440" s="46">
        <f t="shared" si="550"/>
        <v>0</v>
      </c>
    </row>
    <row r="441" spans="1:143">
      <c r="A441" s="89"/>
      <c r="B441" s="89"/>
      <c r="C441" s="89"/>
      <c r="D441" s="89"/>
      <c r="E441" s="89"/>
      <c r="F441" s="89"/>
      <c r="G441" s="34"/>
      <c r="H441" s="56">
        <f t="shared" si="551"/>
        <v>427</v>
      </c>
      <c r="I441" s="165"/>
      <c r="J441" s="163"/>
      <c r="K441" s="163"/>
      <c r="L441" s="164"/>
      <c r="M441" s="155"/>
      <c r="N441" s="155"/>
      <c r="O441" s="144"/>
      <c r="P441" s="159" t="str">
        <f>IFERROR(IF(O441&lt;&gt;"User Specified",IF(O441&lt;&gt;"", INDEX('Refrigerant GWPs'!$G$2:$G$154,MATCH(O441,'Refrigerant GWPs'!$A$2:$A$154,0)),""),U441),0)</f>
        <v/>
      </c>
      <c r="Q441" s="155"/>
      <c r="R441" s="155"/>
      <c r="S441" s="144"/>
      <c r="T441" s="159" t="str">
        <f>IF(S441&lt;&gt;"User Specified",IF(AND(S441&lt;&gt;"User Specified",S441&lt;&gt;""), INDEX('Refrigerant GWPs'!$G$2:$G$154,MATCH(S441,'Refrigerant GWPs'!$A$2:$A$154,0)),""),V441)</f>
        <v/>
      </c>
      <c r="U441" s="144"/>
      <c r="V441" s="144"/>
      <c r="W441" s="155"/>
      <c r="X441" s="155"/>
      <c r="Y441" s="144"/>
      <c r="Z441" s="159" t="str">
        <f>IF(AND(Y441&lt;&gt;"User Specified",Y441&lt;&gt;""), INDEX('Refrigerant GWPs'!$G$2:$G$154,MATCH(Y441,'Refrigerant GWPs'!$A$2:$A$154,0)),"")</f>
        <v/>
      </c>
      <c r="AA441" s="155"/>
      <c r="AB441" s="156"/>
      <c r="AC441" s="66"/>
      <c r="AD441" s="66"/>
      <c r="AE441" s="66"/>
      <c r="AF441" s="66"/>
      <c r="AG441" s="66"/>
      <c r="AH441" s="66"/>
      <c r="AI441" s="34"/>
      <c r="AJ441" s="88">
        <f t="shared" si="514"/>
        <v>0</v>
      </c>
      <c r="AK441" s="88">
        <f t="shared" si="515"/>
        <v>0</v>
      </c>
      <c r="AL441" s="88">
        <v>0</v>
      </c>
      <c r="AM441" s="88">
        <v>0</v>
      </c>
      <c r="AN441" s="81" t="str">
        <f t="shared" si="553"/>
        <v/>
      </c>
      <c r="AO441" s="88">
        <f t="shared" si="516"/>
        <v>0</v>
      </c>
      <c r="AP441" s="88">
        <f t="shared" si="517"/>
        <v>0</v>
      </c>
      <c r="AQ441" s="81" t="str">
        <f t="shared" si="518"/>
        <v/>
      </c>
      <c r="AS441" s="41" t="b">
        <f t="shared" si="519"/>
        <v>1</v>
      </c>
      <c r="AT441" s="38">
        <f t="shared" si="520"/>
        <v>0</v>
      </c>
      <c r="AU441" s="60">
        <f t="shared" si="521"/>
        <v>0</v>
      </c>
      <c r="AV441" s="41">
        <f t="shared" si="522"/>
        <v>0</v>
      </c>
      <c r="AW441" s="41" t="b">
        <f t="shared" si="523"/>
        <v>0</v>
      </c>
      <c r="AX441" t="str">
        <f t="shared" si="524"/>
        <v>+00</v>
      </c>
      <c r="AY441" t="str">
        <f t="shared" si="525"/>
        <v>+00</v>
      </c>
      <c r="BA441" s="47" t="b">
        <f t="shared" si="554"/>
        <v>1</v>
      </c>
      <c r="BB441" s="42" t="b">
        <f t="shared" si="555"/>
        <v>1</v>
      </c>
      <c r="BC441" s="42" t="b">
        <f t="shared" si="556"/>
        <v>0</v>
      </c>
      <c r="BD441" s="42" t="b">
        <f t="shared" si="557"/>
        <v>0</v>
      </c>
      <c r="BE441" s="70">
        <f t="shared" si="558"/>
        <v>0</v>
      </c>
      <c r="BF441" s="70">
        <f t="shared" si="559"/>
        <v>0</v>
      </c>
      <c r="BG441" s="34"/>
      <c r="BI441" s="47" t="b">
        <f t="shared" si="560"/>
        <v>1</v>
      </c>
      <c r="BJ441" s="47" t="b">
        <f t="shared" si="561"/>
        <v>1</v>
      </c>
      <c r="BK441" s="42" t="b">
        <f t="shared" si="562"/>
        <v>0</v>
      </c>
      <c r="BL441" s="42" t="b">
        <f t="shared" si="563"/>
        <v>0</v>
      </c>
      <c r="BM441" s="42">
        <f t="shared" si="564"/>
        <v>0</v>
      </c>
      <c r="BN441" s="42">
        <f t="shared" si="565"/>
        <v>0</v>
      </c>
      <c r="BP441" t="e">
        <f t="shared" si="566"/>
        <v>#N/A</v>
      </c>
      <c r="BQ441" t="e">
        <f t="shared" si="567"/>
        <v>#N/A</v>
      </c>
      <c r="BR441" t="e">
        <f t="shared" si="568"/>
        <v>#N/A</v>
      </c>
      <c r="BT441" s="60">
        <f t="shared" si="569"/>
        <v>0</v>
      </c>
      <c r="BU441" s="60">
        <f t="shared" si="570"/>
        <v>0</v>
      </c>
      <c r="BV441" s="60">
        <f t="shared" si="571"/>
        <v>0</v>
      </c>
      <c r="BW441" s="60">
        <f t="shared" si="572"/>
        <v>0</v>
      </c>
      <c r="BX441" s="60">
        <f t="shared" si="573"/>
        <v>0</v>
      </c>
      <c r="BY441" s="60">
        <f t="shared" si="574"/>
        <v>0</v>
      </c>
      <c r="BZ441" s="60">
        <f t="shared" si="575"/>
        <v>0</v>
      </c>
      <c r="CA441" s="60">
        <f t="shared" si="576"/>
        <v>0</v>
      </c>
      <c r="CB441" s="60" t="e">
        <f t="shared" si="526"/>
        <v>#N/A</v>
      </c>
      <c r="CC441" s="60">
        <f t="shared" si="527"/>
        <v>100000</v>
      </c>
      <c r="CD441" s="60" t="e">
        <f t="shared" si="528"/>
        <v>#N/A</v>
      </c>
      <c r="CE441" s="60">
        <f t="shared" si="529"/>
        <v>100000</v>
      </c>
      <c r="CF441" s="83" t="e">
        <f t="shared" si="577"/>
        <v>#N/A</v>
      </c>
      <c r="CG441" s="83">
        <f t="shared" si="578"/>
        <v>0</v>
      </c>
      <c r="CH441" s="83" t="e">
        <f t="shared" si="579"/>
        <v>#N/A</v>
      </c>
      <c r="CI441" s="83">
        <f t="shared" si="580"/>
        <v>0</v>
      </c>
      <c r="CJ441" s="86" t="e">
        <f t="shared" si="530"/>
        <v>#N/A</v>
      </c>
      <c r="CK441" s="82">
        <f t="shared" si="531"/>
        <v>5.3070370403969858E-3</v>
      </c>
      <c r="CL441" s="82" t="e">
        <f t="shared" si="532"/>
        <v>#N/A</v>
      </c>
      <c r="CM441" s="82">
        <f t="shared" si="533"/>
        <v>5.3070370403969858E-3</v>
      </c>
      <c r="CO441" s="149" t="str">
        <f>IF($I441&lt;&gt;"",IF(O441="User Specified",U441,INDEX('Refrigerant GWPs'!$G$2:$G$156,MATCH(O441,'Refrigerant GWPs'!$A$2:$A$156,0))),"")</f>
        <v/>
      </c>
      <c r="CP441" s="138" t="str">
        <f>IF($I441&lt;&gt;"",INDEX('Device Refrigerant Leakage'!$E$2:$E$42,MATCH($M441,'Device Refrigerant Leakage'!$B$2:$B$42,0)),"")</f>
        <v/>
      </c>
      <c r="CQ441" s="138" t="str">
        <f>IF($I441&lt;&gt;"",INDEX('Device Refrigerant Leakage'!$F$2:$F$42,MATCH($M441,'Device Refrigerant Leakage'!$B$2:$B$42,0)),"")</f>
        <v/>
      </c>
      <c r="CR441" s="145" t="str">
        <f>IF($I441&lt;&gt;"",INDEX('Device Refrigerant Leakage'!$G$2:$G$42,MATCH($M441,'Device Refrigerant Leakage'!$B$2:$B$42,0)),"")</f>
        <v/>
      </c>
      <c r="CS441" s="145" t="str">
        <f>IF($I441&lt;&gt;"",INDEX('Device Refrigerant Leakage'!$D$2:$D$42,MATCH($M441,'Device Refrigerant Leakage'!$B$2:$B$42,0))*CP441/2204.62*CO441,"")</f>
        <v/>
      </c>
      <c r="CT441" s="145" t="str">
        <f>IF($I441&lt;&gt;"",J441*(INDEX('Device Refrigerant Leakage'!$D$2:$D$42,MATCH($M441,'Device Refrigerant Leakage'!$B$2:$B$42,0))-(INDEX('Device Refrigerant Leakage'!$D$2:$D$42,MATCH($M441,'Device Refrigerant Leakage'!$B$2:$B$42,0)))*CR441*CP441)*CQ441/2204.62*CO441,"")</f>
        <v/>
      </c>
      <c r="CU441" s="135" t="str">
        <f>IF($I441&lt;&gt;"",J441*IF(W441&lt;&gt;"AR",(CS441*K441)+CT441,(CS441*AB441)+CT441*(AB441/INDEX('Device Refrigerant Leakage'!$C$2:$C$42,MATCH($M441,'Device Refrigerant Leakage'!$B$2:$B$42,0)))),"")</f>
        <v/>
      </c>
      <c r="CW441" s="135" t="str">
        <f>IF($I441&lt;&gt;"",IF(S441="User Specified",V441,INDEX('Refrigerant GWPs'!$G$2:$G$156,MATCH(S441,'Refrigerant GWPs'!$A$2:$A$157,0))),"")</f>
        <v/>
      </c>
      <c r="CX441" s="138" t="str">
        <f>IF($I441&lt;&gt;"",INDEX('Device Refrigerant Leakage'!$E$2:$E$42,MATCH($Q441,'Device Refrigerant Leakage'!$B$2:$B$42,0)),"")</f>
        <v/>
      </c>
      <c r="CY441" s="138" t="str">
        <f>IF($I441&lt;&gt;"",INDEX('Device Refrigerant Leakage'!$F$2:$F$42,MATCH($Q441,'Device Refrigerant Leakage'!$B$2:$B$42,0)),"")</f>
        <v/>
      </c>
      <c r="CZ441" s="145" t="str">
        <f>IF($I441&lt;&gt;"",INDEX('Device Refrigerant Leakage'!$G$2:$G$42,MATCH($Q441,'Device Refrigerant Leakage'!$B$2:$B$42,0)),"")</f>
        <v/>
      </c>
      <c r="DA441" s="145" t="str">
        <f>IF($I441&lt;&gt;"",J441*INDEX('Device Refrigerant Leakage'!$D$2:$D$42,MATCH($Q441,'Device Refrigerant Leakage'!$B$2:$B$42,0))*CX441/2204.62*CW441,"")</f>
        <v/>
      </c>
      <c r="DB441" s="145" t="str">
        <f>IF($I441&lt;&gt;"",J441*(INDEX('Device Refrigerant Leakage'!$D$2:$D$42,MATCH($Q441,'Device Refrigerant Leakage'!$B$2:$B$42,0))-(INDEX('Device Refrigerant Leakage'!$D$2:$D$42,MATCH($Q441,'Device Refrigerant Leakage'!$B$2:$B$42,0)))*CZ441*CX441)*CY441/2204.62*CW441,"")</f>
        <v/>
      </c>
      <c r="DC441" s="135" t="str">
        <f t="shared" si="552"/>
        <v/>
      </c>
      <c r="DE441" s="146" t="str">
        <f>IF(W441&lt;&gt;"AR","",IF(Y441="User Specified", AA441, INDEX('Refrigerant GWPs'!$G$2:$G$154,MATCH(Y441,'Refrigerant GWPs'!$A$2:$A$154,0))))</f>
        <v/>
      </c>
      <c r="DF441" s="146" t="str">
        <f>IF(W441&lt;&gt;"AR","",INDEX('Device Refrigerant Leakage'!$E$2:$E$42,MATCH(X441,'Device Refrigerant Leakage'!$B$2:$B$42,0)))</f>
        <v/>
      </c>
      <c r="DG441" s="146" t="str">
        <f>IF(W441&lt;&gt;"AR","",INDEX('Device Refrigerant Leakage'!$F$2:$F$42,MATCH(X441,'Device Refrigerant Leakage'!$B$2:$B$42,0)))</f>
        <v/>
      </c>
      <c r="DH441" s="146" t="str">
        <f>IF(W441&lt;&gt;"AR","",INDEX('Device Refrigerant Leakage'!$G$2:$G$42,MATCH(X441,'Device Refrigerant Leakage'!$B$2:$B$42,0)))</f>
        <v/>
      </c>
      <c r="DI441" s="146" t="str">
        <f>IF(W441&lt;&gt;"AR","",J441*INDEX('Device Refrigerant Leakage'!$D$2:$D$42,MATCH(X441,'Device Refrigerant Leakage'!$B$2:$B$42,0))*DF441/2204.62*DE441)</f>
        <v/>
      </c>
      <c r="DJ441" s="146" t="str">
        <f>IF(W441&lt;&gt;"AR","",J441*(INDEX('Device Refrigerant Leakage'!$D$2:$D$42,MATCH(X441,'Device Refrigerant Leakage'!$B$2:$B$42,0))-(INDEX('Device Refrigerant Leakage'!$D$2:$D$42,MATCH(X441,'Device Refrigerant Leakage'!$B$2:$B$42,0)))*DH441*DF441)*DG441/2204.62*DE441)</f>
        <v/>
      </c>
      <c r="DK441" s="146" t="str">
        <f>IF(W441&lt;&gt;"AR","",DI441*(K441-AB441)+'Fuel Sub Calcs-Deemed'!DJ441*((K441-AB441)/INDEX('Device Refrigerant Leakage'!$C$2:$C$42,MATCH('Fuel Sub Calcs-Deemed'!X441,'Device Refrigerant Leakage'!$B$2:$B$42,0))))</f>
        <v/>
      </c>
      <c r="DM441" s="56">
        <v>427</v>
      </c>
      <c r="DN441" s="67" t="e">
        <f t="shared" si="534"/>
        <v>#N/A</v>
      </c>
      <c r="DO441" s="45" t="e">
        <f t="shared" si="535"/>
        <v>#N/A</v>
      </c>
      <c r="DP441" s="67" t="e">
        <f t="shared" si="536"/>
        <v>#N/A</v>
      </c>
      <c r="DQ441" s="45" t="e">
        <f t="shared" si="537"/>
        <v>#N/A</v>
      </c>
      <c r="DR441" s="69" t="e">
        <f t="shared" si="538"/>
        <v>#N/A</v>
      </c>
      <c r="DS441" s="34"/>
      <c r="DT441" s="67" t="e">
        <f>((BX441*CJ441)+IF($W441=MAT_AR,(BZ441*CL441),0))*(1+Reference!$E$50+Reference!$E$51)</f>
        <v>#N/A</v>
      </c>
      <c r="DU441" s="67">
        <f>((BY441*CK441)+IF($W441=MAT_AR,(CA441*CM441),0))*(1+Reference!$G$50+Reference!$G$51)</f>
        <v>0</v>
      </c>
      <c r="DV441" s="67" t="e">
        <f t="shared" si="539"/>
        <v>#VALUE!</v>
      </c>
      <c r="DX441" s="56">
        <v>427</v>
      </c>
      <c r="DY441" s="67">
        <f t="shared" si="540"/>
        <v>0</v>
      </c>
      <c r="DZ441" s="45" t="e">
        <f>VLOOKUP($R441,Dropdown!$C$3:$D$4,2,FALSE)</f>
        <v>#N/A</v>
      </c>
      <c r="EA441" s="68">
        <f t="shared" si="541"/>
        <v>0</v>
      </c>
      <c r="EB441" s="68" t="str">
        <f t="shared" si="542"/>
        <v>N/A</v>
      </c>
      <c r="EC441" s="68">
        <f t="shared" si="543"/>
        <v>0</v>
      </c>
      <c r="ED441" s="68" t="str">
        <f t="shared" si="581"/>
        <v>N/A</v>
      </c>
      <c r="EF441" s="56">
        <v>427</v>
      </c>
      <c r="EG441" s="46">
        <f t="shared" si="544"/>
        <v>0</v>
      </c>
      <c r="EH441" s="68" t="e">
        <f t="shared" si="545"/>
        <v>#N/A</v>
      </c>
      <c r="EI441" s="68" t="e">
        <f t="shared" si="546"/>
        <v>#N/A</v>
      </c>
      <c r="EJ441" s="68" t="e">
        <f t="shared" si="547"/>
        <v>#N/A</v>
      </c>
      <c r="EK441" s="68" t="e">
        <f t="shared" si="548"/>
        <v>#N/A</v>
      </c>
      <c r="EL441" s="46">
        <f t="shared" si="549"/>
        <v>0</v>
      </c>
      <c r="EM441" s="46">
        <f t="shared" si="550"/>
        <v>0</v>
      </c>
    </row>
    <row r="442" spans="1:143">
      <c r="A442" s="89"/>
      <c r="B442" s="89"/>
      <c r="C442" s="89"/>
      <c r="D442" s="89"/>
      <c r="E442" s="89"/>
      <c r="F442" s="89"/>
      <c r="G442" s="34"/>
      <c r="H442" s="56">
        <f t="shared" si="551"/>
        <v>428</v>
      </c>
      <c r="I442" s="165"/>
      <c r="J442" s="163"/>
      <c r="K442" s="163"/>
      <c r="L442" s="164"/>
      <c r="M442" s="155"/>
      <c r="N442" s="155"/>
      <c r="O442" s="144"/>
      <c r="P442" s="159" t="str">
        <f>IFERROR(IF(O442&lt;&gt;"User Specified",IF(O442&lt;&gt;"", INDEX('Refrigerant GWPs'!$G$2:$G$154,MATCH(O442,'Refrigerant GWPs'!$A$2:$A$154,0)),""),U442),0)</f>
        <v/>
      </c>
      <c r="Q442" s="155"/>
      <c r="R442" s="155"/>
      <c r="S442" s="144"/>
      <c r="T442" s="159" t="str">
        <f>IF(S442&lt;&gt;"User Specified",IF(AND(S442&lt;&gt;"User Specified",S442&lt;&gt;""), INDEX('Refrigerant GWPs'!$G$2:$G$154,MATCH(S442,'Refrigerant GWPs'!$A$2:$A$154,0)),""),V442)</f>
        <v/>
      </c>
      <c r="U442" s="144"/>
      <c r="V442" s="144"/>
      <c r="W442" s="155"/>
      <c r="X442" s="155"/>
      <c r="Y442" s="144"/>
      <c r="Z442" s="159" t="str">
        <f>IF(AND(Y442&lt;&gt;"User Specified",Y442&lt;&gt;""), INDEX('Refrigerant GWPs'!$G$2:$G$154,MATCH(Y442,'Refrigerant GWPs'!$A$2:$A$154,0)),"")</f>
        <v/>
      </c>
      <c r="AA442" s="155"/>
      <c r="AB442" s="156"/>
      <c r="AC442" s="66"/>
      <c r="AD442" s="66"/>
      <c r="AE442" s="66"/>
      <c r="AF442" s="66"/>
      <c r="AG442" s="66"/>
      <c r="AH442" s="66"/>
      <c r="AI442" s="34"/>
      <c r="AJ442" s="88">
        <f t="shared" si="514"/>
        <v>0</v>
      </c>
      <c r="AK442" s="88">
        <f t="shared" si="515"/>
        <v>0</v>
      </c>
      <c r="AL442" s="88">
        <v>0</v>
      </c>
      <c r="AM442" s="88">
        <v>0</v>
      </c>
      <c r="AN442" s="81" t="str">
        <f t="shared" si="553"/>
        <v/>
      </c>
      <c r="AO442" s="88">
        <f t="shared" si="516"/>
        <v>0</v>
      </c>
      <c r="AP442" s="88">
        <f t="shared" si="517"/>
        <v>0</v>
      </c>
      <c r="AQ442" s="81" t="str">
        <f t="shared" si="518"/>
        <v/>
      </c>
      <c r="AS442" s="41" t="b">
        <f t="shared" si="519"/>
        <v>1</v>
      </c>
      <c r="AT442" s="38">
        <f t="shared" si="520"/>
        <v>0</v>
      </c>
      <c r="AU442" s="60">
        <f t="shared" si="521"/>
        <v>0</v>
      </c>
      <c r="AV442" s="41">
        <f t="shared" si="522"/>
        <v>0</v>
      </c>
      <c r="AW442" s="41" t="b">
        <f t="shared" si="523"/>
        <v>0</v>
      </c>
      <c r="AX442" t="str">
        <f t="shared" si="524"/>
        <v>+00</v>
      </c>
      <c r="AY442" t="str">
        <f t="shared" si="525"/>
        <v>+00</v>
      </c>
      <c r="BA442" s="47" t="b">
        <f t="shared" si="554"/>
        <v>1</v>
      </c>
      <c r="BB442" s="42" t="b">
        <f t="shared" si="555"/>
        <v>1</v>
      </c>
      <c r="BC442" s="42" t="b">
        <f t="shared" si="556"/>
        <v>0</v>
      </c>
      <c r="BD442" s="42" t="b">
        <f t="shared" si="557"/>
        <v>0</v>
      </c>
      <c r="BE442" s="70">
        <f t="shared" si="558"/>
        <v>0</v>
      </c>
      <c r="BF442" s="70">
        <f t="shared" si="559"/>
        <v>0</v>
      </c>
      <c r="BG442" s="34"/>
      <c r="BI442" s="47" t="b">
        <f t="shared" si="560"/>
        <v>1</v>
      </c>
      <c r="BJ442" s="47" t="b">
        <f t="shared" si="561"/>
        <v>1</v>
      </c>
      <c r="BK442" s="42" t="b">
        <f t="shared" si="562"/>
        <v>0</v>
      </c>
      <c r="BL442" s="42" t="b">
        <f t="shared" si="563"/>
        <v>0</v>
      </c>
      <c r="BM442" s="42">
        <f t="shared" si="564"/>
        <v>0</v>
      </c>
      <c r="BN442" s="42">
        <f t="shared" si="565"/>
        <v>0</v>
      </c>
      <c r="BP442" t="e">
        <f t="shared" si="566"/>
        <v>#N/A</v>
      </c>
      <c r="BQ442" t="e">
        <f t="shared" si="567"/>
        <v>#N/A</v>
      </c>
      <c r="BR442" t="e">
        <f t="shared" si="568"/>
        <v>#N/A</v>
      </c>
      <c r="BT442" s="60">
        <f t="shared" si="569"/>
        <v>0</v>
      </c>
      <c r="BU442" s="60">
        <f t="shared" si="570"/>
        <v>0</v>
      </c>
      <c r="BV442" s="60">
        <f t="shared" si="571"/>
        <v>0</v>
      </c>
      <c r="BW442" s="60">
        <f t="shared" si="572"/>
        <v>0</v>
      </c>
      <c r="BX442" s="60">
        <f t="shared" si="573"/>
        <v>0</v>
      </c>
      <c r="BY442" s="60">
        <f t="shared" si="574"/>
        <v>0</v>
      </c>
      <c r="BZ442" s="60">
        <f t="shared" si="575"/>
        <v>0</v>
      </c>
      <c r="CA442" s="60">
        <f t="shared" si="576"/>
        <v>0</v>
      </c>
      <c r="CB442" s="60" t="e">
        <f t="shared" si="526"/>
        <v>#N/A</v>
      </c>
      <c r="CC442" s="60">
        <f t="shared" si="527"/>
        <v>100000</v>
      </c>
      <c r="CD442" s="60" t="e">
        <f t="shared" si="528"/>
        <v>#N/A</v>
      </c>
      <c r="CE442" s="60">
        <f t="shared" si="529"/>
        <v>100000</v>
      </c>
      <c r="CF442" s="83" t="e">
        <f t="shared" si="577"/>
        <v>#N/A</v>
      </c>
      <c r="CG442" s="83">
        <f t="shared" si="578"/>
        <v>0</v>
      </c>
      <c r="CH442" s="83" t="e">
        <f t="shared" si="579"/>
        <v>#N/A</v>
      </c>
      <c r="CI442" s="83">
        <f t="shared" si="580"/>
        <v>0</v>
      </c>
      <c r="CJ442" s="86" t="e">
        <f t="shared" si="530"/>
        <v>#N/A</v>
      </c>
      <c r="CK442" s="82">
        <f t="shared" si="531"/>
        <v>5.3070370403969858E-3</v>
      </c>
      <c r="CL442" s="82" t="e">
        <f t="shared" si="532"/>
        <v>#N/A</v>
      </c>
      <c r="CM442" s="82">
        <f t="shared" si="533"/>
        <v>5.3070370403969858E-3</v>
      </c>
      <c r="CO442" s="149" t="str">
        <f>IF($I442&lt;&gt;"",IF(O442="User Specified",U442,INDEX('Refrigerant GWPs'!$G$2:$G$156,MATCH(O442,'Refrigerant GWPs'!$A$2:$A$156,0))),"")</f>
        <v/>
      </c>
      <c r="CP442" s="138" t="str">
        <f>IF($I442&lt;&gt;"",INDEX('Device Refrigerant Leakage'!$E$2:$E$42,MATCH($M442,'Device Refrigerant Leakage'!$B$2:$B$42,0)),"")</f>
        <v/>
      </c>
      <c r="CQ442" s="138" t="str">
        <f>IF($I442&lt;&gt;"",INDEX('Device Refrigerant Leakage'!$F$2:$F$42,MATCH($M442,'Device Refrigerant Leakage'!$B$2:$B$42,0)),"")</f>
        <v/>
      </c>
      <c r="CR442" s="145" t="str">
        <f>IF($I442&lt;&gt;"",INDEX('Device Refrigerant Leakage'!$G$2:$G$42,MATCH($M442,'Device Refrigerant Leakage'!$B$2:$B$42,0)),"")</f>
        <v/>
      </c>
      <c r="CS442" s="145" t="str">
        <f>IF($I442&lt;&gt;"",INDEX('Device Refrigerant Leakage'!$D$2:$D$42,MATCH($M442,'Device Refrigerant Leakage'!$B$2:$B$42,0))*CP442/2204.62*CO442,"")</f>
        <v/>
      </c>
      <c r="CT442" s="145" t="str">
        <f>IF($I442&lt;&gt;"",J442*(INDEX('Device Refrigerant Leakage'!$D$2:$D$42,MATCH($M442,'Device Refrigerant Leakage'!$B$2:$B$42,0))-(INDEX('Device Refrigerant Leakage'!$D$2:$D$42,MATCH($M442,'Device Refrigerant Leakage'!$B$2:$B$42,0)))*CR442*CP442)*CQ442/2204.62*CO442,"")</f>
        <v/>
      </c>
      <c r="CU442" s="135" t="str">
        <f>IF($I442&lt;&gt;"",J442*IF(W442&lt;&gt;"AR",(CS442*K442)+CT442,(CS442*AB442)+CT442*(AB442/INDEX('Device Refrigerant Leakage'!$C$2:$C$42,MATCH($M442,'Device Refrigerant Leakage'!$B$2:$B$42,0)))),"")</f>
        <v/>
      </c>
      <c r="CW442" s="135" t="str">
        <f>IF($I442&lt;&gt;"",IF(S442="User Specified",V442,INDEX('Refrigerant GWPs'!$G$2:$G$156,MATCH(S442,'Refrigerant GWPs'!$A$2:$A$157,0))),"")</f>
        <v/>
      </c>
      <c r="CX442" s="138" t="str">
        <f>IF($I442&lt;&gt;"",INDEX('Device Refrigerant Leakage'!$E$2:$E$42,MATCH($Q442,'Device Refrigerant Leakage'!$B$2:$B$42,0)),"")</f>
        <v/>
      </c>
      <c r="CY442" s="138" t="str">
        <f>IF($I442&lt;&gt;"",INDEX('Device Refrigerant Leakage'!$F$2:$F$42,MATCH($Q442,'Device Refrigerant Leakage'!$B$2:$B$42,0)),"")</f>
        <v/>
      </c>
      <c r="CZ442" s="145" t="str">
        <f>IF($I442&lt;&gt;"",INDEX('Device Refrigerant Leakage'!$G$2:$G$42,MATCH($Q442,'Device Refrigerant Leakage'!$B$2:$B$42,0)),"")</f>
        <v/>
      </c>
      <c r="DA442" s="145" t="str">
        <f>IF($I442&lt;&gt;"",J442*INDEX('Device Refrigerant Leakage'!$D$2:$D$42,MATCH($Q442,'Device Refrigerant Leakage'!$B$2:$B$42,0))*CX442/2204.62*CW442,"")</f>
        <v/>
      </c>
      <c r="DB442" s="145" t="str">
        <f>IF($I442&lt;&gt;"",J442*(INDEX('Device Refrigerant Leakage'!$D$2:$D$42,MATCH($Q442,'Device Refrigerant Leakage'!$B$2:$B$42,0))-(INDEX('Device Refrigerant Leakage'!$D$2:$D$42,MATCH($Q442,'Device Refrigerant Leakage'!$B$2:$B$42,0)))*CZ442*CX442)*CY442/2204.62*CW442,"")</f>
        <v/>
      </c>
      <c r="DC442" s="135" t="str">
        <f t="shared" si="552"/>
        <v/>
      </c>
      <c r="DE442" s="146" t="str">
        <f>IF(W442&lt;&gt;"AR","",IF(Y442="User Specified", AA442, INDEX('Refrigerant GWPs'!$G$2:$G$154,MATCH(Y442,'Refrigerant GWPs'!$A$2:$A$154,0))))</f>
        <v/>
      </c>
      <c r="DF442" s="146" t="str">
        <f>IF(W442&lt;&gt;"AR","",INDEX('Device Refrigerant Leakage'!$E$2:$E$42,MATCH(X442,'Device Refrigerant Leakage'!$B$2:$B$42,0)))</f>
        <v/>
      </c>
      <c r="DG442" s="146" t="str">
        <f>IF(W442&lt;&gt;"AR","",INDEX('Device Refrigerant Leakage'!$F$2:$F$42,MATCH(X442,'Device Refrigerant Leakage'!$B$2:$B$42,0)))</f>
        <v/>
      </c>
      <c r="DH442" s="146" t="str">
        <f>IF(W442&lt;&gt;"AR","",INDEX('Device Refrigerant Leakage'!$G$2:$G$42,MATCH(X442,'Device Refrigerant Leakage'!$B$2:$B$42,0)))</f>
        <v/>
      </c>
      <c r="DI442" s="146" t="str">
        <f>IF(W442&lt;&gt;"AR","",J442*INDEX('Device Refrigerant Leakage'!$D$2:$D$42,MATCH(X442,'Device Refrigerant Leakage'!$B$2:$B$42,0))*DF442/2204.62*DE442)</f>
        <v/>
      </c>
      <c r="DJ442" s="146" t="str">
        <f>IF(W442&lt;&gt;"AR","",J442*(INDEX('Device Refrigerant Leakage'!$D$2:$D$42,MATCH(X442,'Device Refrigerant Leakage'!$B$2:$B$42,0))-(INDEX('Device Refrigerant Leakage'!$D$2:$D$42,MATCH(X442,'Device Refrigerant Leakage'!$B$2:$B$42,0)))*DH442*DF442)*DG442/2204.62*DE442)</f>
        <v/>
      </c>
      <c r="DK442" s="146" t="str">
        <f>IF(W442&lt;&gt;"AR","",DI442*(K442-AB442)+'Fuel Sub Calcs-Deemed'!DJ442*((K442-AB442)/INDEX('Device Refrigerant Leakage'!$C$2:$C$42,MATCH('Fuel Sub Calcs-Deemed'!X442,'Device Refrigerant Leakage'!$B$2:$B$42,0))))</f>
        <v/>
      </c>
      <c r="DM442" s="56">
        <v>428</v>
      </c>
      <c r="DN442" s="67" t="e">
        <f t="shared" si="534"/>
        <v>#N/A</v>
      </c>
      <c r="DO442" s="45" t="e">
        <f t="shared" si="535"/>
        <v>#N/A</v>
      </c>
      <c r="DP442" s="67" t="e">
        <f t="shared" si="536"/>
        <v>#N/A</v>
      </c>
      <c r="DQ442" s="45" t="e">
        <f t="shared" si="537"/>
        <v>#N/A</v>
      </c>
      <c r="DR442" s="69" t="e">
        <f t="shared" si="538"/>
        <v>#N/A</v>
      </c>
      <c r="DS442" s="34"/>
      <c r="DT442" s="67" t="e">
        <f>((BX442*CJ442)+IF($W442=MAT_AR,(BZ442*CL442),0))*(1+Reference!$E$50+Reference!$E$51)</f>
        <v>#N/A</v>
      </c>
      <c r="DU442" s="67">
        <f>((BY442*CK442)+IF($W442=MAT_AR,(CA442*CM442),0))*(1+Reference!$G$50+Reference!$G$51)</f>
        <v>0</v>
      </c>
      <c r="DV442" s="67" t="e">
        <f t="shared" si="539"/>
        <v>#VALUE!</v>
      </c>
      <c r="DX442" s="56">
        <v>428</v>
      </c>
      <c r="DY442" s="67">
        <f t="shared" si="540"/>
        <v>0</v>
      </c>
      <c r="DZ442" s="45" t="e">
        <f>VLOOKUP($R442,Dropdown!$C$3:$D$4,2,FALSE)</f>
        <v>#N/A</v>
      </c>
      <c r="EA442" s="68">
        <f t="shared" si="541"/>
        <v>0</v>
      </c>
      <c r="EB442" s="68" t="str">
        <f t="shared" si="542"/>
        <v>N/A</v>
      </c>
      <c r="EC442" s="68">
        <f t="shared" si="543"/>
        <v>0</v>
      </c>
      <c r="ED442" s="68" t="str">
        <f t="shared" si="581"/>
        <v>N/A</v>
      </c>
      <c r="EF442" s="56">
        <v>428</v>
      </c>
      <c r="EG442" s="46">
        <f t="shared" si="544"/>
        <v>0</v>
      </c>
      <c r="EH442" s="68" t="e">
        <f t="shared" si="545"/>
        <v>#N/A</v>
      </c>
      <c r="EI442" s="68" t="e">
        <f t="shared" si="546"/>
        <v>#N/A</v>
      </c>
      <c r="EJ442" s="68" t="e">
        <f t="shared" si="547"/>
        <v>#N/A</v>
      </c>
      <c r="EK442" s="68" t="e">
        <f t="shared" si="548"/>
        <v>#N/A</v>
      </c>
      <c r="EL442" s="46">
        <f t="shared" si="549"/>
        <v>0</v>
      </c>
      <c r="EM442" s="46">
        <f t="shared" si="550"/>
        <v>0</v>
      </c>
    </row>
    <row r="443" spans="1:143">
      <c r="A443" s="89"/>
      <c r="B443" s="89"/>
      <c r="C443" s="89"/>
      <c r="D443" s="89"/>
      <c r="E443" s="89"/>
      <c r="F443" s="89"/>
      <c r="G443" s="34"/>
      <c r="H443" s="56">
        <f t="shared" si="551"/>
        <v>429</v>
      </c>
      <c r="I443" s="165"/>
      <c r="J443" s="163"/>
      <c r="K443" s="163"/>
      <c r="L443" s="164"/>
      <c r="M443" s="155"/>
      <c r="N443" s="155"/>
      <c r="O443" s="144"/>
      <c r="P443" s="159" t="str">
        <f>IFERROR(IF(O443&lt;&gt;"User Specified",IF(O443&lt;&gt;"", INDEX('Refrigerant GWPs'!$G$2:$G$154,MATCH(O443,'Refrigerant GWPs'!$A$2:$A$154,0)),""),U443),0)</f>
        <v/>
      </c>
      <c r="Q443" s="155"/>
      <c r="R443" s="155"/>
      <c r="S443" s="144"/>
      <c r="T443" s="159" t="str">
        <f>IF(S443&lt;&gt;"User Specified",IF(AND(S443&lt;&gt;"User Specified",S443&lt;&gt;""), INDEX('Refrigerant GWPs'!$G$2:$G$154,MATCH(S443,'Refrigerant GWPs'!$A$2:$A$154,0)),""),V443)</f>
        <v/>
      </c>
      <c r="U443" s="144"/>
      <c r="V443" s="144"/>
      <c r="W443" s="155"/>
      <c r="X443" s="155"/>
      <c r="Y443" s="144"/>
      <c r="Z443" s="159" t="str">
        <f>IF(AND(Y443&lt;&gt;"User Specified",Y443&lt;&gt;""), INDEX('Refrigerant GWPs'!$G$2:$G$154,MATCH(Y443,'Refrigerant GWPs'!$A$2:$A$154,0)),"")</f>
        <v/>
      </c>
      <c r="AA443" s="155"/>
      <c r="AB443" s="156"/>
      <c r="AC443" s="66"/>
      <c r="AD443" s="66"/>
      <c r="AE443" s="66"/>
      <c r="AF443" s="66"/>
      <c r="AG443" s="66"/>
      <c r="AH443" s="66"/>
      <c r="AI443" s="34"/>
      <c r="AJ443" s="88">
        <f t="shared" si="514"/>
        <v>0</v>
      </c>
      <c r="AK443" s="88">
        <f t="shared" si="515"/>
        <v>0</v>
      </c>
      <c r="AL443" s="88">
        <v>0</v>
      </c>
      <c r="AM443" s="88">
        <v>0</v>
      </c>
      <c r="AN443" s="81" t="str">
        <f t="shared" si="553"/>
        <v/>
      </c>
      <c r="AO443" s="88">
        <f t="shared" si="516"/>
        <v>0</v>
      </c>
      <c r="AP443" s="88">
        <f t="shared" si="517"/>
        <v>0</v>
      </c>
      <c r="AQ443" s="81" t="str">
        <f t="shared" si="518"/>
        <v/>
      </c>
      <c r="AS443" s="41" t="b">
        <f t="shared" si="519"/>
        <v>1</v>
      </c>
      <c r="AT443" s="38">
        <f t="shared" si="520"/>
        <v>0</v>
      </c>
      <c r="AU443" s="60">
        <f t="shared" si="521"/>
        <v>0</v>
      </c>
      <c r="AV443" s="41">
        <f t="shared" si="522"/>
        <v>0</v>
      </c>
      <c r="AW443" s="41" t="b">
        <f t="shared" si="523"/>
        <v>0</v>
      </c>
      <c r="AX443" t="str">
        <f t="shared" si="524"/>
        <v>+00</v>
      </c>
      <c r="AY443" t="str">
        <f t="shared" si="525"/>
        <v>+00</v>
      </c>
      <c r="BA443" s="47" t="b">
        <f t="shared" si="554"/>
        <v>1</v>
      </c>
      <c r="BB443" s="42" t="b">
        <f t="shared" si="555"/>
        <v>1</v>
      </c>
      <c r="BC443" s="42" t="b">
        <f t="shared" si="556"/>
        <v>0</v>
      </c>
      <c r="BD443" s="42" t="b">
        <f t="shared" si="557"/>
        <v>0</v>
      </c>
      <c r="BE443" s="70">
        <f t="shared" si="558"/>
        <v>0</v>
      </c>
      <c r="BF443" s="70">
        <f t="shared" si="559"/>
        <v>0</v>
      </c>
      <c r="BG443" s="34"/>
      <c r="BI443" s="47" t="b">
        <f t="shared" si="560"/>
        <v>1</v>
      </c>
      <c r="BJ443" s="47" t="b">
        <f t="shared" si="561"/>
        <v>1</v>
      </c>
      <c r="BK443" s="42" t="b">
        <f t="shared" si="562"/>
        <v>0</v>
      </c>
      <c r="BL443" s="42" t="b">
        <f t="shared" si="563"/>
        <v>0</v>
      </c>
      <c r="BM443" s="42">
        <f t="shared" si="564"/>
        <v>0</v>
      </c>
      <c r="BN443" s="42">
        <f t="shared" si="565"/>
        <v>0</v>
      </c>
      <c r="BP443" t="e">
        <f t="shared" si="566"/>
        <v>#N/A</v>
      </c>
      <c r="BQ443" t="e">
        <f t="shared" si="567"/>
        <v>#N/A</v>
      </c>
      <c r="BR443" t="e">
        <f t="shared" si="568"/>
        <v>#N/A</v>
      </c>
      <c r="BT443" s="60">
        <f t="shared" si="569"/>
        <v>0</v>
      </c>
      <c r="BU443" s="60">
        <f t="shared" si="570"/>
        <v>0</v>
      </c>
      <c r="BV443" s="60">
        <f t="shared" si="571"/>
        <v>0</v>
      </c>
      <c r="BW443" s="60">
        <f t="shared" si="572"/>
        <v>0</v>
      </c>
      <c r="BX443" s="60">
        <f t="shared" si="573"/>
        <v>0</v>
      </c>
      <c r="BY443" s="60">
        <f t="shared" si="574"/>
        <v>0</v>
      </c>
      <c r="BZ443" s="60">
        <f t="shared" si="575"/>
        <v>0</v>
      </c>
      <c r="CA443" s="60">
        <f t="shared" si="576"/>
        <v>0</v>
      </c>
      <c r="CB443" s="60" t="e">
        <f t="shared" si="526"/>
        <v>#N/A</v>
      </c>
      <c r="CC443" s="60">
        <f t="shared" si="527"/>
        <v>100000</v>
      </c>
      <c r="CD443" s="60" t="e">
        <f t="shared" si="528"/>
        <v>#N/A</v>
      </c>
      <c r="CE443" s="60">
        <f t="shared" si="529"/>
        <v>100000</v>
      </c>
      <c r="CF443" s="83" t="e">
        <f t="shared" si="577"/>
        <v>#N/A</v>
      </c>
      <c r="CG443" s="83">
        <f t="shared" si="578"/>
        <v>0</v>
      </c>
      <c r="CH443" s="83" t="e">
        <f t="shared" si="579"/>
        <v>#N/A</v>
      </c>
      <c r="CI443" s="83">
        <f t="shared" si="580"/>
        <v>0</v>
      </c>
      <c r="CJ443" s="86" t="e">
        <f t="shared" si="530"/>
        <v>#N/A</v>
      </c>
      <c r="CK443" s="82">
        <f t="shared" si="531"/>
        <v>5.3070370403969858E-3</v>
      </c>
      <c r="CL443" s="82" t="e">
        <f t="shared" si="532"/>
        <v>#N/A</v>
      </c>
      <c r="CM443" s="82">
        <f t="shared" si="533"/>
        <v>5.3070370403969858E-3</v>
      </c>
      <c r="CO443" s="149" t="str">
        <f>IF($I443&lt;&gt;"",IF(O443="User Specified",U443,INDEX('Refrigerant GWPs'!$G$2:$G$156,MATCH(O443,'Refrigerant GWPs'!$A$2:$A$156,0))),"")</f>
        <v/>
      </c>
      <c r="CP443" s="138" t="str">
        <f>IF($I443&lt;&gt;"",INDEX('Device Refrigerant Leakage'!$E$2:$E$42,MATCH($M443,'Device Refrigerant Leakage'!$B$2:$B$42,0)),"")</f>
        <v/>
      </c>
      <c r="CQ443" s="138" t="str">
        <f>IF($I443&lt;&gt;"",INDEX('Device Refrigerant Leakage'!$F$2:$F$42,MATCH($M443,'Device Refrigerant Leakage'!$B$2:$B$42,0)),"")</f>
        <v/>
      </c>
      <c r="CR443" s="145" t="str">
        <f>IF($I443&lt;&gt;"",INDEX('Device Refrigerant Leakage'!$G$2:$G$42,MATCH($M443,'Device Refrigerant Leakage'!$B$2:$B$42,0)),"")</f>
        <v/>
      </c>
      <c r="CS443" s="145" t="str">
        <f>IF($I443&lt;&gt;"",INDEX('Device Refrigerant Leakage'!$D$2:$D$42,MATCH($M443,'Device Refrigerant Leakage'!$B$2:$B$42,0))*CP443/2204.62*CO443,"")</f>
        <v/>
      </c>
      <c r="CT443" s="145" t="str">
        <f>IF($I443&lt;&gt;"",J443*(INDEX('Device Refrigerant Leakage'!$D$2:$D$42,MATCH($M443,'Device Refrigerant Leakage'!$B$2:$B$42,0))-(INDEX('Device Refrigerant Leakage'!$D$2:$D$42,MATCH($M443,'Device Refrigerant Leakage'!$B$2:$B$42,0)))*CR443*CP443)*CQ443/2204.62*CO443,"")</f>
        <v/>
      </c>
      <c r="CU443" s="135" t="str">
        <f>IF($I443&lt;&gt;"",J443*IF(W443&lt;&gt;"AR",(CS443*K443)+CT443,(CS443*AB443)+CT443*(AB443/INDEX('Device Refrigerant Leakage'!$C$2:$C$42,MATCH($M443,'Device Refrigerant Leakage'!$B$2:$B$42,0)))),"")</f>
        <v/>
      </c>
      <c r="CW443" s="135" t="str">
        <f>IF($I443&lt;&gt;"",IF(S443="User Specified",V443,INDEX('Refrigerant GWPs'!$G$2:$G$156,MATCH(S443,'Refrigerant GWPs'!$A$2:$A$157,0))),"")</f>
        <v/>
      </c>
      <c r="CX443" s="138" t="str">
        <f>IF($I443&lt;&gt;"",INDEX('Device Refrigerant Leakage'!$E$2:$E$42,MATCH($Q443,'Device Refrigerant Leakage'!$B$2:$B$42,0)),"")</f>
        <v/>
      </c>
      <c r="CY443" s="138" t="str">
        <f>IF($I443&lt;&gt;"",INDEX('Device Refrigerant Leakage'!$F$2:$F$42,MATCH($Q443,'Device Refrigerant Leakage'!$B$2:$B$42,0)),"")</f>
        <v/>
      </c>
      <c r="CZ443" s="145" t="str">
        <f>IF($I443&lt;&gt;"",INDEX('Device Refrigerant Leakage'!$G$2:$G$42,MATCH($Q443,'Device Refrigerant Leakage'!$B$2:$B$42,0)),"")</f>
        <v/>
      </c>
      <c r="DA443" s="145" t="str">
        <f>IF($I443&lt;&gt;"",J443*INDEX('Device Refrigerant Leakage'!$D$2:$D$42,MATCH($Q443,'Device Refrigerant Leakage'!$B$2:$B$42,0))*CX443/2204.62*CW443,"")</f>
        <v/>
      </c>
      <c r="DB443" s="145" t="str">
        <f>IF($I443&lt;&gt;"",J443*(INDEX('Device Refrigerant Leakage'!$D$2:$D$42,MATCH($Q443,'Device Refrigerant Leakage'!$B$2:$B$42,0))-(INDEX('Device Refrigerant Leakage'!$D$2:$D$42,MATCH($Q443,'Device Refrigerant Leakage'!$B$2:$B$42,0)))*CZ443*CX443)*CY443/2204.62*CW443,"")</f>
        <v/>
      </c>
      <c r="DC443" s="135" t="str">
        <f t="shared" si="552"/>
        <v/>
      </c>
      <c r="DE443" s="146" t="str">
        <f>IF(W443&lt;&gt;"AR","",IF(Y443="User Specified", AA443, INDEX('Refrigerant GWPs'!$G$2:$G$154,MATCH(Y443,'Refrigerant GWPs'!$A$2:$A$154,0))))</f>
        <v/>
      </c>
      <c r="DF443" s="146" t="str">
        <f>IF(W443&lt;&gt;"AR","",INDEX('Device Refrigerant Leakage'!$E$2:$E$42,MATCH(X443,'Device Refrigerant Leakage'!$B$2:$B$42,0)))</f>
        <v/>
      </c>
      <c r="DG443" s="146" t="str">
        <f>IF(W443&lt;&gt;"AR","",INDEX('Device Refrigerant Leakage'!$F$2:$F$42,MATCH(X443,'Device Refrigerant Leakage'!$B$2:$B$42,0)))</f>
        <v/>
      </c>
      <c r="DH443" s="146" t="str">
        <f>IF(W443&lt;&gt;"AR","",INDEX('Device Refrigerant Leakage'!$G$2:$G$42,MATCH(X443,'Device Refrigerant Leakage'!$B$2:$B$42,0)))</f>
        <v/>
      </c>
      <c r="DI443" s="146" t="str">
        <f>IF(W443&lt;&gt;"AR","",J443*INDEX('Device Refrigerant Leakage'!$D$2:$D$42,MATCH(X443,'Device Refrigerant Leakage'!$B$2:$B$42,0))*DF443/2204.62*DE443)</f>
        <v/>
      </c>
      <c r="DJ443" s="146" t="str">
        <f>IF(W443&lt;&gt;"AR","",J443*(INDEX('Device Refrigerant Leakage'!$D$2:$D$42,MATCH(X443,'Device Refrigerant Leakage'!$B$2:$B$42,0))-(INDEX('Device Refrigerant Leakage'!$D$2:$D$42,MATCH(X443,'Device Refrigerant Leakage'!$B$2:$B$42,0)))*DH443*DF443)*DG443/2204.62*DE443)</f>
        <v/>
      </c>
      <c r="DK443" s="146" t="str">
        <f>IF(W443&lt;&gt;"AR","",DI443*(K443-AB443)+'Fuel Sub Calcs-Deemed'!DJ443*((K443-AB443)/INDEX('Device Refrigerant Leakage'!$C$2:$C$42,MATCH('Fuel Sub Calcs-Deemed'!X443,'Device Refrigerant Leakage'!$B$2:$B$42,0))))</f>
        <v/>
      </c>
      <c r="DM443" s="56">
        <v>429</v>
      </c>
      <c r="DN443" s="67" t="e">
        <f t="shared" si="534"/>
        <v>#N/A</v>
      </c>
      <c r="DO443" s="45" t="e">
        <f t="shared" si="535"/>
        <v>#N/A</v>
      </c>
      <c r="DP443" s="67" t="e">
        <f t="shared" si="536"/>
        <v>#N/A</v>
      </c>
      <c r="DQ443" s="45" t="e">
        <f t="shared" si="537"/>
        <v>#N/A</v>
      </c>
      <c r="DR443" s="69" t="e">
        <f t="shared" si="538"/>
        <v>#N/A</v>
      </c>
      <c r="DS443" s="34"/>
      <c r="DT443" s="67" t="e">
        <f>((BX443*CJ443)+IF($W443=MAT_AR,(BZ443*CL443),0))*(1+Reference!$E$50+Reference!$E$51)</f>
        <v>#N/A</v>
      </c>
      <c r="DU443" s="67">
        <f>((BY443*CK443)+IF($W443=MAT_AR,(CA443*CM443),0))*(1+Reference!$G$50+Reference!$G$51)</f>
        <v>0</v>
      </c>
      <c r="DV443" s="67" t="e">
        <f t="shared" si="539"/>
        <v>#VALUE!</v>
      </c>
      <c r="DX443" s="56">
        <v>429</v>
      </c>
      <c r="DY443" s="67">
        <f t="shared" si="540"/>
        <v>0</v>
      </c>
      <c r="DZ443" s="45" t="e">
        <f>VLOOKUP($R443,Dropdown!$C$3:$D$4,2,FALSE)</f>
        <v>#N/A</v>
      </c>
      <c r="EA443" s="68">
        <f t="shared" si="541"/>
        <v>0</v>
      </c>
      <c r="EB443" s="68" t="str">
        <f t="shared" si="542"/>
        <v>N/A</v>
      </c>
      <c r="EC443" s="68">
        <f t="shared" si="543"/>
        <v>0</v>
      </c>
      <c r="ED443" s="68" t="str">
        <f t="shared" si="581"/>
        <v>N/A</v>
      </c>
      <c r="EF443" s="56">
        <v>429</v>
      </c>
      <c r="EG443" s="46">
        <f t="shared" si="544"/>
        <v>0</v>
      </c>
      <c r="EH443" s="68" t="e">
        <f t="shared" si="545"/>
        <v>#N/A</v>
      </c>
      <c r="EI443" s="68" t="e">
        <f t="shared" si="546"/>
        <v>#N/A</v>
      </c>
      <c r="EJ443" s="68" t="e">
        <f t="shared" si="547"/>
        <v>#N/A</v>
      </c>
      <c r="EK443" s="68" t="e">
        <f t="shared" si="548"/>
        <v>#N/A</v>
      </c>
      <c r="EL443" s="46">
        <f t="shared" si="549"/>
        <v>0</v>
      </c>
      <c r="EM443" s="46">
        <f t="shared" si="550"/>
        <v>0</v>
      </c>
    </row>
    <row r="444" spans="1:143">
      <c r="A444" s="89"/>
      <c r="B444" s="89"/>
      <c r="C444" s="89"/>
      <c r="D444" s="89"/>
      <c r="E444" s="89"/>
      <c r="F444" s="89"/>
      <c r="G444" s="34"/>
      <c r="H444" s="56">
        <f t="shared" si="551"/>
        <v>430</v>
      </c>
      <c r="I444" s="165"/>
      <c r="J444" s="163"/>
      <c r="K444" s="163"/>
      <c r="L444" s="164"/>
      <c r="M444" s="155"/>
      <c r="N444" s="155"/>
      <c r="O444" s="144"/>
      <c r="P444" s="159" t="str">
        <f>IFERROR(IF(O444&lt;&gt;"User Specified",IF(O444&lt;&gt;"", INDEX('Refrigerant GWPs'!$G$2:$G$154,MATCH(O444,'Refrigerant GWPs'!$A$2:$A$154,0)),""),U444),0)</f>
        <v/>
      </c>
      <c r="Q444" s="155"/>
      <c r="R444" s="155"/>
      <c r="S444" s="144"/>
      <c r="T444" s="159" t="str">
        <f>IF(S444&lt;&gt;"User Specified",IF(AND(S444&lt;&gt;"User Specified",S444&lt;&gt;""), INDEX('Refrigerant GWPs'!$G$2:$G$154,MATCH(S444,'Refrigerant GWPs'!$A$2:$A$154,0)),""),V444)</f>
        <v/>
      </c>
      <c r="U444" s="144"/>
      <c r="V444" s="144"/>
      <c r="W444" s="155"/>
      <c r="X444" s="155"/>
      <c r="Y444" s="144"/>
      <c r="Z444" s="159" t="str">
        <f>IF(AND(Y444&lt;&gt;"User Specified",Y444&lt;&gt;""), INDEX('Refrigerant GWPs'!$G$2:$G$154,MATCH(Y444,'Refrigerant GWPs'!$A$2:$A$154,0)),"")</f>
        <v/>
      </c>
      <c r="AA444" s="155"/>
      <c r="AB444" s="156"/>
      <c r="AC444" s="66"/>
      <c r="AD444" s="66"/>
      <c r="AE444" s="66"/>
      <c r="AF444" s="66"/>
      <c r="AG444" s="66"/>
      <c r="AH444" s="66"/>
      <c r="AI444" s="34"/>
      <c r="AJ444" s="88">
        <f t="shared" si="514"/>
        <v>0</v>
      </c>
      <c r="AK444" s="88">
        <f t="shared" si="515"/>
        <v>0</v>
      </c>
      <c r="AL444" s="88">
        <v>0</v>
      </c>
      <c r="AM444" s="88">
        <v>0</v>
      </c>
      <c r="AN444" s="81" t="str">
        <f t="shared" si="553"/>
        <v/>
      </c>
      <c r="AO444" s="88">
        <f t="shared" si="516"/>
        <v>0</v>
      </c>
      <c r="AP444" s="88">
        <f t="shared" si="517"/>
        <v>0</v>
      </c>
      <c r="AQ444" s="81" t="str">
        <f t="shared" si="518"/>
        <v/>
      </c>
      <c r="AS444" s="41" t="b">
        <f t="shared" si="519"/>
        <v>1</v>
      </c>
      <c r="AT444" s="38">
        <f t="shared" si="520"/>
        <v>0</v>
      </c>
      <c r="AU444" s="60">
        <f t="shared" si="521"/>
        <v>0</v>
      </c>
      <c r="AV444" s="41">
        <f t="shared" si="522"/>
        <v>0</v>
      </c>
      <c r="AW444" s="41" t="b">
        <f t="shared" si="523"/>
        <v>0</v>
      </c>
      <c r="AX444" t="str">
        <f t="shared" si="524"/>
        <v>+00</v>
      </c>
      <c r="AY444" t="str">
        <f t="shared" si="525"/>
        <v>+00</v>
      </c>
      <c r="BA444" s="47" t="b">
        <f t="shared" si="554"/>
        <v>1</v>
      </c>
      <c r="BB444" s="42" t="b">
        <f t="shared" si="555"/>
        <v>1</v>
      </c>
      <c r="BC444" s="42" t="b">
        <f t="shared" si="556"/>
        <v>0</v>
      </c>
      <c r="BD444" s="42" t="b">
        <f t="shared" si="557"/>
        <v>0</v>
      </c>
      <c r="BE444" s="70">
        <f t="shared" si="558"/>
        <v>0</v>
      </c>
      <c r="BF444" s="70">
        <f t="shared" si="559"/>
        <v>0</v>
      </c>
      <c r="BG444" s="34"/>
      <c r="BI444" s="47" t="b">
        <f t="shared" si="560"/>
        <v>1</v>
      </c>
      <c r="BJ444" s="47" t="b">
        <f t="shared" si="561"/>
        <v>1</v>
      </c>
      <c r="BK444" s="42" t="b">
        <f t="shared" si="562"/>
        <v>0</v>
      </c>
      <c r="BL444" s="42" t="b">
        <f t="shared" si="563"/>
        <v>0</v>
      </c>
      <c r="BM444" s="42">
        <f t="shared" si="564"/>
        <v>0</v>
      </c>
      <c r="BN444" s="42">
        <f t="shared" si="565"/>
        <v>0</v>
      </c>
      <c r="BP444" t="e">
        <f t="shared" si="566"/>
        <v>#N/A</v>
      </c>
      <c r="BQ444" t="e">
        <f t="shared" si="567"/>
        <v>#N/A</v>
      </c>
      <c r="BR444" t="e">
        <f t="shared" si="568"/>
        <v>#N/A</v>
      </c>
      <c r="BT444" s="60">
        <f t="shared" si="569"/>
        <v>0</v>
      </c>
      <c r="BU444" s="60">
        <f t="shared" si="570"/>
        <v>0</v>
      </c>
      <c r="BV444" s="60">
        <f t="shared" si="571"/>
        <v>0</v>
      </c>
      <c r="BW444" s="60">
        <f t="shared" si="572"/>
        <v>0</v>
      </c>
      <c r="BX444" s="60">
        <f t="shared" si="573"/>
        <v>0</v>
      </c>
      <c r="BY444" s="60">
        <f t="shared" si="574"/>
        <v>0</v>
      </c>
      <c r="BZ444" s="60">
        <f t="shared" si="575"/>
        <v>0</v>
      </c>
      <c r="CA444" s="60">
        <f t="shared" si="576"/>
        <v>0</v>
      </c>
      <c r="CB444" s="60" t="e">
        <f t="shared" si="526"/>
        <v>#N/A</v>
      </c>
      <c r="CC444" s="60">
        <f t="shared" si="527"/>
        <v>100000</v>
      </c>
      <c r="CD444" s="60" t="e">
        <f t="shared" si="528"/>
        <v>#N/A</v>
      </c>
      <c r="CE444" s="60">
        <f t="shared" si="529"/>
        <v>100000</v>
      </c>
      <c r="CF444" s="83" t="e">
        <f t="shared" si="577"/>
        <v>#N/A</v>
      </c>
      <c r="CG444" s="83">
        <f t="shared" si="578"/>
        <v>0</v>
      </c>
      <c r="CH444" s="83" t="e">
        <f t="shared" si="579"/>
        <v>#N/A</v>
      </c>
      <c r="CI444" s="83">
        <f t="shared" si="580"/>
        <v>0</v>
      </c>
      <c r="CJ444" s="86" t="e">
        <f t="shared" si="530"/>
        <v>#N/A</v>
      </c>
      <c r="CK444" s="82">
        <f t="shared" si="531"/>
        <v>5.3070370403969858E-3</v>
      </c>
      <c r="CL444" s="82" t="e">
        <f t="shared" si="532"/>
        <v>#N/A</v>
      </c>
      <c r="CM444" s="82">
        <f t="shared" si="533"/>
        <v>5.3070370403969858E-3</v>
      </c>
      <c r="CO444" s="149" t="str">
        <f>IF($I444&lt;&gt;"",IF(O444="User Specified",U444,INDEX('Refrigerant GWPs'!$G$2:$G$156,MATCH(O444,'Refrigerant GWPs'!$A$2:$A$156,0))),"")</f>
        <v/>
      </c>
      <c r="CP444" s="138" t="str">
        <f>IF($I444&lt;&gt;"",INDEX('Device Refrigerant Leakage'!$E$2:$E$42,MATCH($M444,'Device Refrigerant Leakage'!$B$2:$B$42,0)),"")</f>
        <v/>
      </c>
      <c r="CQ444" s="138" t="str">
        <f>IF($I444&lt;&gt;"",INDEX('Device Refrigerant Leakage'!$F$2:$F$42,MATCH($M444,'Device Refrigerant Leakage'!$B$2:$B$42,0)),"")</f>
        <v/>
      </c>
      <c r="CR444" s="145" t="str">
        <f>IF($I444&lt;&gt;"",INDEX('Device Refrigerant Leakage'!$G$2:$G$42,MATCH($M444,'Device Refrigerant Leakage'!$B$2:$B$42,0)),"")</f>
        <v/>
      </c>
      <c r="CS444" s="145" t="str">
        <f>IF($I444&lt;&gt;"",INDEX('Device Refrigerant Leakage'!$D$2:$D$42,MATCH($M444,'Device Refrigerant Leakage'!$B$2:$B$42,0))*CP444/2204.62*CO444,"")</f>
        <v/>
      </c>
      <c r="CT444" s="145" t="str">
        <f>IF($I444&lt;&gt;"",J444*(INDEX('Device Refrigerant Leakage'!$D$2:$D$42,MATCH($M444,'Device Refrigerant Leakage'!$B$2:$B$42,0))-(INDEX('Device Refrigerant Leakage'!$D$2:$D$42,MATCH($M444,'Device Refrigerant Leakage'!$B$2:$B$42,0)))*CR444*CP444)*CQ444/2204.62*CO444,"")</f>
        <v/>
      </c>
      <c r="CU444" s="135" t="str">
        <f>IF($I444&lt;&gt;"",J444*IF(W444&lt;&gt;"AR",(CS444*K444)+CT444,(CS444*AB444)+CT444*(AB444/INDEX('Device Refrigerant Leakage'!$C$2:$C$42,MATCH($M444,'Device Refrigerant Leakage'!$B$2:$B$42,0)))),"")</f>
        <v/>
      </c>
      <c r="CW444" s="135" t="str">
        <f>IF($I444&lt;&gt;"",IF(S444="User Specified",V444,INDEX('Refrigerant GWPs'!$G$2:$G$156,MATCH(S444,'Refrigerant GWPs'!$A$2:$A$157,0))),"")</f>
        <v/>
      </c>
      <c r="CX444" s="138" t="str">
        <f>IF($I444&lt;&gt;"",INDEX('Device Refrigerant Leakage'!$E$2:$E$42,MATCH($Q444,'Device Refrigerant Leakage'!$B$2:$B$42,0)),"")</f>
        <v/>
      </c>
      <c r="CY444" s="138" t="str">
        <f>IF($I444&lt;&gt;"",INDEX('Device Refrigerant Leakage'!$F$2:$F$42,MATCH($Q444,'Device Refrigerant Leakage'!$B$2:$B$42,0)),"")</f>
        <v/>
      </c>
      <c r="CZ444" s="145" t="str">
        <f>IF($I444&lt;&gt;"",INDEX('Device Refrigerant Leakage'!$G$2:$G$42,MATCH($Q444,'Device Refrigerant Leakage'!$B$2:$B$42,0)),"")</f>
        <v/>
      </c>
      <c r="DA444" s="145" t="str">
        <f>IF($I444&lt;&gt;"",J444*INDEX('Device Refrigerant Leakage'!$D$2:$D$42,MATCH($Q444,'Device Refrigerant Leakage'!$B$2:$B$42,0))*CX444/2204.62*CW444,"")</f>
        <v/>
      </c>
      <c r="DB444" s="145" t="str">
        <f>IF($I444&lt;&gt;"",J444*(INDEX('Device Refrigerant Leakage'!$D$2:$D$42,MATCH($Q444,'Device Refrigerant Leakage'!$B$2:$B$42,0))-(INDEX('Device Refrigerant Leakage'!$D$2:$D$42,MATCH($Q444,'Device Refrigerant Leakage'!$B$2:$B$42,0)))*CZ444*CX444)*CY444/2204.62*CW444,"")</f>
        <v/>
      </c>
      <c r="DC444" s="135" t="str">
        <f t="shared" si="552"/>
        <v/>
      </c>
      <c r="DE444" s="146" t="str">
        <f>IF(W444&lt;&gt;"AR","",IF(Y444="User Specified", AA444, INDEX('Refrigerant GWPs'!$G$2:$G$154,MATCH(Y444,'Refrigerant GWPs'!$A$2:$A$154,0))))</f>
        <v/>
      </c>
      <c r="DF444" s="146" t="str">
        <f>IF(W444&lt;&gt;"AR","",INDEX('Device Refrigerant Leakage'!$E$2:$E$42,MATCH(X444,'Device Refrigerant Leakage'!$B$2:$B$42,0)))</f>
        <v/>
      </c>
      <c r="DG444" s="146" t="str">
        <f>IF(W444&lt;&gt;"AR","",INDEX('Device Refrigerant Leakage'!$F$2:$F$42,MATCH(X444,'Device Refrigerant Leakage'!$B$2:$B$42,0)))</f>
        <v/>
      </c>
      <c r="DH444" s="146" t="str">
        <f>IF(W444&lt;&gt;"AR","",INDEX('Device Refrigerant Leakage'!$G$2:$G$42,MATCH(X444,'Device Refrigerant Leakage'!$B$2:$B$42,0)))</f>
        <v/>
      </c>
      <c r="DI444" s="146" t="str">
        <f>IF(W444&lt;&gt;"AR","",J444*INDEX('Device Refrigerant Leakage'!$D$2:$D$42,MATCH(X444,'Device Refrigerant Leakage'!$B$2:$B$42,0))*DF444/2204.62*DE444)</f>
        <v/>
      </c>
      <c r="DJ444" s="146" t="str">
        <f>IF(W444&lt;&gt;"AR","",J444*(INDEX('Device Refrigerant Leakage'!$D$2:$D$42,MATCH(X444,'Device Refrigerant Leakage'!$B$2:$B$42,0))-(INDEX('Device Refrigerant Leakage'!$D$2:$D$42,MATCH(X444,'Device Refrigerant Leakage'!$B$2:$B$42,0)))*DH444*DF444)*DG444/2204.62*DE444)</f>
        <v/>
      </c>
      <c r="DK444" s="146" t="str">
        <f>IF(W444&lt;&gt;"AR","",DI444*(K444-AB444)+'Fuel Sub Calcs-Deemed'!DJ444*((K444-AB444)/INDEX('Device Refrigerant Leakage'!$C$2:$C$42,MATCH('Fuel Sub Calcs-Deemed'!X444,'Device Refrigerant Leakage'!$B$2:$B$42,0))))</f>
        <v/>
      </c>
      <c r="DM444" s="56">
        <v>430</v>
      </c>
      <c r="DN444" s="67" t="e">
        <f t="shared" si="534"/>
        <v>#N/A</v>
      </c>
      <c r="DO444" s="45" t="e">
        <f t="shared" si="535"/>
        <v>#N/A</v>
      </c>
      <c r="DP444" s="67" t="e">
        <f t="shared" si="536"/>
        <v>#N/A</v>
      </c>
      <c r="DQ444" s="45" t="e">
        <f t="shared" si="537"/>
        <v>#N/A</v>
      </c>
      <c r="DR444" s="69" t="e">
        <f t="shared" si="538"/>
        <v>#N/A</v>
      </c>
      <c r="DS444" s="34"/>
      <c r="DT444" s="67" t="e">
        <f>((BX444*CJ444)+IF($W444=MAT_AR,(BZ444*CL444),0))*(1+Reference!$E$50+Reference!$E$51)</f>
        <v>#N/A</v>
      </c>
      <c r="DU444" s="67">
        <f>((BY444*CK444)+IF($W444=MAT_AR,(CA444*CM444),0))*(1+Reference!$G$50+Reference!$G$51)</f>
        <v>0</v>
      </c>
      <c r="DV444" s="67" t="e">
        <f t="shared" si="539"/>
        <v>#VALUE!</v>
      </c>
      <c r="DX444" s="56">
        <v>430</v>
      </c>
      <c r="DY444" s="67">
        <f t="shared" si="540"/>
        <v>0</v>
      </c>
      <c r="DZ444" s="45" t="e">
        <f>VLOOKUP($R444,Dropdown!$C$3:$D$4,2,FALSE)</f>
        <v>#N/A</v>
      </c>
      <c r="EA444" s="68">
        <f t="shared" si="541"/>
        <v>0</v>
      </c>
      <c r="EB444" s="68" t="str">
        <f t="shared" si="542"/>
        <v>N/A</v>
      </c>
      <c r="EC444" s="68">
        <f t="shared" si="543"/>
        <v>0</v>
      </c>
      <c r="ED444" s="68" t="str">
        <f t="shared" si="581"/>
        <v>N/A</v>
      </c>
      <c r="EF444" s="56">
        <v>430</v>
      </c>
      <c r="EG444" s="46">
        <f t="shared" si="544"/>
        <v>0</v>
      </c>
      <c r="EH444" s="68" t="e">
        <f t="shared" si="545"/>
        <v>#N/A</v>
      </c>
      <c r="EI444" s="68" t="e">
        <f t="shared" si="546"/>
        <v>#N/A</v>
      </c>
      <c r="EJ444" s="68" t="e">
        <f t="shared" si="547"/>
        <v>#N/A</v>
      </c>
      <c r="EK444" s="68" t="e">
        <f t="shared" si="548"/>
        <v>#N/A</v>
      </c>
      <c r="EL444" s="46">
        <f t="shared" si="549"/>
        <v>0</v>
      </c>
      <c r="EM444" s="46">
        <f t="shared" si="550"/>
        <v>0</v>
      </c>
    </row>
    <row r="445" spans="1:143">
      <c r="A445" s="89"/>
      <c r="B445" s="89"/>
      <c r="C445" s="89"/>
      <c r="D445" s="89"/>
      <c r="E445" s="89"/>
      <c r="F445" s="89"/>
      <c r="G445" s="34"/>
      <c r="H445" s="56">
        <f t="shared" si="551"/>
        <v>431</v>
      </c>
      <c r="I445" s="165"/>
      <c r="J445" s="163"/>
      <c r="K445" s="163"/>
      <c r="L445" s="164"/>
      <c r="M445" s="155"/>
      <c r="N445" s="155"/>
      <c r="O445" s="144"/>
      <c r="P445" s="159" t="str">
        <f>IFERROR(IF(O445&lt;&gt;"User Specified",IF(O445&lt;&gt;"", INDEX('Refrigerant GWPs'!$G$2:$G$154,MATCH(O445,'Refrigerant GWPs'!$A$2:$A$154,0)),""),U445),0)</f>
        <v/>
      </c>
      <c r="Q445" s="155"/>
      <c r="R445" s="155"/>
      <c r="S445" s="144"/>
      <c r="T445" s="159" t="str">
        <f>IF(S445&lt;&gt;"User Specified",IF(AND(S445&lt;&gt;"User Specified",S445&lt;&gt;""), INDEX('Refrigerant GWPs'!$G$2:$G$154,MATCH(S445,'Refrigerant GWPs'!$A$2:$A$154,0)),""),V445)</f>
        <v/>
      </c>
      <c r="U445" s="144"/>
      <c r="V445" s="144"/>
      <c r="W445" s="155"/>
      <c r="X445" s="155"/>
      <c r="Y445" s="144"/>
      <c r="Z445" s="159" t="str">
        <f>IF(AND(Y445&lt;&gt;"User Specified",Y445&lt;&gt;""), INDEX('Refrigerant GWPs'!$G$2:$G$154,MATCH(Y445,'Refrigerant GWPs'!$A$2:$A$154,0)),"")</f>
        <v/>
      </c>
      <c r="AA445" s="155"/>
      <c r="AB445" s="156"/>
      <c r="AC445" s="66"/>
      <c r="AD445" s="66"/>
      <c r="AE445" s="66"/>
      <c r="AF445" s="66"/>
      <c r="AG445" s="66"/>
      <c r="AH445" s="66"/>
      <c r="AI445" s="34"/>
      <c r="AJ445" s="88">
        <f t="shared" si="514"/>
        <v>0</v>
      </c>
      <c r="AK445" s="88">
        <f t="shared" si="515"/>
        <v>0</v>
      </c>
      <c r="AL445" s="88">
        <v>0</v>
      </c>
      <c r="AM445" s="88">
        <v>0</v>
      </c>
      <c r="AN445" s="81" t="str">
        <f t="shared" si="553"/>
        <v/>
      </c>
      <c r="AO445" s="88">
        <f t="shared" si="516"/>
        <v>0</v>
      </c>
      <c r="AP445" s="88">
        <f t="shared" si="517"/>
        <v>0</v>
      </c>
      <c r="AQ445" s="81" t="str">
        <f t="shared" si="518"/>
        <v/>
      </c>
      <c r="AS445" s="41" t="b">
        <f t="shared" si="519"/>
        <v>1</v>
      </c>
      <c r="AT445" s="38">
        <f t="shared" si="520"/>
        <v>0</v>
      </c>
      <c r="AU445" s="60">
        <f t="shared" si="521"/>
        <v>0</v>
      </c>
      <c r="AV445" s="41">
        <f t="shared" si="522"/>
        <v>0</v>
      </c>
      <c r="AW445" s="41" t="b">
        <f t="shared" si="523"/>
        <v>0</v>
      </c>
      <c r="AX445" t="str">
        <f t="shared" si="524"/>
        <v>+00</v>
      </c>
      <c r="AY445" t="str">
        <f t="shared" si="525"/>
        <v>+00</v>
      </c>
      <c r="BA445" s="47" t="b">
        <f t="shared" si="554"/>
        <v>1</v>
      </c>
      <c r="BB445" s="42" t="b">
        <f t="shared" si="555"/>
        <v>1</v>
      </c>
      <c r="BC445" s="42" t="b">
        <f t="shared" si="556"/>
        <v>0</v>
      </c>
      <c r="BD445" s="42" t="b">
        <f t="shared" si="557"/>
        <v>0</v>
      </c>
      <c r="BE445" s="70">
        <f t="shared" si="558"/>
        <v>0</v>
      </c>
      <c r="BF445" s="70">
        <f t="shared" si="559"/>
        <v>0</v>
      </c>
      <c r="BG445" s="34"/>
      <c r="BI445" s="47" t="b">
        <f t="shared" si="560"/>
        <v>1</v>
      </c>
      <c r="BJ445" s="47" t="b">
        <f t="shared" si="561"/>
        <v>1</v>
      </c>
      <c r="BK445" s="42" t="b">
        <f t="shared" si="562"/>
        <v>0</v>
      </c>
      <c r="BL445" s="42" t="b">
        <f t="shared" si="563"/>
        <v>0</v>
      </c>
      <c r="BM445" s="42">
        <f t="shared" si="564"/>
        <v>0</v>
      </c>
      <c r="BN445" s="42">
        <f t="shared" si="565"/>
        <v>0</v>
      </c>
      <c r="BP445" t="e">
        <f t="shared" si="566"/>
        <v>#N/A</v>
      </c>
      <c r="BQ445" t="e">
        <f t="shared" si="567"/>
        <v>#N/A</v>
      </c>
      <c r="BR445" t="e">
        <f t="shared" si="568"/>
        <v>#N/A</v>
      </c>
      <c r="BT445" s="60">
        <f t="shared" si="569"/>
        <v>0</v>
      </c>
      <c r="BU445" s="60">
        <f t="shared" si="570"/>
        <v>0</v>
      </c>
      <c r="BV445" s="60">
        <f t="shared" si="571"/>
        <v>0</v>
      </c>
      <c r="BW445" s="60">
        <f t="shared" si="572"/>
        <v>0</v>
      </c>
      <c r="BX445" s="60">
        <f t="shared" si="573"/>
        <v>0</v>
      </c>
      <c r="BY445" s="60">
        <f t="shared" si="574"/>
        <v>0</v>
      </c>
      <c r="BZ445" s="60">
        <f t="shared" si="575"/>
        <v>0</v>
      </c>
      <c r="CA445" s="60">
        <f t="shared" si="576"/>
        <v>0</v>
      </c>
      <c r="CB445" s="60" t="e">
        <f t="shared" si="526"/>
        <v>#N/A</v>
      </c>
      <c r="CC445" s="60">
        <f t="shared" si="527"/>
        <v>100000</v>
      </c>
      <c r="CD445" s="60" t="e">
        <f t="shared" si="528"/>
        <v>#N/A</v>
      </c>
      <c r="CE445" s="60">
        <f t="shared" si="529"/>
        <v>100000</v>
      </c>
      <c r="CF445" s="83" t="e">
        <f t="shared" si="577"/>
        <v>#N/A</v>
      </c>
      <c r="CG445" s="83">
        <f t="shared" si="578"/>
        <v>0</v>
      </c>
      <c r="CH445" s="83" t="e">
        <f t="shared" si="579"/>
        <v>#N/A</v>
      </c>
      <c r="CI445" s="83">
        <f t="shared" si="580"/>
        <v>0</v>
      </c>
      <c r="CJ445" s="86" t="e">
        <f t="shared" si="530"/>
        <v>#N/A</v>
      </c>
      <c r="CK445" s="82">
        <f t="shared" si="531"/>
        <v>5.3070370403969858E-3</v>
      </c>
      <c r="CL445" s="82" t="e">
        <f t="shared" si="532"/>
        <v>#N/A</v>
      </c>
      <c r="CM445" s="82">
        <f t="shared" si="533"/>
        <v>5.3070370403969858E-3</v>
      </c>
      <c r="CO445" s="149" t="str">
        <f>IF($I445&lt;&gt;"",IF(O445="User Specified",U445,INDEX('Refrigerant GWPs'!$G$2:$G$156,MATCH(O445,'Refrigerant GWPs'!$A$2:$A$156,0))),"")</f>
        <v/>
      </c>
      <c r="CP445" s="138" t="str">
        <f>IF($I445&lt;&gt;"",INDEX('Device Refrigerant Leakage'!$E$2:$E$42,MATCH($M445,'Device Refrigerant Leakage'!$B$2:$B$42,0)),"")</f>
        <v/>
      </c>
      <c r="CQ445" s="138" t="str">
        <f>IF($I445&lt;&gt;"",INDEX('Device Refrigerant Leakage'!$F$2:$F$42,MATCH($M445,'Device Refrigerant Leakage'!$B$2:$B$42,0)),"")</f>
        <v/>
      </c>
      <c r="CR445" s="145" t="str">
        <f>IF($I445&lt;&gt;"",INDEX('Device Refrigerant Leakage'!$G$2:$G$42,MATCH($M445,'Device Refrigerant Leakage'!$B$2:$B$42,0)),"")</f>
        <v/>
      </c>
      <c r="CS445" s="145" t="str">
        <f>IF($I445&lt;&gt;"",INDEX('Device Refrigerant Leakage'!$D$2:$D$42,MATCH($M445,'Device Refrigerant Leakage'!$B$2:$B$42,0))*CP445/2204.62*CO445,"")</f>
        <v/>
      </c>
      <c r="CT445" s="145" t="str">
        <f>IF($I445&lt;&gt;"",J445*(INDEX('Device Refrigerant Leakage'!$D$2:$D$42,MATCH($M445,'Device Refrigerant Leakage'!$B$2:$B$42,0))-(INDEX('Device Refrigerant Leakage'!$D$2:$D$42,MATCH($M445,'Device Refrigerant Leakage'!$B$2:$B$42,0)))*CR445*CP445)*CQ445/2204.62*CO445,"")</f>
        <v/>
      </c>
      <c r="CU445" s="135" t="str">
        <f>IF($I445&lt;&gt;"",J445*IF(W445&lt;&gt;"AR",(CS445*K445)+CT445,(CS445*AB445)+CT445*(AB445/INDEX('Device Refrigerant Leakage'!$C$2:$C$42,MATCH($M445,'Device Refrigerant Leakage'!$B$2:$B$42,0)))),"")</f>
        <v/>
      </c>
      <c r="CW445" s="135" t="str">
        <f>IF($I445&lt;&gt;"",IF(S445="User Specified",V445,INDEX('Refrigerant GWPs'!$G$2:$G$156,MATCH(S445,'Refrigerant GWPs'!$A$2:$A$157,0))),"")</f>
        <v/>
      </c>
      <c r="CX445" s="138" t="str">
        <f>IF($I445&lt;&gt;"",INDEX('Device Refrigerant Leakage'!$E$2:$E$42,MATCH($Q445,'Device Refrigerant Leakage'!$B$2:$B$42,0)),"")</f>
        <v/>
      </c>
      <c r="CY445" s="138" t="str">
        <f>IF($I445&lt;&gt;"",INDEX('Device Refrigerant Leakage'!$F$2:$F$42,MATCH($Q445,'Device Refrigerant Leakage'!$B$2:$B$42,0)),"")</f>
        <v/>
      </c>
      <c r="CZ445" s="145" t="str">
        <f>IF($I445&lt;&gt;"",INDEX('Device Refrigerant Leakage'!$G$2:$G$42,MATCH($Q445,'Device Refrigerant Leakage'!$B$2:$B$42,0)),"")</f>
        <v/>
      </c>
      <c r="DA445" s="145" t="str">
        <f>IF($I445&lt;&gt;"",J445*INDEX('Device Refrigerant Leakage'!$D$2:$D$42,MATCH($Q445,'Device Refrigerant Leakage'!$B$2:$B$42,0))*CX445/2204.62*CW445,"")</f>
        <v/>
      </c>
      <c r="DB445" s="145" t="str">
        <f>IF($I445&lt;&gt;"",J445*(INDEX('Device Refrigerant Leakage'!$D$2:$D$42,MATCH($Q445,'Device Refrigerant Leakage'!$B$2:$B$42,0))-(INDEX('Device Refrigerant Leakage'!$D$2:$D$42,MATCH($Q445,'Device Refrigerant Leakage'!$B$2:$B$42,0)))*CZ445*CX445)*CY445/2204.62*CW445,"")</f>
        <v/>
      </c>
      <c r="DC445" s="135" t="str">
        <f t="shared" si="552"/>
        <v/>
      </c>
      <c r="DE445" s="146" t="str">
        <f>IF(W445&lt;&gt;"AR","",IF(Y445="User Specified", AA445, INDEX('Refrigerant GWPs'!$G$2:$G$154,MATCH(Y445,'Refrigerant GWPs'!$A$2:$A$154,0))))</f>
        <v/>
      </c>
      <c r="DF445" s="146" t="str">
        <f>IF(W445&lt;&gt;"AR","",INDEX('Device Refrigerant Leakage'!$E$2:$E$42,MATCH(X445,'Device Refrigerant Leakage'!$B$2:$B$42,0)))</f>
        <v/>
      </c>
      <c r="DG445" s="146" t="str">
        <f>IF(W445&lt;&gt;"AR","",INDEX('Device Refrigerant Leakage'!$F$2:$F$42,MATCH(X445,'Device Refrigerant Leakage'!$B$2:$B$42,0)))</f>
        <v/>
      </c>
      <c r="DH445" s="146" t="str">
        <f>IF(W445&lt;&gt;"AR","",INDEX('Device Refrigerant Leakage'!$G$2:$G$42,MATCH(X445,'Device Refrigerant Leakage'!$B$2:$B$42,0)))</f>
        <v/>
      </c>
      <c r="DI445" s="146" t="str">
        <f>IF(W445&lt;&gt;"AR","",J445*INDEX('Device Refrigerant Leakage'!$D$2:$D$42,MATCH(X445,'Device Refrigerant Leakage'!$B$2:$B$42,0))*DF445/2204.62*DE445)</f>
        <v/>
      </c>
      <c r="DJ445" s="146" t="str">
        <f>IF(W445&lt;&gt;"AR","",J445*(INDEX('Device Refrigerant Leakage'!$D$2:$D$42,MATCH(X445,'Device Refrigerant Leakage'!$B$2:$B$42,0))-(INDEX('Device Refrigerant Leakage'!$D$2:$D$42,MATCH(X445,'Device Refrigerant Leakage'!$B$2:$B$42,0)))*DH445*DF445)*DG445/2204.62*DE445)</f>
        <v/>
      </c>
      <c r="DK445" s="146" t="str">
        <f>IF(W445&lt;&gt;"AR","",DI445*(K445-AB445)+'Fuel Sub Calcs-Deemed'!DJ445*((K445-AB445)/INDEX('Device Refrigerant Leakage'!$C$2:$C$42,MATCH('Fuel Sub Calcs-Deemed'!X445,'Device Refrigerant Leakage'!$B$2:$B$42,0))))</f>
        <v/>
      </c>
      <c r="DM445" s="56">
        <v>431</v>
      </c>
      <c r="DN445" s="67" t="e">
        <f t="shared" si="534"/>
        <v>#N/A</v>
      </c>
      <c r="DO445" s="45" t="e">
        <f t="shared" si="535"/>
        <v>#N/A</v>
      </c>
      <c r="DP445" s="67" t="e">
        <f t="shared" si="536"/>
        <v>#N/A</v>
      </c>
      <c r="DQ445" s="45" t="e">
        <f t="shared" si="537"/>
        <v>#N/A</v>
      </c>
      <c r="DR445" s="69" t="e">
        <f t="shared" si="538"/>
        <v>#N/A</v>
      </c>
      <c r="DS445" s="34"/>
      <c r="DT445" s="67" t="e">
        <f>((BX445*CJ445)+IF($W445=MAT_AR,(BZ445*CL445),0))*(1+Reference!$E$50+Reference!$E$51)</f>
        <v>#N/A</v>
      </c>
      <c r="DU445" s="67">
        <f>((BY445*CK445)+IF($W445=MAT_AR,(CA445*CM445),0))*(1+Reference!$G$50+Reference!$G$51)</f>
        <v>0</v>
      </c>
      <c r="DV445" s="67" t="e">
        <f t="shared" si="539"/>
        <v>#VALUE!</v>
      </c>
      <c r="DX445" s="56">
        <v>431</v>
      </c>
      <c r="DY445" s="67">
        <f t="shared" si="540"/>
        <v>0</v>
      </c>
      <c r="DZ445" s="45" t="e">
        <f>VLOOKUP($R445,Dropdown!$C$3:$D$4,2,FALSE)</f>
        <v>#N/A</v>
      </c>
      <c r="EA445" s="68">
        <f t="shared" si="541"/>
        <v>0</v>
      </c>
      <c r="EB445" s="68" t="str">
        <f t="shared" si="542"/>
        <v>N/A</v>
      </c>
      <c r="EC445" s="68">
        <f t="shared" si="543"/>
        <v>0</v>
      </c>
      <c r="ED445" s="68" t="str">
        <f t="shared" si="581"/>
        <v>N/A</v>
      </c>
      <c r="EF445" s="56">
        <v>431</v>
      </c>
      <c r="EG445" s="46">
        <f t="shared" si="544"/>
        <v>0</v>
      </c>
      <c r="EH445" s="68" t="e">
        <f t="shared" si="545"/>
        <v>#N/A</v>
      </c>
      <c r="EI445" s="68" t="e">
        <f t="shared" si="546"/>
        <v>#N/A</v>
      </c>
      <c r="EJ445" s="68" t="e">
        <f t="shared" si="547"/>
        <v>#N/A</v>
      </c>
      <c r="EK445" s="68" t="e">
        <f t="shared" si="548"/>
        <v>#N/A</v>
      </c>
      <c r="EL445" s="46">
        <f t="shared" si="549"/>
        <v>0</v>
      </c>
      <c r="EM445" s="46">
        <f t="shared" si="550"/>
        <v>0</v>
      </c>
    </row>
    <row r="446" spans="1:143">
      <c r="A446" s="89"/>
      <c r="B446" s="89"/>
      <c r="C446" s="89"/>
      <c r="D446" s="89"/>
      <c r="E446" s="89"/>
      <c r="F446" s="89"/>
      <c r="G446" s="34"/>
      <c r="H446" s="56">
        <f t="shared" si="551"/>
        <v>432</v>
      </c>
      <c r="I446" s="165"/>
      <c r="J446" s="163"/>
      <c r="K446" s="163"/>
      <c r="L446" s="164"/>
      <c r="M446" s="155"/>
      <c r="N446" s="155"/>
      <c r="O446" s="144"/>
      <c r="P446" s="159" t="str">
        <f>IFERROR(IF(O446&lt;&gt;"User Specified",IF(O446&lt;&gt;"", INDEX('Refrigerant GWPs'!$G$2:$G$154,MATCH(O446,'Refrigerant GWPs'!$A$2:$A$154,0)),""),U446),0)</f>
        <v/>
      </c>
      <c r="Q446" s="155"/>
      <c r="R446" s="155"/>
      <c r="S446" s="144"/>
      <c r="T446" s="159" t="str">
        <f>IF(S446&lt;&gt;"User Specified",IF(AND(S446&lt;&gt;"User Specified",S446&lt;&gt;""), INDEX('Refrigerant GWPs'!$G$2:$G$154,MATCH(S446,'Refrigerant GWPs'!$A$2:$A$154,0)),""),V446)</f>
        <v/>
      </c>
      <c r="U446" s="144"/>
      <c r="V446" s="144"/>
      <c r="W446" s="155"/>
      <c r="X446" s="155"/>
      <c r="Y446" s="144"/>
      <c r="Z446" s="159" t="str">
        <f>IF(AND(Y446&lt;&gt;"User Specified",Y446&lt;&gt;""), INDEX('Refrigerant GWPs'!$G$2:$G$154,MATCH(Y446,'Refrigerant GWPs'!$A$2:$A$154,0)),"")</f>
        <v/>
      </c>
      <c r="AA446" s="155"/>
      <c r="AB446" s="156"/>
      <c r="AC446" s="66"/>
      <c r="AD446" s="66"/>
      <c r="AE446" s="66"/>
      <c r="AF446" s="66"/>
      <c r="AG446" s="66"/>
      <c r="AH446" s="66"/>
      <c r="AI446" s="34"/>
      <c r="AJ446" s="88">
        <f t="shared" si="514"/>
        <v>0</v>
      </c>
      <c r="AK446" s="88">
        <f t="shared" si="515"/>
        <v>0</v>
      </c>
      <c r="AL446" s="88">
        <v>0</v>
      </c>
      <c r="AM446" s="88">
        <v>0</v>
      </c>
      <c r="AN446" s="81" t="str">
        <f t="shared" si="553"/>
        <v/>
      </c>
      <c r="AO446" s="88">
        <f t="shared" si="516"/>
        <v>0</v>
      </c>
      <c r="AP446" s="88">
        <f t="shared" si="517"/>
        <v>0</v>
      </c>
      <c r="AQ446" s="81" t="str">
        <f t="shared" si="518"/>
        <v/>
      </c>
      <c r="AS446" s="41" t="b">
        <f t="shared" si="519"/>
        <v>1</v>
      </c>
      <c r="AT446" s="38">
        <f t="shared" si="520"/>
        <v>0</v>
      </c>
      <c r="AU446" s="60">
        <f t="shared" si="521"/>
        <v>0</v>
      </c>
      <c r="AV446" s="41">
        <f t="shared" si="522"/>
        <v>0</v>
      </c>
      <c r="AW446" s="41" t="b">
        <f t="shared" si="523"/>
        <v>0</v>
      </c>
      <c r="AX446" t="str">
        <f t="shared" si="524"/>
        <v>+00</v>
      </c>
      <c r="AY446" t="str">
        <f t="shared" si="525"/>
        <v>+00</v>
      </c>
      <c r="BA446" s="47" t="b">
        <f t="shared" si="554"/>
        <v>1</v>
      </c>
      <c r="BB446" s="42" t="b">
        <f t="shared" si="555"/>
        <v>1</v>
      </c>
      <c r="BC446" s="42" t="b">
        <f t="shared" si="556"/>
        <v>0</v>
      </c>
      <c r="BD446" s="42" t="b">
        <f t="shared" si="557"/>
        <v>0</v>
      </c>
      <c r="BE446" s="70">
        <f t="shared" si="558"/>
        <v>0</v>
      </c>
      <c r="BF446" s="70">
        <f t="shared" si="559"/>
        <v>0</v>
      </c>
      <c r="BG446" s="34"/>
      <c r="BI446" s="47" t="b">
        <f t="shared" si="560"/>
        <v>1</v>
      </c>
      <c r="BJ446" s="47" t="b">
        <f t="shared" si="561"/>
        <v>1</v>
      </c>
      <c r="BK446" s="42" t="b">
        <f t="shared" si="562"/>
        <v>0</v>
      </c>
      <c r="BL446" s="42" t="b">
        <f t="shared" si="563"/>
        <v>0</v>
      </c>
      <c r="BM446" s="42">
        <f t="shared" si="564"/>
        <v>0</v>
      </c>
      <c r="BN446" s="42">
        <f t="shared" si="565"/>
        <v>0</v>
      </c>
      <c r="BP446" t="e">
        <f t="shared" si="566"/>
        <v>#N/A</v>
      </c>
      <c r="BQ446" t="e">
        <f t="shared" si="567"/>
        <v>#N/A</v>
      </c>
      <c r="BR446" t="e">
        <f t="shared" si="568"/>
        <v>#N/A</v>
      </c>
      <c r="BT446" s="60">
        <f t="shared" si="569"/>
        <v>0</v>
      </c>
      <c r="BU446" s="60">
        <f t="shared" si="570"/>
        <v>0</v>
      </c>
      <c r="BV446" s="60">
        <f t="shared" si="571"/>
        <v>0</v>
      </c>
      <c r="BW446" s="60">
        <f t="shared" si="572"/>
        <v>0</v>
      </c>
      <c r="BX446" s="60">
        <f t="shared" si="573"/>
        <v>0</v>
      </c>
      <c r="BY446" s="60">
        <f t="shared" si="574"/>
        <v>0</v>
      </c>
      <c r="BZ446" s="60">
        <f t="shared" si="575"/>
        <v>0</v>
      </c>
      <c r="CA446" s="60">
        <f t="shared" si="576"/>
        <v>0</v>
      </c>
      <c r="CB446" s="60" t="e">
        <f t="shared" si="526"/>
        <v>#N/A</v>
      </c>
      <c r="CC446" s="60">
        <f t="shared" si="527"/>
        <v>100000</v>
      </c>
      <c r="CD446" s="60" t="e">
        <f t="shared" si="528"/>
        <v>#N/A</v>
      </c>
      <c r="CE446" s="60">
        <f t="shared" si="529"/>
        <v>100000</v>
      </c>
      <c r="CF446" s="83" t="e">
        <f t="shared" si="577"/>
        <v>#N/A</v>
      </c>
      <c r="CG446" s="83">
        <f t="shared" si="578"/>
        <v>0</v>
      </c>
      <c r="CH446" s="83" t="e">
        <f t="shared" si="579"/>
        <v>#N/A</v>
      </c>
      <c r="CI446" s="83">
        <f t="shared" si="580"/>
        <v>0</v>
      </c>
      <c r="CJ446" s="86" t="e">
        <f t="shared" si="530"/>
        <v>#N/A</v>
      </c>
      <c r="CK446" s="82">
        <f t="shared" si="531"/>
        <v>5.3070370403969858E-3</v>
      </c>
      <c r="CL446" s="82" t="e">
        <f t="shared" si="532"/>
        <v>#N/A</v>
      </c>
      <c r="CM446" s="82">
        <f t="shared" si="533"/>
        <v>5.3070370403969858E-3</v>
      </c>
      <c r="CO446" s="149" t="str">
        <f>IF($I446&lt;&gt;"",IF(O446="User Specified",U446,INDEX('Refrigerant GWPs'!$G$2:$G$156,MATCH(O446,'Refrigerant GWPs'!$A$2:$A$156,0))),"")</f>
        <v/>
      </c>
      <c r="CP446" s="138" t="str">
        <f>IF($I446&lt;&gt;"",INDEX('Device Refrigerant Leakage'!$E$2:$E$42,MATCH($M446,'Device Refrigerant Leakage'!$B$2:$B$42,0)),"")</f>
        <v/>
      </c>
      <c r="CQ446" s="138" t="str">
        <f>IF($I446&lt;&gt;"",INDEX('Device Refrigerant Leakage'!$F$2:$F$42,MATCH($M446,'Device Refrigerant Leakage'!$B$2:$B$42,0)),"")</f>
        <v/>
      </c>
      <c r="CR446" s="145" t="str">
        <f>IF($I446&lt;&gt;"",INDEX('Device Refrigerant Leakage'!$G$2:$G$42,MATCH($M446,'Device Refrigerant Leakage'!$B$2:$B$42,0)),"")</f>
        <v/>
      </c>
      <c r="CS446" s="145" t="str">
        <f>IF($I446&lt;&gt;"",INDEX('Device Refrigerant Leakage'!$D$2:$D$42,MATCH($M446,'Device Refrigerant Leakage'!$B$2:$B$42,0))*CP446/2204.62*CO446,"")</f>
        <v/>
      </c>
      <c r="CT446" s="145" t="str">
        <f>IF($I446&lt;&gt;"",J446*(INDEX('Device Refrigerant Leakage'!$D$2:$D$42,MATCH($M446,'Device Refrigerant Leakage'!$B$2:$B$42,0))-(INDEX('Device Refrigerant Leakage'!$D$2:$D$42,MATCH($M446,'Device Refrigerant Leakage'!$B$2:$B$42,0)))*CR446*CP446)*CQ446/2204.62*CO446,"")</f>
        <v/>
      </c>
      <c r="CU446" s="135" t="str">
        <f>IF($I446&lt;&gt;"",J446*IF(W446&lt;&gt;"AR",(CS446*K446)+CT446,(CS446*AB446)+CT446*(AB446/INDEX('Device Refrigerant Leakage'!$C$2:$C$42,MATCH($M446,'Device Refrigerant Leakage'!$B$2:$B$42,0)))),"")</f>
        <v/>
      </c>
      <c r="CW446" s="135" t="str">
        <f>IF($I446&lt;&gt;"",IF(S446="User Specified",V446,INDEX('Refrigerant GWPs'!$G$2:$G$156,MATCH(S446,'Refrigerant GWPs'!$A$2:$A$157,0))),"")</f>
        <v/>
      </c>
      <c r="CX446" s="138" t="str">
        <f>IF($I446&lt;&gt;"",INDEX('Device Refrigerant Leakage'!$E$2:$E$42,MATCH($Q446,'Device Refrigerant Leakage'!$B$2:$B$42,0)),"")</f>
        <v/>
      </c>
      <c r="CY446" s="138" t="str">
        <f>IF($I446&lt;&gt;"",INDEX('Device Refrigerant Leakage'!$F$2:$F$42,MATCH($Q446,'Device Refrigerant Leakage'!$B$2:$B$42,0)),"")</f>
        <v/>
      </c>
      <c r="CZ446" s="145" t="str">
        <f>IF($I446&lt;&gt;"",INDEX('Device Refrigerant Leakage'!$G$2:$G$42,MATCH($Q446,'Device Refrigerant Leakage'!$B$2:$B$42,0)),"")</f>
        <v/>
      </c>
      <c r="DA446" s="145" t="str">
        <f>IF($I446&lt;&gt;"",J446*INDEX('Device Refrigerant Leakage'!$D$2:$D$42,MATCH($Q446,'Device Refrigerant Leakage'!$B$2:$B$42,0))*CX446/2204.62*CW446,"")</f>
        <v/>
      </c>
      <c r="DB446" s="145" t="str">
        <f>IF($I446&lt;&gt;"",J446*(INDEX('Device Refrigerant Leakage'!$D$2:$D$42,MATCH($Q446,'Device Refrigerant Leakage'!$B$2:$B$42,0))-(INDEX('Device Refrigerant Leakage'!$D$2:$D$42,MATCH($Q446,'Device Refrigerant Leakage'!$B$2:$B$42,0)))*CZ446*CX446)*CY446/2204.62*CW446,"")</f>
        <v/>
      </c>
      <c r="DC446" s="135" t="str">
        <f t="shared" si="552"/>
        <v/>
      </c>
      <c r="DE446" s="146" t="str">
        <f>IF(W446&lt;&gt;"AR","",IF(Y446="User Specified", AA446, INDEX('Refrigerant GWPs'!$G$2:$G$154,MATCH(Y446,'Refrigerant GWPs'!$A$2:$A$154,0))))</f>
        <v/>
      </c>
      <c r="DF446" s="146" t="str">
        <f>IF(W446&lt;&gt;"AR","",INDEX('Device Refrigerant Leakage'!$E$2:$E$42,MATCH(X446,'Device Refrigerant Leakage'!$B$2:$B$42,0)))</f>
        <v/>
      </c>
      <c r="DG446" s="146" t="str">
        <f>IF(W446&lt;&gt;"AR","",INDEX('Device Refrigerant Leakage'!$F$2:$F$42,MATCH(X446,'Device Refrigerant Leakage'!$B$2:$B$42,0)))</f>
        <v/>
      </c>
      <c r="DH446" s="146" t="str">
        <f>IF(W446&lt;&gt;"AR","",INDEX('Device Refrigerant Leakage'!$G$2:$G$42,MATCH(X446,'Device Refrigerant Leakage'!$B$2:$B$42,0)))</f>
        <v/>
      </c>
      <c r="DI446" s="146" t="str">
        <f>IF(W446&lt;&gt;"AR","",J446*INDEX('Device Refrigerant Leakage'!$D$2:$D$42,MATCH(X446,'Device Refrigerant Leakage'!$B$2:$B$42,0))*DF446/2204.62*DE446)</f>
        <v/>
      </c>
      <c r="DJ446" s="146" t="str">
        <f>IF(W446&lt;&gt;"AR","",J446*(INDEX('Device Refrigerant Leakage'!$D$2:$D$42,MATCH(X446,'Device Refrigerant Leakage'!$B$2:$B$42,0))-(INDEX('Device Refrigerant Leakage'!$D$2:$D$42,MATCH(X446,'Device Refrigerant Leakage'!$B$2:$B$42,0)))*DH446*DF446)*DG446/2204.62*DE446)</f>
        <v/>
      </c>
      <c r="DK446" s="146" t="str">
        <f>IF(W446&lt;&gt;"AR","",DI446*(K446-AB446)+'Fuel Sub Calcs-Deemed'!DJ446*((K446-AB446)/INDEX('Device Refrigerant Leakage'!$C$2:$C$42,MATCH('Fuel Sub Calcs-Deemed'!X446,'Device Refrigerant Leakage'!$B$2:$B$42,0))))</f>
        <v/>
      </c>
      <c r="DM446" s="56">
        <v>432</v>
      </c>
      <c r="DN446" s="67" t="e">
        <f t="shared" si="534"/>
        <v>#N/A</v>
      </c>
      <c r="DO446" s="45" t="e">
        <f t="shared" si="535"/>
        <v>#N/A</v>
      </c>
      <c r="DP446" s="67" t="e">
        <f t="shared" si="536"/>
        <v>#N/A</v>
      </c>
      <c r="DQ446" s="45" t="e">
        <f t="shared" si="537"/>
        <v>#N/A</v>
      </c>
      <c r="DR446" s="69" t="e">
        <f t="shared" si="538"/>
        <v>#N/A</v>
      </c>
      <c r="DS446" s="34"/>
      <c r="DT446" s="67" t="e">
        <f>((BX446*CJ446)+IF($W446=MAT_AR,(BZ446*CL446),0))*(1+Reference!$E$50+Reference!$E$51)</f>
        <v>#N/A</v>
      </c>
      <c r="DU446" s="67">
        <f>((BY446*CK446)+IF($W446=MAT_AR,(CA446*CM446),0))*(1+Reference!$G$50+Reference!$G$51)</f>
        <v>0</v>
      </c>
      <c r="DV446" s="67" t="e">
        <f t="shared" si="539"/>
        <v>#VALUE!</v>
      </c>
      <c r="DX446" s="56">
        <v>432</v>
      </c>
      <c r="DY446" s="67">
        <f t="shared" si="540"/>
        <v>0</v>
      </c>
      <c r="DZ446" s="45" t="e">
        <f>VLOOKUP($R446,Dropdown!$C$3:$D$4,2,FALSE)</f>
        <v>#N/A</v>
      </c>
      <c r="EA446" s="68">
        <f t="shared" si="541"/>
        <v>0</v>
      </c>
      <c r="EB446" s="68" t="str">
        <f t="shared" si="542"/>
        <v>N/A</v>
      </c>
      <c r="EC446" s="68">
        <f t="shared" si="543"/>
        <v>0</v>
      </c>
      <c r="ED446" s="68" t="str">
        <f t="shared" si="581"/>
        <v>N/A</v>
      </c>
      <c r="EF446" s="56">
        <v>432</v>
      </c>
      <c r="EG446" s="46">
        <f t="shared" si="544"/>
        <v>0</v>
      </c>
      <c r="EH446" s="68" t="e">
        <f t="shared" si="545"/>
        <v>#N/A</v>
      </c>
      <c r="EI446" s="68" t="e">
        <f t="shared" si="546"/>
        <v>#N/A</v>
      </c>
      <c r="EJ446" s="68" t="e">
        <f t="shared" si="547"/>
        <v>#N/A</v>
      </c>
      <c r="EK446" s="68" t="e">
        <f t="shared" si="548"/>
        <v>#N/A</v>
      </c>
      <c r="EL446" s="46">
        <f t="shared" si="549"/>
        <v>0</v>
      </c>
      <c r="EM446" s="46">
        <f t="shared" si="550"/>
        <v>0</v>
      </c>
    </row>
    <row r="447" spans="1:143">
      <c r="A447" s="89"/>
      <c r="B447" s="89"/>
      <c r="C447" s="89"/>
      <c r="D447" s="89"/>
      <c r="E447" s="89"/>
      <c r="F447" s="89"/>
      <c r="G447" s="34"/>
      <c r="H447" s="56">
        <f t="shared" si="551"/>
        <v>433</v>
      </c>
      <c r="I447" s="165"/>
      <c r="J447" s="163"/>
      <c r="K447" s="163"/>
      <c r="L447" s="164"/>
      <c r="M447" s="155"/>
      <c r="N447" s="155"/>
      <c r="O447" s="144"/>
      <c r="P447" s="159" t="str">
        <f>IFERROR(IF(O447&lt;&gt;"User Specified",IF(O447&lt;&gt;"", INDEX('Refrigerant GWPs'!$G$2:$G$154,MATCH(O447,'Refrigerant GWPs'!$A$2:$A$154,0)),""),U447),0)</f>
        <v/>
      </c>
      <c r="Q447" s="155"/>
      <c r="R447" s="155"/>
      <c r="S447" s="144"/>
      <c r="T447" s="159" t="str">
        <f>IF(S447&lt;&gt;"User Specified",IF(AND(S447&lt;&gt;"User Specified",S447&lt;&gt;""), INDEX('Refrigerant GWPs'!$G$2:$G$154,MATCH(S447,'Refrigerant GWPs'!$A$2:$A$154,0)),""),V447)</f>
        <v/>
      </c>
      <c r="U447" s="144"/>
      <c r="V447" s="144"/>
      <c r="W447" s="155"/>
      <c r="X447" s="155"/>
      <c r="Y447" s="144"/>
      <c r="Z447" s="159" t="str">
        <f>IF(AND(Y447&lt;&gt;"User Specified",Y447&lt;&gt;""), INDEX('Refrigerant GWPs'!$G$2:$G$154,MATCH(Y447,'Refrigerant GWPs'!$A$2:$A$154,0)),"")</f>
        <v/>
      </c>
      <c r="AA447" s="155"/>
      <c r="AB447" s="156"/>
      <c r="AC447" s="66"/>
      <c r="AD447" s="66"/>
      <c r="AE447" s="66"/>
      <c r="AF447" s="66"/>
      <c r="AG447" s="66"/>
      <c r="AH447" s="66"/>
      <c r="AI447" s="34"/>
      <c r="AJ447" s="88">
        <f t="shared" si="514"/>
        <v>0</v>
      </c>
      <c r="AK447" s="88">
        <f t="shared" si="515"/>
        <v>0</v>
      </c>
      <c r="AL447" s="88">
        <v>0</v>
      </c>
      <c r="AM447" s="88">
        <v>0</v>
      </c>
      <c r="AN447" s="81" t="str">
        <f t="shared" si="553"/>
        <v/>
      </c>
      <c r="AO447" s="88">
        <f t="shared" si="516"/>
        <v>0</v>
      </c>
      <c r="AP447" s="88">
        <f t="shared" si="517"/>
        <v>0</v>
      </c>
      <c r="AQ447" s="81" t="str">
        <f t="shared" si="518"/>
        <v/>
      </c>
      <c r="AS447" s="41" t="b">
        <f t="shared" si="519"/>
        <v>1</v>
      </c>
      <c r="AT447" s="38">
        <f t="shared" si="520"/>
        <v>0</v>
      </c>
      <c r="AU447" s="60">
        <f t="shared" si="521"/>
        <v>0</v>
      </c>
      <c r="AV447" s="41">
        <f t="shared" si="522"/>
        <v>0</v>
      </c>
      <c r="AW447" s="41" t="b">
        <f t="shared" si="523"/>
        <v>0</v>
      </c>
      <c r="AX447" t="str">
        <f t="shared" si="524"/>
        <v>+00</v>
      </c>
      <c r="AY447" t="str">
        <f t="shared" si="525"/>
        <v>+00</v>
      </c>
      <c r="BA447" s="47" t="b">
        <f t="shared" si="554"/>
        <v>1</v>
      </c>
      <c r="BB447" s="42" t="b">
        <f t="shared" si="555"/>
        <v>1</v>
      </c>
      <c r="BC447" s="42" t="b">
        <f t="shared" si="556"/>
        <v>0</v>
      </c>
      <c r="BD447" s="42" t="b">
        <f t="shared" si="557"/>
        <v>0</v>
      </c>
      <c r="BE447" s="70">
        <f t="shared" si="558"/>
        <v>0</v>
      </c>
      <c r="BF447" s="70">
        <f t="shared" si="559"/>
        <v>0</v>
      </c>
      <c r="BG447" s="34"/>
      <c r="BI447" s="47" t="b">
        <f t="shared" si="560"/>
        <v>1</v>
      </c>
      <c r="BJ447" s="47" t="b">
        <f t="shared" si="561"/>
        <v>1</v>
      </c>
      <c r="BK447" s="42" t="b">
        <f t="shared" si="562"/>
        <v>0</v>
      </c>
      <c r="BL447" s="42" t="b">
        <f t="shared" si="563"/>
        <v>0</v>
      </c>
      <c r="BM447" s="42">
        <f t="shared" si="564"/>
        <v>0</v>
      </c>
      <c r="BN447" s="42">
        <f t="shared" si="565"/>
        <v>0</v>
      </c>
      <c r="BP447" t="e">
        <f t="shared" si="566"/>
        <v>#N/A</v>
      </c>
      <c r="BQ447" t="e">
        <f t="shared" si="567"/>
        <v>#N/A</v>
      </c>
      <c r="BR447" t="e">
        <f t="shared" si="568"/>
        <v>#N/A</v>
      </c>
      <c r="BT447" s="60">
        <f t="shared" si="569"/>
        <v>0</v>
      </c>
      <c r="BU447" s="60">
        <f t="shared" si="570"/>
        <v>0</v>
      </c>
      <c r="BV447" s="60">
        <f t="shared" si="571"/>
        <v>0</v>
      </c>
      <c r="BW447" s="60">
        <f t="shared" si="572"/>
        <v>0</v>
      </c>
      <c r="BX447" s="60">
        <f t="shared" si="573"/>
        <v>0</v>
      </c>
      <c r="BY447" s="60">
        <f t="shared" si="574"/>
        <v>0</v>
      </c>
      <c r="BZ447" s="60">
        <f t="shared" si="575"/>
        <v>0</v>
      </c>
      <c r="CA447" s="60">
        <f t="shared" si="576"/>
        <v>0</v>
      </c>
      <c r="CB447" s="60" t="e">
        <f t="shared" si="526"/>
        <v>#N/A</v>
      </c>
      <c r="CC447" s="60">
        <f t="shared" si="527"/>
        <v>100000</v>
      </c>
      <c r="CD447" s="60" t="e">
        <f t="shared" si="528"/>
        <v>#N/A</v>
      </c>
      <c r="CE447" s="60">
        <f t="shared" si="529"/>
        <v>100000</v>
      </c>
      <c r="CF447" s="83" t="e">
        <f t="shared" si="577"/>
        <v>#N/A</v>
      </c>
      <c r="CG447" s="83">
        <f t="shared" si="578"/>
        <v>0</v>
      </c>
      <c r="CH447" s="83" t="e">
        <f t="shared" si="579"/>
        <v>#N/A</v>
      </c>
      <c r="CI447" s="83">
        <f t="shared" si="580"/>
        <v>0</v>
      </c>
      <c r="CJ447" s="86" t="e">
        <f t="shared" si="530"/>
        <v>#N/A</v>
      </c>
      <c r="CK447" s="82">
        <f t="shared" si="531"/>
        <v>5.3070370403969858E-3</v>
      </c>
      <c r="CL447" s="82" t="e">
        <f t="shared" si="532"/>
        <v>#N/A</v>
      </c>
      <c r="CM447" s="82">
        <f t="shared" si="533"/>
        <v>5.3070370403969858E-3</v>
      </c>
      <c r="CO447" s="149" t="str">
        <f>IF($I447&lt;&gt;"",IF(O447="User Specified",U447,INDEX('Refrigerant GWPs'!$G$2:$G$156,MATCH(O447,'Refrigerant GWPs'!$A$2:$A$156,0))),"")</f>
        <v/>
      </c>
      <c r="CP447" s="138" t="str">
        <f>IF($I447&lt;&gt;"",INDEX('Device Refrigerant Leakage'!$E$2:$E$42,MATCH($M447,'Device Refrigerant Leakage'!$B$2:$B$42,0)),"")</f>
        <v/>
      </c>
      <c r="CQ447" s="138" t="str">
        <f>IF($I447&lt;&gt;"",INDEX('Device Refrigerant Leakage'!$F$2:$F$42,MATCH($M447,'Device Refrigerant Leakage'!$B$2:$B$42,0)),"")</f>
        <v/>
      </c>
      <c r="CR447" s="145" t="str">
        <f>IF($I447&lt;&gt;"",INDEX('Device Refrigerant Leakage'!$G$2:$G$42,MATCH($M447,'Device Refrigerant Leakage'!$B$2:$B$42,0)),"")</f>
        <v/>
      </c>
      <c r="CS447" s="145" t="str">
        <f>IF($I447&lt;&gt;"",INDEX('Device Refrigerant Leakage'!$D$2:$D$42,MATCH($M447,'Device Refrigerant Leakage'!$B$2:$B$42,0))*CP447/2204.62*CO447,"")</f>
        <v/>
      </c>
      <c r="CT447" s="145" t="str">
        <f>IF($I447&lt;&gt;"",J447*(INDEX('Device Refrigerant Leakage'!$D$2:$D$42,MATCH($M447,'Device Refrigerant Leakage'!$B$2:$B$42,0))-(INDEX('Device Refrigerant Leakage'!$D$2:$D$42,MATCH($M447,'Device Refrigerant Leakage'!$B$2:$B$42,0)))*CR447*CP447)*CQ447/2204.62*CO447,"")</f>
        <v/>
      </c>
      <c r="CU447" s="135" t="str">
        <f>IF($I447&lt;&gt;"",J447*IF(W447&lt;&gt;"AR",(CS447*K447)+CT447,(CS447*AB447)+CT447*(AB447/INDEX('Device Refrigerant Leakage'!$C$2:$C$42,MATCH($M447,'Device Refrigerant Leakage'!$B$2:$B$42,0)))),"")</f>
        <v/>
      </c>
      <c r="CW447" s="135" t="str">
        <f>IF($I447&lt;&gt;"",IF(S447="User Specified",V447,INDEX('Refrigerant GWPs'!$G$2:$G$156,MATCH(S447,'Refrigerant GWPs'!$A$2:$A$157,0))),"")</f>
        <v/>
      </c>
      <c r="CX447" s="138" t="str">
        <f>IF($I447&lt;&gt;"",INDEX('Device Refrigerant Leakage'!$E$2:$E$42,MATCH($Q447,'Device Refrigerant Leakage'!$B$2:$B$42,0)),"")</f>
        <v/>
      </c>
      <c r="CY447" s="138" t="str">
        <f>IF($I447&lt;&gt;"",INDEX('Device Refrigerant Leakage'!$F$2:$F$42,MATCH($Q447,'Device Refrigerant Leakage'!$B$2:$B$42,0)),"")</f>
        <v/>
      </c>
      <c r="CZ447" s="145" t="str">
        <f>IF($I447&lt;&gt;"",INDEX('Device Refrigerant Leakage'!$G$2:$G$42,MATCH($Q447,'Device Refrigerant Leakage'!$B$2:$B$42,0)),"")</f>
        <v/>
      </c>
      <c r="DA447" s="145" t="str">
        <f>IF($I447&lt;&gt;"",J447*INDEX('Device Refrigerant Leakage'!$D$2:$D$42,MATCH($Q447,'Device Refrigerant Leakage'!$B$2:$B$42,0))*CX447/2204.62*CW447,"")</f>
        <v/>
      </c>
      <c r="DB447" s="145" t="str">
        <f>IF($I447&lt;&gt;"",J447*(INDEX('Device Refrigerant Leakage'!$D$2:$D$42,MATCH($Q447,'Device Refrigerant Leakage'!$B$2:$B$42,0))-(INDEX('Device Refrigerant Leakage'!$D$2:$D$42,MATCH($Q447,'Device Refrigerant Leakage'!$B$2:$B$42,0)))*CZ447*CX447)*CY447/2204.62*CW447,"")</f>
        <v/>
      </c>
      <c r="DC447" s="135" t="str">
        <f t="shared" si="552"/>
        <v/>
      </c>
      <c r="DE447" s="146" t="str">
        <f>IF(W447&lt;&gt;"AR","",IF(Y447="User Specified", AA447, INDEX('Refrigerant GWPs'!$G$2:$G$154,MATCH(Y447,'Refrigerant GWPs'!$A$2:$A$154,0))))</f>
        <v/>
      </c>
      <c r="DF447" s="146" t="str">
        <f>IF(W447&lt;&gt;"AR","",INDEX('Device Refrigerant Leakage'!$E$2:$E$42,MATCH(X447,'Device Refrigerant Leakage'!$B$2:$B$42,0)))</f>
        <v/>
      </c>
      <c r="DG447" s="146" t="str">
        <f>IF(W447&lt;&gt;"AR","",INDEX('Device Refrigerant Leakage'!$F$2:$F$42,MATCH(X447,'Device Refrigerant Leakage'!$B$2:$B$42,0)))</f>
        <v/>
      </c>
      <c r="DH447" s="146" t="str">
        <f>IF(W447&lt;&gt;"AR","",INDEX('Device Refrigerant Leakage'!$G$2:$G$42,MATCH(X447,'Device Refrigerant Leakage'!$B$2:$B$42,0)))</f>
        <v/>
      </c>
      <c r="DI447" s="146" t="str">
        <f>IF(W447&lt;&gt;"AR","",J447*INDEX('Device Refrigerant Leakage'!$D$2:$D$42,MATCH(X447,'Device Refrigerant Leakage'!$B$2:$B$42,0))*DF447/2204.62*DE447)</f>
        <v/>
      </c>
      <c r="DJ447" s="146" t="str">
        <f>IF(W447&lt;&gt;"AR","",J447*(INDEX('Device Refrigerant Leakage'!$D$2:$D$42,MATCH(X447,'Device Refrigerant Leakage'!$B$2:$B$42,0))-(INDEX('Device Refrigerant Leakage'!$D$2:$D$42,MATCH(X447,'Device Refrigerant Leakage'!$B$2:$B$42,0)))*DH447*DF447)*DG447/2204.62*DE447)</f>
        <v/>
      </c>
      <c r="DK447" s="146" t="str">
        <f>IF(W447&lt;&gt;"AR","",DI447*(K447-AB447)+'Fuel Sub Calcs-Deemed'!DJ447*((K447-AB447)/INDEX('Device Refrigerant Leakage'!$C$2:$C$42,MATCH('Fuel Sub Calcs-Deemed'!X447,'Device Refrigerant Leakage'!$B$2:$B$42,0))))</f>
        <v/>
      </c>
      <c r="DM447" s="56">
        <v>433</v>
      </c>
      <c r="DN447" s="67" t="e">
        <f t="shared" si="534"/>
        <v>#N/A</v>
      </c>
      <c r="DO447" s="45" t="e">
        <f t="shared" si="535"/>
        <v>#N/A</v>
      </c>
      <c r="DP447" s="67" t="e">
        <f t="shared" si="536"/>
        <v>#N/A</v>
      </c>
      <c r="DQ447" s="45" t="e">
        <f t="shared" si="537"/>
        <v>#N/A</v>
      </c>
      <c r="DR447" s="69" t="e">
        <f t="shared" si="538"/>
        <v>#N/A</v>
      </c>
      <c r="DS447" s="34"/>
      <c r="DT447" s="67" t="e">
        <f>((BX447*CJ447)+IF($W447=MAT_AR,(BZ447*CL447),0))*(1+Reference!$E$50+Reference!$E$51)</f>
        <v>#N/A</v>
      </c>
      <c r="DU447" s="67">
        <f>((BY447*CK447)+IF($W447=MAT_AR,(CA447*CM447),0))*(1+Reference!$G$50+Reference!$G$51)</f>
        <v>0</v>
      </c>
      <c r="DV447" s="67" t="e">
        <f t="shared" si="539"/>
        <v>#VALUE!</v>
      </c>
      <c r="DX447" s="56">
        <v>433</v>
      </c>
      <c r="DY447" s="67">
        <f t="shared" si="540"/>
        <v>0</v>
      </c>
      <c r="DZ447" s="45" t="e">
        <f>VLOOKUP($R447,Dropdown!$C$3:$D$4,2,FALSE)</f>
        <v>#N/A</v>
      </c>
      <c r="EA447" s="68">
        <f t="shared" si="541"/>
        <v>0</v>
      </c>
      <c r="EB447" s="68" t="str">
        <f t="shared" si="542"/>
        <v>N/A</v>
      </c>
      <c r="EC447" s="68">
        <f t="shared" si="543"/>
        <v>0</v>
      </c>
      <c r="ED447" s="68" t="str">
        <f t="shared" si="581"/>
        <v>N/A</v>
      </c>
      <c r="EF447" s="56">
        <v>433</v>
      </c>
      <c r="EG447" s="46">
        <f t="shared" si="544"/>
        <v>0</v>
      </c>
      <c r="EH447" s="68" t="e">
        <f t="shared" si="545"/>
        <v>#N/A</v>
      </c>
      <c r="EI447" s="68" t="e">
        <f t="shared" si="546"/>
        <v>#N/A</v>
      </c>
      <c r="EJ447" s="68" t="e">
        <f t="shared" si="547"/>
        <v>#N/A</v>
      </c>
      <c r="EK447" s="68" t="e">
        <f t="shared" si="548"/>
        <v>#N/A</v>
      </c>
      <c r="EL447" s="46">
        <f t="shared" si="549"/>
        <v>0</v>
      </c>
      <c r="EM447" s="46">
        <f t="shared" si="550"/>
        <v>0</v>
      </c>
    </row>
    <row r="448" spans="1:143">
      <c r="A448" s="89"/>
      <c r="B448" s="89"/>
      <c r="C448" s="89"/>
      <c r="D448" s="89"/>
      <c r="E448" s="89"/>
      <c r="F448" s="89"/>
      <c r="G448" s="34"/>
      <c r="H448" s="56">
        <f t="shared" si="551"/>
        <v>434</v>
      </c>
      <c r="I448" s="165"/>
      <c r="J448" s="163"/>
      <c r="K448" s="163"/>
      <c r="L448" s="164"/>
      <c r="M448" s="155"/>
      <c r="N448" s="155"/>
      <c r="O448" s="144"/>
      <c r="P448" s="159" t="str">
        <f>IFERROR(IF(O448&lt;&gt;"User Specified",IF(O448&lt;&gt;"", INDEX('Refrigerant GWPs'!$G$2:$G$154,MATCH(O448,'Refrigerant GWPs'!$A$2:$A$154,0)),""),U448),0)</f>
        <v/>
      </c>
      <c r="Q448" s="155"/>
      <c r="R448" s="155"/>
      <c r="S448" s="144"/>
      <c r="T448" s="159" t="str">
        <f>IF(S448&lt;&gt;"User Specified",IF(AND(S448&lt;&gt;"User Specified",S448&lt;&gt;""), INDEX('Refrigerant GWPs'!$G$2:$G$154,MATCH(S448,'Refrigerant GWPs'!$A$2:$A$154,0)),""),V448)</f>
        <v/>
      </c>
      <c r="U448" s="144"/>
      <c r="V448" s="144"/>
      <c r="W448" s="155"/>
      <c r="X448" s="155"/>
      <c r="Y448" s="144"/>
      <c r="Z448" s="159" t="str">
        <f>IF(AND(Y448&lt;&gt;"User Specified",Y448&lt;&gt;""), INDEX('Refrigerant GWPs'!$G$2:$G$154,MATCH(Y448,'Refrigerant GWPs'!$A$2:$A$154,0)),"")</f>
        <v/>
      </c>
      <c r="AA448" s="155"/>
      <c r="AB448" s="156"/>
      <c r="AC448" s="66"/>
      <c r="AD448" s="66"/>
      <c r="AE448" s="66"/>
      <c r="AF448" s="66"/>
      <c r="AG448" s="66"/>
      <c r="AH448" s="66"/>
      <c r="AI448" s="34"/>
      <c r="AJ448" s="88">
        <f t="shared" si="514"/>
        <v>0</v>
      </c>
      <c r="AK448" s="88">
        <f t="shared" si="515"/>
        <v>0</v>
      </c>
      <c r="AL448" s="88">
        <v>0</v>
      </c>
      <c r="AM448" s="88">
        <v>0</v>
      </c>
      <c r="AN448" s="81" t="str">
        <f t="shared" si="553"/>
        <v/>
      </c>
      <c r="AO448" s="88">
        <f t="shared" si="516"/>
        <v>0</v>
      </c>
      <c r="AP448" s="88">
        <f t="shared" si="517"/>
        <v>0</v>
      </c>
      <c r="AQ448" s="81" t="str">
        <f t="shared" si="518"/>
        <v/>
      </c>
      <c r="AS448" s="41" t="b">
        <f t="shared" si="519"/>
        <v>1</v>
      </c>
      <c r="AT448" s="38">
        <f t="shared" si="520"/>
        <v>0</v>
      </c>
      <c r="AU448" s="60">
        <f t="shared" si="521"/>
        <v>0</v>
      </c>
      <c r="AV448" s="41">
        <f t="shared" si="522"/>
        <v>0</v>
      </c>
      <c r="AW448" s="41" t="b">
        <f t="shared" si="523"/>
        <v>0</v>
      </c>
      <c r="AX448" t="str">
        <f t="shared" si="524"/>
        <v>+00</v>
      </c>
      <c r="AY448" t="str">
        <f t="shared" si="525"/>
        <v>+00</v>
      </c>
      <c r="BA448" s="47" t="b">
        <f t="shared" si="554"/>
        <v>1</v>
      </c>
      <c r="BB448" s="42" t="b">
        <f t="shared" si="555"/>
        <v>1</v>
      </c>
      <c r="BC448" s="42" t="b">
        <f t="shared" si="556"/>
        <v>0</v>
      </c>
      <c r="BD448" s="42" t="b">
        <f t="shared" si="557"/>
        <v>0</v>
      </c>
      <c r="BE448" s="70">
        <f t="shared" si="558"/>
        <v>0</v>
      </c>
      <c r="BF448" s="70">
        <f t="shared" si="559"/>
        <v>0</v>
      </c>
      <c r="BG448" s="34"/>
      <c r="BI448" s="47" t="b">
        <f t="shared" si="560"/>
        <v>1</v>
      </c>
      <c r="BJ448" s="47" t="b">
        <f t="shared" si="561"/>
        <v>1</v>
      </c>
      <c r="BK448" s="42" t="b">
        <f t="shared" si="562"/>
        <v>0</v>
      </c>
      <c r="BL448" s="42" t="b">
        <f t="shared" si="563"/>
        <v>0</v>
      </c>
      <c r="BM448" s="42">
        <f t="shared" si="564"/>
        <v>0</v>
      </c>
      <c r="BN448" s="42">
        <f t="shared" si="565"/>
        <v>0</v>
      </c>
      <c r="BP448" t="e">
        <f t="shared" si="566"/>
        <v>#N/A</v>
      </c>
      <c r="BQ448" t="e">
        <f t="shared" si="567"/>
        <v>#N/A</v>
      </c>
      <c r="BR448" t="e">
        <f t="shared" si="568"/>
        <v>#N/A</v>
      </c>
      <c r="BT448" s="60">
        <f t="shared" si="569"/>
        <v>0</v>
      </c>
      <c r="BU448" s="60">
        <f t="shared" si="570"/>
        <v>0</v>
      </c>
      <c r="BV448" s="60">
        <f t="shared" si="571"/>
        <v>0</v>
      </c>
      <c r="BW448" s="60">
        <f t="shared" si="572"/>
        <v>0</v>
      </c>
      <c r="BX448" s="60">
        <f t="shared" si="573"/>
        <v>0</v>
      </c>
      <c r="BY448" s="60">
        <f t="shared" si="574"/>
        <v>0</v>
      </c>
      <c r="BZ448" s="60">
        <f t="shared" si="575"/>
        <v>0</v>
      </c>
      <c r="CA448" s="60">
        <f t="shared" si="576"/>
        <v>0</v>
      </c>
      <c r="CB448" s="60" t="e">
        <f t="shared" si="526"/>
        <v>#N/A</v>
      </c>
      <c r="CC448" s="60">
        <f t="shared" si="527"/>
        <v>100000</v>
      </c>
      <c r="CD448" s="60" t="e">
        <f t="shared" si="528"/>
        <v>#N/A</v>
      </c>
      <c r="CE448" s="60">
        <f t="shared" si="529"/>
        <v>100000</v>
      </c>
      <c r="CF448" s="83" t="e">
        <f t="shared" si="577"/>
        <v>#N/A</v>
      </c>
      <c r="CG448" s="83">
        <f t="shared" si="578"/>
        <v>0</v>
      </c>
      <c r="CH448" s="83" t="e">
        <f t="shared" si="579"/>
        <v>#N/A</v>
      </c>
      <c r="CI448" s="83">
        <f t="shared" si="580"/>
        <v>0</v>
      </c>
      <c r="CJ448" s="86" t="e">
        <f t="shared" si="530"/>
        <v>#N/A</v>
      </c>
      <c r="CK448" s="82">
        <f t="shared" si="531"/>
        <v>5.3070370403969858E-3</v>
      </c>
      <c r="CL448" s="82" t="e">
        <f t="shared" si="532"/>
        <v>#N/A</v>
      </c>
      <c r="CM448" s="82">
        <f t="shared" si="533"/>
        <v>5.3070370403969858E-3</v>
      </c>
      <c r="CO448" s="149" t="str">
        <f>IF($I448&lt;&gt;"",IF(O448="User Specified",U448,INDEX('Refrigerant GWPs'!$G$2:$G$156,MATCH(O448,'Refrigerant GWPs'!$A$2:$A$156,0))),"")</f>
        <v/>
      </c>
      <c r="CP448" s="138" t="str">
        <f>IF($I448&lt;&gt;"",INDEX('Device Refrigerant Leakage'!$E$2:$E$42,MATCH($M448,'Device Refrigerant Leakage'!$B$2:$B$42,0)),"")</f>
        <v/>
      </c>
      <c r="CQ448" s="138" t="str">
        <f>IF($I448&lt;&gt;"",INDEX('Device Refrigerant Leakage'!$F$2:$F$42,MATCH($M448,'Device Refrigerant Leakage'!$B$2:$B$42,0)),"")</f>
        <v/>
      </c>
      <c r="CR448" s="145" t="str">
        <f>IF($I448&lt;&gt;"",INDEX('Device Refrigerant Leakage'!$G$2:$G$42,MATCH($M448,'Device Refrigerant Leakage'!$B$2:$B$42,0)),"")</f>
        <v/>
      </c>
      <c r="CS448" s="145" t="str">
        <f>IF($I448&lt;&gt;"",INDEX('Device Refrigerant Leakage'!$D$2:$D$42,MATCH($M448,'Device Refrigerant Leakage'!$B$2:$B$42,0))*CP448/2204.62*CO448,"")</f>
        <v/>
      </c>
      <c r="CT448" s="145" t="str">
        <f>IF($I448&lt;&gt;"",J448*(INDEX('Device Refrigerant Leakage'!$D$2:$D$42,MATCH($M448,'Device Refrigerant Leakage'!$B$2:$B$42,0))-(INDEX('Device Refrigerant Leakage'!$D$2:$D$42,MATCH($M448,'Device Refrigerant Leakage'!$B$2:$B$42,0)))*CR448*CP448)*CQ448/2204.62*CO448,"")</f>
        <v/>
      </c>
      <c r="CU448" s="135" t="str">
        <f>IF($I448&lt;&gt;"",J448*IF(W448&lt;&gt;"AR",(CS448*K448)+CT448,(CS448*AB448)+CT448*(AB448/INDEX('Device Refrigerant Leakage'!$C$2:$C$42,MATCH($M448,'Device Refrigerant Leakage'!$B$2:$B$42,0)))),"")</f>
        <v/>
      </c>
      <c r="CW448" s="135" t="str">
        <f>IF($I448&lt;&gt;"",IF(S448="User Specified",V448,INDEX('Refrigerant GWPs'!$G$2:$G$156,MATCH(S448,'Refrigerant GWPs'!$A$2:$A$157,0))),"")</f>
        <v/>
      </c>
      <c r="CX448" s="138" t="str">
        <f>IF($I448&lt;&gt;"",INDEX('Device Refrigerant Leakage'!$E$2:$E$42,MATCH($Q448,'Device Refrigerant Leakage'!$B$2:$B$42,0)),"")</f>
        <v/>
      </c>
      <c r="CY448" s="138" t="str">
        <f>IF($I448&lt;&gt;"",INDEX('Device Refrigerant Leakage'!$F$2:$F$42,MATCH($Q448,'Device Refrigerant Leakage'!$B$2:$B$42,0)),"")</f>
        <v/>
      </c>
      <c r="CZ448" s="145" t="str">
        <f>IF($I448&lt;&gt;"",INDEX('Device Refrigerant Leakage'!$G$2:$G$42,MATCH($Q448,'Device Refrigerant Leakage'!$B$2:$B$42,0)),"")</f>
        <v/>
      </c>
      <c r="DA448" s="145" t="str">
        <f>IF($I448&lt;&gt;"",J448*INDEX('Device Refrigerant Leakage'!$D$2:$D$42,MATCH($Q448,'Device Refrigerant Leakage'!$B$2:$B$42,0))*CX448/2204.62*CW448,"")</f>
        <v/>
      </c>
      <c r="DB448" s="145" t="str">
        <f>IF($I448&lt;&gt;"",J448*(INDEX('Device Refrigerant Leakage'!$D$2:$D$42,MATCH($Q448,'Device Refrigerant Leakage'!$B$2:$B$42,0))-(INDEX('Device Refrigerant Leakage'!$D$2:$D$42,MATCH($Q448,'Device Refrigerant Leakage'!$B$2:$B$42,0)))*CZ448*CX448)*CY448/2204.62*CW448,"")</f>
        <v/>
      </c>
      <c r="DC448" s="135" t="str">
        <f t="shared" si="552"/>
        <v/>
      </c>
      <c r="DE448" s="146" t="str">
        <f>IF(W448&lt;&gt;"AR","",IF(Y448="User Specified", AA448, INDEX('Refrigerant GWPs'!$G$2:$G$154,MATCH(Y448,'Refrigerant GWPs'!$A$2:$A$154,0))))</f>
        <v/>
      </c>
      <c r="DF448" s="146" t="str">
        <f>IF(W448&lt;&gt;"AR","",INDEX('Device Refrigerant Leakage'!$E$2:$E$42,MATCH(X448,'Device Refrigerant Leakage'!$B$2:$B$42,0)))</f>
        <v/>
      </c>
      <c r="DG448" s="146" t="str">
        <f>IF(W448&lt;&gt;"AR","",INDEX('Device Refrigerant Leakage'!$F$2:$F$42,MATCH(X448,'Device Refrigerant Leakage'!$B$2:$B$42,0)))</f>
        <v/>
      </c>
      <c r="DH448" s="146" t="str">
        <f>IF(W448&lt;&gt;"AR","",INDEX('Device Refrigerant Leakage'!$G$2:$G$42,MATCH(X448,'Device Refrigerant Leakage'!$B$2:$B$42,0)))</f>
        <v/>
      </c>
      <c r="DI448" s="146" t="str">
        <f>IF(W448&lt;&gt;"AR","",J448*INDEX('Device Refrigerant Leakage'!$D$2:$D$42,MATCH(X448,'Device Refrigerant Leakage'!$B$2:$B$42,0))*DF448/2204.62*DE448)</f>
        <v/>
      </c>
      <c r="DJ448" s="146" t="str">
        <f>IF(W448&lt;&gt;"AR","",J448*(INDEX('Device Refrigerant Leakage'!$D$2:$D$42,MATCH(X448,'Device Refrigerant Leakage'!$B$2:$B$42,0))-(INDEX('Device Refrigerant Leakage'!$D$2:$D$42,MATCH(X448,'Device Refrigerant Leakage'!$B$2:$B$42,0)))*DH448*DF448)*DG448/2204.62*DE448)</f>
        <v/>
      </c>
      <c r="DK448" s="146" t="str">
        <f>IF(W448&lt;&gt;"AR","",DI448*(K448-AB448)+'Fuel Sub Calcs-Deemed'!DJ448*((K448-AB448)/INDEX('Device Refrigerant Leakage'!$C$2:$C$42,MATCH('Fuel Sub Calcs-Deemed'!X448,'Device Refrigerant Leakage'!$B$2:$B$42,0))))</f>
        <v/>
      </c>
      <c r="DM448" s="56">
        <v>434</v>
      </c>
      <c r="DN448" s="67" t="e">
        <f t="shared" si="534"/>
        <v>#N/A</v>
      </c>
      <c r="DO448" s="45" t="e">
        <f t="shared" si="535"/>
        <v>#N/A</v>
      </c>
      <c r="DP448" s="67" t="e">
        <f t="shared" si="536"/>
        <v>#N/A</v>
      </c>
      <c r="DQ448" s="45" t="e">
        <f t="shared" si="537"/>
        <v>#N/A</v>
      </c>
      <c r="DR448" s="69" t="e">
        <f t="shared" si="538"/>
        <v>#N/A</v>
      </c>
      <c r="DS448" s="34"/>
      <c r="DT448" s="67" t="e">
        <f>((BX448*CJ448)+IF($W448=MAT_AR,(BZ448*CL448),0))*(1+Reference!$E$50+Reference!$E$51)</f>
        <v>#N/A</v>
      </c>
      <c r="DU448" s="67">
        <f>((BY448*CK448)+IF($W448=MAT_AR,(CA448*CM448),0))*(1+Reference!$G$50+Reference!$G$51)</f>
        <v>0</v>
      </c>
      <c r="DV448" s="67" t="e">
        <f t="shared" si="539"/>
        <v>#VALUE!</v>
      </c>
      <c r="DX448" s="56">
        <v>434</v>
      </c>
      <c r="DY448" s="67">
        <f t="shared" si="540"/>
        <v>0</v>
      </c>
      <c r="DZ448" s="45" t="e">
        <f>VLOOKUP($R448,Dropdown!$C$3:$D$4,2,FALSE)</f>
        <v>#N/A</v>
      </c>
      <c r="EA448" s="68">
        <f t="shared" si="541"/>
        <v>0</v>
      </c>
      <c r="EB448" s="68" t="str">
        <f t="shared" si="542"/>
        <v>N/A</v>
      </c>
      <c r="EC448" s="68">
        <f t="shared" si="543"/>
        <v>0</v>
      </c>
      <c r="ED448" s="68" t="str">
        <f t="shared" si="581"/>
        <v>N/A</v>
      </c>
      <c r="EF448" s="56">
        <v>434</v>
      </c>
      <c r="EG448" s="46">
        <f t="shared" si="544"/>
        <v>0</v>
      </c>
      <c r="EH448" s="68" t="e">
        <f t="shared" si="545"/>
        <v>#N/A</v>
      </c>
      <c r="EI448" s="68" t="e">
        <f t="shared" si="546"/>
        <v>#N/A</v>
      </c>
      <c r="EJ448" s="68" t="e">
        <f t="shared" si="547"/>
        <v>#N/A</v>
      </c>
      <c r="EK448" s="68" t="e">
        <f t="shared" si="548"/>
        <v>#N/A</v>
      </c>
      <c r="EL448" s="46">
        <f t="shared" si="549"/>
        <v>0</v>
      </c>
      <c r="EM448" s="46">
        <f t="shared" si="550"/>
        <v>0</v>
      </c>
    </row>
    <row r="449" spans="1:143">
      <c r="A449" s="89"/>
      <c r="B449" s="89"/>
      <c r="C449" s="89"/>
      <c r="D449" s="89"/>
      <c r="E449" s="89"/>
      <c r="F449" s="89"/>
      <c r="G449" s="34"/>
      <c r="H449" s="56">
        <f t="shared" si="551"/>
        <v>435</v>
      </c>
      <c r="I449" s="165"/>
      <c r="J449" s="163"/>
      <c r="K449" s="163"/>
      <c r="L449" s="164"/>
      <c r="M449" s="155"/>
      <c r="N449" s="155"/>
      <c r="O449" s="144"/>
      <c r="P449" s="159" t="str">
        <f>IFERROR(IF(O449&lt;&gt;"User Specified",IF(O449&lt;&gt;"", INDEX('Refrigerant GWPs'!$G$2:$G$154,MATCH(O449,'Refrigerant GWPs'!$A$2:$A$154,0)),""),U449),0)</f>
        <v/>
      </c>
      <c r="Q449" s="155"/>
      <c r="R449" s="155"/>
      <c r="S449" s="144"/>
      <c r="T449" s="159" t="str">
        <f>IF(S449&lt;&gt;"User Specified",IF(AND(S449&lt;&gt;"User Specified",S449&lt;&gt;""), INDEX('Refrigerant GWPs'!$G$2:$G$154,MATCH(S449,'Refrigerant GWPs'!$A$2:$A$154,0)),""),V449)</f>
        <v/>
      </c>
      <c r="U449" s="144"/>
      <c r="V449" s="144"/>
      <c r="W449" s="155"/>
      <c r="X449" s="155"/>
      <c r="Y449" s="144"/>
      <c r="Z449" s="159" t="str">
        <f>IF(AND(Y449&lt;&gt;"User Specified",Y449&lt;&gt;""), INDEX('Refrigerant GWPs'!$G$2:$G$154,MATCH(Y449,'Refrigerant GWPs'!$A$2:$A$154,0)),"")</f>
        <v/>
      </c>
      <c r="AA449" s="155"/>
      <c r="AB449" s="156"/>
      <c r="AC449" s="66"/>
      <c r="AD449" s="66"/>
      <c r="AE449" s="66"/>
      <c r="AF449" s="66"/>
      <c r="AG449" s="66"/>
      <c r="AH449" s="66"/>
      <c r="AI449" s="34"/>
      <c r="AJ449" s="88">
        <f t="shared" si="514"/>
        <v>0</v>
      </c>
      <c r="AK449" s="88">
        <f t="shared" si="515"/>
        <v>0</v>
      </c>
      <c r="AL449" s="88">
        <v>0</v>
      </c>
      <c r="AM449" s="88">
        <v>0</v>
      </c>
      <c r="AN449" s="81" t="str">
        <f t="shared" si="553"/>
        <v/>
      </c>
      <c r="AO449" s="88">
        <f t="shared" si="516"/>
        <v>0</v>
      </c>
      <c r="AP449" s="88">
        <f t="shared" si="517"/>
        <v>0</v>
      </c>
      <c r="AQ449" s="81" t="str">
        <f t="shared" si="518"/>
        <v/>
      </c>
      <c r="AS449" s="41" t="b">
        <f t="shared" si="519"/>
        <v>1</v>
      </c>
      <c r="AT449" s="38">
        <f t="shared" si="520"/>
        <v>0</v>
      </c>
      <c r="AU449" s="60">
        <f t="shared" si="521"/>
        <v>0</v>
      </c>
      <c r="AV449" s="41">
        <f t="shared" si="522"/>
        <v>0</v>
      </c>
      <c r="AW449" s="41" t="b">
        <f t="shared" si="523"/>
        <v>0</v>
      </c>
      <c r="AX449" t="str">
        <f t="shared" si="524"/>
        <v>+00</v>
      </c>
      <c r="AY449" t="str">
        <f t="shared" si="525"/>
        <v>+00</v>
      </c>
      <c r="BA449" s="47" t="b">
        <f t="shared" si="554"/>
        <v>1</v>
      </c>
      <c r="BB449" s="42" t="b">
        <f t="shared" si="555"/>
        <v>1</v>
      </c>
      <c r="BC449" s="42" t="b">
        <f t="shared" si="556"/>
        <v>0</v>
      </c>
      <c r="BD449" s="42" t="b">
        <f t="shared" si="557"/>
        <v>0</v>
      </c>
      <c r="BE449" s="70">
        <f t="shared" si="558"/>
        <v>0</v>
      </c>
      <c r="BF449" s="70">
        <f t="shared" si="559"/>
        <v>0</v>
      </c>
      <c r="BG449" s="34"/>
      <c r="BI449" s="47" t="b">
        <f t="shared" si="560"/>
        <v>1</v>
      </c>
      <c r="BJ449" s="47" t="b">
        <f t="shared" si="561"/>
        <v>1</v>
      </c>
      <c r="BK449" s="42" t="b">
        <f t="shared" si="562"/>
        <v>0</v>
      </c>
      <c r="BL449" s="42" t="b">
        <f t="shared" si="563"/>
        <v>0</v>
      </c>
      <c r="BM449" s="42">
        <f t="shared" si="564"/>
        <v>0</v>
      </c>
      <c r="BN449" s="42">
        <f t="shared" si="565"/>
        <v>0</v>
      </c>
      <c r="BP449" t="e">
        <f t="shared" si="566"/>
        <v>#N/A</v>
      </c>
      <c r="BQ449" t="e">
        <f t="shared" si="567"/>
        <v>#N/A</v>
      </c>
      <c r="BR449" t="e">
        <f t="shared" si="568"/>
        <v>#N/A</v>
      </c>
      <c r="BT449" s="60">
        <f t="shared" si="569"/>
        <v>0</v>
      </c>
      <c r="BU449" s="60">
        <f t="shared" si="570"/>
        <v>0</v>
      </c>
      <c r="BV449" s="60">
        <f t="shared" si="571"/>
        <v>0</v>
      </c>
      <c r="BW449" s="60">
        <f t="shared" si="572"/>
        <v>0</v>
      </c>
      <c r="BX449" s="60">
        <f t="shared" si="573"/>
        <v>0</v>
      </c>
      <c r="BY449" s="60">
        <f t="shared" si="574"/>
        <v>0</v>
      </c>
      <c r="BZ449" s="60">
        <f t="shared" si="575"/>
        <v>0</v>
      </c>
      <c r="CA449" s="60">
        <f t="shared" si="576"/>
        <v>0</v>
      </c>
      <c r="CB449" s="60" t="e">
        <f t="shared" si="526"/>
        <v>#N/A</v>
      </c>
      <c r="CC449" s="60">
        <f t="shared" si="527"/>
        <v>100000</v>
      </c>
      <c r="CD449" s="60" t="e">
        <f t="shared" si="528"/>
        <v>#N/A</v>
      </c>
      <c r="CE449" s="60">
        <f t="shared" si="529"/>
        <v>100000</v>
      </c>
      <c r="CF449" s="83" t="e">
        <f t="shared" si="577"/>
        <v>#N/A</v>
      </c>
      <c r="CG449" s="83">
        <f t="shared" si="578"/>
        <v>0</v>
      </c>
      <c r="CH449" s="83" t="e">
        <f t="shared" si="579"/>
        <v>#N/A</v>
      </c>
      <c r="CI449" s="83">
        <f t="shared" si="580"/>
        <v>0</v>
      </c>
      <c r="CJ449" s="86" t="e">
        <f t="shared" si="530"/>
        <v>#N/A</v>
      </c>
      <c r="CK449" s="82">
        <f t="shared" si="531"/>
        <v>5.3070370403969858E-3</v>
      </c>
      <c r="CL449" s="82" t="e">
        <f t="shared" si="532"/>
        <v>#N/A</v>
      </c>
      <c r="CM449" s="82">
        <f t="shared" si="533"/>
        <v>5.3070370403969858E-3</v>
      </c>
      <c r="CO449" s="149" t="str">
        <f>IF($I449&lt;&gt;"",IF(O449="User Specified",U449,INDEX('Refrigerant GWPs'!$G$2:$G$156,MATCH(O449,'Refrigerant GWPs'!$A$2:$A$156,0))),"")</f>
        <v/>
      </c>
      <c r="CP449" s="138" t="str">
        <f>IF($I449&lt;&gt;"",INDEX('Device Refrigerant Leakage'!$E$2:$E$42,MATCH($M449,'Device Refrigerant Leakage'!$B$2:$B$42,0)),"")</f>
        <v/>
      </c>
      <c r="CQ449" s="138" t="str">
        <f>IF($I449&lt;&gt;"",INDEX('Device Refrigerant Leakage'!$F$2:$F$42,MATCH($M449,'Device Refrigerant Leakage'!$B$2:$B$42,0)),"")</f>
        <v/>
      </c>
      <c r="CR449" s="145" t="str">
        <f>IF($I449&lt;&gt;"",INDEX('Device Refrigerant Leakage'!$G$2:$G$42,MATCH($M449,'Device Refrigerant Leakage'!$B$2:$B$42,0)),"")</f>
        <v/>
      </c>
      <c r="CS449" s="145" t="str">
        <f>IF($I449&lt;&gt;"",INDEX('Device Refrigerant Leakage'!$D$2:$D$42,MATCH($M449,'Device Refrigerant Leakage'!$B$2:$B$42,0))*CP449/2204.62*CO449,"")</f>
        <v/>
      </c>
      <c r="CT449" s="145" t="str">
        <f>IF($I449&lt;&gt;"",J449*(INDEX('Device Refrigerant Leakage'!$D$2:$D$42,MATCH($M449,'Device Refrigerant Leakage'!$B$2:$B$42,0))-(INDEX('Device Refrigerant Leakage'!$D$2:$D$42,MATCH($M449,'Device Refrigerant Leakage'!$B$2:$B$42,0)))*CR449*CP449)*CQ449/2204.62*CO449,"")</f>
        <v/>
      </c>
      <c r="CU449" s="135" t="str">
        <f>IF($I449&lt;&gt;"",J449*IF(W449&lt;&gt;"AR",(CS449*K449)+CT449,(CS449*AB449)+CT449*(AB449/INDEX('Device Refrigerant Leakage'!$C$2:$C$42,MATCH($M449,'Device Refrigerant Leakage'!$B$2:$B$42,0)))),"")</f>
        <v/>
      </c>
      <c r="CW449" s="135" t="str">
        <f>IF($I449&lt;&gt;"",IF(S449="User Specified",V449,INDEX('Refrigerant GWPs'!$G$2:$G$156,MATCH(S449,'Refrigerant GWPs'!$A$2:$A$157,0))),"")</f>
        <v/>
      </c>
      <c r="CX449" s="138" t="str">
        <f>IF($I449&lt;&gt;"",INDEX('Device Refrigerant Leakage'!$E$2:$E$42,MATCH($Q449,'Device Refrigerant Leakage'!$B$2:$B$42,0)),"")</f>
        <v/>
      </c>
      <c r="CY449" s="138" t="str">
        <f>IF($I449&lt;&gt;"",INDEX('Device Refrigerant Leakage'!$F$2:$F$42,MATCH($Q449,'Device Refrigerant Leakage'!$B$2:$B$42,0)),"")</f>
        <v/>
      </c>
      <c r="CZ449" s="145" t="str">
        <f>IF($I449&lt;&gt;"",INDEX('Device Refrigerant Leakage'!$G$2:$G$42,MATCH($Q449,'Device Refrigerant Leakage'!$B$2:$B$42,0)),"")</f>
        <v/>
      </c>
      <c r="DA449" s="145" t="str">
        <f>IF($I449&lt;&gt;"",J449*INDEX('Device Refrigerant Leakage'!$D$2:$D$42,MATCH($Q449,'Device Refrigerant Leakage'!$B$2:$B$42,0))*CX449/2204.62*CW449,"")</f>
        <v/>
      </c>
      <c r="DB449" s="145" t="str">
        <f>IF($I449&lt;&gt;"",J449*(INDEX('Device Refrigerant Leakage'!$D$2:$D$42,MATCH($Q449,'Device Refrigerant Leakage'!$B$2:$B$42,0))-(INDEX('Device Refrigerant Leakage'!$D$2:$D$42,MATCH($Q449,'Device Refrigerant Leakage'!$B$2:$B$42,0)))*CZ449*CX449)*CY449/2204.62*CW449,"")</f>
        <v/>
      </c>
      <c r="DC449" s="135" t="str">
        <f t="shared" si="552"/>
        <v/>
      </c>
      <c r="DE449" s="146" t="str">
        <f>IF(W449&lt;&gt;"AR","",IF(Y449="User Specified", AA449, INDEX('Refrigerant GWPs'!$G$2:$G$154,MATCH(Y449,'Refrigerant GWPs'!$A$2:$A$154,0))))</f>
        <v/>
      </c>
      <c r="DF449" s="146" t="str">
        <f>IF(W449&lt;&gt;"AR","",INDEX('Device Refrigerant Leakage'!$E$2:$E$42,MATCH(X449,'Device Refrigerant Leakage'!$B$2:$B$42,0)))</f>
        <v/>
      </c>
      <c r="DG449" s="146" t="str">
        <f>IF(W449&lt;&gt;"AR","",INDEX('Device Refrigerant Leakage'!$F$2:$F$42,MATCH(X449,'Device Refrigerant Leakage'!$B$2:$B$42,0)))</f>
        <v/>
      </c>
      <c r="DH449" s="146" t="str">
        <f>IF(W449&lt;&gt;"AR","",INDEX('Device Refrigerant Leakage'!$G$2:$G$42,MATCH(X449,'Device Refrigerant Leakage'!$B$2:$B$42,0)))</f>
        <v/>
      </c>
      <c r="DI449" s="146" t="str">
        <f>IF(W449&lt;&gt;"AR","",J449*INDEX('Device Refrigerant Leakage'!$D$2:$D$42,MATCH(X449,'Device Refrigerant Leakage'!$B$2:$B$42,0))*DF449/2204.62*DE449)</f>
        <v/>
      </c>
      <c r="DJ449" s="146" t="str">
        <f>IF(W449&lt;&gt;"AR","",J449*(INDEX('Device Refrigerant Leakage'!$D$2:$D$42,MATCH(X449,'Device Refrigerant Leakage'!$B$2:$B$42,0))-(INDEX('Device Refrigerant Leakage'!$D$2:$D$42,MATCH(X449,'Device Refrigerant Leakage'!$B$2:$B$42,0)))*DH449*DF449)*DG449/2204.62*DE449)</f>
        <v/>
      </c>
      <c r="DK449" s="146" t="str">
        <f>IF(W449&lt;&gt;"AR","",DI449*(K449-AB449)+'Fuel Sub Calcs-Deemed'!DJ449*((K449-AB449)/INDEX('Device Refrigerant Leakage'!$C$2:$C$42,MATCH('Fuel Sub Calcs-Deemed'!X449,'Device Refrigerant Leakage'!$B$2:$B$42,0))))</f>
        <v/>
      </c>
      <c r="DM449" s="56">
        <v>435</v>
      </c>
      <c r="DN449" s="67" t="e">
        <f t="shared" si="534"/>
        <v>#N/A</v>
      </c>
      <c r="DO449" s="45" t="e">
        <f t="shared" si="535"/>
        <v>#N/A</v>
      </c>
      <c r="DP449" s="67" t="e">
        <f t="shared" si="536"/>
        <v>#N/A</v>
      </c>
      <c r="DQ449" s="45" t="e">
        <f t="shared" si="537"/>
        <v>#N/A</v>
      </c>
      <c r="DR449" s="69" t="e">
        <f t="shared" si="538"/>
        <v>#N/A</v>
      </c>
      <c r="DS449" s="34"/>
      <c r="DT449" s="67" t="e">
        <f>((BX449*CJ449)+IF($W449=MAT_AR,(BZ449*CL449),0))*(1+Reference!$E$50+Reference!$E$51)</f>
        <v>#N/A</v>
      </c>
      <c r="DU449" s="67">
        <f>((BY449*CK449)+IF($W449=MAT_AR,(CA449*CM449),0))*(1+Reference!$G$50+Reference!$G$51)</f>
        <v>0</v>
      </c>
      <c r="DV449" s="67" t="e">
        <f t="shared" si="539"/>
        <v>#VALUE!</v>
      </c>
      <c r="DX449" s="56">
        <v>435</v>
      </c>
      <c r="DY449" s="67">
        <f t="shared" si="540"/>
        <v>0</v>
      </c>
      <c r="DZ449" s="45" t="e">
        <f>VLOOKUP($R449,Dropdown!$C$3:$D$4,2,FALSE)</f>
        <v>#N/A</v>
      </c>
      <c r="EA449" s="68">
        <f t="shared" si="541"/>
        <v>0</v>
      </c>
      <c r="EB449" s="68" t="str">
        <f t="shared" si="542"/>
        <v>N/A</v>
      </c>
      <c r="EC449" s="68">
        <f t="shared" si="543"/>
        <v>0</v>
      </c>
      <c r="ED449" s="68" t="str">
        <f t="shared" si="581"/>
        <v>N/A</v>
      </c>
      <c r="EF449" s="56">
        <v>435</v>
      </c>
      <c r="EG449" s="46">
        <f t="shared" si="544"/>
        <v>0</v>
      </c>
      <c r="EH449" s="68" t="e">
        <f t="shared" si="545"/>
        <v>#N/A</v>
      </c>
      <c r="EI449" s="68" t="e">
        <f t="shared" si="546"/>
        <v>#N/A</v>
      </c>
      <c r="EJ449" s="68" t="e">
        <f t="shared" si="547"/>
        <v>#N/A</v>
      </c>
      <c r="EK449" s="68" t="e">
        <f t="shared" si="548"/>
        <v>#N/A</v>
      </c>
      <c r="EL449" s="46">
        <f t="shared" si="549"/>
        <v>0</v>
      </c>
      <c r="EM449" s="46">
        <f t="shared" si="550"/>
        <v>0</v>
      </c>
    </row>
    <row r="450" spans="1:143">
      <c r="A450" s="89"/>
      <c r="B450" s="89"/>
      <c r="C450" s="89"/>
      <c r="D450" s="89"/>
      <c r="E450" s="89"/>
      <c r="F450" s="89"/>
      <c r="G450" s="34"/>
      <c r="H450" s="56">
        <f t="shared" si="551"/>
        <v>436</v>
      </c>
      <c r="I450" s="165"/>
      <c r="J450" s="163"/>
      <c r="K450" s="163"/>
      <c r="L450" s="164"/>
      <c r="M450" s="155"/>
      <c r="N450" s="155"/>
      <c r="O450" s="144"/>
      <c r="P450" s="159" t="str">
        <f>IFERROR(IF(O450&lt;&gt;"User Specified",IF(O450&lt;&gt;"", INDEX('Refrigerant GWPs'!$G$2:$G$154,MATCH(O450,'Refrigerant GWPs'!$A$2:$A$154,0)),""),U450),0)</f>
        <v/>
      </c>
      <c r="Q450" s="155"/>
      <c r="R450" s="155"/>
      <c r="S450" s="144"/>
      <c r="T450" s="159" t="str">
        <f>IF(S450&lt;&gt;"User Specified",IF(AND(S450&lt;&gt;"User Specified",S450&lt;&gt;""), INDEX('Refrigerant GWPs'!$G$2:$G$154,MATCH(S450,'Refrigerant GWPs'!$A$2:$A$154,0)),""),V450)</f>
        <v/>
      </c>
      <c r="U450" s="144"/>
      <c r="V450" s="144"/>
      <c r="W450" s="155"/>
      <c r="X450" s="155"/>
      <c r="Y450" s="144"/>
      <c r="Z450" s="159" t="str">
        <f>IF(AND(Y450&lt;&gt;"User Specified",Y450&lt;&gt;""), INDEX('Refrigerant GWPs'!$G$2:$G$154,MATCH(Y450,'Refrigerant GWPs'!$A$2:$A$154,0)),"")</f>
        <v/>
      </c>
      <c r="AA450" s="155"/>
      <c r="AB450" s="156"/>
      <c r="AC450" s="66"/>
      <c r="AD450" s="66"/>
      <c r="AE450" s="66"/>
      <c r="AF450" s="66"/>
      <c r="AG450" s="66"/>
      <c r="AH450" s="66"/>
      <c r="AI450" s="34"/>
      <c r="AJ450" s="88">
        <f t="shared" si="514"/>
        <v>0</v>
      </c>
      <c r="AK450" s="88">
        <f t="shared" si="515"/>
        <v>0</v>
      </c>
      <c r="AL450" s="88">
        <v>0</v>
      </c>
      <c r="AM450" s="88">
        <v>0</v>
      </c>
      <c r="AN450" s="81" t="str">
        <f t="shared" si="553"/>
        <v/>
      </c>
      <c r="AO450" s="88">
        <f t="shared" si="516"/>
        <v>0</v>
      </c>
      <c r="AP450" s="88">
        <f t="shared" si="517"/>
        <v>0</v>
      </c>
      <c r="AQ450" s="81" t="str">
        <f t="shared" si="518"/>
        <v/>
      </c>
      <c r="AS450" s="41" t="b">
        <f t="shared" si="519"/>
        <v>1</v>
      </c>
      <c r="AT450" s="38">
        <f t="shared" si="520"/>
        <v>0</v>
      </c>
      <c r="AU450" s="60">
        <f t="shared" si="521"/>
        <v>0</v>
      </c>
      <c r="AV450" s="41">
        <f t="shared" si="522"/>
        <v>0</v>
      </c>
      <c r="AW450" s="41" t="b">
        <f t="shared" si="523"/>
        <v>0</v>
      </c>
      <c r="AX450" t="str">
        <f t="shared" si="524"/>
        <v>+00</v>
      </c>
      <c r="AY450" t="str">
        <f t="shared" si="525"/>
        <v>+00</v>
      </c>
      <c r="BA450" s="47" t="b">
        <f t="shared" si="554"/>
        <v>1</v>
      </c>
      <c r="BB450" s="42" t="b">
        <f t="shared" si="555"/>
        <v>1</v>
      </c>
      <c r="BC450" s="42" t="b">
        <f t="shared" si="556"/>
        <v>0</v>
      </c>
      <c r="BD450" s="42" t="b">
        <f t="shared" si="557"/>
        <v>0</v>
      </c>
      <c r="BE450" s="70">
        <f t="shared" si="558"/>
        <v>0</v>
      </c>
      <c r="BF450" s="70">
        <f t="shared" si="559"/>
        <v>0</v>
      </c>
      <c r="BG450" s="34"/>
      <c r="BI450" s="47" t="b">
        <f t="shared" si="560"/>
        <v>1</v>
      </c>
      <c r="BJ450" s="47" t="b">
        <f t="shared" si="561"/>
        <v>1</v>
      </c>
      <c r="BK450" s="42" t="b">
        <f t="shared" si="562"/>
        <v>0</v>
      </c>
      <c r="BL450" s="42" t="b">
        <f t="shared" si="563"/>
        <v>0</v>
      </c>
      <c r="BM450" s="42">
        <f t="shared" si="564"/>
        <v>0</v>
      </c>
      <c r="BN450" s="42">
        <f t="shared" si="565"/>
        <v>0</v>
      </c>
      <c r="BP450" t="e">
        <f t="shared" si="566"/>
        <v>#N/A</v>
      </c>
      <c r="BQ450" t="e">
        <f t="shared" si="567"/>
        <v>#N/A</v>
      </c>
      <c r="BR450" t="e">
        <f t="shared" si="568"/>
        <v>#N/A</v>
      </c>
      <c r="BT450" s="60">
        <f t="shared" si="569"/>
        <v>0</v>
      </c>
      <c r="BU450" s="60">
        <f t="shared" si="570"/>
        <v>0</v>
      </c>
      <c r="BV450" s="60">
        <f t="shared" si="571"/>
        <v>0</v>
      </c>
      <c r="BW450" s="60">
        <f t="shared" si="572"/>
        <v>0</v>
      </c>
      <c r="BX450" s="60">
        <f t="shared" si="573"/>
        <v>0</v>
      </c>
      <c r="BY450" s="60">
        <f t="shared" si="574"/>
        <v>0</v>
      </c>
      <c r="BZ450" s="60">
        <f t="shared" si="575"/>
        <v>0</v>
      </c>
      <c r="CA450" s="60">
        <f t="shared" si="576"/>
        <v>0</v>
      </c>
      <c r="CB450" s="60" t="e">
        <f t="shared" si="526"/>
        <v>#N/A</v>
      </c>
      <c r="CC450" s="60">
        <f t="shared" si="527"/>
        <v>100000</v>
      </c>
      <c r="CD450" s="60" t="e">
        <f t="shared" si="528"/>
        <v>#N/A</v>
      </c>
      <c r="CE450" s="60">
        <f t="shared" si="529"/>
        <v>100000</v>
      </c>
      <c r="CF450" s="83" t="e">
        <f t="shared" si="577"/>
        <v>#N/A</v>
      </c>
      <c r="CG450" s="83">
        <f t="shared" si="578"/>
        <v>0</v>
      </c>
      <c r="CH450" s="83" t="e">
        <f t="shared" si="579"/>
        <v>#N/A</v>
      </c>
      <c r="CI450" s="83">
        <f t="shared" si="580"/>
        <v>0</v>
      </c>
      <c r="CJ450" s="86" t="e">
        <f t="shared" si="530"/>
        <v>#N/A</v>
      </c>
      <c r="CK450" s="82">
        <f t="shared" si="531"/>
        <v>5.3070370403969858E-3</v>
      </c>
      <c r="CL450" s="82" t="e">
        <f t="shared" si="532"/>
        <v>#N/A</v>
      </c>
      <c r="CM450" s="82">
        <f t="shared" si="533"/>
        <v>5.3070370403969858E-3</v>
      </c>
      <c r="CO450" s="149" t="str">
        <f>IF($I450&lt;&gt;"",IF(O450="User Specified",U450,INDEX('Refrigerant GWPs'!$G$2:$G$156,MATCH(O450,'Refrigerant GWPs'!$A$2:$A$156,0))),"")</f>
        <v/>
      </c>
      <c r="CP450" s="138" t="str">
        <f>IF($I450&lt;&gt;"",INDEX('Device Refrigerant Leakage'!$E$2:$E$42,MATCH($M450,'Device Refrigerant Leakage'!$B$2:$B$42,0)),"")</f>
        <v/>
      </c>
      <c r="CQ450" s="138" t="str">
        <f>IF($I450&lt;&gt;"",INDEX('Device Refrigerant Leakage'!$F$2:$F$42,MATCH($M450,'Device Refrigerant Leakage'!$B$2:$B$42,0)),"")</f>
        <v/>
      </c>
      <c r="CR450" s="145" t="str">
        <f>IF($I450&lt;&gt;"",INDEX('Device Refrigerant Leakage'!$G$2:$G$42,MATCH($M450,'Device Refrigerant Leakage'!$B$2:$B$42,0)),"")</f>
        <v/>
      </c>
      <c r="CS450" s="145" t="str">
        <f>IF($I450&lt;&gt;"",INDEX('Device Refrigerant Leakage'!$D$2:$D$42,MATCH($M450,'Device Refrigerant Leakage'!$B$2:$B$42,0))*CP450/2204.62*CO450,"")</f>
        <v/>
      </c>
      <c r="CT450" s="145" t="str">
        <f>IF($I450&lt;&gt;"",J450*(INDEX('Device Refrigerant Leakage'!$D$2:$D$42,MATCH($M450,'Device Refrigerant Leakage'!$B$2:$B$42,0))-(INDEX('Device Refrigerant Leakage'!$D$2:$D$42,MATCH($M450,'Device Refrigerant Leakage'!$B$2:$B$42,0)))*CR450*CP450)*CQ450/2204.62*CO450,"")</f>
        <v/>
      </c>
      <c r="CU450" s="135" t="str">
        <f>IF($I450&lt;&gt;"",J450*IF(W450&lt;&gt;"AR",(CS450*K450)+CT450,(CS450*AB450)+CT450*(AB450/INDEX('Device Refrigerant Leakage'!$C$2:$C$42,MATCH($M450,'Device Refrigerant Leakage'!$B$2:$B$42,0)))),"")</f>
        <v/>
      </c>
      <c r="CW450" s="135" t="str">
        <f>IF($I450&lt;&gt;"",IF(S450="User Specified",V450,INDEX('Refrigerant GWPs'!$G$2:$G$156,MATCH(S450,'Refrigerant GWPs'!$A$2:$A$157,0))),"")</f>
        <v/>
      </c>
      <c r="CX450" s="138" t="str">
        <f>IF($I450&lt;&gt;"",INDEX('Device Refrigerant Leakage'!$E$2:$E$42,MATCH($Q450,'Device Refrigerant Leakage'!$B$2:$B$42,0)),"")</f>
        <v/>
      </c>
      <c r="CY450" s="138" t="str">
        <f>IF($I450&lt;&gt;"",INDEX('Device Refrigerant Leakage'!$F$2:$F$42,MATCH($Q450,'Device Refrigerant Leakage'!$B$2:$B$42,0)),"")</f>
        <v/>
      </c>
      <c r="CZ450" s="145" t="str">
        <f>IF($I450&lt;&gt;"",INDEX('Device Refrigerant Leakage'!$G$2:$G$42,MATCH($Q450,'Device Refrigerant Leakage'!$B$2:$B$42,0)),"")</f>
        <v/>
      </c>
      <c r="DA450" s="145" t="str">
        <f>IF($I450&lt;&gt;"",J450*INDEX('Device Refrigerant Leakage'!$D$2:$D$42,MATCH($Q450,'Device Refrigerant Leakage'!$B$2:$B$42,0))*CX450/2204.62*CW450,"")</f>
        <v/>
      </c>
      <c r="DB450" s="145" t="str">
        <f>IF($I450&lt;&gt;"",J450*(INDEX('Device Refrigerant Leakage'!$D$2:$D$42,MATCH($Q450,'Device Refrigerant Leakage'!$B$2:$B$42,0))-(INDEX('Device Refrigerant Leakage'!$D$2:$D$42,MATCH($Q450,'Device Refrigerant Leakage'!$B$2:$B$42,0)))*CZ450*CX450)*CY450/2204.62*CW450,"")</f>
        <v/>
      </c>
      <c r="DC450" s="135" t="str">
        <f t="shared" si="552"/>
        <v/>
      </c>
      <c r="DE450" s="146" t="str">
        <f>IF(W450&lt;&gt;"AR","",IF(Y450="User Specified", AA450, INDEX('Refrigerant GWPs'!$G$2:$G$154,MATCH(Y450,'Refrigerant GWPs'!$A$2:$A$154,0))))</f>
        <v/>
      </c>
      <c r="DF450" s="146" t="str">
        <f>IF(W450&lt;&gt;"AR","",INDEX('Device Refrigerant Leakage'!$E$2:$E$42,MATCH(X450,'Device Refrigerant Leakage'!$B$2:$B$42,0)))</f>
        <v/>
      </c>
      <c r="DG450" s="146" t="str">
        <f>IF(W450&lt;&gt;"AR","",INDEX('Device Refrigerant Leakage'!$F$2:$F$42,MATCH(X450,'Device Refrigerant Leakage'!$B$2:$B$42,0)))</f>
        <v/>
      </c>
      <c r="DH450" s="146" t="str">
        <f>IF(W450&lt;&gt;"AR","",INDEX('Device Refrigerant Leakage'!$G$2:$G$42,MATCH(X450,'Device Refrigerant Leakage'!$B$2:$B$42,0)))</f>
        <v/>
      </c>
      <c r="DI450" s="146" t="str">
        <f>IF(W450&lt;&gt;"AR","",J450*INDEX('Device Refrigerant Leakage'!$D$2:$D$42,MATCH(X450,'Device Refrigerant Leakage'!$B$2:$B$42,0))*DF450/2204.62*DE450)</f>
        <v/>
      </c>
      <c r="DJ450" s="146" t="str">
        <f>IF(W450&lt;&gt;"AR","",J450*(INDEX('Device Refrigerant Leakage'!$D$2:$D$42,MATCH(X450,'Device Refrigerant Leakage'!$B$2:$B$42,0))-(INDEX('Device Refrigerant Leakage'!$D$2:$D$42,MATCH(X450,'Device Refrigerant Leakage'!$B$2:$B$42,0)))*DH450*DF450)*DG450/2204.62*DE450)</f>
        <v/>
      </c>
      <c r="DK450" s="146" t="str">
        <f>IF(W450&lt;&gt;"AR","",DI450*(K450-AB450)+'Fuel Sub Calcs-Deemed'!DJ450*((K450-AB450)/INDEX('Device Refrigerant Leakage'!$C$2:$C$42,MATCH('Fuel Sub Calcs-Deemed'!X450,'Device Refrigerant Leakage'!$B$2:$B$42,0))))</f>
        <v/>
      </c>
      <c r="DM450" s="56">
        <v>436</v>
      </c>
      <c r="DN450" s="67" t="e">
        <f t="shared" si="534"/>
        <v>#N/A</v>
      </c>
      <c r="DO450" s="45" t="e">
        <f t="shared" si="535"/>
        <v>#N/A</v>
      </c>
      <c r="DP450" s="67" t="e">
        <f t="shared" si="536"/>
        <v>#N/A</v>
      </c>
      <c r="DQ450" s="45" t="e">
        <f t="shared" si="537"/>
        <v>#N/A</v>
      </c>
      <c r="DR450" s="69" t="e">
        <f t="shared" si="538"/>
        <v>#N/A</v>
      </c>
      <c r="DS450" s="34"/>
      <c r="DT450" s="67" t="e">
        <f>((BX450*CJ450)+IF($W450=MAT_AR,(BZ450*CL450),0))*(1+Reference!$E$50+Reference!$E$51)</f>
        <v>#N/A</v>
      </c>
      <c r="DU450" s="67">
        <f>((BY450*CK450)+IF($W450=MAT_AR,(CA450*CM450),0))*(1+Reference!$G$50+Reference!$G$51)</f>
        <v>0</v>
      </c>
      <c r="DV450" s="67" t="e">
        <f t="shared" si="539"/>
        <v>#VALUE!</v>
      </c>
      <c r="DX450" s="56">
        <v>436</v>
      </c>
      <c r="DY450" s="67">
        <f t="shared" si="540"/>
        <v>0</v>
      </c>
      <c r="DZ450" s="45" t="e">
        <f>VLOOKUP($R450,Dropdown!$C$3:$D$4,2,FALSE)</f>
        <v>#N/A</v>
      </c>
      <c r="EA450" s="68">
        <f t="shared" si="541"/>
        <v>0</v>
      </c>
      <c r="EB450" s="68" t="str">
        <f t="shared" si="542"/>
        <v>N/A</v>
      </c>
      <c r="EC450" s="68">
        <f t="shared" si="543"/>
        <v>0</v>
      </c>
      <c r="ED450" s="68" t="str">
        <f t="shared" si="581"/>
        <v>N/A</v>
      </c>
      <c r="EF450" s="56">
        <v>436</v>
      </c>
      <c r="EG450" s="46">
        <f t="shared" si="544"/>
        <v>0</v>
      </c>
      <c r="EH450" s="68" t="e">
        <f t="shared" si="545"/>
        <v>#N/A</v>
      </c>
      <c r="EI450" s="68" t="e">
        <f t="shared" si="546"/>
        <v>#N/A</v>
      </c>
      <c r="EJ450" s="68" t="e">
        <f t="shared" si="547"/>
        <v>#N/A</v>
      </c>
      <c r="EK450" s="68" t="e">
        <f t="shared" si="548"/>
        <v>#N/A</v>
      </c>
      <c r="EL450" s="46">
        <f t="shared" si="549"/>
        <v>0</v>
      </c>
      <c r="EM450" s="46">
        <f t="shared" si="550"/>
        <v>0</v>
      </c>
    </row>
    <row r="451" spans="1:143">
      <c r="A451" s="89"/>
      <c r="B451" s="89"/>
      <c r="C451" s="89"/>
      <c r="D451" s="89"/>
      <c r="E451" s="89"/>
      <c r="F451" s="89"/>
      <c r="G451" s="34"/>
      <c r="H451" s="56">
        <f t="shared" si="551"/>
        <v>437</v>
      </c>
      <c r="I451" s="165"/>
      <c r="J451" s="163"/>
      <c r="K451" s="163"/>
      <c r="L451" s="164"/>
      <c r="M451" s="155"/>
      <c r="N451" s="155"/>
      <c r="O451" s="144"/>
      <c r="P451" s="159" t="str">
        <f>IFERROR(IF(O451&lt;&gt;"User Specified",IF(O451&lt;&gt;"", INDEX('Refrigerant GWPs'!$G$2:$G$154,MATCH(O451,'Refrigerant GWPs'!$A$2:$A$154,0)),""),U451),0)</f>
        <v/>
      </c>
      <c r="Q451" s="155"/>
      <c r="R451" s="155"/>
      <c r="S451" s="144"/>
      <c r="T451" s="159" t="str">
        <f>IF(S451&lt;&gt;"User Specified",IF(AND(S451&lt;&gt;"User Specified",S451&lt;&gt;""), INDEX('Refrigerant GWPs'!$G$2:$G$154,MATCH(S451,'Refrigerant GWPs'!$A$2:$A$154,0)),""),V451)</f>
        <v/>
      </c>
      <c r="U451" s="144"/>
      <c r="V451" s="144"/>
      <c r="W451" s="155"/>
      <c r="X451" s="155"/>
      <c r="Y451" s="144"/>
      <c r="Z451" s="159" t="str">
        <f>IF(AND(Y451&lt;&gt;"User Specified",Y451&lt;&gt;""), INDEX('Refrigerant GWPs'!$G$2:$G$154,MATCH(Y451,'Refrigerant GWPs'!$A$2:$A$154,0)),"")</f>
        <v/>
      </c>
      <c r="AA451" s="155"/>
      <c r="AB451" s="156"/>
      <c r="AC451" s="66"/>
      <c r="AD451" s="66"/>
      <c r="AE451" s="66"/>
      <c r="AF451" s="66"/>
      <c r="AG451" s="66"/>
      <c r="AH451" s="66"/>
      <c r="AI451" s="34"/>
      <c r="AJ451" s="88">
        <f t="shared" si="514"/>
        <v>0</v>
      </c>
      <c r="AK451" s="88">
        <f t="shared" si="515"/>
        <v>0</v>
      </c>
      <c r="AL451" s="88">
        <v>0</v>
      </c>
      <c r="AM451" s="88">
        <v>0</v>
      </c>
      <c r="AN451" s="81" t="str">
        <f t="shared" si="553"/>
        <v/>
      </c>
      <c r="AO451" s="88">
        <f t="shared" si="516"/>
        <v>0</v>
      </c>
      <c r="AP451" s="88">
        <f t="shared" si="517"/>
        <v>0</v>
      </c>
      <c r="AQ451" s="81" t="str">
        <f t="shared" si="518"/>
        <v/>
      </c>
      <c r="AS451" s="41" t="b">
        <f t="shared" si="519"/>
        <v>1</v>
      </c>
      <c r="AT451" s="38">
        <f t="shared" si="520"/>
        <v>0</v>
      </c>
      <c r="AU451" s="60">
        <f t="shared" si="521"/>
        <v>0</v>
      </c>
      <c r="AV451" s="41">
        <f t="shared" si="522"/>
        <v>0</v>
      </c>
      <c r="AW451" s="41" t="b">
        <f t="shared" si="523"/>
        <v>0</v>
      </c>
      <c r="AX451" t="str">
        <f t="shared" si="524"/>
        <v>+00</v>
      </c>
      <c r="AY451" t="str">
        <f t="shared" si="525"/>
        <v>+00</v>
      </c>
      <c r="BA451" s="47" t="b">
        <f t="shared" si="554"/>
        <v>1</v>
      </c>
      <c r="BB451" s="42" t="b">
        <f t="shared" si="555"/>
        <v>1</v>
      </c>
      <c r="BC451" s="42" t="b">
        <f t="shared" si="556"/>
        <v>0</v>
      </c>
      <c r="BD451" s="42" t="b">
        <f t="shared" si="557"/>
        <v>0</v>
      </c>
      <c r="BE451" s="70">
        <f t="shared" si="558"/>
        <v>0</v>
      </c>
      <c r="BF451" s="70">
        <f t="shared" si="559"/>
        <v>0</v>
      </c>
      <c r="BG451" s="34"/>
      <c r="BI451" s="47" t="b">
        <f t="shared" si="560"/>
        <v>1</v>
      </c>
      <c r="BJ451" s="47" t="b">
        <f t="shared" si="561"/>
        <v>1</v>
      </c>
      <c r="BK451" s="42" t="b">
        <f t="shared" si="562"/>
        <v>0</v>
      </c>
      <c r="BL451" s="42" t="b">
        <f t="shared" si="563"/>
        <v>0</v>
      </c>
      <c r="BM451" s="42">
        <f t="shared" si="564"/>
        <v>0</v>
      </c>
      <c r="BN451" s="42">
        <f t="shared" si="565"/>
        <v>0</v>
      </c>
      <c r="BP451" t="e">
        <f t="shared" si="566"/>
        <v>#N/A</v>
      </c>
      <c r="BQ451" t="e">
        <f t="shared" si="567"/>
        <v>#N/A</v>
      </c>
      <c r="BR451" t="e">
        <f t="shared" si="568"/>
        <v>#N/A</v>
      </c>
      <c r="BT451" s="60">
        <f t="shared" si="569"/>
        <v>0</v>
      </c>
      <c r="BU451" s="60">
        <f t="shared" si="570"/>
        <v>0</v>
      </c>
      <c r="BV451" s="60">
        <f t="shared" si="571"/>
        <v>0</v>
      </c>
      <c r="BW451" s="60">
        <f t="shared" si="572"/>
        <v>0</v>
      </c>
      <c r="BX451" s="60">
        <f t="shared" si="573"/>
        <v>0</v>
      </c>
      <c r="BY451" s="60">
        <f t="shared" si="574"/>
        <v>0</v>
      </c>
      <c r="BZ451" s="60">
        <f t="shared" si="575"/>
        <v>0</v>
      </c>
      <c r="CA451" s="60">
        <f t="shared" si="576"/>
        <v>0</v>
      </c>
      <c r="CB451" s="60" t="e">
        <f t="shared" si="526"/>
        <v>#N/A</v>
      </c>
      <c r="CC451" s="60">
        <f t="shared" si="527"/>
        <v>100000</v>
      </c>
      <c r="CD451" s="60" t="e">
        <f t="shared" si="528"/>
        <v>#N/A</v>
      </c>
      <c r="CE451" s="60">
        <f t="shared" si="529"/>
        <v>100000</v>
      </c>
      <c r="CF451" s="83" t="e">
        <f t="shared" si="577"/>
        <v>#N/A</v>
      </c>
      <c r="CG451" s="83">
        <f t="shared" si="578"/>
        <v>0</v>
      </c>
      <c r="CH451" s="83" t="e">
        <f t="shared" si="579"/>
        <v>#N/A</v>
      </c>
      <c r="CI451" s="83">
        <f t="shared" si="580"/>
        <v>0</v>
      </c>
      <c r="CJ451" s="86" t="e">
        <f t="shared" si="530"/>
        <v>#N/A</v>
      </c>
      <c r="CK451" s="82">
        <f t="shared" si="531"/>
        <v>5.3070370403969858E-3</v>
      </c>
      <c r="CL451" s="82" t="e">
        <f t="shared" si="532"/>
        <v>#N/A</v>
      </c>
      <c r="CM451" s="82">
        <f t="shared" si="533"/>
        <v>5.3070370403969858E-3</v>
      </c>
      <c r="CO451" s="149" t="str">
        <f>IF($I451&lt;&gt;"",IF(O451="User Specified",U451,INDEX('Refrigerant GWPs'!$G$2:$G$156,MATCH(O451,'Refrigerant GWPs'!$A$2:$A$156,0))),"")</f>
        <v/>
      </c>
      <c r="CP451" s="138" t="str">
        <f>IF($I451&lt;&gt;"",INDEX('Device Refrigerant Leakage'!$E$2:$E$42,MATCH($M451,'Device Refrigerant Leakage'!$B$2:$B$42,0)),"")</f>
        <v/>
      </c>
      <c r="CQ451" s="138" t="str">
        <f>IF($I451&lt;&gt;"",INDEX('Device Refrigerant Leakage'!$F$2:$F$42,MATCH($M451,'Device Refrigerant Leakage'!$B$2:$B$42,0)),"")</f>
        <v/>
      </c>
      <c r="CR451" s="145" t="str">
        <f>IF($I451&lt;&gt;"",INDEX('Device Refrigerant Leakage'!$G$2:$G$42,MATCH($M451,'Device Refrigerant Leakage'!$B$2:$B$42,0)),"")</f>
        <v/>
      </c>
      <c r="CS451" s="145" t="str">
        <f>IF($I451&lt;&gt;"",INDEX('Device Refrigerant Leakage'!$D$2:$D$42,MATCH($M451,'Device Refrigerant Leakage'!$B$2:$B$42,0))*CP451/2204.62*CO451,"")</f>
        <v/>
      </c>
      <c r="CT451" s="145" t="str">
        <f>IF($I451&lt;&gt;"",J451*(INDEX('Device Refrigerant Leakage'!$D$2:$D$42,MATCH($M451,'Device Refrigerant Leakage'!$B$2:$B$42,0))-(INDEX('Device Refrigerant Leakage'!$D$2:$D$42,MATCH($M451,'Device Refrigerant Leakage'!$B$2:$B$42,0)))*CR451*CP451)*CQ451/2204.62*CO451,"")</f>
        <v/>
      </c>
      <c r="CU451" s="135" t="str">
        <f>IF($I451&lt;&gt;"",J451*IF(W451&lt;&gt;"AR",(CS451*K451)+CT451,(CS451*AB451)+CT451*(AB451/INDEX('Device Refrigerant Leakage'!$C$2:$C$42,MATCH($M451,'Device Refrigerant Leakage'!$B$2:$B$42,0)))),"")</f>
        <v/>
      </c>
      <c r="CW451" s="135" t="str">
        <f>IF($I451&lt;&gt;"",IF(S451="User Specified",V451,INDEX('Refrigerant GWPs'!$G$2:$G$156,MATCH(S451,'Refrigerant GWPs'!$A$2:$A$157,0))),"")</f>
        <v/>
      </c>
      <c r="CX451" s="138" t="str">
        <f>IF($I451&lt;&gt;"",INDEX('Device Refrigerant Leakage'!$E$2:$E$42,MATCH($Q451,'Device Refrigerant Leakage'!$B$2:$B$42,0)),"")</f>
        <v/>
      </c>
      <c r="CY451" s="138" t="str">
        <f>IF($I451&lt;&gt;"",INDEX('Device Refrigerant Leakage'!$F$2:$F$42,MATCH($Q451,'Device Refrigerant Leakage'!$B$2:$B$42,0)),"")</f>
        <v/>
      </c>
      <c r="CZ451" s="145" t="str">
        <f>IF($I451&lt;&gt;"",INDEX('Device Refrigerant Leakage'!$G$2:$G$42,MATCH($Q451,'Device Refrigerant Leakage'!$B$2:$B$42,0)),"")</f>
        <v/>
      </c>
      <c r="DA451" s="145" t="str">
        <f>IF($I451&lt;&gt;"",J451*INDEX('Device Refrigerant Leakage'!$D$2:$D$42,MATCH($Q451,'Device Refrigerant Leakage'!$B$2:$B$42,0))*CX451/2204.62*CW451,"")</f>
        <v/>
      </c>
      <c r="DB451" s="145" t="str">
        <f>IF($I451&lt;&gt;"",J451*(INDEX('Device Refrigerant Leakage'!$D$2:$D$42,MATCH($Q451,'Device Refrigerant Leakage'!$B$2:$B$42,0))-(INDEX('Device Refrigerant Leakage'!$D$2:$D$42,MATCH($Q451,'Device Refrigerant Leakage'!$B$2:$B$42,0)))*CZ451*CX451)*CY451/2204.62*CW451,"")</f>
        <v/>
      </c>
      <c r="DC451" s="135" t="str">
        <f t="shared" si="552"/>
        <v/>
      </c>
      <c r="DE451" s="146" t="str">
        <f>IF(W451&lt;&gt;"AR","",IF(Y451="User Specified", AA451, INDEX('Refrigerant GWPs'!$G$2:$G$154,MATCH(Y451,'Refrigerant GWPs'!$A$2:$A$154,0))))</f>
        <v/>
      </c>
      <c r="DF451" s="146" t="str">
        <f>IF(W451&lt;&gt;"AR","",INDEX('Device Refrigerant Leakage'!$E$2:$E$42,MATCH(X451,'Device Refrigerant Leakage'!$B$2:$B$42,0)))</f>
        <v/>
      </c>
      <c r="DG451" s="146" t="str">
        <f>IF(W451&lt;&gt;"AR","",INDEX('Device Refrigerant Leakage'!$F$2:$F$42,MATCH(X451,'Device Refrigerant Leakage'!$B$2:$B$42,0)))</f>
        <v/>
      </c>
      <c r="DH451" s="146" t="str">
        <f>IF(W451&lt;&gt;"AR","",INDEX('Device Refrigerant Leakage'!$G$2:$G$42,MATCH(X451,'Device Refrigerant Leakage'!$B$2:$B$42,0)))</f>
        <v/>
      </c>
      <c r="DI451" s="146" t="str">
        <f>IF(W451&lt;&gt;"AR","",J451*INDEX('Device Refrigerant Leakage'!$D$2:$D$42,MATCH(X451,'Device Refrigerant Leakage'!$B$2:$B$42,0))*DF451/2204.62*DE451)</f>
        <v/>
      </c>
      <c r="DJ451" s="146" t="str">
        <f>IF(W451&lt;&gt;"AR","",J451*(INDEX('Device Refrigerant Leakage'!$D$2:$D$42,MATCH(X451,'Device Refrigerant Leakage'!$B$2:$B$42,0))-(INDEX('Device Refrigerant Leakage'!$D$2:$D$42,MATCH(X451,'Device Refrigerant Leakage'!$B$2:$B$42,0)))*DH451*DF451)*DG451/2204.62*DE451)</f>
        <v/>
      </c>
      <c r="DK451" s="146" t="str">
        <f>IF(W451&lt;&gt;"AR","",DI451*(K451-AB451)+'Fuel Sub Calcs-Deemed'!DJ451*((K451-AB451)/INDEX('Device Refrigerant Leakage'!$C$2:$C$42,MATCH('Fuel Sub Calcs-Deemed'!X451,'Device Refrigerant Leakage'!$B$2:$B$42,0))))</f>
        <v/>
      </c>
      <c r="DM451" s="56">
        <v>437</v>
      </c>
      <c r="DN451" s="67" t="e">
        <f t="shared" si="534"/>
        <v>#N/A</v>
      </c>
      <c r="DO451" s="45" t="e">
        <f t="shared" si="535"/>
        <v>#N/A</v>
      </c>
      <c r="DP451" s="67" t="e">
        <f t="shared" si="536"/>
        <v>#N/A</v>
      </c>
      <c r="DQ451" s="45" t="e">
        <f t="shared" si="537"/>
        <v>#N/A</v>
      </c>
      <c r="DR451" s="69" t="e">
        <f t="shared" si="538"/>
        <v>#N/A</v>
      </c>
      <c r="DS451" s="34"/>
      <c r="DT451" s="67" t="e">
        <f>((BX451*CJ451)+IF($W451=MAT_AR,(BZ451*CL451),0))*(1+Reference!$E$50+Reference!$E$51)</f>
        <v>#N/A</v>
      </c>
      <c r="DU451" s="67">
        <f>((BY451*CK451)+IF($W451=MAT_AR,(CA451*CM451),0))*(1+Reference!$G$50+Reference!$G$51)</f>
        <v>0</v>
      </c>
      <c r="DV451" s="67" t="e">
        <f t="shared" si="539"/>
        <v>#VALUE!</v>
      </c>
      <c r="DX451" s="56">
        <v>437</v>
      </c>
      <c r="DY451" s="67">
        <f t="shared" si="540"/>
        <v>0</v>
      </c>
      <c r="DZ451" s="45" t="e">
        <f>VLOOKUP($R451,Dropdown!$C$3:$D$4,2,FALSE)</f>
        <v>#N/A</v>
      </c>
      <c r="EA451" s="68">
        <f t="shared" si="541"/>
        <v>0</v>
      </c>
      <c r="EB451" s="68" t="str">
        <f t="shared" si="542"/>
        <v>N/A</v>
      </c>
      <c r="EC451" s="68">
        <f t="shared" si="543"/>
        <v>0</v>
      </c>
      <c r="ED451" s="68" t="str">
        <f t="shared" si="581"/>
        <v>N/A</v>
      </c>
      <c r="EF451" s="56">
        <v>437</v>
      </c>
      <c r="EG451" s="46">
        <f t="shared" si="544"/>
        <v>0</v>
      </c>
      <c r="EH451" s="68" t="e">
        <f t="shared" si="545"/>
        <v>#N/A</v>
      </c>
      <c r="EI451" s="68" t="e">
        <f t="shared" si="546"/>
        <v>#N/A</v>
      </c>
      <c r="EJ451" s="68" t="e">
        <f t="shared" si="547"/>
        <v>#N/A</v>
      </c>
      <c r="EK451" s="68" t="e">
        <f t="shared" si="548"/>
        <v>#N/A</v>
      </c>
      <c r="EL451" s="46">
        <f t="shared" si="549"/>
        <v>0</v>
      </c>
      <c r="EM451" s="46">
        <f t="shared" si="550"/>
        <v>0</v>
      </c>
    </row>
    <row r="452" spans="1:143">
      <c r="A452" s="89"/>
      <c r="B452" s="89"/>
      <c r="C452" s="89"/>
      <c r="D452" s="89"/>
      <c r="E452" s="89"/>
      <c r="F452" s="89"/>
      <c r="G452" s="34"/>
      <c r="H452" s="56">
        <f t="shared" si="551"/>
        <v>438</v>
      </c>
      <c r="I452" s="165"/>
      <c r="J452" s="163"/>
      <c r="K452" s="163"/>
      <c r="L452" s="164"/>
      <c r="M452" s="155"/>
      <c r="N452" s="155"/>
      <c r="O452" s="144"/>
      <c r="P452" s="159" t="str">
        <f>IFERROR(IF(O452&lt;&gt;"User Specified",IF(O452&lt;&gt;"", INDEX('Refrigerant GWPs'!$G$2:$G$154,MATCH(O452,'Refrigerant GWPs'!$A$2:$A$154,0)),""),U452),0)</f>
        <v/>
      </c>
      <c r="Q452" s="155"/>
      <c r="R452" s="155"/>
      <c r="S452" s="144"/>
      <c r="T452" s="159" t="str">
        <f>IF(S452&lt;&gt;"User Specified",IF(AND(S452&lt;&gt;"User Specified",S452&lt;&gt;""), INDEX('Refrigerant GWPs'!$G$2:$G$154,MATCH(S452,'Refrigerant GWPs'!$A$2:$A$154,0)),""),V452)</f>
        <v/>
      </c>
      <c r="U452" s="144"/>
      <c r="V452" s="144"/>
      <c r="W452" s="155"/>
      <c r="X452" s="155"/>
      <c r="Y452" s="144"/>
      <c r="Z452" s="159" t="str">
        <f>IF(AND(Y452&lt;&gt;"User Specified",Y452&lt;&gt;""), INDEX('Refrigerant GWPs'!$G$2:$G$154,MATCH(Y452,'Refrigerant GWPs'!$A$2:$A$154,0)),"")</f>
        <v/>
      </c>
      <c r="AA452" s="155"/>
      <c r="AB452" s="156"/>
      <c r="AC452" s="66"/>
      <c r="AD452" s="66"/>
      <c r="AE452" s="66"/>
      <c r="AF452" s="66"/>
      <c r="AG452" s="66"/>
      <c r="AH452" s="66"/>
      <c r="AI452" s="34"/>
      <c r="AJ452" s="88">
        <f t="shared" si="514"/>
        <v>0</v>
      </c>
      <c r="AK452" s="88">
        <f t="shared" si="515"/>
        <v>0</v>
      </c>
      <c r="AL452" s="88">
        <v>0</v>
      </c>
      <c r="AM452" s="88">
        <v>0</v>
      </c>
      <c r="AN452" s="81" t="str">
        <f t="shared" si="553"/>
        <v/>
      </c>
      <c r="AO452" s="88">
        <f t="shared" si="516"/>
        <v>0</v>
      </c>
      <c r="AP452" s="88">
        <f t="shared" si="517"/>
        <v>0</v>
      </c>
      <c r="AQ452" s="81" t="str">
        <f t="shared" si="518"/>
        <v/>
      </c>
      <c r="AS452" s="41" t="b">
        <f t="shared" si="519"/>
        <v>1</v>
      </c>
      <c r="AT452" s="38">
        <f t="shared" si="520"/>
        <v>0</v>
      </c>
      <c r="AU452" s="60">
        <f t="shared" si="521"/>
        <v>0</v>
      </c>
      <c r="AV452" s="41">
        <f t="shared" si="522"/>
        <v>0</v>
      </c>
      <c r="AW452" s="41" t="b">
        <f t="shared" si="523"/>
        <v>0</v>
      </c>
      <c r="AX452" t="str">
        <f t="shared" si="524"/>
        <v>+00</v>
      </c>
      <c r="AY452" t="str">
        <f t="shared" si="525"/>
        <v>+00</v>
      </c>
      <c r="BA452" s="47" t="b">
        <f t="shared" si="554"/>
        <v>1</v>
      </c>
      <c r="BB452" s="42" t="b">
        <f t="shared" si="555"/>
        <v>1</v>
      </c>
      <c r="BC452" s="42" t="b">
        <f t="shared" si="556"/>
        <v>0</v>
      </c>
      <c r="BD452" s="42" t="b">
        <f t="shared" si="557"/>
        <v>0</v>
      </c>
      <c r="BE452" s="70">
        <f t="shared" si="558"/>
        <v>0</v>
      </c>
      <c r="BF452" s="70">
        <f t="shared" si="559"/>
        <v>0</v>
      </c>
      <c r="BG452" s="34"/>
      <c r="BI452" s="47" t="b">
        <f t="shared" si="560"/>
        <v>1</v>
      </c>
      <c r="BJ452" s="47" t="b">
        <f t="shared" si="561"/>
        <v>1</v>
      </c>
      <c r="BK452" s="42" t="b">
        <f t="shared" si="562"/>
        <v>0</v>
      </c>
      <c r="BL452" s="42" t="b">
        <f t="shared" si="563"/>
        <v>0</v>
      </c>
      <c r="BM452" s="42">
        <f t="shared" si="564"/>
        <v>0</v>
      </c>
      <c r="BN452" s="42">
        <f t="shared" si="565"/>
        <v>0</v>
      </c>
      <c r="BP452" t="e">
        <f t="shared" si="566"/>
        <v>#N/A</v>
      </c>
      <c r="BQ452" t="e">
        <f t="shared" si="567"/>
        <v>#N/A</v>
      </c>
      <c r="BR452" t="e">
        <f t="shared" si="568"/>
        <v>#N/A</v>
      </c>
      <c r="BT452" s="60">
        <f t="shared" si="569"/>
        <v>0</v>
      </c>
      <c r="BU452" s="60">
        <f t="shared" si="570"/>
        <v>0</v>
      </c>
      <c r="BV452" s="60">
        <f t="shared" si="571"/>
        <v>0</v>
      </c>
      <c r="BW452" s="60">
        <f t="shared" si="572"/>
        <v>0</v>
      </c>
      <c r="BX452" s="60">
        <f t="shared" si="573"/>
        <v>0</v>
      </c>
      <c r="BY452" s="60">
        <f t="shared" si="574"/>
        <v>0</v>
      </c>
      <c r="BZ452" s="60">
        <f t="shared" si="575"/>
        <v>0</v>
      </c>
      <c r="CA452" s="60">
        <f t="shared" si="576"/>
        <v>0</v>
      </c>
      <c r="CB452" s="60" t="e">
        <f t="shared" si="526"/>
        <v>#N/A</v>
      </c>
      <c r="CC452" s="60">
        <f t="shared" si="527"/>
        <v>100000</v>
      </c>
      <c r="CD452" s="60" t="e">
        <f t="shared" si="528"/>
        <v>#N/A</v>
      </c>
      <c r="CE452" s="60">
        <f t="shared" si="529"/>
        <v>100000</v>
      </c>
      <c r="CF452" s="83" t="e">
        <f t="shared" si="577"/>
        <v>#N/A</v>
      </c>
      <c r="CG452" s="83">
        <f t="shared" si="578"/>
        <v>0</v>
      </c>
      <c r="CH452" s="83" t="e">
        <f t="shared" si="579"/>
        <v>#N/A</v>
      </c>
      <c r="CI452" s="83">
        <f t="shared" si="580"/>
        <v>0</v>
      </c>
      <c r="CJ452" s="86" t="e">
        <f t="shared" si="530"/>
        <v>#N/A</v>
      </c>
      <c r="CK452" s="82">
        <f t="shared" si="531"/>
        <v>5.3070370403969858E-3</v>
      </c>
      <c r="CL452" s="82" t="e">
        <f t="shared" si="532"/>
        <v>#N/A</v>
      </c>
      <c r="CM452" s="82">
        <f t="shared" si="533"/>
        <v>5.3070370403969858E-3</v>
      </c>
      <c r="CO452" s="149" t="str">
        <f>IF($I452&lt;&gt;"",IF(O452="User Specified",U452,INDEX('Refrigerant GWPs'!$G$2:$G$156,MATCH(O452,'Refrigerant GWPs'!$A$2:$A$156,0))),"")</f>
        <v/>
      </c>
      <c r="CP452" s="138" t="str">
        <f>IF($I452&lt;&gt;"",INDEX('Device Refrigerant Leakage'!$E$2:$E$42,MATCH($M452,'Device Refrigerant Leakage'!$B$2:$B$42,0)),"")</f>
        <v/>
      </c>
      <c r="CQ452" s="138" t="str">
        <f>IF($I452&lt;&gt;"",INDEX('Device Refrigerant Leakage'!$F$2:$F$42,MATCH($M452,'Device Refrigerant Leakage'!$B$2:$B$42,0)),"")</f>
        <v/>
      </c>
      <c r="CR452" s="145" t="str">
        <f>IF($I452&lt;&gt;"",INDEX('Device Refrigerant Leakage'!$G$2:$G$42,MATCH($M452,'Device Refrigerant Leakage'!$B$2:$B$42,0)),"")</f>
        <v/>
      </c>
      <c r="CS452" s="145" t="str">
        <f>IF($I452&lt;&gt;"",INDEX('Device Refrigerant Leakage'!$D$2:$D$42,MATCH($M452,'Device Refrigerant Leakage'!$B$2:$B$42,0))*CP452/2204.62*CO452,"")</f>
        <v/>
      </c>
      <c r="CT452" s="145" t="str">
        <f>IF($I452&lt;&gt;"",J452*(INDEX('Device Refrigerant Leakage'!$D$2:$D$42,MATCH($M452,'Device Refrigerant Leakage'!$B$2:$B$42,0))-(INDEX('Device Refrigerant Leakage'!$D$2:$D$42,MATCH($M452,'Device Refrigerant Leakage'!$B$2:$B$42,0)))*CR452*CP452)*CQ452/2204.62*CO452,"")</f>
        <v/>
      </c>
      <c r="CU452" s="135" t="str">
        <f>IF($I452&lt;&gt;"",J452*IF(W452&lt;&gt;"AR",(CS452*K452)+CT452,(CS452*AB452)+CT452*(AB452/INDEX('Device Refrigerant Leakage'!$C$2:$C$42,MATCH($M452,'Device Refrigerant Leakage'!$B$2:$B$42,0)))),"")</f>
        <v/>
      </c>
      <c r="CW452" s="135" t="str">
        <f>IF($I452&lt;&gt;"",IF(S452="User Specified",V452,INDEX('Refrigerant GWPs'!$G$2:$G$156,MATCH(S452,'Refrigerant GWPs'!$A$2:$A$157,0))),"")</f>
        <v/>
      </c>
      <c r="CX452" s="138" t="str">
        <f>IF($I452&lt;&gt;"",INDEX('Device Refrigerant Leakage'!$E$2:$E$42,MATCH($Q452,'Device Refrigerant Leakage'!$B$2:$B$42,0)),"")</f>
        <v/>
      </c>
      <c r="CY452" s="138" t="str">
        <f>IF($I452&lt;&gt;"",INDEX('Device Refrigerant Leakage'!$F$2:$F$42,MATCH($Q452,'Device Refrigerant Leakage'!$B$2:$B$42,0)),"")</f>
        <v/>
      </c>
      <c r="CZ452" s="145" t="str">
        <f>IF($I452&lt;&gt;"",INDEX('Device Refrigerant Leakage'!$G$2:$G$42,MATCH($Q452,'Device Refrigerant Leakage'!$B$2:$B$42,0)),"")</f>
        <v/>
      </c>
      <c r="DA452" s="145" t="str">
        <f>IF($I452&lt;&gt;"",J452*INDEX('Device Refrigerant Leakage'!$D$2:$D$42,MATCH($Q452,'Device Refrigerant Leakage'!$B$2:$B$42,0))*CX452/2204.62*CW452,"")</f>
        <v/>
      </c>
      <c r="DB452" s="145" t="str">
        <f>IF($I452&lt;&gt;"",J452*(INDEX('Device Refrigerant Leakage'!$D$2:$D$42,MATCH($Q452,'Device Refrigerant Leakage'!$B$2:$B$42,0))-(INDEX('Device Refrigerant Leakage'!$D$2:$D$42,MATCH($Q452,'Device Refrigerant Leakage'!$B$2:$B$42,0)))*CZ452*CX452)*CY452/2204.62*CW452,"")</f>
        <v/>
      </c>
      <c r="DC452" s="135" t="str">
        <f t="shared" si="552"/>
        <v/>
      </c>
      <c r="DE452" s="146" t="str">
        <f>IF(W452&lt;&gt;"AR","",IF(Y452="User Specified", AA452, INDEX('Refrigerant GWPs'!$G$2:$G$154,MATCH(Y452,'Refrigerant GWPs'!$A$2:$A$154,0))))</f>
        <v/>
      </c>
      <c r="DF452" s="146" t="str">
        <f>IF(W452&lt;&gt;"AR","",INDEX('Device Refrigerant Leakage'!$E$2:$E$42,MATCH(X452,'Device Refrigerant Leakage'!$B$2:$B$42,0)))</f>
        <v/>
      </c>
      <c r="DG452" s="146" t="str">
        <f>IF(W452&lt;&gt;"AR","",INDEX('Device Refrigerant Leakage'!$F$2:$F$42,MATCH(X452,'Device Refrigerant Leakage'!$B$2:$B$42,0)))</f>
        <v/>
      </c>
      <c r="DH452" s="146" t="str">
        <f>IF(W452&lt;&gt;"AR","",INDEX('Device Refrigerant Leakage'!$G$2:$G$42,MATCH(X452,'Device Refrigerant Leakage'!$B$2:$B$42,0)))</f>
        <v/>
      </c>
      <c r="DI452" s="146" t="str">
        <f>IF(W452&lt;&gt;"AR","",J452*INDEX('Device Refrigerant Leakage'!$D$2:$D$42,MATCH(X452,'Device Refrigerant Leakage'!$B$2:$B$42,0))*DF452/2204.62*DE452)</f>
        <v/>
      </c>
      <c r="DJ452" s="146" t="str">
        <f>IF(W452&lt;&gt;"AR","",J452*(INDEX('Device Refrigerant Leakage'!$D$2:$D$42,MATCH(X452,'Device Refrigerant Leakage'!$B$2:$B$42,0))-(INDEX('Device Refrigerant Leakage'!$D$2:$D$42,MATCH(X452,'Device Refrigerant Leakage'!$B$2:$B$42,0)))*DH452*DF452)*DG452/2204.62*DE452)</f>
        <v/>
      </c>
      <c r="DK452" s="146" t="str">
        <f>IF(W452&lt;&gt;"AR","",DI452*(K452-AB452)+'Fuel Sub Calcs-Deemed'!DJ452*((K452-AB452)/INDEX('Device Refrigerant Leakage'!$C$2:$C$42,MATCH('Fuel Sub Calcs-Deemed'!X452,'Device Refrigerant Leakage'!$B$2:$B$42,0))))</f>
        <v/>
      </c>
      <c r="DM452" s="56">
        <v>438</v>
      </c>
      <c r="DN452" s="67" t="e">
        <f t="shared" si="534"/>
        <v>#N/A</v>
      </c>
      <c r="DO452" s="45" t="e">
        <f t="shared" si="535"/>
        <v>#N/A</v>
      </c>
      <c r="DP452" s="67" t="e">
        <f t="shared" si="536"/>
        <v>#N/A</v>
      </c>
      <c r="DQ452" s="45" t="e">
        <f t="shared" si="537"/>
        <v>#N/A</v>
      </c>
      <c r="DR452" s="69" t="e">
        <f t="shared" si="538"/>
        <v>#N/A</v>
      </c>
      <c r="DS452" s="34"/>
      <c r="DT452" s="67" t="e">
        <f>((BX452*CJ452)+IF($W452=MAT_AR,(BZ452*CL452),0))*(1+Reference!$E$50+Reference!$E$51)</f>
        <v>#N/A</v>
      </c>
      <c r="DU452" s="67">
        <f>((BY452*CK452)+IF($W452=MAT_AR,(CA452*CM452),0))*(1+Reference!$G$50+Reference!$G$51)</f>
        <v>0</v>
      </c>
      <c r="DV452" s="67" t="e">
        <f t="shared" si="539"/>
        <v>#VALUE!</v>
      </c>
      <c r="DX452" s="56">
        <v>438</v>
      </c>
      <c r="DY452" s="67">
        <f t="shared" si="540"/>
        <v>0</v>
      </c>
      <c r="DZ452" s="45" t="e">
        <f>VLOOKUP($R452,Dropdown!$C$3:$D$4,2,FALSE)</f>
        <v>#N/A</v>
      </c>
      <c r="EA452" s="68">
        <f t="shared" si="541"/>
        <v>0</v>
      </c>
      <c r="EB452" s="68" t="str">
        <f t="shared" si="542"/>
        <v>N/A</v>
      </c>
      <c r="EC452" s="68">
        <f t="shared" si="543"/>
        <v>0</v>
      </c>
      <c r="ED452" s="68" t="str">
        <f t="shared" si="581"/>
        <v>N/A</v>
      </c>
      <c r="EF452" s="56">
        <v>438</v>
      </c>
      <c r="EG452" s="46">
        <f t="shared" si="544"/>
        <v>0</v>
      </c>
      <c r="EH452" s="68" t="e">
        <f t="shared" si="545"/>
        <v>#N/A</v>
      </c>
      <c r="EI452" s="68" t="e">
        <f t="shared" si="546"/>
        <v>#N/A</v>
      </c>
      <c r="EJ452" s="68" t="e">
        <f t="shared" si="547"/>
        <v>#N/A</v>
      </c>
      <c r="EK452" s="68" t="e">
        <f t="shared" si="548"/>
        <v>#N/A</v>
      </c>
      <c r="EL452" s="46">
        <f t="shared" si="549"/>
        <v>0</v>
      </c>
      <c r="EM452" s="46">
        <f t="shared" si="550"/>
        <v>0</v>
      </c>
    </row>
    <row r="453" spans="1:143">
      <c r="A453" s="89"/>
      <c r="B453" s="89"/>
      <c r="C453" s="89"/>
      <c r="D453" s="89"/>
      <c r="E453" s="89"/>
      <c r="F453" s="89"/>
      <c r="G453" s="34"/>
      <c r="H453" s="56">
        <f t="shared" si="551"/>
        <v>439</v>
      </c>
      <c r="I453" s="165"/>
      <c r="J453" s="163"/>
      <c r="K453" s="163"/>
      <c r="L453" s="164"/>
      <c r="M453" s="155"/>
      <c r="N453" s="155"/>
      <c r="O453" s="144"/>
      <c r="P453" s="159" t="str">
        <f>IFERROR(IF(O453&lt;&gt;"User Specified",IF(O453&lt;&gt;"", INDEX('Refrigerant GWPs'!$G$2:$G$154,MATCH(O453,'Refrigerant GWPs'!$A$2:$A$154,0)),""),U453),0)</f>
        <v/>
      </c>
      <c r="Q453" s="155"/>
      <c r="R453" s="155"/>
      <c r="S453" s="144"/>
      <c r="T453" s="159" t="str">
        <f>IF(S453&lt;&gt;"User Specified",IF(AND(S453&lt;&gt;"User Specified",S453&lt;&gt;""), INDEX('Refrigerant GWPs'!$G$2:$G$154,MATCH(S453,'Refrigerant GWPs'!$A$2:$A$154,0)),""),V453)</f>
        <v/>
      </c>
      <c r="U453" s="144"/>
      <c r="V453" s="144"/>
      <c r="W453" s="155"/>
      <c r="X453" s="155"/>
      <c r="Y453" s="144"/>
      <c r="Z453" s="159" t="str">
        <f>IF(AND(Y453&lt;&gt;"User Specified",Y453&lt;&gt;""), INDEX('Refrigerant GWPs'!$G$2:$G$154,MATCH(Y453,'Refrigerant GWPs'!$A$2:$A$154,0)),"")</f>
        <v/>
      </c>
      <c r="AA453" s="155"/>
      <c r="AB453" s="156"/>
      <c r="AC453" s="66"/>
      <c r="AD453" s="66"/>
      <c r="AE453" s="66"/>
      <c r="AF453" s="66"/>
      <c r="AG453" s="66"/>
      <c r="AH453" s="66"/>
      <c r="AI453" s="34"/>
      <c r="AJ453" s="88">
        <f t="shared" si="514"/>
        <v>0</v>
      </c>
      <c r="AK453" s="88">
        <f t="shared" si="515"/>
        <v>0</v>
      </c>
      <c r="AL453" s="88">
        <v>0</v>
      </c>
      <c r="AM453" s="88">
        <v>0</v>
      </c>
      <c r="AN453" s="81" t="str">
        <f t="shared" si="553"/>
        <v/>
      </c>
      <c r="AO453" s="88">
        <f t="shared" si="516"/>
        <v>0</v>
      </c>
      <c r="AP453" s="88">
        <f t="shared" si="517"/>
        <v>0</v>
      </c>
      <c r="AQ453" s="81" t="str">
        <f t="shared" si="518"/>
        <v/>
      </c>
      <c r="AS453" s="41" t="b">
        <f t="shared" si="519"/>
        <v>1</v>
      </c>
      <c r="AT453" s="38">
        <f t="shared" si="520"/>
        <v>0</v>
      </c>
      <c r="AU453" s="60">
        <f t="shared" si="521"/>
        <v>0</v>
      </c>
      <c r="AV453" s="41">
        <f t="shared" si="522"/>
        <v>0</v>
      </c>
      <c r="AW453" s="41" t="b">
        <f t="shared" si="523"/>
        <v>0</v>
      </c>
      <c r="AX453" t="str">
        <f t="shared" si="524"/>
        <v>+00</v>
      </c>
      <c r="AY453" t="str">
        <f t="shared" si="525"/>
        <v>+00</v>
      </c>
      <c r="BA453" s="47" t="b">
        <f t="shared" si="554"/>
        <v>1</v>
      </c>
      <c r="BB453" s="42" t="b">
        <f t="shared" si="555"/>
        <v>1</v>
      </c>
      <c r="BC453" s="42" t="b">
        <f t="shared" si="556"/>
        <v>0</v>
      </c>
      <c r="BD453" s="42" t="b">
        <f t="shared" si="557"/>
        <v>0</v>
      </c>
      <c r="BE453" s="70">
        <f t="shared" si="558"/>
        <v>0</v>
      </c>
      <c r="BF453" s="70">
        <f t="shared" si="559"/>
        <v>0</v>
      </c>
      <c r="BG453" s="34"/>
      <c r="BI453" s="47" t="b">
        <f t="shared" si="560"/>
        <v>1</v>
      </c>
      <c r="BJ453" s="47" t="b">
        <f t="shared" si="561"/>
        <v>1</v>
      </c>
      <c r="BK453" s="42" t="b">
        <f t="shared" si="562"/>
        <v>0</v>
      </c>
      <c r="BL453" s="42" t="b">
        <f t="shared" si="563"/>
        <v>0</v>
      </c>
      <c r="BM453" s="42">
        <f t="shared" si="564"/>
        <v>0</v>
      </c>
      <c r="BN453" s="42">
        <f t="shared" si="565"/>
        <v>0</v>
      </c>
      <c r="BP453" t="e">
        <f t="shared" si="566"/>
        <v>#N/A</v>
      </c>
      <c r="BQ453" t="e">
        <f t="shared" si="567"/>
        <v>#N/A</v>
      </c>
      <c r="BR453" t="e">
        <f t="shared" si="568"/>
        <v>#N/A</v>
      </c>
      <c r="BT453" s="60">
        <f t="shared" si="569"/>
        <v>0</v>
      </c>
      <c r="BU453" s="60">
        <f t="shared" si="570"/>
        <v>0</v>
      </c>
      <c r="BV453" s="60">
        <f t="shared" si="571"/>
        <v>0</v>
      </c>
      <c r="BW453" s="60">
        <f t="shared" si="572"/>
        <v>0</v>
      </c>
      <c r="BX453" s="60">
        <f t="shared" si="573"/>
        <v>0</v>
      </c>
      <c r="BY453" s="60">
        <f t="shared" si="574"/>
        <v>0</v>
      </c>
      <c r="BZ453" s="60">
        <f t="shared" si="575"/>
        <v>0</v>
      </c>
      <c r="CA453" s="60">
        <f t="shared" si="576"/>
        <v>0</v>
      </c>
      <c r="CB453" s="60" t="e">
        <f t="shared" si="526"/>
        <v>#N/A</v>
      </c>
      <c r="CC453" s="60">
        <f t="shared" si="527"/>
        <v>100000</v>
      </c>
      <c r="CD453" s="60" t="e">
        <f t="shared" si="528"/>
        <v>#N/A</v>
      </c>
      <c r="CE453" s="60">
        <f t="shared" si="529"/>
        <v>100000</v>
      </c>
      <c r="CF453" s="83" t="e">
        <f t="shared" si="577"/>
        <v>#N/A</v>
      </c>
      <c r="CG453" s="83">
        <f t="shared" si="578"/>
        <v>0</v>
      </c>
      <c r="CH453" s="83" t="e">
        <f t="shared" si="579"/>
        <v>#N/A</v>
      </c>
      <c r="CI453" s="83">
        <f t="shared" si="580"/>
        <v>0</v>
      </c>
      <c r="CJ453" s="86" t="e">
        <f t="shared" si="530"/>
        <v>#N/A</v>
      </c>
      <c r="CK453" s="82">
        <f t="shared" si="531"/>
        <v>5.3070370403969858E-3</v>
      </c>
      <c r="CL453" s="82" t="e">
        <f t="shared" si="532"/>
        <v>#N/A</v>
      </c>
      <c r="CM453" s="82">
        <f t="shared" si="533"/>
        <v>5.3070370403969858E-3</v>
      </c>
      <c r="CO453" s="149" t="str">
        <f>IF($I453&lt;&gt;"",IF(O453="User Specified",U453,INDEX('Refrigerant GWPs'!$G$2:$G$156,MATCH(O453,'Refrigerant GWPs'!$A$2:$A$156,0))),"")</f>
        <v/>
      </c>
      <c r="CP453" s="138" t="str">
        <f>IF($I453&lt;&gt;"",INDEX('Device Refrigerant Leakage'!$E$2:$E$42,MATCH($M453,'Device Refrigerant Leakage'!$B$2:$B$42,0)),"")</f>
        <v/>
      </c>
      <c r="CQ453" s="138" t="str">
        <f>IF($I453&lt;&gt;"",INDEX('Device Refrigerant Leakage'!$F$2:$F$42,MATCH($M453,'Device Refrigerant Leakage'!$B$2:$B$42,0)),"")</f>
        <v/>
      </c>
      <c r="CR453" s="145" t="str">
        <f>IF($I453&lt;&gt;"",INDEX('Device Refrigerant Leakage'!$G$2:$G$42,MATCH($M453,'Device Refrigerant Leakage'!$B$2:$B$42,0)),"")</f>
        <v/>
      </c>
      <c r="CS453" s="145" t="str">
        <f>IF($I453&lt;&gt;"",INDEX('Device Refrigerant Leakage'!$D$2:$D$42,MATCH($M453,'Device Refrigerant Leakage'!$B$2:$B$42,0))*CP453/2204.62*CO453,"")</f>
        <v/>
      </c>
      <c r="CT453" s="145" t="str">
        <f>IF($I453&lt;&gt;"",J453*(INDEX('Device Refrigerant Leakage'!$D$2:$D$42,MATCH($M453,'Device Refrigerant Leakage'!$B$2:$B$42,0))-(INDEX('Device Refrigerant Leakage'!$D$2:$D$42,MATCH($M453,'Device Refrigerant Leakage'!$B$2:$B$42,0)))*CR453*CP453)*CQ453/2204.62*CO453,"")</f>
        <v/>
      </c>
      <c r="CU453" s="135" t="str">
        <f>IF($I453&lt;&gt;"",J453*IF(W453&lt;&gt;"AR",(CS453*K453)+CT453,(CS453*AB453)+CT453*(AB453/INDEX('Device Refrigerant Leakage'!$C$2:$C$42,MATCH($M453,'Device Refrigerant Leakage'!$B$2:$B$42,0)))),"")</f>
        <v/>
      </c>
      <c r="CW453" s="135" t="str">
        <f>IF($I453&lt;&gt;"",IF(S453="User Specified",V453,INDEX('Refrigerant GWPs'!$G$2:$G$156,MATCH(S453,'Refrigerant GWPs'!$A$2:$A$157,0))),"")</f>
        <v/>
      </c>
      <c r="CX453" s="138" t="str">
        <f>IF($I453&lt;&gt;"",INDEX('Device Refrigerant Leakage'!$E$2:$E$42,MATCH($Q453,'Device Refrigerant Leakage'!$B$2:$B$42,0)),"")</f>
        <v/>
      </c>
      <c r="CY453" s="138" t="str">
        <f>IF($I453&lt;&gt;"",INDEX('Device Refrigerant Leakage'!$F$2:$F$42,MATCH($Q453,'Device Refrigerant Leakage'!$B$2:$B$42,0)),"")</f>
        <v/>
      </c>
      <c r="CZ453" s="145" t="str">
        <f>IF($I453&lt;&gt;"",INDEX('Device Refrigerant Leakage'!$G$2:$G$42,MATCH($Q453,'Device Refrigerant Leakage'!$B$2:$B$42,0)),"")</f>
        <v/>
      </c>
      <c r="DA453" s="145" t="str">
        <f>IF($I453&lt;&gt;"",J453*INDEX('Device Refrigerant Leakage'!$D$2:$D$42,MATCH($Q453,'Device Refrigerant Leakage'!$B$2:$B$42,0))*CX453/2204.62*CW453,"")</f>
        <v/>
      </c>
      <c r="DB453" s="145" t="str">
        <f>IF($I453&lt;&gt;"",J453*(INDEX('Device Refrigerant Leakage'!$D$2:$D$42,MATCH($Q453,'Device Refrigerant Leakage'!$B$2:$B$42,0))-(INDEX('Device Refrigerant Leakage'!$D$2:$D$42,MATCH($Q453,'Device Refrigerant Leakage'!$B$2:$B$42,0)))*CZ453*CX453)*CY453/2204.62*CW453,"")</f>
        <v/>
      </c>
      <c r="DC453" s="135" t="str">
        <f t="shared" si="552"/>
        <v/>
      </c>
      <c r="DE453" s="146" t="str">
        <f>IF(W453&lt;&gt;"AR","",IF(Y453="User Specified", AA453, INDEX('Refrigerant GWPs'!$G$2:$G$154,MATCH(Y453,'Refrigerant GWPs'!$A$2:$A$154,0))))</f>
        <v/>
      </c>
      <c r="DF453" s="146" t="str">
        <f>IF(W453&lt;&gt;"AR","",INDEX('Device Refrigerant Leakage'!$E$2:$E$42,MATCH(X453,'Device Refrigerant Leakage'!$B$2:$B$42,0)))</f>
        <v/>
      </c>
      <c r="DG453" s="146" t="str">
        <f>IF(W453&lt;&gt;"AR","",INDEX('Device Refrigerant Leakage'!$F$2:$F$42,MATCH(X453,'Device Refrigerant Leakage'!$B$2:$B$42,0)))</f>
        <v/>
      </c>
      <c r="DH453" s="146" t="str">
        <f>IF(W453&lt;&gt;"AR","",INDEX('Device Refrigerant Leakage'!$G$2:$G$42,MATCH(X453,'Device Refrigerant Leakage'!$B$2:$B$42,0)))</f>
        <v/>
      </c>
      <c r="DI453" s="146" t="str">
        <f>IF(W453&lt;&gt;"AR","",J453*INDEX('Device Refrigerant Leakage'!$D$2:$D$42,MATCH(X453,'Device Refrigerant Leakage'!$B$2:$B$42,0))*DF453/2204.62*DE453)</f>
        <v/>
      </c>
      <c r="DJ453" s="146" t="str">
        <f>IF(W453&lt;&gt;"AR","",J453*(INDEX('Device Refrigerant Leakage'!$D$2:$D$42,MATCH(X453,'Device Refrigerant Leakage'!$B$2:$B$42,0))-(INDEX('Device Refrigerant Leakage'!$D$2:$D$42,MATCH(X453,'Device Refrigerant Leakage'!$B$2:$B$42,0)))*DH453*DF453)*DG453/2204.62*DE453)</f>
        <v/>
      </c>
      <c r="DK453" s="146" t="str">
        <f>IF(W453&lt;&gt;"AR","",DI453*(K453-AB453)+'Fuel Sub Calcs-Deemed'!DJ453*((K453-AB453)/INDEX('Device Refrigerant Leakage'!$C$2:$C$42,MATCH('Fuel Sub Calcs-Deemed'!X453,'Device Refrigerant Leakage'!$B$2:$B$42,0))))</f>
        <v/>
      </c>
      <c r="DM453" s="56">
        <v>439</v>
      </c>
      <c r="DN453" s="67" t="e">
        <f t="shared" si="534"/>
        <v>#N/A</v>
      </c>
      <c r="DO453" s="45" t="e">
        <f t="shared" si="535"/>
        <v>#N/A</v>
      </c>
      <c r="DP453" s="67" t="e">
        <f t="shared" si="536"/>
        <v>#N/A</v>
      </c>
      <c r="DQ453" s="45" t="e">
        <f t="shared" si="537"/>
        <v>#N/A</v>
      </c>
      <c r="DR453" s="69" t="e">
        <f t="shared" si="538"/>
        <v>#N/A</v>
      </c>
      <c r="DS453" s="34"/>
      <c r="DT453" s="67" t="e">
        <f>((BX453*CJ453)+IF($W453=MAT_AR,(BZ453*CL453),0))*(1+Reference!$E$50+Reference!$E$51)</f>
        <v>#N/A</v>
      </c>
      <c r="DU453" s="67">
        <f>((BY453*CK453)+IF($W453=MAT_AR,(CA453*CM453),0))*(1+Reference!$G$50+Reference!$G$51)</f>
        <v>0</v>
      </c>
      <c r="DV453" s="67" t="e">
        <f t="shared" si="539"/>
        <v>#VALUE!</v>
      </c>
      <c r="DX453" s="56">
        <v>439</v>
      </c>
      <c r="DY453" s="67">
        <f t="shared" si="540"/>
        <v>0</v>
      </c>
      <c r="DZ453" s="45" t="e">
        <f>VLOOKUP($R453,Dropdown!$C$3:$D$4,2,FALSE)</f>
        <v>#N/A</v>
      </c>
      <c r="EA453" s="68">
        <f t="shared" si="541"/>
        <v>0</v>
      </c>
      <c r="EB453" s="68" t="str">
        <f t="shared" si="542"/>
        <v>N/A</v>
      </c>
      <c r="EC453" s="68">
        <f t="shared" si="543"/>
        <v>0</v>
      </c>
      <c r="ED453" s="68" t="str">
        <f t="shared" si="581"/>
        <v>N/A</v>
      </c>
      <c r="EF453" s="56">
        <v>439</v>
      </c>
      <c r="EG453" s="46">
        <f t="shared" si="544"/>
        <v>0</v>
      </c>
      <c r="EH453" s="68" t="e">
        <f t="shared" si="545"/>
        <v>#N/A</v>
      </c>
      <c r="EI453" s="68" t="e">
        <f t="shared" si="546"/>
        <v>#N/A</v>
      </c>
      <c r="EJ453" s="68" t="e">
        <f t="shared" si="547"/>
        <v>#N/A</v>
      </c>
      <c r="EK453" s="68" t="e">
        <f t="shared" si="548"/>
        <v>#N/A</v>
      </c>
      <c r="EL453" s="46">
        <f t="shared" si="549"/>
        <v>0</v>
      </c>
      <c r="EM453" s="46">
        <f t="shared" si="550"/>
        <v>0</v>
      </c>
    </row>
    <row r="454" spans="1:143">
      <c r="A454" s="89"/>
      <c r="B454" s="89"/>
      <c r="C454" s="89"/>
      <c r="D454" s="89"/>
      <c r="E454" s="89"/>
      <c r="F454" s="89"/>
      <c r="G454" s="34"/>
      <c r="H454" s="56">
        <f t="shared" si="551"/>
        <v>440</v>
      </c>
      <c r="I454" s="165"/>
      <c r="J454" s="163"/>
      <c r="K454" s="163"/>
      <c r="L454" s="164"/>
      <c r="M454" s="155"/>
      <c r="N454" s="155"/>
      <c r="O454" s="144"/>
      <c r="P454" s="159" t="str">
        <f>IFERROR(IF(O454&lt;&gt;"User Specified",IF(O454&lt;&gt;"", INDEX('Refrigerant GWPs'!$G$2:$G$154,MATCH(O454,'Refrigerant GWPs'!$A$2:$A$154,0)),""),U454),0)</f>
        <v/>
      </c>
      <c r="Q454" s="155"/>
      <c r="R454" s="155"/>
      <c r="S454" s="144"/>
      <c r="T454" s="159" t="str">
        <f>IF(S454&lt;&gt;"User Specified",IF(AND(S454&lt;&gt;"User Specified",S454&lt;&gt;""), INDEX('Refrigerant GWPs'!$G$2:$G$154,MATCH(S454,'Refrigerant GWPs'!$A$2:$A$154,0)),""),V454)</f>
        <v/>
      </c>
      <c r="U454" s="144"/>
      <c r="V454" s="144"/>
      <c r="W454" s="155"/>
      <c r="X454" s="155"/>
      <c r="Y454" s="144"/>
      <c r="Z454" s="159" t="str">
        <f>IF(AND(Y454&lt;&gt;"User Specified",Y454&lt;&gt;""), INDEX('Refrigerant GWPs'!$G$2:$G$154,MATCH(Y454,'Refrigerant GWPs'!$A$2:$A$154,0)),"")</f>
        <v/>
      </c>
      <c r="AA454" s="155"/>
      <c r="AB454" s="156"/>
      <c r="AC454" s="66"/>
      <c r="AD454" s="66"/>
      <c r="AE454" s="66"/>
      <c r="AF454" s="66"/>
      <c r="AG454" s="66"/>
      <c r="AH454" s="66"/>
      <c r="AI454" s="34"/>
      <c r="AJ454" s="88">
        <f t="shared" si="514"/>
        <v>0</v>
      </c>
      <c r="AK454" s="88">
        <f t="shared" si="515"/>
        <v>0</v>
      </c>
      <c r="AL454" s="88">
        <v>0</v>
      </c>
      <c r="AM454" s="88">
        <v>0</v>
      </c>
      <c r="AN454" s="81" t="str">
        <f t="shared" si="553"/>
        <v/>
      </c>
      <c r="AO454" s="88">
        <f t="shared" si="516"/>
        <v>0</v>
      </c>
      <c r="AP454" s="88">
        <f t="shared" si="517"/>
        <v>0</v>
      </c>
      <c r="AQ454" s="81" t="str">
        <f t="shared" si="518"/>
        <v/>
      </c>
      <c r="AS454" s="41" t="b">
        <f t="shared" si="519"/>
        <v>1</v>
      </c>
      <c r="AT454" s="38">
        <f t="shared" si="520"/>
        <v>0</v>
      </c>
      <c r="AU454" s="60">
        <f t="shared" si="521"/>
        <v>0</v>
      </c>
      <c r="AV454" s="41">
        <f t="shared" si="522"/>
        <v>0</v>
      </c>
      <c r="AW454" s="41" t="b">
        <f t="shared" si="523"/>
        <v>0</v>
      </c>
      <c r="AX454" t="str">
        <f t="shared" si="524"/>
        <v>+00</v>
      </c>
      <c r="AY454" t="str">
        <f t="shared" si="525"/>
        <v>+00</v>
      </c>
      <c r="BA454" s="47" t="b">
        <f t="shared" si="554"/>
        <v>1</v>
      </c>
      <c r="BB454" s="42" t="b">
        <f t="shared" si="555"/>
        <v>1</v>
      </c>
      <c r="BC454" s="42" t="b">
        <f t="shared" si="556"/>
        <v>0</v>
      </c>
      <c r="BD454" s="42" t="b">
        <f t="shared" si="557"/>
        <v>0</v>
      </c>
      <c r="BE454" s="70">
        <f t="shared" si="558"/>
        <v>0</v>
      </c>
      <c r="BF454" s="70">
        <f t="shared" si="559"/>
        <v>0</v>
      </c>
      <c r="BG454" s="34"/>
      <c r="BI454" s="47" t="b">
        <f t="shared" si="560"/>
        <v>1</v>
      </c>
      <c r="BJ454" s="47" t="b">
        <f t="shared" si="561"/>
        <v>1</v>
      </c>
      <c r="BK454" s="42" t="b">
        <f t="shared" si="562"/>
        <v>0</v>
      </c>
      <c r="BL454" s="42" t="b">
        <f t="shared" si="563"/>
        <v>0</v>
      </c>
      <c r="BM454" s="42">
        <f t="shared" si="564"/>
        <v>0</v>
      </c>
      <c r="BN454" s="42">
        <f t="shared" si="565"/>
        <v>0</v>
      </c>
      <c r="BP454" t="e">
        <f t="shared" si="566"/>
        <v>#N/A</v>
      </c>
      <c r="BQ454" t="e">
        <f t="shared" si="567"/>
        <v>#N/A</v>
      </c>
      <c r="BR454" t="e">
        <f t="shared" si="568"/>
        <v>#N/A</v>
      </c>
      <c r="BT454" s="60">
        <f t="shared" si="569"/>
        <v>0</v>
      </c>
      <c r="BU454" s="60">
        <f t="shared" si="570"/>
        <v>0</v>
      </c>
      <c r="BV454" s="60">
        <f t="shared" si="571"/>
        <v>0</v>
      </c>
      <c r="BW454" s="60">
        <f t="shared" si="572"/>
        <v>0</v>
      </c>
      <c r="BX454" s="60">
        <f t="shared" si="573"/>
        <v>0</v>
      </c>
      <c r="BY454" s="60">
        <f t="shared" si="574"/>
        <v>0</v>
      </c>
      <c r="BZ454" s="60">
        <f t="shared" si="575"/>
        <v>0</v>
      </c>
      <c r="CA454" s="60">
        <f t="shared" si="576"/>
        <v>0</v>
      </c>
      <c r="CB454" s="60" t="e">
        <f t="shared" si="526"/>
        <v>#N/A</v>
      </c>
      <c r="CC454" s="60">
        <f t="shared" si="527"/>
        <v>100000</v>
      </c>
      <c r="CD454" s="60" t="e">
        <f t="shared" si="528"/>
        <v>#N/A</v>
      </c>
      <c r="CE454" s="60">
        <f t="shared" si="529"/>
        <v>100000</v>
      </c>
      <c r="CF454" s="83" t="e">
        <f t="shared" si="577"/>
        <v>#N/A</v>
      </c>
      <c r="CG454" s="83">
        <f t="shared" si="578"/>
        <v>0</v>
      </c>
      <c r="CH454" s="83" t="e">
        <f t="shared" si="579"/>
        <v>#N/A</v>
      </c>
      <c r="CI454" s="83">
        <f t="shared" si="580"/>
        <v>0</v>
      </c>
      <c r="CJ454" s="86" t="e">
        <f t="shared" si="530"/>
        <v>#N/A</v>
      </c>
      <c r="CK454" s="82">
        <f t="shared" si="531"/>
        <v>5.3070370403969858E-3</v>
      </c>
      <c r="CL454" s="82" t="e">
        <f t="shared" si="532"/>
        <v>#N/A</v>
      </c>
      <c r="CM454" s="82">
        <f t="shared" si="533"/>
        <v>5.3070370403969858E-3</v>
      </c>
      <c r="CO454" s="149" t="str">
        <f>IF($I454&lt;&gt;"",IF(O454="User Specified",U454,INDEX('Refrigerant GWPs'!$G$2:$G$156,MATCH(O454,'Refrigerant GWPs'!$A$2:$A$156,0))),"")</f>
        <v/>
      </c>
      <c r="CP454" s="138" t="str">
        <f>IF($I454&lt;&gt;"",INDEX('Device Refrigerant Leakage'!$E$2:$E$42,MATCH($M454,'Device Refrigerant Leakage'!$B$2:$B$42,0)),"")</f>
        <v/>
      </c>
      <c r="CQ454" s="138" t="str">
        <f>IF($I454&lt;&gt;"",INDEX('Device Refrigerant Leakage'!$F$2:$F$42,MATCH($M454,'Device Refrigerant Leakage'!$B$2:$B$42,0)),"")</f>
        <v/>
      </c>
      <c r="CR454" s="145" t="str">
        <f>IF($I454&lt;&gt;"",INDEX('Device Refrigerant Leakage'!$G$2:$G$42,MATCH($M454,'Device Refrigerant Leakage'!$B$2:$B$42,0)),"")</f>
        <v/>
      </c>
      <c r="CS454" s="145" t="str">
        <f>IF($I454&lt;&gt;"",INDEX('Device Refrigerant Leakage'!$D$2:$D$42,MATCH($M454,'Device Refrigerant Leakage'!$B$2:$B$42,0))*CP454/2204.62*CO454,"")</f>
        <v/>
      </c>
      <c r="CT454" s="145" t="str">
        <f>IF($I454&lt;&gt;"",J454*(INDEX('Device Refrigerant Leakage'!$D$2:$D$42,MATCH($M454,'Device Refrigerant Leakage'!$B$2:$B$42,0))-(INDEX('Device Refrigerant Leakage'!$D$2:$D$42,MATCH($M454,'Device Refrigerant Leakage'!$B$2:$B$42,0)))*CR454*CP454)*CQ454/2204.62*CO454,"")</f>
        <v/>
      </c>
      <c r="CU454" s="135" t="str">
        <f>IF($I454&lt;&gt;"",J454*IF(W454&lt;&gt;"AR",(CS454*K454)+CT454,(CS454*AB454)+CT454*(AB454/INDEX('Device Refrigerant Leakage'!$C$2:$C$42,MATCH($M454,'Device Refrigerant Leakage'!$B$2:$B$42,0)))),"")</f>
        <v/>
      </c>
      <c r="CW454" s="135" t="str">
        <f>IF($I454&lt;&gt;"",IF(S454="User Specified",V454,INDEX('Refrigerant GWPs'!$G$2:$G$156,MATCH(S454,'Refrigerant GWPs'!$A$2:$A$157,0))),"")</f>
        <v/>
      </c>
      <c r="CX454" s="138" t="str">
        <f>IF($I454&lt;&gt;"",INDEX('Device Refrigerant Leakage'!$E$2:$E$42,MATCH($Q454,'Device Refrigerant Leakage'!$B$2:$B$42,0)),"")</f>
        <v/>
      </c>
      <c r="CY454" s="138" t="str">
        <f>IF($I454&lt;&gt;"",INDEX('Device Refrigerant Leakage'!$F$2:$F$42,MATCH($Q454,'Device Refrigerant Leakage'!$B$2:$B$42,0)),"")</f>
        <v/>
      </c>
      <c r="CZ454" s="145" t="str">
        <f>IF($I454&lt;&gt;"",INDEX('Device Refrigerant Leakage'!$G$2:$G$42,MATCH($Q454,'Device Refrigerant Leakage'!$B$2:$B$42,0)),"")</f>
        <v/>
      </c>
      <c r="DA454" s="145" t="str">
        <f>IF($I454&lt;&gt;"",J454*INDEX('Device Refrigerant Leakage'!$D$2:$D$42,MATCH($Q454,'Device Refrigerant Leakage'!$B$2:$B$42,0))*CX454/2204.62*CW454,"")</f>
        <v/>
      </c>
      <c r="DB454" s="145" t="str">
        <f>IF($I454&lt;&gt;"",J454*(INDEX('Device Refrigerant Leakage'!$D$2:$D$42,MATCH($Q454,'Device Refrigerant Leakage'!$B$2:$B$42,0))-(INDEX('Device Refrigerant Leakage'!$D$2:$D$42,MATCH($Q454,'Device Refrigerant Leakage'!$B$2:$B$42,0)))*CZ454*CX454)*CY454/2204.62*CW454,"")</f>
        <v/>
      </c>
      <c r="DC454" s="135" t="str">
        <f t="shared" si="552"/>
        <v/>
      </c>
      <c r="DE454" s="146" t="str">
        <f>IF(W454&lt;&gt;"AR","",IF(Y454="User Specified", AA454, INDEX('Refrigerant GWPs'!$G$2:$G$154,MATCH(Y454,'Refrigerant GWPs'!$A$2:$A$154,0))))</f>
        <v/>
      </c>
      <c r="DF454" s="146" t="str">
        <f>IF(W454&lt;&gt;"AR","",INDEX('Device Refrigerant Leakage'!$E$2:$E$42,MATCH(X454,'Device Refrigerant Leakage'!$B$2:$B$42,0)))</f>
        <v/>
      </c>
      <c r="DG454" s="146" t="str">
        <f>IF(W454&lt;&gt;"AR","",INDEX('Device Refrigerant Leakage'!$F$2:$F$42,MATCH(X454,'Device Refrigerant Leakage'!$B$2:$B$42,0)))</f>
        <v/>
      </c>
      <c r="DH454" s="146" t="str">
        <f>IF(W454&lt;&gt;"AR","",INDEX('Device Refrigerant Leakage'!$G$2:$G$42,MATCH(X454,'Device Refrigerant Leakage'!$B$2:$B$42,0)))</f>
        <v/>
      </c>
      <c r="DI454" s="146" t="str">
        <f>IF(W454&lt;&gt;"AR","",J454*INDEX('Device Refrigerant Leakage'!$D$2:$D$42,MATCH(X454,'Device Refrigerant Leakage'!$B$2:$B$42,0))*DF454/2204.62*DE454)</f>
        <v/>
      </c>
      <c r="DJ454" s="146" t="str">
        <f>IF(W454&lt;&gt;"AR","",J454*(INDEX('Device Refrigerant Leakage'!$D$2:$D$42,MATCH(X454,'Device Refrigerant Leakage'!$B$2:$B$42,0))-(INDEX('Device Refrigerant Leakage'!$D$2:$D$42,MATCH(X454,'Device Refrigerant Leakage'!$B$2:$B$42,0)))*DH454*DF454)*DG454/2204.62*DE454)</f>
        <v/>
      </c>
      <c r="DK454" s="146" t="str">
        <f>IF(W454&lt;&gt;"AR","",DI454*(K454-AB454)+'Fuel Sub Calcs-Deemed'!DJ454*((K454-AB454)/INDEX('Device Refrigerant Leakage'!$C$2:$C$42,MATCH('Fuel Sub Calcs-Deemed'!X454,'Device Refrigerant Leakage'!$B$2:$B$42,0))))</f>
        <v/>
      </c>
      <c r="DM454" s="56">
        <v>440</v>
      </c>
      <c r="DN454" s="67" t="e">
        <f t="shared" si="534"/>
        <v>#N/A</v>
      </c>
      <c r="DO454" s="45" t="e">
        <f t="shared" si="535"/>
        <v>#N/A</v>
      </c>
      <c r="DP454" s="67" t="e">
        <f t="shared" si="536"/>
        <v>#N/A</v>
      </c>
      <c r="DQ454" s="45" t="e">
        <f t="shared" si="537"/>
        <v>#N/A</v>
      </c>
      <c r="DR454" s="69" t="e">
        <f t="shared" si="538"/>
        <v>#N/A</v>
      </c>
      <c r="DS454" s="34"/>
      <c r="DT454" s="67" t="e">
        <f>((BX454*CJ454)+IF($W454=MAT_AR,(BZ454*CL454),0))*(1+Reference!$E$50+Reference!$E$51)</f>
        <v>#N/A</v>
      </c>
      <c r="DU454" s="67">
        <f>((BY454*CK454)+IF($W454=MAT_AR,(CA454*CM454),0))*(1+Reference!$G$50+Reference!$G$51)</f>
        <v>0</v>
      </c>
      <c r="DV454" s="67" t="e">
        <f t="shared" si="539"/>
        <v>#VALUE!</v>
      </c>
      <c r="DX454" s="56">
        <v>440</v>
      </c>
      <c r="DY454" s="67">
        <f t="shared" si="540"/>
        <v>0</v>
      </c>
      <c r="DZ454" s="45" t="e">
        <f>VLOOKUP($R454,Dropdown!$C$3:$D$4,2,FALSE)</f>
        <v>#N/A</v>
      </c>
      <c r="EA454" s="68">
        <f t="shared" si="541"/>
        <v>0</v>
      </c>
      <c r="EB454" s="68" t="str">
        <f t="shared" si="542"/>
        <v>N/A</v>
      </c>
      <c r="EC454" s="68">
        <f t="shared" si="543"/>
        <v>0</v>
      </c>
      <c r="ED454" s="68" t="str">
        <f t="shared" si="581"/>
        <v>N/A</v>
      </c>
      <c r="EF454" s="56">
        <v>440</v>
      </c>
      <c r="EG454" s="46">
        <f t="shared" si="544"/>
        <v>0</v>
      </c>
      <c r="EH454" s="68" t="e">
        <f t="shared" si="545"/>
        <v>#N/A</v>
      </c>
      <c r="EI454" s="68" t="e">
        <f t="shared" si="546"/>
        <v>#N/A</v>
      </c>
      <c r="EJ454" s="68" t="e">
        <f t="shared" si="547"/>
        <v>#N/A</v>
      </c>
      <c r="EK454" s="68" t="e">
        <f t="shared" si="548"/>
        <v>#N/A</v>
      </c>
      <c r="EL454" s="46">
        <f t="shared" si="549"/>
        <v>0</v>
      </c>
      <c r="EM454" s="46">
        <f t="shared" si="550"/>
        <v>0</v>
      </c>
    </row>
    <row r="455" spans="1:143">
      <c r="A455" s="89"/>
      <c r="B455" s="89"/>
      <c r="C455" s="89"/>
      <c r="D455" s="89"/>
      <c r="E455" s="89"/>
      <c r="F455" s="89"/>
      <c r="G455" s="34"/>
      <c r="H455" s="56">
        <f t="shared" si="551"/>
        <v>441</v>
      </c>
      <c r="I455" s="165"/>
      <c r="J455" s="163"/>
      <c r="K455" s="163"/>
      <c r="L455" s="164"/>
      <c r="M455" s="155"/>
      <c r="N455" s="155"/>
      <c r="O455" s="144"/>
      <c r="P455" s="159" t="str">
        <f>IFERROR(IF(O455&lt;&gt;"User Specified",IF(O455&lt;&gt;"", INDEX('Refrigerant GWPs'!$G$2:$G$154,MATCH(O455,'Refrigerant GWPs'!$A$2:$A$154,0)),""),U455),0)</f>
        <v/>
      </c>
      <c r="Q455" s="155"/>
      <c r="R455" s="155"/>
      <c r="S455" s="144"/>
      <c r="T455" s="159" t="str">
        <f>IF(S455&lt;&gt;"User Specified",IF(AND(S455&lt;&gt;"User Specified",S455&lt;&gt;""), INDEX('Refrigerant GWPs'!$G$2:$G$154,MATCH(S455,'Refrigerant GWPs'!$A$2:$A$154,0)),""),V455)</f>
        <v/>
      </c>
      <c r="U455" s="144"/>
      <c r="V455" s="144"/>
      <c r="W455" s="155"/>
      <c r="X455" s="155"/>
      <c r="Y455" s="144"/>
      <c r="Z455" s="159" t="str">
        <f>IF(AND(Y455&lt;&gt;"User Specified",Y455&lt;&gt;""), INDEX('Refrigerant GWPs'!$G$2:$G$154,MATCH(Y455,'Refrigerant GWPs'!$A$2:$A$154,0)),"")</f>
        <v/>
      </c>
      <c r="AA455" s="155"/>
      <c r="AB455" s="156"/>
      <c r="AC455" s="66"/>
      <c r="AD455" s="66"/>
      <c r="AE455" s="66"/>
      <c r="AF455" s="66"/>
      <c r="AG455" s="66"/>
      <c r="AH455" s="66"/>
      <c r="AI455" s="34"/>
      <c r="AJ455" s="88">
        <f t="shared" si="514"/>
        <v>0</v>
      </c>
      <c r="AK455" s="88">
        <f t="shared" si="515"/>
        <v>0</v>
      </c>
      <c r="AL455" s="88">
        <v>0</v>
      </c>
      <c r="AM455" s="88">
        <v>0</v>
      </c>
      <c r="AN455" s="81" t="str">
        <f t="shared" si="553"/>
        <v/>
      </c>
      <c r="AO455" s="88">
        <f t="shared" si="516"/>
        <v>0</v>
      </c>
      <c r="AP455" s="88">
        <f t="shared" si="517"/>
        <v>0</v>
      </c>
      <c r="AQ455" s="81" t="str">
        <f t="shared" si="518"/>
        <v/>
      </c>
      <c r="AS455" s="41" t="b">
        <f t="shared" si="519"/>
        <v>1</v>
      </c>
      <c r="AT455" s="38">
        <f t="shared" si="520"/>
        <v>0</v>
      </c>
      <c r="AU455" s="60">
        <f t="shared" si="521"/>
        <v>0</v>
      </c>
      <c r="AV455" s="41">
        <f t="shared" si="522"/>
        <v>0</v>
      </c>
      <c r="AW455" s="41" t="b">
        <f t="shared" si="523"/>
        <v>0</v>
      </c>
      <c r="AX455" t="str">
        <f t="shared" si="524"/>
        <v>+00</v>
      </c>
      <c r="AY455" t="str">
        <f t="shared" si="525"/>
        <v>+00</v>
      </c>
      <c r="BA455" s="47" t="b">
        <f t="shared" si="554"/>
        <v>1</v>
      </c>
      <c r="BB455" s="42" t="b">
        <f t="shared" si="555"/>
        <v>1</v>
      </c>
      <c r="BC455" s="42" t="b">
        <f t="shared" si="556"/>
        <v>0</v>
      </c>
      <c r="BD455" s="42" t="b">
        <f t="shared" si="557"/>
        <v>0</v>
      </c>
      <c r="BE455" s="70">
        <f t="shared" si="558"/>
        <v>0</v>
      </c>
      <c r="BF455" s="70">
        <f t="shared" si="559"/>
        <v>0</v>
      </c>
      <c r="BG455" s="34"/>
      <c r="BI455" s="47" t="b">
        <f t="shared" si="560"/>
        <v>1</v>
      </c>
      <c r="BJ455" s="47" t="b">
        <f t="shared" si="561"/>
        <v>1</v>
      </c>
      <c r="BK455" s="42" t="b">
        <f t="shared" si="562"/>
        <v>0</v>
      </c>
      <c r="BL455" s="42" t="b">
        <f t="shared" si="563"/>
        <v>0</v>
      </c>
      <c r="BM455" s="42">
        <f t="shared" si="564"/>
        <v>0</v>
      </c>
      <c r="BN455" s="42">
        <f t="shared" si="565"/>
        <v>0</v>
      </c>
      <c r="BP455" t="e">
        <f t="shared" si="566"/>
        <v>#N/A</v>
      </c>
      <c r="BQ455" t="e">
        <f t="shared" si="567"/>
        <v>#N/A</v>
      </c>
      <c r="BR455" t="e">
        <f t="shared" si="568"/>
        <v>#N/A</v>
      </c>
      <c r="BT455" s="60">
        <f t="shared" si="569"/>
        <v>0</v>
      </c>
      <c r="BU455" s="60">
        <f t="shared" si="570"/>
        <v>0</v>
      </c>
      <c r="BV455" s="60">
        <f t="shared" si="571"/>
        <v>0</v>
      </c>
      <c r="BW455" s="60">
        <f t="shared" si="572"/>
        <v>0</v>
      </c>
      <c r="BX455" s="60">
        <f t="shared" si="573"/>
        <v>0</v>
      </c>
      <c r="BY455" s="60">
        <f t="shared" si="574"/>
        <v>0</v>
      </c>
      <c r="BZ455" s="60">
        <f t="shared" si="575"/>
        <v>0</v>
      </c>
      <c r="CA455" s="60">
        <f t="shared" si="576"/>
        <v>0</v>
      </c>
      <c r="CB455" s="60" t="e">
        <f t="shared" si="526"/>
        <v>#N/A</v>
      </c>
      <c r="CC455" s="60">
        <f t="shared" si="527"/>
        <v>100000</v>
      </c>
      <c r="CD455" s="60" t="e">
        <f t="shared" si="528"/>
        <v>#N/A</v>
      </c>
      <c r="CE455" s="60">
        <f t="shared" si="529"/>
        <v>100000</v>
      </c>
      <c r="CF455" s="83" t="e">
        <f t="shared" si="577"/>
        <v>#N/A</v>
      </c>
      <c r="CG455" s="83">
        <f t="shared" si="578"/>
        <v>0</v>
      </c>
      <c r="CH455" s="83" t="e">
        <f t="shared" si="579"/>
        <v>#N/A</v>
      </c>
      <c r="CI455" s="83">
        <f t="shared" si="580"/>
        <v>0</v>
      </c>
      <c r="CJ455" s="86" t="e">
        <f t="shared" si="530"/>
        <v>#N/A</v>
      </c>
      <c r="CK455" s="82">
        <f t="shared" si="531"/>
        <v>5.3070370403969858E-3</v>
      </c>
      <c r="CL455" s="82" t="e">
        <f t="shared" si="532"/>
        <v>#N/A</v>
      </c>
      <c r="CM455" s="82">
        <f t="shared" si="533"/>
        <v>5.3070370403969858E-3</v>
      </c>
      <c r="CO455" s="149" t="str">
        <f>IF($I455&lt;&gt;"",IF(O455="User Specified",U455,INDEX('Refrigerant GWPs'!$G$2:$G$156,MATCH(O455,'Refrigerant GWPs'!$A$2:$A$156,0))),"")</f>
        <v/>
      </c>
      <c r="CP455" s="138" t="str">
        <f>IF($I455&lt;&gt;"",INDEX('Device Refrigerant Leakage'!$E$2:$E$42,MATCH($M455,'Device Refrigerant Leakage'!$B$2:$B$42,0)),"")</f>
        <v/>
      </c>
      <c r="CQ455" s="138" t="str">
        <f>IF($I455&lt;&gt;"",INDEX('Device Refrigerant Leakage'!$F$2:$F$42,MATCH($M455,'Device Refrigerant Leakage'!$B$2:$B$42,0)),"")</f>
        <v/>
      </c>
      <c r="CR455" s="145" t="str">
        <f>IF($I455&lt;&gt;"",INDEX('Device Refrigerant Leakage'!$G$2:$G$42,MATCH($M455,'Device Refrigerant Leakage'!$B$2:$B$42,0)),"")</f>
        <v/>
      </c>
      <c r="CS455" s="145" t="str">
        <f>IF($I455&lt;&gt;"",INDEX('Device Refrigerant Leakage'!$D$2:$D$42,MATCH($M455,'Device Refrigerant Leakage'!$B$2:$B$42,0))*CP455/2204.62*CO455,"")</f>
        <v/>
      </c>
      <c r="CT455" s="145" t="str">
        <f>IF($I455&lt;&gt;"",J455*(INDEX('Device Refrigerant Leakage'!$D$2:$D$42,MATCH($M455,'Device Refrigerant Leakage'!$B$2:$B$42,0))-(INDEX('Device Refrigerant Leakage'!$D$2:$D$42,MATCH($M455,'Device Refrigerant Leakage'!$B$2:$B$42,0)))*CR455*CP455)*CQ455/2204.62*CO455,"")</f>
        <v/>
      </c>
      <c r="CU455" s="135" t="str">
        <f>IF($I455&lt;&gt;"",J455*IF(W455&lt;&gt;"AR",(CS455*K455)+CT455,(CS455*AB455)+CT455*(AB455/INDEX('Device Refrigerant Leakage'!$C$2:$C$42,MATCH($M455,'Device Refrigerant Leakage'!$B$2:$B$42,0)))),"")</f>
        <v/>
      </c>
      <c r="CW455" s="135" t="str">
        <f>IF($I455&lt;&gt;"",IF(S455="User Specified",V455,INDEX('Refrigerant GWPs'!$G$2:$G$156,MATCH(S455,'Refrigerant GWPs'!$A$2:$A$157,0))),"")</f>
        <v/>
      </c>
      <c r="CX455" s="138" t="str">
        <f>IF($I455&lt;&gt;"",INDEX('Device Refrigerant Leakage'!$E$2:$E$42,MATCH($Q455,'Device Refrigerant Leakage'!$B$2:$B$42,0)),"")</f>
        <v/>
      </c>
      <c r="CY455" s="138" t="str">
        <f>IF($I455&lt;&gt;"",INDEX('Device Refrigerant Leakage'!$F$2:$F$42,MATCH($Q455,'Device Refrigerant Leakage'!$B$2:$B$42,0)),"")</f>
        <v/>
      </c>
      <c r="CZ455" s="145" t="str">
        <f>IF($I455&lt;&gt;"",INDEX('Device Refrigerant Leakage'!$G$2:$G$42,MATCH($Q455,'Device Refrigerant Leakage'!$B$2:$B$42,0)),"")</f>
        <v/>
      </c>
      <c r="DA455" s="145" t="str">
        <f>IF($I455&lt;&gt;"",J455*INDEX('Device Refrigerant Leakage'!$D$2:$D$42,MATCH($Q455,'Device Refrigerant Leakage'!$B$2:$B$42,0))*CX455/2204.62*CW455,"")</f>
        <v/>
      </c>
      <c r="DB455" s="145" t="str">
        <f>IF($I455&lt;&gt;"",J455*(INDEX('Device Refrigerant Leakage'!$D$2:$D$42,MATCH($Q455,'Device Refrigerant Leakage'!$B$2:$B$42,0))-(INDEX('Device Refrigerant Leakage'!$D$2:$D$42,MATCH($Q455,'Device Refrigerant Leakage'!$B$2:$B$42,0)))*CZ455*CX455)*CY455/2204.62*CW455,"")</f>
        <v/>
      </c>
      <c r="DC455" s="135" t="str">
        <f t="shared" si="552"/>
        <v/>
      </c>
      <c r="DE455" s="146" t="str">
        <f>IF(W455&lt;&gt;"AR","",IF(Y455="User Specified", AA455, INDEX('Refrigerant GWPs'!$G$2:$G$154,MATCH(Y455,'Refrigerant GWPs'!$A$2:$A$154,0))))</f>
        <v/>
      </c>
      <c r="DF455" s="146" t="str">
        <f>IF(W455&lt;&gt;"AR","",INDEX('Device Refrigerant Leakage'!$E$2:$E$42,MATCH(X455,'Device Refrigerant Leakage'!$B$2:$B$42,0)))</f>
        <v/>
      </c>
      <c r="DG455" s="146" t="str">
        <f>IF(W455&lt;&gt;"AR","",INDEX('Device Refrigerant Leakage'!$F$2:$F$42,MATCH(X455,'Device Refrigerant Leakage'!$B$2:$B$42,0)))</f>
        <v/>
      </c>
      <c r="DH455" s="146" t="str">
        <f>IF(W455&lt;&gt;"AR","",INDEX('Device Refrigerant Leakage'!$G$2:$G$42,MATCH(X455,'Device Refrigerant Leakage'!$B$2:$B$42,0)))</f>
        <v/>
      </c>
      <c r="DI455" s="146" t="str">
        <f>IF(W455&lt;&gt;"AR","",J455*INDEX('Device Refrigerant Leakage'!$D$2:$D$42,MATCH(X455,'Device Refrigerant Leakage'!$B$2:$B$42,0))*DF455/2204.62*DE455)</f>
        <v/>
      </c>
      <c r="DJ455" s="146" t="str">
        <f>IF(W455&lt;&gt;"AR","",J455*(INDEX('Device Refrigerant Leakage'!$D$2:$D$42,MATCH(X455,'Device Refrigerant Leakage'!$B$2:$B$42,0))-(INDEX('Device Refrigerant Leakage'!$D$2:$D$42,MATCH(X455,'Device Refrigerant Leakage'!$B$2:$B$42,0)))*DH455*DF455)*DG455/2204.62*DE455)</f>
        <v/>
      </c>
      <c r="DK455" s="146" t="str">
        <f>IF(W455&lt;&gt;"AR","",DI455*(K455-AB455)+'Fuel Sub Calcs-Deemed'!DJ455*((K455-AB455)/INDEX('Device Refrigerant Leakage'!$C$2:$C$42,MATCH('Fuel Sub Calcs-Deemed'!X455,'Device Refrigerant Leakage'!$B$2:$B$42,0))))</f>
        <v/>
      </c>
      <c r="DM455" s="56">
        <v>441</v>
      </c>
      <c r="DN455" s="67" t="e">
        <f t="shared" si="534"/>
        <v>#N/A</v>
      </c>
      <c r="DO455" s="45" t="e">
        <f t="shared" si="535"/>
        <v>#N/A</v>
      </c>
      <c r="DP455" s="67" t="e">
        <f t="shared" si="536"/>
        <v>#N/A</v>
      </c>
      <c r="DQ455" s="45" t="e">
        <f t="shared" si="537"/>
        <v>#N/A</v>
      </c>
      <c r="DR455" s="69" t="e">
        <f t="shared" si="538"/>
        <v>#N/A</v>
      </c>
      <c r="DS455" s="34"/>
      <c r="DT455" s="67" t="e">
        <f>((BX455*CJ455)+IF($W455=MAT_AR,(BZ455*CL455),0))*(1+Reference!$E$50+Reference!$E$51)</f>
        <v>#N/A</v>
      </c>
      <c r="DU455" s="67">
        <f>((BY455*CK455)+IF($W455=MAT_AR,(CA455*CM455),0))*(1+Reference!$G$50+Reference!$G$51)</f>
        <v>0</v>
      </c>
      <c r="DV455" s="67" t="e">
        <f t="shared" si="539"/>
        <v>#VALUE!</v>
      </c>
      <c r="DX455" s="56">
        <v>441</v>
      </c>
      <c r="DY455" s="67">
        <f t="shared" si="540"/>
        <v>0</v>
      </c>
      <c r="DZ455" s="45" t="e">
        <f>VLOOKUP($R455,Dropdown!$C$3:$D$4,2,FALSE)</f>
        <v>#N/A</v>
      </c>
      <c r="EA455" s="68">
        <f t="shared" si="541"/>
        <v>0</v>
      </c>
      <c r="EB455" s="68" t="str">
        <f t="shared" si="542"/>
        <v>N/A</v>
      </c>
      <c r="EC455" s="68">
        <f t="shared" si="543"/>
        <v>0</v>
      </c>
      <c r="ED455" s="68" t="str">
        <f t="shared" si="581"/>
        <v>N/A</v>
      </c>
      <c r="EF455" s="56">
        <v>441</v>
      </c>
      <c r="EG455" s="46">
        <f t="shared" si="544"/>
        <v>0</v>
      </c>
      <c r="EH455" s="68" t="e">
        <f t="shared" si="545"/>
        <v>#N/A</v>
      </c>
      <c r="EI455" s="68" t="e">
        <f t="shared" si="546"/>
        <v>#N/A</v>
      </c>
      <c r="EJ455" s="68" t="e">
        <f t="shared" si="547"/>
        <v>#N/A</v>
      </c>
      <c r="EK455" s="68" t="e">
        <f t="shared" si="548"/>
        <v>#N/A</v>
      </c>
      <c r="EL455" s="46">
        <f t="shared" si="549"/>
        <v>0</v>
      </c>
      <c r="EM455" s="46">
        <f t="shared" si="550"/>
        <v>0</v>
      </c>
    </row>
    <row r="456" spans="1:143">
      <c r="A456" s="89"/>
      <c r="B456" s="89"/>
      <c r="C456" s="89"/>
      <c r="D456" s="89"/>
      <c r="E456" s="89"/>
      <c r="F456" s="89"/>
      <c r="G456" s="34"/>
      <c r="H456" s="56">
        <f t="shared" si="551"/>
        <v>442</v>
      </c>
      <c r="I456" s="165"/>
      <c r="J456" s="163"/>
      <c r="K456" s="163"/>
      <c r="L456" s="164"/>
      <c r="M456" s="155"/>
      <c r="N456" s="155"/>
      <c r="O456" s="144"/>
      <c r="P456" s="159" t="str">
        <f>IFERROR(IF(O456&lt;&gt;"User Specified",IF(O456&lt;&gt;"", INDEX('Refrigerant GWPs'!$G$2:$G$154,MATCH(O456,'Refrigerant GWPs'!$A$2:$A$154,0)),""),U456),0)</f>
        <v/>
      </c>
      <c r="Q456" s="155"/>
      <c r="R456" s="155"/>
      <c r="S456" s="144"/>
      <c r="T456" s="159" t="str">
        <f>IF(S456&lt;&gt;"User Specified",IF(AND(S456&lt;&gt;"User Specified",S456&lt;&gt;""), INDEX('Refrigerant GWPs'!$G$2:$G$154,MATCH(S456,'Refrigerant GWPs'!$A$2:$A$154,0)),""),V456)</f>
        <v/>
      </c>
      <c r="U456" s="144"/>
      <c r="V456" s="144"/>
      <c r="W456" s="155"/>
      <c r="X456" s="155"/>
      <c r="Y456" s="144"/>
      <c r="Z456" s="159" t="str">
        <f>IF(AND(Y456&lt;&gt;"User Specified",Y456&lt;&gt;""), INDEX('Refrigerant GWPs'!$G$2:$G$154,MATCH(Y456,'Refrigerant GWPs'!$A$2:$A$154,0)),"")</f>
        <v/>
      </c>
      <c r="AA456" s="155"/>
      <c r="AB456" s="156"/>
      <c r="AC456" s="66"/>
      <c r="AD456" s="66"/>
      <c r="AE456" s="66"/>
      <c r="AF456" s="66"/>
      <c r="AG456" s="66"/>
      <c r="AH456" s="66"/>
      <c r="AI456" s="34"/>
      <c r="AJ456" s="88">
        <f t="shared" si="514"/>
        <v>0</v>
      </c>
      <c r="AK456" s="88">
        <f t="shared" si="515"/>
        <v>0</v>
      </c>
      <c r="AL456" s="88">
        <v>0</v>
      </c>
      <c r="AM456" s="88">
        <v>0</v>
      </c>
      <c r="AN456" s="81" t="str">
        <f t="shared" si="553"/>
        <v/>
      </c>
      <c r="AO456" s="88">
        <f t="shared" si="516"/>
        <v>0</v>
      </c>
      <c r="AP456" s="88">
        <f t="shared" si="517"/>
        <v>0</v>
      </c>
      <c r="AQ456" s="81" t="str">
        <f t="shared" si="518"/>
        <v/>
      </c>
      <c r="AS456" s="41" t="b">
        <f t="shared" si="519"/>
        <v>1</v>
      </c>
      <c r="AT456" s="38">
        <f t="shared" si="520"/>
        <v>0</v>
      </c>
      <c r="AU456" s="60">
        <f t="shared" si="521"/>
        <v>0</v>
      </c>
      <c r="AV456" s="41">
        <f t="shared" si="522"/>
        <v>0</v>
      </c>
      <c r="AW456" s="41" t="b">
        <f t="shared" si="523"/>
        <v>0</v>
      </c>
      <c r="AX456" t="str">
        <f t="shared" si="524"/>
        <v>+00</v>
      </c>
      <c r="AY456" t="str">
        <f t="shared" si="525"/>
        <v>+00</v>
      </c>
      <c r="BA456" s="47" t="b">
        <f t="shared" si="554"/>
        <v>1</v>
      </c>
      <c r="BB456" s="42" t="b">
        <f t="shared" si="555"/>
        <v>1</v>
      </c>
      <c r="BC456" s="42" t="b">
        <f t="shared" si="556"/>
        <v>0</v>
      </c>
      <c r="BD456" s="42" t="b">
        <f t="shared" si="557"/>
        <v>0</v>
      </c>
      <c r="BE456" s="70">
        <f t="shared" si="558"/>
        <v>0</v>
      </c>
      <c r="BF456" s="70">
        <f t="shared" si="559"/>
        <v>0</v>
      </c>
      <c r="BG456" s="34"/>
      <c r="BI456" s="47" t="b">
        <f t="shared" si="560"/>
        <v>1</v>
      </c>
      <c r="BJ456" s="47" t="b">
        <f t="shared" si="561"/>
        <v>1</v>
      </c>
      <c r="BK456" s="42" t="b">
        <f t="shared" si="562"/>
        <v>0</v>
      </c>
      <c r="BL456" s="42" t="b">
        <f t="shared" si="563"/>
        <v>0</v>
      </c>
      <c r="BM456" s="42">
        <f t="shared" si="564"/>
        <v>0</v>
      </c>
      <c r="BN456" s="42">
        <f t="shared" si="565"/>
        <v>0</v>
      </c>
      <c r="BP456" t="e">
        <f t="shared" si="566"/>
        <v>#N/A</v>
      </c>
      <c r="BQ456" t="e">
        <f t="shared" si="567"/>
        <v>#N/A</v>
      </c>
      <c r="BR456" t="e">
        <f t="shared" si="568"/>
        <v>#N/A</v>
      </c>
      <c r="BT456" s="60">
        <f t="shared" si="569"/>
        <v>0</v>
      </c>
      <c r="BU456" s="60">
        <f t="shared" si="570"/>
        <v>0</v>
      </c>
      <c r="BV456" s="60">
        <f t="shared" si="571"/>
        <v>0</v>
      </c>
      <c r="BW456" s="60">
        <f t="shared" si="572"/>
        <v>0</v>
      </c>
      <c r="BX456" s="60">
        <f t="shared" si="573"/>
        <v>0</v>
      </c>
      <c r="BY456" s="60">
        <f t="shared" si="574"/>
        <v>0</v>
      </c>
      <c r="BZ456" s="60">
        <f t="shared" si="575"/>
        <v>0</v>
      </c>
      <c r="CA456" s="60">
        <f t="shared" si="576"/>
        <v>0</v>
      </c>
      <c r="CB456" s="60" t="e">
        <f t="shared" si="526"/>
        <v>#N/A</v>
      </c>
      <c r="CC456" s="60">
        <f t="shared" si="527"/>
        <v>100000</v>
      </c>
      <c r="CD456" s="60" t="e">
        <f t="shared" si="528"/>
        <v>#N/A</v>
      </c>
      <c r="CE456" s="60">
        <f t="shared" si="529"/>
        <v>100000</v>
      </c>
      <c r="CF456" s="83" t="e">
        <f t="shared" si="577"/>
        <v>#N/A</v>
      </c>
      <c r="CG456" s="83">
        <f t="shared" si="578"/>
        <v>0</v>
      </c>
      <c r="CH456" s="83" t="e">
        <f t="shared" si="579"/>
        <v>#N/A</v>
      </c>
      <c r="CI456" s="83">
        <f t="shared" si="580"/>
        <v>0</v>
      </c>
      <c r="CJ456" s="86" t="e">
        <f t="shared" si="530"/>
        <v>#N/A</v>
      </c>
      <c r="CK456" s="82">
        <f t="shared" si="531"/>
        <v>5.3070370403969858E-3</v>
      </c>
      <c r="CL456" s="82" t="e">
        <f t="shared" si="532"/>
        <v>#N/A</v>
      </c>
      <c r="CM456" s="82">
        <f t="shared" si="533"/>
        <v>5.3070370403969858E-3</v>
      </c>
      <c r="CO456" s="149" t="str">
        <f>IF($I456&lt;&gt;"",IF(O456="User Specified",U456,INDEX('Refrigerant GWPs'!$G$2:$G$156,MATCH(O456,'Refrigerant GWPs'!$A$2:$A$156,0))),"")</f>
        <v/>
      </c>
      <c r="CP456" s="138" t="str">
        <f>IF($I456&lt;&gt;"",INDEX('Device Refrigerant Leakage'!$E$2:$E$42,MATCH($M456,'Device Refrigerant Leakage'!$B$2:$B$42,0)),"")</f>
        <v/>
      </c>
      <c r="CQ456" s="138" t="str">
        <f>IF($I456&lt;&gt;"",INDEX('Device Refrigerant Leakage'!$F$2:$F$42,MATCH($M456,'Device Refrigerant Leakage'!$B$2:$B$42,0)),"")</f>
        <v/>
      </c>
      <c r="CR456" s="145" t="str">
        <f>IF($I456&lt;&gt;"",INDEX('Device Refrigerant Leakage'!$G$2:$G$42,MATCH($M456,'Device Refrigerant Leakage'!$B$2:$B$42,0)),"")</f>
        <v/>
      </c>
      <c r="CS456" s="145" t="str">
        <f>IF($I456&lt;&gt;"",INDEX('Device Refrigerant Leakage'!$D$2:$D$42,MATCH($M456,'Device Refrigerant Leakage'!$B$2:$B$42,0))*CP456/2204.62*CO456,"")</f>
        <v/>
      </c>
      <c r="CT456" s="145" t="str">
        <f>IF($I456&lt;&gt;"",J456*(INDEX('Device Refrigerant Leakage'!$D$2:$D$42,MATCH($M456,'Device Refrigerant Leakage'!$B$2:$B$42,0))-(INDEX('Device Refrigerant Leakage'!$D$2:$D$42,MATCH($M456,'Device Refrigerant Leakage'!$B$2:$B$42,0)))*CR456*CP456)*CQ456/2204.62*CO456,"")</f>
        <v/>
      </c>
      <c r="CU456" s="135" t="str">
        <f>IF($I456&lt;&gt;"",J456*IF(W456&lt;&gt;"AR",(CS456*K456)+CT456,(CS456*AB456)+CT456*(AB456/INDEX('Device Refrigerant Leakage'!$C$2:$C$42,MATCH($M456,'Device Refrigerant Leakage'!$B$2:$B$42,0)))),"")</f>
        <v/>
      </c>
      <c r="CW456" s="135" t="str">
        <f>IF($I456&lt;&gt;"",IF(S456="User Specified",V456,INDEX('Refrigerant GWPs'!$G$2:$G$156,MATCH(S456,'Refrigerant GWPs'!$A$2:$A$157,0))),"")</f>
        <v/>
      </c>
      <c r="CX456" s="138" t="str">
        <f>IF($I456&lt;&gt;"",INDEX('Device Refrigerant Leakage'!$E$2:$E$42,MATCH($Q456,'Device Refrigerant Leakage'!$B$2:$B$42,0)),"")</f>
        <v/>
      </c>
      <c r="CY456" s="138" t="str">
        <f>IF($I456&lt;&gt;"",INDEX('Device Refrigerant Leakage'!$F$2:$F$42,MATCH($Q456,'Device Refrigerant Leakage'!$B$2:$B$42,0)),"")</f>
        <v/>
      </c>
      <c r="CZ456" s="145" t="str">
        <f>IF($I456&lt;&gt;"",INDEX('Device Refrigerant Leakage'!$G$2:$G$42,MATCH($Q456,'Device Refrigerant Leakage'!$B$2:$B$42,0)),"")</f>
        <v/>
      </c>
      <c r="DA456" s="145" t="str">
        <f>IF($I456&lt;&gt;"",J456*INDEX('Device Refrigerant Leakage'!$D$2:$D$42,MATCH($Q456,'Device Refrigerant Leakage'!$B$2:$B$42,0))*CX456/2204.62*CW456,"")</f>
        <v/>
      </c>
      <c r="DB456" s="145" t="str">
        <f>IF($I456&lt;&gt;"",J456*(INDEX('Device Refrigerant Leakage'!$D$2:$D$42,MATCH($Q456,'Device Refrigerant Leakage'!$B$2:$B$42,0))-(INDEX('Device Refrigerant Leakage'!$D$2:$D$42,MATCH($Q456,'Device Refrigerant Leakage'!$B$2:$B$42,0)))*CZ456*CX456)*CY456/2204.62*CW456,"")</f>
        <v/>
      </c>
      <c r="DC456" s="135" t="str">
        <f t="shared" si="552"/>
        <v/>
      </c>
      <c r="DE456" s="146" t="str">
        <f>IF(W456&lt;&gt;"AR","",IF(Y456="User Specified", AA456, INDEX('Refrigerant GWPs'!$G$2:$G$154,MATCH(Y456,'Refrigerant GWPs'!$A$2:$A$154,0))))</f>
        <v/>
      </c>
      <c r="DF456" s="146" t="str">
        <f>IF(W456&lt;&gt;"AR","",INDEX('Device Refrigerant Leakage'!$E$2:$E$42,MATCH(X456,'Device Refrigerant Leakage'!$B$2:$B$42,0)))</f>
        <v/>
      </c>
      <c r="DG456" s="146" t="str">
        <f>IF(W456&lt;&gt;"AR","",INDEX('Device Refrigerant Leakage'!$F$2:$F$42,MATCH(X456,'Device Refrigerant Leakage'!$B$2:$B$42,0)))</f>
        <v/>
      </c>
      <c r="DH456" s="146" t="str">
        <f>IF(W456&lt;&gt;"AR","",INDEX('Device Refrigerant Leakage'!$G$2:$G$42,MATCH(X456,'Device Refrigerant Leakage'!$B$2:$B$42,0)))</f>
        <v/>
      </c>
      <c r="DI456" s="146" t="str">
        <f>IF(W456&lt;&gt;"AR","",J456*INDEX('Device Refrigerant Leakage'!$D$2:$D$42,MATCH(X456,'Device Refrigerant Leakage'!$B$2:$B$42,0))*DF456/2204.62*DE456)</f>
        <v/>
      </c>
      <c r="DJ456" s="146" t="str">
        <f>IF(W456&lt;&gt;"AR","",J456*(INDEX('Device Refrigerant Leakage'!$D$2:$D$42,MATCH(X456,'Device Refrigerant Leakage'!$B$2:$B$42,0))-(INDEX('Device Refrigerant Leakage'!$D$2:$D$42,MATCH(X456,'Device Refrigerant Leakage'!$B$2:$B$42,0)))*DH456*DF456)*DG456/2204.62*DE456)</f>
        <v/>
      </c>
      <c r="DK456" s="146" t="str">
        <f>IF(W456&lt;&gt;"AR","",DI456*(K456-AB456)+'Fuel Sub Calcs-Deemed'!DJ456*((K456-AB456)/INDEX('Device Refrigerant Leakage'!$C$2:$C$42,MATCH('Fuel Sub Calcs-Deemed'!X456,'Device Refrigerant Leakage'!$B$2:$B$42,0))))</f>
        <v/>
      </c>
      <c r="DM456" s="56">
        <v>442</v>
      </c>
      <c r="DN456" s="67" t="e">
        <f t="shared" si="534"/>
        <v>#N/A</v>
      </c>
      <c r="DO456" s="45" t="e">
        <f t="shared" si="535"/>
        <v>#N/A</v>
      </c>
      <c r="DP456" s="67" t="e">
        <f t="shared" si="536"/>
        <v>#N/A</v>
      </c>
      <c r="DQ456" s="45" t="e">
        <f t="shared" si="537"/>
        <v>#N/A</v>
      </c>
      <c r="DR456" s="69" t="e">
        <f t="shared" si="538"/>
        <v>#N/A</v>
      </c>
      <c r="DS456" s="34"/>
      <c r="DT456" s="67" t="e">
        <f>((BX456*CJ456)+IF($W456=MAT_AR,(BZ456*CL456),0))*(1+Reference!$E$50+Reference!$E$51)</f>
        <v>#N/A</v>
      </c>
      <c r="DU456" s="67">
        <f>((BY456*CK456)+IF($W456=MAT_AR,(CA456*CM456),0))*(1+Reference!$G$50+Reference!$G$51)</f>
        <v>0</v>
      </c>
      <c r="DV456" s="67" t="e">
        <f t="shared" si="539"/>
        <v>#VALUE!</v>
      </c>
      <c r="DX456" s="56">
        <v>442</v>
      </c>
      <c r="DY456" s="67">
        <f t="shared" si="540"/>
        <v>0</v>
      </c>
      <c r="DZ456" s="45" t="e">
        <f>VLOOKUP($R456,Dropdown!$C$3:$D$4,2,FALSE)</f>
        <v>#N/A</v>
      </c>
      <c r="EA456" s="68">
        <f t="shared" si="541"/>
        <v>0</v>
      </c>
      <c r="EB456" s="68" t="str">
        <f t="shared" si="542"/>
        <v>N/A</v>
      </c>
      <c r="EC456" s="68">
        <f t="shared" si="543"/>
        <v>0</v>
      </c>
      <c r="ED456" s="68" t="str">
        <f t="shared" si="581"/>
        <v>N/A</v>
      </c>
      <c r="EF456" s="56">
        <v>442</v>
      </c>
      <c r="EG456" s="46">
        <f t="shared" si="544"/>
        <v>0</v>
      </c>
      <c r="EH456" s="68" t="e">
        <f t="shared" si="545"/>
        <v>#N/A</v>
      </c>
      <c r="EI456" s="68" t="e">
        <f t="shared" si="546"/>
        <v>#N/A</v>
      </c>
      <c r="EJ456" s="68" t="e">
        <f t="shared" si="547"/>
        <v>#N/A</v>
      </c>
      <c r="EK456" s="68" t="e">
        <f t="shared" si="548"/>
        <v>#N/A</v>
      </c>
      <c r="EL456" s="46">
        <f t="shared" si="549"/>
        <v>0</v>
      </c>
      <c r="EM456" s="46">
        <f t="shared" si="550"/>
        <v>0</v>
      </c>
    </row>
    <row r="457" spans="1:143">
      <c r="A457" s="89"/>
      <c r="B457" s="89"/>
      <c r="C457" s="89"/>
      <c r="D457" s="89"/>
      <c r="E457" s="89"/>
      <c r="F457" s="89"/>
      <c r="G457" s="34"/>
      <c r="H457" s="56">
        <f t="shared" si="551"/>
        <v>443</v>
      </c>
      <c r="I457" s="165"/>
      <c r="J457" s="163"/>
      <c r="K457" s="163"/>
      <c r="L457" s="164"/>
      <c r="M457" s="155"/>
      <c r="N457" s="155"/>
      <c r="O457" s="144"/>
      <c r="P457" s="159" t="str">
        <f>IFERROR(IF(O457&lt;&gt;"User Specified",IF(O457&lt;&gt;"", INDEX('Refrigerant GWPs'!$G$2:$G$154,MATCH(O457,'Refrigerant GWPs'!$A$2:$A$154,0)),""),U457),0)</f>
        <v/>
      </c>
      <c r="Q457" s="155"/>
      <c r="R457" s="155"/>
      <c r="S457" s="144"/>
      <c r="T457" s="159" t="str">
        <f>IF(S457&lt;&gt;"User Specified",IF(AND(S457&lt;&gt;"User Specified",S457&lt;&gt;""), INDEX('Refrigerant GWPs'!$G$2:$G$154,MATCH(S457,'Refrigerant GWPs'!$A$2:$A$154,0)),""),V457)</f>
        <v/>
      </c>
      <c r="U457" s="144"/>
      <c r="V457" s="144"/>
      <c r="W457" s="155"/>
      <c r="X457" s="155"/>
      <c r="Y457" s="144"/>
      <c r="Z457" s="159" t="str">
        <f>IF(AND(Y457&lt;&gt;"User Specified",Y457&lt;&gt;""), INDEX('Refrigerant GWPs'!$G$2:$G$154,MATCH(Y457,'Refrigerant GWPs'!$A$2:$A$154,0)),"")</f>
        <v/>
      </c>
      <c r="AA457" s="155"/>
      <c r="AB457" s="156"/>
      <c r="AC457" s="66"/>
      <c r="AD457" s="66"/>
      <c r="AE457" s="66"/>
      <c r="AF457" s="66"/>
      <c r="AG457" s="66"/>
      <c r="AH457" s="66"/>
      <c r="AI457" s="34"/>
      <c r="AJ457" s="88">
        <f t="shared" si="514"/>
        <v>0</v>
      </c>
      <c r="AK457" s="88">
        <f t="shared" si="515"/>
        <v>0</v>
      </c>
      <c r="AL457" s="88">
        <v>0</v>
      </c>
      <c r="AM457" s="88">
        <v>0</v>
      </c>
      <c r="AN457" s="81" t="str">
        <f t="shared" si="553"/>
        <v/>
      </c>
      <c r="AO457" s="88">
        <f t="shared" si="516"/>
        <v>0</v>
      </c>
      <c r="AP457" s="88">
        <f t="shared" si="517"/>
        <v>0</v>
      </c>
      <c r="AQ457" s="81" t="str">
        <f t="shared" si="518"/>
        <v/>
      </c>
      <c r="AS457" s="41" t="b">
        <f t="shared" si="519"/>
        <v>1</v>
      </c>
      <c r="AT457" s="38">
        <f t="shared" si="520"/>
        <v>0</v>
      </c>
      <c r="AU457" s="60">
        <f t="shared" si="521"/>
        <v>0</v>
      </c>
      <c r="AV457" s="41">
        <f t="shared" si="522"/>
        <v>0</v>
      </c>
      <c r="AW457" s="41" t="b">
        <f t="shared" si="523"/>
        <v>0</v>
      </c>
      <c r="AX457" t="str">
        <f t="shared" si="524"/>
        <v>+00</v>
      </c>
      <c r="AY457" t="str">
        <f t="shared" si="525"/>
        <v>+00</v>
      </c>
      <c r="BA457" s="47" t="b">
        <f t="shared" si="554"/>
        <v>1</v>
      </c>
      <c r="BB457" s="42" t="b">
        <f t="shared" si="555"/>
        <v>1</v>
      </c>
      <c r="BC457" s="42" t="b">
        <f t="shared" si="556"/>
        <v>0</v>
      </c>
      <c r="BD457" s="42" t="b">
        <f t="shared" si="557"/>
        <v>0</v>
      </c>
      <c r="BE457" s="70">
        <f t="shared" si="558"/>
        <v>0</v>
      </c>
      <c r="BF457" s="70">
        <f t="shared" si="559"/>
        <v>0</v>
      </c>
      <c r="BG457" s="34"/>
      <c r="BI457" s="47" t="b">
        <f t="shared" si="560"/>
        <v>1</v>
      </c>
      <c r="BJ457" s="47" t="b">
        <f t="shared" si="561"/>
        <v>1</v>
      </c>
      <c r="BK457" s="42" t="b">
        <f t="shared" si="562"/>
        <v>0</v>
      </c>
      <c r="BL457" s="42" t="b">
        <f t="shared" si="563"/>
        <v>0</v>
      </c>
      <c r="BM457" s="42">
        <f t="shared" si="564"/>
        <v>0</v>
      </c>
      <c r="BN457" s="42">
        <f t="shared" si="565"/>
        <v>0</v>
      </c>
      <c r="BP457" t="e">
        <f t="shared" si="566"/>
        <v>#N/A</v>
      </c>
      <c r="BQ457" t="e">
        <f t="shared" si="567"/>
        <v>#N/A</v>
      </c>
      <c r="BR457" t="e">
        <f t="shared" si="568"/>
        <v>#N/A</v>
      </c>
      <c r="BT457" s="60">
        <f t="shared" si="569"/>
        <v>0</v>
      </c>
      <c r="BU457" s="60">
        <f t="shared" si="570"/>
        <v>0</v>
      </c>
      <c r="BV457" s="60">
        <f t="shared" si="571"/>
        <v>0</v>
      </c>
      <c r="BW457" s="60">
        <f t="shared" si="572"/>
        <v>0</v>
      </c>
      <c r="BX457" s="60">
        <f t="shared" si="573"/>
        <v>0</v>
      </c>
      <c r="BY457" s="60">
        <f t="shared" si="574"/>
        <v>0</v>
      </c>
      <c r="BZ457" s="60">
        <f t="shared" si="575"/>
        <v>0</v>
      </c>
      <c r="CA457" s="60">
        <f t="shared" si="576"/>
        <v>0</v>
      </c>
      <c r="CB457" s="60" t="e">
        <f t="shared" si="526"/>
        <v>#N/A</v>
      </c>
      <c r="CC457" s="60">
        <f t="shared" si="527"/>
        <v>100000</v>
      </c>
      <c r="CD457" s="60" t="e">
        <f t="shared" si="528"/>
        <v>#N/A</v>
      </c>
      <c r="CE457" s="60">
        <f t="shared" si="529"/>
        <v>100000</v>
      </c>
      <c r="CF457" s="83" t="e">
        <f t="shared" si="577"/>
        <v>#N/A</v>
      </c>
      <c r="CG457" s="83">
        <f t="shared" si="578"/>
        <v>0</v>
      </c>
      <c r="CH457" s="83" t="e">
        <f t="shared" si="579"/>
        <v>#N/A</v>
      </c>
      <c r="CI457" s="83">
        <f t="shared" si="580"/>
        <v>0</v>
      </c>
      <c r="CJ457" s="86" t="e">
        <f t="shared" si="530"/>
        <v>#N/A</v>
      </c>
      <c r="CK457" s="82">
        <f t="shared" si="531"/>
        <v>5.3070370403969858E-3</v>
      </c>
      <c r="CL457" s="82" t="e">
        <f t="shared" si="532"/>
        <v>#N/A</v>
      </c>
      <c r="CM457" s="82">
        <f t="shared" si="533"/>
        <v>5.3070370403969858E-3</v>
      </c>
      <c r="CO457" s="149" t="str">
        <f>IF($I457&lt;&gt;"",IF(O457="User Specified",U457,INDEX('Refrigerant GWPs'!$G$2:$G$156,MATCH(O457,'Refrigerant GWPs'!$A$2:$A$156,0))),"")</f>
        <v/>
      </c>
      <c r="CP457" s="138" t="str">
        <f>IF($I457&lt;&gt;"",INDEX('Device Refrigerant Leakage'!$E$2:$E$42,MATCH($M457,'Device Refrigerant Leakage'!$B$2:$B$42,0)),"")</f>
        <v/>
      </c>
      <c r="CQ457" s="138" t="str">
        <f>IF($I457&lt;&gt;"",INDEX('Device Refrigerant Leakage'!$F$2:$F$42,MATCH($M457,'Device Refrigerant Leakage'!$B$2:$B$42,0)),"")</f>
        <v/>
      </c>
      <c r="CR457" s="145" t="str">
        <f>IF($I457&lt;&gt;"",INDEX('Device Refrigerant Leakage'!$G$2:$G$42,MATCH($M457,'Device Refrigerant Leakage'!$B$2:$B$42,0)),"")</f>
        <v/>
      </c>
      <c r="CS457" s="145" t="str">
        <f>IF($I457&lt;&gt;"",INDEX('Device Refrigerant Leakage'!$D$2:$D$42,MATCH($M457,'Device Refrigerant Leakage'!$B$2:$B$42,0))*CP457/2204.62*CO457,"")</f>
        <v/>
      </c>
      <c r="CT457" s="145" t="str">
        <f>IF($I457&lt;&gt;"",J457*(INDEX('Device Refrigerant Leakage'!$D$2:$D$42,MATCH($M457,'Device Refrigerant Leakage'!$B$2:$B$42,0))-(INDEX('Device Refrigerant Leakage'!$D$2:$D$42,MATCH($M457,'Device Refrigerant Leakage'!$B$2:$B$42,0)))*CR457*CP457)*CQ457/2204.62*CO457,"")</f>
        <v/>
      </c>
      <c r="CU457" s="135" t="str">
        <f>IF($I457&lt;&gt;"",J457*IF(W457&lt;&gt;"AR",(CS457*K457)+CT457,(CS457*AB457)+CT457*(AB457/INDEX('Device Refrigerant Leakage'!$C$2:$C$42,MATCH($M457,'Device Refrigerant Leakage'!$B$2:$B$42,0)))),"")</f>
        <v/>
      </c>
      <c r="CW457" s="135" t="str">
        <f>IF($I457&lt;&gt;"",IF(S457="User Specified",V457,INDEX('Refrigerant GWPs'!$G$2:$G$156,MATCH(S457,'Refrigerant GWPs'!$A$2:$A$157,0))),"")</f>
        <v/>
      </c>
      <c r="CX457" s="138" t="str">
        <f>IF($I457&lt;&gt;"",INDEX('Device Refrigerant Leakage'!$E$2:$E$42,MATCH($Q457,'Device Refrigerant Leakage'!$B$2:$B$42,0)),"")</f>
        <v/>
      </c>
      <c r="CY457" s="138" t="str">
        <f>IF($I457&lt;&gt;"",INDEX('Device Refrigerant Leakage'!$F$2:$F$42,MATCH($Q457,'Device Refrigerant Leakage'!$B$2:$B$42,0)),"")</f>
        <v/>
      </c>
      <c r="CZ457" s="145" t="str">
        <f>IF($I457&lt;&gt;"",INDEX('Device Refrigerant Leakage'!$G$2:$G$42,MATCH($Q457,'Device Refrigerant Leakage'!$B$2:$B$42,0)),"")</f>
        <v/>
      </c>
      <c r="DA457" s="145" t="str">
        <f>IF($I457&lt;&gt;"",J457*INDEX('Device Refrigerant Leakage'!$D$2:$D$42,MATCH($Q457,'Device Refrigerant Leakage'!$B$2:$B$42,0))*CX457/2204.62*CW457,"")</f>
        <v/>
      </c>
      <c r="DB457" s="145" t="str">
        <f>IF($I457&lt;&gt;"",J457*(INDEX('Device Refrigerant Leakage'!$D$2:$D$42,MATCH($Q457,'Device Refrigerant Leakage'!$B$2:$B$42,0))-(INDEX('Device Refrigerant Leakage'!$D$2:$D$42,MATCH($Q457,'Device Refrigerant Leakage'!$B$2:$B$42,0)))*CZ457*CX457)*CY457/2204.62*CW457,"")</f>
        <v/>
      </c>
      <c r="DC457" s="135" t="str">
        <f t="shared" si="552"/>
        <v/>
      </c>
      <c r="DE457" s="146" t="str">
        <f>IF(W457&lt;&gt;"AR","",IF(Y457="User Specified", AA457, INDEX('Refrigerant GWPs'!$G$2:$G$154,MATCH(Y457,'Refrigerant GWPs'!$A$2:$A$154,0))))</f>
        <v/>
      </c>
      <c r="DF457" s="146" t="str">
        <f>IF(W457&lt;&gt;"AR","",INDEX('Device Refrigerant Leakage'!$E$2:$E$42,MATCH(X457,'Device Refrigerant Leakage'!$B$2:$B$42,0)))</f>
        <v/>
      </c>
      <c r="DG457" s="146" t="str">
        <f>IF(W457&lt;&gt;"AR","",INDEX('Device Refrigerant Leakage'!$F$2:$F$42,MATCH(X457,'Device Refrigerant Leakage'!$B$2:$B$42,0)))</f>
        <v/>
      </c>
      <c r="DH457" s="146" t="str">
        <f>IF(W457&lt;&gt;"AR","",INDEX('Device Refrigerant Leakage'!$G$2:$G$42,MATCH(X457,'Device Refrigerant Leakage'!$B$2:$B$42,0)))</f>
        <v/>
      </c>
      <c r="DI457" s="146" t="str">
        <f>IF(W457&lt;&gt;"AR","",J457*INDEX('Device Refrigerant Leakage'!$D$2:$D$42,MATCH(X457,'Device Refrigerant Leakage'!$B$2:$B$42,0))*DF457/2204.62*DE457)</f>
        <v/>
      </c>
      <c r="DJ457" s="146" t="str">
        <f>IF(W457&lt;&gt;"AR","",J457*(INDEX('Device Refrigerant Leakage'!$D$2:$D$42,MATCH(X457,'Device Refrigerant Leakage'!$B$2:$B$42,0))-(INDEX('Device Refrigerant Leakage'!$D$2:$D$42,MATCH(X457,'Device Refrigerant Leakage'!$B$2:$B$42,0)))*DH457*DF457)*DG457/2204.62*DE457)</f>
        <v/>
      </c>
      <c r="DK457" s="146" t="str">
        <f>IF(W457&lt;&gt;"AR","",DI457*(K457-AB457)+'Fuel Sub Calcs-Deemed'!DJ457*((K457-AB457)/INDEX('Device Refrigerant Leakage'!$C$2:$C$42,MATCH('Fuel Sub Calcs-Deemed'!X457,'Device Refrigerant Leakage'!$B$2:$B$42,0))))</f>
        <v/>
      </c>
      <c r="DM457" s="56">
        <v>443</v>
      </c>
      <c r="DN457" s="67" t="e">
        <f t="shared" si="534"/>
        <v>#N/A</v>
      </c>
      <c r="DO457" s="45" t="e">
        <f t="shared" si="535"/>
        <v>#N/A</v>
      </c>
      <c r="DP457" s="67" t="e">
        <f t="shared" si="536"/>
        <v>#N/A</v>
      </c>
      <c r="DQ457" s="45" t="e">
        <f t="shared" si="537"/>
        <v>#N/A</v>
      </c>
      <c r="DR457" s="69" t="e">
        <f t="shared" si="538"/>
        <v>#N/A</v>
      </c>
      <c r="DS457" s="34"/>
      <c r="DT457" s="67" t="e">
        <f>((BX457*CJ457)+IF($W457=MAT_AR,(BZ457*CL457),0))*(1+Reference!$E$50+Reference!$E$51)</f>
        <v>#N/A</v>
      </c>
      <c r="DU457" s="67">
        <f>((BY457*CK457)+IF($W457=MAT_AR,(CA457*CM457),0))*(1+Reference!$G$50+Reference!$G$51)</f>
        <v>0</v>
      </c>
      <c r="DV457" s="67" t="e">
        <f t="shared" si="539"/>
        <v>#VALUE!</v>
      </c>
      <c r="DX457" s="56">
        <v>443</v>
      </c>
      <c r="DY457" s="67">
        <f t="shared" si="540"/>
        <v>0</v>
      </c>
      <c r="DZ457" s="45" t="e">
        <f>VLOOKUP($R457,Dropdown!$C$3:$D$4,2,FALSE)</f>
        <v>#N/A</v>
      </c>
      <c r="EA457" s="68">
        <f t="shared" si="541"/>
        <v>0</v>
      </c>
      <c r="EB457" s="68" t="str">
        <f t="shared" si="542"/>
        <v>N/A</v>
      </c>
      <c r="EC457" s="68">
        <f t="shared" si="543"/>
        <v>0</v>
      </c>
      <c r="ED457" s="68" t="str">
        <f t="shared" si="581"/>
        <v>N/A</v>
      </c>
      <c r="EF457" s="56">
        <v>443</v>
      </c>
      <c r="EG457" s="46">
        <f t="shared" si="544"/>
        <v>0</v>
      </c>
      <c r="EH457" s="68" t="e">
        <f t="shared" si="545"/>
        <v>#N/A</v>
      </c>
      <c r="EI457" s="68" t="e">
        <f t="shared" si="546"/>
        <v>#N/A</v>
      </c>
      <c r="EJ457" s="68" t="e">
        <f t="shared" si="547"/>
        <v>#N/A</v>
      </c>
      <c r="EK457" s="68" t="e">
        <f t="shared" si="548"/>
        <v>#N/A</v>
      </c>
      <c r="EL457" s="46">
        <f t="shared" si="549"/>
        <v>0</v>
      </c>
      <c r="EM457" s="46">
        <f t="shared" si="550"/>
        <v>0</v>
      </c>
    </row>
    <row r="458" spans="1:143">
      <c r="A458" s="89"/>
      <c r="B458" s="89"/>
      <c r="C458" s="89"/>
      <c r="D458" s="89"/>
      <c r="E458" s="89"/>
      <c r="F458" s="89"/>
      <c r="G458" s="34"/>
      <c r="H458" s="56">
        <f t="shared" si="551"/>
        <v>444</v>
      </c>
      <c r="I458" s="165"/>
      <c r="J458" s="163"/>
      <c r="K458" s="163"/>
      <c r="L458" s="164"/>
      <c r="M458" s="155"/>
      <c r="N458" s="155"/>
      <c r="O458" s="144"/>
      <c r="P458" s="159" t="str">
        <f>IFERROR(IF(O458&lt;&gt;"User Specified",IF(O458&lt;&gt;"", INDEX('Refrigerant GWPs'!$G$2:$G$154,MATCH(O458,'Refrigerant GWPs'!$A$2:$A$154,0)),""),U458),0)</f>
        <v/>
      </c>
      <c r="Q458" s="155"/>
      <c r="R458" s="155"/>
      <c r="S458" s="144"/>
      <c r="T458" s="159" t="str">
        <f>IF(S458&lt;&gt;"User Specified",IF(AND(S458&lt;&gt;"User Specified",S458&lt;&gt;""), INDEX('Refrigerant GWPs'!$G$2:$G$154,MATCH(S458,'Refrigerant GWPs'!$A$2:$A$154,0)),""),V458)</f>
        <v/>
      </c>
      <c r="U458" s="144"/>
      <c r="V458" s="144"/>
      <c r="W458" s="155"/>
      <c r="X458" s="155"/>
      <c r="Y458" s="144"/>
      <c r="Z458" s="159" t="str">
        <f>IF(AND(Y458&lt;&gt;"User Specified",Y458&lt;&gt;""), INDEX('Refrigerant GWPs'!$G$2:$G$154,MATCH(Y458,'Refrigerant GWPs'!$A$2:$A$154,0)),"")</f>
        <v/>
      </c>
      <c r="AA458" s="155"/>
      <c r="AB458" s="156"/>
      <c r="AC458" s="66"/>
      <c r="AD458" s="66"/>
      <c r="AE458" s="66"/>
      <c r="AF458" s="66"/>
      <c r="AG458" s="66"/>
      <c r="AH458" s="66"/>
      <c r="AI458" s="34"/>
      <c r="AJ458" s="88">
        <f t="shared" si="514"/>
        <v>0</v>
      </c>
      <c r="AK458" s="88">
        <f t="shared" si="515"/>
        <v>0</v>
      </c>
      <c r="AL458" s="88">
        <v>0</v>
      </c>
      <c r="AM458" s="88">
        <v>0</v>
      </c>
      <c r="AN458" s="81" t="str">
        <f t="shared" si="553"/>
        <v/>
      </c>
      <c r="AO458" s="88">
        <f t="shared" si="516"/>
        <v>0</v>
      </c>
      <c r="AP458" s="88">
        <f t="shared" si="517"/>
        <v>0</v>
      </c>
      <c r="AQ458" s="81" t="str">
        <f t="shared" si="518"/>
        <v/>
      </c>
      <c r="AS458" s="41" t="b">
        <f t="shared" si="519"/>
        <v>1</v>
      </c>
      <c r="AT458" s="38">
        <f t="shared" si="520"/>
        <v>0</v>
      </c>
      <c r="AU458" s="60">
        <f t="shared" si="521"/>
        <v>0</v>
      </c>
      <c r="AV458" s="41">
        <f t="shared" si="522"/>
        <v>0</v>
      </c>
      <c r="AW458" s="41" t="b">
        <f t="shared" si="523"/>
        <v>0</v>
      </c>
      <c r="AX458" t="str">
        <f t="shared" si="524"/>
        <v>+00</v>
      </c>
      <c r="AY458" t="str">
        <f t="shared" si="525"/>
        <v>+00</v>
      </c>
      <c r="BA458" s="47" t="b">
        <f t="shared" si="554"/>
        <v>1</v>
      </c>
      <c r="BB458" s="42" t="b">
        <f t="shared" si="555"/>
        <v>1</v>
      </c>
      <c r="BC458" s="42" t="b">
        <f t="shared" si="556"/>
        <v>0</v>
      </c>
      <c r="BD458" s="42" t="b">
        <f t="shared" si="557"/>
        <v>0</v>
      </c>
      <c r="BE458" s="70">
        <f t="shared" si="558"/>
        <v>0</v>
      </c>
      <c r="BF458" s="70">
        <f t="shared" si="559"/>
        <v>0</v>
      </c>
      <c r="BG458" s="34"/>
      <c r="BI458" s="47" t="b">
        <f t="shared" si="560"/>
        <v>1</v>
      </c>
      <c r="BJ458" s="47" t="b">
        <f t="shared" si="561"/>
        <v>1</v>
      </c>
      <c r="BK458" s="42" t="b">
        <f t="shared" si="562"/>
        <v>0</v>
      </c>
      <c r="BL458" s="42" t="b">
        <f t="shared" si="563"/>
        <v>0</v>
      </c>
      <c r="BM458" s="42">
        <f t="shared" si="564"/>
        <v>0</v>
      </c>
      <c r="BN458" s="42">
        <f t="shared" si="565"/>
        <v>0</v>
      </c>
      <c r="BP458" t="e">
        <f t="shared" si="566"/>
        <v>#N/A</v>
      </c>
      <c r="BQ458" t="e">
        <f t="shared" si="567"/>
        <v>#N/A</v>
      </c>
      <c r="BR458" t="e">
        <f t="shared" si="568"/>
        <v>#N/A</v>
      </c>
      <c r="BT458" s="60">
        <f t="shared" si="569"/>
        <v>0</v>
      </c>
      <c r="BU458" s="60">
        <f t="shared" si="570"/>
        <v>0</v>
      </c>
      <c r="BV458" s="60">
        <f t="shared" si="571"/>
        <v>0</v>
      </c>
      <c r="BW458" s="60">
        <f t="shared" si="572"/>
        <v>0</v>
      </c>
      <c r="BX458" s="60">
        <f t="shared" si="573"/>
        <v>0</v>
      </c>
      <c r="BY458" s="60">
        <f t="shared" si="574"/>
        <v>0</v>
      </c>
      <c r="BZ458" s="60">
        <f t="shared" si="575"/>
        <v>0</v>
      </c>
      <c r="CA458" s="60">
        <f t="shared" si="576"/>
        <v>0</v>
      </c>
      <c r="CB458" s="60" t="e">
        <f t="shared" si="526"/>
        <v>#N/A</v>
      </c>
      <c r="CC458" s="60">
        <f t="shared" si="527"/>
        <v>100000</v>
      </c>
      <c r="CD458" s="60" t="e">
        <f t="shared" si="528"/>
        <v>#N/A</v>
      </c>
      <c r="CE458" s="60">
        <f t="shared" si="529"/>
        <v>100000</v>
      </c>
      <c r="CF458" s="83" t="e">
        <f t="shared" si="577"/>
        <v>#N/A</v>
      </c>
      <c r="CG458" s="83">
        <f t="shared" si="578"/>
        <v>0</v>
      </c>
      <c r="CH458" s="83" t="e">
        <f t="shared" si="579"/>
        <v>#N/A</v>
      </c>
      <c r="CI458" s="83">
        <f t="shared" si="580"/>
        <v>0</v>
      </c>
      <c r="CJ458" s="86" t="e">
        <f t="shared" si="530"/>
        <v>#N/A</v>
      </c>
      <c r="CK458" s="82">
        <f t="shared" si="531"/>
        <v>5.3070370403969858E-3</v>
      </c>
      <c r="CL458" s="82" t="e">
        <f t="shared" si="532"/>
        <v>#N/A</v>
      </c>
      <c r="CM458" s="82">
        <f t="shared" si="533"/>
        <v>5.3070370403969858E-3</v>
      </c>
      <c r="CO458" s="149" t="str">
        <f>IF($I458&lt;&gt;"",IF(O458="User Specified",U458,INDEX('Refrigerant GWPs'!$G$2:$G$156,MATCH(O458,'Refrigerant GWPs'!$A$2:$A$156,0))),"")</f>
        <v/>
      </c>
      <c r="CP458" s="138" t="str">
        <f>IF($I458&lt;&gt;"",INDEX('Device Refrigerant Leakage'!$E$2:$E$42,MATCH($M458,'Device Refrigerant Leakage'!$B$2:$B$42,0)),"")</f>
        <v/>
      </c>
      <c r="CQ458" s="138" t="str">
        <f>IF($I458&lt;&gt;"",INDEX('Device Refrigerant Leakage'!$F$2:$F$42,MATCH($M458,'Device Refrigerant Leakage'!$B$2:$B$42,0)),"")</f>
        <v/>
      </c>
      <c r="CR458" s="145" t="str">
        <f>IF($I458&lt;&gt;"",INDEX('Device Refrigerant Leakage'!$G$2:$G$42,MATCH($M458,'Device Refrigerant Leakage'!$B$2:$B$42,0)),"")</f>
        <v/>
      </c>
      <c r="CS458" s="145" t="str">
        <f>IF($I458&lt;&gt;"",INDEX('Device Refrigerant Leakage'!$D$2:$D$42,MATCH($M458,'Device Refrigerant Leakage'!$B$2:$B$42,0))*CP458/2204.62*CO458,"")</f>
        <v/>
      </c>
      <c r="CT458" s="145" t="str">
        <f>IF($I458&lt;&gt;"",J458*(INDEX('Device Refrigerant Leakage'!$D$2:$D$42,MATCH($M458,'Device Refrigerant Leakage'!$B$2:$B$42,0))-(INDEX('Device Refrigerant Leakage'!$D$2:$D$42,MATCH($M458,'Device Refrigerant Leakage'!$B$2:$B$42,0)))*CR458*CP458)*CQ458/2204.62*CO458,"")</f>
        <v/>
      </c>
      <c r="CU458" s="135" t="str">
        <f>IF($I458&lt;&gt;"",J458*IF(W458&lt;&gt;"AR",(CS458*K458)+CT458,(CS458*AB458)+CT458*(AB458/INDEX('Device Refrigerant Leakage'!$C$2:$C$42,MATCH($M458,'Device Refrigerant Leakage'!$B$2:$B$42,0)))),"")</f>
        <v/>
      </c>
      <c r="CW458" s="135" t="str">
        <f>IF($I458&lt;&gt;"",IF(S458="User Specified",V458,INDEX('Refrigerant GWPs'!$G$2:$G$156,MATCH(S458,'Refrigerant GWPs'!$A$2:$A$157,0))),"")</f>
        <v/>
      </c>
      <c r="CX458" s="138" t="str">
        <f>IF($I458&lt;&gt;"",INDEX('Device Refrigerant Leakage'!$E$2:$E$42,MATCH($Q458,'Device Refrigerant Leakage'!$B$2:$B$42,0)),"")</f>
        <v/>
      </c>
      <c r="CY458" s="138" t="str">
        <f>IF($I458&lt;&gt;"",INDEX('Device Refrigerant Leakage'!$F$2:$F$42,MATCH($Q458,'Device Refrigerant Leakage'!$B$2:$B$42,0)),"")</f>
        <v/>
      </c>
      <c r="CZ458" s="145" t="str">
        <f>IF($I458&lt;&gt;"",INDEX('Device Refrigerant Leakage'!$G$2:$G$42,MATCH($Q458,'Device Refrigerant Leakage'!$B$2:$B$42,0)),"")</f>
        <v/>
      </c>
      <c r="DA458" s="145" t="str">
        <f>IF($I458&lt;&gt;"",J458*INDEX('Device Refrigerant Leakage'!$D$2:$D$42,MATCH($Q458,'Device Refrigerant Leakage'!$B$2:$B$42,0))*CX458/2204.62*CW458,"")</f>
        <v/>
      </c>
      <c r="DB458" s="145" t="str">
        <f>IF($I458&lt;&gt;"",J458*(INDEX('Device Refrigerant Leakage'!$D$2:$D$42,MATCH($Q458,'Device Refrigerant Leakage'!$B$2:$B$42,0))-(INDEX('Device Refrigerant Leakage'!$D$2:$D$42,MATCH($Q458,'Device Refrigerant Leakage'!$B$2:$B$42,0)))*CZ458*CX458)*CY458/2204.62*CW458,"")</f>
        <v/>
      </c>
      <c r="DC458" s="135" t="str">
        <f t="shared" si="552"/>
        <v/>
      </c>
      <c r="DE458" s="146" t="str">
        <f>IF(W458&lt;&gt;"AR","",IF(Y458="User Specified", AA458, INDEX('Refrigerant GWPs'!$G$2:$G$154,MATCH(Y458,'Refrigerant GWPs'!$A$2:$A$154,0))))</f>
        <v/>
      </c>
      <c r="DF458" s="146" t="str">
        <f>IF(W458&lt;&gt;"AR","",INDEX('Device Refrigerant Leakage'!$E$2:$E$42,MATCH(X458,'Device Refrigerant Leakage'!$B$2:$B$42,0)))</f>
        <v/>
      </c>
      <c r="DG458" s="146" t="str">
        <f>IF(W458&lt;&gt;"AR","",INDEX('Device Refrigerant Leakage'!$F$2:$F$42,MATCH(X458,'Device Refrigerant Leakage'!$B$2:$B$42,0)))</f>
        <v/>
      </c>
      <c r="DH458" s="146" t="str">
        <f>IF(W458&lt;&gt;"AR","",INDEX('Device Refrigerant Leakage'!$G$2:$G$42,MATCH(X458,'Device Refrigerant Leakage'!$B$2:$B$42,0)))</f>
        <v/>
      </c>
      <c r="DI458" s="146" t="str">
        <f>IF(W458&lt;&gt;"AR","",J458*INDEX('Device Refrigerant Leakage'!$D$2:$D$42,MATCH(X458,'Device Refrigerant Leakage'!$B$2:$B$42,0))*DF458/2204.62*DE458)</f>
        <v/>
      </c>
      <c r="DJ458" s="146" t="str">
        <f>IF(W458&lt;&gt;"AR","",J458*(INDEX('Device Refrigerant Leakage'!$D$2:$D$42,MATCH(X458,'Device Refrigerant Leakage'!$B$2:$B$42,0))-(INDEX('Device Refrigerant Leakage'!$D$2:$D$42,MATCH(X458,'Device Refrigerant Leakage'!$B$2:$B$42,0)))*DH458*DF458)*DG458/2204.62*DE458)</f>
        <v/>
      </c>
      <c r="DK458" s="146" t="str">
        <f>IF(W458&lt;&gt;"AR","",DI458*(K458-AB458)+'Fuel Sub Calcs-Deemed'!DJ458*((K458-AB458)/INDEX('Device Refrigerant Leakage'!$C$2:$C$42,MATCH('Fuel Sub Calcs-Deemed'!X458,'Device Refrigerant Leakage'!$B$2:$B$42,0))))</f>
        <v/>
      </c>
      <c r="DM458" s="56">
        <v>444</v>
      </c>
      <c r="DN458" s="67" t="e">
        <f t="shared" si="534"/>
        <v>#N/A</v>
      </c>
      <c r="DO458" s="45" t="e">
        <f t="shared" si="535"/>
        <v>#N/A</v>
      </c>
      <c r="DP458" s="67" t="e">
        <f t="shared" si="536"/>
        <v>#N/A</v>
      </c>
      <c r="DQ458" s="45" t="e">
        <f t="shared" si="537"/>
        <v>#N/A</v>
      </c>
      <c r="DR458" s="69" t="e">
        <f t="shared" si="538"/>
        <v>#N/A</v>
      </c>
      <c r="DS458" s="34"/>
      <c r="DT458" s="67" t="e">
        <f>((BX458*CJ458)+IF($W458=MAT_AR,(BZ458*CL458),0))*(1+Reference!$E$50+Reference!$E$51)</f>
        <v>#N/A</v>
      </c>
      <c r="DU458" s="67">
        <f>((BY458*CK458)+IF($W458=MAT_AR,(CA458*CM458),0))*(1+Reference!$G$50+Reference!$G$51)</f>
        <v>0</v>
      </c>
      <c r="DV458" s="67" t="e">
        <f t="shared" si="539"/>
        <v>#VALUE!</v>
      </c>
      <c r="DX458" s="56">
        <v>444</v>
      </c>
      <c r="DY458" s="67">
        <f t="shared" si="540"/>
        <v>0</v>
      </c>
      <c r="DZ458" s="45" t="e">
        <f>VLOOKUP($R458,Dropdown!$C$3:$D$4,2,FALSE)</f>
        <v>#N/A</v>
      </c>
      <c r="EA458" s="68">
        <f t="shared" si="541"/>
        <v>0</v>
      </c>
      <c r="EB458" s="68" t="str">
        <f t="shared" si="542"/>
        <v>N/A</v>
      </c>
      <c r="EC458" s="68">
        <f t="shared" si="543"/>
        <v>0</v>
      </c>
      <c r="ED458" s="68" t="str">
        <f t="shared" si="581"/>
        <v>N/A</v>
      </c>
      <c r="EF458" s="56">
        <v>444</v>
      </c>
      <c r="EG458" s="46">
        <f t="shared" si="544"/>
        <v>0</v>
      </c>
      <c r="EH458" s="68" t="e">
        <f t="shared" si="545"/>
        <v>#N/A</v>
      </c>
      <c r="EI458" s="68" t="e">
        <f t="shared" si="546"/>
        <v>#N/A</v>
      </c>
      <c r="EJ458" s="68" t="e">
        <f t="shared" si="547"/>
        <v>#N/A</v>
      </c>
      <c r="EK458" s="68" t="e">
        <f t="shared" si="548"/>
        <v>#N/A</v>
      </c>
      <c r="EL458" s="46">
        <f t="shared" si="549"/>
        <v>0</v>
      </c>
      <c r="EM458" s="46">
        <f t="shared" si="550"/>
        <v>0</v>
      </c>
    </row>
    <row r="459" spans="1:143">
      <c r="A459" s="89"/>
      <c r="B459" s="89"/>
      <c r="C459" s="89"/>
      <c r="D459" s="89"/>
      <c r="E459" s="89"/>
      <c r="F459" s="89"/>
      <c r="G459" s="34"/>
      <c r="H459" s="56">
        <f t="shared" si="551"/>
        <v>445</v>
      </c>
      <c r="I459" s="165"/>
      <c r="J459" s="163"/>
      <c r="K459" s="163"/>
      <c r="L459" s="164"/>
      <c r="M459" s="155"/>
      <c r="N459" s="155"/>
      <c r="O459" s="144"/>
      <c r="P459" s="159" t="str">
        <f>IFERROR(IF(O459&lt;&gt;"User Specified",IF(O459&lt;&gt;"", INDEX('Refrigerant GWPs'!$G$2:$G$154,MATCH(O459,'Refrigerant GWPs'!$A$2:$A$154,0)),""),U459),0)</f>
        <v/>
      </c>
      <c r="Q459" s="155"/>
      <c r="R459" s="155"/>
      <c r="S459" s="144"/>
      <c r="T459" s="159" t="str">
        <f>IF(S459&lt;&gt;"User Specified",IF(AND(S459&lt;&gt;"User Specified",S459&lt;&gt;""), INDEX('Refrigerant GWPs'!$G$2:$G$154,MATCH(S459,'Refrigerant GWPs'!$A$2:$A$154,0)),""),V459)</f>
        <v/>
      </c>
      <c r="U459" s="144"/>
      <c r="V459" s="144"/>
      <c r="W459" s="155"/>
      <c r="X459" s="155"/>
      <c r="Y459" s="144"/>
      <c r="Z459" s="159" t="str">
        <f>IF(AND(Y459&lt;&gt;"User Specified",Y459&lt;&gt;""), INDEX('Refrigerant GWPs'!$G$2:$G$154,MATCH(Y459,'Refrigerant GWPs'!$A$2:$A$154,0)),"")</f>
        <v/>
      </c>
      <c r="AA459" s="155"/>
      <c r="AB459" s="156"/>
      <c r="AC459" s="66"/>
      <c r="AD459" s="66"/>
      <c r="AE459" s="66"/>
      <c r="AF459" s="66"/>
      <c r="AG459" s="66"/>
      <c r="AH459" s="66"/>
      <c r="AI459" s="34"/>
      <c r="AJ459" s="88">
        <f t="shared" si="514"/>
        <v>0</v>
      </c>
      <c r="AK459" s="88">
        <f t="shared" si="515"/>
        <v>0</v>
      </c>
      <c r="AL459" s="88">
        <v>0</v>
      </c>
      <c r="AM459" s="88">
        <v>0</v>
      </c>
      <c r="AN459" s="81" t="str">
        <f t="shared" si="553"/>
        <v/>
      </c>
      <c r="AO459" s="88">
        <f t="shared" si="516"/>
        <v>0</v>
      </c>
      <c r="AP459" s="88">
        <f t="shared" si="517"/>
        <v>0</v>
      </c>
      <c r="AQ459" s="81" t="str">
        <f t="shared" si="518"/>
        <v/>
      </c>
      <c r="AS459" s="41" t="b">
        <f t="shared" si="519"/>
        <v>1</v>
      </c>
      <c r="AT459" s="38">
        <f t="shared" si="520"/>
        <v>0</v>
      </c>
      <c r="AU459" s="60">
        <f t="shared" si="521"/>
        <v>0</v>
      </c>
      <c r="AV459" s="41">
        <f t="shared" si="522"/>
        <v>0</v>
      </c>
      <c r="AW459" s="41" t="b">
        <f t="shared" si="523"/>
        <v>0</v>
      </c>
      <c r="AX459" t="str">
        <f t="shared" si="524"/>
        <v>+00</v>
      </c>
      <c r="AY459" t="str">
        <f t="shared" si="525"/>
        <v>+00</v>
      </c>
      <c r="BA459" s="47" t="b">
        <f t="shared" si="554"/>
        <v>1</v>
      </c>
      <c r="BB459" s="42" t="b">
        <f t="shared" si="555"/>
        <v>1</v>
      </c>
      <c r="BC459" s="42" t="b">
        <f t="shared" si="556"/>
        <v>0</v>
      </c>
      <c r="BD459" s="42" t="b">
        <f t="shared" si="557"/>
        <v>0</v>
      </c>
      <c r="BE459" s="70">
        <f t="shared" si="558"/>
        <v>0</v>
      </c>
      <c r="BF459" s="70">
        <f t="shared" si="559"/>
        <v>0</v>
      </c>
      <c r="BG459" s="34"/>
      <c r="BI459" s="47" t="b">
        <f t="shared" si="560"/>
        <v>1</v>
      </c>
      <c r="BJ459" s="47" t="b">
        <f t="shared" si="561"/>
        <v>1</v>
      </c>
      <c r="BK459" s="42" t="b">
        <f t="shared" si="562"/>
        <v>0</v>
      </c>
      <c r="BL459" s="42" t="b">
        <f t="shared" si="563"/>
        <v>0</v>
      </c>
      <c r="BM459" s="42">
        <f t="shared" si="564"/>
        <v>0</v>
      </c>
      <c r="BN459" s="42">
        <f t="shared" si="565"/>
        <v>0</v>
      </c>
      <c r="BP459" t="e">
        <f t="shared" si="566"/>
        <v>#N/A</v>
      </c>
      <c r="BQ459" t="e">
        <f t="shared" si="567"/>
        <v>#N/A</v>
      </c>
      <c r="BR459" t="e">
        <f t="shared" si="568"/>
        <v>#N/A</v>
      </c>
      <c r="BT459" s="60">
        <f t="shared" si="569"/>
        <v>0</v>
      </c>
      <c r="BU459" s="60">
        <f t="shared" si="570"/>
        <v>0</v>
      </c>
      <c r="BV459" s="60">
        <f t="shared" si="571"/>
        <v>0</v>
      </c>
      <c r="BW459" s="60">
        <f t="shared" si="572"/>
        <v>0</v>
      </c>
      <c r="BX459" s="60">
        <f t="shared" si="573"/>
        <v>0</v>
      </c>
      <c r="BY459" s="60">
        <f t="shared" si="574"/>
        <v>0</v>
      </c>
      <c r="BZ459" s="60">
        <f t="shared" si="575"/>
        <v>0</v>
      </c>
      <c r="CA459" s="60">
        <f t="shared" si="576"/>
        <v>0</v>
      </c>
      <c r="CB459" s="60" t="e">
        <f t="shared" si="526"/>
        <v>#N/A</v>
      </c>
      <c r="CC459" s="60">
        <f t="shared" si="527"/>
        <v>100000</v>
      </c>
      <c r="CD459" s="60" t="e">
        <f t="shared" si="528"/>
        <v>#N/A</v>
      </c>
      <c r="CE459" s="60">
        <f t="shared" si="529"/>
        <v>100000</v>
      </c>
      <c r="CF459" s="83" t="e">
        <f t="shared" si="577"/>
        <v>#N/A</v>
      </c>
      <c r="CG459" s="83">
        <f t="shared" si="578"/>
        <v>0</v>
      </c>
      <c r="CH459" s="83" t="e">
        <f t="shared" si="579"/>
        <v>#N/A</v>
      </c>
      <c r="CI459" s="83">
        <f t="shared" si="580"/>
        <v>0</v>
      </c>
      <c r="CJ459" s="86" t="e">
        <f t="shared" si="530"/>
        <v>#N/A</v>
      </c>
      <c r="CK459" s="82">
        <f t="shared" si="531"/>
        <v>5.3070370403969858E-3</v>
      </c>
      <c r="CL459" s="82" t="e">
        <f t="shared" si="532"/>
        <v>#N/A</v>
      </c>
      <c r="CM459" s="82">
        <f t="shared" si="533"/>
        <v>5.3070370403969858E-3</v>
      </c>
      <c r="CO459" s="149" t="str">
        <f>IF($I459&lt;&gt;"",IF(O459="User Specified",U459,INDEX('Refrigerant GWPs'!$G$2:$G$156,MATCH(O459,'Refrigerant GWPs'!$A$2:$A$156,0))),"")</f>
        <v/>
      </c>
      <c r="CP459" s="138" t="str">
        <f>IF($I459&lt;&gt;"",INDEX('Device Refrigerant Leakage'!$E$2:$E$42,MATCH($M459,'Device Refrigerant Leakage'!$B$2:$B$42,0)),"")</f>
        <v/>
      </c>
      <c r="CQ459" s="138" t="str">
        <f>IF($I459&lt;&gt;"",INDEX('Device Refrigerant Leakage'!$F$2:$F$42,MATCH($M459,'Device Refrigerant Leakage'!$B$2:$B$42,0)),"")</f>
        <v/>
      </c>
      <c r="CR459" s="145" t="str">
        <f>IF($I459&lt;&gt;"",INDEX('Device Refrigerant Leakage'!$G$2:$G$42,MATCH($M459,'Device Refrigerant Leakage'!$B$2:$B$42,0)),"")</f>
        <v/>
      </c>
      <c r="CS459" s="145" t="str">
        <f>IF($I459&lt;&gt;"",INDEX('Device Refrigerant Leakage'!$D$2:$D$42,MATCH($M459,'Device Refrigerant Leakage'!$B$2:$B$42,0))*CP459/2204.62*CO459,"")</f>
        <v/>
      </c>
      <c r="CT459" s="145" t="str">
        <f>IF($I459&lt;&gt;"",J459*(INDEX('Device Refrigerant Leakage'!$D$2:$D$42,MATCH($M459,'Device Refrigerant Leakage'!$B$2:$B$42,0))-(INDEX('Device Refrigerant Leakage'!$D$2:$D$42,MATCH($M459,'Device Refrigerant Leakage'!$B$2:$B$42,0)))*CR459*CP459)*CQ459/2204.62*CO459,"")</f>
        <v/>
      </c>
      <c r="CU459" s="135" t="str">
        <f>IF($I459&lt;&gt;"",J459*IF(W459&lt;&gt;"AR",(CS459*K459)+CT459,(CS459*AB459)+CT459*(AB459/INDEX('Device Refrigerant Leakage'!$C$2:$C$42,MATCH($M459,'Device Refrigerant Leakage'!$B$2:$B$42,0)))),"")</f>
        <v/>
      </c>
      <c r="CW459" s="135" t="str">
        <f>IF($I459&lt;&gt;"",IF(S459="User Specified",V459,INDEX('Refrigerant GWPs'!$G$2:$G$156,MATCH(S459,'Refrigerant GWPs'!$A$2:$A$157,0))),"")</f>
        <v/>
      </c>
      <c r="CX459" s="138" t="str">
        <f>IF($I459&lt;&gt;"",INDEX('Device Refrigerant Leakage'!$E$2:$E$42,MATCH($Q459,'Device Refrigerant Leakage'!$B$2:$B$42,0)),"")</f>
        <v/>
      </c>
      <c r="CY459" s="138" t="str">
        <f>IF($I459&lt;&gt;"",INDEX('Device Refrigerant Leakage'!$F$2:$F$42,MATCH($Q459,'Device Refrigerant Leakage'!$B$2:$B$42,0)),"")</f>
        <v/>
      </c>
      <c r="CZ459" s="145" t="str">
        <f>IF($I459&lt;&gt;"",INDEX('Device Refrigerant Leakage'!$G$2:$G$42,MATCH($Q459,'Device Refrigerant Leakage'!$B$2:$B$42,0)),"")</f>
        <v/>
      </c>
      <c r="DA459" s="145" t="str">
        <f>IF($I459&lt;&gt;"",J459*INDEX('Device Refrigerant Leakage'!$D$2:$D$42,MATCH($Q459,'Device Refrigerant Leakage'!$B$2:$B$42,0))*CX459/2204.62*CW459,"")</f>
        <v/>
      </c>
      <c r="DB459" s="145" t="str">
        <f>IF($I459&lt;&gt;"",J459*(INDEX('Device Refrigerant Leakage'!$D$2:$D$42,MATCH($Q459,'Device Refrigerant Leakage'!$B$2:$B$42,0))-(INDEX('Device Refrigerant Leakage'!$D$2:$D$42,MATCH($Q459,'Device Refrigerant Leakage'!$B$2:$B$42,0)))*CZ459*CX459)*CY459/2204.62*CW459,"")</f>
        <v/>
      </c>
      <c r="DC459" s="135" t="str">
        <f t="shared" si="552"/>
        <v/>
      </c>
      <c r="DE459" s="146" t="str">
        <f>IF(W459&lt;&gt;"AR","",IF(Y459="User Specified", AA459, INDEX('Refrigerant GWPs'!$G$2:$G$154,MATCH(Y459,'Refrigerant GWPs'!$A$2:$A$154,0))))</f>
        <v/>
      </c>
      <c r="DF459" s="146" t="str">
        <f>IF(W459&lt;&gt;"AR","",INDEX('Device Refrigerant Leakage'!$E$2:$E$42,MATCH(X459,'Device Refrigerant Leakage'!$B$2:$B$42,0)))</f>
        <v/>
      </c>
      <c r="DG459" s="146" t="str">
        <f>IF(W459&lt;&gt;"AR","",INDEX('Device Refrigerant Leakage'!$F$2:$F$42,MATCH(X459,'Device Refrigerant Leakage'!$B$2:$B$42,0)))</f>
        <v/>
      </c>
      <c r="DH459" s="146" t="str">
        <f>IF(W459&lt;&gt;"AR","",INDEX('Device Refrigerant Leakage'!$G$2:$G$42,MATCH(X459,'Device Refrigerant Leakage'!$B$2:$B$42,0)))</f>
        <v/>
      </c>
      <c r="DI459" s="146" t="str">
        <f>IF(W459&lt;&gt;"AR","",J459*INDEX('Device Refrigerant Leakage'!$D$2:$D$42,MATCH(X459,'Device Refrigerant Leakage'!$B$2:$B$42,0))*DF459/2204.62*DE459)</f>
        <v/>
      </c>
      <c r="DJ459" s="146" t="str">
        <f>IF(W459&lt;&gt;"AR","",J459*(INDEX('Device Refrigerant Leakage'!$D$2:$D$42,MATCH(X459,'Device Refrigerant Leakage'!$B$2:$B$42,0))-(INDEX('Device Refrigerant Leakage'!$D$2:$D$42,MATCH(X459,'Device Refrigerant Leakage'!$B$2:$B$42,0)))*DH459*DF459)*DG459/2204.62*DE459)</f>
        <v/>
      </c>
      <c r="DK459" s="146" t="str">
        <f>IF(W459&lt;&gt;"AR","",DI459*(K459-AB459)+'Fuel Sub Calcs-Deemed'!DJ459*((K459-AB459)/INDEX('Device Refrigerant Leakage'!$C$2:$C$42,MATCH('Fuel Sub Calcs-Deemed'!X459,'Device Refrigerant Leakage'!$B$2:$B$42,0))))</f>
        <v/>
      </c>
      <c r="DM459" s="56">
        <v>445</v>
      </c>
      <c r="DN459" s="67" t="e">
        <f t="shared" si="534"/>
        <v>#N/A</v>
      </c>
      <c r="DO459" s="45" t="e">
        <f t="shared" si="535"/>
        <v>#N/A</v>
      </c>
      <c r="DP459" s="67" t="e">
        <f t="shared" si="536"/>
        <v>#N/A</v>
      </c>
      <c r="DQ459" s="45" t="e">
        <f t="shared" si="537"/>
        <v>#N/A</v>
      </c>
      <c r="DR459" s="69" t="e">
        <f t="shared" si="538"/>
        <v>#N/A</v>
      </c>
      <c r="DS459" s="34"/>
      <c r="DT459" s="67" t="e">
        <f>((BX459*CJ459)+IF($W459=MAT_AR,(BZ459*CL459),0))*(1+Reference!$E$50+Reference!$E$51)</f>
        <v>#N/A</v>
      </c>
      <c r="DU459" s="67">
        <f>((BY459*CK459)+IF($W459=MAT_AR,(CA459*CM459),0))*(1+Reference!$G$50+Reference!$G$51)</f>
        <v>0</v>
      </c>
      <c r="DV459" s="67" t="e">
        <f t="shared" si="539"/>
        <v>#VALUE!</v>
      </c>
      <c r="DX459" s="56">
        <v>445</v>
      </c>
      <c r="DY459" s="67">
        <f t="shared" si="540"/>
        <v>0</v>
      </c>
      <c r="DZ459" s="45" t="e">
        <f>VLOOKUP($R459,Dropdown!$C$3:$D$4,2,FALSE)</f>
        <v>#N/A</v>
      </c>
      <c r="EA459" s="68">
        <f t="shared" si="541"/>
        <v>0</v>
      </c>
      <c r="EB459" s="68" t="str">
        <f t="shared" si="542"/>
        <v>N/A</v>
      </c>
      <c r="EC459" s="68">
        <f t="shared" si="543"/>
        <v>0</v>
      </c>
      <c r="ED459" s="68" t="str">
        <f t="shared" si="581"/>
        <v>N/A</v>
      </c>
      <c r="EF459" s="56">
        <v>445</v>
      </c>
      <c r="EG459" s="46">
        <f t="shared" si="544"/>
        <v>0</v>
      </c>
      <c r="EH459" s="68" t="e">
        <f t="shared" si="545"/>
        <v>#N/A</v>
      </c>
      <c r="EI459" s="68" t="e">
        <f t="shared" si="546"/>
        <v>#N/A</v>
      </c>
      <c r="EJ459" s="68" t="e">
        <f t="shared" si="547"/>
        <v>#N/A</v>
      </c>
      <c r="EK459" s="68" t="e">
        <f t="shared" si="548"/>
        <v>#N/A</v>
      </c>
      <c r="EL459" s="46">
        <f t="shared" si="549"/>
        <v>0</v>
      </c>
      <c r="EM459" s="46">
        <f t="shared" si="550"/>
        <v>0</v>
      </c>
    </row>
    <row r="460" spans="1:143">
      <c r="A460" s="89"/>
      <c r="B460" s="89"/>
      <c r="C460" s="89"/>
      <c r="D460" s="89"/>
      <c r="E460" s="89"/>
      <c r="F460" s="89"/>
      <c r="G460" s="34"/>
      <c r="H460" s="56">
        <f t="shared" si="551"/>
        <v>446</v>
      </c>
      <c r="I460" s="165"/>
      <c r="J460" s="163"/>
      <c r="K460" s="163"/>
      <c r="L460" s="164"/>
      <c r="M460" s="155"/>
      <c r="N460" s="155"/>
      <c r="O460" s="144"/>
      <c r="P460" s="159" t="str">
        <f>IFERROR(IF(O460&lt;&gt;"User Specified",IF(O460&lt;&gt;"", INDEX('Refrigerant GWPs'!$G$2:$G$154,MATCH(O460,'Refrigerant GWPs'!$A$2:$A$154,0)),""),U460),0)</f>
        <v/>
      </c>
      <c r="Q460" s="155"/>
      <c r="R460" s="155"/>
      <c r="S460" s="144"/>
      <c r="T460" s="159" t="str">
        <f>IF(S460&lt;&gt;"User Specified",IF(AND(S460&lt;&gt;"User Specified",S460&lt;&gt;""), INDEX('Refrigerant GWPs'!$G$2:$G$154,MATCH(S460,'Refrigerant GWPs'!$A$2:$A$154,0)),""),V460)</f>
        <v/>
      </c>
      <c r="U460" s="144"/>
      <c r="V460" s="144"/>
      <c r="W460" s="155"/>
      <c r="X460" s="155"/>
      <c r="Y460" s="144"/>
      <c r="Z460" s="159" t="str">
        <f>IF(AND(Y460&lt;&gt;"User Specified",Y460&lt;&gt;""), INDEX('Refrigerant GWPs'!$G$2:$G$154,MATCH(Y460,'Refrigerant GWPs'!$A$2:$A$154,0)),"")</f>
        <v/>
      </c>
      <c r="AA460" s="155"/>
      <c r="AB460" s="156"/>
      <c r="AC460" s="66"/>
      <c r="AD460" s="66"/>
      <c r="AE460" s="66"/>
      <c r="AF460" s="66"/>
      <c r="AG460" s="66"/>
      <c r="AH460" s="66"/>
      <c r="AI460" s="34"/>
      <c r="AJ460" s="88">
        <f t="shared" si="514"/>
        <v>0</v>
      </c>
      <c r="AK460" s="88">
        <f t="shared" si="515"/>
        <v>0</v>
      </c>
      <c r="AL460" s="88">
        <v>0</v>
      </c>
      <c r="AM460" s="88">
        <v>0</v>
      </c>
      <c r="AN460" s="81" t="str">
        <f t="shared" si="553"/>
        <v/>
      </c>
      <c r="AO460" s="88">
        <f t="shared" si="516"/>
        <v>0</v>
      </c>
      <c r="AP460" s="88">
        <f t="shared" si="517"/>
        <v>0</v>
      </c>
      <c r="AQ460" s="81" t="str">
        <f t="shared" si="518"/>
        <v/>
      </c>
      <c r="AS460" s="41" t="b">
        <f t="shared" si="519"/>
        <v>1</v>
      </c>
      <c r="AT460" s="38">
        <f t="shared" si="520"/>
        <v>0</v>
      </c>
      <c r="AU460" s="60">
        <f t="shared" si="521"/>
        <v>0</v>
      </c>
      <c r="AV460" s="41">
        <f t="shared" si="522"/>
        <v>0</v>
      </c>
      <c r="AW460" s="41" t="b">
        <f t="shared" si="523"/>
        <v>0</v>
      </c>
      <c r="AX460" t="str">
        <f t="shared" si="524"/>
        <v>+00</v>
      </c>
      <c r="AY460" t="str">
        <f t="shared" si="525"/>
        <v>+00</v>
      </c>
      <c r="BA460" s="47" t="b">
        <f t="shared" si="554"/>
        <v>1</v>
      </c>
      <c r="BB460" s="42" t="b">
        <f t="shared" si="555"/>
        <v>1</v>
      </c>
      <c r="BC460" s="42" t="b">
        <f t="shared" si="556"/>
        <v>0</v>
      </c>
      <c r="BD460" s="42" t="b">
        <f t="shared" si="557"/>
        <v>0</v>
      </c>
      <c r="BE460" s="70">
        <f t="shared" si="558"/>
        <v>0</v>
      </c>
      <c r="BF460" s="70">
        <f t="shared" si="559"/>
        <v>0</v>
      </c>
      <c r="BG460" s="34"/>
      <c r="BI460" s="47" t="b">
        <f t="shared" si="560"/>
        <v>1</v>
      </c>
      <c r="BJ460" s="47" t="b">
        <f t="shared" si="561"/>
        <v>1</v>
      </c>
      <c r="BK460" s="42" t="b">
        <f t="shared" si="562"/>
        <v>0</v>
      </c>
      <c r="BL460" s="42" t="b">
        <f t="shared" si="563"/>
        <v>0</v>
      </c>
      <c r="BM460" s="42">
        <f t="shared" si="564"/>
        <v>0</v>
      </c>
      <c r="BN460" s="42">
        <f t="shared" si="565"/>
        <v>0</v>
      </c>
      <c r="BP460" t="e">
        <f t="shared" si="566"/>
        <v>#N/A</v>
      </c>
      <c r="BQ460" t="e">
        <f t="shared" si="567"/>
        <v>#N/A</v>
      </c>
      <c r="BR460" t="e">
        <f t="shared" si="568"/>
        <v>#N/A</v>
      </c>
      <c r="BT460" s="60">
        <f t="shared" si="569"/>
        <v>0</v>
      </c>
      <c r="BU460" s="60">
        <f t="shared" si="570"/>
        <v>0</v>
      </c>
      <c r="BV460" s="60">
        <f t="shared" si="571"/>
        <v>0</v>
      </c>
      <c r="BW460" s="60">
        <f t="shared" si="572"/>
        <v>0</v>
      </c>
      <c r="BX460" s="60">
        <f t="shared" si="573"/>
        <v>0</v>
      </c>
      <c r="BY460" s="60">
        <f t="shared" si="574"/>
        <v>0</v>
      </c>
      <c r="BZ460" s="60">
        <f t="shared" si="575"/>
        <v>0</v>
      </c>
      <c r="CA460" s="60">
        <f t="shared" si="576"/>
        <v>0</v>
      </c>
      <c r="CB460" s="60" t="e">
        <f t="shared" si="526"/>
        <v>#N/A</v>
      </c>
      <c r="CC460" s="60">
        <f t="shared" si="527"/>
        <v>100000</v>
      </c>
      <c r="CD460" s="60" t="e">
        <f t="shared" si="528"/>
        <v>#N/A</v>
      </c>
      <c r="CE460" s="60">
        <f t="shared" si="529"/>
        <v>100000</v>
      </c>
      <c r="CF460" s="83" t="e">
        <f t="shared" si="577"/>
        <v>#N/A</v>
      </c>
      <c r="CG460" s="83">
        <f t="shared" si="578"/>
        <v>0</v>
      </c>
      <c r="CH460" s="83" t="e">
        <f t="shared" si="579"/>
        <v>#N/A</v>
      </c>
      <c r="CI460" s="83">
        <f t="shared" si="580"/>
        <v>0</v>
      </c>
      <c r="CJ460" s="86" t="e">
        <f t="shared" si="530"/>
        <v>#N/A</v>
      </c>
      <c r="CK460" s="82">
        <f t="shared" si="531"/>
        <v>5.3070370403969858E-3</v>
      </c>
      <c r="CL460" s="82" t="e">
        <f t="shared" si="532"/>
        <v>#N/A</v>
      </c>
      <c r="CM460" s="82">
        <f t="shared" si="533"/>
        <v>5.3070370403969858E-3</v>
      </c>
      <c r="CO460" s="149" t="str">
        <f>IF($I460&lt;&gt;"",IF(O460="User Specified",U460,INDEX('Refrigerant GWPs'!$G$2:$G$156,MATCH(O460,'Refrigerant GWPs'!$A$2:$A$156,0))),"")</f>
        <v/>
      </c>
      <c r="CP460" s="138" t="str">
        <f>IF($I460&lt;&gt;"",INDEX('Device Refrigerant Leakage'!$E$2:$E$42,MATCH($M460,'Device Refrigerant Leakage'!$B$2:$B$42,0)),"")</f>
        <v/>
      </c>
      <c r="CQ460" s="138" t="str">
        <f>IF($I460&lt;&gt;"",INDEX('Device Refrigerant Leakage'!$F$2:$F$42,MATCH($M460,'Device Refrigerant Leakage'!$B$2:$B$42,0)),"")</f>
        <v/>
      </c>
      <c r="CR460" s="145" t="str">
        <f>IF($I460&lt;&gt;"",INDEX('Device Refrigerant Leakage'!$G$2:$G$42,MATCH($M460,'Device Refrigerant Leakage'!$B$2:$B$42,0)),"")</f>
        <v/>
      </c>
      <c r="CS460" s="145" t="str">
        <f>IF($I460&lt;&gt;"",INDEX('Device Refrigerant Leakage'!$D$2:$D$42,MATCH($M460,'Device Refrigerant Leakage'!$B$2:$B$42,0))*CP460/2204.62*CO460,"")</f>
        <v/>
      </c>
      <c r="CT460" s="145" t="str">
        <f>IF($I460&lt;&gt;"",J460*(INDEX('Device Refrigerant Leakage'!$D$2:$D$42,MATCH($M460,'Device Refrigerant Leakage'!$B$2:$B$42,0))-(INDEX('Device Refrigerant Leakage'!$D$2:$D$42,MATCH($M460,'Device Refrigerant Leakage'!$B$2:$B$42,0)))*CR460*CP460)*CQ460/2204.62*CO460,"")</f>
        <v/>
      </c>
      <c r="CU460" s="135" t="str">
        <f>IF($I460&lt;&gt;"",J460*IF(W460&lt;&gt;"AR",(CS460*K460)+CT460,(CS460*AB460)+CT460*(AB460/INDEX('Device Refrigerant Leakage'!$C$2:$C$42,MATCH($M460,'Device Refrigerant Leakage'!$B$2:$B$42,0)))),"")</f>
        <v/>
      </c>
      <c r="CW460" s="135" t="str">
        <f>IF($I460&lt;&gt;"",IF(S460="User Specified",V460,INDEX('Refrigerant GWPs'!$G$2:$G$156,MATCH(S460,'Refrigerant GWPs'!$A$2:$A$157,0))),"")</f>
        <v/>
      </c>
      <c r="CX460" s="138" t="str">
        <f>IF($I460&lt;&gt;"",INDEX('Device Refrigerant Leakage'!$E$2:$E$42,MATCH($Q460,'Device Refrigerant Leakage'!$B$2:$B$42,0)),"")</f>
        <v/>
      </c>
      <c r="CY460" s="138" t="str">
        <f>IF($I460&lt;&gt;"",INDEX('Device Refrigerant Leakage'!$F$2:$F$42,MATCH($Q460,'Device Refrigerant Leakage'!$B$2:$B$42,0)),"")</f>
        <v/>
      </c>
      <c r="CZ460" s="145" t="str">
        <f>IF($I460&lt;&gt;"",INDEX('Device Refrigerant Leakage'!$G$2:$G$42,MATCH($Q460,'Device Refrigerant Leakage'!$B$2:$B$42,0)),"")</f>
        <v/>
      </c>
      <c r="DA460" s="145" t="str">
        <f>IF($I460&lt;&gt;"",J460*INDEX('Device Refrigerant Leakage'!$D$2:$D$42,MATCH($Q460,'Device Refrigerant Leakage'!$B$2:$B$42,0))*CX460/2204.62*CW460,"")</f>
        <v/>
      </c>
      <c r="DB460" s="145" t="str">
        <f>IF($I460&lt;&gt;"",J460*(INDEX('Device Refrigerant Leakage'!$D$2:$D$42,MATCH($Q460,'Device Refrigerant Leakage'!$B$2:$B$42,0))-(INDEX('Device Refrigerant Leakage'!$D$2:$D$42,MATCH($Q460,'Device Refrigerant Leakage'!$B$2:$B$42,0)))*CZ460*CX460)*CY460/2204.62*CW460,"")</f>
        <v/>
      </c>
      <c r="DC460" s="135" t="str">
        <f t="shared" si="552"/>
        <v/>
      </c>
      <c r="DE460" s="146" t="str">
        <f>IF(W460&lt;&gt;"AR","",IF(Y460="User Specified", AA460, INDEX('Refrigerant GWPs'!$G$2:$G$154,MATCH(Y460,'Refrigerant GWPs'!$A$2:$A$154,0))))</f>
        <v/>
      </c>
      <c r="DF460" s="146" t="str">
        <f>IF(W460&lt;&gt;"AR","",INDEX('Device Refrigerant Leakage'!$E$2:$E$42,MATCH(X460,'Device Refrigerant Leakage'!$B$2:$B$42,0)))</f>
        <v/>
      </c>
      <c r="DG460" s="146" t="str">
        <f>IF(W460&lt;&gt;"AR","",INDEX('Device Refrigerant Leakage'!$F$2:$F$42,MATCH(X460,'Device Refrigerant Leakage'!$B$2:$B$42,0)))</f>
        <v/>
      </c>
      <c r="DH460" s="146" t="str">
        <f>IF(W460&lt;&gt;"AR","",INDEX('Device Refrigerant Leakage'!$G$2:$G$42,MATCH(X460,'Device Refrigerant Leakage'!$B$2:$B$42,0)))</f>
        <v/>
      </c>
      <c r="DI460" s="146" t="str">
        <f>IF(W460&lt;&gt;"AR","",J460*INDEX('Device Refrigerant Leakage'!$D$2:$D$42,MATCH(X460,'Device Refrigerant Leakage'!$B$2:$B$42,0))*DF460/2204.62*DE460)</f>
        <v/>
      </c>
      <c r="DJ460" s="146" t="str">
        <f>IF(W460&lt;&gt;"AR","",J460*(INDEX('Device Refrigerant Leakage'!$D$2:$D$42,MATCH(X460,'Device Refrigerant Leakage'!$B$2:$B$42,0))-(INDEX('Device Refrigerant Leakage'!$D$2:$D$42,MATCH(X460,'Device Refrigerant Leakage'!$B$2:$B$42,0)))*DH460*DF460)*DG460/2204.62*DE460)</f>
        <v/>
      </c>
      <c r="DK460" s="146" t="str">
        <f>IF(W460&lt;&gt;"AR","",DI460*(K460-AB460)+'Fuel Sub Calcs-Deemed'!DJ460*((K460-AB460)/INDEX('Device Refrigerant Leakage'!$C$2:$C$42,MATCH('Fuel Sub Calcs-Deemed'!X460,'Device Refrigerant Leakage'!$B$2:$B$42,0))))</f>
        <v/>
      </c>
      <c r="DM460" s="56">
        <v>446</v>
      </c>
      <c r="DN460" s="67" t="e">
        <f t="shared" si="534"/>
        <v>#N/A</v>
      </c>
      <c r="DO460" s="45" t="e">
        <f t="shared" si="535"/>
        <v>#N/A</v>
      </c>
      <c r="DP460" s="67" t="e">
        <f t="shared" si="536"/>
        <v>#N/A</v>
      </c>
      <c r="DQ460" s="45" t="e">
        <f t="shared" si="537"/>
        <v>#N/A</v>
      </c>
      <c r="DR460" s="69" t="e">
        <f t="shared" si="538"/>
        <v>#N/A</v>
      </c>
      <c r="DS460" s="34"/>
      <c r="DT460" s="67" t="e">
        <f>((BX460*CJ460)+IF($W460=MAT_AR,(BZ460*CL460),0))*(1+Reference!$E$50+Reference!$E$51)</f>
        <v>#N/A</v>
      </c>
      <c r="DU460" s="67">
        <f>((BY460*CK460)+IF($W460=MAT_AR,(CA460*CM460),0))*(1+Reference!$G$50+Reference!$G$51)</f>
        <v>0</v>
      </c>
      <c r="DV460" s="67" t="e">
        <f t="shared" si="539"/>
        <v>#VALUE!</v>
      </c>
      <c r="DX460" s="56">
        <v>446</v>
      </c>
      <c r="DY460" s="67">
        <f t="shared" si="540"/>
        <v>0</v>
      </c>
      <c r="DZ460" s="45" t="e">
        <f>VLOOKUP($R460,Dropdown!$C$3:$D$4,2,FALSE)</f>
        <v>#N/A</v>
      </c>
      <c r="EA460" s="68">
        <f t="shared" si="541"/>
        <v>0</v>
      </c>
      <c r="EB460" s="68" t="str">
        <f t="shared" si="542"/>
        <v>N/A</v>
      </c>
      <c r="EC460" s="68">
        <f t="shared" si="543"/>
        <v>0</v>
      </c>
      <c r="ED460" s="68" t="str">
        <f t="shared" si="581"/>
        <v>N/A</v>
      </c>
      <c r="EF460" s="56">
        <v>446</v>
      </c>
      <c r="EG460" s="46">
        <f t="shared" si="544"/>
        <v>0</v>
      </c>
      <c r="EH460" s="68" t="e">
        <f t="shared" si="545"/>
        <v>#N/A</v>
      </c>
      <c r="EI460" s="68" t="e">
        <f t="shared" si="546"/>
        <v>#N/A</v>
      </c>
      <c r="EJ460" s="68" t="e">
        <f t="shared" si="547"/>
        <v>#N/A</v>
      </c>
      <c r="EK460" s="68" t="e">
        <f t="shared" si="548"/>
        <v>#N/A</v>
      </c>
      <c r="EL460" s="46">
        <f t="shared" si="549"/>
        <v>0</v>
      </c>
      <c r="EM460" s="46">
        <f t="shared" si="550"/>
        <v>0</v>
      </c>
    </row>
    <row r="461" spans="1:143">
      <c r="A461" s="89"/>
      <c r="B461" s="89"/>
      <c r="C461" s="89"/>
      <c r="D461" s="89"/>
      <c r="E461" s="89"/>
      <c r="F461" s="89"/>
      <c r="G461" s="34"/>
      <c r="H461" s="56">
        <f t="shared" si="551"/>
        <v>447</v>
      </c>
      <c r="I461" s="165"/>
      <c r="J461" s="163"/>
      <c r="K461" s="163"/>
      <c r="L461" s="164"/>
      <c r="M461" s="155"/>
      <c r="N461" s="155"/>
      <c r="O461" s="144"/>
      <c r="P461" s="159" t="str">
        <f>IFERROR(IF(O461&lt;&gt;"User Specified",IF(O461&lt;&gt;"", INDEX('Refrigerant GWPs'!$G$2:$G$154,MATCH(O461,'Refrigerant GWPs'!$A$2:$A$154,0)),""),U461),0)</f>
        <v/>
      </c>
      <c r="Q461" s="155"/>
      <c r="R461" s="155"/>
      <c r="S461" s="144"/>
      <c r="T461" s="159" t="str">
        <f>IF(S461&lt;&gt;"User Specified",IF(AND(S461&lt;&gt;"User Specified",S461&lt;&gt;""), INDEX('Refrigerant GWPs'!$G$2:$G$154,MATCH(S461,'Refrigerant GWPs'!$A$2:$A$154,0)),""),V461)</f>
        <v/>
      </c>
      <c r="U461" s="144"/>
      <c r="V461" s="144"/>
      <c r="W461" s="155"/>
      <c r="X461" s="155"/>
      <c r="Y461" s="144"/>
      <c r="Z461" s="159" t="str">
        <f>IF(AND(Y461&lt;&gt;"User Specified",Y461&lt;&gt;""), INDEX('Refrigerant GWPs'!$G$2:$G$154,MATCH(Y461,'Refrigerant GWPs'!$A$2:$A$154,0)),"")</f>
        <v/>
      </c>
      <c r="AA461" s="155"/>
      <c r="AB461" s="156"/>
      <c r="AC461" s="66"/>
      <c r="AD461" s="66"/>
      <c r="AE461" s="66"/>
      <c r="AF461" s="66"/>
      <c r="AG461" s="66"/>
      <c r="AH461" s="66"/>
      <c r="AI461" s="34"/>
      <c r="AJ461" s="88">
        <f t="shared" si="514"/>
        <v>0</v>
      </c>
      <c r="AK461" s="88">
        <f t="shared" si="515"/>
        <v>0</v>
      </c>
      <c r="AL461" s="88">
        <v>0</v>
      </c>
      <c r="AM461" s="88">
        <v>0</v>
      </c>
      <c r="AN461" s="81" t="str">
        <f t="shared" si="553"/>
        <v/>
      </c>
      <c r="AO461" s="88">
        <f t="shared" si="516"/>
        <v>0</v>
      </c>
      <c r="AP461" s="88">
        <f t="shared" si="517"/>
        <v>0</v>
      </c>
      <c r="AQ461" s="81" t="str">
        <f t="shared" si="518"/>
        <v/>
      </c>
      <c r="AS461" s="41" t="b">
        <f t="shared" si="519"/>
        <v>1</v>
      </c>
      <c r="AT461" s="38">
        <f t="shared" si="520"/>
        <v>0</v>
      </c>
      <c r="AU461" s="60">
        <f t="shared" si="521"/>
        <v>0</v>
      </c>
      <c r="AV461" s="41">
        <f t="shared" si="522"/>
        <v>0</v>
      </c>
      <c r="AW461" s="41" t="b">
        <f t="shared" si="523"/>
        <v>0</v>
      </c>
      <c r="AX461" t="str">
        <f t="shared" si="524"/>
        <v>+00</v>
      </c>
      <c r="AY461" t="str">
        <f t="shared" si="525"/>
        <v>+00</v>
      </c>
      <c r="BA461" s="47" t="b">
        <f t="shared" si="554"/>
        <v>1</v>
      </c>
      <c r="BB461" s="42" t="b">
        <f t="shared" si="555"/>
        <v>1</v>
      </c>
      <c r="BC461" s="42" t="b">
        <f t="shared" si="556"/>
        <v>0</v>
      </c>
      <c r="BD461" s="42" t="b">
        <f t="shared" si="557"/>
        <v>0</v>
      </c>
      <c r="BE461" s="70">
        <f t="shared" si="558"/>
        <v>0</v>
      </c>
      <c r="BF461" s="70">
        <f t="shared" si="559"/>
        <v>0</v>
      </c>
      <c r="BG461" s="34"/>
      <c r="BI461" s="47" t="b">
        <f t="shared" si="560"/>
        <v>1</v>
      </c>
      <c r="BJ461" s="47" t="b">
        <f t="shared" si="561"/>
        <v>1</v>
      </c>
      <c r="BK461" s="42" t="b">
        <f t="shared" si="562"/>
        <v>0</v>
      </c>
      <c r="BL461" s="42" t="b">
        <f t="shared" si="563"/>
        <v>0</v>
      </c>
      <c r="BM461" s="42">
        <f t="shared" si="564"/>
        <v>0</v>
      </c>
      <c r="BN461" s="42">
        <f t="shared" si="565"/>
        <v>0</v>
      </c>
      <c r="BP461" t="e">
        <f t="shared" si="566"/>
        <v>#N/A</v>
      </c>
      <c r="BQ461" t="e">
        <f t="shared" si="567"/>
        <v>#N/A</v>
      </c>
      <c r="BR461" t="e">
        <f t="shared" si="568"/>
        <v>#N/A</v>
      </c>
      <c r="BT461" s="60">
        <f t="shared" si="569"/>
        <v>0</v>
      </c>
      <c r="BU461" s="60">
        <f t="shared" si="570"/>
        <v>0</v>
      </c>
      <c r="BV461" s="60">
        <f t="shared" si="571"/>
        <v>0</v>
      </c>
      <c r="BW461" s="60">
        <f t="shared" si="572"/>
        <v>0</v>
      </c>
      <c r="BX461" s="60">
        <f t="shared" si="573"/>
        <v>0</v>
      </c>
      <c r="BY461" s="60">
        <f t="shared" si="574"/>
        <v>0</v>
      </c>
      <c r="BZ461" s="60">
        <f t="shared" si="575"/>
        <v>0</v>
      </c>
      <c r="CA461" s="60">
        <f t="shared" si="576"/>
        <v>0</v>
      </c>
      <c r="CB461" s="60" t="e">
        <f t="shared" si="526"/>
        <v>#N/A</v>
      </c>
      <c r="CC461" s="60">
        <f t="shared" si="527"/>
        <v>100000</v>
      </c>
      <c r="CD461" s="60" t="e">
        <f t="shared" si="528"/>
        <v>#N/A</v>
      </c>
      <c r="CE461" s="60">
        <f t="shared" si="529"/>
        <v>100000</v>
      </c>
      <c r="CF461" s="83" t="e">
        <f t="shared" si="577"/>
        <v>#N/A</v>
      </c>
      <c r="CG461" s="83">
        <f t="shared" si="578"/>
        <v>0</v>
      </c>
      <c r="CH461" s="83" t="e">
        <f t="shared" si="579"/>
        <v>#N/A</v>
      </c>
      <c r="CI461" s="83">
        <f t="shared" si="580"/>
        <v>0</v>
      </c>
      <c r="CJ461" s="86" t="e">
        <f t="shared" si="530"/>
        <v>#N/A</v>
      </c>
      <c r="CK461" s="82">
        <f t="shared" si="531"/>
        <v>5.3070370403969858E-3</v>
      </c>
      <c r="CL461" s="82" t="e">
        <f t="shared" si="532"/>
        <v>#N/A</v>
      </c>
      <c r="CM461" s="82">
        <f t="shared" si="533"/>
        <v>5.3070370403969858E-3</v>
      </c>
      <c r="CO461" s="149" t="str">
        <f>IF($I461&lt;&gt;"",IF(O461="User Specified",U461,INDEX('Refrigerant GWPs'!$G$2:$G$156,MATCH(O461,'Refrigerant GWPs'!$A$2:$A$156,0))),"")</f>
        <v/>
      </c>
      <c r="CP461" s="138" t="str">
        <f>IF($I461&lt;&gt;"",INDEX('Device Refrigerant Leakage'!$E$2:$E$42,MATCH($M461,'Device Refrigerant Leakage'!$B$2:$B$42,0)),"")</f>
        <v/>
      </c>
      <c r="CQ461" s="138" t="str">
        <f>IF($I461&lt;&gt;"",INDEX('Device Refrigerant Leakage'!$F$2:$F$42,MATCH($M461,'Device Refrigerant Leakage'!$B$2:$B$42,0)),"")</f>
        <v/>
      </c>
      <c r="CR461" s="145" t="str">
        <f>IF($I461&lt;&gt;"",INDEX('Device Refrigerant Leakage'!$G$2:$G$42,MATCH($M461,'Device Refrigerant Leakage'!$B$2:$B$42,0)),"")</f>
        <v/>
      </c>
      <c r="CS461" s="145" t="str">
        <f>IF($I461&lt;&gt;"",INDEX('Device Refrigerant Leakage'!$D$2:$D$42,MATCH($M461,'Device Refrigerant Leakage'!$B$2:$B$42,0))*CP461/2204.62*CO461,"")</f>
        <v/>
      </c>
      <c r="CT461" s="145" t="str">
        <f>IF($I461&lt;&gt;"",J461*(INDEX('Device Refrigerant Leakage'!$D$2:$D$42,MATCH($M461,'Device Refrigerant Leakage'!$B$2:$B$42,0))-(INDEX('Device Refrigerant Leakage'!$D$2:$D$42,MATCH($M461,'Device Refrigerant Leakage'!$B$2:$B$42,0)))*CR461*CP461)*CQ461/2204.62*CO461,"")</f>
        <v/>
      </c>
      <c r="CU461" s="135" t="str">
        <f>IF($I461&lt;&gt;"",J461*IF(W461&lt;&gt;"AR",(CS461*K461)+CT461,(CS461*AB461)+CT461*(AB461/INDEX('Device Refrigerant Leakage'!$C$2:$C$42,MATCH($M461,'Device Refrigerant Leakage'!$B$2:$B$42,0)))),"")</f>
        <v/>
      </c>
      <c r="CW461" s="135" t="str">
        <f>IF($I461&lt;&gt;"",IF(S461="User Specified",V461,INDEX('Refrigerant GWPs'!$G$2:$G$156,MATCH(S461,'Refrigerant GWPs'!$A$2:$A$157,0))),"")</f>
        <v/>
      </c>
      <c r="CX461" s="138" t="str">
        <f>IF($I461&lt;&gt;"",INDEX('Device Refrigerant Leakage'!$E$2:$E$42,MATCH($Q461,'Device Refrigerant Leakage'!$B$2:$B$42,0)),"")</f>
        <v/>
      </c>
      <c r="CY461" s="138" t="str">
        <f>IF($I461&lt;&gt;"",INDEX('Device Refrigerant Leakage'!$F$2:$F$42,MATCH($Q461,'Device Refrigerant Leakage'!$B$2:$B$42,0)),"")</f>
        <v/>
      </c>
      <c r="CZ461" s="145" t="str">
        <f>IF($I461&lt;&gt;"",INDEX('Device Refrigerant Leakage'!$G$2:$G$42,MATCH($Q461,'Device Refrigerant Leakage'!$B$2:$B$42,0)),"")</f>
        <v/>
      </c>
      <c r="DA461" s="145" t="str">
        <f>IF($I461&lt;&gt;"",J461*INDEX('Device Refrigerant Leakage'!$D$2:$D$42,MATCH($Q461,'Device Refrigerant Leakage'!$B$2:$B$42,0))*CX461/2204.62*CW461,"")</f>
        <v/>
      </c>
      <c r="DB461" s="145" t="str">
        <f>IF($I461&lt;&gt;"",J461*(INDEX('Device Refrigerant Leakage'!$D$2:$D$42,MATCH($Q461,'Device Refrigerant Leakage'!$B$2:$B$42,0))-(INDEX('Device Refrigerant Leakage'!$D$2:$D$42,MATCH($Q461,'Device Refrigerant Leakage'!$B$2:$B$42,0)))*CZ461*CX461)*CY461/2204.62*CW461,"")</f>
        <v/>
      </c>
      <c r="DC461" s="135" t="str">
        <f t="shared" si="552"/>
        <v/>
      </c>
      <c r="DE461" s="146" t="str">
        <f>IF(W461&lt;&gt;"AR","",IF(Y461="User Specified", AA461, INDEX('Refrigerant GWPs'!$G$2:$G$154,MATCH(Y461,'Refrigerant GWPs'!$A$2:$A$154,0))))</f>
        <v/>
      </c>
      <c r="DF461" s="146" t="str">
        <f>IF(W461&lt;&gt;"AR","",INDEX('Device Refrigerant Leakage'!$E$2:$E$42,MATCH(X461,'Device Refrigerant Leakage'!$B$2:$B$42,0)))</f>
        <v/>
      </c>
      <c r="DG461" s="146" t="str">
        <f>IF(W461&lt;&gt;"AR","",INDEX('Device Refrigerant Leakage'!$F$2:$F$42,MATCH(X461,'Device Refrigerant Leakage'!$B$2:$B$42,0)))</f>
        <v/>
      </c>
      <c r="DH461" s="146" t="str">
        <f>IF(W461&lt;&gt;"AR","",INDEX('Device Refrigerant Leakage'!$G$2:$G$42,MATCH(X461,'Device Refrigerant Leakage'!$B$2:$B$42,0)))</f>
        <v/>
      </c>
      <c r="DI461" s="146" t="str">
        <f>IF(W461&lt;&gt;"AR","",J461*INDEX('Device Refrigerant Leakage'!$D$2:$D$42,MATCH(X461,'Device Refrigerant Leakage'!$B$2:$B$42,0))*DF461/2204.62*DE461)</f>
        <v/>
      </c>
      <c r="DJ461" s="146" t="str">
        <f>IF(W461&lt;&gt;"AR","",J461*(INDEX('Device Refrigerant Leakage'!$D$2:$D$42,MATCH(X461,'Device Refrigerant Leakage'!$B$2:$B$42,0))-(INDEX('Device Refrigerant Leakage'!$D$2:$D$42,MATCH(X461,'Device Refrigerant Leakage'!$B$2:$B$42,0)))*DH461*DF461)*DG461/2204.62*DE461)</f>
        <v/>
      </c>
      <c r="DK461" s="146" t="str">
        <f>IF(W461&lt;&gt;"AR","",DI461*(K461-AB461)+'Fuel Sub Calcs-Deemed'!DJ461*((K461-AB461)/INDEX('Device Refrigerant Leakage'!$C$2:$C$42,MATCH('Fuel Sub Calcs-Deemed'!X461,'Device Refrigerant Leakage'!$B$2:$B$42,0))))</f>
        <v/>
      </c>
      <c r="DM461" s="56">
        <v>447</v>
      </c>
      <c r="DN461" s="67" t="e">
        <f t="shared" si="534"/>
        <v>#N/A</v>
      </c>
      <c r="DO461" s="45" t="e">
        <f t="shared" si="535"/>
        <v>#N/A</v>
      </c>
      <c r="DP461" s="67" t="e">
        <f t="shared" si="536"/>
        <v>#N/A</v>
      </c>
      <c r="DQ461" s="45" t="e">
        <f t="shared" si="537"/>
        <v>#N/A</v>
      </c>
      <c r="DR461" s="69" t="e">
        <f t="shared" si="538"/>
        <v>#N/A</v>
      </c>
      <c r="DS461" s="34"/>
      <c r="DT461" s="67" t="e">
        <f>((BX461*CJ461)+IF($W461=MAT_AR,(BZ461*CL461),0))*(1+Reference!$E$50+Reference!$E$51)</f>
        <v>#N/A</v>
      </c>
      <c r="DU461" s="67">
        <f>((BY461*CK461)+IF($W461=MAT_AR,(CA461*CM461),0))*(1+Reference!$G$50+Reference!$G$51)</f>
        <v>0</v>
      </c>
      <c r="DV461" s="67" t="e">
        <f t="shared" si="539"/>
        <v>#VALUE!</v>
      </c>
      <c r="DX461" s="56">
        <v>447</v>
      </c>
      <c r="DY461" s="67">
        <f t="shared" si="540"/>
        <v>0</v>
      </c>
      <c r="DZ461" s="45" t="e">
        <f>VLOOKUP($R461,Dropdown!$C$3:$D$4,2,FALSE)</f>
        <v>#N/A</v>
      </c>
      <c r="EA461" s="68">
        <f t="shared" si="541"/>
        <v>0</v>
      </c>
      <c r="EB461" s="68" t="str">
        <f t="shared" si="542"/>
        <v>N/A</v>
      </c>
      <c r="EC461" s="68">
        <f t="shared" si="543"/>
        <v>0</v>
      </c>
      <c r="ED461" s="68" t="str">
        <f t="shared" si="581"/>
        <v>N/A</v>
      </c>
      <c r="EF461" s="56">
        <v>447</v>
      </c>
      <c r="EG461" s="46">
        <f t="shared" si="544"/>
        <v>0</v>
      </c>
      <c r="EH461" s="68" t="e">
        <f t="shared" si="545"/>
        <v>#N/A</v>
      </c>
      <c r="EI461" s="68" t="e">
        <f t="shared" si="546"/>
        <v>#N/A</v>
      </c>
      <c r="EJ461" s="68" t="e">
        <f t="shared" si="547"/>
        <v>#N/A</v>
      </c>
      <c r="EK461" s="68" t="e">
        <f t="shared" si="548"/>
        <v>#N/A</v>
      </c>
      <c r="EL461" s="46">
        <f t="shared" si="549"/>
        <v>0</v>
      </c>
      <c r="EM461" s="46">
        <f t="shared" si="550"/>
        <v>0</v>
      </c>
    </row>
    <row r="462" spans="1:143">
      <c r="A462" s="89"/>
      <c r="B462" s="89"/>
      <c r="C462" s="89"/>
      <c r="D462" s="89"/>
      <c r="E462" s="89"/>
      <c r="F462" s="89"/>
      <c r="G462" s="34"/>
      <c r="H462" s="56">
        <f t="shared" si="551"/>
        <v>448</v>
      </c>
      <c r="I462" s="165"/>
      <c r="J462" s="163"/>
      <c r="K462" s="163"/>
      <c r="L462" s="164"/>
      <c r="M462" s="155"/>
      <c r="N462" s="155"/>
      <c r="O462" s="144"/>
      <c r="P462" s="159" t="str">
        <f>IFERROR(IF(O462&lt;&gt;"User Specified",IF(O462&lt;&gt;"", INDEX('Refrigerant GWPs'!$G$2:$G$154,MATCH(O462,'Refrigerant GWPs'!$A$2:$A$154,0)),""),U462),0)</f>
        <v/>
      </c>
      <c r="Q462" s="155"/>
      <c r="R462" s="155"/>
      <c r="S462" s="144"/>
      <c r="T462" s="159" t="str">
        <f>IF(S462&lt;&gt;"User Specified",IF(AND(S462&lt;&gt;"User Specified",S462&lt;&gt;""), INDEX('Refrigerant GWPs'!$G$2:$G$154,MATCH(S462,'Refrigerant GWPs'!$A$2:$A$154,0)),""),V462)</f>
        <v/>
      </c>
      <c r="U462" s="144"/>
      <c r="V462" s="144"/>
      <c r="W462" s="155"/>
      <c r="X462" s="155"/>
      <c r="Y462" s="144"/>
      <c r="Z462" s="159" t="str">
        <f>IF(AND(Y462&lt;&gt;"User Specified",Y462&lt;&gt;""), INDEX('Refrigerant GWPs'!$G$2:$G$154,MATCH(Y462,'Refrigerant GWPs'!$A$2:$A$154,0)),"")</f>
        <v/>
      </c>
      <c r="AA462" s="155"/>
      <c r="AB462" s="156"/>
      <c r="AC462" s="66"/>
      <c r="AD462" s="66"/>
      <c r="AE462" s="66"/>
      <c r="AF462" s="66"/>
      <c r="AG462" s="66"/>
      <c r="AH462" s="66"/>
      <c r="AI462" s="34"/>
      <c r="AJ462" s="88">
        <f t="shared" si="514"/>
        <v>0</v>
      </c>
      <c r="AK462" s="88">
        <f t="shared" si="515"/>
        <v>0</v>
      </c>
      <c r="AL462" s="88">
        <v>0</v>
      </c>
      <c r="AM462" s="88">
        <v>0</v>
      </c>
      <c r="AN462" s="81" t="str">
        <f t="shared" si="553"/>
        <v/>
      </c>
      <c r="AO462" s="88">
        <f t="shared" si="516"/>
        <v>0</v>
      </c>
      <c r="AP462" s="88">
        <f t="shared" si="517"/>
        <v>0</v>
      </c>
      <c r="AQ462" s="81" t="str">
        <f t="shared" si="518"/>
        <v/>
      </c>
      <c r="AS462" s="41" t="b">
        <f t="shared" si="519"/>
        <v>1</v>
      </c>
      <c r="AT462" s="38">
        <f t="shared" si="520"/>
        <v>0</v>
      </c>
      <c r="AU462" s="60">
        <f t="shared" si="521"/>
        <v>0</v>
      </c>
      <c r="AV462" s="41">
        <f t="shared" si="522"/>
        <v>0</v>
      </c>
      <c r="AW462" s="41" t="b">
        <f t="shared" si="523"/>
        <v>0</v>
      </c>
      <c r="AX462" t="str">
        <f t="shared" si="524"/>
        <v>+00</v>
      </c>
      <c r="AY462" t="str">
        <f t="shared" si="525"/>
        <v>+00</v>
      </c>
      <c r="BA462" s="47" t="b">
        <f t="shared" si="554"/>
        <v>1</v>
      </c>
      <c r="BB462" s="42" t="b">
        <f t="shared" si="555"/>
        <v>1</v>
      </c>
      <c r="BC462" s="42" t="b">
        <f t="shared" si="556"/>
        <v>0</v>
      </c>
      <c r="BD462" s="42" t="b">
        <f t="shared" si="557"/>
        <v>0</v>
      </c>
      <c r="BE462" s="70">
        <f t="shared" si="558"/>
        <v>0</v>
      </c>
      <c r="BF462" s="70">
        <f t="shared" si="559"/>
        <v>0</v>
      </c>
      <c r="BG462" s="34"/>
      <c r="BI462" s="47" t="b">
        <f t="shared" si="560"/>
        <v>1</v>
      </c>
      <c r="BJ462" s="47" t="b">
        <f t="shared" si="561"/>
        <v>1</v>
      </c>
      <c r="BK462" s="42" t="b">
        <f t="shared" si="562"/>
        <v>0</v>
      </c>
      <c r="BL462" s="42" t="b">
        <f t="shared" si="563"/>
        <v>0</v>
      </c>
      <c r="BM462" s="42">
        <f t="shared" si="564"/>
        <v>0</v>
      </c>
      <c r="BN462" s="42">
        <f t="shared" si="565"/>
        <v>0</v>
      </c>
      <c r="BP462" t="e">
        <f t="shared" si="566"/>
        <v>#N/A</v>
      </c>
      <c r="BQ462" t="e">
        <f t="shared" si="567"/>
        <v>#N/A</v>
      </c>
      <c r="BR462" t="e">
        <f t="shared" si="568"/>
        <v>#N/A</v>
      </c>
      <c r="BT462" s="60">
        <f t="shared" si="569"/>
        <v>0</v>
      </c>
      <c r="BU462" s="60">
        <f t="shared" si="570"/>
        <v>0</v>
      </c>
      <c r="BV462" s="60">
        <f t="shared" si="571"/>
        <v>0</v>
      </c>
      <c r="BW462" s="60">
        <f t="shared" si="572"/>
        <v>0</v>
      </c>
      <c r="BX462" s="60">
        <f t="shared" si="573"/>
        <v>0</v>
      </c>
      <c r="BY462" s="60">
        <f t="shared" si="574"/>
        <v>0</v>
      </c>
      <c r="BZ462" s="60">
        <f t="shared" si="575"/>
        <v>0</v>
      </c>
      <c r="CA462" s="60">
        <f t="shared" si="576"/>
        <v>0</v>
      </c>
      <c r="CB462" s="60" t="e">
        <f t="shared" si="526"/>
        <v>#N/A</v>
      </c>
      <c r="CC462" s="60">
        <f t="shared" si="527"/>
        <v>100000</v>
      </c>
      <c r="CD462" s="60" t="e">
        <f t="shared" si="528"/>
        <v>#N/A</v>
      </c>
      <c r="CE462" s="60">
        <f t="shared" si="529"/>
        <v>100000</v>
      </c>
      <c r="CF462" s="83" t="e">
        <f t="shared" si="577"/>
        <v>#N/A</v>
      </c>
      <c r="CG462" s="83">
        <f t="shared" si="578"/>
        <v>0</v>
      </c>
      <c r="CH462" s="83" t="e">
        <f t="shared" si="579"/>
        <v>#N/A</v>
      </c>
      <c r="CI462" s="83">
        <f t="shared" si="580"/>
        <v>0</v>
      </c>
      <c r="CJ462" s="86" t="e">
        <f t="shared" si="530"/>
        <v>#N/A</v>
      </c>
      <c r="CK462" s="82">
        <f t="shared" si="531"/>
        <v>5.3070370403969858E-3</v>
      </c>
      <c r="CL462" s="82" t="e">
        <f t="shared" si="532"/>
        <v>#N/A</v>
      </c>
      <c r="CM462" s="82">
        <f t="shared" si="533"/>
        <v>5.3070370403969858E-3</v>
      </c>
      <c r="CO462" s="149" t="str">
        <f>IF($I462&lt;&gt;"",IF(O462="User Specified",U462,INDEX('Refrigerant GWPs'!$G$2:$G$156,MATCH(O462,'Refrigerant GWPs'!$A$2:$A$156,0))),"")</f>
        <v/>
      </c>
      <c r="CP462" s="138" t="str">
        <f>IF($I462&lt;&gt;"",INDEX('Device Refrigerant Leakage'!$E$2:$E$42,MATCH($M462,'Device Refrigerant Leakage'!$B$2:$B$42,0)),"")</f>
        <v/>
      </c>
      <c r="CQ462" s="138" t="str">
        <f>IF($I462&lt;&gt;"",INDEX('Device Refrigerant Leakage'!$F$2:$F$42,MATCH($M462,'Device Refrigerant Leakage'!$B$2:$B$42,0)),"")</f>
        <v/>
      </c>
      <c r="CR462" s="145" t="str">
        <f>IF($I462&lt;&gt;"",INDEX('Device Refrigerant Leakage'!$G$2:$G$42,MATCH($M462,'Device Refrigerant Leakage'!$B$2:$B$42,0)),"")</f>
        <v/>
      </c>
      <c r="CS462" s="145" t="str">
        <f>IF($I462&lt;&gt;"",INDEX('Device Refrigerant Leakage'!$D$2:$D$42,MATCH($M462,'Device Refrigerant Leakage'!$B$2:$B$42,0))*CP462/2204.62*CO462,"")</f>
        <v/>
      </c>
      <c r="CT462" s="145" t="str">
        <f>IF($I462&lt;&gt;"",J462*(INDEX('Device Refrigerant Leakage'!$D$2:$D$42,MATCH($M462,'Device Refrigerant Leakage'!$B$2:$B$42,0))-(INDEX('Device Refrigerant Leakage'!$D$2:$D$42,MATCH($M462,'Device Refrigerant Leakage'!$B$2:$B$42,0)))*CR462*CP462)*CQ462/2204.62*CO462,"")</f>
        <v/>
      </c>
      <c r="CU462" s="135" t="str">
        <f>IF($I462&lt;&gt;"",J462*IF(W462&lt;&gt;"AR",(CS462*K462)+CT462,(CS462*AB462)+CT462*(AB462/INDEX('Device Refrigerant Leakage'!$C$2:$C$42,MATCH($M462,'Device Refrigerant Leakage'!$B$2:$B$42,0)))),"")</f>
        <v/>
      </c>
      <c r="CW462" s="135" t="str">
        <f>IF($I462&lt;&gt;"",IF(S462="User Specified",V462,INDEX('Refrigerant GWPs'!$G$2:$G$156,MATCH(S462,'Refrigerant GWPs'!$A$2:$A$157,0))),"")</f>
        <v/>
      </c>
      <c r="CX462" s="138" t="str">
        <f>IF($I462&lt;&gt;"",INDEX('Device Refrigerant Leakage'!$E$2:$E$42,MATCH($Q462,'Device Refrigerant Leakage'!$B$2:$B$42,0)),"")</f>
        <v/>
      </c>
      <c r="CY462" s="138" t="str">
        <f>IF($I462&lt;&gt;"",INDEX('Device Refrigerant Leakage'!$F$2:$F$42,MATCH($Q462,'Device Refrigerant Leakage'!$B$2:$B$42,0)),"")</f>
        <v/>
      </c>
      <c r="CZ462" s="145" t="str">
        <f>IF($I462&lt;&gt;"",INDEX('Device Refrigerant Leakage'!$G$2:$G$42,MATCH($Q462,'Device Refrigerant Leakage'!$B$2:$B$42,0)),"")</f>
        <v/>
      </c>
      <c r="DA462" s="145" t="str">
        <f>IF($I462&lt;&gt;"",J462*INDEX('Device Refrigerant Leakage'!$D$2:$D$42,MATCH($Q462,'Device Refrigerant Leakage'!$B$2:$B$42,0))*CX462/2204.62*CW462,"")</f>
        <v/>
      </c>
      <c r="DB462" s="145" t="str">
        <f>IF($I462&lt;&gt;"",J462*(INDEX('Device Refrigerant Leakage'!$D$2:$D$42,MATCH($Q462,'Device Refrigerant Leakage'!$B$2:$B$42,0))-(INDEX('Device Refrigerant Leakage'!$D$2:$D$42,MATCH($Q462,'Device Refrigerant Leakage'!$B$2:$B$42,0)))*CZ462*CX462)*CY462/2204.62*CW462,"")</f>
        <v/>
      </c>
      <c r="DC462" s="135" t="str">
        <f t="shared" si="552"/>
        <v/>
      </c>
      <c r="DE462" s="146" t="str">
        <f>IF(W462&lt;&gt;"AR","",IF(Y462="User Specified", AA462, INDEX('Refrigerant GWPs'!$G$2:$G$154,MATCH(Y462,'Refrigerant GWPs'!$A$2:$A$154,0))))</f>
        <v/>
      </c>
      <c r="DF462" s="146" t="str">
        <f>IF(W462&lt;&gt;"AR","",INDEX('Device Refrigerant Leakage'!$E$2:$E$42,MATCH(X462,'Device Refrigerant Leakage'!$B$2:$B$42,0)))</f>
        <v/>
      </c>
      <c r="DG462" s="146" t="str">
        <f>IF(W462&lt;&gt;"AR","",INDEX('Device Refrigerant Leakage'!$F$2:$F$42,MATCH(X462,'Device Refrigerant Leakage'!$B$2:$B$42,0)))</f>
        <v/>
      </c>
      <c r="DH462" s="146" t="str">
        <f>IF(W462&lt;&gt;"AR","",INDEX('Device Refrigerant Leakage'!$G$2:$G$42,MATCH(X462,'Device Refrigerant Leakage'!$B$2:$B$42,0)))</f>
        <v/>
      </c>
      <c r="DI462" s="146" t="str">
        <f>IF(W462&lt;&gt;"AR","",J462*INDEX('Device Refrigerant Leakage'!$D$2:$D$42,MATCH(X462,'Device Refrigerant Leakage'!$B$2:$B$42,0))*DF462/2204.62*DE462)</f>
        <v/>
      </c>
      <c r="DJ462" s="146" t="str">
        <f>IF(W462&lt;&gt;"AR","",J462*(INDEX('Device Refrigerant Leakage'!$D$2:$D$42,MATCH(X462,'Device Refrigerant Leakage'!$B$2:$B$42,0))-(INDEX('Device Refrigerant Leakage'!$D$2:$D$42,MATCH(X462,'Device Refrigerant Leakage'!$B$2:$B$42,0)))*DH462*DF462)*DG462/2204.62*DE462)</f>
        <v/>
      </c>
      <c r="DK462" s="146" t="str">
        <f>IF(W462&lt;&gt;"AR","",DI462*(K462-AB462)+'Fuel Sub Calcs-Deemed'!DJ462*((K462-AB462)/INDEX('Device Refrigerant Leakage'!$C$2:$C$42,MATCH('Fuel Sub Calcs-Deemed'!X462,'Device Refrigerant Leakage'!$B$2:$B$42,0))))</f>
        <v/>
      </c>
      <c r="DM462" s="56">
        <v>448</v>
      </c>
      <c r="DN462" s="67" t="e">
        <f t="shared" si="534"/>
        <v>#N/A</v>
      </c>
      <c r="DO462" s="45" t="e">
        <f t="shared" si="535"/>
        <v>#N/A</v>
      </c>
      <c r="DP462" s="67" t="e">
        <f t="shared" si="536"/>
        <v>#N/A</v>
      </c>
      <c r="DQ462" s="45" t="e">
        <f t="shared" si="537"/>
        <v>#N/A</v>
      </c>
      <c r="DR462" s="69" t="e">
        <f t="shared" si="538"/>
        <v>#N/A</v>
      </c>
      <c r="DS462" s="34"/>
      <c r="DT462" s="67" t="e">
        <f>((BX462*CJ462)+IF($W462=MAT_AR,(BZ462*CL462),0))*(1+Reference!$E$50+Reference!$E$51)</f>
        <v>#N/A</v>
      </c>
      <c r="DU462" s="67">
        <f>((BY462*CK462)+IF($W462=MAT_AR,(CA462*CM462),0))*(1+Reference!$G$50+Reference!$G$51)</f>
        <v>0</v>
      </c>
      <c r="DV462" s="67" t="e">
        <f t="shared" si="539"/>
        <v>#VALUE!</v>
      </c>
      <c r="DX462" s="56">
        <v>448</v>
      </c>
      <c r="DY462" s="67">
        <f t="shared" si="540"/>
        <v>0</v>
      </c>
      <c r="DZ462" s="45" t="e">
        <f>VLOOKUP($R462,Dropdown!$C$3:$D$4,2,FALSE)</f>
        <v>#N/A</v>
      </c>
      <c r="EA462" s="68">
        <f t="shared" si="541"/>
        <v>0</v>
      </c>
      <c r="EB462" s="68" t="str">
        <f t="shared" si="542"/>
        <v>N/A</v>
      </c>
      <c r="EC462" s="68">
        <f t="shared" si="543"/>
        <v>0</v>
      </c>
      <c r="ED462" s="68" t="str">
        <f t="shared" si="581"/>
        <v>N/A</v>
      </c>
      <c r="EF462" s="56">
        <v>448</v>
      </c>
      <c r="EG462" s="46">
        <f t="shared" si="544"/>
        <v>0</v>
      </c>
      <c r="EH462" s="68" t="e">
        <f t="shared" si="545"/>
        <v>#N/A</v>
      </c>
      <c r="EI462" s="68" t="e">
        <f t="shared" si="546"/>
        <v>#N/A</v>
      </c>
      <c r="EJ462" s="68" t="e">
        <f t="shared" si="547"/>
        <v>#N/A</v>
      </c>
      <c r="EK462" s="68" t="e">
        <f t="shared" si="548"/>
        <v>#N/A</v>
      </c>
      <c r="EL462" s="46">
        <f t="shared" si="549"/>
        <v>0</v>
      </c>
      <c r="EM462" s="46">
        <f t="shared" si="550"/>
        <v>0</v>
      </c>
    </row>
    <row r="463" spans="1:143">
      <c r="A463" s="89"/>
      <c r="B463" s="89"/>
      <c r="C463" s="89"/>
      <c r="D463" s="89"/>
      <c r="E463" s="89"/>
      <c r="F463" s="89"/>
      <c r="G463" s="34"/>
      <c r="H463" s="56">
        <f t="shared" si="551"/>
        <v>449</v>
      </c>
      <c r="I463" s="165"/>
      <c r="J463" s="163"/>
      <c r="K463" s="163"/>
      <c r="L463" s="164"/>
      <c r="M463" s="155"/>
      <c r="N463" s="155"/>
      <c r="O463" s="144"/>
      <c r="P463" s="159" t="str">
        <f>IFERROR(IF(O463&lt;&gt;"User Specified",IF(O463&lt;&gt;"", INDEX('Refrigerant GWPs'!$G$2:$G$154,MATCH(O463,'Refrigerant GWPs'!$A$2:$A$154,0)),""),U463),0)</f>
        <v/>
      </c>
      <c r="Q463" s="155"/>
      <c r="R463" s="155"/>
      <c r="S463" s="144"/>
      <c r="T463" s="159" t="str">
        <f>IF(S463&lt;&gt;"User Specified",IF(AND(S463&lt;&gt;"User Specified",S463&lt;&gt;""), INDEX('Refrigerant GWPs'!$G$2:$G$154,MATCH(S463,'Refrigerant GWPs'!$A$2:$A$154,0)),""),V463)</f>
        <v/>
      </c>
      <c r="U463" s="144"/>
      <c r="V463" s="144"/>
      <c r="W463" s="155"/>
      <c r="X463" s="155"/>
      <c r="Y463" s="144"/>
      <c r="Z463" s="159" t="str">
        <f>IF(AND(Y463&lt;&gt;"User Specified",Y463&lt;&gt;""), INDEX('Refrigerant GWPs'!$G$2:$G$154,MATCH(Y463,'Refrigerant GWPs'!$A$2:$A$154,0)),"")</f>
        <v/>
      </c>
      <c r="AA463" s="155"/>
      <c r="AB463" s="156"/>
      <c r="AC463" s="66"/>
      <c r="AD463" s="66"/>
      <c r="AE463" s="66"/>
      <c r="AF463" s="66"/>
      <c r="AG463" s="66"/>
      <c r="AH463" s="66"/>
      <c r="AI463" s="34"/>
      <c r="AJ463" s="88">
        <f t="shared" ref="AJ463:AJ526" si="582">IF($W463=MAT_AR,AC463,AF463)</f>
        <v>0</v>
      </c>
      <c r="AK463" s="88">
        <f t="shared" ref="AK463:AK526" si="583">IF($W463=MAT_AR,AE463,AH463)</f>
        <v>0</v>
      </c>
      <c r="AL463" s="88">
        <v>0</v>
      </c>
      <c r="AM463" s="88">
        <v>0</v>
      </c>
      <c r="AN463" s="81" t="str">
        <f t="shared" si="553"/>
        <v/>
      </c>
      <c r="AO463" s="88">
        <f t="shared" ref="AO463:AO526" si="584">IF($W463=MAT_AR,AF463,0)</f>
        <v>0</v>
      </c>
      <c r="AP463" s="88">
        <f t="shared" ref="AP463:AP526" si="585">IF($W463=MAT_AR,AH463,0)</f>
        <v>0</v>
      </c>
      <c r="AQ463" s="81" t="str">
        <f t="shared" ref="AQ463:AQ526" si="586">IF(AND(W463=MAT_AR,OR(BK463:BL463)),"Warning: Need to enter baseline and measure consumption","")</f>
        <v/>
      </c>
      <c r="AS463" s="41" t="b">
        <f t="shared" ref="AS463:AS526" si="587">NOT(W463=MAT_AR)</f>
        <v>1</v>
      </c>
      <c r="AT463" s="38">
        <f t="shared" ref="AT463:AT526" si="588">IF(W463=MAT_AR,AB463,K463)</f>
        <v>0</v>
      </c>
      <c r="AU463" s="60">
        <f t="shared" ref="AU463:AU526" si="589">K463-AT463</f>
        <v>0</v>
      </c>
      <c r="AV463" s="41">
        <f t="shared" ref="AV463:AV526" si="590">IF(W463=MAT_AR,AB463,0)</f>
        <v>0</v>
      </c>
      <c r="AW463" s="41" t="b">
        <f t="shared" ref="AW463:AW526" si="591">AND(NOT(ISBLANK(I463)),NOT(ISBLANK(J463)),NOT(ISBLANK(K463)),NOT(ISBLANK(L463)),NOT(ISBLANK(N463)),NOT(ISBLANK(R463)),NOT(OR(BC463:BD463)),NOT(ISBLANK(W463)))</f>
        <v>0</v>
      </c>
      <c r="AX463" t="str">
        <f t="shared" ref="AX463:AX526" si="592">$L463&amp;"+"&amp;TEXT(ROUND($AT463,0),"00")</f>
        <v>+00</v>
      </c>
      <c r="AY463" t="str">
        <f t="shared" ref="AY463:AY526" si="593">TEXT(ROUND($L463+$AT463,0),"#")&amp;"+"&amp;TEXT(ROUND($AU463,0),"00")</f>
        <v>+00</v>
      </c>
      <c r="BA463" s="47" t="b">
        <f t="shared" si="554"/>
        <v>1</v>
      </c>
      <c r="BB463" s="42" t="b">
        <f t="shared" si="555"/>
        <v>1</v>
      </c>
      <c r="BC463" s="42" t="b">
        <f t="shared" si="556"/>
        <v>0</v>
      </c>
      <c r="BD463" s="42" t="b">
        <f t="shared" si="557"/>
        <v>0</v>
      </c>
      <c r="BE463" s="70">
        <f t="shared" si="558"/>
        <v>0</v>
      </c>
      <c r="BF463" s="70">
        <f t="shared" si="559"/>
        <v>0</v>
      </c>
      <c r="BG463" s="34"/>
      <c r="BI463" s="47" t="b">
        <f t="shared" si="560"/>
        <v>1</v>
      </c>
      <c r="BJ463" s="47" t="b">
        <f t="shared" si="561"/>
        <v>1</v>
      </c>
      <c r="BK463" s="42" t="b">
        <f t="shared" si="562"/>
        <v>0</v>
      </c>
      <c r="BL463" s="42" t="b">
        <f t="shared" si="563"/>
        <v>0</v>
      </c>
      <c r="BM463" s="42">
        <f t="shared" si="564"/>
        <v>0</v>
      </c>
      <c r="BN463" s="42">
        <f t="shared" si="565"/>
        <v>0</v>
      </c>
      <c r="BP463" t="e">
        <f t="shared" si="566"/>
        <v>#N/A</v>
      </c>
      <c r="BQ463" t="e">
        <f t="shared" si="567"/>
        <v>#N/A</v>
      </c>
      <c r="BR463" t="e">
        <f t="shared" si="568"/>
        <v>#N/A</v>
      </c>
      <c r="BT463" s="60">
        <f t="shared" si="569"/>
        <v>0</v>
      </c>
      <c r="BU463" s="60">
        <f t="shared" si="570"/>
        <v>0</v>
      </c>
      <c r="BV463" s="60">
        <f t="shared" si="571"/>
        <v>0</v>
      </c>
      <c r="BW463" s="60">
        <f t="shared" si="572"/>
        <v>0</v>
      </c>
      <c r="BX463" s="60">
        <f t="shared" si="573"/>
        <v>0</v>
      </c>
      <c r="BY463" s="60">
        <f t="shared" si="574"/>
        <v>0</v>
      </c>
      <c r="BZ463" s="60">
        <f t="shared" si="575"/>
        <v>0</v>
      </c>
      <c r="CA463" s="60">
        <f t="shared" si="576"/>
        <v>0</v>
      </c>
      <c r="CB463" s="60" t="e">
        <f t="shared" ref="CB463:CB526" si="594">INDEX(AFL_Source_Energy_Btu_per_kWh,MATCH($AX463,AFL_IndexB,0))</f>
        <v>#N/A</v>
      </c>
      <c r="CC463" s="60">
        <f t="shared" ref="CC463:CC526" si="595">Btu_therm</f>
        <v>100000</v>
      </c>
      <c r="CD463" s="60" t="e">
        <f t="shared" ref="CD463:CD526" si="596">INDEX(AFL_Source_Energy_Btu_per_kWh,MATCH($AY463,AFL_IndexB,0))</f>
        <v>#N/A</v>
      </c>
      <c r="CE463" s="60">
        <f t="shared" ref="CE463:CE526" si="597">Btu_therm</f>
        <v>100000</v>
      </c>
      <c r="CF463" s="83" t="e">
        <f t="shared" si="577"/>
        <v>#N/A</v>
      </c>
      <c r="CG463" s="83">
        <f t="shared" si="578"/>
        <v>0</v>
      </c>
      <c r="CH463" s="83" t="e">
        <f t="shared" si="579"/>
        <v>#N/A</v>
      </c>
      <c r="CI463" s="83">
        <f t="shared" si="580"/>
        <v>0</v>
      </c>
      <c r="CJ463" s="86" t="e">
        <f t="shared" ref="CJ463:CJ526" si="598">INDEX(AFL_Emissions_Intensity_metric_tonnes_per_MWh,MATCH($AX463,AFL_IndexB,0))/1000</f>
        <v>#N/A</v>
      </c>
      <c r="CK463" s="82">
        <f t="shared" ref="CK463:CK526" si="599">NG_metric_tonne_CO2_therm</f>
        <v>5.3070370403969858E-3</v>
      </c>
      <c r="CL463" s="82" t="e">
        <f t="shared" ref="CL463:CL526" si="600">INDEX(AFL_Emissions_Intensity_metric_tonnes_per_MWh,MATCH($AY463,AFL_IndexB,0))/1000</f>
        <v>#N/A</v>
      </c>
      <c r="CM463" s="82">
        <f t="shared" ref="CM463:CM526" si="601">NG_metric_tonne_CO2_therm</f>
        <v>5.3070370403969858E-3</v>
      </c>
      <c r="CO463" s="149" t="str">
        <f>IF($I463&lt;&gt;"",IF(O463="User Specified",U463,INDEX('Refrigerant GWPs'!$G$2:$G$156,MATCH(O463,'Refrigerant GWPs'!$A$2:$A$156,0))),"")</f>
        <v/>
      </c>
      <c r="CP463" s="138" t="str">
        <f>IF($I463&lt;&gt;"",INDEX('Device Refrigerant Leakage'!$E$2:$E$42,MATCH($M463,'Device Refrigerant Leakage'!$B$2:$B$42,0)),"")</f>
        <v/>
      </c>
      <c r="CQ463" s="138" t="str">
        <f>IF($I463&lt;&gt;"",INDEX('Device Refrigerant Leakage'!$F$2:$F$42,MATCH($M463,'Device Refrigerant Leakage'!$B$2:$B$42,0)),"")</f>
        <v/>
      </c>
      <c r="CR463" s="145" t="str">
        <f>IF($I463&lt;&gt;"",INDEX('Device Refrigerant Leakage'!$G$2:$G$42,MATCH($M463,'Device Refrigerant Leakage'!$B$2:$B$42,0)),"")</f>
        <v/>
      </c>
      <c r="CS463" s="145" t="str">
        <f>IF($I463&lt;&gt;"",INDEX('Device Refrigerant Leakage'!$D$2:$D$42,MATCH($M463,'Device Refrigerant Leakage'!$B$2:$B$42,0))*CP463/2204.62*CO463,"")</f>
        <v/>
      </c>
      <c r="CT463" s="145" t="str">
        <f>IF($I463&lt;&gt;"",J463*(INDEX('Device Refrigerant Leakage'!$D$2:$D$42,MATCH($M463,'Device Refrigerant Leakage'!$B$2:$B$42,0))-(INDEX('Device Refrigerant Leakage'!$D$2:$D$42,MATCH($M463,'Device Refrigerant Leakage'!$B$2:$B$42,0)))*CR463*CP463)*CQ463/2204.62*CO463,"")</f>
        <v/>
      </c>
      <c r="CU463" s="135" t="str">
        <f>IF($I463&lt;&gt;"",J463*IF(W463&lt;&gt;"AR",(CS463*K463)+CT463,(CS463*AB463)+CT463*(AB463/INDEX('Device Refrigerant Leakage'!$C$2:$C$42,MATCH($M463,'Device Refrigerant Leakage'!$B$2:$B$42,0)))),"")</f>
        <v/>
      </c>
      <c r="CW463" s="135" t="str">
        <f>IF($I463&lt;&gt;"",IF(S463="User Specified",V463,INDEX('Refrigerant GWPs'!$G$2:$G$156,MATCH(S463,'Refrigerant GWPs'!$A$2:$A$157,0))),"")</f>
        <v/>
      </c>
      <c r="CX463" s="138" t="str">
        <f>IF($I463&lt;&gt;"",INDEX('Device Refrigerant Leakage'!$E$2:$E$42,MATCH($Q463,'Device Refrigerant Leakage'!$B$2:$B$42,0)),"")</f>
        <v/>
      </c>
      <c r="CY463" s="138" t="str">
        <f>IF($I463&lt;&gt;"",INDEX('Device Refrigerant Leakage'!$F$2:$F$42,MATCH($Q463,'Device Refrigerant Leakage'!$B$2:$B$42,0)),"")</f>
        <v/>
      </c>
      <c r="CZ463" s="145" t="str">
        <f>IF($I463&lt;&gt;"",INDEX('Device Refrigerant Leakage'!$G$2:$G$42,MATCH($Q463,'Device Refrigerant Leakage'!$B$2:$B$42,0)),"")</f>
        <v/>
      </c>
      <c r="DA463" s="145" t="str">
        <f>IF($I463&lt;&gt;"",J463*INDEX('Device Refrigerant Leakage'!$D$2:$D$42,MATCH($Q463,'Device Refrigerant Leakage'!$B$2:$B$42,0))*CX463/2204.62*CW463,"")</f>
        <v/>
      </c>
      <c r="DB463" s="145" t="str">
        <f>IF($I463&lt;&gt;"",J463*(INDEX('Device Refrigerant Leakage'!$D$2:$D$42,MATCH($Q463,'Device Refrigerant Leakage'!$B$2:$B$42,0))-(INDEX('Device Refrigerant Leakage'!$D$2:$D$42,MATCH($Q463,'Device Refrigerant Leakage'!$B$2:$B$42,0)))*CZ463*CX463)*CY463/2204.62*CW463,"")</f>
        <v/>
      </c>
      <c r="DC463" s="135" t="str">
        <f t="shared" si="552"/>
        <v/>
      </c>
      <c r="DE463" s="146" t="str">
        <f>IF(W463&lt;&gt;"AR","",IF(Y463="User Specified", AA463, INDEX('Refrigerant GWPs'!$G$2:$G$154,MATCH(Y463,'Refrigerant GWPs'!$A$2:$A$154,0))))</f>
        <v/>
      </c>
      <c r="DF463" s="146" t="str">
        <f>IF(W463&lt;&gt;"AR","",INDEX('Device Refrigerant Leakage'!$E$2:$E$42,MATCH(X463,'Device Refrigerant Leakage'!$B$2:$B$42,0)))</f>
        <v/>
      </c>
      <c r="DG463" s="146" t="str">
        <f>IF(W463&lt;&gt;"AR","",INDEX('Device Refrigerant Leakage'!$F$2:$F$42,MATCH(X463,'Device Refrigerant Leakage'!$B$2:$B$42,0)))</f>
        <v/>
      </c>
      <c r="DH463" s="146" t="str">
        <f>IF(W463&lt;&gt;"AR","",INDEX('Device Refrigerant Leakage'!$G$2:$G$42,MATCH(X463,'Device Refrigerant Leakage'!$B$2:$B$42,0)))</f>
        <v/>
      </c>
      <c r="DI463" s="146" t="str">
        <f>IF(W463&lt;&gt;"AR","",J463*INDEX('Device Refrigerant Leakage'!$D$2:$D$42,MATCH(X463,'Device Refrigerant Leakage'!$B$2:$B$42,0))*DF463/2204.62*DE463)</f>
        <v/>
      </c>
      <c r="DJ463" s="146" t="str">
        <f>IF(W463&lt;&gt;"AR","",J463*(INDEX('Device Refrigerant Leakage'!$D$2:$D$42,MATCH(X463,'Device Refrigerant Leakage'!$B$2:$B$42,0))-(INDEX('Device Refrigerant Leakage'!$D$2:$D$42,MATCH(X463,'Device Refrigerant Leakage'!$B$2:$B$42,0)))*DH463*DF463)*DG463/2204.62*DE463)</f>
        <v/>
      </c>
      <c r="DK463" s="146" t="str">
        <f>IF(W463&lt;&gt;"AR","",DI463*(K463-AB463)+'Fuel Sub Calcs-Deemed'!DJ463*((K463-AB463)/INDEX('Device Refrigerant Leakage'!$C$2:$C$42,MATCH('Fuel Sub Calcs-Deemed'!X463,'Device Refrigerant Leakage'!$B$2:$B$42,0))))</f>
        <v/>
      </c>
      <c r="DM463" s="56">
        <v>449</v>
      </c>
      <c r="DN463" s="67" t="e">
        <f t="shared" ref="DN463:DN526" si="602">(CB463*BX463+BY463*CE463)/10^6+IF($W463=MAT_AR,(BZ463*CD463+CA463*CE463)/10^6,0)</f>
        <v>#N/A</v>
      </c>
      <c r="DO463" s="45" t="e">
        <f t="shared" ref="DO463:DO526" si="603">IF(BP463,"PASS","FAIL")</f>
        <v>#N/A</v>
      </c>
      <c r="DP463" s="67" t="e">
        <f t="shared" ref="DP463:DP526" si="604">(DT463+DU463+DV463)</f>
        <v>#N/A</v>
      </c>
      <c r="DQ463" s="45" t="e">
        <f t="shared" ref="DQ463:DQ526" si="605">IF(BQ463,"PASS","FAIL")</f>
        <v>#N/A</v>
      </c>
      <c r="DR463" s="69" t="e">
        <f t="shared" ref="DR463:DR526" si="606">IF(BR463,"Eligible","Not eligible")</f>
        <v>#N/A</v>
      </c>
      <c r="DS463" s="34"/>
      <c r="DT463" s="67" t="e">
        <f>((BX463*CJ463)+IF($W463=MAT_AR,(BZ463*CL463),0))*(1+Reference!$E$50+Reference!$E$51)</f>
        <v>#N/A</v>
      </c>
      <c r="DU463" s="67">
        <f>((BY463*CK463)+IF($W463=MAT_AR,(CA463*CM463),0))*(1+Reference!$G$50+Reference!$G$51)</f>
        <v>0</v>
      </c>
      <c r="DV463" s="67" t="e">
        <f t="shared" ref="DV463:DV526" si="607">IF(W463="NR",CU463-DC463,(CU463+DK463)-DC463)</f>
        <v>#VALUE!</v>
      </c>
      <c r="DX463" s="56">
        <v>449</v>
      </c>
      <c r="DY463" s="67">
        <f t="shared" ref="DY463:DY526" si="608">(Btu_per_kWh*BT463+Btu_therm*BU463)/10^6</f>
        <v>0</v>
      </c>
      <c r="DZ463" s="45" t="e">
        <f>VLOOKUP($R463,Dropdown!$C$3:$D$4,2,FALSE)</f>
        <v>#N/A</v>
      </c>
      <c r="EA463" s="68">
        <f t="shared" ref="EA463:EA526" si="609">IF($R463=fuel_electricity,$DY463*10^6/Btu_per_kWh,0)</f>
        <v>0</v>
      </c>
      <c r="EB463" s="68" t="str">
        <f t="shared" ref="EB463:EB526" si="610">IF($R463=fuel_natural_gas,$DY463/MMBtu_per_therm,"N/A")</f>
        <v>N/A</v>
      </c>
      <c r="EC463" s="68">
        <f t="shared" ref="EC463:EC526" si="611">IF($R463=fuel_electricity,"N/A",AJ463)</f>
        <v>0</v>
      </c>
      <c r="ED463" s="68" t="str">
        <f t="shared" si="581"/>
        <v>N/A</v>
      </c>
      <c r="EF463" s="56">
        <v>449</v>
      </c>
      <c r="EG463" s="46">
        <f t="shared" ref="EG463:EG526" si="612">J463</f>
        <v>0</v>
      </c>
      <c r="EH463" s="68" t="e">
        <f t="shared" ref="EH463:EH526" si="613">IF($BR463,BE463,0)</f>
        <v>#N/A</v>
      </c>
      <c r="EI463" s="68" t="e">
        <f t="shared" ref="EI463:EI526" si="614">IF($BR463,BF463,0)</f>
        <v>#N/A</v>
      </c>
      <c r="EJ463" s="68" t="e">
        <f t="shared" ref="EJ463:EJ526" si="615">IF($BR463,BM463,0)</f>
        <v>#N/A</v>
      </c>
      <c r="EK463" s="68" t="e">
        <f t="shared" ref="EK463:EK526" si="616">IF($BR463,BN463,0)</f>
        <v>#N/A</v>
      </c>
      <c r="EL463" s="46">
        <f t="shared" ref="EL463:EL526" si="617">K463</f>
        <v>0</v>
      </c>
      <c r="EM463" s="46">
        <f t="shared" ref="EM463:EM526" si="618">AV463</f>
        <v>0</v>
      </c>
    </row>
    <row r="464" spans="1:143">
      <c r="A464" s="89"/>
      <c r="B464" s="89"/>
      <c r="C464" s="89"/>
      <c r="D464" s="89"/>
      <c r="E464" s="89"/>
      <c r="F464" s="89"/>
      <c r="G464" s="34"/>
      <c r="H464" s="56">
        <f t="shared" ref="H464:H527" si="619">ROW($H464)-ROW($H$14)</f>
        <v>450</v>
      </c>
      <c r="I464" s="165"/>
      <c r="J464" s="163"/>
      <c r="K464" s="163"/>
      <c r="L464" s="164"/>
      <c r="M464" s="155"/>
      <c r="N464" s="155"/>
      <c r="O464" s="144"/>
      <c r="P464" s="159" t="str">
        <f>IFERROR(IF(O464&lt;&gt;"User Specified",IF(O464&lt;&gt;"", INDEX('Refrigerant GWPs'!$G$2:$G$154,MATCH(O464,'Refrigerant GWPs'!$A$2:$A$154,0)),""),U464),0)</f>
        <v/>
      </c>
      <c r="Q464" s="155"/>
      <c r="R464" s="155"/>
      <c r="S464" s="144"/>
      <c r="T464" s="159" t="str">
        <f>IF(S464&lt;&gt;"User Specified",IF(AND(S464&lt;&gt;"User Specified",S464&lt;&gt;""), INDEX('Refrigerant GWPs'!$G$2:$G$154,MATCH(S464,'Refrigerant GWPs'!$A$2:$A$154,0)),""),V464)</f>
        <v/>
      </c>
      <c r="U464" s="144"/>
      <c r="V464" s="144"/>
      <c r="W464" s="155"/>
      <c r="X464" s="155"/>
      <c r="Y464" s="144"/>
      <c r="Z464" s="159" t="str">
        <f>IF(AND(Y464&lt;&gt;"User Specified",Y464&lt;&gt;""), INDEX('Refrigerant GWPs'!$G$2:$G$154,MATCH(Y464,'Refrigerant GWPs'!$A$2:$A$154,0)),"")</f>
        <v/>
      </c>
      <c r="AA464" s="155"/>
      <c r="AB464" s="156"/>
      <c r="AC464" s="66"/>
      <c r="AD464" s="66"/>
      <c r="AE464" s="66"/>
      <c r="AF464" s="66"/>
      <c r="AG464" s="66"/>
      <c r="AH464" s="66"/>
      <c r="AI464" s="34"/>
      <c r="AJ464" s="88">
        <f t="shared" si="582"/>
        <v>0</v>
      </c>
      <c r="AK464" s="88">
        <f t="shared" si="583"/>
        <v>0</v>
      </c>
      <c r="AL464" s="88">
        <v>0</v>
      </c>
      <c r="AM464" s="88">
        <v>0</v>
      </c>
      <c r="AN464" s="81" t="str">
        <f t="shared" si="553"/>
        <v/>
      </c>
      <c r="AO464" s="88">
        <f t="shared" si="584"/>
        <v>0</v>
      </c>
      <c r="AP464" s="88">
        <f t="shared" si="585"/>
        <v>0</v>
      </c>
      <c r="AQ464" s="81" t="str">
        <f t="shared" si="586"/>
        <v/>
      </c>
      <c r="AS464" s="41" t="b">
        <f t="shared" si="587"/>
        <v>1</v>
      </c>
      <c r="AT464" s="38">
        <f t="shared" si="588"/>
        <v>0</v>
      </c>
      <c r="AU464" s="60">
        <f t="shared" si="589"/>
        <v>0</v>
      </c>
      <c r="AV464" s="41">
        <f t="shared" si="590"/>
        <v>0</v>
      </c>
      <c r="AW464" s="41" t="b">
        <f t="shared" si="591"/>
        <v>0</v>
      </c>
      <c r="AX464" t="str">
        <f t="shared" si="592"/>
        <v>+00</v>
      </c>
      <c r="AY464" t="str">
        <f t="shared" si="593"/>
        <v>+00</v>
      </c>
      <c r="BA464" s="47" t="b">
        <f t="shared" si="554"/>
        <v>1</v>
      </c>
      <c r="BB464" s="42" t="b">
        <f t="shared" si="555"/>
        <v>1</v>
      </c>
      <c r="BC464" s="42" t="b">
        <f t="shared" si="556"/>
        <v>0</v>
      </c>
      <c r="BD464" s="42" t="b">
        <f t="shared" si="557"/>
        <v>0</v>
      </c>
      <c r="BE464" s="70">
        <f t="shared" si="558"/>
        <v>0</v>
      </c>
      <c r="BF464" s="70">
        <f t="shared" si="559"/>
        <v>0</v>
      </c>
      <c r="BG464" s="34"/>
      <c r="BI464" s="47" t="b">
        <f t="shared" si="560"/>
        <v>1</v>
      </c>
      <c r="BJ464" s="47" t="b">
        <f t="shared" si="561"/>
        <v>1</v>
      </c>
      <c r="BK464" s="42" t="b">
        <f t="shared" si="562"/>
        <v>0</v>
      </c>
      <c r="BL464" s="42" t="b">
        <f t="shared" si="563"/>
        <v>0</v>
      </c>
      <c r="BM464" s="42">
        <f t="shared" si="564"/>
        <v>0</v>
      </c>
      <c r="BN464" s="42">
        <f t="shared" si="565"/>
        <v>0</v>
      </c>
      <c r="BP464" t="e">
        <f t="shared" si="566"/>
        <v>#N/A</v>
      </c>
      <c r="BQ464" t="e">
        <f t="shared" si="567"/>
        <v>#N/A</v>
      </c>
      <c r="BR464" t="e">
        <f t="shared" si="568"/>
        <v>#N/A</v>
      </c>
      <c r="BT464" s="60">
        <f t="shared" si="569"/>
        <v>0</v>
      </c>
      <c r="BU464" s="60">
        <f t="shared" si="570"/>
        <v>0</v>
      </c>
      <c r="BV464" s="60">
        <f t="shared" si="571"/>
        <v>0</v>
      </c>
      <c r="BW464" s="60">
        <f t="shared" si="572"/>
        <v>0</v>
      </c>
      <c r="BX464" s="60">
        <f t="shared" si="573"/>
        <v>0</v>
      </c>
      <c r="BY464" s="60">
        <f t="shared" si="574"/>
        <v>0</v>
      </c>
      <c r="BZ464" s="60">
        <f t="shared" si="575"/>
        <v>0</v>
      </c>
      <c r="CA464" s="60">
        <f t="shared" si="576"/>
        <v>0</v>
      </c>
      <c r="CB464" s="60" t="e">
        <f t="shared" si="594"/>
        <v>#N/A</v>
      </c>
      <c r="CC464" s="60">
        <f t="shared" si="595"/>
        <v>100000</v>
      </c>
      <c r="CD464" s="60" t="e">
        <f t="shared" si="596"/>
        <v>#N/A</v>
      </c>
      <c r="CE464" s="60">
        <f t="shared" si="597"/>
        <v>100000</v>
      </c>
      <c r="CF464" s="83" t="e">
        <f t="shared" si="577"/>
        <v>#N/A</v>
      </c>
      <c r="CG464" s="83">
        <f t="shared" si="578"/>
        <v>0</v>
      </c>
      <c r="CH464" s="83" t="e">
        <f t="shared" si="579"/>
        <v>#N/A</v>
      </c>
      <c r="CI464" s="83">
        <f t="shared" si="580"/>
        <v>0</v>
      </c>
      <c r="CJ464" s="86" t="e">
        <f t="shared" si="598"/>
        <v>#N/A</v>
      </c>
      <c r="CK464" s="82">
        <f t="shared" si="599"/>
        <v>5.3070370403969858E-3</v>
      </c>
      <c r="CL464" s="82" t="e">
        <f t="shared" si="600"/>
        <v>#N/A</v>
      </c>
      <c r="CM464" s="82">
        <f t="shared" si="601"/>
        <v>5.3070370403969858E-3</v>
      </c>
      <c r="CO464" s="149" t="str">
        <f>IF($I464&lt;&gt;"",IF(O464="User Specified",U464,INDEX('Refrigerant GWPs'!$G$2:$G$156,MATCH(O464,'Refrigerant GWPs'!$A$2:$A$156,0))),"")</f>
        <v/>
      </c>
      <c r="CP464" s="138" t="str">
        <f>IF($I464&lt;&gt;"",INDEX('Device Refrigerant Leakage'!$E$2:$E$42,MATCH($M464,'Device Refrigerant Leakage'!$B$2:$B$42,0)),"")</f>
        <v/>
      </c>
      <c r="CQ464" s="138" t="str">
        <f>IF($I464&lt;&gt;"",INDEX('Device Refrigerant Leakage'!$F$2:$F$42,MATCH($M464,'Device Refrigerant Leakage'!$B$2:$B$42,0)),"")</f>
        <v/>
      </c>
      <c r="CR464" s="145" t="str">
        <f>IF($I464&lt;&gt;"",INDEX('Device Refrigerant Leakage'!$G$2:$G$42,MATCH($M464,'Device Refrigerant Leakage'!$B$2:$B$42,0)),"")</f>
        <v/>
      </c>
      <c r="CS464" s="145" t="str">
        <f>IF($I464&lt;&gt;"",INDEX('Device Refrigerant Leakage'!$D$2:$D$42,MATCH($M464,'Device Refrigerant Leakage'!$B$2:$B$42,0))*CP464/2204.62*CO464,"")</f>
        <v/>
      </c>
      <c r="CT464" s="145" t="str">
        <f>IF($I464&lt;&gt;"",J464*(INDEX('Device Refrigerant Leakage'!$D$2:$D$42,MATCH($M464,'Device Refrigerant Leakage'!$B$2:$B$42,0))-(INDEX('Device Refrigerant Leakage'!$D$2:$D$42,MATCH($M464,'Device Refrigerant Leakage'!$B$2:$B$42,0)))*CR464*CP464)*CQ464/2204.62*CO464,"")</f>
        <v/>
      </c>
      <c r="CU464" s="135" t="str">
        <f>IF($I464&lt;&gt;"",J464*IF(W464&lt;&gt;"AR",(CS464*K464)+CT464,(CS464*AB464)+CT464*(AB464/INDEX('Device Refrigerant Leakage'!$C$2:$C$42,MATCH($M464,'Device Refrigerant Leakage'!$B$2:$B$42,0)))),"")</f>
        <v/>
      </c>
      <c r="CW464" s="135" t="str">
        <f>IF($I464&lt;&gt;"",IF(S464="User Specified",V464,INDEX('Refrigerant GWPs'!$G$2:$G$156,MATCH(S464,'Refrigerant GWPs'!$A$2:$A$157,0))),"")</f>
        <v/>
      </c>
      <c r="CX464" s="138" t="str">
        <f>IF($I464&lt;&gt;"",INDEX('Device Refrigerant Leakage'!$E$2:$E$42,MATCH($Q464,'Device Refrigerant Leakage'!$B$2:$B$42,0)),"")</f>
        <v/>
      </c>
      <c r="CY464" s="138" t="str">
        <f>IF($I464&lt;&gt;"",INDEX('Device Refrigerant Leakage'!$F$2:$F$42,MATCH($Q464,'Device Refrigerant Leakage'!$B$2:$B$42,0)),"")</f>
        <v/>
      </c>
      <c r="CZ464" s="145" t="str">
        <f>IF($I464&lt;&gt;"",INDEX('Device Refrigerant Leakage'!$G$2:$G$42,MATCH($Q464,'Device Refrigerant Leakage'!$B$2:$B$42,0)),"")</f>
        <v/>
      </c>
      <c r="DA464" s="145" t="str">
        <f>IF($I464&lt;&gt;"",J464*INDEX('Device Refrigerant Leakage'!$D$2:$D$42,MATCH($Q464,'Device Refrigerant Leakage'!$B$2:$B$42,0))*CX464/2204.62*CW464,"")</f>
        <v/>
      </c>
      <c r="DB464" s="145" t="str">
        <f>IF($I464&lt;&gt;"",J464*(INDEX('Device Refrigerant Leakage'!$D$2:$D$42,MATCH($Q464,'Device Refrigerant Leakage'!$B$2:$B$42,0))-(INDEX('Device Refrigerant Leakage'!$D$2:$D$42,MATCH($Q464,'Device Refrigerant Leakage'!$B$2:$B$42,0)))*CZ464*CX464)*CY464/2204.62*CW464,"")</f>
        <v/>
      </c>
      <c r="DC464" s="135" t="str">
        <f t="shared" ref="DC464:DC527" si="620">IF($I464&lt;&gt;"",(DA464*K464)+DB464,"")</f>
        <v/>
      </c>
      <c r="DE464" s="146" t="str">
        <f>IF(W464&lt;&gt;"AR","",IF(Y464="User Specified", AA464, INDEX('Refrigerant GWPs'!$G$2:$G$154,MATCH(Y464,'Refrigerant GWPs'!$A$2:$A$154,0))))</f>
        <v/>
      </c>
      <c r="DF464" s="146" t="str">
        <f>IF(W464&lt;&gt;"AR","",INDEX('Device Refrigerant Leakage'!$E$2:$E$42,MATCH(X464,'Device Refrigerant Leakage'!$B$2:$B$42,0)))</f>
        <v/>
      </c>
      <c r="DG464" s="146" t="str">
        <f>IF(W464&lt;&gt;"AR","",INDEX('Device Refrigerant Leakage'!$F$2:$F$42,MATCH(X464,'Device Refrigerant Leakage'!$B$2:$B$42,0)))</f>
        <v/>
      </c>
      <c r="DH464" s="146" t="str">
        <f>IF(W464&lt;&gt;"AR","",INDEX('Device Refrigerant Leakage'!$G$2:$G$42,MATCH(X464,'Device Refrigerant Leakage'!$B$2:$B$42,0)))</f>
        <v/>
      </c>
      <c r="DI464" s="146" t="str">
        <f>IF(W464&lt;&gt;"AR","",J464*INDEX('Device Refrigerant Leakage'!$D$2:$D$42,MATCH(X464,'Device Refrigerant Leakage'!$B$2:$B$42,0))*DF464/2204.62*DE464)</f>
        <v/>
      </c>
      <c r="DJ464" s="146" t="str">
        <f>IF(W464&lt;&gt;"AR","",J464*(INDEX('Device Refrigerant Leakage'!$D$2:$D$42,MATCH(X464,'Device Refrigerant Leakage'!$B$2:$B$42,0))-(INDEX('Device Refrigerant Leakage'!$D$2:$D$42,MATCH(X464,'Device Refrigerant Leakage'!$B$2:$B$42,0)))*DH464*DF464)*DG464/2204.62*DE464)</f>
        <v/>
      </c>
      <c r="DK464" s="146" t="str">
        <f>IF(W464&lt;&gt;"AR","",DI464*(K464-AB464)+'Fuel Sub Calcs-Deemed'!DJ464*((K464-AB464)/INDEX('Device Refrigerant Leakage'!$C$2:$C$42,MATCH('Fuel Sub Calcs-Deemed'!X464,'Device Refrigerant Leakage'!$B$2:$B$42,0))))</f>
        <v/>
      </c>
      <c r="DM464" s="56">
        <v>450</v>
      </c>
      <c r="DN464" s="67" t="e">
        <f t="shared" si="602"/>
        <v>#N/A</v>
      </c>
      <c r="DO464" s="45" t="e">
        <f t="shared" si="603"/>
        <v>#N/A</v>
      </c>
      <c r="DP464" s="67" t="e">
        <f t="shared" si="604"/>
        <v>#N/A</v>
      </c>
      <c r="DQ464" s="45" t="e">
        <f t="shared" si="605"/>
        <v>#N/A</v>
      </c>
      <c r="DR464" s="69" t="e">
        <f t="shared" si="606"/>
        <v>#N/A</v>
      </c>
      <c r="DS464" s="34"/>
      <c r="DT464" s="67" t="e">
        <f>((BX464*CJ464)+IF($W464=MAT_AR,(BZ464*CL464),0))*(1+Reference!$E$50+Reference!$E$51)</f>
        <v>#N/A</v>
      </c>
      <c r="DU464" s="67">
        <f>((BY464*CK464)+IF($W464=MAT_AR,(CA464*CM464),0))*(1+Reference!$G$50+Reference!$G$51)</f>
        <v>0</v>
      </c>
      <c r="DV464" s="67" t="e">
        <f t="shared" si="607"/>
        <v>#VALUE!</v>
      </c>
      <c r="DX464" s="56">
        <v>450</v>
      </c>
      <c r="DY464" s="67">
        <f t="shared" si="608"/>
        <v>0</v>
      </c>
      <c r="DZ464" s="45" t="e">
        <f>VLOOKUP($R464,Dropdown!$C$3:$D$4,2,FALSE)</f>
        <v>#N/A</v>
      </c>
      <c r="EA464" s="68">
        <f t="shared" si="609"/>
        <v>0</v>
      </c>
      <c r="EB464" s="68" t="str">
        <f t="shared" si="610"/>
        <v>N/A</v>
      </c>
      <c r="EC464" s="68">
        <f t="shared" si="611"/>
        <v>0</v>
      </c>
      <c r="ED464" s="68" t="str">
        <f t="shared" si="581"/>
        <v>N/A</v>
      </c>
      <c r="EF464" s="56">
        <v>450</v>
      </c>
      <c r="EG464" s="46">
        <f t="shared" si="612"/>
        <v>0</v>
      </c>
      <c r="EH464" s="68" t="e">
        <f t="shared" si="613"/>
        <v>#N/A</v>
      </c>
      <c r="EI464" s="68" t="e">
        <f t="shared" si="614"/>
        <v>#N/A</v>
      </c>
      <c r="EJ464" s="68" t="e">
        <f t="shared" si="615"/>
        <v>#N/A</v>
      </c>
      <c r="EK464" s="68" t="e">
        <f t="shared" si="616"/>
        <v>#N/A</v>
      </c>
      <c r="EL464" s="46">
        <f t="shared" si="617"/>
        <v>0</v>
      </c>
      <c r="EM464" s="46">
        <f t="shared" si="618"/>
        <v>0</v>
      </c>
    </row>
    <row r="465" spans="1:143">
      <c r="A465" s="89"/>
      <c r="B465" s="89"/>
      <c r="C465" s="89"/>
      <c r="D465" s="89"/>
      <c r="E465" s="89"/>
      <c r="F465" s="89"/>
      <c r="G465" s="34"/>
      <c r="H465" s="56">
        <f t="shared" si="619"/>
        <v>451</v>
      </c>
      <c r="I465" s="165"/>
      <c r="J465" s="163"/>
      <c r="K465" s="163"/>
      <c r="L465" s="164"/>
      <c r="M465" s="155"/>
      <c r="N465" s="155"/>
      <c r="O465" s="144"/>
      <c r="P465" s="159" t="str">
        <f>IFERROR(IF(O465&lt;&gt;"User Specified",IF(O465&lt;&gt;"", INDEX('Refrigerant GWPs'!$G$2:$G$154,MATCH(O465,'Refrigerant GWPs'!$A$2:$A$154,0)),""),U465),0)</f>
        <v/>
      </c>
      <c r="Q465" s="155"/>
      <c r="R465" s="155"/>
      <c r="S465" s="144"/>
      <c r="T465" s="159" t="str">
        <f>IF(S465&lt;&gt;"User Specified",IF(AND(S465&lt;&gt;"User Specified",S465&lt;&gt;""), INDEX('Refrigerant GWPs'!$G$2:$G$154,MATCH(S465,'Refrigerant GWPs'!$A$2:$A$154,0)),""),V465)</f>
        <v/>
      </c>
      <c r="U465" s="144"/>
      <c r="V465" s="144"/>
      <c r="W465" s="155"/>
      <c r="X465" s="155"/>
      <c r="Y465" s="144"/>
      <c r="Z465" s="159" t="str">
        <f>IF(AND(Y465&lt;&gt;"User Specified",Y465&lt;&gt;""), INDEX('Refrigerant GWPs'!$G$2:$G$154,MATCH(Y465,'Refrigerant GWPs'!$A$2:$A$154,0)),"")</f>
        <v/>
      </c>
      <c r="AA465" s="155"/>
      <c r="AB465" s="156"/>
      <c r="AC465" s="66"/>
      <c r="AD465" s="66"/>
      <c r="AE465" s="66"/>
      <c r="AF465" s="66"/>
      <c r="AG465" s="66"/>
      <c r="AH465" s="66"/>
      <c r="AI465" s="34"/>
      <c r="AJ465" s="88">
        <f t="shared" si="582"/>
        <v>0</v>
      </c>
      <c r="AK465" s="88">
        <f t="shared" si="583"/>
        <v>0</v>
      </c>
      <c r="AL465" s="88">
        <v>0</v>
      </c>
      <c r="AM465" s="88">
        <v>0</v>
      </c>
      <c r="AN465" s="81" t="str">
        <f t="shared" si="553"/>
        <v/>
      </c>
      <c r="AO465" s="88">
        <f t="shared" si="584"/>
        <v>0</v>
      </c>
      <c r="AP465" s="88">
        <f t="shared" si="585"/>
        <v>0</v>
      </c>
      <c r="AQ465" s="81" t="str">
        <f t="shared" si="586"/>
        <v/>
      </c>
      <c r="AS465" s="41" t="b">
        <f t="shared" si="587"/>
        <v>1</v>
      </c>
      <c r="AT465" s="38">
        <f t="shared" si="588"/>
        <v>0</v>
      </c>
      <c r="AU465" s="60">
        <f t="shared" si="589"/>
        <v>0</v>
      </c>
      <c r="AV465" s="41">
        <f t="shared" si="590"/>
        <v>0</v>
      </c>
      <c r="AW465" s="41" t="b">
        <f t="shared" si="591"/>
        <v>0</v>
      </c>
      <c r="AX465" t="str">
        <f t="shared" si="592"/>
        <v>+00</v>
      </c>
      <c r="AY465" t="str">
        <f t="shared" si="593"/>
        <v>+00</v>
      </c>
      <c r="BA465" s="47" t="b">
        <f t="shared" si="554"/>
        <v>1</v>
      </c>
      <c r="BB465" s="42" t="b">
        <f t="shared" si="555"/>
        <v>1</v>
      </c>
      <c r="BC465" s="42" t="b">
        <f t="shared" si="556"/>
        <v>0</v>
      </c>
      <c r="BD465" s="42" t="b">
        <f t="shared" si="557"/>
        <v>0</v>
      </c>
      <c r="BE465" s="70">
        <f t="shared" si="558"/>
        <v>0</v>
      </c>
      <c r="BF465" s="70">
        <f t="shared" si="559"/>
        <v>0</v>
      </c>
      <c r="BG465" s="34"/>
      <c r="BI465" s="47" t="b">
        <f t="shared" si="560"/>
        <v>1</v>
      </c>
      <c r="BJ465" s="47" t="b">
        <f t="shared" si="561"/>
        <v>1</v>
      </c>
      <c r="BK465" s="42" t="b">
        <f t="shared" si="562"/>
        <v>0</v>
      </c>
      <c r="BL465" s="42" t="b">
        <f t="shared" si="563"/>
        <v>0</v>
      </c>
      <c r="BM465" s="42">
        <f t="shared" si="564"/>
        <v>0</v>
      </c>
      <c r="BN465" s="42">
        <f t="shared" si="565"/>
        <v>0</v>
      </c>
      <c r="BP465" t="e">
        <f t="shared" si="566"/>
        <v>#N/A</v>
      </c>
      <c r="BQ465" t="e">
        <f t="shared" si="567"/>
        <v>#N/A</v>
      </c>
      <c r="BR465" t="e">
        <f t="shared" si="568"/>
        <v>#N/A</v>
      </c>
      <c r="BT465" s="60">
        <f t="shared" si="569"/>
        <v>0</v>
      </c>
      <c r="BU465" s="60">
        <f t="shared" si="570"/>
        <v>0</v>
      </c>
      <c r="BV465" s="60">
        <f t="shared" si="571"/>
        <v>0</v>
      </c>
      <c r="BW465" s="60">
        <f t="shared" si="572"/>
        <v>0</v>
      </c>
      <c r="BX465" s="60">
        <f t="shared" si="573"/>
        <v>0</v>
      </c>
      <c r="BY465" s="60">
        <f t="shared" si="574"/>
        <v>0</v>
      </c>
      <c r="BZ465" s="60">
        <f t="shared" si="575"/>
        <v>0</v>
      </c>
      <c r="CA465" s="60">
        <f t="shared" si="576"/>
        <v>0</v>
      </c>
      <c r="CB465" s="60" t="e">
        <f t="shared" si="594"/>
        <v>#N/A</v>
      </c>
      <c r="CC465" s="60">
        <f t="shared" si="595"/>
        <v>100000</v>
      </c>
      <c r="CD465" s="60" t="e">
        <f t="shared" si="596"/>
        <v>#N/A</v>
      </c>
      <c r="CE465" s="60">
        <f t="shared" si="597"/>
        <v>100000</v>
      </c>
      <c r="CF465" s="83" t="e">
        <f t="shared" si="577"/>
        <v>#N/A</v>
      </c>
      <c r="CG465" s="83">
        <f t="shared" si="578"/>
        <v>0</v>
      </c>
      <c r="CH465" s="83" t="e">
        <f t="shared" si="579"/>
        <v>#N/A</v>
      </c>
      <c r="CI465" s="83">
        <f t="shared" si="580"/>
        <v>0</v>
      </c>
      <c r="CJ465" s="86" t="e">
        <f t="shared" si="598"/>
        <v>#N/A</v>
      </c>
      <c r="CK465" s="82">
        <f t="shared" si="599"/>
        <v>5.3070370403969858E-3</v>
      </c>
      <c r="CL465" s="82" t="e">
        <f t="shared" si="600"/>
        <v>#N/A</v>
      </c>
      <c r="CM465" s="82">
        <f t="shared" si="601"/>
        <v>5.3070370403969858E-3</v>
      </c>
      <c r="CO465" s="149" t="str">
        <f>IF($I465&lt;&gt;"",IF(O465="User Specified",U465,INDEX('Refrigerant GWPs'!$G$2:$G$156,MATCH(O465,'Refrigerant GWPs'!$A$2:$A$156,0))),"")</f>
        <v/>
      </c>
      <c r="CP465" s="138" t="str">
        <f>IF($I465&lt;&gt;"",INDEX('Device Refrigerant Leakage'!$E$2:$E$42,MATCH($M465,'Device Refrigerant Leakage'!$B$2:$B$42,0)),"")</f>
        <v/>
      </c>
      <c r="CQ465" s="138" t="str">
        <f>IF($I465&lt;&gt;"",INDEX('Device Refrigerant Leakage'!$F$2:$F$42,MATCH($M465,'Device Refrigerant Leakage'!$B$2:$B$42,0)),"")</f>
        <v/>
      </c>
      <c r="CR465" s="145" t="str">
        <f>IF($I465&lt;&gt;"",INDEX('Device Refrigerant Leakage'!$G$2:$G$42,MATCH($M465,'Device Refrigerant Leakage'!$B$2:$B$42,0)),"")</f>
        <v/>
      </c>
      <c r="CS465" s="145" t="str">
        <f>IF($I465&lt;&gt;"",INDEX('Device Refrigerant Leakage'!$D$2:$D$42,MATCH($M465,'Device Refrigerant Leakage'!$B$2:$B$42,0))*CP465/2204.62*CO465,"")</f>
        <v/>
      </c>
      <c r="CT465" s="145" t="str">
        <f>IF($I465&lt;&gt;"",J465*(INDEX('Device Refrigerant Leakage'!$D$2:$D$42,MATCH($M465,'Device Refrigerant Leakage'!$B$2:$B$42,0))-(INDEX('Device Refrigerant Leakage'!$D$2:$D$42,MATCH($M465,'Device Refrigerant Leakage'!$B$2:$B$42,0)))*CR465*CP465)*CQ465/2204.62*CO465,"")</f>
        <v/>
      </c>
      <c r="CU465" s="135" t="str">
        <f>IF($I465&lt;&gt;"",J465*IF(W465&lt;&gt;"AR",(CS465*K465)+CT465,(CS465*AB465)+CT465*(AB465/INDEX('Device Refrigerant Leakage'!$C$2:$C$42,MATCH($M465,'Device Refrigerant Leakage'!$B$2:$B$42,0)))),"")</f>
        <v/>
      </c>
      <c r="CW465" s="135" t="str">
        <f>IF($I465&lt;&gt;"",IF(S465="User Specified",V465,INDEX('Refrigerant GWPs'!$G$2:$G$156,MATCH(S465,'Refrigerant GWPs'!$A$2:$A$157,0))),"")</f>
        <v/>
      </c>
      <c r="CX465" s="138" t="str">
        <f>IF($I465&lt;&gt;"",INDEX('Device Refrigerant Leakage'!$E$2:$E$42,MATCH($Q465,'Device Refrigerant Leakage'!$B$2:$B$42,0)),"")</f>
        <v/>
      </c>
      <c r="CY465" s="138" t="str">
        <f>IF($I465&lt;&gt;"",INDEX('Device Refrigerant Leakage'!$F$2:$F$42,MATCH($Q465,'Device Refrigerant Leakage'!$B$2:$B$42,0)),"")</f>
        <v/>
      </c>
      <c r="CZ465" s="145" t="str">
        <f>IF($I465&lt;&gt;"",INDEX('Device Refrigerant Leakage'!$G$2:$G$42,MATCH($Q465,'Device Refrigerant Leakage'!$B$2:$B$42,0)),"")</f>
        <v/>
      </c>
      <c r="DA465" s="145" t="str">
        <f>IF($I465&lt;&gt;"",J465*INDEX('Device Refrigerant Leakage'!$D$2:$D$42,MATCH($Q465,'Device Refrigerant Leakage'!$B$2:$B$42,0))*CX465/2204.62*CW465,"")</f>
        <v/>
      </c>
      <c r="DB465" s="145" t="str">
        <f>IF($I465&lt;&gt;"",J465*(INDEX('Device Refrigerant Leakage'!$D$2:$D$42,MATCH($Q465,'Device Refrigerant Leakage'!$B$2:$B$42,0))-(INDEX('Device Refrigerant Leakage'!$D$2:$D$42,MATCH($Q465,'Device Refrigerant Leakage'!$B$2:$B$42,0)))*CZ465*CX465)*CY465/2204.62*CW465,"")</f>
        <v/>
      </c>
      <c r="DC465" s="135" t="str">
        <f t="shared" si="620"/>
        <v/>
      </c>
      <c r="DE465" s="146" t="str">
        <f>IF(W465&lt;&gt;"AR","",IF(Y465="User Specified", AA465, INDEX('Refrigerant GWPs'!$G$2:$G$154,MATCH(Y465,'Refrigerant GWPs'!$A$2:$A$154,0))))</f>
        <v/>
      </c>
      <c r="DF465" s="146" t="str">
        <f>IF(W465&lt;&gt;"AR","",INDEX('Device Refrigerant Leakage'!$E$2:$E$42,MATCH(X465,'Device Refrigerant Leakage'!$B$2:$B$42,0)))</f>
        <v/>
      </c>
      <c r="DG465" s="146" t="str">
        <f>IF(W465&lt;&gt;"AR","",INDEX('Device Refrigerant Leakage'!$F$2:$F$42,MATCH(X465,'Device Refrigerant Leakage'!$B$2:$B$42,0)))</f>
        <v/>
      </c>
      <c r="DH465" s="146" t="str">
        <f>IF(W465&lt;&gt;"AR","",INDEX('Device Refrigerant Leakage'!$G$2:$G$42,MATCH(X465,'Device Refrigerant Leakage'!$B$2:$B$42,0)))</f>
        <v/>
      </c>
      <c r="DI465" s="146" t="str">
        <f>IF(W465&lt;&gt;"AR","",J465*INDEX('Device Refrigerant Leakage'!$D$2:$D$42,MATCH(X465,'Device Refrigerant Leakage'!$B$2:$B$42,0))*DF465/2204.62*DE465)</f>
        <v/>
      </c>
      <c r="DJ465" s="146" t="str">
        <f>IF(W465&lt;&gt;"AR","",J465*(INDEX('Device Refrigerant Leakage'!$D$2:$D$42,MATCH(X465,'Device Refrigerant Leakage'!$B$2:$B$42,0))-(INDEX('Device Refrigerant Leakage'!$D$2:$D$42,MATCH(X465,'Device Refrigerant Leakage'!$B$2:$B$42,0)))*DH465*DF465)*DG465/2204.62*DE465)</f>
        <v/>
      </c>
      <c r="DK465" s="146" t="str">
        <f>IF(W465&lt;&gt;"AR","",DI465*(K465-AB465)+'Fuel Sub Calcs-Deemed'!DJ465*((K465-AB465)/INDEX('Device Refrigerant Leakage'!$C$2:$C$42,MATCH('Fuel Sub Calcs-Deemed'!X465,'Device Refrigerant Leakage'!$B$2:$B$42,0))))</f>
        <v/>
      </c>
      <c r="DM465" s="56">
        <v>451</v>
      </c>
      <c r="DN465" s="67" t="e">
        <f t="shared" si="602"/>
        <v>#N/A</v>
      </c>
      <c r="DO465" s="45" t="e">
        <f t="shared" si="603"/>
        <v>#N/A</v>
      </c>
      <c r="DP465" s="67" t="e">
        <f t="shared" si="604"/>
        <v>#N/A</v>
      </c>
      <c r="DQ465" s="45" t="e">
        <f t="shared" si="605"/>
        <v>#N/A</v>
      </c>
      <c r="DR465" s="69" t="e">
        <f t="shared" si="606"/>
        <v>#N/A</v>
      </c>
      <c r="DS465" s="34"/>
      <c r="DT465" s="67" t="e">
        <f>((BX465*CJ465)+IF($W465=MAT_AR,(BZ465*CL465),0))*(1+Reference!$E$50+Reference!$E$51)</f>
        <v>#N/A</v>
      </c>
      <c r="DU465" s="67">
        <f>((BY465*CK465)+IF($W465=MAT_AR,(CA465*CM465),0))*(1+Reference!$G$50+Reference!$G$51)</f>
        <v>0</v>
      </c>
      <c r="DV465" s="67" t="e">
        <f t="shared" si="607"/>
        <v>#VALUE!</v>
      </c>
      <c r="DX465" s="56">
        <v>451</v>
      </c>
      <c r="DY465" s="67">
        <f t="shared" si="608"/>
        <v>0</v>
      </c>
      <c r="DZ465" s="45" t="e">
        <f>VLOOKUP($R465,Dropdown!$C$3:$D$4,2,FALSE)</f>
        <v>#N/A</v>
      </c>
      <c r="EA465" s="68">
        <f t="shared" si="609"/>
        <v>0</v>
      </c>
      <c r="EB465" s="68" t="str">
        <f t="shared" si="610"/>
        <v>N/A</v>
      </c>
      <c r="EC465" s="68">
        <f t="shared" si="611"/>
        <v>0</v>
      </c>
      <c r="ED465" s="68" t="str">
        <f t="shared" si="581"/>
        <v>N/A</v>
      </c>
      <c r="EF465" s="56">
        <v>451</v>
      </c>
      <c r="EG465" s="46">
        <f t="shared" si="612"/>
        <v>0</v>
      </c>
      <c r="EH465" s="68" t="e">
        <f t="shared" si="613"/>
        <v>#N/A</v>
      </c>
      <c r="EI465" s="68" t="e">
        <f t="shared" si="614"/>
        <v>#N/A</v>
      </c>
      <c r="EJ465" s="68" t="e">
        <f t="shared" si="615"/>
        <v>#N/A</v>
      </c>
      <c r="EK465" s="68" t="e">
        <f t="shared" si="616"/>
        <v>#N/A</v>
      </c>
      <c r="EL465" s="46">
        <f t="shared" si="617"/>
        <v>0</v>
      </c>
      <c r="EM465" s="46">
        <f t="shared" si="618"/>
        <v>0</v>
      </c>
    </row>
    <row r="466" spans="1:143">
      <c r="A466" s="89"/>
      <c r="B466" s="89"/>
      <c r="C466" s="89"/>
      <c r="D466" s="89"/>
      <c r="E466" s="89"/>
      <c r="F466" s="89"/>
      <c r="G466" s="34"/>
      <c r="H466" s="56">
        <f t="shared" si="619"/>
        <v>452</v>
      </c>
      <c r="I466" s="165"/>
      <c r="J466" s="163"/>
      <c r="K466" s="163"/>
      <c r="L466" s="164"/>
      <c r="M466" s="155"/>
      <c r="N466" s="155"/>
      <c r="O466" s="144"/>
      <c r="P466" s="159" t="str">
        <f>IFERROR(IF(O466&lt;&gt;"User Specified",IF(O466&lt;&gt;"", INDEX('Refrigerant GWPs'!$G$2:$G$154,MATCH(O466,'Refrigerant GWPs'!$A$2:$A$154,0)),""),U466),0)</f>
        <v/>
      </c>
      <c r="Q466" s="155"/>
      <c r="R466" s="155"/>
      <c r="S466" s="144"/>
      <c r="T466" s="159" t="str">
        <f>IF(S466&lt;&gt;"User Specified",IF(AND(S466&lt;&gt;"User Specified",S466&lt;&gt;""), INDEX('Refrigerant GWPs'!$G$2:$G$154,MATCH(S466,'Refrigerant GWPs'!$A$2:$A$154,0)),""),V466)</f>
        <v/>
      </c>
      <c r="U466" s="144"/>
      <c r="V466" s="144"/>
      <c r="W466" s="155"/>
      <c r="X466" s="155"/>
      <c r="Y466" s="144"/>
      <c r="Z466" s="159" t="str">
        <f>IF(AND(Y466&lt;&gt;"User Specified",Y466&lt;&gt;""), INDEX('Refrigerant GWPs'!$G$2:$G$154,MATCH(Y466,'Refrigerant GWPs'!$A$2:$A$154,0)),"")</f>
        <v/>
      </c>
      <c r="AA466" s="155"/>
      <c r="AB466" s="156"/>
      <c r="AC466" s="66"/>
      <c r="AD466" s="66"/>
      <c r="AE466" s="66"/>
      <c r="AF466" s="66"/>
      <c r="AG466" s="66"/>
      <c r="AH466" s="66"/>
      <c r="AI466" s="34"/>
      <c r="AJ466" s="88">
        <f t="shared" si="582"/>
        <v>0</v>
      </c>
      <c r="AK466" s="88">
        <f t="shared" si="583"/>
        <v>0</v>
      </c>
      <c r="AL466" s="88">
        <v>0</v>
      </c>
      <c r="AM466" s="88">
        <v>0</v>
      </c>
      <c r="AN466" s="81" t="str">
        <f t="shared" si="553"/>
        <v/>
      </c>
      <c r="AO466" s="88">
        <f t="shared" si="584"/>
        <v>0</v>
      </c>
      <c r="AP466" s="88">
        <f t="shared" si="585"/>
        <v>0</v>
      </c>
      <c r="AQ466" s="81" t="str">
        <f t="shared" si="586"/>
        <v/>
      </c>
      <c r="AS466" s="41" t="b">
        <f t="shared" si="587"/>
        <v>1</v>
      </c>
      <c r="AT466" s="38">
        <f t="shared" si="588"/>
        <v>0</v>
      </c>
      <c r="AU466" s="60">
        <f t="shared" si="589"/>
        <v>0</v>
      </c>
      <c r="AV466" s="41">
        <f t="shared" si="590"/>
        <v>0</v>
      </c>
      <c r="AW466" s="41" t="b">
        <f t="shared" si="591"/>
        <v>0</v>
      </c>
      <c r="AX466" t="str">
        <f t="shared" si="592"/>
        <v>+00</v>
      </c>
      <c r="AY466" t="str">
        <f t="shared" si="593"/>
        <v>+00</v>
      </c>
      <c r="BA466" s="47" t="b">
        <f t="shared" si="554"/>
        <v>1</v>
      </c>
      <c r="BB466" s="42" t="b">
        <f t="shared" si="555"/>
        <v>1</v>
      </c>
      <c r="BC466" s="42" t="b">
        <f t="shared" si="556"/>
        <v>0</v>
      </c>
      <c r="BD466" s="42" t="b">
        <f t="shared" si="557"/>
        <v>0</v>
      </c>
      <c r="BE466" s="70">
        <f t="shared" si="558"/>
        <v>0</v>
      </c>
      <c r="BF466" s="70">
        <f t="shared" si="559"/>
        <v>0</v>
      </c>
      <c r="BG466" s="34"/>
      <c r="BI466" s="47" t="b">
        <f t="shared" si="560"/>
        <v>1</v>
      </c>
      <c r="BJ466" s="47" t="b">
        <f t="shared" si="561"/>
        <v>1</v>
      </c>
      <c r="BK466" s="42" t="b">
        <f t="shared" si="562"/>
        <v>0</v>
      </c>
      <c r="BL466" s="42" t="b">
        <f t="shared" si="563"/>
        <v>0</v>
      </c>
      <c r="BM466" s="42">
        <f t="shared" si="564"/>
        <v>0</v>
      </c>
      <c r="BN466" s="42">
        <f t="shared" si="565"/>
        <v>0</v>
      </c>
      <c r="BP466" t="e">
        <f t="shared" si="566"/>
        <v>#N/A</v>
      </c>
      <c r="BQ466" t="e">
        <f t="shared" si="567"/>
        <v>#N/A</v>
      </c>
      <c r="BR466" t="e">
        <f t="shared" si="568"/>
        <v>#N/A</v>
      </c>
      <c r="BT466" s="60">
        <f t="shared" si="569"/>
        <v>0</v>
      </c>
      <c r="BU466" s="60">
        <f t="shared" si="570"/>
        <v>0</v>
      </c>
      <c r="BV466" s="60">
        <f t="shared" si="571"/>
        <v>0</v>
      </c>
      <c r="BW466" s="60">
        <f t="shared" si="572"/>
        <v>0</v>
      </c>
      <c r="BX466" s="60">
        <f t="shared" si="573"/>
        <v>0</v>
      </c>
      <c r="BY466" s="60">
        <f t="shared" si="574"/>
        <v>0</v>
      </c>
      <c r="BZ466" s="60">
        <f t="shared" si="575"/>
        <v>0</v>
      </c>
      <c r="CA466" s="60">
        <f t="shared" si="576"/>
        <v>0</v>
      </c>
      <c r="CB466" s="60" t="e">
        <f t="shared" si="594"/>
        <v>#N/A</v>
      </c>
      <c r="CC466" s="60">
        <f t="shared" si="595"/>
        <v>100000</v>
      </c>
      <c r="CD466" s="60" t="e">
        <f t="shared" si="596"/>
        <v>#N/A</v>
      </c>
      <c r="CE466" s="60">
        <f t="shared" si="597"/>
        <v>100000</v>
      </c>
      <c r="CF466" s="83" t="e">
        <f t="shared" si="577"/>
        <v>#N/A</v>
      </c>
      <c r="CG466" s="83">
        <f t="shared" si="578"/>
        <v>0</v>
      </c>
      <c r="CH466" s="83" t="e">
        <f t="shared" si="579"/>
        <v>#N/A</v>
      </c>
      <c r="CI466" s="83">
        <f t="shared" si="580"/>
        <v>0</v>
      </c>
      <c r="CJ466" s="86" t="e">
        <f t="shared" si="598"/>
        <v>#N/A</v>
      </c>
      <c r="CK466" s="82">
        <f t="shared" si="599"/>
        <v>5.3070370403969858E-3</v>
      </c>
      <c r="CL466" s="82" t="e">
        <f t="shared" si="600"/>
        <v>#N/A</v>
      </c>
      <c r="CM466" s="82">
        <f t="shared" si="601"/>
        <v>5.3070370403969858E-3</v>
      </c>
      <c r="CO466" s="149" t="str">
        <f>IF($I466&lt;&gt;"",IF(O466="User Specified",U466,INDEX('Refrigerant GWPs'!$G$2:$G$156,MATCH(O466,'Refrigerant GWPs'!$A$2:$A$156,0))),"")</f>
        <v/>
      </c>
      <c r="CP466" s="138" t="str">
        <f>IF($I466&lt;&gt;"",INDEX('Device Refrigerant Leakage'!$E$2:$E$42,MATCH($M466,'Device Refrigerant Leakage'!$B$2:$B$42,0)),"")</f>
        <v/>
      </c>
      <c r="CQ466" s="138" t="str">
        <f>IF($I466&lt;&gt;"",INDEX('Device Refrigerant Leakage'!$F$2:$F$42,MATCH($M466,'Device Refrigerant Leakage'!$B$2:$B$42,0)),"")</f>
        <v/>
      </c>
      <c r="CR466" s="145" t="str">
        <f>IF($I466&lt;&gt;"",INDEX('Device Refrigerant Leakage'!$G$2:$G$42,MATCH($M466,'Device Refrigerant Leakage'!$B$2:$B$42,0)),"")</f>
        <v/>
      </c>
      <c r="CS466" s="145" t="str">
        <f>IF($I466&lt;&gt;"",INDEX('Device Refrigerant Leakage'!$D$2:$D$42,MATCH($M466,'Device Refrigerant Leakage'!$B$2:$B$42,0))*CP466/2204.62*CO466,"")</f>
        <v/>
      </c>
      <c r="CT466" s="145" t="str">
        <f>IF($I466&lt;&gt;"",J466*(INDEX('Device Refrigerant Leakage'!$D$2:$D$42,MATCH($M466,'Device Refrigerant Leakage'!$B$2:$B$42,0))-(INDEX('Device Refrigerant Leakage'!$D$2:$D$42,MATCH($M466,'Device Refrigerant Leakage'!$B$2:$B$42,0)))*CR466*CP466)*CQ466/2204.62*CO466,"")</f>
        <v/>
      </c>
      <c r="CU466" s="135" t="str">
        <f>IF($I466&lt;&gt;"",J466*IF(W466&lt;&gt;"AR",(CS466*K466)+CT466,(CS466*AB466)+CT466*(AB466/INDEX('Device Refrigerant Leakage'!$C$2:$C$42,MATCH($M466,'Device Refrigerant Leakage'!$B$2:$B$42,0)))),"")</f>
        <v/>
      </c>
      <c r="CW466" s="135" t="str">
        <f>IF($I466&lt;&gt;"",IF(S466="User Specified",V466,INDEX('Refrigerant GWPs'!$G$2:$G$156,MATCH(S466,'Refrigerant GWPs'!$A$2:$A$157,0))),"")</f>
        <v/>
      </c>
      <c r="CX466" s="138" t="str">
        <f>IF($I466&lt;&gt;"",INDEX('Device Refrigerant Leakage'!$E$2:$E$42,MATCH($Q466,'Device Refrigerant Leakage'!$B$2:$B$42,0)),"")</f>
        <v/>
      </c>
      <c r="CY466" s="138" t="str">
        <f>IF($I466&lt;&gt;"",INDEX('Device Refrigerant Leakage'!$F$2:$F$42,MATCH($Q466,'Device Refrigerant Leakage'!$B$2:$B$42,0)),"")</f>
        <v/>
      </c>
      <c r="CZ466" s="145" t="str">
        <f>IF($I466&lt;&gt;"",INDEX('Device Refrigerant Leakage'!$G$2:$G$42,MATCH($Q466,'Device Refrigerant Leakage'!$B$2:$B$42,0)),"")</f>
        <v/>
      </c>
      <c r="DA466" s="145" t="str">
        <f>IF($I466&lt;&gt;"",J466*INDEX('Device Refrigerant Leakage'!$D$2:$D$42,MATCH($Q466,'Device Refrigerant Leakage'!$B$2:$B$42,0))*CX466/2204.62*CW466,"")</f>
        <v/>
      </c>
      <c r="DB466" s="145" t="str">
        <f>IF($I466&lt;&gt;"",J466*(INDEX('Device Refrigerant Leakage'!$D$2:$D$42,MATCH($Q466,'Device Refrigerant Leakage'!$B$2:$B$42,0))-(INDEX('Device Refrigerant Leakage'!$D$2:$D$42,MATCH($Q466,'Device Refrigerant Leakage'!$B$2:$B$42,0)))*CZ466*CX466)*CY466/2204.62*CW466,"")</f>
        <v/>
      </c>
      <c r="DC466" s="135" t="str">
        <f t="shared" si="620"/>
        <v/>
      </c>
      <c r="DE466" s="146" t="str">
        <f>IF(W466&lt;&gt;"AR","",IF(Y466="User Specified", AA466, INDEX('Refrigerant GWPs'!$G$2:$G$154,MATCH(Y466,'Refrigerant GWPs'!$A$2:$A$154,0))))</f>
        <v/>
      </c>
      <c r="DF466" s="146" t="str">
        <f>IF(W466&lt;&gt;"AR","",INDEX('Device Refrigerant Leakage'!$E$2:$E$42,MATCH(X466,'Device Refrigerant Leakage'!$B$2:$B$42,0)))</f>
        <v/>
      </c>
      <c r="DG466" s="146" t="str">
        <f>IF(W466&lt;&gt;"AR","",INDEX('Device Refrigerant Leakage'!$F$2:$F$42,MATCH(X466,'Device Refrigerant Leakage'!$B$2:$B$42,0)))</f>
        <v/>
      </c>
      <c r="DH466" s="146" t="str">
        <f>IF(W466&lt;&gt;"AR","",INDEX('Device Refrigerant Leakage'!$G$2:$G$42,MATCH(X466,'Device Refrigerant Leakage'!$B$2:$B$42,0)))</f>
        <v/>
      </c>
      <c r="DI466" s="146" t="str">
        <f>IF(W466&lt;&gt;"AR","",J466*INDEX('Device Refrigerant Leakage'!$D$2:$D$42,MATCH(X466,'Device Refrigerant Leakage'!$B$2:$B$42,0))*DF466/2204.62*DE466)</f>
        <v/>
      </c>
      <c r="DJ466" s="146" t="str">
        <f>IF(W466&lt;&gt;"AR","",J466*(INDEX('Device Refrigerant Leakage'!$D$2:$D$42,MATCH(X466,'Device Refrigerant Leakage'!$B$2:$B$42,0))-(INDEX('Device Refrigerant Leakage'!$D$2:$D$42,MATCH(X466,'Device Refrigerant Leakage'!$B$2:$B$42,0)))*DH466*DF466)*DG466/2204.62*DE466)</f>
        <v/>
      </c>
      <c r="DK466" s="146" t="str">
        <f>IF(W466&lt;&gt;"AR","",DI466*(K466-AB466)+'Fuel Sub Calcs-Deemed'!DJ466*((K466-AB466)/INDEX('Device Refrigerant Leakage'!$C$2:$C$42,MATCH('Fuel Sub Calcs-Deemed'!X466,'Device Refrigerant Leakage'!$B$2:$B$42,0))))</f>
        <v/>
      </c>
      <c r="DM466" s="56">
        <v>452</v>
      </c>
      <c r="DN466" s="67" t="e">
        <f t="shared" si="602"/>
        <v>#N/A</v>
      </c>
      <c r="DO466" s="45" t="e">
        <f t="shared" si="603"/>
        <v>#N/A</v>
      </c>
      <c r="DP466" s="67" t="e">
        <f t="shared" si="604"/>
        <v>#N/A</v>
      </c>
      <c r="DQ466" s="45" t="e">
        <f t="shared" si="605"/>
        <v>#N/A</v>
      </c>
      <c r="DR466" s="69" t="e">
        <f t="shared" si="606"/>
        <v>#N/A</v>
      </c>
      <c r="DS466" s="34"/>
      <c r="DT466" s="67" t="e">
        <f>((BX466*CJ466)+IF($W466=MAT_AR,(BZ466*CL466),0))*(1+Reference!$E$50+Reference!$E$51)</f>
        <v>#N/A</v>
      </c>
      <c r="DU466" s="67">
        <f>((BY466*CK466)+IF($W466=MAT_AR,(CA466*CM466),0))*(1+Reference!$G$50+Reference!$G$51)</f>
        <v>0</v>
      </c>
      <c r="DV466" s="67" t="e">
        <f t="shared" si="607"/>
        <v>#VALUE!</v>
      </c>
      <c r="DX466" s="56">
        <v>452</v>
      </c>
      <c r="DY466" s="67">
        <f t="shared" si="608"/>
        <v>0</v>
      </c>
      <c r="DZ466" s="45" t="e">
        <f>VLOOKUP($R466,Dropdown!$C$3:$D$4,2,FALSE)</f>
        <v>#N/A</v>
      </c>
      <c r="EA466" s="68">
        <f t="shared" si="609"/>
        <v>0</v>
      </c>
      <c r="EB466" s="68" t="str">
        <f t="shared" si="610"/>
        <v>N/A</v>
      </c>
      <c r="EC466" s="68">
        <f t="shared" si="611"/>
        <v>0</v>
      </c>
      <c r="ED466" s="68" t="str">
        <f t="shared" si="581"/>
        <v>N/A</v>
      </c>
      <c r="EF466" s="56">
        <v>452</v>
      </c>
      <c r="EG466" s="46">
        <f t="shared" si="612"/>
        <v>0</v>
      </c>
      <c r="EH466" s="68" t="e">
        <f t="shared" si="613"/>
        <v>#N/A</v>
      </c>
      <c r="EI466" s="68" t="e">
        <f t="shared" si="614"/>
        <v>#N/A</v>
      </c>
      <c r="EJ466" s="68" t="e">
        <f t="shared" si="615"/>
        <v>#N/A</v>
      </c>
      <c r="EK466" s="68" t="e">
        <f t="shared" si="616"/>
        <v>#N/A</v>
      </c>
      <c r="EL466" s="46">
        <f t="shared" si="617"/>
        <v>0</v>
      </c>
      <c r="EM466" s="46">
        <f t="shared" si="618"/>
        <v>0</v>
      </c>
    </row>
    <row r="467" spans="1:143">
      <c r="A467" s="89"/>
      <c r="B467" s="89"/>
      <c r="C467" s="89"/>
      <c r="D467" s="89"/>
      <c r="E467" s="89"/>
      <c r="F467" s="89"/>
      <c r="G467" s="34"/>
      <c r="H467" s="56">
        <f t="shared" si="619"/>
        <v>453</v>
      </c>
      <c r="I467" s="165"/>
      <c r="J467" s="163"/>
      <c r="K467" s="163"/>
      <c r="L467" s="164"/>
      <c r="M467" s="155"/>
      <c r="N467" s="155"/>
      <c r="O467" s="144"/>
      <c r="P467" s="159" t="str">
        <f>IFERROR(IF(O467&lt;&gt;"User Specified",IF(O467&lt;&gt;"", INDEX('Refrigerant GWPs'!$G$2:$G$154,MATCH(O467,'Refrigerant GWPs'!$A$2:$A$154,0)),""),U467),0)</f>
        <v/>
      </c>
      <c r="Q467" s="155"/>
      <c r="R467" s="155"/>
      <c r="S467" s="144"/>
      <c r="T467" s="159" t="str">
        <f>IF(S467&lt;&gt;"User Specified",IF(AND(S467&lt;&gt;"User Specified",S467&lt;&gt;""), INDEX('Refrigerant GWPs'!$G$2:$G$154,MATCH(S467,'Refrigerant GWPs'!$A$2:$A$154,0)),""),V467)</f>
        <v/>
      </c>
      <c r="U467" s="144"/>
      <c r="V467" s="144"/>
      <c r="W467" s="155"/>
      <c r="X467" s="155"/>
      <c r="Y467" s="144"/>
      <c r="Z467" s="159" t="str">
        <f>IF(AND(Y467&lt;&gt;"User Specified",Y467&lt;&gt;""), INDEX('Refrigerant GWPs'!$G$2:$G$154,MATCH(Y467,'Refrigerant GWPs'!$A$2:$A$154,0)),"")</f>
        <v/>
      </c>
      <c r="AA467" s="155"/>
      <c r="AB467" s="156"/>
      <c r="AC467" s="66"/>
      <c r="AD467" s="66"/>
      <c r="AE467" s="66"/>
      <c r="AF467" s="66"/>
      <c r="AG467" s="66"/>
      <c r="AH467" s="66"/>
      <c r="AI467" s="34"/>
      <c r="AJ467" s="88">
        <f t="shared" si="582"/>
        <v>0</v>
      </c>
      <c r="AK467" s="88">
        <f t="shared" si="583"/>
        <v>0</v>
      </c>
      <c r="AL467" s="88">
        <v>0</v>
      </c>
      <c r="AM467" s="88">
        <v>0</v>
      </c>
      <c r="AN467" s="81" t="str">
        <f t="shared" si="553"/>
        <v/>
      </c>
      <c r="AO467" s="88">
        <f t="shared" si="584"/>
        <v>0</v>
      </c>
      <c r="AP467" s="88">
        <f t="shared" si="585"/>
        <v>0</v>
      </c>
      <c r="AQ467" s="81" t="str">
        <f t="shared" si="586"/>
        <v/>
      </c>
      <c r="AS467" s="41" t="b">
        <f t="shared" si="587"/>
        <v>1</v>
      </c>
      <c r="AT467" s="38">
        <f t="shared" si="588"/>
        <v>0</v>
      </c>
      <c r="AU467" s="60">
        <f t="shared" si="589"/>
        <v>0</v>
      </c>
      <c r="AV467" s="41">
        <f t="shared" si="590"/>
        <v>0</v>
      </c>
      <c r="AW467" s="41" t="b">
        <f t="shared" si="591"/>
        <v>0</v>
      </c>
      <c r="AX467" t="str">
        <f t="shared" si="592"/>
        <v>+00</v>
      </c>
      <c r="AY467" t="str">
        <f t="shared" si="593"/>
        <v>+00</v>
      </c>
      <c r="BA467" s="47" t="b">
        <f t="shared" si="554"/>
        <v>1</v>
      </c>
      <c r="BB467" s="42" t="b">
        <f t="shared" si="555"/>
        <v>1</v>
      </c>
      <c r="BC467" s="42" t="b">
        <f t="shared" si="556"/>
        <v>0</v>
      </c>
      <c r="BD467" s="42" t="b">
        <f t="shared" si="557"/>
        <v>0</v>
      </c>
      <c r="BE467" s="70">
        <f t="shared" si="558"/>
        <v>0</v>
      </c>
      <c r="BF467" s="70">
        <f t="shared" si="559"/>
        <v>0</v>
      </c>
      <c r="BG467" s="34"/>
      <c r="BI467" s="47" t="b">
        <f t="shared" si="560"/>
        <v>1</v>
      </c>
      <c r="BJ467" s="47" t="b">
        <f t="shared" si="561"/>
        <v>1</v>
      </c>
      <c r="BK467" s="42" t="b">
        <f t="shared" si="562"/>
        <v>0</v>
      </c>
      <c r="BL467" s="42" t="b">
        <f t="shared" si="563"/>
        <v>0</v>
      </c>
      <c r="BM467" s="42">
        <f t="shared" si="564"/>
        <v>0</v>
      </c>
      <c r="BN467" s="42">
        <f t="shared" si="565"/>
        <v>0</v>
      </c>
      <c r="BP467" t="e">
        <f t="shared" si="566"/>
        <v>#N/A</v>
      </c>
      <c r="BQ467" t="e">
        <f t="shared" si="567"/>
        <v>#N/A</v>
      </c>
      <c r="BR467" t="e">
        <f t="shared" si="568"/>
        <v>#N/A</v>
      </c>
      <c r="BT467" s="60">
        <f t="shared" si="569"/>
        <v>0</v>
      </c>
      <c r="BU467" s="60">
        <f t="shared" si="570"/>
        <v>0</v>
      </c>
      <c r="BV467" s="60">
        <f t="shared" si="571"/>
        <v>0</v>
      </c>
      <c r="BW467" s="60">
        <f t="shared" si="572"/>
        <v>0</v>
      </c>
      <c r="BX467" s="60">
        <f t="shared" si="573"/>
        <v>0</v>
      </c>
      <c r="BY467" s="60">
        <f t="shared" si="574"/>
        <v>0</v>
      </c>
      <c r="BZ467" s="60">
        <f t="shared" si="575"/>
        <v>0</v>
      </c>
      <c r="CA467" s="60">
        <f t="shared" si="576"/>
        <v>0</v>
      </c>
      <c r="CB467" s="60" t="e">
        <f t="shared" si="594"/>
        <v>#N/A</v>
      </c>
      <c r="CC467" s="60">
        <f t="shared" si="595"/>
        <v>100000</v>
      </c>
      <c r="CD467" s="60" t="e">
        <f t="shared" si="596"/>
        <v>#N/A</v>
      </c>
      <c r="CE467" s="60">
        <f t="shared" si="597"/>
        <v>100000</v>
      </c>
      <c r="CF467" s="83" t="e">
        <f t="shared" si="577"/>
        <v>#N/A</v>
      </c>
      <c r="CG467" s="83">
        <f t="shared" si="578"/>
        <v>0</v>
      </c>
      <c r="CH467" s="83" t="e">
        <f t="shared" si="579"/>
        <v>#N/A</v>
      </c>
      <c r="CI467" s="83">
        <f t="shared" si="580"/>
        <v>0</v>
      </c>
      <c r="CJ467" s="86" t="e">
        <f t="shared" si="598"/>
        <v>#N/A</v>
      </c>
      <c r="CK467" s="82">
        <f t="shared" si="599"/>
        <v>5.3070370403969858E-3</v>
      </c>
      <c r="CL467" s="82" t="e">
        <f t="shared" si="600"/>
        <v>#N/A</v>
      </c>
      <c r="CM467" s="82">
        <f t="shared" si="601"/>
        <v>5.3070370403969858E-3</v>
      </c>
      <c r="CO467" s="149" t="str">
        <f>IF($I467&lt;&gt;"",IF(O467="User Specified",U467,INDEX('Refrigerant GWPs'!$G$2:$G$156,MATCH(O467,'Refrigerant GWPs'!$A$2:$A$156,0))),"")</f>
        <v/>
      </c>
      <c r="CP467" s="138" t="str">
        <f>IF($I467&lt;&gt;"",INDEX('Device Refrigerant Leakage'!$E$2:$E$42,MATCH($M467,'Device Refrigerant Leakage'!$B$2:$B$42,0)),"")</f>
        <v/>
      </c>
      <c r="CQ467" s="138" t="str">
        <f>IF($I467&lt;&gt;"",INDEX('Device Refrigerant Leakage'!$F$2:$F$42,MATCH($M467,'Device Refrigerant Leakage'!$B$2:$B$42,0)),"")</f>
        <v/>
      </c>
      <c r="CR467" s="145" t="str">
        <f>IF($I467&lt;&gt;"",INDEX('Device Refrigerant Leakage'!$G$2:$G$42,MATCH($M467,'Device Refrigerant Leakage'!$B$2:$B$42,0)),"")</f>
        <v/>
      </c>
      <c r="CS467" s="145" t="str">
        <f>IF($I467&lt;&gt;"",INDEX('Device Refrigerant Leakage'!$D$2:$D$42,MATCH($M467,'Device Refrigerant Leakage'!$B$2:$B$42,0))*CP467/2204.62*CO467,"")</f>
        <v/>
      </c>
      <c r="CT467" s="145" t="str">
        <f>IF($I467&lt;&gt;"",J467*(INDEX('Device Refrigerant Leakage'!$D$2:$D$42,MATCH($M467,'Device Refrigerant Leakage'!$B$2:$B$42,0))-(INDEX('Device Refrigerant Leakage'!$D$2:$D$42,MATCH($M467,'Device Refrigerant Leakage'!$B$2:$B$42,0)))*CR467*CP467)*CQ467/2204.62*CO467,"")</f>
        <v/>
      </c>
      <c r="CU467" s="135" t="str">
        <f>IF($I467&lt;&gt;"",J467*IF(W467&lt;&gt;"AR",(CS467*K467)+CT467,(CS467*AB467)+CT467*(AB467/INDEX('Device Refrigerant Leakage'!$C$2:$C$42,MATCH($M467,'Device Refrigerant Leakage'!$B$2:$B$42,0)))),"")</f>
        <v/>
      </c>
      <c r="CW467" s="135" t="str">
        <f>IF($I467&lt;&gt;"",IF(S467="User Specified",V467,INDEX('Refrigerant GWPs'!$G$2:$G$156,MATCH(S467,'Refrigerant GWPs'!$A$2:$A$157,0))),"")</f>
        <v/>
      </c>
      <c r="CX467" s="138" t="str">
        <f>IF($I467&lt;&gt;"",INDEX('Device Refrigerant Leakage'!$E$2:$E$42,MATCH($Q467,'Device Refrigerant Leakage'!$B$2:$B$42,0)),"")</f>
        <v/>
      </c>
      <c r="CY467" s="138" t="str">
        <f>IF($I467&lt;&gt;"",INDEX('Device Refrigerant Leakage'!$F$2:$F$42,MATCH($Q467,'Device Refrigerant Leakage'!$B$2:$B$42,0)),"")</f>
        <v/>
      </c>
      <c r="CZ467" s="145" t="str">
        <f>IF($I467&lt;&gt;"",INDEX('Device Refrigerant Leakage'!$G$2:$G$42,MATCH($Q467,'Device Refrigerant Leakage'!$B$2:$B$42,0)),"")</f>
        <v/>
      </c>
      <c r="DA467" s="145" t="str">
        <f>IF($I467&lt;&gt;"",J467*INDEX('Device Refrigerant Leakage'!$D$2:$D$42,MATCH($Q467,'Device Refrigerant Leakage'!$B$2:$B$42,0))*CX467/2204.62*CW467,"")</f>
        <v/>
      </c>
      <c r="DB467" s="145" t="str">
        <f>IF($I467&lt;&gt;"",J467*(INDEX('Device Refrigerant Leakage'!$D$2:$D$42,MATCH($Q467,'Device Refrigerant Leakage'!$B$2:$B$42,0))-(INDEX('Device Refrigerant Leakage'!$D$2:$D$42,MATCH($Q467,'Device Refrigerant Leakage'!$B$2:$B$42,0)))*CZ467*CX467)*CY467/2204.62*CW467,"")</f>
        <v/>
      </c>
      <c r="DC467" s="135" t="str">
        <f t="shared" si="620"/>
        <v/>
      </c>
      <c r="DE467" s="146" t="str">
        <f>IF(W467&lt;&gt;"AR","",IF(Y467="User Specified", AA467, INDEX('Refrigerant GWPs'!$G$2:$G$154,MATCH(Y467,'Refrigerant GWPs'!$A$2:$A$154,0))))</f>
        <v/>
      </c>
      <c r="DF467" s="146" t="str">
        <f>IF(W467&lt;&gt;"AR","",INDEX('Device Refrigerant Leakage'!$E$2:$E$42,MATCH(X467,'Device Refrigerant Leakage'!$B$2:$B$42,0)))</f>
        <v/>
      </c>
      <c r="DG467" s="146" t="str">
        <f>IF(W467&lt;&gt;"AR","",INDEX('Device Refrigerant Leakage'!$F$2:$F$42,MATCH(X467,'Device Refrigerant Leakage'!$B$2:$B$42,0)))</f>
        <v/>
      </c>
      <c r="DH467" s="146" t="str">
        <f>IF(W467&lt;&gt;"AR","",INDEX('Device Refrigerant Leakage'!$G$2:$G$42,MATCH(X467,'Device Refrigerant Leakage'!$B$2:$B$42,0)))</f>
        <v/>
      </c>
      <c r="DI467" s="146" t="str">
        <f>IF(W467&lt;&gt;"AR","",J467*INDEX('Device Refrigerant Leakage'!$D$2:$D$42,MATCH(X467,'Device Refrigerant Leakage'!$B$2:$B$42,0))*DF467/2204.62*DE467)</f>
        <v/>
      </c>
      <c r="DJ467" s="146" t="str">
        <f>IF(W467&lt;&gt;"AR","",J467*(INDEX('Device Refrigerant Leakage'!$D$2:$D$42,MATCH(X467,'Device Refrigerant Leakage'!$B$2:$B$42,0))-(INDEX('Device Refrigerant Leakage'!$D$2:$D$42,MATCH(X467,'Device Refrigerant Leakage'!$B$2:$B$42,0)))*DH467*DF467)*DG467/2204.62*DE467)</f>
        <v/>
      </c>
      <c r="DK467" s="146" t="str">
        <f>IF(W467&lt;&gt;"AR","",DI467*(K467-AB467)+'Fuel Sub Calcs-Deemed'!DJ467*((K467-AB467)/INDEX('Device Refrigerant Leakage'!$C$2:$C$42,MATCH('Fuel Sub Calcs-Deemed'!X467,'Device Refrigerant Leakage'!$B$2:$B$42,0))))</f>
        <v/>
      </c>
      <c r="DM467" s="56">
        <v>453</v>
      </c>
      <c r="DN467" s="67" t="e">
        <f t="shared" si="602"/>
        <v>#N/A</v>
      </c>
      <c r="DO467" s="45" t="e">
        <f t="shared" si="603"/>
        <v>#N/A</v>
      </c>
      <c r="DP467" s="67" t="e">
        <f t="shared" si="604"/>
        <v>#N/A</v>
      </c>
      <c r="DQ467" s="45" t="e">
        <f t="shared" si="605"/>
        <v>#N/A</v>
      </c>
      <c r="DR467" s="69" t="e">
        <f t="shared" si="606"/>
        <v>#N/A</v>
      </c>
      <c r="DS467" s="34"/>
      <c r="DT467" s="67" t="e">
        <f>((BX467*CJ467)+IF($W467=MAT_AR,(BZ467*CL467),0))*(1+Reference!$E$50+Reference!$E$51)</f>
        <v>#N/A</v>
      </c>
      <c r="DU467" s="67">
        <f>((BY467*CK467)+IF($W467=MAT_AR,(CA467*CM467),0))*(1+Reference!$G$50+Reference!$G$51)</f>
        <v>0</v>
      </c>
      <c r="DV467" s="67" t="e">
        <f t="shared" si="607"/>
        <v>#VALUE!</v>
      </c>
      <c r="DX467" s="56">
        <v>453</v>
      </c>
      <c r="DY467" s="67">
        <f t="shared" si="608"/>
        <v>0</v>
      </c>
      <c r="DZ467" s="45" t="e">
        <f>VLOOKUP($R467,Dropdown!$C$3:$D$4,2,FALSE)</f>
        <v>#N/A</v>
      </c>
      <c r="EA467" s="68">
        <f t="shared" si="609"/>
        <v>0</v>
      </c>
      <c r="EB467" s="68" t="str">
        <f t="shared" si="610"/>
        <v>N/A</v>
      </c>
      <c r="EC467" s="68">
        <f t="shared" si="611"/>
        <v>0</v>
      </c>
      <c r="ED467" s="68" t="str">
        <f t="shared" si="581"/>
        <v>N/A</v>
      </c>
      <c r="EF467" s="56">
        <v>453</v>
      </c>
      <c r="EG467" s="46">
        <f t="shared" si="612"/>
        <v>0</v>
      </c>
      <c r="EH467" s="68" t="e">
        <f t="shared" si="613"/>
        <v>#N/A</v>
      </c>
      <c r="EI467" s="68" t="e">
        <f t="shared" si="614"/>
        <v>#N/A</v>
      </c>
      <c r="EJ467" s="68" t="e">
        <f t="shared" si="615"/>
        <v>#N/A</v>
      </c>
      <c r="EK467" s="68" t="e">
        <f t="shared" si="616"/>
        <v>#N/A</v>
      </c>
      <c r="EL467" s="46">
        <f t="shared" si="617"/>
        <v>0</v>
      </c>
      <c r="EM467" s="46">
        <f t="shared" si="618"/>
        <v>0</v>
      </c>
    </row>
    <row r="468" spans="1:143">
      <c r="A468" s="89"/>
      <c r="B468" s="89"/>
      <c r="C468" s="89"/>
      <c r="D468" s="89"/>
      <c r="E468" s="89"/>
      <c r="F468" s="89"/>
      <c r="G468" s="34"/>
      <c r="H468" s="56">
        <f t="shared" si="619"/>
        <v>454</v>
      </c>
      <c r="I468" s="165"/>
      <c r="J468" s="163"/>
      <c r="K468" s="163"/>
      <c r="L468" s="164"/>
      <c r="M468" s="155"/>
      <c r="N468" s="155"/>
      <c r="O468" s="144"/>
      <c r="P468" s="159" t="str">
        <f>IFERROR(IF(O468&lt;&gt;"User Specified",IF(O468&lt;&gt;"", INDEX('Refrigerant GWPs'!$G$2:$G$154,MATCH(O468,'Refrigerant GWPs'!$A$2:$A$154,0)),""),U468),0)</f>
        <v/>
      </c>
      <c r="Q468" s="155"/>
      <c r="R468" s="155"/>
      <c r="S468" s="144"/>
      <c r="T468" s="159" t="str">
        <f>IF(S468&lt;&gt;"User Specified",IF(AND(S468&lt;&gt;"User Specified",S468&lt;&gt;""), INDEX('Refrigerant GWPs'!$G$2:$G$154,MATCH(S468,'Refrigerant GWPs'!$A$2:$A$154,0)),""),V468)</f>
        <v/>
      </c>
      <c r="U468" s="144"/>
      <c r="V468" s="144"/>
      <c r="W468" s="155"/>
      <c r="X468" s="155"/>
      <c r="Y468" s="144"/>
      <c r="Z468" s="159" t="str">
        <f>IF(AND(Y468&lt;&gt;"User Specified",Y468&lt;&gt;""), INDEX('Refrigerant GWPs'!$G$2:$G$154,MATCH(Y468,'Refrigerant GWPs'!$A$2:$A$154,0)),"")</f>
        <v/>
      </c>
      <c r="AA468" s="155"/>
      <c r="AB468" s="156"/>
      <c r="AC468" s="66"/>
      <c r="AD468" s="66"/>
      <c r="AE468" s="66"/>
      <c r="AF468" s="66"/>
      <c r="AG468" s="66"/>
      <c r="AH468" s="66"/>
      <c r="AI468" s="34"/>
      <c r="AJ468" s="88">
        <f t="shared" si="582"/>
        <v>0</v>
      </c>
      <c r="AK468" s="88">
        <f t="shared" si="583"/>
        <v>0</v>
      </c>
      <c r="AL468" s="88">
        <v>0</v>
      </c>
      <c r="AM468" s="88">
        <v>0</v>
      </c>
      <c r="AN468" s="81" t="str">
        <f t="shared" si="553"/>
        <v/>
      </c>
      <c r="AO468" s="88">
        <f t="shared" si="584"/>
        <v>0</v>
      </c>
      <c r="AP468" s="88">
        <f t="shared" si="585"/>
        <v>0</v>
      </c>
      <c r="AQ468" s="81" t="str">
        <f t="shared" si="586"/>
        <v/>
      </c>
      <c r="AS468" s="41" t="b">
        <f t="shared" si="587"/>
        <v>1</v>
      </c>
      <c r="AT468" s="38">
        <f t="shared" si="588"/>
        <v>0</v>
      </c>
      <c r="AU468" s="60">
        <f t="shared" si="589"/>
        <v>0</v>
      </c>
      <c r="AV468" s="41">
        <f t="shared" si="590"/>
        <v>0</v>
      </c>
      <c r="AW468" s="41" t="b">
        <f t="shared" si="591"/>
        <v>0</v>
      </c>
      <c r="AX468" t="str">
        <f t="shared" si="592"/>
        <v>+00</v>
      </c>
      <c r="AY468" t="str">
        <f t="shared" si="593"/>
        <v>+00</v>
      </c>
      <c r="BA468" s="47" t="b">
        <f t="shared" si="554"/>
        <v>1</v>
      </c>
      <c r="BB468" s="42" t="b">
        <f t="shared" si="555"/>
        <v>1</v>
      </c>
      <c r="BC468" s="42" t="b">
        <f t="shared" si="556"/>
        <v>0</v>
      </c>
      <c r="BD468" s="42" t="b">
        <f t="shared" si="557"/>
        <v>0</v>
      </c>
      <c r="BE468" s="70">
        <f t="shared" si="558"/>
        <v>0</v>
      </c>
      <c r="BF468" s="70">
        <f t="shared" si="559"/>
        <v>0</v>
      </c>
      <c r="BG468" s="34"/>
      <c r="BI468" s="47" t="b">
        <f t="shared" si="560"/>
        <v>1</v>
      </c>
      <c r="BJ468" s="47" t="b">
        <f t="shared" si="561"/>
        <v>1</v>
      </c>
      <c r="BK468" s="42" t="b">
        <f t="shared" si="562"/>
        <v>0</v>
      </c>
      <c r="BL468" s="42" t="b">
        <f t="shared" si="563"/>
        <v>0</v>
      </c>
      <c r="BM468" s="42">
        <f t="shared" si="564"/>
        <v>0</v>
      </c>
      <c r="BN468" s="42">
        <f t="shared" si="565"/>
        <v>0</v>
      </c>
      <c r="BP468" t="e">
        <f t="shared" si="566"/>
        <v>#N/A</v>
      </c>
      <c r="BQ468" t="e">
        <f t="shared" si="567"/>
        <v>#N/A</v>
      </c>
      <c r="BR468" t="e">
        <f t="shared" si="568"/>
        <v>#N/A</v>
      </c>
      <c r="BT468" s="60">
        <f t="shared" si="569"/>
        <v>0</v>
      </c>
      <c r="BU468" s="60">
        <f t="shared" si="570"/>
        <v>0</v>
      </c>
      <c r="BV468" s="60">
        <f t="shared" si="571"/>
        <v>0</v>
      </c>
      <c r="BW468" s="60">
        <f t="shared" si="572"/>
        <v>0</v>
      </c>
      <c r="BX468" s="60">
        <f t="shared" si="573"/>
        <v>0</v>
      </c>
      <c r="BY468" s="60">
        <f t="shared" si="574"/>
        <v>0</v>
      </c>
      <c r="BZ468" s="60">
        <f t="shared" si="575"/>
        <v>0</v>
      </c>
      <c r="CA468" s="60">
        <f t="shared" si="576"/>
        <v>0</v>
      </c>
      <c r="CB468" s="60" t="e">
        <f t="shared" si="594"/>
        <v>#N/A</v>
      </c>
      <c r="CC468" s="60">
        <f t="shared" si="595"/>
        <v>100000</v>
      </c>
      <c r="CD468" s="60" t="e">
        <f t="shared" si="596"/>
        <v>#N/A</v>
      </c>
      <c r="CE468" s="60">
        <f t="shared" si="597"/>
        <v>100000</v>
      </c>
      <c r="CF468" s="83" t="e">
        <f t="shared" si="577"/>
        <v>#N/A</v>
      </c>
      <c r="CG468" s="83">
        <f t="shared" si="578"/>
        <v>0</v>
      </c>
      <c r="CH468" s="83" t="e">
        <f t="shared" si="579"/>
        <v>#N/A</v>
      </c>
      <c r="CI468" s="83">
        <f t="shared" si="580"/>
        <v>0</v>
      </c>
      <c r="CJ468" s="86" t="e">
        <f t="shared" si="598"/>
        <v>#N/A</v>
      </c>
      <c r="CK468" s="82">
        <f t="shared" si="599"/>
        <v>5.3070370403969858E-3</v>
      </c>
      <c r="CL468" s="82" t="e">
        <f t="shared" si="600"/>
        <v>#N/A</v>
      </c>
      <c r="CM468" s="82">
        <f t="shared" si="601"/>
        <v>5.3070370403969858E-3</v>
      </c>
      <c r="CO468" s="149" t="str">
        <f>IF($I468&lt;&gt;"",IF(O468="User Specified",U468,INDEX('Refrigerant GWPs'!$G$2:$G$156,MATCH(O468,'Refrigerant GWPs'!$A$2:$A$156,0))),"")</f>
        <v/>
      </c>
      <c r="CP468" s="138" t="str">
        <f>IF($I468&lt;&gt;"",INDEX('Device Refrigerant Leakage'!$E$2:$E$42,MATCH($M468,'Device Refrigerant Leakage'!$B$2:$B$42,0)),"")</f>
        <v/>
      </c>
      <c r="CQ468" s="138" t="str">
        <f>IF($I468&lt;&gt;"",INDEX('Device Refrigerant Leakage'!$F$2:$F$42,MATCH($M468,'Device Refrigerant Leakage'!$B$2:$B$42,0)),"")</f>
        <v/>
      </c>
      <c r="CR468" s="145" t="str">
        <f>IF($I468&lt;&gt;"",INDEX('Device Refrigerant Leakage'!$G$2:$G$42,MATCH($M468,'Device Refrigerant Leakage'!$B$2:$B$42,0)),"")</f>
        <v/>
      </c>
      <c r="CS468" s="145" t="str">
        <f>IF($I468&lt;&gt;"",INDEX('Device Refrigerant Leakage'!$D$2:$D$42,MATCH($M468,'Device Refrigerant Leakage'!$B$2:$B$42,0))*CP468/2204.62*CO468,"")</f>
        <v/>
      </c>
      <c r="CT468" s="145" t="str">
        <f>IF($I468&lt;&gt;"",J468*(INDEX('Device Refrigerant Leakage'!$D$2:$D$42,MATCH($M468,'Device Refrigerant Leakage'!$B$2:$B$42,0))-(INDEX('Device Refrigerant Leakage'!$D$2:$D$42,MATCH($M468,'Device Refrigerant Leakage'!$B$2:$B$42,0)))*CR468*CP468)*CQ468/2204.62*CO468,"")</f>
        <v/>
      </c>
      <c r="CU468" s="135" t="str">
        <f>IF($I468&lt;&gt;"",J468*IF(W468&lt;&gt;"AR",(CS468*K468)+CT468,(CS468*AB468)+CT468*(AB468/INDEX('Device Refrigerant Leakage'!$C$2:$C$42,MATCH($M468,'Device Refrigerant Leakage'!$B$2:$B$42,0)))),"")</f>
        <v/>
      </c>
      <c r="CW468" s="135" t="str">
        <f>IF($I468&lt;&gt;"",IF(S468="User Specified",V468,INDEX('Refrigerant GWPs'!$G$2:$G$156,MATCH(S468,'Refrigerant GWPs'!$A$2:$A$157,0))),"")</f>
        <v/>
      </c>
      <c r="CX468" s="138" t="str">
        <f>IF($I468&lt;&gt;"",INDEX('Device Refrigerant Leakage'!$E$2:$E$42,MATCH($Q468,'Device Refrigerant Leakage'!$B$2:$B$42,0)),"")</f>
        <v/>
      </c>
      <c r="CY468" s="138" t="str">
        <f>IF($I468&lt;&gt;"",INDEX('Device Refrigerant Leakage'!$F$2:$F$42,MATCH($Q468,'Device Refrigerant Leakage'!$B$2:$B$42,0)),"")</f>
        <v/>
      </c>
      <c r="CZ468" s="145" t="str">
        <f>IF($I468&lt;&gt;"",INDEX('Device Refrigerant Leakage'!$G$2:$G$42,MATCH($Q468,'Device Refrigerant Leakage'!$B$2:$B$42,0)),"")</f>
        <v/>
      </c>
      <c r="DA468" s="145" t="str">
        <f>IF($I468&lt;&gt;"",J468*INDEX('Device Refrigerant Leakage'!$D$2:$D$42,MATCH($Q468,'Device Refrigerant Leakage'!$B$2:$B$42,0))*CX468/2204.62*CW468,"")</f>
        <v/>
      </c>
      <c r="DB468" s="145" t="str">
        <f>IF($I468&lt;&gt;"",J468*(INDEX('Device Refrigerant Leakage'!$D$2:$D$42,MATCH($Q468,'Device Refrigerant Leakage'!$B$2:$B$42,0))-(INDEX('Device Refrigerant Leakage'!$D$2:$D$42,MATCH($Q468,'Device Refrigerant Leakage'!$B$2:$B$42,0)))*CZ468*CX468)*CY468/2204.62*CW468,"")</f>
        <v/>
      </c>
      <c r="DC468" s="135" t="str">
        <f t="shared" si="620"/>
        <v/>
      </c>
      <c r="DE468" s="146" t="str">
        <f>IF(W468&lt;&gt;"AR","",IF(Y468="User Specified", AA468, INDEX('Refrigerant GWPs'!$G$2:$G$154,MATCH(Y468,'Refrigerant GWPs'!$A$2:$A$154,0))))</f>
        <v/>
      </c>
      <c r="DF468" s="146" t="str">
        <f>IF(W468&lt;&gt;"AR","",INDEX('Device Refrigerant Leakage'!$E$2:$E$42,MATCH(X468,'Device Refrigerant Leakage'!$B$2:$B$42,0)))</f>
        <v/>
      </c>
      <c r="DG468" s="146" t="str">
        <f>IF(W468&lt;&gt;"AR","",INDEX('Device Refrigerant Leakage'!$F$2:$F$42,MATCH(X468,'Device Refrigerant Leakage'!$B$2:$B$42,0)))</f>
        <v/>
      </c>
      <c r="DH468" s="146" t="str">
        <f>IF(W468&lt;&gt;"AR","",INDEX('Device Refrigerant Leakage'!$G$2:$G$42,MATCH(X468,'Device Refrigerant Leakage'!$B$2:$B$42,0)))</f>
        <v/>
      </c>
      <c r="DI468" s="146" t="str">
        <f>IF(W468&lt;&gt;"AR","",J468*INDEX('Device Refrigerant Leakage'!$D$2:$D$42,MATCH(X468,'Device Refrigerant Leakage'!$B$2:$B$42,0))*DF468/2204.62*DE468)</f>
        <v/>
      </c>
      <c r="DJ468" s="146" t="str">
        <f>IF(W468&lt;&gt;"AR","",J468*(INDEX('Device Refrigerant Leakage'!$D$2:$D$42,MATCH(X468,'Device Refrigerant Leakage'!$B$2:$B$42,0))-(INDEX('Device Refrigerant Leakage'!$D$2:$D$42,MATCH(X468,'Device Refrigerant Leakage'!$B$2:$B$42,0)))*DH468*DF468)*DG468/2204.62*DE468)</f>
        <v/>
      </c>
      <c r="DK468" s="146" t="str">
        <f>IF(W468&lt;&gt;"AR","",DI468*(K468-AB468)+'Fuel Sub Calcs-Deemed'!DJ468*((K468-AB468)/INDEX('Device Refrigerant Leakage'!$C$2:$C$42,MATCH('Fuel Sub Calcs-Deemed'!X468,'Device Refrigerant Leakage'!$B$2:$B$42,0))))</f>
        <v/>
      </c>
      <c r="DM468" s="56">
        <v>454</v>
      </c>
      <c r="DN468" s="67" t="e">
        <f t="shared" si="602"/>
        <v>#N/A</v>
      </c>
      <c r="DO468" s="45" t="e">
        <f t="shared" si="603"/>
        <v>#N/A</v>
      </c>
      <c r="DP468" s="67" t="e">
        <f t="shared" si="604"/>
        <v>#N/A</v>
      </c>
      <c r="DQ468" s="45" t="e">
        <f t="shared" si="605"/>
        <v>#N/A</v>
      </c>
      <c r="DR468" s="69" t="e">
        <f t="shared" si="606"/>
        <v>#N/A</v>
      </c>
      <c r="DS468" s="34"/>
      <c r="DT468" s="67" t="e">
        <f>((BX468*CJ468)+IF($W468=MAT_AR,(BZ468*CL468),0))*(1+Reference!$E$50+Reference!$E$51)</f>
        <v>#N/A</v>
      </c>
      <c r="DU468" s="67">
        <f>((BY468*CK468)+IF($W468=MAT_AR,(CA468*CM468),0))*(1+Reference!$G$50+Reference!$G$51)</f>
        <v>0</v>
      </c>
      <c r="DV468" s="67" t="e">
        <f t="shared" si="607"/>
        <v>#VALUE!</v>
      </c>
      <c r="DX468" s="56">
        <v>454</v>
      </c>
      <c r="DY468" s="67">
        <f t="shared" si="608"/>
        <v>0</v>
      </c>
      <c r="DZ468" s="45" t="e">
        <f>VLOOKUP($R468,Dropdown!$C$3:$D$4,2,FALSE)</f>
        <v>#N/A</v>
      </c>
      <c r="EA468" s="68">
        <f t="shared" si="609"/>
        <v>0</v>
      </c>
      <c r="EB468" s="68" t="str">
        <f t="shared" si="610"/>
        <v>N/A</v>
      </c>
      <c r="EC468" s="68">
        <f t="shared" si="611"/>
        <v>0</v>
      </c>
      <c r="ED468" s="68" t="str">
        <f t="shared" si="581"/>
        <v>N/A</v>
      </c>
      <c r="EF468" s="56">
        <v>454</v>
      </c>
      <c r="EG468" s="46">
        <f t="shared" si="612"/>
        <v>0</v>
      </c>
      <c r="EH468" s="68" t="e">
        <f t="shared" si="613"/>
        <v>#N/A</v>
      </c>
      <c r="EI468" s="68" t="e">
        <f t="shared" si="614"/>
        <v>#N/A</v>
      </c>
      <c r="EJ468" s="68" t="e">
        <f t="shared" si="615"/>
        <v>#N/A</v>
      </c>
      <c r="EK468" s="68" t="e">
        <f t="shared" si="616"/>
        <v>#N/A</v>
      </c>
      <c r="EL468" s="46">
        <f t="shared" si="617"/>
        <v>0</v>
      </c>
      <c r="EM468" s="46">
        <f t="shared" si="618"/>
        <v>0</v>
      </c>
    </row>
    <row r="469" spans="1:143">
      <c r="A469" s="89"/>
      <c r="B469" s="89"/>
      <c r="C469" s="89"/>
      <c r="D469" s="89"/>
      <c r="E469" s="89"/>
      <c r="F469" s="89"/>
      <c r="G469" s="34"/>
      <c r="H469" s="56">
        <f t="shared" si="619"/>
        <v>455</v>
      </c>
      <c r="I469" s="165"/>
      <c r="J469" s="163"/>
      <c r="K469" s="163"/>
      <c r="L469" s="164"/>
      <c r="M469" s="155"/>
      <c r="N469" s="155"/>
      <c r="O469" s="144"/>
      <c r="P469" s="159" t="str">
        <f>IFERROR(IF(O469&lt;&gt;"User Specified",IF(O469&lt;&gt;"", INDEX('Refrigerant GWPs'!$G$2:$G$154,MATCH(O469,'Refrigerant GWPs'!$A$2:$A$154,0)),""),U469),0)</f>
        <v/>
      </c>
      <c r="Q469" s="155"/>
      <c r="R469" s="155"/>
      <c r="S469" s="144"/>
      <c r="T469" s="159" t="str">
        <f>IF(S469&lt;&gt;"User Specified",IF(AND(S469&lt;&gt;"User Specified",S469&lt;&gt;""), INDEX('Refrigerant GWPs'!$G$2:$G$154,MATCH(S469,'Refrigerant GWPs'!$A$2:$A$154,0)),""),V469)</f>
        <v/>
      </c>
      <c r="U469" s="144"/>
      <c r="V469" s="144"/>
      <c r="W469" s="155"/>
      <c r="X469" s="155"/>
      <c r="Y469" s="144"/>
      <c r="Z469" s="159" t="str">
        <f>IF(AND(Y469&lt;&gt;"User Specified",Y469&lt;&gt;""), INDEX('Refrigerant GWPs'!$G$2:$G$154,MATCH(Y469,'Refrigerant GWPs'!$A$2:$A$154,0)),"")</f>
        <v/>
      </c>
      <c r="AA469" s="155"/>
      <c r="AB469" s="156"/>
      <c r="AC469" s="66"/>
      <c r="AD469" s="66"/>
      <c r="AE469" s="66"/>
      <c r="AF469" s="66"/>
      <c r="AG469" s="66"/>
      <c r="AH469" s="66"/>
      <c r="AI469" s="34"/>
      <c r="AJ469" s="88">
        <f t="shared" si="582"/>
        <v>0</v>
      </c>
      <c r="AK469" s="88">
        <f t="shared" si="583"/>
        <v>0</v>
      </c>
      <c r="AL469" s="88">
        <v>0</v>
      </c>
      <c r="AM469" s="88">
        <v>0</v>
      </c>
      <c r="AN469" s="81" t="str">
        <f t="shared" si="553"/>
        <v/>
      </c>
      <c r="AO469" s="88">
        <f t="shared" si="584"/>
        <v>0</v>
      </c>
      <c r="AP469" s="88">
        <f t="shared" si="585"/>
        <v>0</v>
      </c>
      <c r="AQ469" s="81" t="str">
        <f t="shared" si="586"/>
        <v/>
      </c>
      <c r="AS469" s="41" t="b">
        <f t="shared" si="587"/>
        <v>1</v>
      </c>
      <c r="AT469" s="38">
        <f t="shared" si="588"/>
        <v>0</v>
      </c>
      <c r="AU469" s="60">
        <f t="shared" si="589"/>
        <v>0</v>
      </c>
      <c r="AV469" s="41">
        <f t="shared" si="590"/>
        <v>0</v>
      </c>
      <c r="AW469" s="41" t="b">
        <f t="shared" si="591"/>
        <v>0</v>
      </c>
      <c r="AX469" t="str">
        <f t="shared" si="592"/>
        <v>+00</v>
      </c>
      <c r="AY469" t="str">
        <f t="shared" si="593"/>
        <v>+00</v>
      </c>
      <c r="BA469" s="47" t="b">
        <f t="shared" si="554"/>
        <v>1</v>
      </c>
      <c r="BB469" s="42" t="b">
        <f t="shared" si="555"/>
        <v>1</v>
      </c>
      <c r="BC469" s="42" t="b">
        <f t="shared" si="556"/>
        <v>0</v>
      </c>
      <c r="BD469" s="42" t="b">
        <f t="shared" si="557"/>
        <v>0</v>
      </c>
      <c r="BE469" s="70">
        <f t="shared" si="558"/>
        <v>0</v>
      </c>
      <c r="BF469" s="70">
        <f t="shared" si="559"/>
        <v>0</v>
      </c>
      <c r="BG469" s="34"/>
      <c r="BI469" s="47" t="b">
        <f t="shared" si="560"/>
        <v>1</v>
      </c>
      <c r="BJ469" s="47" t="b">
        <f t="shared" si="561"/>
        <v>1</v>
      </c>
      <c r="BK469" s="42" t="b">
        <f t="shared" si="562"/>
        <v>0</v>
      </c>
      <c r="BL469" s="42" t="b">
        <f t="shared" si="563"/>
        <v>0</v>
      </c>
      <c r="BM469" s="42">
        <f t="shared" si="564"/>
        <v>0</v>
      </c>
      <c r="BN469" s="42">
        <f t="shared" si="565"/>
        <v>0</v>
      </c>
      <c r="BP469" t="e">
        <f t="shared" si="566"/>
        <v>#N/A</v>
      </c>
      <c r="BQ469" t="e">
        <f t="shared" si="567"/>
        <v>#N/A</v>
      </c>
      <c r="BR469" t="e">
        <f t="shared" si="568"/>
        <v>#N/A</v>
      </c>
      <c r="BT469" s="60">
        <f t="shared" si="569"/>
        <v>0</v>
      </c>
      <c r="BU469" s="60">
        <f t="shared" si="570"/>
        <v>0</v>
      </c>
      <c r="BV469" s="60">
        <f t="shared" si="571"/>
        <v>0</v>
      </c>
      <c r="BW469" s="60">
        <f t="shared" si="572"/>
        <v>0</v>
      </c>
      <c r="BX469" s="60">
        <f t="shared" si="573"/>
        <v>0</v>
      </c>
      <c r="BY469" s="60">
        <f t="shared" si="574"/>
        <v>0</v>
      </c>
      <c r="BZ469" s="60">
        <f t="shared" si="575"/>
        <v>0</v>
      </c>
      <c r="CA469" s="60">
        <f t="shared" si="576"/>
        <v>0</v>
      </c>
      <c r="CB469" s="60" t="e">
        <f t="shared" si="594"/>
        <v>#N/A</v>
      </c>
      <c r="CC469" s="60">
        <f t="shared" si="595"/>
        <v>100000</v>
      </c>
      <c r="CD469" s="60" t="e">
        <f t="shared" si="596"/>
        <v>#N/A</v>
      </c>
      <c r="CE469" s="60">
        <f t="shared" si="597"/>
        <v>100000</v>
      </c>
      <c r="CF469" s="83" t="e">
        <f t="shared" si="577"/>
        <v>#N/A</v>
      </c>
      <c r="CG469" s="83">
        <f t="shared" si="578"/>
        <v>0</v>
      </c>
      <c r="CH469" s="83" t="e">
        <f t="shared" si="579"/>
        <v>#N/A</v>
      </c>
      <c r="CI469" s="83">
        <f t="shared" si="580"/>
        <v>0</v>
      </c>
      <c r="CJ469" s="86" t="e">
        <f t="shared" si="598"/>
        <v>#N/A</v>
      </c>
      <c r="CK469" s="82">
        <f t="shared" si="599"/>
        <v>5.3070370403969858E-3</v>
      </c>
      <c r="CL469" s="82" t="e">
        <f t="shared" si="600"/>
        <v>#N/A</v>
      </c>
      <c r="CM469" s="82">
        <f t="shared" si="601"/>
        <v>5.3070370403969858E-3</v>
      </c>
      <c r="CO469" s="149" t="str">
        <f>IF($I469&lt;&gt;"",IF(O469="User Specified",U469,INDEX('Refrigerant GWPs'!$G$2:$G$156,MATCH(O469,'Refrigerant GWPs'!$A$2:$A$156,0))),"")</f>
        <v/>
      </c>
      <c r="CP469" s="138" t="str">
        <f>IF($I469&lt;&gt;"",INDEX('Device Refrigerant Leakage'!$E$2:$E$42,MATCH($M469,'Device Refrigerant Leakage'!$B$2:$B$42,0)),"")</f>
        <v/>
      </c>
      <c r="CQ469" s="138" t="str">
        <f>IF($I469&lt;&gt;"",INDEX('Device Refrigerant Leakage'!$F$2:$F$42,MATCH($M469,'Device Refrigerant Leakage'!$B$2:$B$42,0)),"")</f>
        <v/>
      </c>
      <c r="CR469" s="145" t="str">
        <f>IF($I469&lt;&gt;"",INDEX('Device Refrigerant Leakage'!$G$2:$G$42,MATCH($M469,'Device Refrigerant Leakage'!$B$2:$B$42,0)),"")</f>
        <v/>
      </c>
      <c r="CS469" s="145" t="str">
        <f>IF($I469&lt;&gt;"",INDEX('Device Refrigerant Leakage'!$D$2:$D$42,MATCH($M469,'Device Refrigerant Leakage'!$B$2:$B$42,0))*CP469/2204.62*CO469,"")</f>
        <v/>
      </c>
      <c r="CT469" s="145" t="str">
        <f>IF($I469&lt;&gt;"",J469*(INDEX('Device Refrigerant Leakage'!$D$2:$D$42,MATCH($M469,'Device Refrigerant Leakage'!$B$2:$B$42,0))-(INDEX('Device Refrigerant Leakage'!$D$2:$D$42,MATCH($M469,'Device Refrigerant Leakage'!$B$2:$B$42,0)))*CR469*CP469)*CQ469/2204.62*CO469,"")</f>
        <v/>
      </c>
      <c r="CU469" s="135" t="str">
        <f>IF($I469&lt;&gt;"",J469*IF(W469&lt;&gt;"AR",(CS469*K469)+CT469,(CS469*AB469)+CT469*(AB469/INDEX('Device Refrigerant Leakage'!$C$2:$C$42,MATCH($M469,'Device Refrigerant Leakage'!$B$2:$B$42,0)))),"")</f>
        <v/>
      </c>
      <c r="CW469" s="135" t="str">
        <f>IF($I469&lt;&gt;"",IF(S469="User Specified",V469,INDEX('Refrigerant GWPs'!$G$2:$G$156,MATCH(S469,'Refrigerant GWPs'!$A$2:$A$157,0))),"")</f>
        <v/>
      </c>
      <c r="CX469" s="138" t="str">
        <f>IF($I469&lt;&gt;"",INDEX('Device Refrigerant Leakage'!$E$2:$E$42,MATCH($Q469,'Device Refrigerant Leakage'!$B$2:$B$42,0)),"")</f>
        <v/>
      </c>
      <c r="CY469" s="138" t="str">
        <f>IF($I469&lt;&gt;"",INDEX('Device Refrigerant Leakage'!$F$2:$F$42,MATCH($Q469,'Device Refrigerant Leakage'!$B$2:$B$42,0)),"")</f>
        <v/>
      </c>
      <c r="CZ469" s="145" t="str">
        <f>IF($I469&lt;&gt;"",INDEX('Device Refrigerant Leakage'!$G$2:$G$42,MATCH($Q469,'Device Refrigerant Leakage'!$B$2:$B$42,0)),"")</f>
        <v/>
      </c>
      <c r="DA469" s="145" t="str">
        <f>IF($I469&lt;&gt;"",J469*INDEX('Device Refrigerant Leakage'!$D$2:$D$42,MATCH($Q469,'Device Refrigerant Leakage'!$B$2:$B$42,0))*CX469/2204.62*CW469,"")</f>
        <v/>
      </c>
      <c r="DB469" s="145" t="str">
        <f>IF($I469&lt;&gt;"",J469*(INDEX('Device Refrigerant Leakage'!$D$2:$D$42,MATCH($Q469,'Device Refrigerant Leakage'!$B$2:$B$42,0))-(INDEX('Device Refrigerant Leakage'!$D$2:$D$42,MATCH($Q469,'Device Refrigerant Leakage'!$B$2:$B$42,0)))*CZ469*CX469)*CY469/2204.62*CW469,"")</f>
        <v/>
      </c>
      <c r="DC469" s="135" t="str">
        <f t="shared" si="620"/>
        <v/>
      </c>
      <c r="DE469" s="146" t="str">
        <f>IF(W469&lt;&gt;"AR","",IF(Y469="User Specified", AA469, INDEX('Refrigerant GWPs'!$G$2:$G$154,MATCH(Y469,'Refrigerant GWPs'!$A$2:$A$154,0))))</f>
        <v/>
      </c>
      <c r="DF469" s="146" t="str">
        <f>IF(W469&lt;&gt;"AR","",INDEX('Device Refrigerant Leakage'!$E$2:$E$42,MATCH(X469,'Device Refrigerant Leakage'!$B$2:$B$42,0)))</f>
        <v/>
      </c>
      <c r="DG469" s="146" t="str">
        <f>IF(W469&lt;&gt;"AR","",INDEX('Device Refrigerant Leakage'!$F$2:$F$42,MATCH(X469,'Device Refrigerant Leakage'!$B$2:$B$42,0)))</f>
        <v/>
      </c>
      <c r="DH469" s="146" t="str">
        <f>IF(W469&lt;&gt;"AR","",INDEX('Device Refrigerant Leakage'!$G$2:$G$42,MATCH(X469,'Device Refrigerant Leakage'!$B$2:$B$42,0)))</f>
        <v/>
      </c>
      <c r="DI469" s="146" t="str">
        <f>IF(W469&lt;&gt;"AR","",J469*INDEX('Device Refrigerant Leakage'!$D$2:$D$42,MATCH(X469,'Device Refrigerant Leakage'!$B$2:$B$42,0))*DF469/2204.62*DE469)</f>
        <v/>
      </c>
      <c r="DJ469" s="146" t="str">
        <f>IF(W469&lt;&gt;"AR","",J469*(INDEX('Device Refrigerant Leakage'!$D$2:$D$42,MATCH(X469,'Device Refrigerant Leakage'!$B$2:$B$42,0))-(INDEX('Device Refrigerant Leakage'!$D$2:$D$42,MATCH(X469,'Device Refrigerant Leakage'!$B$2:$B$42,0)))*DH469*DF469)*DG469/2204.62*DE469)</f>
        <v/>
      </c>
      <c r="DK469" s="146" t="str">
        <f>IF(W469&lt;&gt;"AR","",DI469*(K469-AB469)+'Fuel Sub Calcs-Deemed'!DJ469*((K469-AB469)/INDEX('Device Refrigerant Leakage'!$C$2:$C$42,MATCH('Fuel Sub Calcs-Deemed'!X469,'Device Refrigerant Leakage'!$B$2:$B$42,0))))</f>
        <v/>
      </c>
      <c r="DM469" s="56">
        <v>455</v>
      </c>
      <c r="DN469" s="67" t="e">
        <f t="shared" si="602"/>
        <v>#N/A</v>
      </c>
      <c r="DO469" s="45" t="e">
        <f t="shared" si="603"/>
        <v>#N/A</v>
      </c>
      <c r="DP469" s="67" t="e">
        <f t="shared" si="604"/>
        <v>#N/A</v>
      </c>
      <c r="DQ469" s="45" t="e">
        <f t="shared" si="605"/>
        <v>#N/A</v>
      </c>
      <c r="DR469" s="69" t="e">
        <f t="shared" si="606"/>
        <v>#N/A</v>
      </c>
      <c r="DS469" s="34"/>
      <c r="DT469" s="67" t="e">
        <f>((BX469*CJ469)+IF($W469=MAT_AR,(BZ469*CL469),0))*(1+Reference!$E$50+Reference!$E$51)</f>
        <v>#N/A</v>
      </c>
      <c r="DU469" s="67">
        <f>((BY469*CK469)+IF($W469=MAT_AR,(CA469*CM469),0))*(1+Reference!$G$50+Reference!$G$51)</f>
        <v>0</v>
      </c>
      <c r="DV469" s="67" t="e">
        <f t="shared" si="607"/>
        <v>#VALUE!</v>
      </c>
      <c r="DX469" s="56">
        <v>455</v>
      </c>
      <c r="DY469" s="67">
        <f t="shared" si="608"/>
        <v>0</v>
      </c>
      <c r="DZ469" s="45" t="e">
        <f>VLOOKUP($R469,Dropdown!$C$3:$D$4,2,FALSE)</f>
        <v>#N/A</v>
      </c>
      <c r="EA469" s="68">
        <f t="shared" si="609"/>
        <v>0</v>
      </c>
      <c r="EB469" s="68" t="str">
        <f t="shared" si="610"/>
        <v>N/A</v>
      </c>
      <c r="EC469" s="68">
        <f t="shared" si="611"/>
        <v>0</v>
      </c>
      <c r="ED469" s="68" t="str">
        <f t="shared" si="581"/>
        <v>N/A</v>
      </c>
      <c r="EF469" s="56">
        <v>455</v>
      </c>
      <c r="EG469" s="46">
        <f t="shared" si="612"/>
        <v>0</v>
      </c>
      <c r="EH469" s="68" t="e">
        <f t="shared" si="613"/>
        <v>#N/A</v>
      </c>
      <c r="EI469" s="68" t="e">
        <f t="shared" si="614"/>
        <v>#N/A</v>
      </c>
      <c r="EJ469" s="68" t="e">
        <f t="shared" si="615"/>
        <v>#N/A</v>
      </c>
      <c r="EK469" s="68" t="e">
        <f t="shared" si="616"/>
        <v>#N/A</v>
      </c>
      <c r="EL469" s="46">
        <f t="shared" si="617"/>
        <v>0</v>
      </c>
      <c r="EM469" s="46">
        <f t="shared" si="618"/>
        <v>0</v>
      </c>
    </row>
    <row r="470" spans="1:143">
      <c r="A470" s="89"/>
      <c r="B470" s="89"/>
      <c r="C470" s="89"/>
      <c r="D470" s="89"/>
      <c r="E470" s="89"/>
      <c r="F470" s="89"/>
      <c r="G470" s="34"/>
      <c r="H470" s="56">
        <f t="shared" si="619"/>
        <v>456</v>
      </c>
      <c r="I470" s="165"/>
      <c r="J470" s="163"/>
      <c r="K470" s="163"/>
      <c r="L470" s="164"/>
      <c r="M470" s="155"/>
      <c r="N470" s="155"/>
      <c r="O470" s="144"/>
      <c r="P470" s="159" t="str">
        <f>IFERROR(IF(O470&lt;&gt;"User Specified",IF(O470&lt;&gt;"", INDEX('Refrigerant GWPs'!$G$2:$G$154,MATCH(O470,'Refrigerant GWPs'!$A$2:$A$154,0)),""),U470),0)</f>
        <v/>
      </c>
      <c r="Q470" s="155"/>
      <c r="R470" s="155"/>
      <c r="S470" s="144"/>
      <c r="T470" s="159" t="str">
        <f>IF(S470&lt;&gt;"User Specified",IF(AND(S470&lt;&gt;"User Specified",S470&lt;&gt;""), INDEX('Refrigerant GWPs'!$G$2:$G$154,MATCH(S470,'Refrigerant GWPs'!$A$2:$A$154,0)),""),V470)</f>
        <v/>
      </c>
      <c r="U470" s="144"/>
      <c r="V470" s="144"/>
      <c r="W470" s="155"/>
      <c r="X470" s="155"/>
      <c r="Y470" s="144"/>
      <c r="Z470" s="159" t="str">
        <f>IF(AND(Y470&lt;&gt;"User Specified",Y470&lt;&gt;""), INDEX('Refrigerant GWPs'!$G$2:$G$154,MATCH(Y470,'Refrigerant GWPs'!$A$2:$A$154,0)),"")</f>
        <v/>
      </c>
      <c r="AA470" s="155"/>
      <c r="AB470" s="156"/>
      <c r="AC470" s="66"/>
      <c r="AD470" s="66"/>
      <c r="AE470" s="66"/>
      <c r="AF470" s="66"/>
      <c r="AG470" s="66"/>
      <c r="AH470" s="66"/>
      <c r="AI470" s="34"/>
      <c r="AJ470" s="88">
        <f t="shared" si="582"/>
        <v>0</v>
      </c>
      <c r="AK470" s="88">
        <f t="shared" si="583"/>
        <v>0</v>
      </c>
      <c r="AL470" s="88">
        <v>0</v>
      </c>
      <c r="AM470" s="88">
        <v>0</v>
      </c>
      <c r="AN470" s="81" t="str">
        <f t="shared" si="553"/>
        <v/>
      </c>
      <c r="AO470" s="88">
        <f t="shared" si="584"/>
        <v>0</v>
      </c>
      <c r="AP470" s="88">
        <f t="shared" si="585"/>
        <v>0</v>
      </c>
      <c r="AQ470" s="81" t="str">
        <f t="shared" si="586"/>
        <v/>
      </c>
      <c r="AS470" s="41" t="b">
        <f t="shared" si="587"/>
        <v>1</v>
      </c>
      <c r="AT470" s="38">
        <f t="shared" si="588"/>
        <v>0</v>
      </c>
      <c r="AU470" s="60">
        <f t="shared" si="589"/>
        <v>0</v>
      </c>
      <c r="AV470" s="41">
        <f t="shared" si="590"/>
        <v>0</v>
      </c>
      <c r="AW470" s="41" t="b">
        <f t="shared" si="591"/>
        <v>0</v>
      </c>
      <c r="AX470" t="str">
        <f t="shared" si="592"/>
        <v>+00</v>
      </c>
      <c r="AY470" t="str">
        <f t="shared" si="593"/>
        <v>+00</v>
      </c>
      <c r="BA470" s="47" t="b">
        <f t="shared" si="554"/>
        <v>1</v>
      </c>
      <c r="BB470" s="42" t="b">
        <f t="shared" si="555"/>
        <v>1</v>
      </c>
      <c r="BC470" s="42" t="b">
        <f t="shared" si="556"/>
        <v>0</v>
      </c>
      <c r="BD470" s="42" t="b">
        <f t="shared" si="557"/>
        <v>0</v>
      </c>
      <c r="BE470" s="70">
        <f t="shared" si="558"/>
        <v>0</v>
      </c>
      <c r="BF470" s="70">
        <f t="shared" si="559"/>
        <v>0</v>
      </c>
      <c r="BG470" s="34"/>
      <c r="BI470" s="47" t="b">
        <f t="shared" si="560"/>
        <v>1</v>
      </c>
      <c r="BJ470" s="47" t="b">
        <f t="shared" si="561"/>
        <v>1</v>
      </c>
      <c r="BK470" s="42" t="b">
        <f t="shared" si="562"/>
        <v>0</v>
      </c>
      <c r="BL470" s="42" t="b">
        <f t="shared" si="563"/>
        <v>0</v>
      </c>
      <c r="BM470" s="42">
        <f t="shared" si="564"/>
        <v>0</v>
      </c>
      <c r="BN470" s="42">
        <f t="shared" si="565"/>
        <v>0</v>
      </c>
      <c r="BP470" t="e">
        <f t="shared" si="566"/>
        <v>#N/A</v>
      </c>
      <c r="BQ470" t="e">
        <f t="shared" si="567"/>
        <v>#N/A</v>
      </c>
      <c r="BR470" t="e">
        <f t="shared" si="568"/>
        <v>#N/A</v>
      </c>
      <c r="BT470" s="60">
        <f t="shared" si="569"/>
        <v>0</v>
      </c>
      <c r="BU470" s="60">
        <f t="shared" si="570"/>
        <v>0</v>
      </c>
      <c r="BV470" s="60">
        <f t="shared" si="571"/>
        <v>0</v>
      </c>
      <c r="BW470" s="60">
        <f t="shared" si="572"/>
        <v>0</v>
      </c>
      <c r="BX470" s="60">
        <f t="shared" si="573"/>
        <v>0</v>
      </c>
      <c r="BY470" s="60">
        <f t="shared" si="574"/>
        <v>0</v>
      </c>
      <c r="BZ470" s="60">
        <f t="shared" si="575"/>
        <v>0</v>
      </c>
      <c r="CA470" s="60">
        <f t="shared" si="576"/>
        <v>0</v>
      </c>
      <c r="CB470" s="60" t="e">
        <f t="shared" si="594"/>
        <v>#N/A</v>
      </c>
      <c r="CC470" s="60">
        <f t="shared" si="595"/>
        <v>100000</v>
      </c>
      <c r="CD470" s="60" t="e">
        <f t="shared" si="596"/>
        <v>#N/A</v>
      </c>
      <c r="CE470" s="60">
        <f t="shared" si="597"/>
        <v>100000</v>
      </c>
      <c r="CF470" s="83" t="e">
        <f t="shared" si="577"/>
        <v>#N/A</v>
      </c>
      <c r="CG470" s="83">
        <f t="shared" si="578"/>
        <v>0</v>
      </c>
      <c r="CH470" s="83" t="e">
        <f t="shared" si="579"/>
        <v>#N/A</v>
      </c>
      <c r="CI470" s="83">
        <f t="shared" si="580"/>
        <v>0</v>
      </c>
      <c r="CJ470" s="86" t="e">
        <f t="shared" si="598"/>
        <v>#N/A</v>
      </c>
      <c r="CK470" s="82">
        <f t="shared" si="599"/>
        <v>5.3070370403969858E-3</v>
      </c>
      <c r="CL470" s="82" t="e">
        <f t="shared" si="600"/>
        <v>#N/A</v>
      </c>
      <c r="CM470" s="82">
        <f t="shared" si="601"/>
        <v>5.3070370403969858E-3</v>
      </c>
      <c r="CO470" s="149" t="str">
        <f>IF($I470&lt;&gt;"",IF(O470="User Specified",U470,INDEX('Refrigerant GWPs'!$G$2:$G$156,MATCH(O470,'Refrigerant GWPs'!$A$2:$A$156,0))),"")</f>
        <v/>
      </c>
      <c r="CP470" s="138" t="str">
        <f>IF($I470&lt;&gt;"",INDEX('Device Refrigerant Leakage'!$E$2:$E$42,MATCH($M470,'Device Refrigerant Leakage'!$B$2:$B$42,0)),"")</f>
        <v/>
      </c>
      <c r="CQ470" s="138" t="str">
        <f>IF($I470&lt;&gt;"",INDEX('Device Refrigerant Leakage'!$F$2:$F$42,MATCH($M470,'Device Refrigerant Leakage'!$B$2:$B$42,0)),"")</f>
        <v/>
      </c>
      <c r="CR470" s="145" t="str">
        <f>IF($I470&lt;&gt;"",INDEX('Device Refrigerant Leakage'!$G$2:$G$42,MATCH($M470,'Device Refrigerant Leakage'!$B$2:$B$42,0)),"")</f>
        <v/>
      </c>
      <c r="CS470" s="145" t="str">
        <f>IF($I470&lt;&gt;"",INDEX('Device Refrigerant Leakage'!$D$2:$D$42,MATCH($M470,'Device Refrigerant Leakage'!$B$2:$B$42,0))*CP470/2204.62*CO470,"")</f>
        <v/>
      </c>
      <c r="CT470" s="145" t="str">
        <f>IF($I470&lt;&gt;"",J470*(INDEX('Device Refrigerant Leakage'!$D$2:$D$42,MATCH($M470,'Device Refrigerant Leakage'!$B$2:$B$42,0))-(INDEX('Device Refrigerant Leakage'!$D$2:$D$42,MATCH($M470,'Device Refrigerant Leakage'!$B$2:$B$42,0)))*CR470*CP470)*CQ470/2204.62*CO470,"")</f>
        <v/>
      </c>
      <c r="CU470" s="135" t="str">
        <f>IF($I470&lt;&gt;"",J470*IF(W470&lt;&gt;"AR",(CS470*K470)+CT470,(CS470*AB470)+CT470*(AB470/INDEX('Device Refrigerant Leakage'!$C$2:$C$42,MATCH($M470,'Device Refrigerant Leakage'!$B$2:$B$42,0)))),"")</f>
        <v/>
      </c>
      <c r="CW470" s="135" t="str">
        <f>IF($I470&lt;&gt;"",IF(S470="User Specified",V470,INDEX('Refrigerant GWPs'!$G$2:$G$156,MATCH(S470,'Refrigerant GWPs'!$A$2:$A$157,0))),"")</f>
        <v/>
      </c>
      <c r="CX470" s="138" t="str">
        <f>IF($I470&lt;&gt;"",INDEX('Device Refrigerant Leakage'!$E$2:$E$42,MATCH($Q470,'Device Refrigerant Leakage'!$B$2:$B$42,0)),"")</f>
        <v/>
      </c>
      <c r="CY470" s="138" t="str">
        <f>IF($I470&lt;&gt;"",INDEX('Device Refrigerant Leakage'!$F$2:$F$42,MATCH($Q470,'Device Refrigerant Leakage'!$B$2:$B$42,0)),"")</f>
        <v/>
      </c>
      <c r="CZ470" s="145" t="str">
        <f>IF($I470&lt;&gt;"",INDEX('Device Refrigerant Leakage'!$G$2:$G$42,MATCH($Q470,'Device Refrigerant Leakage'!$B$2:$B$42,0)),"")</f>
        <v/>
      </c>
      <c r="DA470" s="145" t="str">
        <f>IF($I470&lt;&gt;"",J470*INDEX('Device Refrigerant Leakage'!$D$2:$D$42,MATCH($Q470,'Device Refrigerant Leakage'!$B$2:$B$42,0))*CX470/2204.62*CW470,"")</f>
        <v/>
      </c>
      <c r="DB470" s="145" t="str">
        <f>IF($I470&lt;&gt;"",J470*(INDEX('Device Refrigerant Leakage'!$D$2:$D$42,MATCH($Q470,'Device Refrigerant Leakage'!$B$2:$B$42,0))-(INDEX('Device Refrigerant Leakage'!$D$2:$D$42,MATCH($Q470,'Device Refrigerant Leakage'!$B$2:$B$42,0)))*CZ470*CX470)*CY470/2204.62*CW470,"")</f>
        <v/>
      </c>
      <c r="DC470" s="135" t="str">
        <f t="shared" si="620"/>
        <v/>
      </c>
      <c r="DE470" s="146" t="str">
        <f>IF(W470&lt;&gt;"AR","",IF(Y470="User Specified", AA470, INDEX('Refrigerant GWPs'!$G$2:$G$154,MATCH(Y470,'Refrigerant GWPs'!$A$2:$A$154,0))))</f>
        <v/>
      </c>
      <c r="DF470" s="146" t="str">
        <f>IF(W470&lt;&gt;"AR","",INDEX('Device Refrigerant Leakage'!$E$2:$E$42,MATCH(X470,'Device Refrigerant Leakage'!$B$2:$B$42,0)))</f>
        <v/>
      </c>
      <c r="DG470" s="146" t="str">
        <f>IF(W470&lt;&gt;"AR","",INDEX('Device Refrigerant Leakage'!$F$2:$F$42,MATCH(X470,'Device Refrigerant Leakage'!$B$2:$B$42,0)))</f>
        <v/>
      </c>
      <c r="DH470" s="146" t="str">
        <f>IF(W470&lt;&gt;"AR","",INDEX('Device Refrigerant Leakage'!$G$2:$G$42,MATCH(X470,'Device Refrigerant Leakage'!$B$2:$B$42,0)))</f>
        <v/>
      </c>
      <c r="DI470" s="146" t="str">
        <f>IF(W470&lt;&gt;"AR","",J470*INDEX('Device Refrigerant Leakage'!$D$2:$D$42,MATCH(X470,'Device Refrigerant Leakage'!$B$2:$B$42,0))*DF470/2204.62*DE470)</f>
        <v/>
      </c>
      <c r="DJ470" s="146" t="str">
        <f>IF(W470&lt;&gt;"AR","",J470*(INDEX('Device Refrigerant Leakage'!$D$2:$D$42,MATCH(X470,'Device Refrigerant Leakage'!$B$2:$B$42,0))-(INDEX('Device Refrigerant Leakage'!$D$2:$D$42,MATCH(X470,'Device Refrigerant Leakage'!$B$2:$B$42,0)))*DH470*DF470)*DG470/2204.62*DE470)</f>
        <v/>
      </c>
      <c r="DK470" s="146" t="str">
        <f>IF(W470&lt;&gt;"AR","",DI470*(K470-AB470)+'Fuel Sub Calcs-Deemed'!DJ470*((K470-AB470)/INDEX('Device Refrigerant Leakage'!$C$2:$C$42,MATCH('Fuel Sub Calcs-Deemed'!X470,'Device Refrigerant Leakage'!$B$2:$B$42,0))))</f>
        <v/>
      </c>
      <c r="DM470" s="56">
        <v>456</v>
      </c>
      <c r="DN470" s="67" t="e">
        <f t="shared" si="602"/>
        <v>#N/A</v>
      </c>
      <c r="DO470" s="45" t="e">
        <f t="shared" si="603"/>
        <v>#N/A</v>
      </c>
      <c r="DP470" s="67" t="e">
        <f t="shared" si="604"/>
        <v>#N/A</v>
      </c>
      <c r="DQ470" s="45" t="e">
        <f t="shared" si="605"/>
        <v>#N/A</v>
      </c>
      <c r="DR470" s="69" t="e">
        <f t="shared" si="606"/>
        <v>#N/A</v>
      </c>
      <c r="DS470" s="34"/>
      <c r="DT470" s="67" t="e">
        <f>((BX470*CJ470)+IF($W470=MAT_AR,(BZ470*CL470),0))*(1+Reference!$E$50+Reference!$E$51)</f>
        <v>#N/A</v>
      </c>
      <c r="DU470" s="67">
        <f>((BY470*CK470)+IF($W470=MAT_AR,(CA470*CM470),0))*(1+Reference!$G$50+Reference!$G$51)</f>
        <v>0</v>
      </c>
      <c r="DV470" s="67" t="e">
        <f t="shared" si="607"/>
        <v>#VALUE!</v>
      </c>
      <c r="DX470" s="56">
        <v>456</v>
      </c>
      <c r="DY470" s="67">
        <f t="shared" si="608"/>
        <v>0</v>
      </c>
      <c r="DZ470" s="45" t="e">
        <f>VLOOKUP($R470,Dropdown!$C$3:$D$4,2,FALSE)</f>
        <v>#N/A</v>
      </c>
      <c r="EA470" s="68">
        <f t="shared" si="609"/>
        <v>0</v>
      </c>
      <c r="EB470" s="68" t="str">
        <f t="shared" si="610"/>
        <v>N/A</v>
      </c>
      <c r="EC470" s="68">
        <f t="shared" si="611"/>
        <v>0</v>
      </c>
      <c r="ED470" s="68" t="str">
        <f t="shared" si="581"/>
        <v>N/A</v>
      </c>
      <c r="EF470" s="56">
        <v>456</v>
      </c>
      <c r="EG470" s="46">
        <f t="shared" si="612"/>
        <v>0</v>
      </c>
      <c r="EH470" s="68" t="e">
        <f t="shared" si="613"/>
        <v>#N/A</v>
      </c>
      <c r="EI470" s="68" t="e">
        <f t="shared" si="614"/>
        <v>#N/A</v>
      </c>
      <c r="EJ470" s="68" t="e">
        <f t="shared" si="615"/>
        <v>#N/A</v>
      </c>
      <c r="EK470" s="68" t="e">
        <f t="shared" si="616"/>
        <v>#N/A</v>
      </c>
      <c r="EL470" s="46">
        <f t="shared" si="617"/>
        <v>0</v>
      </c>
      <c r="EM470" s="46">
        <f t="shared" si="618"/>
        <v>0</v>
      </c>
    </row>
    <row r="471" spans="1:143">
      <c r="A471" s="89"/>
      <c r="B471" s="89"/>
      <c r="C471" s="89"/>
      <c r="D471" s="89"/>
      <c r="E471" s="89"/>
      <c r="F471" s="89"/>
      <c r="G471" s="34"/>
      <c r="H471" s="56">
        <f t="shared" si="619"/>
        <v>457</v>
      </c>
      <c r="I471" s="165"/>
      <c r="J471" s="163"/>
      <c r="K471" s="163"/>
      <c r="L471" s="164"/>
      <c r="M471" s="155"/>
      <c r="N471" s="155"/>
      <c r="O471" s="144"/>
      <c r="P471" s="159" t="str">
        <f>IFERROR(IF(O471&lt;&gt;"User Specified",IF(O471&lt;&gt;"", INDEX('Refrigerant GWPs'!$G$2:$G$154,MATCH(O471,'Refrigerant GWPs'!$A$2:$A$154,0)),""),U471),0)</f>
        <v/>
      </c>
      <c r="Q471" s="155"/>
      <c r="R471" s="155"/>
      <c r="S471" s="144"/>
      <c r="T471" s="159" t="str">
        <f>IF(S471&lt;&gt;"User Specified",IF(AND(S471&lt;&gt;"User Specified",S471&lt;&gt;""), INDEX('Refrigerant GWPs'!$G$2:$G$154,MATCH(S471,'Refrigerant GWPs'!$A$2:$A$154,0)),""),V471)</f>
        <v/>
      </c>
      <c r="U471" s="144"/>
      <c r="V471" s="144"/>
      <c r="W471" s="155"/>
      <c r="X471" s="155"/>
      <c r="Y471" s="144"/>
      <c r="Z471" s="159" t="str">
        <f>IF(AND(Y471&lt;&gt;"User Specified",Y471&lt;&gt;""), INDEX('Refrigerant GWPs'!$G$2:$G$154,MATCH(Y471,'Refrigerant GWPs'!$A$2:$A$154,0)),"")</f>
        <v/>
      </c>
      <c r="AA471" s="155"/>
      <c r="AB471" s="156"/>
      <c r="AC471" s="66"/>
      <c r="AD471" s="66"/>
      <c r="AE471" s="66"/>
      <c r="AF471" s="66"/>
      <c r="AG471" s="66"/>
      <c r="AH471" s="66"/>
      <c r="AI471" s="34"/>
      <c r="AJ471" s="88">
        <f t="shared" si="582"/>
        <v>0</v>
      </c>
      <c r="AK471" s="88">
        <f t="shared" si="583"/>
        <v>0</v>
      </c>
      <c r="AL471" s="88">
        <v>0</v>
      </c>
      <c r="AM471" s="88">
        <v>0</v>
      </c>
      <c r="AN471" s="81" t="str">
        <f t="shared" ref="AN471:AN534" si="621">IF(OR(BC471:BD471),"Warning: Need to enter baseline and measure consumption","")</f>
        <v/>
      </c>
      <c r="AO471" s="88">
        <f t="shared" si="584"/>
        <v>0</v>
      </c>
      <c r="AP471" s="88">
        <f t="shared" si="585"/>
        <v>0</v>
      </c>
      <c r="AQ471" s="81" t="str">
        <f t="shared" si="586"/>
        <v/>
      </c>
      <c r="AS471" s="41" t="b">
        <f t="shared" si="587"/>
        <v>1</v>
      </c>
      <c r="AT471" s="38">
        <f t="shared" si="588"/>
        <v>0</v>
      </c>
      <c r="AU471" s="60">
        <f t="shared" si="589"/>
        <v>0</v>
      </c>
      <c r="AV471" s="41">
        <f t="shared" si="590"/>
        <v>0</v>
      </c>
      <c r="AW471" s="41" t="b">
        <f t="shared" si="591"/>
        <v>0</v>
      </c>
      <c r="AX471" t="str">
        <f t="shared" si="592"/>
        <v>+00</v>
      </c>
      <c r="AY471" t="str">
        <f t="shared" si="593"/>
        <v>+00</v>
      </c>
      <c r="BA471" s="47" t="b">
        <f t="shared" ref="BA471:BA534" si="622">NOT(OR(ISBLANK(AJ471),ISBLANK(AL471)))</f>
        <v>1</v>
      </c>
      <c r="BB471" s="42" t="b">
        <f t="shared" ref="BB471:BB534" si="623">NOT(OR(ISBLANK(AK471),ISBLANK(AM471)))</f>
        <v>1</v>
      </c>
      <c r="BC471" s="42" t="b">
        <f t="shared" ref="BC471:BC534" si="624">AND(NOT(BA471))</f>
        <v>0</v>
      </c>
      <c r="BD471" s="42" t="b">
        <f t="shared" ref="BD471:BD534" si="625">AND(NOT(BB471))</f>
        <v>0</v>
      </c>
      <c r="BE471" s="70">
        <f t="shared" ref="BE471:BE534" si="626">AJ471-AL471</f>
        <v>0</v>
      </c>
      <c r="BF471" s="70">
        <f t="shared" ref="BF471:BF534" si="627">AK471-AM471</f>
        <v>0</v>
      </c>
      <c r="BG471" s="34"/>
      <c r="BI471" s="47" t="b">
        <f t="shared" ref="BI471:BI534" si="628">NOT(OR(ISBLANK(AL471),ISBLANK(AO471)))</f>
        <v>1</v>
      </c>
      <c r="BJ471" s="47" t="b">
        <f t="shared" ref="BJ471:BJ534" si="629">NOT(OR(ISBLANK(AM471),ISBLANK(AP471)))</f>
        <v>1</v>
      </c>
      <c r="BK471" s="42" t="b">
        <f t="shared" ref="BK471:BK534" si="630">AND(NOT(BI471))</f>
        <v>0</v>
      </c>
      <c r="BL471" s="42" t="b">
        <f t="shared" ref="BL471:BL534" si="631">AND(NOT(BJ471))</f>
        <v>0</v>
      </c>
      <c r="BM471" s="42">
        <f t="shared" ref="BM471:BM534" si="632">IF(NOT(OR(ISBLANK(AO471),ISBLANK(AL471))),AO471-AL471,0)</f>
        <v>0</v>
      </c>
      <c r="BN471" s="42">
        <f t="shared" ref="BN471:BN534" si="633">IF(NOT(OR(ISBLANK(AP471),ISBLANK(AM471))),AP471-AM471,0)</f>
        <v>0</v>
      </c>
      <c r="BP471" t="e">
        <f t="shared" ref="BP471:BP534" si="634">(DN471&gt;=0)</f>
        <v>#N/A</v>
      </c>
      <c r="BQ471" t="e">
        <f t="shared" ref="BQ471:BQ534" si="635">(DP471&gt;=0)</f>
        <v>#N/A</v>
      </c>
      <c r="BR471" t="e">
        <f t="shared" ref="BR471:BR534" si="636">AND(BP471,BQ471)</f>
        <v>#N/A</v>
      </c>
      <c r="BT471" s="60">
        <f t="shared" ref="BT471:BT534" si="637">$J471*BE471</f>
        <v>0</v>
      </c>
      <c r="BU471" s="60">
        <f t="shared" ref="BU471:BU534" si="638">$J471*BF471</f>
        <v>0</v>
      </c>
      <c r="BV471" s="60">
        <f t="shared" ref="BV471:BV534" si="639">$J471*BM471</f>
        <v>0</v>
      </c>
      <c r="BW471" s="60">
        <f t="shared" ref="BW471:BW534" si="640">$J471*BN471</f>
        <v>0</v>
      </c>
      <c r="BX471" s="60">
        <f t="shared" ref="BX471:BX534" si="641">$AT471*BT471</f>
        <v>0</v>
      </c>
      <c r="BY471" s="60">
        <f t="shared" ref="BY471:BY534" si="642">$AT471*BU471</f>
        <v>0</v>
      </c>
      <c r="BZ471" s="60">
        <f t="shared" ref="BZ471:BZ534" si="643">$AU471*BV471</f>
        <v>0</v>
      </c>
      <c r="CA471" s="60">
        <f t="shared" ref="CA471:CA534" si="644">$AU471*BW471</f>
        <v>0</v>
      </c>
      <c r="CB471" s="60" t="e">
        <f t="shared" si="594"/>
        <v>#N/A</v>
      </c>
      <c r="CC471" s="60">
        <f t="shared" si="595"/>
        <v>100000</v>
      </c>
      <c r="CD471" s="60" t="e">
        <f t="shared" si="596"/>
        <v>#N/A</v>
      </c>
      <c r="CE471" s="60">
        <f t="shared" si="597"/>
        <v>100000</v>
      </c>
      <c r="CF471" s="83" t="e">
        <f t="shared" ref="CF471:CF534" si="645">$AT471*CB471/1000000</f>
        <v>#N/A</v>
      </c>
      <c r="CG471" s="83">
        <f t="shared" ref="CG471:CG534" si="646">$AT471*CC471/1000000</f>
        <v>0</v>
      </c>
      <c r="CH471" s="83" t="e">
        <f t="shared" ref="CH471:CH534" si="647">$AU471*CD471/1000000</f>
        <v>#N/A</v>
      </c>
      <c r="CI471" s="83">
        <f t="shared" ref="CI471:CI534" si="648">$AU471*CE471/1000000</f>
        <v>0</v>
      </c>
      <c r="CJ471" s="86" t="e">
        <f t="shared" si="598"/>
        <v>#N/A</v>
      </c>
      <c r="CK471" s="82">
        <f t="shared" si="599"/>
        <v>5.3070370403969858E-3</v>
      </c>
      <c r="CL471" s="82" t="e">
        <f t="shared" si="600"/>
        <v>#N/A</v>
      </c>
      <c r="CM471" s="82">
        <f t="shared" si="601"/>
        <v>5.3070370403969858E-3</v>
      </c>
      <c r="CO471" s="149" t="str">
        <f>IF($I471&lt;&gt;"",IF(O471="User Specified",U471,INDEX('Refrigerant GWPs'!$G$2:$G$156,MATCH(O471,'Refrigerant GWPs'!$A$2:$A$156,0))),"")</f>
        <v/>
      </c>
      <c r="CP471" s="138" t="str">
        <f>IF($I471&lt;&gt;"",INDEX('Device Refrigerant Leakage'!$E$2:$E$42,MATCH($M471,'Device Refrigerant Leakage'!$B$2:$B$42,0)),"")</f>
        <v/>
      </c>
      <c r="CQ471" s="138" t="str">
        <f>IF($I471&lt;&gt;"",INDEX('Device Refrigerant Leakage'!$F$2:$F$42,MATCH($M471,'Device Refrigerant Leakage'!$B$2:$B$42,0)),"")</f>
        <v/>
      </c>
      <c r="CR471" s="145" t="str">
        <f>IF($I471&lt;&gt;"",INDEX('Device Refrigerant Leakage'!$G$2:$G$42,MATCH($M471,'Device Refrigerant Leakage'!$B$2:$B$42,0)),"")</f>
        <v/>
      </c>
      <c r="CS471" s="145" t="str">
        <f>IF($I471&lt;&gt;"",INDEX('Device Refrigerant Leakage'!$D$2:$D$42,MATCH($M471,'Device Refrigerant Leakage'!$B$2:$B$42,0))*CP471/2204.62*CO471,"")</f>
        <v/>
      </c>
      <c r="CT471" s="145" t="str">
        <f>IF($I471&lt;&gt;"",J471*(INDEX('Device Refrigerant Leakage'!$D$2:$D$42,MATCH($M471,'Device Refrigerant Leakage'!$B$2:$B$42,0))-(INDEX('Device Refrigerant Leakage'!$D$2:$D$42,MATCH($M471,'Device Refrigerant Leakage'!$B$2:$B$42,0)))*CR471*CP471)*CQ471/2204.62*CO471,"")</f>
        <v/>
      </c>
      <c r="CU471" s="135" t="str">
        <f>IF($I471&lt;&gt;"",J471*IF(W471&lt;&gt;"AR",(CS471*K471)+CT471,(CS471*AB471)+CT471*(AB471/INDEX('Device Refrigerant Leakage'!$C$2:$C$42,MATCH($M471,'Device Refrigerant Leakage'!$B$2:$B$42,0)))),"")</f>
        <v/>
      </c>
      <c r="CW471" s="135" t="str">
        <f>IF($I471&lt;&gt;"",IF(S471="User Specified",V471,INDEX('Refrigerant GWPs'!$G$2:$G$156,MATCH(S471,'Refrigerant GWPs'!$A$2:$A$157,0))),"")</f>
        <v/>
      </c>
      <c r="CX471" s="138" t="str">
        <f>IF($I471&lt;&gt;"",INDEX('Device Refrigerant Leakage'!$E$2:$E$42,MATCH($Q471,'Device Refrigerant Leakage'!$B$2:$B$42,0)),"")</f>
        <v/>
      </c>
      <c r="CY471" s="138" t="str">
        <f>IF($I471&lt;&gt;"",INDEX('Device Refrigerant Leakage'!$F$2:$F$42,MATCH($Q471,'Device Refrigerant Leakage'!$B$2:$B$42,0)),"")</f>
        <v/>
      </c>
      <c r="CZ471" s="145" t="str">
        <f>IF($I471&lt;&gt;"",INDEX('Device Refrigerant Leakage'!$G$2:$G$42,MATCH($Q471,'Device Refrigerant Leakage'!$B$2:$B$42,0)),"")</f>
        <v/>
      </c>
      <c r="DA471" s="145" t="str">
        <f>IF($I471&lt;&gt;"",J471*INDEX('Device Refrigerant Leakage'!$D$2:$D$42,MATCH($Q471,'Device Refrigerant Leakage'!$B$2:$B$42,0))*CX471/2204.62*CW471,"")</f>
        <v/>
      </c>
      <c r="DB471" s="145" t="str">
        <f>IF($I471&lt;&gt;"",J471*(INDEX('Device Refrigerant Leakage'!$D$2:$D$42,MATCH($Q471,'Device Refrigerant Leakage'!$B$2:$B$42,0))-(INDEX('Device Refrigerant Leakage'!$D$2:$D$42,MATCH($Q471,'Device Refrigerant Leakage'!$B$2:$B$42,0)))*CZ471*CX471)*CY471/2204.62*CW471,"")</f>
        <v/>
      </c>
      <c r="DC471" s="135" t="str">
        <f t="shared" si="620"/>
        <v/>
      </c>
      <c r="DE471" s="146" t="str">
        <f>IF(W471&lt;&gt;"AR","",IF(Y471="User Specified", AA471, INDEX('Refrigerant GWPs'!$G$2:$G$154,MATCH(Y471,'Refrigerant GWPs'!$A$2:$A$154,0))))</f>
        <v/>
      </c>
      <c r="DF471" s="146" t="str">
        <f>IF(W471&lt;&gt;"AR","",INDEX('Device Refrigerant Leakage'!$E$2:$E$42,MATCH(X471,'Device Refrigerant Leakage'!$B$2:$B$42,0)))</f>
        <v/>
      </c>
      <c r="DG471" s="146" t="str">
        <f>IF(W471&lt;&gt;"AR","",INDEX('Device Refrigerant Leakage'!$F$2:$F$42,MATCH(X471,'Device Refrigerant Leakage'!$B$2:$B$42,0)))</f>
        <v/>
      </c>
      <c r="DH471" s="146" t="str">
        <f>IF(W471&lt;&gt;"AR","",INDEX('Device Refrigerant Leakage'!$G$2:$G$42,MATCH(X471,'Device Refrigerant Leakage'!$B$2:$B$42,0)))</f>
        <v/>
      </c>
      <c r="DI471" s="146" t="str">
        <f>IF(W471&lt;&gt;"AR","",J471*INDEX('Device Refrigerant Leakage'!$D$2:$D$42,MATCH(X471,'Device Refrigerant Leakage'!$B$2:$B$42,0))*DF471/2204.62*DE471)</f>
        <v/>
      </c>
      <c r="DJ471" s="146" t="str">
        <f>IF(W471&lt;&gt;"AR","",J471*(INDEX('Device Refrigerant Leakage'!$D$2:$D$42,MATCH(X471,'Device Refrigerant Leakage'!$B$2:$B$42,0))-(INDEX('Device Refrigerant Leakage'!$D$2:$D$42,MATCH(X471,'Device Refrigerant Leakage'!$B$2:$B$42,0)))*DH471*DF471)*DG471/2204.62*DE471)</f>
        <v/>
      </c>
      <c r="DK471" s="146" t="str">
        <f>IF(W471&lt;&gt;"AR","",DI471*(K471-AB471)+'Fuel Sub Calcs-Deemed'!DJ471*((K471-AB471)/INDEX('Device Refrigerant Leakage'!$C$2:$C$42,MATCH('Fuel Sub Calcs-Deemed'!X471,'Device Refrigerant Leakage'!$B$2:$B$42,0))))</f>
        <v/>
      </c>
      <c r="DM471" s="56">
        <v>457</v>
      </c>
      <c r="DN471" s="67" t="e">
        <f t="shared" si="602"/>
        <v>#N/A</v>
      </c>
      <c r="DO471" s="45" t="e">
        <f t="shared" si="603"/>
        <v>#N/A</v>
      </c>
      <c r="DP471" s="67" t="e">
        <f t="shared" si="604"/>
        <v>#N/A</v>
      </c>
      <c r="DQ471" s="45" t="e">
        <f t="shared" si="605"/>
        <v>#N/A</v>
      </c>
      <c r="DR471" s="69" t="e">
        <f t="shared" si="606"/>
        <v>#N/A</v>
      </c>
      <c r="DS471" s="34"/>
      <c r="DT471" s="67" t="e">
        <f>((BX471*CJ471)+IF($W471=MAT_AR,(BZ471*CL471),0))*(1+Reference!$E$50+Reference!$E$51)</f>
        <v>#N/A</v>
      </c>
      <c r="DU471" s="67">
        <f>((BY471*CK471)+IF($W471=MAT_AR,(CA471*CM471),0))*(1+Reference!$G$50+Reference!$G$51)</f>
        <v>0</v>
      </c>
      <c r="DV471" s="67" t="e">
        <f t="shared" si="607"/>
        <v>#VALUE!</v>
      </c>
      <c r="DX471" s="56">
        <v>457</v>
      </c>
      <c r="DY471" s="67">
        <f t="shared" si="608"/>
        <v>0</v>
      </c>
      <c r="DZ471" s="45" t="e">
        <f>VLOOKUP($R471,Dropdown!$C$3:$D$4,2,FALSE)</f>
        <v>#N/A</v>
      </c>
      <c r="EA471" s="68">
        <f t="shared" si="609"/>
        <v>0</v>
      </c>
      <c r="EB471" s="68" t="str">
        <f t="shared" si="610"/>
        <v>N/A</v>
      </c>
      <c r="EC471" s="68">
        <f t="shared" si="611"/>
        <v>0</v>
      </c>
      <c r="ED471" s="68" t="str">
        <f t="shared" ref="ED471:ED534" si="649">IF($R471=fuel_electricity,DY471*10^6/Btu_therm,"N/A")</f>
        <v>N/A</v>
      </c>
      <c r="EF471" s="56">
        <v>457</v>
      </c>
      <c r="EG471" s="46">
        <f t="shared" si="612"/>
        <v>0</v>
      </c>
      <c r="EH471" s="68" t="e">
        <f t="shared" si="613"/>
        <v>#N/A</v>
      </c>
      <c r="EI471" s="68" t="e">
        <f t="shared" si="614"/>
        <v>#N/A</v>
      </c>
      <c r="EJ471" s="68" t="e">
        <f t="shared" si="615"/>
        <v>#N/A</v>
      </c>
      <c r="EK471" s="68" t="e">
        <f t="shared" si="616"/>
        <v>#N/A</v>
      </c>
      <c r="EL471" s="46">
        <f t="shared" si="617"/>
        <v>0</v>
      </c>
      <c r="EM471" s="46">
        <f t="shared" si="618"/>
        <v>0</v>
      </c>
    </row>
    <row r="472" spans="1:143">
      <c r="A472" s="89"/>
      <c r="B472" s="89"/>
      <c r="C472" s="89"/>
      <c r="D472" s="89"/>
      <c r="E472" s="89"/>
      <c r="F472" s="89"/>
      <c r="G472" s="34"/>
      <c r="H472" s="56">
        <f t="shared" si="619"/>
        <v>458</v>
      </c>
      <c r="I472" s="165"/>
      <c r="J472" s="163"/>
      <c r="K472" s="163"/>
      <c r="L472" s="164"/>
      <c r="M472" s="155"/>
      <c r="N472" s="155"/>
      <c r="O472" s="144"/>
      <c r="P472" s="159" t="str">
        <f>IFERROR(IF(O472&lt;&gt;"User Specified",IF(O472&lt;&gt;"", INDEX('Refrigerant GWPs'!$G$2:$G$154,MATCH(O472,'Refrigerant GWPs'!$A$2:$A$154,0)),""),U472),0)</f>
        <v/>
      </c>
      <c r="Q472" s="155"/>
      <c r="R472" s="155"/>
      <c r="S472" s="144"/>
      <c r="T472" s="159" t="str">
        <f>IF(S472&lt;&gt;"User Specified",IF(AND(S472&lt;&gt;"User Specified",S472&lt;&gt;""), INDEX('Refrigerant GWPs'!$G$2:$G$154,MATCH(S472,'Refrigerant GWPs'!$A$2:$A$154,0)),""),V472)</f>
        <v/>
      </c>
      <c r="U472" s="144"/>
      <c r="V472" s="144"/>
      <c r="W472" s="155"/>
      <c r="X472" s="155"/>
      <c r="Y472" s="144"/>
      <c r="Z472" s="159" t="str">
        <f>IF(AND(Y472&lt;&gt;"User Specified",Y472&lt;&gt;""), INDEX('Refrigerant GWPs'!$G$2:$G$154,MATCH(Y472,'Refrigerant GWPs'!$A$2:$A$154,0)),"")</f>
        <v/>
      </c>
      <c r="AA472" s="155"/>
      <c r="AB472" s="156"/>
      <c r="AC472" s="66"/>
      <c r="AD472" s="66"/>
      <c r="AE472" s="66"/>
      <c r="AF472" s="66"/>
      <c r="AG472" s="66"/>
      <c r="AH472" s="66"/>
      <c r="AI472" s="34"/>
      <c r="AJ472" s="88">
        <f t="shared" si="582"/>
        <v>0</v>
      </c>
      <c r="AK472" s="88">
        <f t="shared" si="583"/>
        <v>0</v>
      </c>
      <c r="AL472" s="88">
        <v>0</v>
      </c>
      <c r="AM472" s="88">
        <v>0</v>
      </c>
      <c r="AN472" s="81" t="str">
        <f t="shared" si="621"/>
        <v/>
      </c>
      <c r="AO472" s="88">
        <f t="shared" si="584"/>
        <v>0</v>
      </c>
      <c r="AP472" s="88">
        <f t="shared" si="585"/>
        <v>0</v>
      </c>
      <c r="AQ472" s="81" t="str">
        <f t="shared" si="586"/>
        <v/>
      </c>
      <c r="AS472" s="41" t="b">
        <f t="shared" si="587"/>
        <v>1</v>
      </c>
      <c r="AT472" s="38">
        <f t="shared" si="588"/>
        <v>0</v>
      </c>
      <c r="AU472" s="60">
        <f t="shared" si="589"/>
        <v>0</v>
      </c>
      <c r="AV472" s="41">
        <f t="shared" si="590"/>
        <v>0</v>
      </c>
      <c r="AW472" s="41" t="b">
        <f t="shared" si="591"/>
        <v>0</v>
      </c>
      <c r="AX472" t="str">
        <f t="shared" si="592"/>
        <v>+00</v>
      </c>
      <c r="AY472" t="str">
        <f t="shared" si="593"/>
        <v>+00</v>
      </c>
      <c r="BA472" s="47" t="b">
        <f t="shared" si="622"/>
        <v>1</v>
      </c>
      <c r="BB472" s="42" t="b">
        <f t="shared" si="623"/>
        <v>1</v>
      </c>
      <c r="BC472" s="42" t="b">
        <f t="shared" si="624"/>
        <v>0</v>
      </c>
      <c r="BD472" s="42" t="b">
        <f t="shared" si="625"/>
        <v>0</v>
      </c>
      <c r="BE472" s="70">
        <f t="shared" si="626"/>
        <v>0</v>
      </c>
      <c r="BF472" s="70">
        <f t="shared" si="627"/>
        <v>0</v>
      </c>
      <c r="BG472" s="34"/>
      <c r="BI472" s="47" t="b">
        <f t="shared" si="628"/>
        <v>1</v>
      </c>
      <c r="BJ472" s="47" t="b">
        <f t="shared" si="629"/>
        <v>1</v>
      </c>
      <c r="BK472" s="42" t="b">
        <f t="shared" si="630"/>
        <v>0</v>
      </c>
      <c r="BL472" s="42" t="b">
        <f t="shared" si="631"/>
        <v>0</v>
      </c>
      <c r="BM472" s="42">
        <f t="shared" si="632"/>
        <v>0</v>
      </c>
      <c r="BN472" s="42">
        <f t="shared" si="633"/>
        <v>0</v>
      </c>
      <c r="BP472" t="e">
        <f t="shared" si="634"/>
        <v>#N/A</v>
      </c>
      <c r="BQ472" t="e">
        <f t="shared" si="635"/>
        <v>#N/A</v>
      </c>
      <c r="BR472" t="e">
        <f t="shared" si="636"/>
        <v>#N/A</v>
      </c>
      <c r="BT472" s="60">
        <f t="shared" si="637"/>
        <v>0</v>
      </c>
      <c r="BU472" s="60">
        <f t="shared" si="638"/>
        <v>0</v>
      </c>
      <c r="BV472" s="60">
        <f t="shared" si="639"/>
        <v>0</v>
      </c>
      <c r="BW472" s="60">
        <f t="shared" si="640"/>
        <v>0</v>
      </c>
      <c r="BX472" s="60">
        <f t="shared" si="641"/>
        <v>0</v>
      </c>
      <c r="BY472" s="60">
        <f t="shared" si="642"/>
        <v>0</v>
      </c>
      <c r="BZ472" s="60">
        <f t="shared" si="643"/>
        <v>0</v>
      </c>
      <c r="CA472" s="60">
        <f t="shared" si="644"/>
        <v>0</v>
      </c>
      <c r="CB472" s="60" t="e">
        <f t="shared" si="594"/>
        <v>#N/A</v>
      </c>
      <c r="CC472" s="60">
        <f t="shared" si="595"/>
        <v>100000</v>
      </c>
      <c r="CD472" s="60" t="e">
        <f t="shared" si="596"/>
        <v>#N/A</v>
      </c>
      <c r="CE472" s="60">
        <f t="shared" si="597"/>
        <v>100000</v>
      </c>
      <c r="CF472" s="83" t="e">
        <f t="shared" si="645"/>
        <v>#N/A</v>
      </c>
      <c r="CG472" s="83">
        <f t="shared" si="646"/>
        <v>0</v>
      </c>
      <c r="CH472" s="83" t="e">
        <f t="shared" si="647"/>
        <v>#N/A</v>
      </c>
      <c r="CI472" s="83">
        <f t="shared" si="648"/>
        <v>0</v>
      </c>
      <c r="CJ472" s="86" t="e">
        <f t="shared" si="598"/>
        <v>#N/A</v>
      </c>
      <c r="CK472" s="82">
        <f t="shared" si="599"/>
        <v>5.3070370403969858E-3</v>
      </c>
      <c r="CL472" s="82" t="e">
        <f t="shared" si="600"/>
        <v>#N/A</v>
      </c>
      <c r="CM472" s="82">
        <f t="shared" si="601"/>
        <v>5.3070370403969858E-3</v>
      </c>
      <c r="CO472" s="149" t="str">
        <f>IF($I472&lt;&gt;"",IF(O472="User Specified",U472,INDEX('Refrigerant GWPs'!$G$2:$G$156,MATCH(O472,'Refrigerant GWPs'!$A$2:$A$156,0))),"")</f>
        <v/>
      </c>
      <c r="CP472" s="138" t="str">
        <f>IF($I472&lt;&gt;"",INDEX('Device Refrigerant Leakage'!$E$2:$E$42,MATCH($M472,'Device Refrigerant Leakage'!$B$2:$B$42,0)),"")</f>
        <v/>
      </c>
      <c r="CQ472" s="138" t="str">
        <f>IF($I472&lt;&gt;"",INDEX('Device Refrigerant Leakage'!$F$2:$F$42,MATCH($M472,'Device Refrigerant Leakage'!$B$2:$B$42,0)),"")</f>
        <v/>
      </c>
      <c r="CR472" s="145" t="str">
        <f>IF($I472&lt;&gt;"",INDEX('Device Refrigerant Leakage'!$G$2:$G$42,MATCH($M472,'Device Refrigerant Leakage'!$B$2:$B$42,0)),"")</f>
        <v/>
      </c>
      <c r="CS472" s="145" t="str">
        <f>IF($I472&lt;&gt;"",INDEX('Device Refrigerant Leakage'!$D$2:$D$42,MATCH($M472,'Device Refrigerant Leakage'!$B$2:$B$42,0))*CP472/2204.62*CO472,"")</f>
        <v/>
      </c>
      <c r="CT472" s="145" t="str">
        <f>IF($I472&lt;&gt;"",J472*(INDEX('Device Refrigerant Leakage'!$D$2:$D$42,MATCH($M472,'Device Refrigerant Leakage'!$B$2:$B$42,0))-(INDEX('Device Refrigerant Leakage'!$D$2:$D$42,MATCH($M472,'Device Refrigerant Leakage'!$B$2:$B$42,0)))*CR472*CP472)*CQ472/2204.62*CO472,"")</f>
        <v/>
      </c>
      <c r="CU472" s="135" t="str">
        <f>IF($I472&lt;&gt;"",J472*IF(W472&lt;&gt;"AR",(CS472*K472)+CT472,(CS472*AB472)+CT472*(AB472/INDEX('Device Refrigerant Leakage'!$C$2:$C$42,MATCH($M472,'Device Refrigerant Leakage'!$B$2:$B$42,0)))),"")</f>
        <v/>
      </c>
      <c r="CW472" s="135" t="str">
        <f>IF($I472&lt;&gt;"",IF(S472="User Specified",V472,INDEX('Refrigerant GWPs'!$G$2:$G$156,MATCH(S472,'Refrigerant GWPs'!$A$2:$A$157,0))),"")</f>
        <v/>
      </c>
      <c r="CX472" s="138" t="str">
        <f>IF($I472&lt;&gt;"",INDEX('Device Refrigerant Leakage'!$E$2:$E$42,MATCH($Q472,'Device Refrigerant Leakage'!$B$2:$B$42,0)),"")</f>
        <v/>
      </c>
      <c r="CY472" s="138" t="str">
        <f>IF($I472&lt;&gt;"",INDEX('Device Refrigerant Leakage'!$F$2:$F$42,MATCH($Q472,'Device Refrigerant Leakage'!$B$2:$B$42,0)),"")</f>
        <v/>
      </c>
      <c r="CZ472" s="145" t="str">
        <f>IF($I472&lt;&gt;"",INDEX('Device Refrigerant Leakage'!$G$2:$G$42,MATCH($Q472,'Device Refrigerant Leakage'!$B$2:$B$42,0)),"")</f>
        <v/>
      </c>
      <c r="DA472" s="145" t="str">
        <f>IF($I472&lt;&gt;"",J472*INDEX('Device Refrigerant Leakage'!$D$2:$D$42,MATCH($Q472,'Device Refrigerant Leakage'!$B$2:$B$42,0))*CX472/2204.62*CW472,"")</f>
        <v/>
      </c>
      <c r="DB472" s="145" t="str">
        <f>IF($I472&lt;&gt;"",J472*(INDEX('Device Refrigerant Leakage'!$D$2:$D$42,MATCH($Q472,'Device Refrigerant Leakage'!$B$2:$B$42,0))-(INDEX('Device Refrigerant Leakage'!$D$2:$D$42,MATCH($Q472,'Device Refrigerant Leakage'!$B$2:$B$42,0)))*CZ472*CX472)*CY472/2204.62*CW472,"")</f>
        <v/>
      </c>
      <c r="DC472" s="135" t="str">
        <f t="shared" si="620"/>
        <v/>
      </c>
      <c r="DE472" s="146" t="str">
        <f>IF(W472&lt;&gt;"AR","",IF(Y472="User Specified", AA472, INDEX('Refrigerant GWPs'!$G$2:$G$154,MATCH(Y472,'Refrigerant GWPs'!$A$2:$A$154,0))))</f>
        <v/>
      </c>
      <c r="DF472" s="146" t="str">
        <f>IF(W472&lt;&gt;"AR","",INDEX('Device Refrigerant Leakage'!$E$2:$E$42,MATCH(X472,'Device Refrigerant Leakage'!$B$2:$B$42,0)))</f>
        <v/>
      </c>
      <c r="DG472" s="146" t="str">
        <f>IF(W472&lt;&gt;"AR","",INDEX('Device Refrigerant Leakage'!$F$2:$F$42,MATCH(X472,'Device Refrigerant Leakage'!$B$2:$B$42,0)))</f>
        <v/>
      </c>
      <c r="DH472" s="146" t="str">
        <f>IF(W472&lt;&gt;"AR","",INDEX('Device Refrigerant Leakage'!$G$2:$G$42,MATCH(X472,'Device Refrigerant Leakage'!$B$2:$B$42,0)))</f>
        <v/>
      </c>
      <c r="DI472" s="146" t="str">
        <f>IF(W472&lt;&gt;"AR","",J472*INDEX('Device Refrigerant Leakage'!$D$2:$D$42,MATCH(X472,'Device Refrigerant Leakage'!$B$2:$B$42,0))*DF472/2204.62*DE472)</f>
        <v/>
      </c>
      <c r="DJ472" s="146" t="str">
        <f>IF(W472&lt;&gt;"AR","",J472*(INDEX('Device Refrigerant Leakage'!$D$2:$D$42,MATCH(X472,'Device Refrigerant Leakage'!$B$2:$B$42,0))-(INDEX('Device Refrigerant Leakage'!$D$2:$D$42,MATCH(X472,'Device Refrigerant Leakage'!$B$2:$B$42,0)))*DH472*DF472)*DG472/2204.62*DE472)</f>
        <v/>
      </c>
      <c r="DK472" s="146" t="str">
        <f>IF(W472&lt;&gt;"AR","",DI472*(K472-AB472)+'Fuel Sub Calcs-Deemed'!DJ472*((K472-AB472)/INDEX('Device Refrigerant Leakage'!$C$2:$C$42,MATCH('Fuel Sub Calcs-Deemed'!X472,'Device Refrigerant Leakage'!$B$2:$B$42,0))))</f>
        <v/>
      </c>
      <c r="DM472" s="56">
        <v>458</v>
      </c>
      <c r="DN472" s="67" t="e">
        <f t="shared" si="602"/>
        <v>#N/A</v>
      </c>
      <c r="DO472" s="45" t="e">
        <f t="shared" si="603"/>
        <v>#N/A</v>
      </c>
      <c r="DP472" s="67" t="e">
        <f t="shared" si="604"/>
        <v>#N/A</v>
      </c>
      <c r="DQ472" s="45" t="e">
        <f t="shared" si="605"/>
        <v>#N/A</v>
      </c>
      <c r="DR472" s="69" t="e">
        <f t="shared" si="606"/>
        <v>#N/A</v>
      </c>
      <c r="DS472" s="34"/>
      <c r="DT472" s="67" t="e">
        <f>((BX472*CJ472)+IF($W472=MAT_AR,(BZ472*CL472),0))*(1+Reference!$E$50+Reference!$E$51)</f>
        <v>#N/A</v>
      </c>
      <c r="DU472" s="67">
        <f>((BY472*CK472)+IF($W472=MAT_AR,(CA472*CM472),0))*(1+Reference!$G$50+Reference!$G$51)</f>
        <v>0</v>
      </c>
      <c r="DV472" s="67" t="e">
        <f t="shared" si="607"/>
        <v>#VALUE!</v>
      </c>
      <c r="DX472" s="56">
        <v>458</v>
      </c>
      <c r="DY472" s="67">
        <f t="shared" si="608"/>
        <v>0</v>
      </c>
      <c r="DZ472" s="45" t="e">
        <f>VLOOKUP($R472,Dropdown!$C$3:$D$4,2,FALSE)</f>
        <v>#N/A</v>
      </c>
      <c r="EA472" s="68">
        <f t="shared" si="609"/>
        <v>0</v>
      </c>
      <c r="EB472" s="68" t="str">
        <f t="shared" si="610"/>
        <v>N/A</v>
      </c>
      <c r="EC472" s="68">
        <f t="shared" si="611"/>
        <v>0</v>
      </c>
      <c r="ED472" s="68" t="str">
        <f t="shared" si="649"/>
        <v>N/A</v>
      </c>
      <c r="EF472" s="56">
        <v>458</v>
      </c>
      <c r="EG472" s="46">
        <f t="shared" si="612"/>
        <v>0</v>
      </c>
      <c r="EH472" s="68" t="e">
        <f t="shared" si="613"/>
        <v>#N/A</v>
      </c>
      <c r="EI472" s="68" t="e">
        <f t="shared" si="614"/>
        <v>#N/A</v>
      </c>
      <c r="EJ472" s="68" t="e">
        <f t="shared" si="615"/>
        <v>#N/A</v>
      </c>
      <c r="EK472" s="68" t="e">
        <f t="shared" si="616"/>
        <v>#N/A</v>
      </c>
      <c r="EL472" s="46">
        <f t="shared" si="617"/>
        <v>0</v>
      </c>
      <c r="EM472" s="46">
        <f t="shared" si="618"/>
        <v>0</v>
      </c>
    </row>
    <row r="473" spans="1:143">
      <c r="A473" s="89"/>
      <c r="B473" s="89"/>
      <c r="C473" s="89"/>
      <c r="D473" s="89"/>
      <c r="E473" s="89"/>
      <c r="F473" s="89"/>
      <c r="G473" s="34"/>
      <c r="H473" s="56">
        <f t="shared" si="619"/>
        <v>459</v>
      </c>
      <c r="I473" s="165"/>
      <c r="J473" s="163"/>
      <c r="K473" s="163"/>
      <c r="L473" s="164"/>
      <c r="M473" s="155"/>
      <c r="N473" s="155"/>
      <c r="O473" s="144"/>
      <c r="P473" s="159" t="str">
        <f>IFERROR(IF(O473&lt;&gt;"User Specified",IF(O473&lt;&gt;"", INDEX('Refrigerant GWPs'!$G$2:$G$154,MATCH(O473,'Refrigerant GWPs'!$A$2:$A$154,0)),""),U473),0)</f>
        <v/>
      </c>
      <c r="Q473" s="155"/>
      <c r="R473" s="155"/>
      <c r="S473" s="144"/>
      <c r="T473" s="159" t="str">
        <f>IF(S473&lt;&gt;"User Specified",IF(AND(S473&lt;&gt;"User Specified",S473&lt;&gt;""), INDEX('Refrigerant GWPs'!$G$2:$G$154,MATCH(S473,'Refrigerant GWPs'!$A$2:$A$154,0)),""),V473)</f>
        <v/>
      </c>
      <c r="U473" s="144"/>
      <c r="V473" s="144"/>
      <c r="W473" s="155"/>
      <c r="X473" s="155"/>
      <c r="Y473" s="144"/>
      <c r="Z473" s="159" t="str">
        <f>IF(AND(Y473&lt;&gt;"User Specified",Y473&lt;&gt;""), INDEX('Refrigerant GWPs'!$G$2:$G$154,MATCH(Y473,'Refrigerant GWPs'!$A$2:$A$154,0)),"")</f>
        <v/>
      </c>
      <c r="AA473" s="155"/>
      <c r="AB473" s="156"/>
      <c r="AC473" s="66"/>
      <c r="AD473" s="66"/>
      <c r="AE473" s="66"/>
      <c r="AF473" s="66"/>
      <c r="AG473" s="66"/>
      <c r="AH473" s="66"/>
      <c r="AI473" s="34"/>
      <c r="AJ473" s="88">
        <f t="shared" si="582"/>
        <v>0</v>
      </c>
      <c r="AK473" s="88">
        <f t="shared" si="583"/>
        <v>0</v>
      </c>
      <c r="AL473" s="88">
        <v>0</v>
      </c>
      <c r="AM473" s="88">
        <v>0</v>
      </c>
      <c r="AN473" s="81" t="str">
        <f t="shared" si="621"/>
        <v/>
      </c>
      <c r="AO473" s="88">
        <f t="shared" si="584"/>
        <v>0</v>
      </c>
      <c r="AP473" s="88">
        <f t="shared" si="585"/>
        <v>0</v>
      </c>
      <c r="AQ473" s="81" t="str">
        <f t="shared" si="586"/>
        <v/>
      </c>
      <c r="AS473" s="41" t="b">
        <f t="shared" si="587"/>
        <v>1</v>
      </c>
      <c r="AT473" s="38">
        <f t="shared" si="588"/>
        <v>0</v>
      </c>
      <c r="AU473" s="60">
        <f t="shared" si="589"/>
        <v>0</v>
      </c>
      <c r="AV473" s="41">
        <f t="shared" si="590"/>
        <v>0</v>
      </c>
      <c r="AW473" s="41" t="b">
        <f t="shared" si="591"/>
        <v>0</v>
      </c>
      <c r="AX473" t="str">
        <f t="shared" si="592"/>
        <v>+00</v>
      </c>
      <c r="AY473" t="str">
        <f t="shared" si="593"/>
        <v>+00</v>
      </c>
      <c r="BA473" s="47" t="b">
        <f t="shared" si="622"/>
        <v>1</v>
      </c>
      <c r="BB473" s="42" t="b">
        <f t="shared" si="623"/>
        <v>1</v>
      </c>
      <c r="BC473" s="42" t="b">
        <f t="shared" si="624"/>
        <v>0</v>
      </c>
      <c r="BD473" s="42" t="b">
        <f t="shared" si="625"/>
        <v>0</v>
      </c>
      <c r="BE473" s="70">
        <f t="shared" si="626"/>
        <v>0</v>
      </c>
      <c r="BF473" s="70">
        <f t="shared" si="627"/>
        <v>0</v>
      </c>
      <c r="BG473" s="34"/>
      <c r="BI473" s="47" t="b">
        <f t="shared" si="628"/>
        <v>1</v>
      </c>
      <c r="BJ473" s="47" t="b">
        <f t="shared" si="629"/>
        <v>1</v>
      </c>
      <c r="BK473" s="42" t="b">
        <f t="shared" si="630"/>
        <v>0</v>
      </c>
      <c r="BL473" s="42" t="b">
        <f t="shared" si="631"/>
        <v>0</v>
      </c>
      <c r="BM473" s="42">
        <f t="shared" si="632"/>
        <v>0</v>
      </c>
      <c r="BN473" s="42">
        <f t="shared" si="633"/>
        <v>0</v>
      </c>
      <c r="BP473" t="e">
        <f t="shared" si="634"/>
        <v>#N/A</v>
      </c>
      <c r="BQ473" t="e">
        <f t="shared" si="635"/>
        <v>#N/A</v>
      </c>
      <c r="BR473" t="e">
        <f t="shared" si="636"/>
        <v>#N/A</v>
      </c>
      <c r="BT473" s="60">
        <f t="shared" si="637"/>
        <v>0</v>
      </c>
      <c r="BU473" s="60">
        <f t="shared" si="638"/>
        <v>0</v>
      </c>
      <c r="BV473" s="60">
        <f t="shared" si="639"/>
        <v>0</v>
      </c>
      <c r="BW473" s="60">
        <f t="shared" si="640"/>
        <v>0</v>
      </c>
      <c r="BX473" s="60">
        <f t="shared" si="641"/>
        <v>0</v>
      </c>
      <c r="BY473" s="60">
        <f t="shared" si="642"/>
        <v>0</v>
      </c>
      <c r="BZ473" s="60">
        <f t="shared" si="643"/>
        <v>0</v>
      </c>
      <c r="CA473" s="60">
        <f t="shared" si="644"/>
        <v>0</v>
      </c>
      <c r="CB473" s="60" t="e">
        <f t="shared" si="594"/>
        <v>#N/A</v>
      </c>
      <c r="CC473" s="60">
        <f t="shared" si="595"/>
        <v>100000</v>
      </c>
      <c r="CD473" s="60" t="e">
        <f t="shared" si="596"/>
        <v>#N/A</v>
      </c>
      <c r="CE473" s="60">
        <f t="shared" si="597"/>
        <v>100000</v>
      </c>
      <c r="CF473" s="83" t="e">
        <f t="shared" si="645"/>
        <v>#N/A</v>
      </c>
      <c r="CG473" s="83">
        <f t="shared" si="646"/>
        <v>0</v>
      </c>
      <c r="CH473" s="83" t="e">
        <f t="shared" si="647"/>
        <v>#N/A</v>
      </c>
      <c r="CI473" s="83">
        <f t="shared" si="648"/>
        <v>0</v>
      </c>
      <c r="CJ473" s="86" t="e">
        <f t="shared" si="598"/>
        <v>#N/A</v>
      </c>
      <c r="CK473" s="82">
        <f t="shared" si="599"/>
        <v>5.3070370403969858E-3</v>
      </c>
      <c r="CL473" s="82" t="e">
        <f t="shared" si="600"/>
        <v>#N/A</v>
      </c>
      <c r="CM473" s="82">
        <f t="shared" si="601"/>
        <v>5.3070370403969858E-3</v>
      </c>
      <c r="CO473" s="149" t="str">
        <f>IF($I473&lt;&gt;"",IF(O473="User Specified",U473,INDEX('Refrigerant GWPs'!$G$2:$G$156,MATCH(O473,'Refrigerant GWPs'!$A$2:$A$156,0))),"")</f>
        <v/>
      </c>
      <c r="CP473" s="138" t="str">
        <f>IF($I473&lt;&gt;"",INDEX('Device Refrigerant Leakage'!$E$2:$E$42,MATCH($M473,'Device Refrigerant Leakage'!$B$2:$B$42,0)),"")</f>
        <v/>
      </c>
      <c r="CQ473" s="138" t="str">
        <f>IF($I473&lt;&gt;"",INDEX('Device Refrigerant Leakage'!$F$2:$F$42,MATCH($M473,'Device Refrigerant Leakage'!$B$2:$B$42,0)),"")</f>
        <v/>
      </c>
      <c r="CR473" s="145" t="str">
        <f>IF($I473&lt;&gt;"",INDEX('Device Refrigerant Leakage'!$G$2:$G$42,MATCH($M473,'Device Refrigerant Leakage'!$B$2:$B$42,0)),"")</f>
        <v/>
      </c>
      <c r="CS473" s="145" t="str">
        <f>IF($I473&lt;&gt;"",INDEX('Device Refrigerant Leakage'!$D$2:$D$42,MATCH($M473,'Device Refrigerant Leakage'!$B$2:$B$42,0))*CP473/2204.62*CO473,"")</f>
        <v/>
      </c>
      <c r="CT473" s="145" t="str">
        <f>IF($I473&lt;&gt;"",J473*(INDEX('Device Refrigerant Leakage'!$D$2:$D$42,MATCH($M473,'Device Refrigerant Leakage'!$B$2:$B$42,0))-(INDEX('Device Refrigerant Leakage'!$D$2:$D$42,MATCH($M473,'Device Refrigerant Leakage'!$B$2:$B$42,0)))*CR473*CP473)*CQ473/2204.62*CO473,"")</f>
        <v/>
      </c>
      <c r="CU473" s="135" t="str">
        <f>IF($I473&lt;&gt;"",J473*IF(W473&lt;&gt;"AR",(CS473*K473)+CT473,(CS473*AB473)+CT473*(AB473/INDEX('Device Refrigerant Leakage'!$C$2:$C$42,MATCH($M473,'Device Refrigerant Leakage'!$B$2:$B$42,0)))),"")</f>
        <v/>
      </c>
      <c r="CW473" s="135" t="str">
        <f>IF($I473&lt;&gt;"",IF(S473="User Specified",V473,INDEX('Refrigerant GWPs'!$G$2:$G$156,MATCH(S473,'Refrigerant GWPs'!$A$2:$A$157,0))),"")</f>
        <v/>
      </c>
      <c r="CX473" s="138" t="str">
        <f>IF($I473&lt;&gt;"",INDEX('Device Refrigerant Leakage'!$E$2:$E$42,MATCH($Q473,'Device Refrigerant Leakage'!$B$2:$B$42,0)),"")</f>
        <v/>
      </c>
      <c r="CY473" s="138" t="str">
        <f>IF($I473&lt;&gt;"",INDEX('Device Refrigerant Leakage'!$F$2:$F$42,MATCH($Q473,'Device Refrigerant Leakage'!$B$2:$B$42,0)),"")</f>
        <v/>
      </c>
      <c r="CZ473" s="145" t="str">
        <f>IF($I473&lt;&gt;"",INDEX('Device Refrigerant Leakage'!$G$2:$G$42,MATCH($Q473,'Device Refrigerant Leakage'!$B$2:$B$42,0)),"")</f>
        <v/>
      </c>
      <c r="DA473" s="145" t="str">
        <f>IF($I473&lt;&gt;"",J473*INDEX('Device Refrigerant Leakage'!$D$2:$D$42,MATCH($Q473,'Device Refrigerant Leakage'!$B$2:$B$42,0))*CX473/2204.62*CW473,"")</f>
        <v/>
      </c>
      <c r="DB473" s="145" t="str">
        <f>IF($I473&lt;&gt;"",J473*(INDEX('Device Refrigerant Leakage'!$D$2:$D$42,MATCH($Q473,'Device Refrigerant Leakage'!$B$2:$B$42,0))-(INDEX('Device Refrigerant Leakage'!$D$2:$D$42,MATCH($Q473,'Device Refrigerant Leakage'!$B$2:$B$42,0)))*CZ473*CX473)*CY473/2204.62*CW473,"")</f>
        <v/>
      </c>
      <c r="DC473" s="135" t="str">
        <f t="shared" si="620"/>
        <v/>
      </c>
      <c r="DE473" s="146" t="str">
        <f>IF(W473&lt;&gt;"AR","",IF(Y473="User Specified", AA473, INDEX('Refrigerant GWPs'!$G$2:$G$154,MATCH(Y473,'Refrigerant GWPs'!$A$2:$A$154,0))))</f>
        <v/>
      </c>
      <c r="DF473" s="146" t="str">
        <f>IF(W473&lt;&gt;"AR","",INDEX('Device Refrigerant Leakage'!$E$2:$E$42,MATCH(X473,'Device Refrigerant Leakage'!$B$2:$B$42,0)))</f>
        <v/>
      </c>
      <c r="DG473" s="146" t="str">
        <f>IF(W473&lt;&gt;"AR","",INDEX('Device Refrigerant Leakage'!$F$2:$F$42,MATCH(X473,'Device Refrigerant Leakage'!$B$2:$B$42,0)))</f>
        <v/>
      </c>
      <c r="DH473" s="146" t="str">
        <f>IF(W473&lt;&gt;"AR","",INDEX('Device Refrigerant Leakage'!$G$2:$G$42,MATCH(X473,'Device Refrigerant Leakage'!$B$2:$B$42,0)))</f>
        <v/>
      </c>
      <c r="DI473" s="146" t="str">
        <f>IF(W473&lt;&gt;"AR","",J473*INDEX('Device Refrigerant Leakage'!$D$2:$D$42,MATCH(X473,'Device Refrigerant Leakage'!$B$2:$B$42,0))*DF473/2204.62*DE473)</f>
        <v/>
      </c>
      <c r="DJ473" s="146" t="str">
        <f>IF(W473&lt;&gt;"AR","",J473*(INDEX('Device Refrigerant Leakage'!$D$2:$D$42,MATCH(X473,'Device Refrigerant Leakage'!$B$2:$B$42,0))-(INDEX('Device Refrigerant Leakage'!$D$2:$D$42,MATCH(X473,'Device Refrigerant Leakage'!$B$2:$B$42,0)))*DH473*DF473)*DG473/2204.62*DE473)</f>
        <v/>
      </c>
      <c r="DK473" s="146" t="str">
        <f>IF(W473&lt;&gt;"AR","",DI473*(K473-AB473)+'Fuel Sub Calcs-Deemed'!DJ473*((K473-AB473)/INDEX('Device Refrigerant Leakage'!$C$2:$C$42,MATCH('Fuel Sub Calcs-Deemed'!X473,'Device Refrigerant Leakage'!$B$2:$B$42,0))))</f>
        <v/>
      </c>
      <c r="DM473" s="56">
        <v>459</v>
      </c>
      <c r="DN473" s="67" t="e">
        <f t="shared" si="602"/>
        <v>#N/A</v>
      </c>
      <c r="DO473" s="45" t="e">
        <f t="shared" si="603"/>
        <v>#N/A</v>
      </c>
      <c r="DP473" s="67" t="e">
        <f t="shared" si="604"/>
        <v>#N/A</v>
      </c>
      <c r="DQ473" s="45" t="e">
        <f t="shared" si="605"/>
        <v>#N/A</v>
      </c>
      <c r="DR473" s="69" t="e">
        <f t="shared" si="606"/>
        <v>#N/A</v>
      </c>
      <c r="DS473" s="34"/>
      <c r="DT473" s="67" t="e">
        <f>((BX473*CJ473)+IF($W473=MAT_AR,(BZ473*CL473),0))*(1+Reference!$E$50+Reference!$E$51)</f>
        <v>#N/A</v>
      </c>
      <c r="DU473" s="67">
        <f>((BY473*CK473)+IF($W473=MAT_AR,(CA473*CM473),0))*(1+Reference!$G$50+Reference!$G$51)</f>
        <v>0</v>
      </c>
      <c r="DV473" s="67" t="e">
        <f t="shared" si="607"/>
        <v>#VALUE!</v>
      </c>
      <c r="DX473" s="56">
        <v>459</v>
      </c>
      <c r="DY473" s="67">
        <f t="shared" si="608"/>
        <v>0</v>
      </c>
      <c r="DZ473" s="45" t="e">
        <f>VLOOKUP($R473,Dropdown!$C$3:$D$4,2,FALSE)</f>
        <v>#N/A</v>
      </c>
      <c r="EA473" s="68">
        <f t="shared" si="609"/>
        <v>0</v>
      </c>
      <c r="EB473" s="68" t="str">
        <f t="shared" si="610"/>
        <v>N/A</v>
      </c>
      <c r="EC473" s="68">
        <f t="shared" si="611"/>
        <v>0</v>
      </c>
      <c r="ED473" s="68" t="str">
        <f t="shared" si="649"/>
        <v>N/A</v>
      </c>
      <c r="EF473" s="56">
        <v>459</v>
      </c>
      <c r="EG473" s="46">
        <f t="shared" si="612"/>
        <v>0</v>
      </c>
      <c r="EH473" s="68" t="e">
        <f t="shared" si="613"/>
        <v>#N/A</v>
      </c>
      <c r="EI473" s="68" t="e">
        <f t="shared" si="614"/>
        <v>#N/A</v>
      </c>
      <c r="EJ473" s="68" t="e">
        <f t="shared" si="615"/>
        <v>#N/A</v>
      </c>
      <c r="EK473" s="68" t="e">
        <f t="shared" si="616"/>
        <v>#N/A</v>
      </c>
      <c r="EL473" s="46">
        <f t="shared" si="617"/>
        <v>0</v>
      </c>
      <c r="EM473" s="46">
        <f t="shared" si="618"/>
        <v>0</v>
      </c>
    </row>
    <row r="474" spans="1:143">
      <c r="A474" s="89"/>
      <c r="B474" s="89"/>
      <c r="C474" s="89"/>
      <c r="D474" s="89"/>
      <c r="E474" s="89"/>
      <c r="F474" s="89"/>
      <c r="G474" s="34"/>
      <c r="H474" s="56">
        <f t="shared" si="619"/>
        <v>460</v>
      </c>
      <c r="I474" s="165"/>
      <c r="J474" s="163"/>
      <c r="K474" s="163"/>
      <c r="L474" s="164"/>
      <c r="M474" s="155"/>
      <c r="N474" s="155"/>
      <c r="O474" s="144"/>
      <c r="P474" s="159" t="str">
        <f>IFERROR(IF(O474&lt;&gt;"User Specified",IF(O474&lt;&gt;"", INDEX('Refrigerant GWPs'!$G$2:$G$154,MATCH(O474,'Refrigerant GWPs'!$A$2:$A$154,0)),""),U474),0)</f>
        <v/>
      </c>
      <c r="Q474" s="155"/>
      <c r="R474" s="155"/>
      <c r="S474" s="144"/>
      <c r="T474" s="159" t="str">
        <f>IF(S474&lt;&gt;"User Specified",IF(AND(S474&lt;&gt;"User Specified",S474&lt;&gt;""), INDEX('Refrigerant GWPs'!$G$2:$G$154,MATCH(S474,'Refrigerant GWPs'!$A$2:$A$154,0)),""),V474)</f>
        <v/>
      </c>
      <c r="U474" s="144"/>
      <c r="V474" s="144"/>
      <c r="W474" s="155"/>
      <c r="X474" s="155"/>
      <c r="Y474" s="144"/>
      <c r="Z474" s="159" t="str">
        <f>IF(AND(Y474&lt;&gt;"User Specified",Y474&lt;&gt;""), INDEX('Refrigerant GWPs'!$G$2:$G$154,MATCH(Y474,'Refrigerant GWPs'!$A$2:$A$154,0)),"")</f>
        <v/>
      </c>
      <c r="AA474" s="155"/>
      <c r="AB474" s="156"/>
      <c r="AC474" s="66"/>
      <c r="AD474" s="66"/>
      <c r="AE474" s="66"/>
      <c r="AF474" s="66"/>
      <c r="AG474" s="66"/>
      <c r="AH474" s="66"/>
      <c r="AI474" s="34"/>
      <c r="AJ474" s="88">
        <f t="shared" si="582"/>
        <v>0</v>
      </c>
      <c r="AK474" s="88">
        <f t="shared" si="583"/>
        <v>0</v>
      </c>
      <c r="AL474" s="88">
        <v>0</v>
      </c>
      <c r="AM474" s="88">
        <v>0</v>
      </c>
      <c r="AN474" s="81" t="str">
        <f t="shared" si="621"/>
        <v/>
      </c>
      <c r="AO474" s="88">
        <f t="shared" si="584"/>
        <v>0</v>
      </c>
      <c r="AP474" s="88">
        <f t="shared" si="585"/>
        <v>0</v>
      </c>
      <c r="AQ474" s="81" t="str">
        <f t="shared" si="586"/>
        <v/>
      </c>
      <c r="AS474" s="41" t="b">
        <f t="shared" si="587"/>
        <v>1</v>
      </c>
      <c r="AT474" s="38">
        <f t="shared" si="588"/>
        <v>0</v>
      </c>
      <c r="AU474" s="60">
        <f t="shared" si="589"/>
        <v>0</v>
      </c>
      <c r="AV474" s="41">
        <f t="shared" si="590"/>
        <v>0</v>
      </c>
      <c r="AW474" s="41" t="b">
        <f t="shared" si="591"/>
        <v>0</v>
      </c>
      <c r="AX474" t="str">
        <f t="shared" si="592"/>
        <v>+00</v>
      </c>
      <c r="AY474" t="str">
        <f t="shared" si="593"/>
        <v>+00</v>
      </c>
      <c r="BA474" s="47" t="b">
        <f t="shared" si="622"/>
        <v>1</v>
      </c>
      <c r="BB474" s="42" t="b">
        <f t="shared" si="623"/>
        <v>1</v>
      </c>
      <c r="BC474" s="42" t="b">
        <f t="shared" si="624"/>
        <v>0</v>
      </c>
      <c r="BD474" s="42" t="b">
        <f t="shared" si="625"/>
        <v>0</v>
      </c>
      <c r="BE474" s="70">
        <f t="shared" si="626"/>
        <v>0</v>
      </c>
      <c r="BF474" s="70">
        <f t="shared" si="627"/>
        <v>0</v>
      </c>
      <c r="BG474" s="34"/>
      <c r="BI474" s="47" t="b">
        <f t="shared" si="628"/>
        <v>1</v>
      </c>
      <c r="BJ474" s="47" t="b">
        <f t="shared" si="629"/>
        <v>1</v>
      </c>
      <c r="BK474" s="42" t="b">
        <f t="shared" si="630"/>
        <v>0</v>
      </c>
      <c r="BL474" s="42" t="b">
        <f t="shared" si="631"/>
        <v>0</v>
      </c>
      <c r="BM474" s="42">
        <f t="shared" si="632"/>
        <v>0</v>
      </c>
      <c r="BN474" s="42">
        <f t="shared" si="633"/>
        <v>0</v>
      </c>
      <c r="BP474" t="e">
        <f t="shared" si="634"/>
        <v>#N/A</v>
      </c>
      <c r="BQ474" t="e">
        <f t="shared" si="635"/>
        <v>#N/A</v>
      </c>
      <c r="BR474" t="e">
        <f t="shared" si="636"/>
        <v>#N/A</v>
      </c>
      <c r="BT474" s="60">
        <f t="shared" si="637"/>
        <v>0</v>
      </c>
      <c r="BU474" s="60">
        <f t="shared" si="638"/>
        <v>0</v>
      </c>
      <c r="BV474" s="60">
        <f t="shared" si="639"/>
        <v>0</v>
      </c>
      <c r="BW474" s="60">
        <f t="shared" si="640"/>
        <v>0</v>
      </c>
      <c r="BX474" s="60">
        <f t="shared" si="641"/>
        <v>0</v>
      </c>
      <c r="BY474" s="60">
        <f t="shared" si="642"/>
        <v>0</v>
      </c>
      <c r="BZ474" s="60">
        <f t="shared" si="643"/>
        <v>0</v>
      </c>
      <c r="CA474" s="60">
        <f t="shared" si="644"/>
        <v>0</v>
      </c>
      <c r="CB474" s="60" t="e">
        <f t="shared" si="594"/>
        <v>#N/A</v>
      </c>
      <c r="CC474" s="60">
        <f t="shared" si="595"/>
        <v>100000</v>
      </c>
      <c r="CD474" s="60" t="e">
        <f t="shared" si="596"/>
        <v>#N/A</v>
      </c>
      <c r="CE474" s="60">
        <f t="shared" si="597"/>
        <v>100000</v>
      </c>
      <c r="CF474" s="83" t="e">
        <f t="shared" si="645"/>
        <v>#N/A</v>
      </c>
      <c r="CG474" s="83">
        <f t="shared" si="646"/>
        <v>0</v>
      </c>
      <c r="CH474" s="83" t="e">
        <f t="shared" si="647"/>
        <v>#N/A</v>
      </c>
      <c r="CI474" s="83">
        <f t="shared" si="648"/>
        <v>0</v>
      </c>
      <c r="CJ474" s="86" t="e">
        <f t="shared" si="598"/>
        <v>#N/A</v>
      </c>
      <c r="CK474" s="82">
        <f t="shared" si="599"/>
        <v>5.3070370403969858E-3</v>
      </c>
      <c r="CL474" s="82" t="e">
        <f t="shared" si="600"/>
        <v>#N/A</v>
      </c>
      <c r="CM474" s="82">
        <f t="shared" si="601"/>
        <v>5.3070370403969858E-3</v>
      </c>
      <c r="CO474" s="149" t="str">
        <f>IF($I474&lt;&gt;"",IF(O474="User Specified",U474,INDEX('Refrigerant GWPs'!$G$2:$G$156,MATCH(O474,'Refrigerant GWPs'!$A$2:$A$156,0))),"")</f>
        <v/>
      </c>
      <c r="CP474" s="138" t="str">
        <f>IF($I474&lt;&gt;"",INDEX('Device Refrigerant Leakage'!$E$2:$E$42,MATCH($M474,'Device Refrigerant Leakage'!$B$2:$B$42,0)),"")</f>
        <v/>
      </c>
      <c r="CQ474" s="138" t="str">
        <f>IF($I474&lt;&gt;"",INDEX('Device Refrigerant Leakage'!$F$2:$F$42,MATCH($M474,'Device Refrigerant Leakage'!$B$2:$B$42,0)),"")</f>
        <v/>
      </c>
      <c r="CR474" s="145" t="str">
        <f>IF($I474&lt;&gt;"",INDEX('Device Refrigerant Leakage'!$G$2:$G$42,MATCH($M474,'Device Refrigerant Leakage'!$B$2:$B$42,0)),"")</f>
        <v/>
      </c>
      <c r="CS474" s="145" t="str">
        <f>IF($I474&lt;&gt;"",INDEX('Device Refrigerant Leakage'!$D$2:$D$42,MATCH($M474,'Device Refrigerant Leakage'!$B$2:$B$42,0))*CP474/2204.62*CO474,"")</f>
        <v/>
      </c>
      <c r="CT474" s="145" t="str">
        <f>IF($I474&lt;&gt;"",J474*(INDEX('Device Refrigerant Leakage'!$D$2:$D$42,MATCH($M474,'Device Refrigerant Leakage'!$B$2:$B$42,0))-(INDEX('Device Refrigerant Leakage'!$D$2:$D$42,MATCH($M474,'Device Refrigerant Leakage'!$B$2:$B$42,0)))*CR474*CP474)*CQ474/2204.62*CO474,"")</f>
        <v/>
      </c>
      <c r="CU474" s="135" t="str">
        <f>IF($I474&lt;&gt;"",J474*IF(W474&lt;&gt;"AR",(CS474*K474)+CT474,(CS474*AB474)+CT474*(AB474/INDEX('Device Refrigerant Leakage'!$C$2:$C$42,MATCH($M474,'Device Refrigerant Leakage'!$B$2:$B$42,0)))),"")</f>
        <v/>
      </c>
      <c r="CW474" s="135" t="str">
        <f>IF($I474&lt;&gt;"",IF(S474="User Specified",V474,INDEX('Refrigerant GWPs'!$G$2:$G$156,MATCH(S474,'Refrigerant GWPs'!$A$2:$A$157,0))),"")</f>
        <v/>
      </c>
      <c r="CX474" s="138" t="str">
        <f>IF($I474&lt;&gt;"",INDEX('Device Refrigerant Leakage'!$E$2:$E$42,MATCH($Q474,'Device Refrigerant Leakage'!$B$2:$B$42,0)),"")</f>
        <v/>
      </c>
      <c r="CY474" s="138" t="str">
        <f>IF($I474&lt;&gt;"",INDEX('Device Refrigerant Leakage'!$F$2:$F$42,MATCH($Q474,'Device Refrigerant Leakage'!$B$2:$B$42,0)),"")</f>
        <v/>
      </c>
      <c r="CZ474" s="145" t="str">
        <f>IF($I474&lt;&gt;"",INDEX('Device Refrigerant Leakage'!$G$2:$G$42,MATCH($Q474,'Device Refrigerant Leakage'!$B$2:$B$42,0)),"")</f>
        <v/>
      </c>
      <c r="DA474" s="145" t="str">
        <f>IF($I474&lt;&gt;"",J474*INDEX('Device Refrigerant Leakage'!$D$2:$D$42,MATCH($Q474,'Device Refrigerant Leakage'!$B$2:$B$42,0))*CX474/2204.62*CW474,"")</f>
        <v/>
      </c>
      <c r="DB474" s="145" t="str">
        <f>IF($I474&lt;&gt;"",J474*(INDEX('Device Refrigerant Leakage'!$D$2:$D$42,MATCH($Q474,'Device Refrigerant Leakage'!$B$2:$B$42,0))-(INDEX('Device Refrigerant Leakage'!$D$2:$D$42,MATCH($Q474,'Device Refrigerant Leakage'!$B$2:$B$42,0)))*CZ474*CX474)*CY474/2204.62*CW474,"")</f>
        <v/>
      </c>
      <c r="DC474" s="135" t="str">
        <f t="shared" si="620"/>
        <v/>
      </c>
      <c r="DE474" s="146" t="str">
        <f>IF(W474&lt;&gt;"AR","",IF(Y474="User Specified", AA474, INDEX('Refrigerant GWPs'!$G$2:$G$154,MATCH(Y474,'Refrigerant GWPs'!$A$2:$A$154,0))))</f>
        <v/>
      </c>
      <c r="DF474" s="146" t="str">
        <f>IF(W474&lt;&gt;"AR","",INDEX('Device Refrigerant Leakage'!$E$2:$E$42,MATCH(X474,'Device Refrigerant Leakage'!$B$2:$B$42,0)))</f>
        <v/>
      </c>
      <c r="DG474" s="146" t="str">
        <f>IF(W474&lt;&gt;"AR","",INDEX('Device Refrigerant Leakage'!$F$2:$F$42,MATCH(X474,'Device Refrigerant Leakage'!$B$2:$B$42,0)))</f>
        <v/>
      </c>
      <c r="DH474" s="146" t="str">
        <f>IF(W474&lt;&gt;"AR","",INDEX('Device Refrigerant Leakage'!$G$2:$G$42,MATCH(X474,'Device Refrigerant Leakage'!$B$2:$B$42,0)))</f>
        <v/>
      </c>
      <c r="DI474" s="146" t="str">
        <f>IF(W474&lt;&gt;"AR","",J474*INDEX('Device Refrigerant Leakage'!$D$2:$D$42,MATCH(X474,'Device Refrigerant Leakage'!$B$2:$B$42,0))*DF474/2204.62*DE474)</f>
        <v/>
      </c>
      <c r="DJ474" s="146" t="str">
        <f>IF(W474&lt;&gt;"AR","",J474*(INDEX('Device Refrigerant Leakage'!$D$2:$D$42,MATCH(X474,'Device Refrigerant Leakage'!$B$2:$B$42,0))-(INDEX('Device Refrigerant Leakage'!$D$2:$D$42,MATCH(X474,'Device Refrigerant Leakage'!$B$2:$B$42,0)))*DH474*DF474)*DG474/2204.62*DE474)</f>
        <v/>
      </c>
      <c r="DK474" s="146" t="str">
        <f>IF(W474&lt;&gt;"AR","",DI474*(K474-AB474)+'Fuel Sub Calcs-Deemed'!DJ474*((K474-AB474)/INDEX('Device Refrigerant Leakage'!$C$2:$C$42,MATCH('Fuel Sub Calcs-Deemed'!X474,'Device Refrigerant Leakage'!$B$2:$B$42,0))))</f>
        <v/>
      </c>
      <c r="DM474" s="56">
        <v>460</v>
      </c>
      <c r="DN474" s="67" t="e">
        <f t="shared" si="602"/>
        <v>#N/A</v>
      </c>
      <c r="DO474" s="45" t="e">
        <f t="shared" si="603"/>
        <v>#N/A</v>
      </c>
      <c r="DP474" s="67" t="e">
        <f t="shared" si="604"/>
        <v>#N/A</v>
      </c>
      <c r="DQ474" s="45" t="e">
        <f t="shared" si="605"/>
        <v>#N/A</v>
      </c>
      <c r="DR474" s="69" t="e">
        <f t="shared" si="606"/>
        <v>#N/A</v>
      </c>
      <c r="DS474" s="34"/>
      <c r="DT474" s="67" t="e">
        <f>((BX474*CJ474)+IF($W474=MAT_AR,(BZ474*CL474),0))*(1+Reference!$E$50+Reference!$E$51)</f>
        <v>#N/A</v>
      </c>
      <c r="DU474" s="67">
        <f>((BY474*CK474)+IF($W474=MAT_AR,(CA474*CM474),0))*(1+Reference!$G$50+Reference!$G$51)</f>
        <v>0</v>
      </c>
      <c r="DV474" s="67" t="e">
        <f t="shared" si="607"/>
        <v>#VALUE!</v>
      </c>
      <c r="DX474" s="56">
        <v>460</v>
      </c>
      <c r="DY474" s="67">
        <f t="shared" si="608"/>
        <v>0</v>
      </c>
      <c r="DZ474" s="45" t="e">
        <f>VLOOKUP($R474,Dropdown!$C$3:$D$4,2,FALSE)</f>
        <v>#N/A</v>
      </c>
      <c r="EA474" s="68">
        <f t="shared" si="609"/>
        <v>0</v>
      </c>
      <c r="EB474" s="68" t="str">
        <f t="shared" si="610"/>
        <v>N/A</v>
      </c>
      <c r="EC474" s="68">
        <f t="shared" si="611"/>
        <v>0</v>
      </c>
      <c r="ED474" s="68" t="str">
        <f t="shared" si="649"/>
        <v>N/A</v>
      </c>
      <c r="EF474" s="56">
        <v>460</v>
      </c>
      <c r="EG474" s="46">
        <f t="shared" si="612"/>
        <v>0</v>
      </c>
      <c r="EH474" s="68" t="e">
        <f t="shared" si="613"/>
        <v>#N/A</v>
      </c>
      <c r="EI474" s="68" t="e">
        <f t="shared" si="614"/>
        <v>#N/A</v>
      </c>
      <c r="EJ474" s="68" t="e">
        <f t="shared" si="615"/>
        <v>#N/A</v>
      </c>
      <c r="EK474" s="68" t="e">
        <f t="shared" si="616"/>
        <v>#N/A</v>
      </c>
      <c r="EL474" s="46">
        <f t="shared" si="617"/>
        <v>0</v>
      </c>
      <c r="EM474" s="46">
        <f t="shared" si="618"/>
        <v>0</v>
      </c>
    </row>
    <row r="475" spans="1:143">
      <c r="A475" s="89"/>
      <c r="B475" s="89"/>
      <c r="C475" s="89"/>
      <c r="D475" s="89"/>
      <c r="E475" s="89"/>
      <c r="F475" s="89"/>
      <c r="G475" s="34"/>
      <c r="H475" s="56">
        <f t="shared" si="619"/>
        <v>461</v>
      </c>
      <c r="I475" s="165"/>
      <c r="J475" s="163"/>
      <c r="K475" s="163"/>
      <c r="L475" s="164"/>
      <c r="M475" s="155"/>
      <c r="N475" s="155"/>
      <c r="O475" s="144"/>
      <c r="P475" s="159" t="str">
        <f>IFERROR(IF(O475&lt;&gt;"User Specified",IF(O475&lt;&gt;"", INDEX('Refrigerant GWPs'!$G$2:$G$154,MATCH(O475,'Refrigerant GWPs'!$A$2:$A$154,0)),""),U475),0)</f>
        <v/>
      </c>
      <c r="Q475" s="155"/>
      <c r="R475" s="155"/>
      <c r="S475" s="144"/>
      <c r="T475" s="159" t="str">
        <f>IF(S475&lt;&gt;"User Specified",IF(AND(S475&lt;&gt;"User Specified",S475&lt;&gt;""), INDEX('Refrigerant GWPs'!$G$2:$G$154,MATCH(S475,'Refrigerant GWPs'!$A$2:$A$154,0)),""),V475)</f>
        <v/>
      </c>
      <c r="U475" s="144"/>
      <c r="V475" s="144"/>
      <c r="W475" s="155"/>
      <c r="X475" s="155"/>
      <c r="Y475" s="144"/>
      <c r="Z475" s="159" t="str">
        <f>IF(AND(Y475&lt;&gt;"User Specified",Y475&lt;&gt;""), INDEX('Refrigerant GWPs'!$G$2:$G$154,MATCH(Y475,'Refrigerant GWPs'!$A$2:$A$154,0)),"")</f>
        <v/>
      </c>
      <c r="AA475" s="155"/>
      <c r="AB475" s="156"/>
      <c r="AC475" s="66"/>
      <c r="AD475" s="66"/>
      <c r="AE475" s="66"/>
      <c r="AF475" s="66"/>
      <c r="AG475" s="66"/>
      <c r="AH475" s="66"/>
      <c r="AI475" s="34"/>
      <c r="AJ475" s="88">
        <f t="shared" si="582"/>
        <v>0</v>
      </c>
      <c r="AK475" s="88">
        <f t="shared" si="583"/>
        <v>0</v>
      </c>
      <c r="AL475" s="88">
        <v>0</v>
      </c>
      <c r="AM475" s="88">
        <v>0</v>
      </c>
      <c r="AN475" s="81" t="str">
        <f t="shared" si="621"/>
        <v/>
      </c>
      <c r="AO475" s="88">
        <f t="shared" si="584"/>
        <v>0</v>
      </c>
      <c r="AP475" s="88">
        <f t="shared" si="585"/>
        <v>0</v>
      </c>
      <c r="AQ475" s="81" t="str">
        <f t="shared" si="586"/>
        <v/>
      </c>
      <c r="AS475" s="41" t="b">
        <f t="shared" si="587"/>
        <v>1</v>
      </c>
      <c r="AT475" s="38">
        <f t="shared" si="588"/>
        <v>0</v>
      </c>
      <c r="AU475" s="60">
        <f t="shared" si="589"/>
        <v>0</v>
      </c>
      <c r="AV475" s="41">
        <f t="shared" si="590"/>
        <v>0</v>
      </c>
      <c r="AW475" s="41" t="b">
        <f t="shared" si="591"/>
        <v>0</v>
      </c>
      <c r="AX475" t="str">
        <f t="shared" si="592"/>
        <v>+00</v>
      </c>
      <c r="AY475" t="str">
        <f t="shared" si="593"/>
        <v>+00</v>
      </c>
      <c r="BA475" s="47" t="b">
        <f t="shared" si="622"/>
        <v>1</v>
      </c>
      <c r="BB475" s="42" t="b">
        <f t="shared" si="623"/>
        <v>1</v>
      </c>
      <c r="BC475" s="42" t="b">
        <f t="shared" si="624"/>
        <v>0</v>
      </c>
      <c r="BD475" s="42" t="b">
        <f t="shared" si="625"/>
        <v>0</v>
      </c>
      <c r="BE475" s="70">
        <f t="shared" si="626"/>
        <v>0</v>
      </c>
      <c r="BF475" s="70">
        <f t="shared" si="627"/>
        <v>0</v>
      </c>
      <c r="BG475" s="34"/>
      <c r="BI475" s="47" t="b">
        <f t="shared" si="628"/>
        <v>1</v>
      </c>
      <c r="BJ475" s="47" t="b">
        <f t="shared" si="629"/>
        <v>1</v>
      </c>
      <c r="BK475" s="42" t="b">
        <f t="shared" si="630"/>
        <v>0</v>
      </c>
      <c r="BL475" s="42" t="b">
        <f t="shared" si="631"/>
        <v>0</v>
      </c>
      <c r="BM475" s="42">
        <f t="shared" si="632"/>
        <v>0</v>
      </c>
      <c r="BN475" s="42">
        <f t="shared" si="633"/>
        <v>0</v>
      </c>
      <c r="BP475" t="e">
        <f t="shared" si="634"/>
        <v>#N/A</v>
      </c>
      <c r="BQ475" t="e">
        <f t="shared" si="635"/>
        <v>#N/A</v>
      </c>
      <c r="BR475" t="e">
        <f t="shared" si="636"/>
        <v>#N/A</v>
      </c>
      <c r="BT475" s="60">
        <f t="shared" si="637"/>
        <v>0</v>
      </c>
      <c r="BU475" s="60">
        <f t="shared" si="638"/>
        <v>0</v>
      </c>
      <c r="BV475" s="60">
        <f t="shared" si="639"/>
        <v>0</v>
      </c>
      <c r="BW475" s="60">
        <f t="shared" si="640"/>
        <v>0</v>
      </c>
      <c r="BX475" s="60">
        <f t="shared" si="641"/>
        <v>0</v>
      </c>
      <c r="BY475" s="60">
        <f t="shared" si="642"/>
        <v>0</v>
      </c>
      <c r="BZ475" s="60">
        <f t="shared" si="643"/>
        <v>0</v>
      </c>
      <c r="CA475" s="60">
        <f t="shared" si="644"/>
        <v>0</v>
      </c>
      <c r="CB475" s="60" t="e">
        <f t="shared" si="594"/>
        <v>#N/A</v>
      </c>
      <c r="CC475" s="60">
        <f t="shared" si="595"/>
        <v>100000</v>
      </c>
      <c r="CD475" s="60" t="e">
        <f t="shared" si="596"/>
        <v>#N/A</v>
      </c>
      <c r="CE475" s="60">
        <f t="shared" si="597"/>
        <v>100000</v>
      </c>
      <c r="CF475" s="83" t="e">
        <f t="shared" si="645"/>
        <v>#N/A</v>
      </c>
      <c r="CG475" s="83">
        <f t="shared" si="646"/>
        <v>0</v>
      </c>
      <c r="CH475" s="83" t="e">
        <f t="shared" si="647"/>
        <v>#N/A</v>
      </c>
      <c r="CI475" s="83">
        <f t="shared" si="648"/>
        <v>0</v>
      </c>
      <c r="CJ475" s="86" t="e">
        <f t="shared" si="598"/>
        <v>#N/A</v>
      </c>
      <c r="CK475" s="82">
        <f t="shared" si="599"/>
        <v>5.3070370403969858E-3</v>
      </c>
      <c r="CL475" s="82" t="e">
        <f t="shared" si="600"/>
        <v>#N/A</v>
      </c>
      <c r="CM475" s="82">
        <f t="shared" si="601"/>
        <v>5.3070370403969858E-3</v>
      </c>
      <c r="CO475" s="149" t="str">
        <f>IF($I475&lt;&gt;"",IF(O475="User Specified",U475,INDEX('Refrigerant GWPs'!$G$2:$G$156,MATCH(O475,'Refrigerant GWPs'!$A$2:$A$156,0))),"")</f>
        <v/>
      </c>
      <c r="CP475" s="138" t="str">
        <f>IF($I475&lt;&gt;"",INDEX('Device Refrigerant Leakage'!$E$2:$E$42,MATCH($M475,'Device Refrigerant Leakage'!$B$2:$B$42,0)),"")</f>
        <v/>
      </c>
      <c r="CQ475" s="138" t="str">
        <f>IF($I475&lt;&gt;"",INDEX('Device Refrigerant Leakage'!$F$2:$F$42,MATCH($M475,'Device Refrigerant Leakage'!$B$2:$B$42,0)),"")</f>
        <v/>
      </c>
      <c r="CR475" s="145" t="str">
        <f>IF($I475&lt;&gt;"",INDEX('Device Refrigerant Leakage'!$G$2:$G$42,MATCH($M475,'Device Refrigerant Leakage'!$B$2:$B$42,0)),"")</f>
        <v/>
      </c>
      <c r="CS475" s="145" t="str">
        <f>IF($I475&lt;&gt;"",INDEX('Device Refrigerant Leakage'!$D$2:$D$42,MATCH($M475,'Device Refrigerant Leakage'!$B$2:$B$42,0))*CP475/2204.62*CO475,"")</f>
        <v/>
      </c>
      <c r="CT475" s="145" t="str">
        <f>IF($I475&lt;&gt;"",J475*(INDEX('Device Refrigerant Leakage'!$D$2:$D$42,MATCH($M475,'Device Refrigerant Leakage'!$B$2:$B$42,0))-(INDEX('Device Refrigerant Leakage'!$D$2:$D$42,MATCH($M475,'Device Refrigerant Leakage'!$B$2:$B$42,0)))*CR475*CP475)*CQ475/2204.62*CO475,"")</f>
        <v/>
      </c>
      <c r="CU475" s="135" t="str">
        <f>IF($I475&lt;&gt;"",J475*IF(W475&lt;&gt;"AR",(CS475*K475)+CT475,(CS475*AB475)+CT475*(AB475/INDEX('Device Refrigerant Leakage'!$C$2:$C$42,MATCH($M475,'Device Refrigerant Leakage'!$B$2:$B$42,0)))),"")</f>
        <v/>
      </c>
      <c r="CW475" s="135" t="str">
        <f>IF($I475&lt;&gt;"",IF(S475="User Specified",V475,INDEX('Refrigerant GWPs'!$G$2:$G$156,MATCH(S475,'Refrigerant GWPs'!$A$2:$A$157,0))),"")</f>
        <v/>
      </c>
      <c r="CX475" s="138" t="str">
        <f>IF($I475&lt;&gt;"",INDEX('Device Refrigerant Leakage'!$E$2:$E$42,MATCH($Q475,'Device Refrigerant Leakage'!$B$2:$B$42,0)),"")</f>
        <v/>
      </c>
      <c r="CY475" s="138" t="str">
        <f>IF($I475&lt;&gt;"",INDEX('Device Refrigerant Leakage'!$F$2:$F$42,MATCH($Q475,'Device Refrigerant Leakage'!$B$2:$B$42,0)),"")</f>
        <v/>
      </c>
      <c r="CZ475" s="145" t="str">
        <f>IF($I475&lt;&gt;"",INDEX('Device Refrigerant Leakage'!$G$2:$G$42,MATCH($Q475,'Device Refrigerant Leakage'!$B$2:$B$42,0)),"")</f>
        <v/>
      </c>
      <c r="DA475" s="145" t="str">
        <f>IF($I475&lt;&gt;"",J475*INDEX('Device Refrigerant Leakage'!$D$2:$D$42,MATCH($Q475,'Device Refrigerant Leakage'!$B$2:$B$42,0))*CX475/2204.62*CW475,"")</f>
        <v/>
      </c>
      <c r="DB475" s="145" t="str">
        <f>IF($I475&lt;&gt;"",J475*(INDEX('Device Refrigerant Leakage'!$D$2:$D$42,MATCH($Q475,'Device Refrigerant Leakage'!$B$2:$B$42,0))-(INDEX('Device Refrigerant Leakage'!$D$2:$D$42,MATCH($Q475,'Device Refrigerant Leakage'!$B$2:$B$42,0)))*CZ475*CX475)*CY475/2204.62*CW475,"")</f>
        <v/>
      </c>
      <c r="DC475" s="135" t="str">
        <f t="shared" si="620"/>
        <v/>
      </c>
      <c r="DE475" s="146" t="str">
        <f>IF(W475&lt;&gt;"AR","",IF(Y475="User Specified", AA475, INDEX('Refrigerant GWPs'!$G$2:$G$154,MATCH(Y475,'Refrigerant GWPs'!$A$2:$A$154,0))))</f>
        <v/>
      </c>
      <c r="DF475" s="146" t="str">
        <f>IF(W475&lt;&gt;"AR","",INDEX('Device Refrigerant Leakage'!$E$2:$E$42,MATCH(X475,'Device Refrigerant Leakage'!$B$2:$B$42,0)))</f>
        <v/>
      </c>
      <c r="DG475" s="146" t="str">
        <f>IF(W475&lt;&gt;"AR","",INDEX('Device Refrigerant Leakage'!$F$2:$F$42,MATCH(X475,'Device Refrigerant Leakage'!$B$2:$B$42,0)))</f>
        <v/>
      </c>
      <c r="DH475" s="146" t="str">
        <f>IF(W475&lt;&gt;"AR","",INDEX('Device Refrigerant Leakage'!$G$2:$G$42,MATCH(X475,'Device Refrigerant Leakage'!$B$2:$B$42,0)))</f>
        <v/>
      </c>
      <c r="DI475" s="146" t="str">
        <f>IF(W475&lt;&gt;"AR","",J475*INDEX('Device Refrigerant Leakage'!$D$2:$D$42,MATCH(X475,'Device Refrigerant Leakage'!$B$2:$B$42,0))*DF475/2204.62*DE475)</f>
        <v/>
      </c>
      <c r="DJ475" s="146" t="str">
        <f>IF(W475&lt;&gt;"AR","",J475*(INDEX('Device Refrigerant Leakage'!$D$2:$D$42,MATCH(X475,'Device Refrigerant Leakage'!$B$2:$B$42,0))-(INDEX('Device Refrigerant Leakage'!$D$2:$D$42,MATCH(X475,'Device Refrigerant Leakage'!$B$2:$B$42,0)))*DH475*DF475)*DG475/2204.62*DE475)</f>
        <v/>
      </c>
      <c r="DK475" s="146" t="str">
        <f>IF(W475&lt;&gt;"AR","",DI475*(K475-AB475)+'Fuel Sub Calcs-Deemed'!DJ475*((K475-AB475)/INDEX('Device Refrigerant Leakage'!$C$2:$C$42,MATCH('Fuel Sub Calcs-Deemed'!X475,'Device Refrigerant Leakage'!$B$2:$B$42,0))))</f>
        <v/>
      </c>
      <c r="DM475" s="56">
        <v>461</v>
      </c>
      <c r="DN475" s="67" t="e">
        <f t="shared" si="602"/>
        <v>#N/A</v>
      </c>
      <c r="DO475" s="45" t="e">
        <f t="shared" si="603"/>
        <v>#N/A</v>
      </c>
      <c r="DP475" s="67" t="e">
        <f t="shared" si="604"/>
        <v>#N/A</v>
      </c>
      <c r="DQ475" s="45" t="e">
        <f t="shared" si="605"/>
        <v>#N/A</v>
      </c>
      <c r="DR475" s="69" t="e">
        <f t="shared" si="606"/>
        <v>#N/A</v>
      </c>
      <c r="DS475" s="34"/>
      <c r="DT475" s="67" t="e">
        <f>((BX475*CJ475)+IF($W475=MAT_AR,(BZ475*CL475),0))*(1+Reference!$E$50+Reference!$E$51)</f>
        <v>#N/A</v>
      </c>
      <c r="DU475" s="67">
        <f>((BY475*CK475)+IF($W475=MAT_AR,(CA475*CM475),0))*(1+Reference!$G$50+Reference!$G$51)</f>
        <v>0</v>
      </c>
      <c r="DV475" s="67" t="e">
        <f t="shared" si="607"/>
        <v>#VALUE!</v>
      </c>
      <c r="DX475" s="56">
        <v>461</v>
      </c>
      <c r="DY475" s="67">
        <f t="shared" si="608"/>
        <v>0</v>
      </c>
      <c r="DZ475" s="45" t="e">
        <f>VLOOKUP($R475,Dropdown!$C$3:$D$4,2,FALSE)</f>
        <v>#N/A</v>
      </c>
      <c r="EA475" s="68">
        <f t="shared" si="609"/>
        <v>0</v>
      </c>
      <c r="EB475" s="68" t="str">
        <f t="shared" si="610"/>
        <v>N/A</v>
      </c>
      <c r="EC475" s="68">
        <f t="shared" si="611"/>
        <v>0</v>
      </c>
      <c r="ED475" s="68" t="str">
        <f t="shared" si="649"/>
        <v>N/A</v>
      </c>
      <c r="EF475" s="56">
        <v>461</v>
      </c>
      <c r="EG475" s="46">
        <f t="shared" si="612"/>
        <v>0</v>
      </c>
      <c r="EH475" s="68" t="e">
        <f t="shared" si="613"/>
        <v>#N/A</v>
      </c>
      <c r="EI475" s="68" t="e">
        <f t="shared" si="614"/>
        <v>#N/A</v>
      </c>
      <c r="EJ475" s="68" t="e">
        <f t="shared" si="615"/>
        <v>#N/A</v>
      </c>
      <c r="EK475" s="68" t="e">
        <f t="shared" si="616"/>
        <v>#N/A</v>
      </c>
      <c r="EL475" s="46">
        <f t="shared" si="617"/>
        <v>0</v>
      </c>
      <c r="EM475" s="46">
        <f t="shared" si="618"/>
        <v>0</v>
      </c>
    </row>
    <row r="476" spans="1:143">
      <c r="A476" s="89"/>
      <c r="B476" s="89"/>
      <c r="C476" s="89"/>
      <c r="D476" s="89"/>
      <c r="E476" s="89"/>
      <c r="F476" s="89"/>
      <c r="G476" s="34"/>
      <c r="H476" s="56">
        <f t="shared" si="619"/>
        <v>462</v>
      </c>
      <c r="I476" s="165"/>
      <c r="J476" s="163"/>
      <c r="K476" s="163"/>
      <c r="L476" s="164"/>
      <c r="M476" s="155"/>
      <c r="N476" s="155"/>
      <c r="O476" s="144"/>
      <c r="P476" s="159" t="str">
        <f>IFERROR(IF(O476&lt;&gt;"User Specified",IF(O476&lt;&gt;"", INDEX('Refrigerant GWPs'!$G$2:$G$154,MATCH(O476,'Refrigerant GWPs'!$A$2:$A$154,0)),""),U476),0)</f>
        <v/>
      </c>
      <c r="Q476" s="155"/>
      <c r="R476" s="155"/>
      <c r="S476" s="144"/>
      <c r="T476" s="159" t="str">
        <f>IF(S476&lt;&gt;"User Specified",IF(AND(S476&lt;&gt;"User Specified",S476&lt;&gt;""), INDEX('Refrigerant GWPs'!$G$2:$G$154,MATCH(S476,'Refrigerant GWPs'!$A$2:$A$154,0)),""),V476)</f>
        <v/>
      </c>
      <c r="U476" s="144"/>
      <c r="V476" s="144"/>
      <c r="W476" s="155"/>
      <c r="X476" s="155"/>
      <c r="Y476" s="144"/>
      <c r="Z476" s="159" t="str">
        <f>IF(AND(Y476&lt;&gt;"User Specified",Y476&lt;&gt;""), INDEX('Refrigerant GWPs'!$G$2:$G$154,MATCH(Y476,'Refrigerant GWPs'!$A$2:$A$154,0)),"")</f>
        <v/>
      </c>
      <c r="AA476" s="155"/>
      <c r="AB476" s="156"/>
      <c r="AC476" s="66"/>
      <c r="AD476" s="66"/>
      <c r="AE476" s="66"/>
      <c r="AF476" s="66"/>
      <c r="AG476" s="66"/>
      <c r="AH476" s="66"/>
      <c r="AI476" s="34"/>
      <c r="AJ476" s="88">
        <f t="shared" si="582"/>
        <v>0</v>
      </c>
      <c r="AK476" s="88">
        <f t="shared" si="583"/>
        <v>0</v>
      </c>
      <c r="AL476" s="88">
        <v>0</v>
      </c>
      <c r="AM476" s="88">
        <v>0</v>
      </c>
      <c r="AN476" s="81" t="str">
        <f t="shared" si="621"/>
        <v/>
      </c>
      <c r="AO476" s="88">
        <f t="shared" si="584"/>
        <v>0</v>
      </c>
      <c r="AP476" s="88">
        <f t="shared" si="585"/>
        <v>0</v>
      </c>
      <c r="AQ476" s="81" t="str">
        <f t="shared" si="586"/>
        <v/>
      </c>
      <c r="AS476" s="41" t="b">
        <f t="shared" si="587"/>
        <v>1</v>
      </c>
      <c r="AT476" s="38">
        <f t="shared" si="588"/>
        <v>0</v>
      </c>
      <c r="AU476" s="60">
        <f t="shared" si="589"/>
        <v>0</v>
      </c>
      <c r="AV476" s="41">
        <f t="shared" si="590"/>
        <v>0</v>
      </c>
      <c r="AW476" s="41" t="b">
        <f t="shared" si="591"/>
        <v>0</v>
      </c>
      <c r="AX476" t="str">
        <f t="shared" si="592"/>
        <v>+00</v>
      </c>
      <c r="AY476" t="str">
        <f t="shared" si="593"/>
        <v>+00</v>
      </c>
      <c r="BA476" s="47" t="b">
        <f t="shared" si="622"/>
        <v>1</v>
      </c>
      <c r="BB476" s="42" t="b">
        <f t="shared" si="623"/>
        <v>1</v>
      </c>
      <c r="BC476" s="42" t="b">
        <f t="shared" si="624"/>
        <v>0</v>
      </c>
      <c r="BD476" s="42" t="b">
        <f t="shared" si="625"/>
        <v>0</v>
      </c>
      <c r="BE476" s="70">
        <f t="shared" si="626"/>
        <v>0</v>
      </c>
      <c r="BF476" s="70">
        <f t="shared" si="627"/>
        <v>0</v>
      </c>
      <c r="BG476" s="34"/>
      <c r="BI476" s="47" t="b">
        <f t="shared" si="628"/>
        <v>1</v>
      </c>
      <c r="BJ476" s="47" t="b">
        <f t="shared" si="629"/>
        <v>1</v>
      </c>
      <c r="BK476" s="42" t="b">
        <f t="shared" si="630"/>
        <v>0</v>
      </c>
      <c r="BL476" s="42" t="b">
        <f t="shared" si="631"/>
        <v>0</v>
      </c>
      <c r="BM476" s="42">
        <f t="shared" si="632"/>
        <v>0</v>
      </c>
      <c r="BN476" s="42">
        <f t="shared" si="633"/>
        <v>0</v>
      </c>
      <c r="BP476" t="e">
        <f t="shared" si="634"/>
        <v>#N/A</v>
      </c>
      <c r="BQ476" t="e">
        <f t="shared" si="635"/>
        <v>#N/A</v>
      </c>
      <c r="BR476" t="e">
        <f t="shared" si="636"/>
        <v>#N/A</v>
      </c>
      <c r="BT476" s="60">
        <f t="shared" si="637"/>
        <v>0</v>
      </c>
      <c r="BU476" s="60">
        <f t="shared" si="638"/>
        <v>0</v>
      </c>
      <c r="BV476" s="60">
        <f t="shared" si="639"/>
        <v>0</v>
      </c>
      <c r="BW476" s="60">
        <f t="shared" si="640"/>
        <v>0</v>
      </c>
      <c r="BX476" s="60">
        <f t="shared" si="641"/>
        <v>0</v>
      </c>
      <c r="BY476" s="60">
        <f t="shared" si="642"/>
        <v>0</v>
      </c>
      <c r="BZ476" s="60">
        <f t="shared" si="643"/>
        <v>0</v>
      </c>
      <c r="CA476" s="60">
        <f t="shared" si="644"/>
        <v>0</v>
      </c>
      <c r="CB476" s="60" t="e">
        <f t="shared" si="594"/>
        <v>#N/A</v>
      </c>
      <c r="CC476" s="60">
        <f t="shared" si="595"/>
        <v>100000</v>
      </c>
      <c r="CD476" s="60" t="e">
        <f t="shared" si="596"/>
        <v>#N/A</v>
      </c>
      <c r="CE476" s="60">
        <f t="shared" si="597"/>
        <v>100000</v>
      </c>
      <c r="CF476" s="83" t="e">
        <f t="shared" si="645"/>
        <v>#N/A</v>
      </c>
      <c r="CG476" s="83">
        <f t="shared" si="646"/>
        <v>0</v>
      </c>
      <c r="CH476" s="83" t="e">
        <f t="shared" si="647"/>
        <v>#N/A</v>
      </c>
      <c r="CI476" s="83">
        <f t="shared" si="648"/>
        <v>0</v>
      </c>
      <c r="CJ476" s="86" t="e">
        <f t="shared" si="598"/>
        <v>#N/A</v>
      </c>
      <c r="CK476" s="82">
        <f t="shared" si="599"/>
        <v>5.3070370403969858E-3</v>
      </c>
      <c r="CL476" s="82" t="e">
        <f t="shared" si="600"/>
        <v>#N/A</v>
      </c>
      <c r="CM476" s="82">
        <f t="shared" si="601"/>
        <v>5.3070370403969858E-3</v>
      </c>
      <c r="CO476" s="149" t="str">
        <f>IF($I476&lt;&gt;"",IF(O476="User Specified",U476,INDEX('Refrigerant GWPs'!$G$2:$G$156,MATCH(O476,'Refrigerant GWPs'!$A$2:$A$156,0))),"")</f>
        <v/>
      </c>
      <c r="CP476" s="138" t="str">
        <f>IF($I476&lt;&gt;"",INDEX('Device Refrigerant Leakage'!$E$2:$E$42,MATCH($M476,'Device Refrigerant Leakage'!$B$2:$B$42,0)),"")</f>
        <v/>
      </c>
      <c r="CQ476" s="138" t="str">
        <f>IF($I476&lt;&gt;"",INDEX('Device Refrigerant Leakage'!$F$2:$F$42,MATCH($M476,'Device Refrigerant Leakage'!$B$2:$B$42,0)),"")</f>
        <v/>
      </c>
      <c r="CR476" s="145" t="str">
        <f>IF($I476&lt;&gt;"",INDEX('Device Refrigerant Leakage'!$G$2:$G$42,MATCH($M476,'Device Refrigerant Leakage'!$B$2:$B$42,0)),"")</f>
        <v/>
      </c>
      <c r="CS476" s="145" t="str">
        <f>IF($I476&lt;&gt;"",INDEX('Device Refrigerant Leakage'!$D$2:$D$42,MATCH($M476,'Device Refrigerant Leakage'!$B$2:$B$42,0))*CP476/2204.62*CO476,"")</f>
        <v/>
      </c>
      <c r="CT476" s="145" t="str">
        <f>IF($I476&lt;&gt;"",J476*(INDEX('Device Refrigerant Leakage'!$D$2:$D$42,MATCH($M476,'Device Refrigerant Leakage'!$B$2:$B$42,0))-(INDEX('Device Refrigerant Leakage'!$D$2:$D$42,MATCH($M476,'Device Refrigerant Leakage'!$B$2:$B$42,0)))*CR476*CP476)*CQ476/2204.62*CO476,"")</f>
        <v/>
      </c>
      <c r="CU476" s="135" t="str">
        <f>IF($I476&lt;&gt;"",J476*IF(W476&lt;&gt;"AR",(CS476*K476)+CT476,(CS476*AB476)+CT476*(AB476/INDEX('Device Refrigerant Leakage'!$C$2:$C$42,MATCH($M476,'Device Refrigerant Leakage'!$B$2:$B$42,0)))),"")</f>
        <v/>
      </c>
      <c r="CW476" s="135" t="str">
        <f>IF($I476&lt;&gt;"",IF(S476="User Specified",V476,INDEX('Refrigerant GWPs'!$G$2:$G$156,MATCH(S476,'Refrigerant GWPs'!$A$2:$A$157,0))),"")</f>
        <v/>
      </c>
      <c r="CX476" s="138" t="str">
        <f>IF($I476&lt;&gt;"",INDEX('Device Refrigerant Leakage'!$E$2:$E$42,MATCH($Q476,'Device Refrigerant Leakage'!$B$2:$B$42,0)),"")</f>
        <v/>
      </c>
      <c r="CY476" s="138" t="str">
        <f>IF($I476&lt;&gt;"",INDEX('Device Refrigerant Leakage'!$F$2:$F$42,MATCH($Q476,'Device Refrigerant Leakage'!$B$2:$B$42,0)),"")</f>
        <v/>
      </c>
      <c r="CZ476" s="145" t="str">
        <f>IF($I476&lt;&gt;"",INDEX('Device Refrigerant Leakage'!$G$2:$G$42,MATCH($Q476,'Device Refrigerant Leakage'!$B$2:$B$42,0)),"")</f>
        <v/>
      </c>
      <c r="DA476" s="145" t="str">
        <f>IF($I476&lt;&gt;"",J476*INDEX('Device Refrigerant Leakage'!$D$2:$D$42,MATCH($Q476,'Device Refrigerant Leakage'!$B$2:$B$42,0))*CX476/2204.62*CW476,"")</f>
        <v/>
      </c>
      <c r="DB476" s="145" t="str">
        <f>IF($I476&lt;&gt;"",J476*(INDEX('Device Refrigerant Leakage'!$D$2:$D$42,MATCH($Q476,'Device Refrigerant Leakage'!$B$2:$B$42,0))-(INDEX('Device Refrigerant Leakage'!$D$2:$D$42,MATCH($Q476,'Device Refrigerant Leakage'!$B$2:$B$42,0)))*CZ476*CX476)*CY476/2204.62*CW476,"")</f>
        <v/>
      </c>
      <c r="DC476" s="135" t="str">
        <f t="shared" si="620"/>
        <v/>
      </c>
      <c r="DE476" s="146" t="str">
        <f>IF(W476&lt;&gt;"AR","",IF(Y476="User Specified", AA476, INDEX('Refrigerant GWPs'!$G$2:$G$154,MATCH(Y476,'Refrigerant GWPs'!$A$2:$A$154,0))))</f>
        <v/>
      </c>
      <c r="DF476" s="146" t="str">
        <f>IF(W476&lt;&gt;"AR","",INDEX('Device Refrigerant Leakage'!$E$2:$E$42,MATCH(X476,'Device Refrigerant Leakage'!$B$2:$B$42,0)))</f>
        <v/>
      </c>
      <c r="DG476" s="146" t="str">
        <f>IF(W476&lt;&gt;"AR","",INDEX('Device Refrigerant Leakage'!$F$2:$F$42,MATCH(X476,'Device Refrigerant Leakage'!$B$2:$B$42,0)))</f>
        <v/>
      </c>
      <c r="DH476" s="146" t="str">
        <f>IF(W476&lt;&gt;"AR","",INDEX('Device Refrigerant Leakage'!$G$2:$G$42,MATCH(X476,'Device Refrigerant Leakage'!$B$2:$B$42,0)))</f>
        <v/>
      </c>
      <c r="DI476" s="146" t="str">
        <f>IF(W476&lt;&gt;"AR","",J476*INDEX('Device Refrigerant Leakage'!$D$2:$D$42,MATCH(X476,'Device Refrigerant Leakage'!$B$2:$B$42,0))*DF476/2204.62*DE476)</f>
        <v/>
      </c>
      <c r="DJ476" s="146" t="str">
        <f>IF(W476&lt;&gt;"AR","",J476*(INDEX('Device Refrigerant Leakage'!$D$2:$D$42,MATCH(X476,'Device Refrigerant Leakage'!$B$2:$B$42,0))-(INDEX('Device Refrigerant Leakage'!$D$2:$D$42,MATCH(X476,'Device Refrigerant Leakage'!$B$2:$B$42,0)))*DH476*DF476)*DG476/2204.62*DE476)</f>
        <v/>
      </c>
      <c r="DK476" s="146" t="str">
        <f>IF(W476&lt;&gt;"AR","",DI476*(K476-AB476)+'Fuel Sub Calcs-Deemed'!DJ476*((K476-AB476)/INDEX('Device Refrigerant Leakage'!$C$2:$C$42,MATCH('Fuel Sub Calcs-Deemed'!X476,'Device Refrigerant Leakage'!$B$2:$B$42,0))))</f>
        <v/>
      </c>
      <c r="DM476" s="56">
        <v>462</v>
      </c>
      <c r="DN476" s="67" t="e">
        <f t="shared" si="602"/>
        <v>#N/A</v>
      </c>
      <c r="DO476" s="45" t="e">
        <f t="shared" si="603"/>
        <v>#N/A</v>
      </c>
      <c r="DP476" s="67" t="e">
        <f t="shared" si="604"/>
        <v>#N/A</v>
      </c>
      <c r="DQ476" s="45" t="e">
        <f t="shared" si="605"/>
        <v>#N/A</v>
      </c>
      <c r="DR476" s="69" t="e">
        <f t="shared" si="606"/>
        <v>#N/A</v>
      </c>
      <c r="DS476" s="34"/>
      <c r="DT476" s="67" t="e">
        <f>((BX476*CJ476)+IF($W476=MAT_AR,(BZ476*CL476),0))*(1+Reference!$E$50+Reference!$E$51)</f>
        <v>#N/A</v>
      </c>
      <c r="DU476" s="67">
        <f>((BY476*CK476)+IF($W476=MAT_AR,(CA476*CM476),0))*(1+Reference!$G$50+Reference!$G$51)</f>
        <v>0</v>
      </c>
      <c r="DV476" s="67" t="e">
        <f t="shared" si="607"/>
        <v>#VALUE!</v>
      </c>
      <c r="DX476" s="56">
        <v>462</v>
      </c>
      <c r="DY476" s="67">
        <f t="shared" si="608"/>
        <v>0</v>
      </c>
      <c r="DZ476" s="45" t="e">
        <f>VLOOKUP($R476,Dropdown!$C$3:$D$4,2,FALSE)</f>
        <v>#N/A</v>
      </c>
      <c r="EA476" s="68">
        <f t="shared" si="609"/>
        <v>0</v>
      </c>
      <c r="EB476" s="68" t="str">
        <f t="shared" si="610"/>
        <v>N/A</v>
      </c>
      <c r="EC476" s="68">
        <f t="shared" si="611"/>
        <v>0</v>
      </c>
      <c r="ED476" s="68" t="str">
        <f t="shared" si="649"/>
        <v>N/A</v>
      </c>
      <c r="EF476" s="56">
        <v>462</v>
      </c>
      <c r="EG476" s="46">
        <f t="shared" si="612"/>
        <v>0</v>
      </c>
      <c r="EH476" s="68" t="e">
        <f t="shared" si="613"/>
        <v>#N/A</v>
      </c>
      <c r="EI476" s="68" t="e">
        <f t="shared" si="614"/>
        <v>#N/A</v>
      </c>
      <c r="EJ476" s="68" t="e">
        <f t="shared" si="615"/>
        <v>#N/A</v>
      </c>
      <c r="EK476" s="68" t="e">
        <f t="shared" si="616"/>
        <v>#N/A</v>
      </c>
      <c r="EL476" s="46">
        <f t="shared" si="617"/>
        <v>0</v>
      </c>
      <c r="EM476" s="46">
        <f t="shared" si="618"/>
        <v>0</v>
      </c>
    </row>
    <row r="477" spans="1:143">
      <c r="A477" s="89"/>
      <c r="B477" s="89"/>
      <c r="C477" s="89"/>
      <c r="D477" s="89"/>
      <c r="E477" s="89"/>
      <c r="F477" s="89"/>
      <c r="G477" s="34"/>
      <c r="H477" s="56">
        <f t="shared" si="619"/>
        <v>463</v>
      </c>
      <c r="I477" s="165"/>
      <c r="J477" s="163"/>
      <c r="K477" s="163"/>
      <c r="L477" s="164"/>
      <c r="M477" s="155"/>
      <c r="N477" s="155"/>
      <c r="O477" s="144"/>
      <c r="P477" s="159" t="str">
        <f>IFERROR(IF(O477&lt;&gt;"User Specified",IF(O477&lt;&gt;"", INDEX('Refrigerant GWPs'!$G$2:$G$154,MATCH(O477,'Refrigerant GWPs'!$A$2:$A$154,0)),""),U477),0)</f>
        <v/>
      </c>
      <c r="Q477" s="155"/>
      <c r="R477" s="155"/>
      <c r="S477" s="144"/>
      <c r="T477" s="159" t="str">
        <f>IF(S477&lt;&gt;"User Specified",IF(AND(S477&lt;&gt;"User Specified",S477&lt;&gt;""), INDEX('Refrigerant GWPs'!$G$2:$G$154,MATCH(S477,'Refrigerant GWPs'!$A$2:$A$154,0)),""),V477)</f>
        <v/>
      </c>
      <c r="U477" s="144"/>
      <c r="V477" s="144"/>
      <c r="W477" s="155"/>
      <c r="X477" s="155"/>
      <c r="Y477" s="144"/>
      <c r="Z477" s="159" t="str">
        <f>IF(AND(Y477&lt;&gt;"User Specified",Y477&lt;&gt;""), INDEX('Refrigerant GWPs'!$G$2:$G$154,MATCH(Y477,'Refrigerant GWPs'!$A$2:$A$154,0)),"")</f>
        <v/>
      </c>
      <c r="AA477" s="155"/>
      <c r="AB477" s="156"/>
      <c r="AC477" s="66"/>
      <c r="AD477" s="66"/>
      <c r="AE477" s="66"/>
      <c r="AF477" s="66"/>
      <c r="AG477" s="66"/>
      <c r="AH477" s="66"/>
      <c r="AI477" s="34"/>
      <c r="AJ477" s="88">
        <f t="shared" si="582"/>
        <v>0</v>
      </c>
      <c r="AK477" s="88">
        <f t="shared" si="583"/>
        <v>0</v>
      </c>
      <c r="AL477" s="88">
        <v>0</v>
      </c>
      <c r="AM477" s="88">
        <v>0</v>
      </c>
      <c r="AN477" s="81" t="str">
        <f t="shared" si="621"/>
        <v/>
      </c>
      <c r="AO477" s="88">
        <f t="shared" si="584"/>
        <v>0</v>
      </c>
      <c r="AP477" s="88">
        <f t="shared" si="585"/>
        <v>0</v>
      </c>
      <c r="AQ477" s="81" t="str">
        <f t="shared" si="586"/>
        <v/>
      </c>
      <c r="AS477" s="41" t="b">
        <f t="shared" si="587"/>
        <v>1</v>
      </c>
      <c r="AT477" s="38">
        <f t="shared" si="588"/>
        <v>0</v>
      </c>
      <c r="AU477" s="60">
        <f t="shared" si="589"/>
        <v>0</v>
      </c>
      <c r="AV477" s="41">
        <f t="shared" si="590"/>
        <v>0</v>
      </c>
      <c r="AW477" s="41" t="b">
        <f t="shared" si="591"/>
        <v>0</v>
      </c>
      <c r="AX477" t="str">
        <f t="shared" si="592"/>
        <v>+00</v>
      </c>
      <c r="AY477" t="str">
        <f t="shared" si="593"/>
        <v>+00</v>
      </c>
      <c r="BA477" s="47" t="b">
        <f t="shared" si="622"/>
        <v>1</v>
      </c>
      <c r="BB477" s="42" t="b">
        <f t="shared" si="623"/>
        <v>1</v>
      </c>
      <c r="BC477" s="42" t="b">
        <f t="shared" si="624"/>
        <v>0</v>
      </c>
      <c r="BD477" s="42" t="b">
        <f t="shared" si="625"/>
        <v>0</v>
      </c>
      <c r="BE477" s="70">
        <f t="shared" si="626"/>
        <v>0</v>
      </c>
      <c r="BF477" s="70">
        <f t="shared" si="627"/>
        <v>0</v>
      </c>
      <c r="BG477" s="34"/>
      <c r="BI477" s="47" t="b">
        <f t="shared" si="628"/>
        <v>1</v>
      </c>
      <c r="BJ477" s="47" t="b">
        <f t="shared" si="629"/>
        <v>1</v>
      </c>
      <c r="BK477" s="42" t="b">
        <f t="shared" si="630"/>
        <v>0</v>
      </c>
      <c r="BL477" s="42" t="b">
        <f t="shared" si="631"/>
        <v>0</v>
      </c>
      <c r="BM477" s="42">
        <f t="shared" si="632"/>
        <v>0</v>
      </c>
      <c r="BN477" s="42">
        <f t="shared" si="633"/>
        <v>0</v>
      </c>
      <c r="BP477" t="e">
        <f t="shared" si="634"/>
        <v>#N/A</v>
      </c>
      <c r="BQ477" t="e">
        <f t="shared" si="635"/>
        <v>#N/A</v>
      </c>
      <c r="BR477" t="e">
        <f t="shared" si="636"/>
        <v>#N/A</v>
      </c>
      <c r="BT477" s="60">
        <f t="shared" si="637"/>
        <v>0</v>
      </c>
      <c r="BU477" s="60">
        <f t="shared" si="638"/>
        <v>0</v>
      </c>
      <c r="BV477" s="60">
        <f t="shared" si="639"/>
        <v>0</v>
      </c>
      <c r="BW477" s="60">
        <f t="shared" si="640"/>
        <v>0</v>
      </c>
      <c r="BX477" s="60">
        <f t="shared" si="641"/>
        <v>0</v>
      </c>
      <c r="BY477" s="60">
        <f t="shared" si="642"/>
        <v>0</v>
      </c>
      <c r="BZ477" s="60">
        <f t="shared" si="643"/>
        <v>0</v>
      </c>
      <c r="CA477" s="60">
        <f t="shared" si="644"/>
        <v>0</v>
      </c>
      <c r="CB477" s="60" t="e">
        <f t="shared" si="594"/>
        <v>#N/A</v>
      </c>
      <c r="CC477" s="60">
        <f t="shared" si="595"/>
        <v>100000</v>
      </c>
      <c r="CD477" s="60" t="e">
        <f t="shared" si="596"/>
        <v>#N/A</v>
      </c>
      <c r="CE477" s="60">
        <f t="shared" si="597"/>
        <v>100000</v>
      </c>
      <c r="CF477" s="83" t="e">
        <f t="shared" si="645"/>
        <v>#N/A</v>
      </c>
      <c r="CG477" s="83">
        <f t="shared" si="646"/>
        <v>0</v>
      </c>
      <c r="CH477" s="83" t="e">
        <f t="shared" si="647"/>
        <v>#N/A</v>
      </c>
      <c r="CI477" s="83">
        <f t="shared" si="648"/>
        <v>0</v>
      </c>
      <c r="CJ477" s="86" t="e">
        <f t="shared" si="598"/>
        <v>#N/A</v>
      </c>
      <c r="CK477" s="82">
        <f t="shared" si="599"/>
        <v>5.3070370403969858E-3</v>
      </c>
      <c r="CL477" s="82" t="e">
        <f t="shared" si="600"/>
        <v>#N/A</v>
      </c>
      <c r="CM477" s="82">
        <f t="shared" si="601"/>
        <v>5.3070370403969858E-3</v>
      </c>
      <c r="CO477" s="149" t="str">
        <f>IF($I477&lt;&gt;"",IF(O477="User Specified",U477,INDEX('Refrigerant GWPs'!$G$2:$G$156,MATCH(O477,'Refrigerant GWPs'!$A$2:$A$156,0))),"")</f>
        <v/>
      </c>
      <c r="CP477" s="138" t="str">
        <f>IF($I477&lt;&gt;"",INDEX('Device Refrigerant Leakage'!$E$2:$E$42,MATCH($M477,'Device Refrigerant Leakage'!$B$2:$B$42,0)),"")</f>
        <v/>
      </c>
      <c r="CQ477" s="138" t="str">
        <f>IF($I477&lt;&gt;"",INDEX('Device Refrigerant Leakage'!$F$2:$F$42,MATCH($M477,'Device Refrigerant Leakage'!$B$2:$B$42,0)),"")</f>
        <v/>
      </c>
      <c r="CR477" s="145" t="str">
        <f>IF($I477&lt;&gt;"",INDEX('Device Refrigerant Leakage'!$G$2:$G$42,MATCH($M477,'Device Refrigerant Leakage'!$B$2:$B$42,0)),"")</f>
        <v/>
      </c>
      <c r="CS477" s="145" t="str">
        <f>IF($I477&lt;&gt;"",INDEX('Device Refrigerant Leakage'!$D$2:$D$42,MATCH($M477,'Device Refrigerant Leakage'!$B$2:$B$42,0))*CP477/2204.62*CO477,"")</f>
        <v/>
      </c>
      <c r="CT477" s="145" t="str">
        <f>IF($I477&lt;&gt;"",J477*(INDEX('Device Refrigerant Leakage'!$D$2:$D$42,MATCH($M477,'Device Refrigerant Leakage'!$B$2:$B$42,0))-(INDEX('Device Refrigerant Leakage'!$D$2:$D$42,MATCH($M477,'Device Refrigerant Leakage'!$B$2:$B$42,0)))*CR477*CP477)*CQ477/2204.62*CO477,"")</f>
        <v/>
      </c>
      <c r="CU477" s="135" t="str">
        <f>IF($I477&lt;&gt;"",J477*IF(W477&lt;&gt;"AR",(CS477*K477)+CT477,(CS477*AB477)+CT477*(AB477/INDEX('Device Refrigerant Leakage'!$C$2:$C$42,MATCH($M477,'Device Refrigerant Leakage'!$B$2:$B$42,0)))),"")</f>
        <v/>
      </c>
      <c r="CW477" s="135" t="str">
        <f>IF($I477&lt;&gt;"",IF(S477="User Specified",V477,INDEX('Refrigerant GWPs'!$G$2:$G$156,MATCH(S477,'Refrigerant GWPs'!$A$2:$A$157,0))),"")</f>
        <v/>
      </c>
      <c r="CX477" s="138" t="str">
        <f>IF($I477&lt;&gt;"",INDEX('Device Refrigerant Leakage'!$E$2:$E$42,MATCH($Q477,'Device Refrigerant Leakage'!$B$2:$B$42,0)),"")</f>
        <v/>
      </c>
      <c r="CY477" s="138" t="str">
        <f>IF($I477&lt;&gt;"",INDEX('Device Refrigerant Leakage'!$F$2:$F$42,MATCH($Q477,'Device Refrigerant Leakage'!$B$2:$B$42,0)),"")</f>
        <v/>
      </c>
      <c r="CZ477" s="145" t="str">
        <f>IF($I477&lt;&gt;"",INDEX('Device Refrigerant Leakage'!$G$2:$G$42,MATCH($Q477,'Device Refrigerant Leakage'!$B$2:$B$42,0)),"")</f>
        <v/>
      </c>
      <c r="DA477" s="145" t="str">
        <f>IF($I477&lt;&gt;"",J477*INDEX('Device Refrigerant Leakage'!$D$2:$D$42,MATCH($Q477,'Device Refrigerant Leakage'!$B$2:$B$42,0))*CX477/2204.62*CW477,"")</f>
        <v/>
      </c>
      <c r="DB477" s="145" t="str">
        <f>IF($I477&lt;&gt;"",J477*(INDEX('Device Refrigerant Leakage'!$D$2:$D$42,MATCH($Q477,'Device Refrigerant Leakage'!$B$2:$B$42,0))-(INDEX('Device Refrigerant Leakage'!$D$2:$D$42,MATCH($Q477,'Device Refrigerant Leakage'!$B$2:$B$42,0)))*CZ477*CX477)*CY477/2204.62*CW477,"")</f>
        <v/>
      </c>
      <c r="DC477" s="135" t="str">
        <f t="shared" si="620"/>
        <v/>
      </c>
      <c r="DE477" s="146" t="str">
        <f>IF(W477&lt;&gt;"AR","",IF(Y477="User Specified", AA477, INDEX('Refrigerant GWPs'!$G$2:$G$154,MATCH(Y477,'Refrigerant GWPs'!$A$2:$A$154,0))))</f>
        <v/>
      </c>
      <c r="DF477" s="146" t="str">
        <f>IF(W477&lt;&gt;"AR","",INDEX('Device Refrigerant Leakage'!$E$2:$E$42,MATCH(X477,'Device Refrigerant Leakage'!$B$2:$B$42,0)))</f>
        <v/>
      </c>
      <c r="DG477" s="146" t="str">
        <f>IF(W477&lt;&gt;"AR","",INDEX('Device Refrigerant Leakage'!$F$2:$F$42,MATCH(X477,'Device Refrigerant Leakage'!$B$2:$B$42,0)))</f>
        <v/>
      </c>
      <c r="DH477" s="146" t="str">
        <f>IF(W477&lt;&gt;"AR","",INDEX('Device Refrigerant Leakage'!$G$2:$G$42,MATCH(X477,'Device Refrigerant Leakage'!$B$2:$B$42,0)))</f>
        <v/>
      </c>
      <c r="DI477" s="146" t="str">
        <f>IF(W477&lt;&gt;"AR","",J477*INDEX('Device Refrigerant Leakage'!$D$2:$D$42,MATCH(X477,'Device Refrigerant Leakage'!$B$2:$B$42,0))*DF477/2204.62*DE477)</f>
        <v/>
      </c>
      <c r="DJ477" s="146" t="str">
        <f>IF(W477&lt;&gt;"AR","",J477*(INDEX('Device Refrigerant Leakage'!$D$2:$D$42,MATCH(X477,'Device Refrigerant Leakage'!$B$2:$B$42,0))-(INDEX('Device Refrigerant Leakage'!$D$2:$D$42,MATCH(X477,'Device Refrigerant Leakage'!$B$2:$B$42,0)))*DH477*DF477)*DG477/2204.62*DE477)</f>
        <v/>
      </c>
      <c r="DK477" s="146" t="str">
        <f>IF(W477&lt;&gt;"AR","",DI477*(K477-AB477)+'Fuel Sub Calcs-Deemed'!DJ477*((K477-AB477)/INDEX('Device Refrigerant Leakage'!$C$2:$C$42,MATCH('Fuel Sub Calcs-Deemed'!X477,'Device Refrigerant Leakage'!$B$2:$B$42,0))))</f>
        <v/>
      </c>
      <c r="DM477" s="56">
        <v>463</v>
      </c>
      <c r="DN477" s="67" t="e">
        <f t="shared" si="602"/>
        <v>#N/A</v>
      </c>
      <c r="DO477" s="45" t="e">
        <f t="shared" si="603"/>
        <v>#N/A</v>
      </c>
      <c r="DP477" s="67" t="e">
        <f t="shared" si="604"/>
        <v>#N/A</v>
      </c>
      <c r="DQ477" s="45" t="e">
        <f t="shared" si="605"/>
        <v>#N/A</v>
      </c>
      <c r="DR477" s="69" t="e">
        <f t="shared" si="606"/>
        <v>#N/A</v>
      </c>
      <c r="DS477" s="34"/>
      <c r="DT477" s="67" t="e">
        <f>((BX477*CJ477)+IF($W477=MAT_AR,(BZ477*CL477),0))*(1+Reference!$E$50+Reference!$E$51)</f>
        <v>#N/A</v>
      </c>
      <c r="DU477" s="67">
        <f>((BY477*CK477)+IF($W477=MAT_AR,(CA477*CM477),0))*(1+Reference!$G$50+Reference!$G$51)</f>
        <v>0</v>
      </c>
      <c r="DV477" s="67" t="e">
        <f t="shared" si="607"/>
        <v>#VALUE!</v>
      </c>
      <c r="DX477" s="56">
        <v>463</v>
      </c>
      <c r="DY477" s="67">
        <f t="shared" si="608"/>
        <v>0</v>
      </c>
      <c r="DZ477" s="45" t="e">
        <f>VLOOKUP($R477,Dropdown!$C$3:$D$4,2,FALSE)</f>
        <v>#N/A</v>
      </c>
      <c r="EA477" s="68">
        <f t="shared" si="609"/>
        <v>0</v>
      </c>
      <c r="EB477" s="68" t="str">
        <f t="shared" si="610"/>
        <v>N/A</v>
      </c>
      <c r="EC477" s="68">
        <f t="shared" si="611"/>
        <v>0</v>
      </c>
      <c r="ED477" s="68" t="str">
        <f t="shared" si="649"/>
        <v>N/A</v>
      </c>
      <c r="EF477" s="56">
        <v>463</v>
      </c>
      <c r="EG477" s="46">
        <f t="shared" si="612"/>
        <v>0</v>
      </c>
      <c r="EH477" s="68" t="e">
        <f t="shared" si="613"/>
        <v>#N/A</v>
      </c>
      <c r="EI477" s="68" t="e">
        <f t="shared" si="614"/>
        <v>#N/A</v>
      </c>
      <c r="EJ477" s="68" t="e">
        <f t="shared" si="615"/>
        <v>#N/A</v>
      </c>
      <c r="EK477" s="68" t="e">
        <f t="shared" si="616"/>
        <v>#N/A</v>
      </c>
      <c r="EL477" s="46">
        <f t="shared" si="617"/>
        <v>0</v>
      </c>
      <c r="EM477" s="46">
        <f t="shared" si="618"/>
        <v>0</v>
      </c>
    </row>
    <row r="478" spans="1:143">
      <c r="A478" s="89"/>
      <c r="B478" s="89"/>
      <c r="C478" s="89"/>
      <c r="D478" s="89"/>
      <c r="E478" s="89"/>
      <c r="F478" s="89"/>
      <c r="G478" s="34"/>
      <c r="H478" s="56">
        <f t="shared" si="619"/>
        <v>464</v>
      </c>
      <c r="I478" s="165"/>
      <c r="J478" s="163"/>
      <c r="K478" s="163"/>
      <c r="L478" s="164"/>
      <c r="M478" s="155"/>
      <c r="N478" s="155"/>
      <c r="O478" s="144"/>
      <c r="P478" s="159" t="str">
        <f>IFERROR(IF(O478&lt;&gt;"User Specified",IF(O478&lt;&gt;"", INDEX('Refrigerant GWPs'!$G$2:$G$154,MATCH(O478,'Refrigerant GWPs'!$A$2:$A$154,0)),""),U478),0)</f>
        <v/>
      </c>
      <c r="Q478" s="155"/>
      <c r="R478" s="155"/>
      <c r="S478" s="144"/>
      <c r="T478" s="159" t="str">
        <f>IF(S478&lt;&gt;"User Specified",IF(AND(S478&lt;&gt;"User Specified",S478&lt;&gt;""), INDEX('Refrigerant GWPs'!$G$2:$G$154,MATCH(S478,'Refrigerant GWPs'!$A$2:$A$154,0)),""),V478)</f>
        <v/>
      </c>
      <c r="U478" s="144"/>
      <c r="V478" s="144"/>
      <c r="W478" s="155"/>
      <c r="X478" s="155"/>
      <c r="Y478" s="144"/>
      <c r="Z478" s="159" t="str">
        <f>IF(AND(Y478&lt;&gt;"User Specified",Y478&lt;&gt;""), INDEX('Refrigerant GWPs'!$G$2:$G$154,MATCH(Y478,'Refrigerant GWPs'!$A$2:$A$154,0)),"")</f>
        <v/>
      </c>
      <c r="AA478" s="155"/>
      <c r="AB478" s="156"/>
      <c r="AC478" s="66"/>
      <c r="AD478" s="66"/>
      <c r="AE478" s="66"/>
      <c r="AF478" s="66"/>
      <c r="AG478" s="66"/>
      <c r="AH478" s="66"/>
      <c r="AI478" s="34"/>
      <c r="AJ478" s="88">
        <f t="shared" si="582"/>
        <v>0</v>
      </c>
      <c r="AK478" s="88">
        <f t="shared" si="583"/>
        <v>0</v>
      </c>
      <c r="AL478" s="88">
        <v>0</v>
      </c>
      <c r="AM478" s="88">
        <v>0</v>
      </c>
      <c r="AN478" s="81" t="str">
        <f t="shared" si="621"/>
        <v/>
      </c>
      <c r="AO478" s="88">
        <f t="shared" si="584"/>
        <v>0</v>
      </c>
      <c r="AP478" s="88">
        <f t="shared" si="585"/>
        <v>0</v>
      </c>
      <c r="AQ478" s="81" t="str">
        <f t="shared" si="586"/>
        <v/>
      </c>
      <c r="AS478" s="41" t="b">
        <f t="shared" si="587"/>
        <v>1</v>
      </c>
      <c r="AT478" s="38">
        <f t="shared" si="588"/>
        <v>0</v>
      </c>
      <c r="AU478" s="60">
        <f t="shared" si="589"/>
        <v>0</v>
      </c>
      <c r="AV478" s="41">
        <f t="shared" si="590"/>
        <v>0</v>
      </c>
      <c r="AW478" s="41" t="b">
        <f t="shared" si="591"/>
        <v>0</v>
      </c>
      <c r="AX478" t="str">
        <f t="shared" si="592"/>
        <v>+00</v>
      </c>
      <c r="AY478" t="str">
        <f t="shared" si="593"/>
        <v>+00</v>
      </c>
      <c r="BA478" s="47" t="b">
        <f t="shared" si="622"/>
        <v>1</v>
      </c>
      <c r="BB478" s="42" t="b">
        <f t="shared" si="623"/>
        <v>1</v>
      </c>
      <c r="BC478" s="42" t="b">
        <f t="shared" si="624"/>
        <v>0</v>
      </c>
      <c r="BD478" s="42" t="b">
        <f t="shared" si="625"/>
        <v>0</v>
      </c>
      <c r="BE478" s="70">
        <f t="shared" si="626"/>
        <v>0</v>
      </c>
      <c r="BF478" s="70">
        <f t="shared" si="627"/>
        <v>0</v>
      </c>
      <c r="BG478" s="34"/>
      <c r="BI478" s="47" t="b">
        <f t="shared" si="628"/>
        <v>1</v>
      </c>
      <c r="BJ478" s="47" t="b">
        <f t="shared" si="629"/>
        <v>1</v>
      </c>
      <c r="BK478" s="42" t="b">
        <f t="shared" si="630"/>
        <v>0</v>
      </c>
      <c r="BL478" s="42" t="b">
        <f t="shared" si="631"/>
        <v>0</v>
      </c>
      <c r="BM478" s="42">
        <f t="shared" si="632"/>
        <v>0</v>
      </c>
      <c r="BN478" s="42">
        <f t="shared" si="633"/>
        <v>0</v>
      </c>
      <c r="BP478" t="e">
        <f t="shared" si="634"/>
        <v>#N/A</v>
      </c>
      <c r="BQ478" t="e">
        <f t="shared" si="635"/>
        <v>#N/A</v>
      </c>
      <c r="BR478" t="e">
        <f t="shared" si="636"/>
        <v>#N/A</v>
      </c>
      <c r="BT478" s="60">
        <f t="shared" si="637"/>
        <v>0</v>
      </c>
      <c r="BU478" s="60">
        <f t="shared" si="638"/>
        <v>0</v>
      </c>
      <c r="BV478" s="60">
        <f t="shared" si="639"/>
        <v>0</v>
      </c>
      <c r="BW478" s="60">
        <f t="shared" si="640"/>
        <v>0</v>
      </c>
      <c r="BX478" s="60">
        <f t="shared" si="641"/>
        <v>0</v>
      </c>
      <c r="BY478" s="60">
        <f t="shared" si="642"/>
        <v>0</v>
      </c>
      <c r="BZ478" s="60">
        <f t="shared" si="643"/>
        <v>0</v>
      </c>
      <c r="CA478" s="60">
        <f t="shared" si="644"/>
        <v>0</v>
      </c>
      <c r="CB478" s="60" t="e">
        <f t="shared" si="594"/>
        <v>#N/A</v>
      </c>
      <c r="CC478" s="60">
        <f t="shared" si="595"/>
        <v>100000</v>
      </c>
      <c r="CD478" s="60" t="e">
        <f t="shared" si="596"/>
        <v>#N/A</v>
      </c>
      <c r="CE478" s="60">
        <f t="shared" si="597"/>
        <v>100000</v>
      </c>
      <c r="CF478" s="83" t="e">
        <f t="shared" si="645"/>
        <v>#N/A</v>
      </c>
      <c r="CG478" s="83">
        <f t="shared" si="646"/>
        <v>0</v>
      </c>
      <c r="CH478" s="83" t="e">
        <f t="shared" si="647"/>
        <v>#N/A</v>
      </c>
      <c r="CI478" s="83">
        <f t="shared" si="648"/>
        <v>0</v>
      </c>
      <c r="CJ478" s="86" t="e">
        <f t="shared" si="598"/>
        <v>#N/A</v>
      </c>
      <c r="CK478" s="82">
        <f t="shared" si="599"/>
        <v>5.3070370403969858E-3</v>
      </c>
      <c r="CL478" s="82" t="e">
        <f t="shared" si="600"/>
        <v>#N/A</v>
      </c>
      <c r="CM478" s="82">
        <f t="shared" si="601"/>
        <v>5.3070370403969858E-3</v>
      </c>
      <c r="CO478" s="149" t="str">
        <f>IF($I478&lt;&gt;"",IF(O478="User Specified",U478,INDEX('Refrigerant GWPs'!$G$2:$G$156,MATCH(O478,'Refrigerant GWPs'!$A$2:$A$156,0))),"")</f>
        <v/>
      </c>
      <c r="CP478" s="138" t="str">
        <f>IF($I478&lt;&gt;"",INDEX('Device Refrigerant Leakage'!$E$2:$E$42,MATCH($M478,'Device Refrigerant Leakage'!$B$2:$B$42,0)),"")</f>
        <v/>
      </c>
      <c r="CQ478" s="138" t="str">
        <f>IF($I478&lt;&gt;"",INDEX('Device Refrigerant Leakage'!$F$2:$F$42,MATCH($M478,'Device Refrigerant Leakage'!$B$2:$B$42,0)),"")</f>
        <v/>
      </c>
      <c r="CR478" s="145" t="str">
        <f>IF($I478&lt;&gt;"",INDEX('Device Refrigerant Leakage'!$G$2:$G$42,MATCH($M478,'Device Refrigerant Leakage'!$B$2:$B$42,0)),"")</f>
        <v/>
      </c>
      <c r="CS478" s="145" t="str">
        <f>IF($I478&lt;&gt;"",INDEX('Device Refrigerant Leakage'!$D$2:$D$42,MATCH($M478,'Device Refrigerant Leakage'!$B$2:$B$42,0))*CP478/2204.62*CO478,"")</f>
        <v/>
      </c>
      <c r="CT478" s="145" t="str">
        <f>IF($I478&lt;&gt;"",J478*(INDEX('Device Refrigerant Leakage'!$D$2:$D$42,MATCH($M478,'Device Refrigerant Leakage'!$B$2:$B$42,0))-(INDEX('Device Refrigerant Leakage'!$D$2:$D$42,MATCH($M478,'Device Refrigerant Leakage'!$B$2:$B$42,0)))*CR478*CP478)*CQ478/2204.62*CO478,"")</f>
        <v/>
      </c>
      <c r="CU478" s="135" t="str">
        <f>IF($I478&lt;&gt;"",J478*IF(W478&lt;&gt;"AR",(CS478*K478)+CT478,(CS478*AB478)+CT478*(AB478/INDEX('Device Refrigerant Leakage'!$C$2:$C$42,MATCH($M478,'Device Refrigerant Leakage'!$B$2:$B$42,0)))),"")</f>
        <v/>
      </c>
      <c r="CW478" s="135" t="str">
        <f>IF($I478&lt;&gt;"",IF(S478="User Specified",V478,INDEX('Refrigerant GWPs'!$G$2:$G$156,MATCH(S478,'Refrigerant GWPs'!$A$2:$A$157,0))),"")</f>
        <v/>
      </c>
      <c r="CX478" s="138" t="str">
        <f>IF($I478&lt;&gt;"",INDEX('Device Refrigerant Leakage'!$E$2:$E$42,MATCH($Q478,'Device Refrigerant Leakage'!$B$2:$B$42,0)),"")</f>
        <v/>
      </c>
      <c r="CY478" s="138" t="str">
        <f>IF($I478&lt;&gt;"",INDEX('Device Refrigerant Leakage'!$F$2:$F$42,MATCH($Q478,'Device Refrigerant Leakage'!$B$2:$B$42,0)),"")</f>
        <v/>
      </c>
      <c r="CZ478" s="145" t="str">
        <f>IF($I478&lt;&gt;"",INDEX('Device Refrigerant Leakage'!$G$2:$G$42,MATCH($Q478,'Device Refrigerant Leakage'!$B$2:$B$42,0)),"")</f>
        <v/>
      </c>
      <c r="DA478" s="145" t="str">
        <f>IF($I478&lt;&gt;"",J478*INDEX('Device Refrigerant Leakage'!$D$2:$D$42,MATCH($Q478,'Device Refrigerant Leakage'!$B$2:$B$42,0))*CX478/2204.62*CW478,"")</f>
        <v/>
      </c>
      <c r="DB478" s="145" t="str">
        <f>IF($I478&lt;&gt;"",J478*(INDEX('Device Refrigerant Leakage'!$D$2:$D$42,MATCH($Q478,'Device Refrigerant Leakage'!$B$2:$B$42,0))-(INDEX('Device Refrigerant Leakage'!$D$2:$D$42,MATCH($Q478,'Device Refrigerant Leakage'!$B$2:$B$42,0)))*CZ478*CX478)*CY478/2204.62*CW478,"")</f>
        <v/>
      </c>
      <c r="DC478" s="135" t="str">
        <f t="shared" si="620"/>
        <v/>
      </c>
      <c r="DE478" s="146" t="str">
        <f>IF(W478&lt;&gt;"AR","",IF(Y478="User Specified", AA478, INDEX('Refrigerant GWPs'!$G$2:$G$154,MATCH(Y478,'Refrigerant GWPs'!$A$2:$A$154,0))))</f>
        <v/>
      </c>
      <c r="DF478" s="146" t="str">
        <f>IF(W478&lt;&gt;"AR","",INDEX('Device Refrigerant Leakage'!$E$2:$E$42,MATCH(X478,'Device Refrigerant Leakage'!$B$2:$B$42,0)))</f>
        <v/>
      </c>
      <c r="DG478" s="146" t="str">
        <f>IF(W478&lt;&gt;"AR","",INDEX('Device Refrigerant Leakage'!$F$2:$F$42,MATCH(X478,'Device Refrigerant Leakage'!$B$2:$B$42,0)))</f>
        <v/>
      </c>
      <c r="DH478" s="146" t="str">
        <f>IF(W478&lt;&gt;"AR","",INDEX('Device Refrigerant Leakage'!$G$2:$G$42,MATCH(X478,'Device Refrigerant Leakage'!$B$2:$B$42,0)))</f>
        <v/>
      </c>
      <c r="DI478" s="146" t="str">
        <f>IF(W478&lt;&gt;"AR","",J478*INDEX('Device Refrigerant Leakage'!$D$2:$D$42,MATCH(X478,'Device Refrigerant Leakage'!$B$2:$B$42,0))*DF478/2204.62*DE478)</f>
        <v/>
      </c>
      <c r="DJ478" s="146" t="str">
        <f>IF(W478&lt;&gt;"AR","",J478*(INDEX('Device Refrigerant Leakage'!$D$2:$D$42,MATCH(X478,'Device Refrigerant Leakage'!$B$2:$B$42,0))-(INDEX('Device Refrigerant Leakage'!$D$2:$D$42,MATCH(X478,'Device Refrigerant Leakage'!$B$2:$B$42,0)))*DH478*DF478)*DG478/2204.62*DE478)</f>
        <v/>
      </c>
      <c r="DK478" s="146" t="str">
        <f>IF(W478&lt;&gt;"AR","",DI478*(K478-AB478)+'Fuel Sub Calcs-Deemed'!DJ478*((K478-AB478)/INDEX('Device Refrigerant Leakage'!$C$2:$C$42,MATCH('Fuel Sub Calcs-Deemed'!X478,'Device Refrigerant Leakage'!$B$2:$B$42,0))))</f>
        <v/>
      </c>
      <c r="DM478" s="56">
        <v>464</v>
      </c>
      <c r="DN478" s="67" t="e">
        <f t="shared" si="602"/>
        <v>#N/A</v>
      </c>
      <c r="DO478" s="45" t="e">
        <f t="shared" si="603"/>
        <v>#N/A</v>
      </c>
      <c r="DP478" s="67" t="e">
        <f t="shared" si="604"/>
        <v>#N/A</v>
      </c>
      <c r="DQ478" s="45" t="e">
        <f t="shared" si="605"/>
        <v>#N/A</v>
      </c>
      <c r="DR478" s="69" t="e">
        <f t="shared" si="606"/>
        <v>#N/A</v>
      </c>
      <c r="DS478" s="34"/>
      <c r="DT478" s="67" t="e">
        <f>((BX478*CJ478)+IF($W478=MAT_AR,(BZ478*CL478),0))*(1+Reference!$E$50+Reference!$E$51)</f>
        <v>#N/A</v>
      </c>
      <c r="DU478" s="67">
        <f>((BY478*CK478)+IF($W478=MAT_AR,(CA478*CM478),0))*(1+Reference!$G$50+Reference!$G$51)</f>
        <v>0</v>
      </c>
      <c r="DV478" s="67" t="e">
        <f t="shared" si="607"/>
        <v>#VALUE!</v>
      </c>
      <c r="DX478" s="56">
        <v>464</v>
      </c>
      <c r="DY478" s="67">
        <f t="shared" si="608"/>
        <v>0</v>
      </c>
      <c r="DZ478" s="45" t="e">
        <f>VLOOKUP($R478,Dropdown!$C$3:$D$4,2,FALSE)</f>
        <v>#N/A</v>
      </c>
      <c r="EA478" s="68">
        <f t="shared" si="609"/>
        <v>0</v>
      </c>
      <c r="EB478" s="68" t="str">
        <f t="shared" si="610"/>
        <v>N/A</v>
      </c>
      <c r="EC478" s="68">
        <f t="shared" si="611"/>
        <v>0</v>
      </c>
      <c r="ED478" s="68" t="str">
        <f t="shared" si="649"/>
        <v>N/A</v>
      </c>
      <c r="EF478" s="56">
        <v>464</v>
      </c>
      <c r="EG478" s="46">
        <f t="shared" si="612"/>
        <v>0</v>
      </c>
      <c r="EH478" s="68" t="e">
        <f t="shared" si="613"/>
        <v>#N/A</v>
      </c>
      <c r="EI478" s="68" t="e">
        <f t="shared" si="614"/>
        <v>#N/A</v>
      </c>
      <c r="EJ478" s="68" t="e">
        <f t="shared" si="615"/>
        <v>#N/A</v>
      </c>
      <c r="EK478" s="68" t="e">
        <f t="shared" si="616"/>
        <v>#N/A</v>
      </c>
      <c r="EL478" s="46">
        <f t="shared" si="617"/>
        <v>0</v>
      </c>
      <c r="EM478" s="46">
        <f t="shared" si="618"/>
        <v>0</v>
      </c>
    </row>
    <row r="479" spans="1:143">
      <c r="A479" s="89"/>
      <c r="B479" s="89"/>
      <c r="C479" s="89"/>
      <c r="D479" s="89"/>
      <c r="E479" s="89"/>
      <c r="F479" s="89"/>
      <c r="G479" s="34"/>
      <c r="H479" s="56">
        <f t="shared" si="619"/>
        <v>465</v>
      </c>
      <c r="I479" s="165"/>
      <c r="J479" s="163"/>
      <c r="K479" s="163"/>
      <c r="L479" s="164"/>
      <c r="M479" s="155"/>
      <c r="N479" s="155"/>
      <c r="O479" s="144"/>
      <c r="P479" s="159" t="str">
        <f>IFERROR(IF(O479&lt;&gt;"User Specified",IF(O479&lt;&gt;"", INDEX('Refrigerant GWPs'!$G$2:$G$154,MATCH(O479,'Refrigerant GWPs'!$A$2:$A$154,0)),""),U479),0)</f>
        <v/>
      </c>
      <c r="Q479" s="155"/>
      <c r="R479" s="155"/>
      <c r="S479" s="144"/>
      <c r="T479" s="159" t="str">
        <f>IF(S479&lt;&gt;"User Specified",IF(AND(S479&lt;&gt;"User Specified",S479&lt;&gt;""), INDEX('Refrigerant GWPs'!$G$2:$G$154,MATCH(S479,'Refrigerant GWPs'!$A$2:$A$154,0)),""),V479)</f>
        <v/>
      </c>
      <c r="U479" s="144"/>
      <c r="V479" s="144"/>
      <c r="W479" s="155"/>
      <c r="X479" s="155"/>
      <c r="Y479" s="144"/>
      <c r="Z479" s="159" t="str">
        <f>IF(AND(Y479&lt;&gt;"User Specified",Y479&lt;&gt;""), INDEX('Refrigerant GWPs'!$G$2:$G$154,MATCH(Y479,'Refrigerant GWPs'!$A$2:$A$154,0)),"")</f>
        <v/>
      </c>
      <c r="AA479" s="155"/>
      <c r="AB479" s="156"/>
      <c r="AC479" s="66"/>
      <c r="AD479" s="66"/>
      <c r="AE479" s="66"/>
      <c r="AF479" s="66"/>
      <c r="AG479" s="66"/>
      <c r="AH479" s="66"/>
      <c r="AI479" s="34"/>
      <c r="AJ479" s="88">
        <f t="shared" si="582"/>
        <v>0</v>
      </c>
      <c r="AK479" s="88">
        <f t="shared" si="583"/>
        <v>0</v>
      </c>
      <c r="AL479" s="88">
        <v>0</v>
      </c>
      <c r="AM479" s="88">
        <v>0</v>
      </c>
      <c r="AN479" s="81" t="str">
        <f t="shared" si="621"/>
        <v/>
      </c>
      <c r="AO479" s="88">
        <f t="shared" si="584"/>
        <v>0</v>
      </c>
      <c r="AP479" s="88">
        <f t="shared" si="585"/>
        <v>0</v>
      </c>
      <c r="AQ479" s="81" t="str">
        <f t="shared" si="586"/>
        <v/>
      </c>
      <c r="AS479" s="41" t="b">
        <f t="shared" si="587"/>
        <v>1</v>
      </c>
      <c r="AT479" s="38">
        <f t="shared" si="588"/>
        <v>0</v>
      </c>
      <c r="AU479" s="60">
        <f t="shared" si="589"/>
        <v>0</v>
      </c>
      <c r="AV479" s="41">
        <f t="shared" si="590"/>
        <v>0</v>
      </c>
      <c r="AW479" s="41" t="b">
        <f t="shared" si="591"/>
        <v>0</v>
      </c>
      <c r="AX479" t="str">
        <f t="shared" si="592"/>
        <v>+00</v>
      </c>
      <c r="AY479" t="str">
        <f t="shared" si="593"/>
        <v>+00</v>
      </c>
      <c r="BA479" s="47" t="b">
        <f t="shared" si="622"/>
        <v>1</v>
      </c>
      <c r="BB479" s="42" t="b">
        <f t="shared" si="623"/>
        <v>1</v>
      </c>
      <c r="BC479" s="42" t="b">
        <f t="shared" si="624"/>
        <v>0</v>
      </c>
      <c r="BD479" s="42" t="b">
        <f t="shared" si="625"/>
        <v>0</v>
      </c>
      <c r="BE479" s="70">
        <f t="shared" si="626"/>
        <v>0</v>
      </c>
      <c r="BF479" s="70">
        <f t="shared" si="627"/>
        <v>0</v>
      </c>
      <c r="BG479" s="34"/>
      <c r="BI479" s="47" t="b">
        <f t="shared" si="628"/>
        <v>1</v>
      </c>
      <c r="BJ479" s="47" t="b">
        <f t="shared" si="629"/>
        <v>1</v>
      </c>
      <c r="BK479" s="42" t="b">
        <f t="shared" si="630"/>
        <v>0</v>
      </c>
      <c r="BL479" s="42" t="b">
        <f t="shared" si="631"/>
        <v>0</v>
      </c>
      <c r="BM479" s="42">
        <f t="shared" si="632"/>
        <v>0</v>
      </c>
      <c r="BN479" s="42">
        <f t="shared" si="633"/>
        <v>0</v>
      </c>
      <c r="BP479" t="e">
        <f t="shared" si="634"/>
        <v>#N/A</v>
      </c>
      <c r="BQ479" t="e">
        <f t="shared" si="635"/>
        <v>#N/A</v>
      </c>
      <c r="BR479" t="e">
        <f t="shared" si="636"/>
        <v>#N/A</v>
      </c>
      <c r="BT479" s="60">
        <f t="shared" si="637"/>
        <v>0</v>
      </c>
      <c r="BU479" s="60">
        <f t="shared" si="638"/>
        <v>0</v>
      </c>
      <c r="BV479" s="60">
        <f t="shared" si="639"/>
        <v>0</v>
      </c>
      <c r="BW479" s="60">
        <f t="shared" si="640"/>
        <v>0</v>
      </c>
      <c r="BX479" s="60">
        <f t="shared" si="641"/>
        <v>0</v>
      </c>
      <c r="BY479" s="60">
        <f t="shared" si="642"/>
        <v>0</v>
      </c>
      <c r="BZ479" s="60">
        <f t="shared" si="643"/>
        <v>0</v>
      </c>
      <c r="CA479" s="60">
        <f t="shared" si="644"/>
        <v>0</v>
      </c>
      <c r="CB479" s="60" t="e">
        <f t="shared" si="594"/>
        <v>#N/A</v>
      </c>
      <c r="CC479" s="60">
        <f t="shared" si="595"/>
        <v>100000</v>
      </c>
      <c r="CD479" s="60" t="e">
        <f t="shared" si="596"/>
        <v>#N/A</v>
      </c>
      <c r="CE479" s="60">
        <f t="shared" si="597"/>
        <v>100000</v>
      </c>
      <c r="CF479" s="83" t="e">
        <f t="shared" si="645"/>
        <v>#N/A</v>
      </c>
      <c r="CG479" s="83">
        <f t="shared" si="646"/>
        <v>0</v>
      </c>
      <c r="CH479" s="83" t="e">
        <f t="shared" si="647"/>
        <v>#N/A</v>
      </c>
      <c r="CI479" s="83">
        <f t="shared" si="648"/>
        <v>0</v>
      </c>
      <c r="CJ479" s="86" t="e">
        <f t="shared" si="598"/>
        <v>#N/A</v>
      </c>
      <c r="CK479" s="82">
        <f t="shared" si="599"/>
        <v>5.3070370403969858E-3</v>
      </c>
      <c r="CL479" s="82" t="e">
        <f t="shared" si="600"/>
        <v>#N/A</v>
      </c>
      <c r="CM479" s="82">
        <f t="shared" si="601"/>
        <v>5.3070370403969858E-3</v>
      </c>
      <c r="CO479" s="149" t="str">
        <f>IF($I479&lt;&gt;"",IF(O479="User Specified",U479,INDEX('Refrigerant GWPs'!$G$2:$G$156,MATCH(O479,'Refrigerant GWPs'!$A$2:$A$156,0))),"")</f>
        <v/>
      </c>
      <c r="CP479" s="138" t="str">
        <f>IF($I479&lt;&gt;"",INDEX('Device Refrigerant Leakage'!$E$2:$E$42,MATCH($M479,'Device Refrigerant Leakage'!$B$2:$B$42,0)),"")</f>
        <v/>
      </c>
      <c r="CQ479" s="138" t="str">
        <f>IF($I479&lt;&gt;"",INDEX('Device Refrigerant Leakage'!$F$2:$F$42,MATCH($M479,'Device Refrigerant Leakage'!$B$2:$B$42,0)),"")</f>
        <v/>
      </c>
      <c r="CR479" s="145" t="str">
        <f>IF($I479&lt;&gt;"",INDEX('Device Refrigerant Leakage'!$G$2:$G$42,MATCH($M479,'Device Refrigerant Leakage'!$B$2:$B$42,0)),"")</f>
        <v/>
      </c>
      <c r="CS479" s="145" t="str">
        <f>IF($I479&lt;&gt;"",INDEX('Device Refrigerant Leakage'!$D$2:$D$42,MATCH($M479,'Device Refrigerant Leakage'!$B$2:$B$42,0))*CP479/2204.62*CO479,"")</f>
        <v/>
      </c>
      <c r="CT479" s="145" t="str">
        <f>IF($I479&lt;&gt;"",J479*(INDEX('Device Refrigerant Leakage'!$D$2:$D$42,MATCH($M479,'Device Refrigerant Leakage'!$B$2:$B$42,0))-(INDEX('Device Refrigerant Leakage'!$D$2:$D$42,MATCH($M479,'Device Refrigerant Leakage'!$B$2:$B$42,0)))*CR479*CP479)*CQ479/2204.62*CO479,"")</f>
        <v/>
      </c>
      <c r="CU479" s="135" t="str">
        <f>IF($I479&lt;&gt;"",J479*IF(W479&lt;&gt;"AR",(CS479*K479)+CT479,(CS479*AB479)+CT479*(AB479/INDEX('Device Refrigerant Leakage'!$C$2:$C$42,MATCH($M479,'Device Refrigerant Leakage'!$B$2:$B$42,0)))),"")</f>
        <v/>
      </c>
      <c r="CW479" s="135" t="str">
        <f>IF($I479&lt;&gt;"",IF(S479="User Specified",V479,INDEX('Refrigerant GWPs'!$G$2:$G$156,MATCH(S479,'Refrigerant GWPs'!$A$2:$A$157,0))),"")</f>
        <v/>
      </c>
      <c r="CX479" s="138" t="str">
        <f>IF($I479&lt;&gt;"",INDEX('Device Refrigerant Leakage'!$E$2:$E$42,MATCH($Q479,'Device Refrigerant Leakage'!$B$2:$B$42,0)),"")</f>
        <v/>
      </c>
      <c r="CY479" s="138" t="str">
        <f>IF($I479&lt;&gt;"",INDEX('Device Refrigerant Leakage'!$F$2:$F$42,MATCH($Q479,'Device Refrigerant Leakage'!$B$2:$B$42,0)),"")</f>
        <v/>
      </c>
      <c r="CZ479" s="145" t="str">
        <f>IF($I479&lt;&gt;"",INDEX('Device Refrigerant Leakage'!$G$2:$G$42,MATCH($Q479,'Device Refrigerant Leakage'!$B$2:$B$42,0)),"")</f>
        <v/>
      </c>
      <c r="DA479" s="145" t="str">
        <f>IF($I479&lt;&gt;"",J479*INDEX('Device Refrigerant Leakage'!$D$2:$D$42,MATCH($Q479,'Device Refrigerant Leakage'!$B$2:$B$42,0))*CX479/2204.62*CW479,"")</f>
        <v/>
      </c>
      <c r="DB479" s="145" t="str">
        <f>IF($I479&lt;&gt;"",J479*(INDEX('Device Refrigerant Leakage'!$D$2:$D$42,MATCH($Q479,'Device Refrigerant Leakage'!$B$2:$B$42,0))-(INDEX('Device Refrigerant Leakage'!$D$2:$D$42,MATCH($Q479,'Device Refrigerant Leakage'!$B$2:$B$42,0)))*CZ479*CX479)*CY479/2204.62*CW479,"")</f>
        <v/>
      </c>
      <c r="DC479" s="135" t="str">
        <f t="shared" si="620"/>
        <v/>
      </c>
      <c r="DE479" s="146" t="str">
        <f>IF(W479&lt;&gt;"AR","",IF(Y479="User Specified", AA479, INDEX('Refrigerant GWPs'!$G$2:$G$154,MATCH(Y479,'Refrigerant GWPs'!$A$2:$A$154,0))))</f>
        <v/>
      </c>
      <c r="DF479" s="146" t="str">
        <f>IF(W479&lt;&gt;"AR","",INDEX('Device Refrigerant Leakage'!$E$2:$E$42,MATCH(X479,'Device Refrigerant Leakage'!$B$2:$B$42,0)))</f>
        <v/>
      </c>
      <c r="DG479" s="146" t="str">
        <f>IF(W479&lt;&gt;"AR","",INDEX('Device Refrigerant Leakage'!$F$2:$F$42,MATCH(X479,'Device Refrigerant Leakage'!$B$2:$B$42,0)))</f>
        <v/>
      </c>
      <c r="DH479" s="146" t="str">
        <f>IF(W479&lt;&gt;"AR","",INDEX('Device Refrigerant Leakage'!$G$2:$G$42,MATCH(X479,'Device Refrigerant Leakage'!$B$2:$B$42,0)))</f>
        <v/>
      </c>
      <c r="DI479" s="146" t="str">
        <f>IF(W479&lt;&gt;"AR","",J479*INDEX('Device Refrigerant Leakage'!$D$2:$D$42,MATCH(X479,'Device Refrigerant Leakage'!$B$2:$B$42,0))*DF479/2204.62*DE479)</f>
        <v/>
      </c>
      <c r="DJ479" s="146" t="str">
        <f>IF(W479&lt;&gt;"AR","",J479*(INDEX('Device Refrigerant Leakage'!$D$2:$D$42,MATCH(X479,'Device Refrigerant Leakage'!$B$2:$B$42,0))-(INDEX('Device Refrigerant Leakage'!$D$2:$D$42,MATCH(X479,'Device Refrigerant Leakage'!$B$2:$B$42,0)))*DH479*DF479)*DG479/2204.62*DE479)</f>
        <v/>
      </c>
      <c r="DK479" s="146" t="str">
        <f>IF(W479&lt;&gt;"AR","",DI479*(K479-AB479)+'Fuel Sub Calcs-Deemed'!DJ479*((K479-AB479)/INDEX('Device Refrigerant Leakage'!$C$2:$C$42,MATCH('Fuel Sub Calcs-Deemed'!X479,'Device Refrigerant Leakage'!$B$2:$B$42,0))))</f>
        <v/>
      </c>
      <c r="DM479" s="56">
        <v>465</v>
      </c>
      <c r="DN479" s="67" t="e">
        <f t="shared" si="602"/>
        <v>#N/A</v>
      </c>
      <c r="DO479" s="45" t="e">
        <f t="shared" si="603"/>
        <v>#N/A</v>
      </c>
      <c r="DP479" s="67" t="e">
        <f t="shared" si="604"/>
        <v>#N/A</v>
      </c>
      <c r="DQ479" s="45" t="e">
        <f t="shared" si="605"/>
        <v>#N/A</v>
      </c>
      <c r="DR479" s="69" t="e">
        <f t="shared" si="606"/>
        <v>#N/A</v>
      </c>
      <c r="DS479" s="34"/>
      <c r="DT479" s="67" t="e">
        <f>((BX479*CJ479)+IF($W479=MAT_AR,(BZ479*CL479),0))*(1+Reference!$E$50+Reference!$E$51)</f>
        <v>#N/A</v>
      </c>
      <c r="DU479" s="67">
        <f>((BY479*CK479)+IF($W479=MAT_AR,(CA479*CM479),0))*(1+Reference!$G$50+Reference!$G$51)</f>
        <v>0</v>
      </c>
      <c r="DV479" s="67" t="e">
        <f t="shared" si="607"/>
        <v>#VALUE!</v>
      </c>
      <c r="DX479" s="56">
        <v>465</v>
      </c>
      <c r="DY479" s="67">
        <f t="shared" si="608"/>
        <v>0</v>
      </c>
      <c r="DZ479" s="45" t="e">
        <f>VLOOKUP($R479,Dropdown!$C$3:$D$4,2,FALSE)</f>
        <v>#N/A</v>
      </c>
      <c r="EA479" s="68">
        <f t="shared" si="609"/>
        <v>0</v>
      </c>
      <c r="EB479" s="68" t="str">
        <f t="shared" si="610"/>
        <v>N/A</v>
      </c>
      <c r="EC479" s="68">
        <f t="shared" si="611"/>
        <v>0</v>
      </c>
      <c r="ED479" s="68" t="str">
        <f t="shared" si="649"/>
        <v>N/A</v>
      </c>
      <c r="EF479" s="56">
        <v>465</v>
      </c>
      <c r="EG479" s="46">
        <f t="shared" si="612"/>
        <v>0</v>
      </c>
      <c r="EH479" s="68" t="e">
        <f t="shared" si="613"/>
        <v>#N/A</v>
      </c>
      <c r="EI479" s="68" t="e">
        <f t="shared" si="614"/>
        <v>#N/A</v>
      </c>
      <c r="EJ479" s="68" t="e">
        <f t="shared" si="615"/>
        <v>#N/A</v>
      </c>
      <c r="EK479" s="68" t="e">
        <f t="shared" si="616"/>
        <v>#N/A</v>
      </c>
      <c r="EL479" s="46">
        <f t="shared" si="617"/>
        <v>0</v>
      </c>
      <c r="EM479" s="46">
        <f t="shared" si="618"/>
        <v>0</v>
      </c>
    </row>
    <row r="480" spans="1:143">
      <c r="A480" s="89"/>
      <c r="B480" s="89"/>
      <c r="C480" s="89"/>
      <c r="D480" s="89"/>
      <c r="E480" s="89"/>
      <c r="F480" s="89"/>
      <c r="G480" s="34"/>
      <c r="H480" s="56">
        <f t="shared" si="619"/>
        <v>466</v>
      </c>
      <c r="I480" s="165"/>
      <c r="J480" s="163"/>
      <c r="K480" s="163"/>
      <c r="L480" s="164"/>
      <c r="M480" s="155"/>
      <c r="N480" s="155"/>
      <c r="O480" s="144"/>
      <c r="P480" s="159" t="str">
        <f>IFERROR(IF(O480&lt;&gt;"User Specified",IF(O480&lt;&gt;"", INDEX('Refrigerant GWPs'!$G$2:$G$154,MATCH(O480,'Refrigerant GWPs'!$A$2:$A$154,0)),""),U480),0)</f>
        <v/>
      </c>
      <c r="Q480" s="155"/>
      <c r="R480" s="155"/>
      <c r="S480" s="144"/>
      <c r="T480" s="159" t="str">
        <f>IF(S480&lt;&gt;"User Specified",IF(AND(S480&lt;&gt;"User Specified",S480&lt;&gt;""), INDEX('Refrigerant GWPs'!$G$2:$G$154,MATCH(S480,'Refrigerant GWPs'!$A$2:$A$154,0)),""),V480)</f>
        <v/>
      </c>
      <c r="U480" s="144"/>
      <c r="V480" s="144"/>
      <c r="W480" s="155"/>
      <c r="X480" s="155"/>
      <c r="Y480" s="144"/>
      <c r="Z480" s="159" t="str">
        <f>IF(AND(Y480&lt;&gt;"User Specified",Y480&lt;&gt;""), INDEX('Refrigerant GWPs'!$G$2:$G$154,MATCH(Y480,'Refrigerant GWPs'!$A$2:$A$154,0)),"")</f>
        <v/>
      </c>
      <c r="AA480" s="155"/>
      <c r="AB480" s="156"/>
      <c r="AC480" s="66"/>
      <c r="AD480" s="66"/>
      <c r="AE480" s="66"/>
      <c r="AF480" s="66"/>
      <c r="AG480" s="66"/>
      <c r="AH480" s="66"/>
      <c r="AI480" s="34"/>
      <c r="AJ480" s="88">
        <f t="shared" si="582"/>
        <v>0</v>
      </c>
      <c r="AK480" s="88">
        <f t="shared" si="583"/>
        <v>0</v>
      </c>
      <c r="AL480" s="88">
        <v>0</v>
      </c>
      <c r="AM480" s="88">
        <v>0</v>
      </c>
      <c r="AN480" s="81" t="str">
        <f t="shared" si="621"/>
        <v/>
      </c>
      <c r="AO480" s="88">
        <f t="shared" si="584"/>
        <v>0</v>
      </c>
      <c r="AP480" s="88">
        <f t="shared" si="585"/>
        <v>0</v>
      </c>
      <c r="AQ480" s="81" t="str">
        <f t="shared" si="586"/>
        <v/>
      </c>
      <c r="AS480" s="41" t="b">
        <f t="shared" si="587"/>
        <v>1</v>
      </c>
      <c r="AT480" s="38">
        <f t="shared" si="588"/>
        <v>0</v>
      </c>
      <c r="AU480" s="60">
        <f t="shared" si="589"/>
        <v>0</v>
      </c>
      <c r="AV480" s="41">
        <f t="shared" si="590"/>
        <v>0</v>
      </c>
      <c r="AW480" s="41" t="b">
        <f t="shared" si="591"/>
        <v>0</v>
      </c>
      <c r="AX480" t="str">
        <f t="shared" si="592"/>
        <v>+00</v>
      </c>
      <c r="AY480" t="str">
        <f t="shared" si="593"/>
        <v>+00</v>
      </c>
      <c r="BA480" s="47" t="b">
        <f t="shared" si="622"/>
        <v>1</v>
      </c>
      <c r="BB480" s="42" t="b">
        <f t="shared" si="623"/>
        <v>1</v>
      </c>
      <c r="BC480" s="42" t="b">
        <f t="shared" si="624"/>
        <v>0</v>
      </c>
      <c r="BD480" s="42" t="b">
        <f t="shared" si="625"/>
        <v>0</v>
      </c>
      <c r="BE480" s="70">
        <f t="shared" si="626"/>
        <v>0</v>
      </c>
      <c r="BF480" s="70">
        <f t="shared" si="627"/>
        <v>0</v>
      </c>
      <c r="BG480" s="34"/>
      <c r="BI480" s="47" t="b">
        <f t="shared" si="628"/>
        <v>1</v>
      </c>
      <c r="BJ480" s="47" t="b">
        <f t="shared" si="629"/>
        <v>1</v>
      </c>
      <c r="BK480" s="42" t="b">
        <f t="shared" si="630"/>
        <v>0</v>
      </c>
      <c r="BL480" s="42" t="b">
        <f t="shared" si="631"/>
        <v>0</v>
      </c>
      <c r="BM480" s="42">
        <f t="shared" si="632"/>
        <v>0</v>
      </c>
      <c r="BN480" s="42">
        <f t="shared" si="633"/>
        <v>0</v>
      </c>
      <c r="BP480" t="e">
        <f t="shared" si="634"/>
        <v>#N/A</v>
      </c>
      <c r="BQ480" t="e">
        <f t="shared" si="635"/>
        <v>#N/A</v>
      </c>
      <c r="BR480" t="e">
        <f t="shared" si="636"/>
        <v>#N/A</v>
      </c>
      <c r="BT480" s="60">
        <f t="shared" si="637"/>
        <v>0</v>
      </c>
      <c r="BU480" s="60">
        <f t="shared" si="638"/>
        <v>0</v>
      </c>
      <c r="BV480" s="60">
        <f t="shared" si="639"/>
        <v>0</v>
      </c>
      <c r="BW480" s="60">
        <f t="shared" si="640"/>
        <v>0</v>
      </c>
      <c r="BX480" s="60">
        <f t="shared" si="641"/>
        <v>0</v>
      </c>
      <c r="BY480" s="60">
        <f t="shared" si="642"/>
        <v>0</v>
      </c>
      <c r="BZ480" s="60">
        <f t="shared" si="643"/>
        <v>0</v>
      </c>
      <c r="CA480" s="60">
        <f t="shared" si="644"/>
        <v>0</v>
      </c>
      <c r="CB480" s="60" t="e">
        <f t="shared" si="594"/>
        <v>#N/A</v>
      </c>
      <c r="CC480" s="60">
        <f t="shared" si="595"/>
        <v>100000</v>
      </c>
      <c r="CD480" s="60" t="e">
        <f t="shared" si="596"/>
        <v>#N/A</v>
      </c>
      <c r="CE480" s="60">
        <f t="shared" si="597"/>
        <v>100000</v>
      </c>
      <c r="CF480" s="83" t="e">
        <f t="shared" si="645"/>
        <v>#N/A</v>
      </c>
      <c r="CG480" s="83">
        <f t="shared" si="646"/>
        <v>0</v>
      </c>
      <c r="CH480" s="83" t="e">
        <f t="shared" si="647"/>
        <v>#N/A</v>
      </c>
      <c r="CI480" s="83">
        <f t="shared" si="648"/>
        <v>0</v>
      </c>
      <c r="CJ480" s="86" t="e">
        <f t="shared" si="598"/>
        <v>#N/A</v>
      </c>
      <c r="CK480" s="82">
        <f t="shared" si="599"/>
        <v>5.3070370403969858E-3</v>
      </c>
      <c r="CL480" s="82" t="e">
        <f t="shared" si="600"/>
        <v>#N/A</v>
      </c>
      <c r="CM480" s="82">
        <f t="shared" si="601"/>
        <v>5.3070370403969858E-3</v>
      </c>
      <c r="CO480" s="149" t="str">
        <f>IF($I480&lt;&gt;"",IF(O480="User Specified",U480,INDEX('Refrigerant GWPs'!$G$2:$G$156,MATCH(O480,'Refrigerant GWPs'!$A$2:$A$156,0))),"")</f>
        <v/>
      </c>
      <c r="CP480" s="138" t="str">
        <f>IF($I480&lt;&gt;"",INDEX('Device Refrigerant Leakage'!$E$2:$E$42,MATCH($M480,'Device Refrigerant Leakage'!$B$2:$B$42,0)),"")</f>
        <v/>
      </c>
      <c r="CQ480" s="138" t="str">
        <f>IF($I480&lt;&gt;"",INDEX('Device Refrigerant Leakage'!$F$2:$F$42,MATCH($M480,'Device Refrigerant Leakage'!$B$2:$B$42,0)),"")</f>
        <v/>
      </c>
      <c r="CR480" s="145" t="str">
        <f>IF($I480&lt;&gt;"",INDEX('Device Refrigerant Leakage'!$G$2:$G$42,MATCH($M480,'Device Refrigerant Leakage'!$B$2:$B$42,0)),"")</f>
        <v/>
      </c>
      <c r="CS480" s="145" t="str">
        <f>IF($I480&lt;&gt;"",INDEX('Device Refrigerant Leakage'!$D$2:$D$42,MATCH($M480,'Device Refrigerant Leakage'!$B$2:$B$42,0))*CP480/2204.62*CO480,"")</f>
        <v/>
      </c>
      <c r="CT480" s="145" t="str">
        <f>IF($I480&lt;&gt;"",J480*(INDEX('Device Refrigerant Leakage'!$D$2:$D$42,MATCH($M480,'Device Refrigerant Leakage'!$B$2:$B$42,0))-(INDEX('Device Refrigerant Leakage'!$D$2:$D$42,MATCH($M480,'Device Refrigerant Leakage'!$B$2:$B$42,0)))*CR480*CP480)*CQ480/2204.62*CO480,"")</f>
        <v/>
      </c>
      <c r="CU480" s="135" t="str">
        <f>IF($I480&lt;&gt;"",J480*IF(W480&lt;&gt;"AR",(CS480*K480)+CT480,(CS480*AB480)+CT480*(AB480/INDEX('Device Refrigerant Leakage'!$C$2:$C$42,MATCH($M480,'Device Refrigerant Leakage'!$B$2:$B$42,0)))),"")</f>
        <v/>
      </c>
      <c r="CW480" s="135" t="str">
        <f>IF($I480&lt;&gt;"",IF(S480="User Specified",V480,INDEX('Refrigerant GWPs'!$G$2:$G$156,MATCH(S480,'Refrigerant GWPs'!$A$2:$A$157,0))),"")</f>
        <v/>
      </c>
      <c r="CX480" s="138" t="str">
        <f>IF($I480&lt;&gt;"",INDEX('Device Refrigerant Leakage'!$E$2:$E$42,MATCH($Q480,'Device Refrigerant Leakage'!$B$2:$B$42,0)),"")</f>
        <v/>
      </c>
      <c r="CY480" s="138" t="str">
        <f>IF($I480&lt;&gt;"",INDEX('Device Refrigerant Leakage'!$F$2:$F$42,MATCH($Q480,'Device Refrigerant Leakage'!$B$2:$B$42,0)),"")</f>
        <v/>
      </c>
      <c r="CZ480" s="145" t="str">
        <f>IF($I480&lt;&gt;"",INDEX('Device Refrigerant Leakage'!$G$2:$G$42,MATCH($Q480,'Device Refrigerant Leakage'!$B$2:$B$42,0)),"")</f>
        <v/>
      </c>
      <c r="DA480" s="145" t="str">
        <f>IF($I480&lt;&gt;"",J480*INDEX('Device Refrigerant Leakage'!$D$2:$D$42,MATCH($Q480,'Device Refrigerant Leakage'!$B$2:$B$42,0))*CX480/2204.62*CW480,"")</f>
        <v/>
      </c>
      <c r="DB480" s="145" t="str">
        <f>IF($I480&lt;&gt;"",J480*(INDEX('Device Refrigerant Leakage'!$D$2:$D$42,MATCH($Q480,'Device Refrigerant Leakage'!$B$2:$B$42,0))-(INDEX('Device Refrigerant Leakage'!$D$2:$D$42,MATCH($Q480,'Device Refrigerant Leakage'!$B$2:$B$42,0)))*CZ480*CX480)*CY480/2204.62*CW480,"")</f>
        <v/>
      </c>
      <c r="DC480" s="135" t="str">
        <f t="shared" si="620"/>
        <v/>
      </c>
      <c r="DE480" s="146" t="str">
        <f>IF(W480&lt;&gt;"AR","",IF(Y480="User Specified", AA480, INDEX('Refrigerant GWPs'!$G$2:$G$154,MATCH(Y480,'Refrigerant GWPs'!$A$2:$A$154,0))))</f>
        <v/>
      </c>
      <c r="DF480" s="146" t="str">
        <f>IF(W480&lt;&gt;"AR","",INDEX('Device Refrigerant Leakage'!$E$2:$E$42,MATCH(X480,'Device Refrigerant Leakage'!$B$2:$B$42,0)))</f>
        <v/>
      </c>
      <c r="DG480" s="146" t="str">
        <f>IF(W480&lt;&gt;"AR","",INDEX('Device Refrigerant Leakage'!$F$2:$F$42,MATCH(X480,'Device Refrigerant Leakage'!$B$2:$B$42,0)))</f>
        <v/>
      </c>
      <c r="DH480" s="146" t="str">
        <f>IF(W480&lt;&gt;"AR","",INDEX('Device Refrigerant Leakage'!$G$2:$G$42,MATCH(X480,'Device Refrigerant Leakage'!$B$2:$B$42,0)))</f>
        <v/>
      </c>
      <c r="DI480" s="146" t="str">
        <f>IF(W480&lt;&gt;"AR","",J480*INDEX('Device Refrigerant Leakage'!$D$2:$D$42,MATCH(X480,'Device Refrigerant Leakage'!$B$2:$B$42,0))*DF480/2204.62*DE480)</f>
        <v/>
      </c>
      <c r="DJ480" s="146" t="str">
        <f>IF(W480&lt;&gt;"AR","",J480*(INDEX('Device Refrigerant Leakage'!$D$2:$D$42,MATCH(X480,'Device Refrigerant Leakage'!$B$2:$B$42,0))-(INDEX('Device Refrigerant Leakage'!$D$2:$D$42,MATCH(X480,'Device Refrigerant Leakage'!$B$2:$B$42,0)))*DH480*DF480)*DG480/2204.62*DE480)</f>
        <v/>
      </c>
      <c r="DK480" s="146" t="str">
        <f>IF(W480&lt;&gt;"AR","",DI480*(K480-AB480)+'Fuel Sub Calcs-Deemed'!DJ480*((K480-AB480)/INDEX('Device Refrigerant Leakage'!$C$2:$C$42,MATCH('Fuel Sub Calcs-Deemed'!X480,'Device Refrigerant Leakage'!$B$2:$B$42,0))))</f>
        <v/>
      </c>
      <c r="DM480" s="56">
        <v>466</v>
      </c>
      <c r="DN480" s="67" t="e">
        <f t="shared" si="602"/>
        <v>#N/A</v>
      </c>
      <c r="DO480" s="45" t="e">
        <f t="shared" si="603"/>
        <v>#N/A</v>
      </c>
      <c r="DP480" s="67" t="e">
        <f t="shared" si="604"/>
        <v>#N/A</v>
      </c>
      <c r="DQ480" s="45" t="e">
        <f t="shared" si="605"/>
        <v>#N/A</v>
      </c>
      <c r="DR480" s="69" t="e">
        <f t="shared" si="606"/>
        <v>#N/A</v>
      </c>
      <c r="DS480" s="34"/>
      <c r="DT480" s="67" t="e">
        <f>((BX480*CJ480)+IF($W480=MAT_AR,(BZ480*CL480),0))*(1+Reference!$E$50+Reference!$E$51)</f>
        <v>#N/A</v>
      </c>
      <c r="DU480" s="67">
        <f>((BY480*CK480)+IF($W480=MAT_AR,(CA480*CM480),0))*(1+Reference!$G$50+Reference!$G$51)</f>
        <v>0</v>
      </c>
      <c r="DV480" s="67" t="e">
        <f t="shared" si="607"/>
        <v>#VALUE!</v>
      </c>
      <c r="DX480" s="56">
        <v>466</v>
      </c>
      <c r="DY480" s="67">
        <f t="shared" si="608"/>
        <v>0</v>
      </c>
      <c r="DZ480" s="45" t="e">
        <f>VLOOKUP($R480,Dropdown!$C$3:$D$4,2,FALSE)</f>
        <v>#N/A</v>
      </c>
      <c r="EA480" s="68">
        <f t="shared" si="609"/>
        <v>0</v>
      </c>
      <c r="EB480" s="68" t="str">
        <f t="shared" si="610"/>
        <v>N/A</v>
      </c>
      <c r="EC480" s="68">
        <f t="shared" si="611"/>
        <v>0</v>
      </c>
      <c r="ED480" s="68" t="str">
        <f t="shared" si="649"/>
        <v>N/A</v>
      </c>
      <c r="EF480" s="56">
        <v>466</v>
      </c>
      <c r="EG480" s="46">
        <f t="shared" si="612"/>
        <v>0</v>
      </c>
      <c r="EH480" s="68" t="e">
        <f t="shared" si="613"/>
        <v>#N/A</v>
      </c>
      <c r="EI480" s="68" t="e">
        <f t="shared" si="614"/>
        <v>#N/A</v>
      </c>
      <c r="EJ480" s="68" t="e">
        <f t="shared" si="615"/>
        <v>#N/A</v>
      </c>
      <c r="EK480" s="68" t="e">
        <f t="shared" si="616"/>
        <v>#N/A</v>
      </c>
      <c r="EL480" s="46">
        <f t="shared" si="617"/>
        <v>0</v>
      </c>
      <c r="EM480" s="46">
        <f t="shared" si="618"/>
        <v>0</v>
      </c>
    </row>
    <row r="481" spans="1:143">
      <c r="A481" s="89"/>
      <c r="B481" s="89"/>
      <c r="C481" s="89"/>
      <c r="D481" s="89"/>
      <c r="E481" s="89"/>
      <c r="F481" s="89"/>
      <c r="G481" s="34"/>
      <c r="H481" s="56">
        <f t="shared" si="619"/>
        <v>467</v>
      </c>
      <c r="I481" s="165"/>
      <c r="J481" s="163"/>
      <c r="K481" s="163"/>
      <c r="L481" s="164"/>
      <c r="M481" s="155"/>
      <c r="N481" s="155"/>
      <c r="O481" s="144"/>
      <c r="P481" s="159" t="str">
        <f>IFERROR(IF(O481&lt;&gt;"User Specified",IF(O481&lt;&gt;"", INDEX('Refrigerant GWPs'!$G$2:$G$154,MATCH(O481,'Refrigerant GWPs'!$A$2:$A$154,0)),""),U481),0)</f>
        <v/>
      </c>
      <c r="Q481" s="155"/>
      <c r="R481" s="155"/>
      <c r="S481" s="144"/>
      <c r="T481" s="159" t="str">
        <f>IF(S481&lt;&gt;"User Specified",IF(AND(S481&lt;&gt;"User Specified",S481&lt;&gt;""), INDEX('Refrigerant GWPs'!$G$2:$G$154,MATCH(S481,'Refrigerant GWPs'!$A$2:$A$154,0)),""),V481)</f>
        <v/>
      </c>
      <c r="U481" s="144"/>
      <c r="V481" s="144"/>
      <c r="W481" s="155"/>
      <c r="X481" s="155"/>
      <c r="Y481" s="144"/>
      <c r="Z481" s="159" t="str">
        <f>IF(AND(Y481&lt;&gt;"User Specified",Y481&lt;&gt;""), INDEX('Refrigerant GWPs'!$G$2:$G$154,MATCH(Y481,'Refrigerant GWPs'!$A$2:$A$154,0)),"")</f>
        <v/>
      </c>
      <c r="AA481" s="155"/>
      <c r="AB481" s="156"/>
      <c r="AC481" s="66"/>
      <c r="AD481" s="66"/>
      <c r="AE481" s="66"/>
      <c r="AF481" s="66"/>
      <c r="AG481" s="66"/>
      <c r="AH481" s="66"/>
      <c r="AI481" s="34"/>
      <c r="AJ481" s="88">
        <f t="shared" si="582"/>
        <v>0</v>
      </c>
      <c r="AK481" s="88">
        <f t="shared" si="583"/>
        <v>0</v>
      </c>
      <c r="AL481" s="88">
        <v>0</v>
      </c>
      <c r="AM481" s="88">
        <v>0</v>
      </c>
      <c r="AN481" s="81" t="str">
        <f t="shared" si="621"/>
        <v/>
      </c>
      <c r="AO481" s="88">
        <f t="shared" si="584"/>
        <v>0</v>
      </c>
      <c r="AP481" s="88">
        <f t="shared" si="585"/>
        <v>0</v>
      </c>
      <c r="AQ481" s="81" t="str">
        <f t="shared" si="586"/>
        <v/>
      </c>
      <c r="AS481" s="41" t="b">
        <f t="shared" si="587"/>
        <v>1</v>
      </c>
      <c r="AT481" s="38">
        <f t="shared" si="588"/>
        <v>0</v>
      </c>
      <c r="AU481" s="60">
        <f t="shared" si="589"/>
        <v>0</v>
      </c>
      <c r="AV481" s="41">
        <f t="shared" si="590"/>
        <v>0</v>
      </c>
      <c r="AW481" s="41" t="b">
        <f t="shared" si="591"/>
        <v>0</v>
      </c>
      <c r="AX481" t="str">
        <f t="shared" si="592"/>
        <v>+00</v>
      </c>
      <c r="AY481" t="str">
        <f t="shared" si="593"/>
        <v>+00</v>
      </c>
      <c r="BA481" s="47" t="b">
        <f t="shared" si="622"/>
        <v>1</v>
      </c>
      <c r="BB481" s="42" t="b">
        <f t="shared" si="623"/>
        <v>1</v>
      </c>
      <c r="BC481" s="42" t="b">
        <f t="shared" si="624"/>
        <v>0</v>
      </c>
      <c r="BD481" s="42" t="b">
        <f t="shared" si="625"/>
        <v>0</v>
      </c>
      <c r="BE481" s="70">
        <f t="shared" si="626"/>
        <v>0</v>
      </c>
      <c r="BF481" s="70">
        <f t="shared" si="627"/>
        <v>0</v>
      </c>
      <c r="BG481" s="34"/>
      <c r="BI481" s="47" t="b">
        <f t="shared" si="628"/>
        <v>1</v>
      </c>
      <c r="BJ481" s="47" t="b">
        <f t="shared" si="629"/>
        <v>1</v>
      </c>
      <c r="BK481" s="42" t="b">
        <f t="shared" si="630"/>
        <v>0</v>
      </c>
      <c r="BL481" s="42" t="b">
        <f t="shared" si="631"/>
        <v>0</v>
      </c>
      <c r="BM481" s="42">
        <f t="shared" si="632"/>
        <v>0</v>
      </c>
      <c r="BN481" s="42">
        <f t="shared" si="633"/>
        <v>0</v>
      </c>
      <c r="BP481" t="e">
        <f t="shared" si="634"/>
        <v>#N/A</v>
      </c>
      <c r="BQ481" t="e">
        <f t="shared" si="635"/>
        <v>#N/A</v>
      </c>
      <c r="BR481" t="e">
        <f t="shared" si="636"/>
        <v>#N/A</v>
      </c>
      <c r="BT481" s="60">
        <f t="shared" si="637"/>
        <v>0</v>
      </c>
      <c r="BU481" s="60">
        <f t="shared" si="638"/>
        <v>0</v>
      </c>
      <c r="BV481" s="60">
        <f t="shared" si="639"/>
        <v>0</v>
      </c>
      <c r="BW481" s="60">
        <f t="shared" si="640"/>
        <v>0</v>
      </c>
      <c r="BX481" s="60">
        <f t="shared" si="641"/>
        <v>0</v>
      </c>
      <c r="BY481" s="60">
        <f t="shared" si="642"/>
        <v>0</v>
      </c>
      <c r="BZ481" s="60">
        <f t="shared" si="643"/>
        <v>0</v>
      </c>
      <c r="CA481" s="60">
        <f t="shared" si="644"/>
        <v>0</v>
      </c>
      <c r="CB481" s="60" t="e">
        <f t="shared" si="594"/>
        <v>#N/A</v>
      </c>
      <c r="CC481" s="60">
        <f t="shared" si="595"/>
        <v>100000</v>
      </c>
      <c r="CD481" s="60" t="e">
        <f t="shared" si="596"/>
        <v>#N/A</v>
      </c>
      <c r="CE481" s="60">
        <f t="shared" si="597"/>
        <v>100000</v>
      </c>
      <c r="CF481" s="83" t="e">
        <f t="shared" si="645"/>
        <v>#N/A</v>
      </c>
      <c r="CG481" s="83">
        <f t="shared" si="646"/>
        <v>0</v>
      </c>
      <c r="CH481" s="83" t="e">
        <f t="shared" si="647"/>
        <v>#N/A</v>
      </c>
      <c r="CI481" s="83">
        <f t="shared" si="648"/>
        <v>0</v>
      </c>
      <c r="CJ481" s="86" t="e">
        <f t="shared" si="598"/>
        <v>#N/A</v>
      </c>
      <c r="CK481" s="82">
        <f t="shared" si="599"/>
        <v>5.3070370403969858E-3</v>
      </c>
      <c r="CL481" s="82" t="e">
        <f t="shared" si="600"/>
        <v>#N/A</v>
      </c>
      <c r="CM481" s="82">
        <f t="shared" si="601"/>
        <v>5.3070370403969858E-3</v>
      </c>
      <c r="CO481" s="149" t="str">
        <f>IF($I481&lt;&gt;"",IF(O481="User Specified",U481,INDEX('Refrigerant GWPs'!$G$2:$G$156,MATCH(O481,'Refrigerant GWPs'!$A$2:$A$156,0))),"")</f>
        <v/>
      </c>
      <c r="CP481" s="138" t="str">
        <f>IF($I481&lt;&gt;"",INDEX('Device Refrigerant Leakage'!$E$2:$E$42,MATCH($M481,'Device Refrigerant Leakage'!$B$2:$B$42,0)),"")</f>
        <v/>
      </c>
      <c r="CQ481" s="138" t="str">
        <f>IF($I481&lt;&gt;"",INDEX('Device Refrigerant Leakage'!$F$2:$F$42,MATCH($M481,'Device Refrigerant Leakage'!$B$2:$B$42,0)),"")</f>
        <v/>
      </c>
      <c r="CR481" s="145" t="str">
        <f>IF($I481&lt;&gt;"",INDEX('Device Refrigerant Leakage'!$G$2:$G$42,MATCH($M481,'Device Refrigerant Leakage'!$B$2:$B$42,0)),"")</f>
        <v/>
      </c>
      <c r="CS481" s="145" t="str">
        <f>IF($I481&lt;&gt;"",INDEX('Device Refrigerant Leakage'!$D$2:$D$42,MATCH($M481,'Device Refrigerant Leakage'!$B$2:$B$42,0))*CP481/2204.62*CO481,"")</f>
        <v/>
      </c>
      <c r="CT481" s="145" t="str">
        <f>IF($I481&lt;&gt;"",J481*(INDEX('Device Refrigerant Leakage'!$D$2:$D$42,MATCH($M481,'Device Refrigerant Leakage'!$B$2:$B$42,0))-(INDEX('Device Refrigerant Leakage'!$D$2:$D$42,MATCH($M481,'Device Refrigerant Leakage'!$B$2:$B$42,0)))*CR481*CP481)*CQ481/2204.62*CO481,"")</f>
        <v/>
      </c>
      <c r="CU481" s="135" t="str">
        <f>IF($I481&lt;&gt;"",J481*IF(W481&lt;&gt;"AR",(CS481*K481)+CT481,(CS481*AB481)+CT481*(AB481/INDEX('Device Refrigerant Leakage'!$C$2:$C$42,MATCH($M481,'Device Refrigerant Leakage'!$B$2:$B$42,0)))),"")</f>
        <v/>
      </c>
      <c r="CW481" s="135" t="str">
        <f>IF($I481&lt;&gt;"",IF(S481="User Specified",V481,INDEX('Refrigerant GWPs'!$G$2:$G$156,MATCH(S481,'Refrigerant GWPs'!$A$2:$A$157,0))),"")</f>
        <v/>
      </c>
      <c r="CX481" s="138" t="str">
        <f>IF($I481&lt;&gt;"",INDEX('Device Refrigerant Leakage'!$E$2:$E$42,MATCH($Q481,'Device Refrigerant Leakage'!$B$2:$B$42,0)),"")</f>
        <v/>
      </c>
      <c r="CY481" s="138" t="str">
        <f>IF($I481&lt;&gt;"",INDEX('Device Refrigerant Leakage'!$F$2:$F$42,MATCH($Q481,'Device Refrigerant Leakage'!$B$2:$B$42,0)),"")</f>
        <v/>
      </c>
      <c r="CZ481" s="145" t="str">
        <f>IF($I481&lt;&gt;"",INDEX('Device Refrigerant Leakage'!$G$2:$G$42,MATCH($Q481,'Device Refrigerant Leakage'!$B$2:$B$42,0)),"")</f>
        <v/>
      </c>
      <c r="DA481" s="145" t="str">
        <f>IF($I481&lt;&gt;"",J481*INDEX('Device Refrigerant Leakage'!$D$2:$D$42,MATCH($Q481,'Device Refrigerant Leakage'!$B$2:$B$42,0))*CX481/2204.62*CW481,"")</f>
        <v/>
      </c>
      <c r="DB481" s="145" t="str">
        <f>IF($I481&lt;&gt;"",J481*(INDEX('Device Refrigerant Leakage'!$D$2:$D$42,MATCH($Q481,'Device Refrigerant Leakage'!$B$2:$B$42,0))-(INDEX('Device Refrigerant Leakage'!$D$2:$D$42,MATCH($Q481,'Device Refrigerant Leakage'!$B$2:$B$42,0)))*CZ481*CX481)*CY481/2204.62*CW481,"")</f>
        <v/>
      </c>
      <c r="DC481" s="135" t="str">
        <f t="shared" si="620"/>
        <v/>
      </c>
      <c r="DE481" s="146" t="str">
        <f>IF(W481&lt;&gt;"AR","",IF(Y481="User Specified", AA481, INDEX('Refrigerant GWPs'!$G$2:$G$154,MATCH(Y481,'Refrigerant GWPs'!$A$2:$A$154,0))))</f>
        <v/>
      </c>
      <c r="DF481" s="146" t="str">
        <f>IF(W481&lt;&gt;"AR","",INDEX('Device Refrigerant Leakage'!$E$2:$E$42,MATCH(X481,'Device Refrigerant Leakage'!$B$2:$B$42,0)))</f>
        <v/>
      </c>
      <c r="DG481" s="146" t="str">
        <f>IF(W481&lt;&gt;"AR","",INDEX('Device Refrigerant Leakage'!$F$2:$F$42,MATCH(X481,'Device Refrigerant Leakage'!$B$2:$B$42,0)))</f>
        <v/>
      </c>
      <c r="DH481" s="146" t="str">
        <f>IF(W481&lt;&gt;"AR","",INDEX('Device Refrigerant Leakage'!$G$2:$G$42,MATCH(X481,'Device Refrigerant Leakage'!$B$2:$B$42,0)))</f>
        <v/>
      </c>
      <c r="DI481" s="146" t="str">
        <f>IF(W481&lt;&gt;"AR","",J481*INDEX('Device Refrigerant Leakage'!$D$2:$D$42,MATCH(X481,'Device Refrigerant Leakage'!$B$2:$B$42,0))*DF481/2204.62*DE481)</f>
        <v/>
      </c>
      <c r="DJ481" s="146" t="str">
        <f>IF(W481&lt;&gt;"AR","",J481*(INDEX('Device Refrigerant Leakage'!$D$2:$D$42,MATCH(X481,'Device Refrigerant Leakage'!$B$2:$B$42,0))-(INDEX('Device Refrigerant Leakage'!$D$2:$D$42,MATCH(X481,'Device Refrigerant Leakage'!$B$2:$B$42,0)))*DH481*DF481)*DG481/2204.62*DE481)</f>
        <v/>
      </c>
      <c r="DK481" s="146" t="str">
        <f>IF(W481&lt;&gt;"AR","",DI481*(K481-AB481)+'Fuel Sub Calcs-Deemed'!DJ481*((K481-AB481)/INDEX('Device Refrigerant Leakage'!$C$2:$C$42,MATCH('Fuel Sub Calcs-Deemed'!X481,'Device Refrigerant Leakage'!$B$2:$B$42,0))))</f>
        <v/>
      </c>
      <c r="DM481" s="56">
        <v>467</v>
      </c>
      <c r="DN481" s="67" t="e">
        <f t="shared" si="602"/>
        <v>#N/A</v>
      </c>
      <c r="DO481" s="45" t="e">
        <f t="shared" si="603"/>
        <v>#N/A</v>
      </c>
      <c r="DP481" s="67" t="e">
        <f t="shared" si="604"/>
        <v>#N/A</v>
      </c>
      <c r="DQ481" s="45" t="e">
        <f t="shared" si="605"/>
        <v>#N/A</v>
      </c>
      <c r="DR481" s="69" t="e">
        <f t="shared" si="606"/>
        <v>#N/A</v>
      </c>
      <c r="DS481" s="34"/>
      <c r="DT481" s="67" t="e">
        <f>((BX481*CJ481)+IF($W481=MAT_AR,(BZ481*CL481),0))*(1+Reference!$E$50+Reference!$E$51)</f>
        <v>#N/A</v>
      </c>
      <c r="DU481" s="67">
        <f>((BY481*CK481)+IF($W481=MAT_AR,(CA481*CM481),0))*(1+Reference!$G$50+Reference!$G$51)</f>
        <v>0</v>
      </c>
      <c r="DV481" s="67" t="e">
        <f t="shared" si="607"/>
        <v>#VALUE!</v>
      </c>
      <c r="DX481" s="56">
        <v>467</v>
      </c>
      <c r="DY481" s="67">
        <f t="shared" si="608"/>
        <v>0</v>
      </c>
      <c r="DZ481" s="45" t="e">
        <f>VLOOKUP($R481,Dropdown!$C$3:$D$4,2,FALSE)</f>
        <v>#N/A</v>
      </c>
      <c r="EA481" s="68">
        <f t="shared" si="609"/>
        <v>0</v>
      </c>
      <c r="EB481" s="68" t="str">
        <f t="shared" si="610"/>
        <v>N/A</v>
      </c>
      <c r="EC481" s="68">
        <f t="shared" si="611"/>
        <v>0</v>
      </c>
      <c r="ED481" s="68" t="str">
        <f t="shared" si="649"/>
        <v>N/A</v>
      </c>
      <c r="EF481" s="56">
        <v>467</v>
      </c>
      <c r="EG481" s="46">
        <f t="shared" si="612"/>
        <v>0</v>
      </c>
      <c r="EH481" s="68" t="e">
        <f t="shared" si="613"/>
        <v>#N/A</v>
      </c>
      <c r="EI481" s="68" t="e">
        <f t="shared" si="614"/>
        <v>#N/A</v>
      </c>
      <c r="EJ481" s="68" t="e">
        <f t="shared" si="615"/>
        <v>#N/A</v>
      </c>
      <c r="EK481" s="68" t="e">
        <f t="shared" si="616"/>
        <v>#N/A</v>
      </c>
      <c r="EL481" s="46">
        <f t="shared" si="617"/>
        <v>0</v>
      </c>
      <c r="EM481" s="46">
        <f t="shared" si="618"/>
        <v>0</v>
      </c>
    </row>
    <row r="482" spans="1:143">
      <c r="A482" s="89"/>
      <c r="B482" s="89"/>
      <c r="C482" s="89"/>
      <c r="D482" s="89"/>
      <c r="E482" s="89"/>
      <c r="F482" s="89"/>
      <c r="G482" s="34"/>
      <c r="H482" s="56">
        <f t="shared" si="619"/>
        <v>468</v>
      </c>
      <c r="I482" s="165"/>
      <c r="J482" s="163"/>
      <c r="K482" s="163"/>
      <c r="L482" s="164"/>
      <c r="M482" s="155"/>
      <c r="N482" s="155"/>
      <c r="O482" s="144"/>
      <c r="P482" s="159" t="str">
        <f>IFERROR(IF(O482&lt;&gt;"User Specified",IF(O482&lt;&gt;"", INDEX('Refrigerant GWPs'!$G$2:$G$154,MATCH(O482,'Refrigerant GWPs'!$A$2:$A$154,0)),""),U482),0)</f>
        <v/>
      </c>
      <c r="Q482" s="155"/>
      <c r="R482" s="155"/>
      <c r="S482" s="144"/>
      <c r="T482" s="159" t="str">
        <f>IF(S482&lt;&gt;"User Specified",IF(AND(S482&lt;&gt;"User Specified",S482&lt;&gt;""), INDEX('Refrigerant GWPs'!$G$2:$G$154,MATCH(S482,'Refrigerant GWPs'!$A$2:$A$154,0)),""),V482)</f>
        <v/>
      </c>
      <c r="U482" s="144"/>
      <c r="V482" s="144"/>
      <c r="W482" s="155"/>
      <c r="X482" s="155"/>
      <c r="Y482" s="144"/>
      <c r="Z482" s="159" t="str">
        <f>IF(AND(Y482&lt;&gt;"User Specified",Y482&lt;&gt;""), INDEX('Refrigerant GWPs'!$G$2:$G$154,MATCH(Y482,'Refrigerant GWPs'!$A$2:$A$154,0)),"")</f>
        <v/>
      </c>
      <c r="AA482" s="155"/>
      <c r="AB482" s="156"/>
      <c r="AC482" s="66"/>
      <c r="AD482" s="66"/>
      <c r="AE482" s="66"/>
      <c r="AF482" s="66"/>
      <c r="AG482" s="66"/>
      <c r="AH482" s="66"/>
      <c r="AI482" s="34"/>
      <c r="AJ482" s="88">
        <f t="shared" si="582"/>
        <v>0</v>
      </c>
      <c r="AK482" s="88">
        <f t="shared" si="583"/>
        <v>0</v>
      </c>
      <c r="AL482" s="88">
        <v>0</v>
      </c>
      <c r="AM482" s="88">
        <v>0</v>
      </c>
      <c r="AN482" s="81" t="str">
        <f t="shared" si="621"/>
        <v/>
      </c>
      <c r="AO482" s="88">
        <f t="shared" si="584"/>
        <v>0</v>
      </c>
      <c r="AP482" s="88">
        <f t="shared" si="585"/>
        <v>0</v>
      </c>
      <c r="AQ482" s="81" t="str">
        <f t="shared" si="586"/>
        <v/>
      </c>
      <c r="AS482" s="41" t="b">
        <f t="shared" si="587"/>
        <v>1</v>
      </c>
      <c r="AT482" s="38">
        <f t="shared" si="588"/>
        <v>0</v>
      </c>
      <c r="AU482" s="60">
        <f t="shared" si="589"/>
        <v>0</v>
      </c>
      <c r="AV482" s="41">
        <f t="shared" si="590"/>
        <v>0</v>
      </c>
      <c r="AW482" s="41" t="b">
        <f t="shared" si="591"/>
        <v>0</v>
      </c>
      <c r="AX482" t="str">
        <f t="shared" si="592"/>
        <v>+00</v>
      </c>
      <c r="AY482" t="str">
        <f t="shared" si="593"/>
        <v>+00</v>
      </c>
      <c r="BA482" s="47" t="b">
        <f t="shared" si="622"/>
        <v>1</v>
      </c>
      <c r="BB482" s="42" t="b">
        <f t="shared" si="623"/>
        <v>1</v>
      </c>
      <c r="BC482" s="42" t="b">
        <f t="shared" si="624"/>
        <v>0</v>
      </c>
      <c r="BD482" s="42" t="b">
        <f t="shared" si="625"/>
        <v>0</v>
      </c>
      <c r="BE482" s="70">
        <f t="shared" si="626"/>
        <v>0</v>
      </c>
      <c r="BF482" s="70">
        <f t="shared" si="627"/>
        <v>0</v>
      </c>
      <c r="BG482" s="34"/>
      <c r="BI482" s="47" t="b">
        <f t="shared" si="628"/>
        <v>1</v>
      </c>
      <c r="BJ482" s="47" t="b">
        <f t="shared" si="629"/>
        <v>1</v>
      </c>
      <c r="BK482" s="42" t="b">
        <f t="shared" si="630"/>
        <v>0</v>
      </c>
      <c r="BL482" s="42" t="b">
        <f t="shared" si="631"/>
        <v>0</v>
      </c>
      <c r="BM482" s="42">
        <f t="shared" si="632"/>
        <v>0</v>
      </c>
      <c r="BN482" s="42">
        <f t="shared" si="633"/>
        <v>0</v>
      </c>
      <c r="BP482" t="e">
        <f t="shared" si="634"/>
        <v>#N/A</v>
      </c>
      <c r="BQ482" t="e">
        <f t="shared" si="635"/>
        <v>#N/A</v>
      </c>
      <c r="BR482" t="e">
        <f t="shared" si="636"/>
        <v>#N/A</v>
      </c>
      <c r="BT482" s="60">
        <f t="shared" si="637"/>
        <v>0</v>
      </c>
      <c r="BU482" s="60">
        <f t="shared" si="638"/>
        <v>0</v>
      </c>
      <c r="BV482" s="60">
        <f t="shared" si="639"/>
        <v>0</v>
      </c>
      <c r="BW482" s="60">
        <f t="shared" si="640"/>
        <v>0</v>
      </c>
      <c r="BX482" s="60">
        <f t="shared" si="641"/>
        <v>0</v>
      </c>
      <c r="BY482" s="60">
        <f t="shared" si="642"/>
        <v>0</v>
      </c>
      <c r="BZ482" s="60">
        <f t="shared" si="643"/>
        <v>0</v>
      </c>
      <c r="CA482" s="60">
        <f t="shared" si="644"/>
        <v>0</v>
      </c>
      <c r="CB482" s="60" t="e">
        <f t="shared" si="594"/>
        <v>#N/A</v>
      </c>
      <c r="CC482" s="60">
        <f t="shared" si="595"/>
        <v>100000</v>
      </c>
      <c r="CD482" s="60" t="e">
        <f t="shared" si="596"/>
        <v>#N/A</v>
      </c>
      <c r="CE482" s="60">
        <f t="shared" si="597"/>
        <v>100000</v>
      </c>
      <c r="CF482" s="83" t="e">
        <f t="shared" si="645"/>
        <v>#N/A</v>
      </c>
      <c r="CG482" s="83">
        <f t="shared" si="646"/>
        <v>0</v>
      </c>
      <c r="CH482" s="83" t="e">
        <f t="shared" si="647"/>
        <v>#N/A</v>
      </c>
      <c r="CI482" s="83">
        <f t="shared" si="648"/>
        <v>0</v>
      </c>
      <c r="CJ482" s="86" t="e">
        <f t="shared" si="598"/>
        <v>#N/A</v>
      </c>
      <c r="CK482" s="82">
        <f t="shared" si="599"/>
        <v>5.3070370403969858E-3</v>
      </c>
      <c r="CL482" s="82" t="e">
        <f t="shared" si="600"/>
        <v>#N/A</v>
      </c>
      <c r="CM482" s="82">
        <f t="shared" si="601"/>
        <v>5.3070370403969858E-3</v>
      </c>
      <c r="CO482" s="149" t="str">
        <f>IF($I482&lt;&gt;"",IF(O482="User Specified",U482,INDEX('Refrigerant GWPs'!$G$2:$G$156,MATCH(O482,'Refrigerant GWPs'!$A$2:$A$156,0))),"")</f>
        <v/>
      </c>
      <c r="CP482" s="138" t="str">
        <f>IF($I482&lt;&gt;"",INDEX('Device Refrigerant Leakage'!$E$2:$E$42,MATCH($M482,'Device Refrigerant Leakage'!$B$2:$B$42,0)),"")</f>
        <v/>
      </c>
      <c r="CQ482" s="138" t="str">
        <f>IF($I482&lt;&gt;"",INDEX('Device Refrigerant Leakage'!$F$2:$F$42,MATCH($M482,'Device Refrigerant Leakage'!$B$2:$B$42,0)),"")</f>
        <v/>
      </c>
      <c r="CR482" s="145" t="str">
        <f>IF($I482&lt;&gt;"",INDEX('Device Refrigerant Leakage'!$G$2:$G$42,MATCH($M482,'Device Refrigerant Leakage'!$B$2:$B$42,0)),"")</f>
        <v/>
      </c>
      <c r="CS482" s="145" t="str">
        <f>IF($I482&lt;&gt;"",INDEX('Device Refrigerant Leakage'!$D$2:$D$42,MATCH($M482,'Device Refrigerant Leakage'!$B$2:$B$42,0))*CP482/2204.62*CO482,"")</f>
        <v/>
      </c>
      <c r="CT482" s="145" t="str">
        <f>IF($I482&lt;&gt;"",J482*(INDEX('Device Refrigerant Leakage'!$D$2:$D$42,MATCH($M482,'Device Refrigerant Leakage'!$B$2:$B$42,0))-(INDEX('Device Refrigerant Leakage'!$D$2:$D$42,MATCH($M482,'Device Refrigerant Leakage'!$B$2:$B$42,0)))*CR482*CP482)*CQ482/2204.62*CO482,"")</f>
        <v/>
      </c>
      <c r="CU482" s="135" t="str">
        <f>IF($I482&lt;&gt;"",J482*IF(W482&lt;&gt;"AR",(CS482*K482)+CT482,(CS482*AB482)+CT482*(AB482/INDEX('Device Refrigerant Leakage'!$C$2:$C$42,MATCH($M482,'Device Refrigerant Leakage'!$B$2:$B$42,0)))),"")</f>
        <v/>
      </c>
      <c r="CW482" s="135" t="str">
        <f>IF($I482&lt;&gt;"",IF(S482="User Specified",V482,INDEX('Refrigerant GWPs'!$G$2:$G$156,MATCH(S482,'Refrigerant GWPs'!$A$2:$A$157,0))),"")</f>
        <v/>
      </c>
      <c r="CX482" s="138" t="str">
        <f>IF($I482&lt;&gt;"",INDEX('Device Refrigerant Leakage'!$E$2:$E$42,MATCH($Q482,'Device Refrigerant Leakage'!$B$2:$B$42,0)),"")</f>
        <v/>
      </c>
      <c r="CY482" s="138" t="str">
        <f>IF($I482&lt;&gt;"",INDEX('Device Refrigerant Leakage'!$F$2:$F$42,MATCH($Q482,'Device Refrigerant Leakage'!$B$2:$B$42,0)),"")</f>
        <v/>
      </c>
      <c r="CZ482" s="145" t="str">
        <f>IF($I482&lt;&gt;"",INDEX('Device Refrigerant Leakage'!$G$2:$G$42,MATCH($Q482,'Device Refrigerant Leakage'!$B$2:$B$42,0)),"")</f>
        <v/>
      </c>
      <c r="DA482" s="145" t="str">
        <f>IF($I482&lt;&gt;"",J482*INDEX('Device Refrigerant Leakage'!$D$2:$D$42,MATCH($Q482,'Device Refrigerant Leakage'!$B$2:$B$42,0))*CX482/2204.62*CW482,"")</f>
        <v/>
      </c>
      <c r="DB482" s="145" t="str">
        <f>IF($I482&lt;&gt;"",J482*(INDEX('Device Refrigerant Leakage'!$D$2:$D$42,MATCH($Q482,'Device Refrigerant Leakage'!$B$2:$B$42,0))-(INDEX('Device Refrigerant Leakage'!$D$2:$D$42,MATCH($Q482,'Device Refrigerant Leakage'!$B$2:$B$42,0)))*CZ482*CX482)*CY482/2204.62*CW482,"")</f>
        <v/>
      </c>
      <c r="DC482" s="135" t="str">
        <f t="shared" si="620"/>
        <v/>
      </c>
      <c r="DE482" s="146" t="str">
        <f>IF(W482&lt;&gt;"AR","",IF(Y482="User Specified", AA482, INDEX('Refrigerant GWPs'!$G$2:$G$154,MATCH(Y482,'Refrigerant GWPs'!$A$2:$A$154,0))))</f>
        <v/>
      </c>
      <c r="DF482" s="146" t="str">
        <f>IF(W482&lt;&gt;"AR","",INDEX('Device Refrigerant Leakage'!$E$2:$E$42,MATCH(X482,'Device Refrigerant Leakage'!$B$2:$B$42,0)))</f>
        <v/>
      </c>
      <c r="DG482" s="146" t="str">
        <f>IF(W482&lt;&gt;"AR","",INDEX('Device Refrigerant Leakage'!$F$2:$F$42,MATCH(X482,'Device Refrigerant Leakage'!$B$2:$B$42,0)))</f>
        <v/>
      </c>
      <c r="DH482" s="146" t="str">
        <f>IF(W482&lt;&gt;"AR","",INDEX('Device Refrigerant Leakage'!$G$2:$G$42,MATCH(X482,'Device Refrigerant Leakage'!$B$2:$B$42,0)))</f>
        <v/>
      </c>
      <c r="DI482" s="146" t="str">
        <f>IF(W482&lt;&gt;"AR","",J482*INDEX('Device Refrigerant Leakage'!$D$2:$D$42,MATCH(X482,'Device Refrigerant Leakage'!$B$2:$B$42,0))*DF482/2204.62*DE482)</f>
        <v/>
      </c>
      <c r="DJ482" s="146" t="str">
        <f>IF(W482&lt;&gt;"AR","",J482*(INDEX('Device Refrigerant Leakage'!$D$2:$D$42,MATCH(X482,'Device Refrigerant Leakage'!$B$2:$B$42,0))-(INDEX('Device Refrigerant Leakage'!$D$2:$D$42,MATCH(X482,'Device Refrigerant Leakage'!$B$2:$B$42,0)))*DH482*DF482)*DG482/2204.62*DE482)</f>
        <v/>
      </c>
      <c r="DK482" s="146" t="str">
        <f>IF(W482&lt;&gt;"AR","",DI482*(K482-AB482)+'Fuel Sub Calcs-Deemed'!DJ482*((K482-AB482)/INDEX('Device Refrigerant Leakage'!$C$2:$C$42,MATCH('Fuel Sub Calcs-Deemed'!X482,'Device Refrigerant Leakage'!$B$2:$B$42,0))))</f>
        <v/>
      </c>
      <c r="DM482" s="56">
        <v>468</v>
      </c>
      <c r="DN482" s="67" t="e">
        <f t="shared" si="602"/>
        <v>#N/A</v>
      </c>
      <c r="DO482" s="45" t="e">
        <f t="shared" si="603"/>
        <v>#N/A</v>
      </c>
      <c r="DP482" s="67" t="e">
        <f t="shared" si="604"/>
        <v>#N/A</v>
      </c>
      <c r="DQ482" s="45" t="e">
        <f t="shared" si="605"/>
        <v>#N/A</v>
      </c>
      <c r="DR482" s="69" t="e">
        <f t="shared" si="606"/>
        <v>#N/A</v>
      </c>
      <c r="DS482" s="34"/>
      <c r="DT482" s="67" t="e">
        <f>((BX482*CJ482)+IF($W482=MAT_AR,(BZ482*CL482),0))*(1+Reference!$E$50+Reference!$E$51)</f>
        <v>#N/A</v>
      </c>
      <c r="DU482" s="67">
        <f>((BY482*CK482)+IF($W482=MAT_AR,(CA482*CM482),0))*(1+Reference!$G$50+Reference!$G$51)</f>
        <v>0</v>
      </c>
      <c r="DV482" s="67" t="e">
        <f t="shared" si="607"/>
        <v>#VALUE!</v>
      </c>
      <c r="DX482" s="56">
        <v>468</v>
      </c>
      <c r="DY482" s="67">
        <f t="shared" si="608"/>
        <v>0</v>
      </c>
      <c r="DZ482" s="45" t="e">
        <f>VLOOKUP($R482,Dropdown!$C$3:$D$4,2,FALSE)</f>
        <v>#N/A</v>
      </c>
      <c r="EA482" s="68">
        <f t="shared" si="609"/>
        <v>0</v>
      </c>
      <c r="EB482" s="68" t="str">
        <f t="shared" si="610"/>
        <v>N/A</v>
      </c>
      <c r="EC482" s="68">
        <f t="shared" si="611"/>
        <v>0</v>
      </c>
      <c r="ED482" s="68" t="str">
        <f t="shared" si="649"/>
        <v>N/A</v>
      </c>
      <c r="EF482" s="56">
        <v>468</v>
      </c>
      <c r="EG482" s="46">
        <f t="shared" si="612"/>
        <v>0</v>
      </c>
      <c r="EH482" s="68" t="e">
        <f t="shared" si="613"/>
        <v>#N/A</v>
      </c>
      <c r="EI482" s="68" t="e">
        <f t="shared" si="614"/>
        <v>#N/A</v>
      </c>
      <c r="EJ482" s="68" t="e">
        <f t="shared" si="615"/>
        <v>#N/A</v>
      </c>
      <c r="EK482" s="68" t="e">
        <f t="shared" si="616"/>
        <v>#N/A</v>
      </c>
      <c r="EL482" s="46">
        <f t="shared" si="617"/>
        <v>0</v>
      </c>
      <c r="EM482" s="46">
        <f t="shared" si="618"/>
        <v>0</v>
      </c>
    </row>
    <row r="483" spans="1:143">
      <c r="A483" s="89"/>
      <c r="B483" s="89"/>
      <c r="C483" s="89"/>
      <c r="D483" s="89"/>
      <c r="E483" s="89"/>
      <c r="F483" s="89"/>
      <c r="G483" s="34"/>
      <c r="H483" s="56">
        <f t="shared" si="619"/>
        <v>469</v>
      </c>
      <c r="I483" s="165"/>
      <c r="J483" s="163"/>
      <c r="K483" s="163"/>
      <c r="L483" s="164"/>
      <c r="M483" s="155"/>
      <c r="N483" s="155"/>
      <c r="O483" s="144"/>
      <c r="P483" s="159" t="str">
        <f>IFERROR(IF(O483&lt;&gt;"User Specified",IF(O483&lt;&gt;"", INDEX('Refrigerant GWPs'!$G$2:$G$154,MATCH(O483,'Refrigerant GWPs'!$A$2:$A$154,0)),""),U483),0)</f>
        <v/>
      </c>
      <c r="Q483" s="155"/>
      <c r="R483" s="155"/>
      <c r="S483" s="144"/>
      <c r="T483" s="159" t="str">
        <f>IF(S483&lt;&gt;"User Specified",IF(AND(S483&lt;&gt;"User Specified",S483&lt;&gt;""), INDEX('Refrigerant GWPs'!$G$2:$G$154,MATCH(S483,'Refrigerant GWPs'!$A$2:$A$154,0)),""),V483)</f>
        <v/>
      </c>
      <c r="U483" s="144"/>
      <c r="V483" s="144"/>
      <c r="W483" s="155"/>
      <c r="X483" s="155"/>
      <c r="Y483" s="144"/>
      <c r="Z483" s="159" t="str">
        <f>IF(AND(Y483&lt;&gt;"User Specified",Y483&lt;&gt;""), INDEX('Refrigerant GWPs'!$G$2:$G$154,MATCH(Y483,'Refrigerant GWPs'!$A$2:$A$154,0)),"")</f>
        <v/>
      </c>
      <c r="AA483" s="155"/>
      <c r="AB483" s="156"/>
      <c r="AC483" s="66"/>
      <c r="AD483" s="66"/>
      <c r="AE483" s="66"/>
      <c r="AF483" s="66"/>
      <c r="AG483" s="66"/>
      <c r="AH483" s="66"/>
      <c r="AI483" s="34"/>
      <c r="AJ483" s="88">
        <f t="shared" si="582"/>
        <v>0</v>
      </c>
      <c r="AK483" s="88">
        <f t="shared" si="583"/>
        <v>0</v>
      </c>
      <c r="AL483" s="88">
        <v>0</v>
      </c>
      <c r="AM483" s="88">
        <v>0</v>
      </c>
      <c r="AN483" s="81" t="str">
        <f t="shared" si="621"/>
        <v/>
      </c>
      <c r="AO483" s="88">
        <f t="shared" si="584"/>
        <v>0</v>
      </c>
      <c r="AP483" s="88">
        <f t="shared" si="585"/>
        <v>0</v>
      </c>
      <c r="AQ483" s="81" t="str">
        <f t="shared" si="586"/>
        <v/>
      </c>
      <c r="AS483" s="41" t="b">
        <f t="shared" si="587"/>
        <v>1</v>
      </c>
      <c r="AT483" s="38">
        <f t="shared" si="588"/>
        <v>0</v>
      </c>
      <c r="AU483" s="60">
        <f t="shared" si="589"/>
        <v>0</v>
      </c>
      <c r="AV483" s="41">
        <f t="shared" si="590"/>
        <v>0</v>
      </c>
      <c r="AW483" s="41" t="b">
        <f t="shared" si="591"/>
        <v>0</v>
      </c>
      <c r="AX483" t="str">
        <f t="shared" si="592"/>
        <v>+00</v>
      </c>
      <c r="AY483" t="str">
        <f t="shared" si="593"/>
        <v>+00</v>
      </c>
      <c r="BA483" s="47" t="b">
        <f t="shared" si="622"/>
        <v>1</v>
      </c>
      <c r="BB483" s="42" t="b">
        <f t="shared" si="623"/>
        <v>1</v>
      </c>
      <c r="BC483" s="42" t="b">
        <f t="shared" si="624"/>
        <v>0</v>
      </c>
      <c r="BD483" s="42" t="b">
        <f t="shared" si="625"/>
        <v>0</v>
      </c>
      <c r="BE483" s="70">
        <f t="shared" si="626"/>
        <v>0</v>
      </c>
      <c r="BF483" s="70">
        <f t="shared" si="627"/>
        <v>0</v>
      </c>
      <c r="BG483" s="34"/>
      <c r="BI483" s="47" t="b">
        <f t="shared" si="628"/>
        <v>1</v>
      </c>
      <c r="BJ483" s="47" t="b">
        <f t="shared" si="629"/>
        <v>1</v>
      </c>
      <c r="BK483" s="42" t="b">
        <f t="shared" si="630"/>
        <v>0</v>
      </c>
      <c r="BL483" s="42" t="b">
        <f t="shared" si="631"/>
        <v>0</v>
      </c>
      <c r="BM483" s="42">
        <f t="shared" si="632"/>
        <v>0</v>
      </c>
      <c r="BN483" s="42">
        <f t="shared" si="633"/>
        <v>0</v>
      </c>
      <c r="BP483" t="e">
        <f t="shared" si="634"/>
        <v>#N/A</v>
      </c>
      <c r="BQ483" t="e">
        <f t="shared" si="635"/>
        <v>#N/A</v>
      </c>
      <c r="BR483" t="e">
        <f t="shared" si="636"/>
        <v>#N/A</v>
      </c>
      <c r="BT483" s="60">
        <f t="shared" si="637"/>
        <v>0</v>
      </c>
      <c r="BU483" s="60">
        <f t="shared" si="638"/>
        <v>0</v>
      </c>
      <c r="BV483" s="60">
        <f t="shared" si="639"/>
        <v>0</v>
      </c>
      <c r="BW483" s="60">
        <f t="shared" si="640"/>
        <v>0</v>
      </c>
      <c r="BX483" s="60">
        <f t="shared" si="641"/>
        <v>0</v>
      </c>
      <c r="BY483" s="60">
        <f t="shared" si="642"/>
        <v>0</v>
      </c>
      <c r="BZ483" s="60">
        <f t="shared" si="643"/>
        <v>0</v>
      </c>
      <c r="CA483" s="60">
        <f t="shared" si="644"/>
        <v>0</v>
      </c>
      <c r="CB483" s="60" t="e">
        <f t="shared" si="594"/>
        <v>#N/A</v>
      </c>
      <c r="CC483" s="60">
        <f t="shared" si="595"/>
        <v>100000</v>
      </c>
      <c r="CD483" s="60" t="e">
        <f t="shared" si="596"/>
        <v>#N/A</v>
      </c>
      <c r="CE483" s="60">
        <f t="shared" si="597"/>
        <v>100000</v>
      </c>
      <c r="CF483" s="83" t="e">
        <f t="shared" si="645"/>
        <v>#N/A</v>
      </c>
      <c r="CG483" s="83">
        <f t="shared" si="646"/>
        <v>0</v>
      </c>
      <c r="CH483" s="83" t="e">
        <f t="shared" si="647"/>
        <v>#N/A</v>
      </c>
      <c r="CI483" s="83">
        <f t="shared" si="648"/>
        <v>0</v>
      </c>
      <c r="CJ483" s="86" t="e">
        <f t="shared" si="598"/>
        <v>#N/A</v>
      </c>
      <c r="CK483" s="82">
        <f t="shared" si="599"/>
        <v>5.3070370403969858E-3</v>
      </c>
      <c r="CL483" s="82" t="e">
        <f t="shared" si="600"/>
        <v>#N/A</v>
      </c>
      <c r="CM483" s="82">
        <f t="shared" si="601"/>
        <v>5.3070370403969858E-3</v>
      </c>
      <c r="CO483" s="149" t="str">
        <f>IF($I483&lt;&gt;"",IF(O483="User Specified",U483,INDEX('Refrigerant GWPs'!$G$2:$G$156,MATCH(O483,'Refrigerant GWPs'!$A$2:$A$156,0))),"")</f>
        <v/>
      </c>
      <c r="CP483" s="138" t="str">
        <f>IF($I483&lt;&gt;"",INDEX('Device Refrigerant Leakage'!$E$2:$E$42,MATCH($M483,'Device Refrigerant Leakage'!$B$2:$B$42,0)),"")</f>
        <v/>
      </c>
      <c r="CQ483" s="138" t="str">
        <f>IF($I483&lt;&gt;"",INDEX('Device Refrigerant Leakage'!$F$2:$F$42,MATCH($M483,'Device Refrigerant Leakage'!$B$2:$B$42,0)),"")</f>
        <v/>
      </c>
      <c r="CR483" s="145" t="str">
        <f>IF($I483&lt;&gt;"",INDEX('Device Refrigerant Leakage'!$G$2:$G$42,MATCH($M483,'Device Refrigerant Leakage'!$B$2:$B$42,0)),"")</f>
        <v/>
      </c>
      <c r="CS483" s="145" t="str">
        <f>IF($I483&lt;&gt;"",INDEX('Device Refrigerant Leakage'!$D$2:$D$42,MATCH($M483,'Device Refrigerant Leakage'!$B$2:$B$42,0))*CP483/2204.62*CO483,"")</f>
        <v/>
      </c>
      <c r="CT483" s="145" t="str">
        <f>IF($I483&lt;&gt;"",J483*(INDEX('Device Refrigerant Leakage'!$D$2:$D$42,MATCH($M483,'Device Refrigerant Leakage'!$B$2:$B$42,0))-(INDEX('Device Refrigerant Leakage'!$D$2:$D$42,MATCH($M483,'Device Refrigerant Leakage'!$B$2:$B$42,0)))*CR483*CP483)*CQ483/2204.62*CO483,"")</f>
        <v/>
      </c>
      <c r="CU483" s="135" t="str">
        <f>IF($I483&lt;&gt;"",J483*IF(W483&lt;&gt;"AR",(CS483*K483)+CT483,(CS483*AB483)+CT483*(AB483/INDEX('Device Refrigerant Leakage'!$C$2:$C$42,MATCH($M483,'Device Refrigerant Leakage'!$B$2:$B$42,0)))),"")</f>
        <v/>
      </c>
      <c r="CW483" s="135" t="str">
        <f>IF($I483&lt;&gt;"",IF(S483="User Specified",V483,INDEX('Refrigerant GWPs'!$G$2:$G$156,MATCH(S483,'Refrigerant GWPs'!$A$2:$A$157,0))),"")</f>
        <v/>
      </c>
      <c r="CX483" s="138" t="str">
        <f>IF($I483&lt;&gt;"",INDEX('Device Refrigerant Leakage'!$E$2:$E$42,MATCH($Q483,'Device Refrigerant Leakage'!$B$2:$B$42,0)),"")</f>
        <v/>
      </c>
      <c r="CY483" s="138" t="str">
        <f>IF($I483&lt;&gt;"",INDEX('Device Refrigerant Leakage'!$F$2:$F$42,MATCH($Q483,'Device Refrigerant Leakage'!$B$2:$B$42,0)),"")</f>
        <v/>
      </c>
      <c r="CZ483" s="145" t="str">
        <f>IF($I483&lt;&gt;"",INDEX('Device Refrigerant Leakage'!$G$2:$G$42,MATCH($Q483,'Device Refrigerant Leakage'!$B$2:$B$42,0)),"")</f>
        <v/>
      </c>
      <c r="DA483" s="145" t="str">
        <f>IF($I483&lt;&gt;"",J483*INDEX('Device Refrigerant Leakage'!$D$2:$D$42,MATCH($Q483,'Device Refrigerant Leakage'!$B$2:$B$42,0))*CX483/2204.62*CW483,"")</f>
        <v/>
      </c>
      <c r="DB483" s="145" t="str">
        <f>IF($I483&lt;&gt;"",J483*(INDEX('Device Refrigerant Leakage'!$D$2:$D$42,MATCH($Q483,'Device Refrigerant Leakage'!$B$2:$B$42,0))-(INDEX('Device Refrigerant Leakage'!$D$2:$D$42,MATCH($Q483,'Device Refrigerant Leakage'!$B$2:$B$42,0)))*CZ483*CX483)*CY483/2204.62*CW483,"")</f>
        <v/>
      </c>
      <c r="DC483" s="135" t="str">
        <f t="shared" si="620"/>
        <v/>
      </c>
      <c r="DE483" s="146" t="str">
        <f>IF(W483&lt;&gt;"AR","",IF(Y483="User Specified", AA483, INDEX('Refrigerant GWPs'!$G$2:$G$154,MATCH(Y483,'Refrigerant GWPs'!$A$2:$A$154,0))))</f>
        <v/>
      </c>
      <c r="DF483" s="146" t="str">
        <f>IF(W483&lt;&gt;"AR","",INDEX('Device Refrigerant Leakage'!$E$2:$E$42,MATCH(X483,'Device Refrigerant Leakage'!$B$2:$B$42,0)))</f>
        <v/>
      </c>
      <c r="DG483" s="146" t="str">
        <f>IF(W483&lt;&gt;"AR","",INDEX('Device Refrigerant Leakage'!$F$2:$F$42,MATCH(X483,'Device Refrigerant Leakage'!$B$2:$B$42,0)))</f>
        <v/>
      </c>
      <c r="DH483" s="146" t="str">
        <f>IF(W483&lt;&gt;"AR","",INDEX('Device Refrigerant Leakage'!$G$2:$G$42,MATCH(X483,'Device Refrigerant Leakage'!$B$2:$B$42,0)))</f>
        <v/>
      </c>
      <c r="DI483" s="146" t="str">
        <f>IF(W483&lt;&gt;"AR","",J483*INDEX('Device Refrigerant Leakage'!$D$2:$D$42,MATCH(X483,'Device Refrigerant Leakage'!$B$2:$B$42,0))*DF483/2204.62*DE483)</f>
        <v/>
      </c>
      <c r="DJ483" s="146" t="str">
        <f>IF(W483&lt;&gt;"AR","",J483*(INDEX('Device Refrigerant Leakage'!$D$2:$D$42,MATCH(X483,'Device Refrigerant Leakage'!$B$2:$B$42,0))-(INDEX('Device Refrigerant Leakage'!$D$2:$D$42,MATCH(X483,'Device Refrigerant Leakage'!$B$2:$B$42,0)))*DH483*DF483)*DG483/2204.62*DE483)</f>
        <v/>
      </c>
      <c r="DK483" s="146" t="str">
        <f>IF(W483&lt;&gt;"AR","",DI483*(K483-AB483)+'Fuel Sub Calcs-Deemed'!DJ483*((K483-AB483)/INDEX('Device Refrigerant Leakage'!$C$2:$C$42,MATCH('Fuel Sub Calcs-Deemed'!X483,'Device Refrigerant Leakage'!$B$2:$B$42,0))))</f>
        <v/>
      </c>
      <c r="DM483" s="56">
        <v>469</v>
      </c>
      <c r="DN483" s="67" t="e">
        <f t="shared" si="602"/>
        <v>#N/A</v>
      </c>
      <c r="DO483" s="45" t="e">
        <f t="shared" si="603"/>
        <v>#N/A</v>
      </c>
      <c r="DP483" s="67" t="e">
        <f t="shared" si="604"/>
        <v>#N/A</v>
      </c>
      <c r="DQ483" s="45" t="e">
        <f t="shared" si="605"/>
        <v>#N/A</v>
      </c>
      <c r="DR483" s="69" t="e">
        <f t="shared" si="606"/>
        <v>#N/A</v>
      </c>
      <c r="DS483" s="34"/>
      <c r="DT483" s="67" t="e">
        <f>((BX483*CJ483)+IF($W483=MAT_AR,(BZ483*CL483),0))*(1+Reference!$E$50+Reference!$E$51)</f>
        <v>#N/A</v>
      </c>
      <c r="DU483" s="67">
        <f>((BY483*CK483)+IF($W483=MAT_AR,(CA483*CM483),0))*(1+Reference!$G$50+Reference!$G$51)</f>
        <v>0</v>
      </c>
      <c r="DV483" s="67" t="e">
        <f t="shared" si="607"/>
        <v>#VALUE!</v>
      </c>
      <c r="DX483" s="56">
        <v>469</v>
      </c>
      <c r="DY483" s="67">
        <f t="shared" si="608"/>
        <v>0</v>
      </c>
      <c r="DZ483" s="45" t="e">
        <f>VLOOKUP($R483,Dropdown!$C$3:$D$4,2,FALSE)</f>
        <v>#N/A</v>
      </c>
      <c r="EA483" s="68">
        <f t="shared" si="609"/>
        <v>0</v>
      </c>
      <c r="EB483" s="68" t="str">
        <f t="shared" si="610"/>
        <v>N/A</v>
      </c>
      <c r="EC483" s="68">
        <f t="shared" si="611"/>
        <v>0</v>
      </c>
      <c r="ED483" s="68" t="str">
        <f t="shared" si="649"/>
        <v>N/A</v>
      </c>
      <c r="EF483" s="56">
        <v>469</v>
      </c>
      <c r="EG483" s="46">
        <f t="shared" si="612"/>
        <v>0</v>
      </c>
      <c r="EH483" s="68" t="e">
        <f t="shared" si="613"/>
        <v>#N/A</v>
      </c>
      <c r="EI483" s="68" t="e">
        <f t="shared" si="614"/>
        <v>#N/A</v>
      </c>
      <c r="EJ483" s="68" t="e">
        <f t="shared" si="615"/>
        <v>#N/A</v>
      </c>
      <c r="EK483" s="68" t="e">
        <f t="shared" si="616"/>
        <v>#N/A</v>
      </c>
      <c r="EL483" s="46">
        <f t="shared" si="617"/>
        <v>0</v>
      </c>
      <c r="EM483" s="46">
        <f t="shared" si="618"/>
        <v>0</v>
      </c>
    </row>
    <row r="484" spans="1:143">
      <c r="A484" s="89"/>
      <c r="B484" s="89"/>
      <c r="C484" s="89"/>
      <c r="D484" s="89"/>
      <c r="E484" s="89"/>
      <c r="F484" s="89"/>
      <c r="G484" s="34"/>
      <c r="H484" s="56">
        <f t="shared" si="619"/>
        <v>470</v>
      </c>
      <c r="I484" s="165"/>
      <c r="J484" s="163"/>
      <c r="K484" s="163"/>
      <c r="L484" s="164"/>
      <c r="M484" s="155"/>
      <c r="N484" s="155"/>
      <c r="O484" s="144"/>
      <c r="P484" s="159" t="str">
        <f>IFERROR(IF(O484&lt;&gt;"User Specified",IF(O484&lt;&gt;"", INDEX('Refrigerant GWPs'!$G$2:$G$154,MATCH(O484,'Refrigerant GWPs'!$A$2:$A$154,0)),""),U484),0)</f>
        <v/>
      </c>
      <c r="Q484" s="155"/>
      <c r="R484" s="155"/>
      <c r="S484" s="144"/>
      <c r="T484" s="159" t="str">
        <f>IF(S484&lt;&gt;"User Specified",IF(AND(S484&lt;&gt;"User Specified",S484&lt;&gt;""), INDEX('Refrigerant GWPs'!$G$2:$G$154,MATCH(S484,'Refrigerant GWPs'!$A$2:$A$154,0)),""),V484)</f>
        <v/>
      </c>
      <c r="U484" s="144"/>
      <c r="V484" s="144"/>
      <c r="W484" s="155"/>
      <c r="X484" s="155"/>
      <c r="Y484" s="144"/>
      <c r="Z484" s="159" t="str">
        <f>IF(AND(Y484&lt;&gt;"User Specified",Y484&lt;&gt;""), INDEX('Refrigerant GWPs'!$G$2:$G$154,MATCH(Y484,'Refrigerant GWPs'!$A$2:$A$154,0)),"")</f>
        <v/>
      </c>
      <c r="AA484" s="155"/>
      <c r="AB484" s="156"/>
      <c r="AC484" s="66"/>
      <c r="AD484" s="66"/>
      <c r="AE484" s="66"/>
      <c r="AF484" s="66"/>
      <c r="AG484" s="66"/>
      <c r="AH484" s="66"/>
      <c r="AI484" s="34"/>
      <c r="AJ484" s="88">
        <f t="shared" si="582"/>
        <v>0</v>
      </c>
      <c r="AK484" s="88">
        <f t="shared" si="583"/>
        <v>0</v>
      </c>
      <c r="AL484" s="88">
        <v>0</v>
      </c>
      <c r="AM484" s="88">
        <v>0</v>
      </c>
      <c r="AN484" s="81" t="str">
        <f t="shared" si="621"/>
        <v/>
      </c>
      <c r="AO484" s="88">
        <f t="shared" si="584"/>
        <v>0</v>
      </c>
      <c r="AP484" s="88">
        <f t="shared" si="585"/>
        <v>0</v>
      </c>
      <c r="AQ484" s="81" t="str">
        <f t="shared" si="586"/>
        <v/>
      </c>
      <c r="AS484" s="41" t="b">
        <f t="shared" si="587"/>
        <v>1</v>
      </c>
      <c r="AT484" s="38">
        <f t="shared" si="588"/>
        <v>0</v>
      </c>
      <c r="AU484" s="60">
        <f t="shared" si="589"/>
        <v>0</v>
      </c>
      <c r="AV484" s="41">
        <f t="shared" si="590"/>
        <v>0</v>
      </c>
      <c r="AW484" s="41" t="b">
        <f t="shared" si="591"/>
        <v>0</v>
      </c>
      <c r="AX484" t="str">
        <f t="shared" si="592"/>
        <v>+00</v>
      </c>
      <c r="AY484" t="str">
        <f t="shared" si="593"/>
        <v>+00</v>
      </c>
      <c r="BA484" s="47" t="b">
        <f t="shared" si="622"/>
        <v>1</v>
      </c>
      <c r="BB484" s="42" t="b">
        <f t="shared" si="623"/>
        <v>1</v>
      </c>
      <c r="BC484" s="42" t="b">
        <f t="shared" si="624"/>
        <v>0</v>
      </c>
      <c r="BD484" s="42" t="b">
        <f t="shared" si="625"/>
        <v>0</v>
      </c>
      <c r="BE484" s="70">
        <f t="shared" si="626"/>
        <v>0</v>
      </c>
      <c r="BF484" s="70">
        <f t="shared" si="627"/>
        <v>0</v>
      </c>
      <c r="BG484" s="34"/>
      <c r="BI484" s="47" t="b">
        <f t="shared" si="628"/>
        <v>1</v>
      </c>
      <c r="BJ484" s="47" t="b">
        <f t="shared" si="629"/>
        <v>1</v>
      </c>
      <c r="BK484" s="42" t="b">
        <f t="shared" si="630"/>
        <v>0</v>
      </c>
      <c r="BL484" s="42" t="b">
        <f t="shared" si="631"/>
        <v>0</v>
      </c>
      <c r="BM484" s="42">
        <f t="shared" si="632"/>
        <v>0</v>
      </c>
      <c r="BN484" s="42">
        <f t="shared" si="633"/>
        <v>0</v>
      </c>
      <c r="BP484" t="e">
        <f t="shared" si="634"/>
        <v>#N/A</v>
      </c>
      <c r="BQ484" t="e">
        <f t="shared" si="635"/>
        <v>#N/A</v>
      </c>
      <c r="BR484" t="e">
        <f t="shared" si="636"/>
        <v>#N/A</v>
      </c>
      <c r="BT484" s="60">
        <f t="shared" si="637"/>
        <v>0</v>
      </c>
      <c r="BU484" s="60">
        <f t="shared" si="638"/>
        <v>0</v>
      </c>
      <c r="BV484" s="60">
        <f t="shared" si="639"/>
        <v>0</v>
      </c>
      <c r="BW484" s="60">
        <f t="shared" si="640"/>
        <v>0</v>
      </c>
      <c r="BX484" s="60">
        <f t="shared" si="641"/>
        <v>0</v>
      </c>
      <c r="BY484" s="60">
        <f t="shared" si="642"/>
        <v>0</v>
      </c>
      <c r="BZ484" s="60">
        <f t="shared" si="643"/>
        <v>0</v>
      </c>
      <c r="CA484" s="60">
        <f t="shared" si="644"/>
        <v>0</v>
      </c>
      <c r="CB484" s="60" t="e">
        <f t="shared" si="594"/>
        <v>#N/A</v>
      </c>
      <c r="CC484" s="60">
        <f t="shared" si="595"/>
        <v>100000</v>
      </c>
      <c r="CD484" s="60" t="e">
        <f t="shared" si="596"/>
        <v>#N/A</v>
      </c>
      <c r="CE484" s="60">
        <f t="shared" si="597"/>
        <v>100000</v>
      </c>
      <c r="CF484" s="83" t="e">
        <f t="shared" si="645"/>
        <v>#N/A</v>
      </c>
      <c r="CG484" s="83">
        <f t="shared" si="646"/>
        <v>0</v>
      </c>
      <c r="CH484" s="83" t="e">
        <f t="shared" si="647"/>
        <v>#N/A</v>
      </c>
      <c r="CI484" s="83">
        <f t="shared" si="648"/>
        <v>0</v>
      </c>
      <c r="CJ484" s="86" t="e">
        <f t="shared" si="598"/>
        <v>#N/A</v>
      </c>
      <c r="CK484" s="82">
        <f t="shared" si="599"/>
        <v>5.3070370403969858E-3</v>
      </c>
      <c r="CL484" s="82" t="e">
        <f t="shared" si="600"/>
        <v>#N/A</v>
      </c>
      <c r="CM484" s="82">
        <f t="shared" si="601"/>
        <v>5.3070370403969858E-3</v>
      </c>
      <c r="CO484" s="149" t="str">
        <f>IF($I484&lt;&gt;"",IF(O484="User Specified",U484,INDEX('Refrigerant GWPs'!$G$2:$G$156,MATCH(O484,'Refrigerant GWPs'!$A$2:$A$156,0))),"")</f>
        <v/>
      </c>
      <c r="CP484" s="138" t="str">
        <f>IF($I484&lt;&gt;"",INDEX('Device Refrigerant Leakage'!$E$2:$E$42,MATCH($M484,'Device Refrigerant Leakage'!$B$2:$B$42,0)),"")</f>
        <v/>
      </c>
      <c r="CQ484" s="138" t="str">
        <f>IF($I484&lt;&gt;"",INDEX('Device Refrigerant Leakage'!$F$2:$F$42,MATCH($M484,'Device Refrigerant Leakage'!$B$2:$B$42,0)),"")</f>
        <v/>
      </c>
      <c r="CR484" s="145" t="str">
        <f>IF($I484&lt;&gt;"",INDEX('Device Refrigerant Leakage'!$G$2:$G$42,MATCH($M484,'Device Refrigerant Leakage'!$B$2:$B$42,0)),"")</f>
        <v/>
      </c>
      <c r="CS484" s="145" t="str">
        <f>IF($I484&lt;&gt;"",INDEX('Device Refrigerant Leakage'!$D$2:$D$42,MATCH($M484,'Device Refrigerant Leakage'!$B$2:$B$42,0))*CP484/2204.62*CO484,"")</f>
        <v/>
      </c>
      <c r="CT484" s="145" t="str">
        <f>IF($I484&lt;&gt;"",J484*(INDEX('Device Refrigerant Leakage'!$D$2:$D$42,MATCH($M484,'Device Refrigerant Leakage'!$B$2:$B$42,0))-(INDEX('Device Refrigerant Leakage'!$D$2:$D$42,MATCH($M484,'Device Refrigerant Leakage'!$B$2:$B$42,0)))*CR484*CP484)*CQ484/2204.62*CO484,"")</f>
        <v/>
      </c>
      <c r="CU484" s="135" t="str">
        <f>IF($I484&lt;&gt;"",J484*IF(W484&lt;&gt;"AR",(CS484*K484)+CT484,(CS484*AB484)+CT484*(AB484/INDEX('Device Refrigerant Leakage'!$C$2:$C$42,MATCH($M484,'Device Refrigerant Leakage'!$B$2:$B$42,0)))),"")</f>
        <v/>
      </c>
      <c r="CW484" s="135" t="str">
        <f>IF($I484&lt;&gt;"",IF(S484="User Specified",V484,INDEX('Refrigerant GWPs'!$G$2:$G$156,MATCH(S484,'Refrigerant GWPs'!$A$2:$A$157,0))),"")</f>
        <v/>
      </c>
      <c r="CX484" s="138" t="str">
        <f>IF($I484&lt;&gt;"",INDEX('Device Refrigerant Leakage'!$E$2:$E$42,MATCH($Q484,'Device Refrigerant Leakage'!$B$2:$B$42,0)),"")</f>
        <v/>
      </c>
      <c r="CY484" s="138" t="str">
        <f>IF($I484&lt;&gt;"",INDEX('Device Refrigerant Leakage'!$F$2:$F$42,MATCH($Q484,'Device Refrigerant Leakage'!$B$2:$B$42,0)),"")</f>
        <v/>
      </c>
      <c r="CZ484" s="145" t="str">
        <f>IF($I484&lt;&gt;"",INDEX('Device Refrigerant Leakage'!$G$2:$G$42,MATCH($Q484,'Device Refrigerant Leakage'!$B$2:$B$42,0)),"")</f>
        <v/>
      </c>
      <c r="DA484" s="145" t="str">
        <f>IF($I484&lt;&gt;"",J484*INDEX('Device Refrigerant Leakage'!$D$2:$D$42,MATCH($Q484,'Device Refrigerant Leakage'!$B$2:$B$42,0))*CX484/2204.62*CW484,"")</f>
        <v/>
      </c>
      <c r="DB484" s="145" t="str">
        <f>IF($I484&lt;&gt;"",J484*(INDEX('Device Refrigerant Leakage'!$D$2:$D$42,MATCH($Q484,'Device Refrigerant Leakage'!$B$2:$B$42,0))-(INDEX('Device Refrigerant Leakage'!$D$2:$D$42,MATCH($Q484,'Device Refrigerant Leakage'!$B$2:$B$42,0)))*CZ484*CX484)*CY484/2204.62*CW484,"")</f>
        <v/>
      </c>
      <c r="DC484" s="135" t="str">
        <f t="shared" si="620"/>
        <v/>
      </c>
      <c r="DE484" s="146" t="str">
        <f>IF(W484&lt;&gt;"AR","",IF(Y484="User Specified", AA484, INDEX('Refrigerant GWPs'!$G$2:$G$154,MATCH(Y484,'Refrigerant GWPs'!$A$2:$A$154,0))))</f>
        <v/>
      </c>
      <c r="DF484" s="146" t="str">
        <f>IF(W484&lt;&gt;"AR","",INDEX('Device Refrigerant Leakage'!$E$2:$E$42,MATCH(X484,'Device Refrigerant Leakage'!$B$2:$B$42,0)))</f>
        <v/>
      </c>
      <c r="DG484" s="146" t="str">
        <f>IF(W484&lt;&gt;"AR","",INDEX('Device Refrigerant Leakage'!$F$2:$F$42,MATCH(X484,'Device Refrigerant Leakage'!$B$2:$B$42,0)))</f>
        <v/>
      </c>
      <c r="DH484" s="146" t="str">
        <f>IF(W484&lt;&gt;"AR","",INDEX('Device Refrigerant Leakage'!$G$2:$G$42,MATCH(X484,'Device Refrigerant Leakage'!$B$2:$B$42,0)))</f>
        <v/>
      </c>
      <c r="DI484" s="146" t="str">
        <f>IF(W484&lt;&gt;"AR","",J484*INDEX('Device Refrigerant Leakage'!$D$2:$D$42,MATCH(X484,'Device Refrigerant Leakage'!$B$2:$B$42,0))*DF484/2204.62*DE484)</f>
        <v/>
      </c>
      <c r="DJ484" s="146" t="str">
        <f>IF(W484&lt;&gt;"AR","",J484*(INDEX('Device Refrigerant Leakage'!$D$2:$D$42,MATCH(X484,'Device Refrigerant Leakage'!$B$2:$B$42,0))-(INDEX('Device Refrigerant Leakage'!$D$2:$D$42,MATCH(X484,'Device Refrigerant Leakage'!$B$2:$B$42,0)))*DH484*DF484)*DG484/2204.62*DE484)</f>
        <v/>
      </c>
      <c r="DK484" s="146" t="str">
        <f>IF(W484&lt;&gt;"AR","",DI484*(K484-AB484)+'Fuel Sub Calcs-Deemed'!DJ484*((K484-AB484)/INDEX('Device Refrigerant Leakage'!$C$2:$C$42,MATCH('Fuel Sub Calcs-Deemed'!X484,'Device Refrigerant Leakage'!$B$2:$B$42,0))))</f>
        <v/>
      </c>
      <c r="DM484" s="56">
        <v>470</v>
      </c>
      <c r="DN484" s="67" t="e">
        <f t="shared" si="602"/>
        <v>#N/A</v>
      </c>
      <c r="DO484" s="45" t="e">
        <f t="shared" si="603"/>
        <v>#N/A</v>
      </c>
      <c r="DP484" s="67" t="e">
        <f t="shared" si="604"/>
        <v>#N/A</v>
      </c>
      <c r="DQ484" s="45" t="e">
        <f t="shared" si="605"/>
        <v>#N/A</v>
      </c>
      <c r="DR484" s="69" t="e">
        <f t="shared" si="606"/>
        <v>#N/A</v>
      </c>
      <c r="DS484" s="34"/>
      <c r="DT484" s="67" t="e">
        <f>((BX484*CJ484)+IF($W484=MAT_AR,(BZ484*CL484),0))*(1+Reference!$E$50+Reference!$E$51)</f>
        <v>#N/A</v>
      </c>
      <c r="DU484" s="67">
        <f>((BY484*CK484)+IF($W484=MAT_AR,(CA484*CM484),0))*(1+Reference!$G$50+Reference!$G$51)</f>
        <v>0</v>
      </c>
      <c r="DV484" s="67" t="e">
        <f t="shared" si="607"/>
        <v>#VALUE!</v>
      </c>
      <c r="DX484" s="56">
        <v>470</v>
      </c>
      <c r="DY484" s="67">
        <f t="shared" si="608"/>
        <v>0</v>
      </c>
      <c r="DZ484" s="45" t="e">
        <f>VLOOKUP($R484,Dropdown!$C$3:$D$4,2,FALSE)</f>
        <v>#N/A</v>
      </c>
      <c r="EA484" s="68">
        <f t="shared" si="609"/>
        <v>0</v>
      </c>
      <c r="EB484" s="68" t="str">
        <f t="shared" si="610"/>
        <v>N/A</v>
      </c>
      <c r="EC484" s="68">
        <f t="shared" si="611"/>
        <v>0</v>
      </c>
      <c r="ED484" s="68" t="str">
        <f t="shared" si="649"/>
        <v>N/A</v>
      </c>
      <c r="EF484" s="56">
        <v>470</v>
      </c>
      <c r="EG484" s="46">
        <f t="shared" si="612"/>
        <v>0</v>
      </c>
      <c r="EH484" s="68" t="e">
        <f t="shared" si="613"/>
        <v>#N/A</v>
      </c>
      <c r="EI484" s="68" t="e">
        <f t="shared" si="614"/>
        <v>#N/A</v>
      </c>
      <c r="EJ484" s="68" t="e">
        <f t="shared" si="615"/>
        <v>#N/A</v>
      </c>
      <c r="EK484" s="68" t="e">
        <f t="shared" si="616"/>
        <v>#N/A</v>
      </c>
      <c r="EL484" s="46">
        <f t="shared" si="617"/>
        <v>0</v>
      </c>
      <c r="EM484" s="46">
        <f t="shared" si="618"/>
        <v>0</v>
      </c>
    </row>
    <row r="485" spans="1:143">
      <c r="A485" s="89"/>
      <c r="B485" s="89"/>
      <c r="C485" s="89"/>
      <c r="D485" s="89"/>
      <c r="E485" s="89"/>
      <c r="F485" s="89"/>
      <c r="G485" s="34"/>
      <c r="H485" s="56">
        <f t="shared" si="619"/>
        <v>471</v>
      </c>
      <c r="I485" s="165"/>
      <c r="J485" s="163"/>
      <c r="K485" s="163"/>
      <c r="L485" s="164"/>
      <c r="M485" s="155"/>
      <c r="N485" s="155"/>
      <c r="O485" s="144"/>
      <c r="P485" s="159" t="str">
        <f>IFERROR(IF(O485&lt;&gt;"User Specified",IF(O485&lt;&gt;"", INDEX('Refrigerant GWPs'!$G$2:$G$154,MATCH(O485,'Refrigerant GWPs'!$A$2:$A$154,0)),""),U485),0)</f>
        <v/>
      </c>
      <c r="Q485" s="155"/>
      <c r="R485" s="155"/>
      <c r="S485" s="144"/>
      <c r="T485" s="159" t="str">
        <f>IF(S485&lt;&gt;"User Specified",IF(AND(S485&lt;&gt;"User Specified",S485&lt;&gt;""), INDEX('Refrigerant GWPs'!$G$2:$G$154,MATCH(S485,'Refrigerant GWPs'!$A$2:$A$154,0)),""),V485)</f>
        <v/>
      </c>
      <c r="U485" s="144"/>
      <c r="V485" s="144"/>
      <c r="W485" s="155"/>
      <c r="X485" s="155"/>
      <c r="Y485" s="144"/>
      <c r="Z485" s="159" t="str">
        <f>IF(AND(Y485&lt;&gt;"User Specified",Y485&lt;&gt;""), INDEX('Refrigerant GWPs'!$G$2:$G$154,MATCH(Y485,'Refrigerant GWPs'!$A$2:$A$154,0)),"")</f>
        <v/>
      </c>
      <c r="AA485" s="155"/>
      <c r="AB485" s="156"/>
      <c r="AC485" s="66"/>
      <c r="AD485" s="66"/>
      <c r="AE485" s="66"/>
      <c r="AF485" s="66"/>
      <c r="AG485" s="66"/>
      <c r="AH485" s="66"/>
      <c r="AI485" s="34"/>
      <c r="AJ485" s="88">
        <f t="shared" si="582"/>
        <v>0</v>
      </c>
      <c r="AK485" s="88">
        <f t="shared" si="583"/>
        <v>0</v>
      </c>
      <c r="AL485" s="88">
        <v>0</v>
      </c>
      <c r="AM485" s="88">
        <v>0</v>
      </c>
      <c r="AN485" s="81" t="str">
        <f t="shared" si="621"/>
        <v/>
      </c>
      <c r="AO485" s="88">
        <f t="shared" si="584"/>
        <v>0</v>
      </c>
      <c r="AP485" s="88">
        <f t="shared" si="585"/>
        <v>0</v>
      </c>
      <c r="AQ485" s="81" t="str">
        <f t="shared" si="586"/>
        <v/>
      </c>
      <c r="AS485" s="41" t="b">
        <f t="shared" si="587"/>
        <v>1</v>
      </c>
      <c r="AT485" s="38">
        <f t="shared" si="588"/>
        <v>0</v>
      </c>
      <c r="AU485" s="60">
        <f t="shared" si="589"/>
        <v>0</v>
      </c>
      <c r="AV485" s="41">
        <f t="shared" si="590"/>
        <v>0</v>
      </c>
      <c r="AW485" s="41" t="b">
        <f t="shared" si="591"/>
        <v>0</v>
      </c>
      <c r="AX485" t="str">
        <f t="shared" si="592"/>
        <v>+00</v>
      </c>
      <c r="AY485" t="str">
        <f t="shared" si="593"/>
        <v>+00</v>
      </c>
      <c r="BA485" s="47" t="b">
        <f t="shared" si="622"/>
        <v>1</v>
      </c>
      <c r="BB485" s="42" t="b">
        <f t="shared" si="623"/>
        <v>1</v>
      </c>
      <c r="BC485" s="42" t="b">
        <f t="shared" si="624"/>
        <v>0</v>
      </c>
      <c r="BD485" s="42" t="b">
        <f t="shared" si="625"/>
        <v>0</v>
      </c>
      <c r="BE485" s="70">
        <f t="shared" si="626"/>
        <v>0</v>
      </c>
      <c r="BF485" s="70">
        <f t="shared" si="627"/>
        <v>0</v>
      </c>
      <c r="BG485" s="34"/>
      <c r="BI485" s="47" t="b">
        <f t="shared" si="628"/>
        <v>1</v>
      </c>
      <c r="BJ485" s="47" t="b">
        <f t="shared" si="629"/>
        <v>1</v>
      </c>
      <c r="BK485" s="42" t="b">
        <f t="shared" si="630"/>
        <v>0</v>
      </c>
      <c r="BL485" s="42" t="b">
        <f t="shared" si="631"/>
        <v>0</v>
      </c>
      <c r="BM485" s="42">
        <f t="shared" si="632"/>
        <v>0</v>
      </c>
      <c r="BN485" s="42">
        <f t="shared" si="633"/>
        <v>0</v>
      </c>
      <c r="BP485" t="e">
        <f t="shared" si="634"/>
        <v>#N/A</v>
      </c>
      <c r="BQ485" t="e">
        <f t="shared" si="635"/>
        <v>#N/A</v>
      </c>
      <c r="BR485" t="e">
        <f t="shared" si="636"/>
        <v>#N/A</v>
      </c>
      <c r="BT485" s="60">
        <f t="shared" si="637"/>
        <v>0</v>
      </c>
      <c r="BU485" s="60">
        <f t="shared" si="638"/>
        <v>0</v>
      </c>
      <c r="BV485" s="60">
        <f t="shared" si="639"/>
        <v>0</v>
      </c>
      <c r="BW485" s="60">
        <f t="shared" si="640"/>
        <v>0</v>
      </c>
      <c r="BX485" s="60">
        <f t="shared" si="641"/>
        <v>0</v>
      </c>
      <c r="BY485" s="60">
        <f t="shared" si="642"/>
        <v>0</v>
      </c>
      <c r="BZ485" s="60">
        <f t="shared" si="643"/>
        <v>0</v>
      </c>
      <c r="CA485" s="60">
        <f t="shared" si="644"/>
        <v>0</v>
      </c>
      <c r="CB485" s="60" t="e">
        <f t="shared" si="594"/>
        <v>#N/A</v>
      </c>
      <c r="CC485" s="60">
        <f t="shared" si="595"/>
        <v>100000</v>
      </c>
      <c r="CD485" s="60" t="e">
        <f t="shared" si="596"/>
        <v>#N/A</v>
      </c>
      <c r="CE485" s="60">
        <f t="shared" si="597"/>
        <v>100000</v>
      </c>
      <c r="CF485" s="83" t="e">
        <f t="shared" si="645"/>
        <v>#N/A</v>
      </c>
      <c r="CG485" s="83">
        <f t="shared" si="646"/>
        <v>0</v>
      </c>
      <c r="CH485" s="83" t="e">
        <f t="shared" si="647"/>
        <v>#N/A</v>
      </c>
      <c r="CI485" s="83">
        <f t="shared" si="648"/>
        <v>0</v>
      </c>
      <c r="CJ485" s="86" t="e">
        <f t="shared" si="598"/>
        <v>#N/A</v>
      </c>
      <c r="CK485" s="82">
        <f t="shared" si="599"/>
        <v>5.3070370403969858E-3</v>
      </c>
      <c r="CL485" s="82" t="e">
        <f t="shared" si="600"/>
        <v>#N/A</v>
      </c>
      <c r="CM485" s="82">
        <f t="shared" si="601"/>
        <v>5.3070370403969858E-3</v>
      </c>
      <c r="CO485" s="149" t="str">
        <f>IF($I485&lt;&gt;"",IF(O485="User Specified",U485,INDEX('Refrigerant GWPs'!$G$2:$G$156,MATCH(O485,'Refrigerant GWPs'!$A$2:$A$156,0))),"")</f>
        <v/>
      </c>
      <c r="CP485" s="138" t="str">
        <f>IF($I485&lt;&gt;"",INDEX('Device Refrigerant Leakage'!$E$2:$E$42,MATCH($M485,'Device Refrigerant Leakage'!$B$2:$B$42,0)),"")</f>
        <v/>
      </c>
      <c r="CQ485" s="138" t="str">
        <f>IF($I485&lt;&gt;"",INDEX('Device Refrigerant Leakage'!$F$2:$F$42,MATCH($M485,'Device Refrigerant Leakage'!$B$2:$B$42,0)),"")</f>
        <v/>
      </c>
      <c r="CR485" s="145" t="str">
        <f>IF($I485&lt;&gt;"",INDEX('Device Refrigerant Leakage'!$G$2:$G$42,MATCH($M485,'Device Refrigerant Leakage'!$B$2:$B$42,0)),"")</f>
        <v/>
      </c>
      <c r="CS485" s="145" t="str">
        <f>IF($I485&lt;&gt;"",INDEX('Device Refrigerant Leakage'!$D$2:$D$42,MATCH($M485,'Device Refrigerant Leakage'!$B$2:$B$42,0))*CP485/2204.62*CO485,"")</f>
        <v/>
      </c>
      <c r="CT485" s="145" t="str">
        <f>IF($I485&lt;&gt;"",J485*(INDEX('Device Refrigerant Leakage'!$D$2:$D$42,MATCH($M485,'Device Refrigerant Leakage'!$B$2:$B$42,0))-(INDEX('Device Refrigerant Leakage'!$D$2:$D$42,MATCH($M485,'Device Refrigerant Leakage'!$B$2:$B$42,0)))*CR485*CP485)*CQ485/2204.62*CO485,"")</f>
        <v/>
      </c>
      <c r="CU485" s="135" t="str">
        <f>IF($I485&lt;&gt;"",J485*IF(W485&lt;&gt;"AR",(CS485*K485)+CT485,(CS485*AB485)+CT485*(AB485/INDEX('Device Refrigerant Leakage'!$C$2:$C$42,MATCH($M485,'Device Refrigerant Leakage'!$B$2:$B$42,0)))),"")</f>
        <v/>
      </c>
      <c r="CW485" s="135" t="str">
        <f>IF($I485&lt;&gt;"",IF(S485="User Specified",V485,INDEX('Refrigerant GWPs'!$G$2:$G$156,MATCH(S485,'Refrigerant GWPs'!$A$2:$A$157,0))),"")</f>
        <v/>
      </c>
      <c r="CX485" s="138" t="str">
        <f>IF($I485&lt;&gt;"",INDEX('Device Refrigerant Leakage'!$E$2:$E$42,MATCH($Q485,'Device Refrigerant Leakage'!$B$2:$B$42,0)),"")</f>
        <v/>
      </c>
      <c r="CY485" s="138" t="str">
        <f>IF($I485&lt;&gt;"",INDEX('Device Refrigerant Leakage'!$F$2:$F$42,MATCH($Q485,'Device Refrigerant Leakage'!$B$2:$B$42,0)),"")</f>
        <v/>
      </c>
      <c r="CZ485" s="145" t="str">
        <f>IF($I485&lt;&gt;"",INDEX('Device Refrigerant Leakage'!$G$2:$G$42,MATCH($Q485,'Device Refrigerant Leakage'!$B$2:$B$42,0)),"")</f>
        <v/>
      </c>
      <c r="DA485" s="145" t="str">
        <f>IF($I485&lt;&gt;"",J485*INDEX('Device Refrigerant Leakage'!$D$2:$D$42,MATCH($Q485,'Device Refrigerant Leakage'!$B$2:$B$42,0))*CX485/2204.62*CW485,"")</f>
        <v/>
      </c>
      <c r="DB485" s="145" t="str">
        <f>IF($I485&lt;&gt;"",J485*(INDEX('Device Refrigerant Leakage'!$D$2:$D$42,MATCH($Q485,'Device Refrigerant Leakage'!$B$2:$B$42,0))-(INDEX('Device Refrigerant Leakage'!$D$2:$D$42,MATCH($Q485,'Device Refrigerant Leakage'!$B$2:$B$42,0)))*CZ485*CX485)*CY485/2204.62*CW485,"")</f>
        <v/>
      </c>
      <c r="DC485" s="135" t="str">
        <f t="shared" si="620"/>
        <v/>
      </c>
      <c r="DE485" s="146" t="str">
        <f>IF(W485&lt;&gt;"AR","",IF(Y485="User Specified", AA485, INDEX('Refrigerant GWPs'!$G$2:$G$154,MATCH(Y485,'Refrigerant GWPs'!$A$2:$A$154,0))))</f>
        <v/>
      </c>
      <c r="DF485" s="146" t="str">
        <f>IF(W485&lt;&gt;"AR","",INDEX('Device Refrigerant Leakage'!$E$2:$E$42,MATCH(X485,'Device Refrigerant Leakage'!$B$2:$B$42,0)))</f>
        <v/>
      </c>
      <c r="DG485" s="146" t="str">
        <f>IF(W485&lt;&gt;"AR","",INDEX('Device Refrigerant Leakage'!$F$2:$F$42,MATCH(X485,'Device Refrigerant Leakage'!$B$2:$B$42,0)))</f>
        <v/>
      </c>
      <c r="DH485" s="146" t="str">
        <f>IF(W485&lt;&gt;"AR","",INDEX('Device Refrigerant Leakage'!$G$2:$G$42,MATCH(X485,'Device Refrigerant Leakage'!$B$2:$B$42,0)))</f>
        <v/>
      </c>
      <c r="DI485" s="146" t="str">
        <f>IF(W485&lt;&gt;"AR","",J485*INDEX('Device Refrigerant Leakage'!$D$2:$D$42,MATCH(X485,'Device Refrigerant Leakage'!$B$2:$B$42,0))*DF485/2204.62*DE485)</f>
        <v/>
      </c>
      <c r="DJ485" s="146" t="str">
        <f>IF(W485&lt;&gt;"AR","",J485*(INDEX('Device Refrigerant Leakage'!$D$2:$D$42,MATCH(X485,'Device Refrigerant Leakage'!$B$2:$B$42,0))-(INDEX('Device Refrigerant Leakage'!$D$2:$D$42,MATCH(X485,'Device Refrigerant Leakage'!$B$2:$B$42,0)))*DH485*DF485)*DG485/2204.62*DE485)</f>
        <v/>
      </c>
      <c r="DK485" s="146" t="str">
        <f>IF(W485&lt;&gt;"AR","",DI485*(K485-AB485)+'Fuel Sub Calcs-Deemed'!DJ485*((K485-AB485)/INDEX('Device Refrigerant Leakage'!$C$2:$C$42,MATCH('Fuel Sub Calcs-Deemed'!X485,'Device Refrigerant Leakage'!$B$2:$B$42,0))))</f>
        <v/>
      </c>
      <c r="DM485" s="56">
        <v>471</v>
      </c>
      <c r="DN485" s="67" t="e">
        <f t="shared" si="602"/>
        <v>#N/A</v>
      </c>
      <c r="DO485" s="45" t="e">
        <f t="shared" si="603"/>
        <v>#N/A</v>
      </c>
      <c r="DP485" s="67" t="e">
        <f t="shared" si="604"/>
        <v>#N/A</v>
      </c>
      <c r="DQ485" s="45" t="e">
        <f t="shared" si="605"/>
        <v>#N/A</v>
      </c>
      <c r="DR485" s="69" t="e">
        <f t="shared" si="606"/>
        <v>#N/A</v>
      </c>
      <c r="DS485" s="34"/>
      <c r="DT485" s="67" t="e">
        <f>((BX485*CJ485)+IF($W485=MAT_AR,(BZ485*CL485),0))*(1+Reference!$E$50+Reference!$E$51)</f>
        <v>#N/A</v>
      </c>
      <c r="DU485" s="67">
        <f>((BY485*CK485)+IF($W485=MAT_AR,(CA485*CM485),0))*(1+Reference!$G$50+Reference!$G$51)</f>
        <v>0</v>
      </c>
      <c r="DV485" s="67" t="e">
        <f t="shared" si="607"/>
        <v>#VALUE!</v>
      </c>
      <c r="DX485" s="56">
        <v>471</v>
      </c>
      <c r="DY485" s="67">
        <f t="shared" si="608"/>
        <v>0</v>
      </c>
      <c r="DZ485" s="45" t="e">
        <f>VLOOKUP($R485,Dropdown!$C$3:$D$4,2,FALSE)</f>
        <v>#N/A</v>
      </c>
      <c r="EA485" s="68">
        <f t="shared" si="609"/>
        <v>0</v>
      </c>
      <c r="EB485" s="68" t="str">
        <f t="shared" si="610"/>
        <v>N/A</v>
      </c>
      <c r="EC485" s="68">
        <f t="shared" si="611"/>
        <v>0</v>
      </c>
      <c r="ED485" s="68" t="str">
        <f t="shared" si="649"/>
        <v>N/A</v>
      </c>
      <c r="EF485" s="56">
        <v>471</v>
      </c>
      <c r="EG485" s="46">
        <f t="shared" si="612"/>
        <v>0</v>
      </c>
      <c r="EH485" s="68" t="e">
        <f t="shared" si="613"/>
        <v>#N/A</v>
      </c>
      <c r="EI485" s="68" t="e">
        <f t="shared" si="614"/>
        <v>#N/A</v>
      </c>
      <c r="EJ485" s="68" t="e">
        <f t="shared" si="615"/>
        <v>#N/A</v>
      </c>
      <c r="EK485" s="68" t="e">
        <f t="shared" si="616"/>
        <v>#N/A</v>
      </c>
      <c r="EL485" s="46">
        <f t="shared" si="617"/>
        <v>0</v>
      </c>
      <c r="EM485" s="46">
        <f t="shared" si="618"/>
        <v>0</v>
      </c>
    </row>
    <row r="486" spans="1:143">
      <c r="A486" s="89"/>
      <c r="B486" s="89"/>
      <c r="C486" s="89"/>
      <c r="D486" s="89"/>
      <c r="E486" s="89"/>
      <c r="F486" s="89"/>
      <c r="G486" s="34"/>
      <c r="H486" s="56">
        <f t="shared" si="619"/>
        <v>472</v>
      </c>
      <c r="I486" s="165"/>
      <c r="J486" s="163"/>
      <c r="K486" s="163"/>
      <c r="L486" s="164"/>
      <c r="M486" s="155"/>
      <c r="N486" s="155"/>
      <c r="O486" s="144"/>
      <c r="P486" s="159" t="str">
        <f>IFERROR(IF(O486&lt;&gt;"User Specified",IF(O486&lt;&gt;"", INDEX('Refrigerant GWPs'!$G$2:$G$154,MATCH(O486,'Refrigerant GWPs'!$A$2:$A$154,0)),""),U486),0)</f>
        <v/>
      </c>
      <c r="Q486" s="155"/>
      <c r="R486" s="155"/>
      <c r="S486" s="144"/>
      <c r="T486" s="159" t="str">
        <f>IF(S486&lt;&gt;"User Specified",IF(AND(S486&lt;&gt;"User Specified",S486&lt;&gt;""), INDEX('Refrigerant GWPs'!$G$2:$G$154,MATCH(S486,'Refrigerant GWPs'!$A$2:$A$154,0)),""),V486)</f>
        <v/>
      </c>
      <c r="U486" s="144"/>
      <c r="V486" s="144"/>
      <c r="W486" s="155"/>
      <c r="X486" s="155"/>
      <c r="Y486" s="144"/>
      <c r="Z486" s="159" t="str">
        <f>IF(AND(Y486&lt;&gt;"User Specified",Y486&lt;&gt;""), INDEX('Refrigerant GWPs'!$G$2:$G$154,MATCH(Y486,'Refrigerant GWPs'!$A$2:$A$154,0)),"")</f>
        <v/>
      </c>
      <c r="AA486" s="155"/>
      <c r="AB486" s="156"/>
      <c r="AC486" s="66"/>
      <c r="AD486" s="66"/>
      <c r="AE486" s="66"/>
      <c r="AF486" s="66"/>
      <c r="AG486" s="66"/>
      <c r="AH486" s="66"/>
      <c r="AI486" s="34"/>
      <c r="AJ486" s="88">
        <f t="shared" si="582"/>
        <v>0</v>
      </c>
      <c r="AK486" s="88">
        <f t="shared" si="583"/>
        <v>0</v>
      </c>
      <c r="AL486" s="88">
        <v>0</v>
      </c>
      <c r="AM486" s="88">
        <v>0</v>
      </c>
      <c r="AN486" s="81" t="str">
        <f t="shared" si="621"/>
        <v/>
      </c>
      <c r="AO486" s="88">
        <f t="shared" si="584"/>
        <v>0</v>
      </c>
      <c r="AP486" s="88">
        <f t="shared" si="585"/>
        <v>0</v>
      </c>
      <c r="AQ486" s="81" t="str">
        <f t="shared" si="586"/>
        <v/>
      </c>
      <c r="AS486" s="41" t="b">
        <f t="shared" si="587"/>
        <v>1</v>
      </c>
      <c r="AT486" s="38">
        <f t="shared" si="588"/>
        <v>0</v>
      </c>
      <c r="AU486" s="60">
        <f t="shared" si="589"/>
        <v>0</v>
      </c>
      <c r="AV486" s="41">
        <f t="shared" si="590"/>
        <v>0</v>
      </c>
      <c r="AW486" s="41" t="b">
        <f t="shared" si="591"/>
        <v>0</v>
      </c>
      <c r="AX486" t="str">
        <f t="shared" si="592"/>
        <v>+00</v>
      </c>
      <c r="AY486" t="str">
        <f t="shared" si="593"/>
        <v>+00</v>
      </c>
      <c r="BA486" s="47" t="b">
        <f t="shared" si="622"/>
        <v>1</v>
      </c>
      <c r="BB486" s="42" t="b">
        <f t="shared" si="623"/>
        <v>1</v>
      </c>
      <c r="BC486" s="42" t="b">
        <f t="shared" si="624"/>
        <v>0</v>
      </c>
      <c r="BD486" s="42" t="b">
        <f t="shared" si="625"/>
        <v>0</v>
      </c>
      <c r="BE486" s="70">
        <f t="shared" si="626"/>
        <v>0</v>
      </c>
      <c r="BF486" s="70">
        <f t="shared" si="627"/>
        <v>0</v>
      </c>
      <c r="BG486" s="34"/>
      <c r="BI486" s="47" t="b">
        <f t="shared" si="628"/>
        <v>1</v>
      </c>
      <c r="BJ486" s="47" t="b">
        <f t="shared" si="629"/>
        <v>1</v>
      </c>
      <c r="BK486" s="42" t="b">
        <f t="shared" si="630"/>
        <v>0</v>
      </c>
      <c r="BL486" s="42" t="b">
        <f t="shared" si="631"/>
        <v>0</v>
      </c>
      <c r="BM486" s="42">
        <f t="shared" si="632"/>
        <v>0</v>
      </c>
      <c r="BN486" s="42">
        <f t="shared" si="633"/>
        <v>0</v>
      </c>
      <c r="BP486" t="e">
        <f t="shared" si="634"/>
        <v>#N/A</v>
      </c>
      <c r="BQ486" t="e">
        <f t="shared" si="635"/>
        <v>#N/A</v>
      </c>
      <c r="BR486" t="e">
        <f t="shared" si="636"/>
        <v>#N/A</v>
      </c>
      <c r="BT486" s="60">
        <f t="shared" si="637"/>
        <v>0</v>
      </c>
      <c r="BU486" s="60">
        <f t="shared" si="638"/>
        <v>0</v>
      </c>
      <c r="BV486" s="60">
        <f t="shared" si="639"/>
        <v>0</v>
      </c>
      <c r="BW486" s="60">
        <f t="shared" si="640"/>
        <v>0</v>
      </c>
      <c r="BX486" s="60">
        <f t="shared" si="641"/>
        <v>0</v>
      </c>
      <c r="BY486" s="60">
        <f t="shared" si="642"/>
        <v>0</v>
      </c>
      <c r="BZ486" s="60">
        <f t="shared" si="643"/>
        <v>0</v>
      </c>
      <c r="CA486" s="60">
        <f t="shared" si="644"/>
        <v>0</v>
      </c>
      <c r="CB486" s="60" t="e">
        <f t="shared" si="594"/>
        <v>#N/A</v>
      </c>
      <c r="CC486" s="60">
        <f t="shared" si="595"/>
        <v>100000</v>
      </c>
      <c r="CD486" s="60" t="e">
        <f t="shared" si="596"/>
        <v>#N/A</v>
      </c>
      <c r="CE486" s="60">
        <f t="shared" si="597"/>
        <v>100000</v>
      </c>
      <c r="CF486" s="83" t="e">
        <f t="shared" si="645"/>
        <v>#N/A</v>
      </c>
      <c r="CG486" s="83">
        <f t="shared" si="646"/>
        <v>0</v>
      </c>
      <c r="CH486" s="83" t="e">
        <f t="shared" si="647"/>
        <v>#N/A</v>
      </c>
      <c r="CI486" s="83">
        <f t="shared" si="648"/>
        <v>0</v>
      </c>
      <c r="CJ486" s="86" t="e">
        <f t="shared" si="598"/>
        <v>#N/A</v>
      </c>
      <c r="CK486" s="82">
        <f t="shared" si="599"/>
        <v>5.3070370403969858E-3</v>
      </c>
      <c r="CL486" s="82" t="e">
        <f t="shared" si="600"/>
        <v>#N/A</v>
      </c>
      <c r="CM486" s="82">
        <f t="shared" si="601"/>
        <v>5.3070370403969858E-3</v>
      </c>
      <c r="CO486" s="149" t="str">
        <f>IF($I486&lt;&gt;"",IF(O486="User Specified",U486,INDEX('Refrigerant GWPs'!$G$2:$G$156,MATCH(O486,'Refrigerant GWPs'!$A$2:$A$156,0))),"")</f>
        <v/>
      </c>
      <c r="CP486" s="138" t="str">
        <f>IF($I486&lt;&gt;"",INDEX('Device Refrigerant Leakage'!$E$2:$E$42,MATCH($M486,'Device Refrigerant Leakage'!$B$2:$B$42,0)),"")</f>
        <v/>
      </c>
      <c r="CQ486" s="138" t="str">
        <f>IF($I486&lt;&gt;"",INDEX('Device Refrigerant Leakage'!$F$2:$F$42,MATCH($M486,'Device Refrigerant Leakage'!$B$2:$B$42,0)),"")</f>
        <v/>
      </c>
      <c r="CR486" s="145" t="str">
        <f>IF($I486&lt;&gt;"",INDEX('Device Refrigerant Leakage'!$G$2:$G$42,MATCH($M486,'Device Refrigerant Leakage'!$B$2:$B$42,0)),"")</f>
        <v/>
      </c>
      <c r="CS486" s="145" t="str">
        <f>IF($I486&lt;&gt;"",INDEX('Device Refrigerant Leakage'!$D$2:$D$42,MATCH($M486,'Device Refrigerant Leakage'!$B$2:$B$42,0))*CP486/2204.62*CO486,"")</f>
        <v/>
      </c>
      <c r="CT486" s="145" t="str">
        <f>IF($I486&lt;&gt;"",J486*(INDEX('Device Refrigerant Leakage'!$D$2:$D$42,MATCH($M486,'Device Refrigerant Leakage'!$B$2:$B$42,0))-(INDEX('Device Refrigerant Leakage'!$D$2:$D$42,MATCH($M486,'Device Refrigerant Leakage'!$B$2:$B$42,0)))*CR486*CP486)*CQ486/2204.62*CO486,"")</f>
        <v/>
      </c>
      <c r="CU486" s="135" t="str">
        <f>IF($I486&lt;&gt;"",J486*IF(W486&lt;&gt;"AR",(CS486*K486)+CT486,(CS486*AB486)+CT486*(AB486/INDEX('Device Refrigerant Leakage'!$C$2:$C$42,MATCH($M486,'Device Refrigerant Leakage'!$B$2:$B$42,0)))),"")</f>
        <v/>
      </c>
      <c r="CW486" s="135" t="str">
        <f>IF($I486&lt;&gt;"",IF(S486="User Specified",V486,INDEX('Refrigerant GWPs'!$G$2:$G$156,MATCH(S486,'Refrigerant GWPs'!$A$2:$A$157,0))),"")</f>
        <v/>
      </c>
      <c r="CX486" s="138" t="str">
        <f>IF($I486&lt;&gt;"",INDEX('Device Refrigerant Leakage'!$E$2:$E$42,MATCH($Q486,'Device Refrigerant Leakage'!$B$2:$B$42,0)),"")</f>
        <v/>
      </c>
      <c r="CY486" s="138" t="str">
        <f>IF($I486&lt;&gt;"",INDEX('Device Refrigerant Leakage'!$F$2:$F$42,MATCH($Q486,'Device Refrigerant Leakage'!$B$2:$B$42,0)),"")</f>
        <v/>
      </c>
      <c r="CZ486" s="145" t="str">
        <f>IF($I486&lt;&gt;"",INDEX('Device Refrigerant Leakage'!$G$2:$G$42,MATCH($Q486,'Device Refrigerant Leakage'!$B$2:$B$42,0)),"")</f>
        <v/>
      </c>
      <c r="DA486" s="145" t="str">
        <f>IF($I486&lt;&gt;"",J486*INDEX('Device Refrigerant Leakage'!$D$2:$D$42,MATCH($Q486,'Device Refrigerant Leakage'!$B$2:$B$42,0))*CX486/2204.62*CW486,"")</f>
        <v/>
      </c>
      <c r="DB486" s="145" t="str">
        <f>IF($I486&lt;&gt;"",J486*(INDEX('Device Refrigerant Leakage'!$D$2:$D$42,MATCH($Q486,'Device Refrigerant Leakage'!$B$2:$B$42,0))-(INDEX('Device Refrigerant Leakage'!$D$2:$D$42,MATCH($Q486,'Device Refrigerant Leakage'!$B$2:$B$42,0)))*CZ486*CX486)*CY486/2204.62*CW486,"")</f>
        <v/>
      </c>
      <c r="DC486" s="135" t="str">
        <f t="shared" si="620"/>
        <v/>
      </c>
      <c r="DE486" s="146" t="str">
        <f>IF(W486&lt;&gt;"AR","",IF(Y486="User Specified", AA486, INDEX('Refrigerant GWPs'!$G$2:$G$154,MATCH(Y486,'Refrigerant GWPs'!$A$2:$A$154,0))))</f>
        <v/>
      </c>
      <c r="DF486" s="146" t="str">
        <f>IF(W486&lt;&gt;"AR","",INDEX('Device Refrigerant Leakage'!$E$2:$E$42,MATCH(X486,'Device Refrigerant Leakage'!$B$2:$B$42,0)))</f>
        <v/>
      </c>
      <c r="DG486" s="146" t="str">
        <f>IF(W486&lt;&gt;"AR","",INDEX('Device Refrigerant Leakage'!$F$2:$F$42,MATCH(X486,'Device Refrigerant Leakage'!$B$2:$B$42,0)))</f>
        <v/>
      </c>
      <c r="DH486" s="146" t="str">
        <f>IF(W486&lt;&gt;"AR","",INDEX('Device Refrigerant Leakage'!$G$2:$G$42,MATCH(X486,'Device Refrigerant Leakage'!$B$2:$B$42,0)))</f>
        <v/>
      </c>
      <c r="DI486" s="146" t="str">
        <f>IF(W486&lt;&gt;"AR","",J486*INDEX('Device Refrigerant Leakage'!$D$2:$D$42,MATCH(X486,'Device Refrigerant Leakage'!$B$2:$B$42,0))*DF486/2204.62*DE486)</f>
        <v/>
      </c>
      <c r="DJ486" s="146" t="str">
        <f>IF(W486&lt;&gt;"AR","",J486*(INDEX('Device Refrigerant Leakage'!$D$2:$D$42,MATCH(X486,'Device Refrigerant Leakage'!$B$2:$B$42,0))-(INDEX('Device Refrigerant Leakage'!$D$2:$D$42,MATCH(X486,'Device Refrigerant Leakage'!$B$2:$B$42,0)))*DH486*DF486)*DG486/2204.62*DE486)</f>
        <v/>
      </c>
      <c r="DK486" s="146" t="str">
        <f>IF(W486&lt;&gt;"AR","",DI486*(K486-AB486)+'Fuel Sub Calcs-Deemed'!DJ486*((K486-AB486)/INDEX('Device Refrigerant Leakage'!$C$2:$C$42,MATCH('Fuel Sub Calcs-Deemed'!X486,'Device Refrigerant Leakage'!$B$2:$B$42,0))))</f>
        <v/>
      </c>
      <c r="DM486" s="56">
        <v>472</v>
      </c>
      <c r="DN486" s="67" t="e">
        <f t="shared" si="602"/>
        <v>#N/A</v>
      </c>
      <c r="DO486" s="45" t="e">
        <f t="shared" si="603"/>
        <v>#N/A</v>
      </c>
      <c r="DP486" s="67" t="e">
        <f t="shared" si="604"/>
        <v>#N/A</v>
      </c>
      <c r="DQ486" s="45" t="e">
        <f t="shared" si="605"/>
        <v>#N/A</v>
      </c>
      <c r="DR486" s="69" t="e">
        <f t="shared" si="606"/>
        <v>#N/A</v>
      </c>
      <c r="DS486" s="34"/>
      <c r="DT486" s="67" t="e">
        <f>((BX486*CJ486)+IF($W486=MAT_AR,(BZ486*CL486),0))*(1+Reference!$E$50+Reference!$E$51)</f>
        <v>#N/A</v>
      </c>
      <c r="DU486" s="67">
        <f>((BY486*CK486)+IF($W486=MAT_AR,(CA486*CM486),0))*(1+Reference!$G$50+Reference!$G$51)</f>
        <v>0</v>
      </c>
      <c r="DV486" s="67" t="e">
        <f t="shared" si="607"/>
        <v>#VALUE!</v>
      </c>
      <c r="DX486" s="56">
        <v>472</v>
      </c>
      <c r="DY486" s="67">
        <f t="shared" si="608"/>
        <v>0</v>
      </c>
      <c r="DZ486" s="45" t="e">
        <f>VLOOKUP($R486,Dropdown!$C$3:$D$4,2,FALSE)</f>
        <v>#N/A</v>
      </c>
      <c r="EA486" s="68">
        <f t="shared" si="609"/>
        <v>0</v>
      </c>
      <c r="EB486" s="68" t="str">
        <f t="shared" si="610"/>
        <v>N/A</v>
      </c>
      <c r="EC486" s="68">
        <f t="shared" si="611"/>
        <v>0</v>
      </c>
      <c r="ED486" s="68" t="str">
        <f t="shared" si="649"/>
        <v>N/A</v>
      </c>
      <c r="EF486" s="56">
        <v>472</v>
      </c>
      <c r="EG486" s="46">
        <f t="shared" si="612"/>
        <v>0</v>
      </c>
      <c r="EH486" s="68" t="e">
        <f t="shared" si="613"/>
        <v>#N/A</v>
      </c>
      <c r="EI486" s="68" t="e">
        <f t="shared" si="614"/>
        <v>#N/A</v>
      </c>
      <c r="EJ486" s="68" t="e">
        <f t="shared" si="615"/>
        <v>#N/A</v>
      </c>
      <c r="EK486" s="68" t="e">
        <f t="shared" si="616"/>
        <v>#N/A</v>
      </c>
      <c r="EL486" s="46">
        <f t="shared" si="617"/>
        <v>0</v>
      </c>
      <c r="EM486" s="46">
        <f t="shared" si="618"/>
        <v>0</v>
      </c>
    </row>
    <row r="487" spans="1:143">
      <c r="A487" s="89"/>
      <c r="B487" s="89"/>
      <c r="C487" s="89"/>
      <c r="D487" s="89"/>
      <c r="E487" s="89"/>
      <c r="F487" s="89"/>
      <c r="G487" s="34"/>
      <c r="H487" s="56">
        <f t="shared" si="619"/>
        <v>473</v>
      </c>
      <c r="I487" s="165"/>
      <c r="J487" s="163"/>
      <c r="K487" s="163"/>
      <c r="L487" s="164"/>
      <c r="M487" s="155"/>
      <c r="N487" s="155"/>
      <c r="O487" s="144"/>
      <c r="P487" s="159" t="str">
        <f>IFERROR(IF(O487&lt;&gt;"User Specified",IF(O487&lt;&gt;"", INDEX('Refrigerant GWPs'!$G$2:$G$154,MATCH(O487,'Refrigerant GWPs'!$A$2:$A$154,0)),""),U487),0)</f>
        <v/>
      </c>
      <c r="Q487" s="155"/>
      <c r="R487" s="155"/>
      <c r="S487" s="144"/>
      <c r="T487" s="159" t="str">
        <f>IF(S487&lt;&gt;"User Specified",IF(AND(S487&lt;&gt;"User Specified",S487&lt;&gt;""), INDEX('Refrigerant GWPs'!$G$2:$G$154,MATCH(S487,'Refrigerant GWPs'!$A$2:$A$154,0)),""),V487)</f>
        <v/>
      </c>
      <c r="U487" s="144"/>
      <c r="V487" s="144"/>
      <c r="W487" s="155"/>
      <c r="X487" s="155"/>
      <c r="Y487" s="144"/>
      <c r="Z487" s="159" t="str">
        <f>IF(AND(Y487&lt;&gt;"User Specified",Y487&lt;&gt;""), INDEX('Refrigerant GWPs'!$G$2:$G$154,MATCH(Y487,'Refrigerant GWPs'!$A$2:$A$154,0)),"")</f>
        <v/>
      </c>
      <c r="AA487" s="155"/>
      <c r="AB487" s="156"/>
      <c r="AC487" s="66"/>
      <c r="AD487" s="66"/>
      <c r="AE487" s="66"/>
      <c r="AF487" s="66"/>
      <c r="AG487" s="66"/>
      <c r="AH487" s="66"/>
      <c r="AI487" s="34"/>
      <c r="AJ487" s="88">
        <f t="shared" si="582"/>
        <v>0</v>
      </c>
      <c r="AK487" s="88">
        <f t="shared" si="583"/>
        <v>0</v>
      </c>
      <c r="AL487" s="88">
        <v>0</v>
      </c>
      <c r="AM487" s="88">
        <v>0</v>
      </c>
      <c r="AN487" s="81" t="str">
        <f t="shared" si="621"/>
        <v/>
      </c>
      <c r="AO487" s="88">
        <f t="shared" si="584"/>
        <v>0</v>
      </c>
      <c r="AP487" s="88">
        <f t="shared" si="585"/>
        <v>0</v>
      </c>
      <c r="AQ487" s="81" t="str">
        <f t="shared" si="586"/>
        <v/>
      </c>
      <c r="AS487" s="41" t="b">
        <f t="shared" si="587"/>
        <v>1</v>
      </c>
      <c r="AT487" s="38">
        <f t="shared" si="588"/>
        <v>0</v>
      </c>
      <c r="AU487" s="60">
        <f t="shared" si="589"/>
        <v>0</v>
      </c>
      <c r="AV487" s="41">
        <f t="shared" si="590"/>
        <v>0</v>
      </c>
      <c r="AW487" s="41" t="b">
        <f t="shared" si="591"/>
        <v>0</v>
      </c>
      <c r="AX487" t="str">
        <f t="shared" si="592"/>
        <v>+00</v>
      </c>
      <c r="AY487" t="str">
        <f t="shared" si="593"/>
        <v>+00</v>
      </c>
      <c r="BA487" s="47" t="b">
        <f t="shared" si="622"/>
        <v>1</v>
      </c>
      <c r="BB487" s="42" t="b">
        <f t="shared" si="623"/>
        <v>1</v>
      </c>
      <c r="BC487" s="42" t="b">
        <f t="shared" si="624"/>
        <v>0</v>
      </c>
      <c r="BD487" s="42" t="b">
        <f t="shared" si="625"/>
        <v>0</v>
      </c>
      <c r="BE487" s="70">
        <f t="shared" si="626"/>
        <v>0</v>
      </c>
      <c r="BF487" s="70">
        <f t="shared" si="627"/>
        <v>0</v>
      </c>
      <c r="BG487" s="34"/>
      <c r="BI487" s="47" t="b">
        <f t="shared" si="628"/>
        <v>1</v>
      </c>
      <c r="BJ487" s="47" t="b">
        <f t="shared" si="629"/>
        <v>1</v>
      </c>
      <c r="BK487" s="42" t="b">
        <f t="shared" si="630"/>
        <v>0</v>
      </c>
      <c r="BL487" s="42" t="b">
        <f t="shared" si="631"/>
        <v>0</v>
      </c>
      <c r="BM487" s="42">
        <f t="shared" si="632"/>
        <v>0</v>
      </c>
      <c r="BN487" s="42">
        <f t="shared" si="633"/>
        <v>0</v>
      </c>
      <c r="BP487" t="e">
        <f t="shared" si="634"/>
        <v>#N/A</v>
      </c>
      <c r="BQ487" t="e">
        <f t="shared" si="635"/>
        <v>#N/A</v>
      </c>
      <c r="BR487" t="e">
        <f t="shared" si="636"/>
        <v>#N/A</v>
      </c>
      <c r="BT487" s="60">
        <f t="shared" si="637"/>
        <v>0</v>
      </c>
      <c r="BU487" s="60">
        <f t="shared" si="638"/>
        <v>0</v>
      </c>
      <c r="BV487" s="60">
        <f t="shared" si="639"/>
        <v>0</v>
      </c>
      <c r="BW487" s="60">
        <f t="shared" si="640"/>
        <v>0</v>
      </c>
      <c r="BX487" s="60">
        <f t="shared" si="641"/>
        <v>0</v>
      </c>
      <c r="BY487" s="60">
        <f t="shared" si="642"/>
        <v>0</v>
      </c>
      <c r="BZ487" s="60">
        <f t="shared" si="643"/>
        <v>0</v>
      </c>
      <c r="CA487" s="60">
        <f t="shared" si="644"/>
        <v>0</v>
      </c>
      <c r="CB487" s="60" t="e">
        <f t="shared" si="594"/>
        <v>#N/A</v>
      </c>
      <c r="CC487" s="60">
        <f t="shared" si="595"/>
        <v>100000</v>
      </c>
      <c r="CD487" s="60" t="e">
        <f t="shared" si="596"/>
        <v>#N/A</v>
      </c>
      <c r="CE487" s="60">
        <f t="shared" si="597"/>
        <v>100000</v>
      </c>
      <c r="CF487" s="83" t="e">
        <f t="shared" si="645"/>
        <v>#N/A</v>
      </c>
      <c r="CG487" s="83">
        <f t="shared" si="646"/>
        <v>0</v>
      </c>
      <c r="CH487" s="83" t="e">
        <f t="shared" si="647"/>
        <v>#N/A</v>
      </c>
      <c r="CI487" s="83">
        <f t="shared" si="648"/>
        <v>0</v>
      </c>
      <c r="CJ487" s="86" t="e">
        <f t="shared" si="598"/>
        <v>#N/A</v>
      </c>
      <c r="CK487" s="82">
        <f t="shared" si="599"/>
        <v>5.3070370403969858E-3</v>
      </c>
      <c r="CL487" s="82" t="e">
        <f t="shared" si="600"/>
        <v>#N/A</v>
      </c>
      <c r="CM487" s="82">
        <f t="shared" si="601"/>
        <v>5.3070370403969858E-3</v>
      </c>
      <c r="CO487" s="149" t="str">
        <f>IF($I487&lt;&gt;"",IF(O487="User Specified",U487,INDEX('Refrigerant GWPs'!$G$2:$G$156,MATCH(O487,'Refrigerant GWPs'!$A$2:$A$156,0))),"")</f>
        <v/>
      </c>
      <c r="CP487" s="138" t="str">
        <f>IF($I487&lt;&gt;"",INDEX('Device Refrigerant Leakage'!$E$2:$E$42,MATCH($M487,'Device Refrigerant Leakage'!$B$2:$B$42,0)),"")</f>
        <v/>
      </c>
      <c r="CQ487" s="138" t="str">
        <f>IF($I487&lt;&gt;"",INDEX('Device Refrigerant Leakage'!$F$2:$F$42,MATCH($M487,'Device Refrigerant Leakage'!$B$2:$B$42,0)),"")</f>
        <v/>
      </c>
      <c r="CR487" s="145" t="str">
        <f>IF($I487&lt;&gt;"",INDEX('Device Refrigerant Leakage'!$G$2:$G$42,MATCH($M487,'Device Refrigerant Leakage'!$B$2:$B$42,0)),"")</f>
        <v/>
      </c>
      <c r="CS487" s="145" t="str">
        <f>IF($I487&lt;&gt;"",INDEX('Device Refrigerant Leakage'!$D$2:$D$42,MATCH($M487,'Device Refrigerant Leakage'!$B$2:$B$42,0))*CP487/2204.62*CO487,"")</f>
        <v/>
      </c>
      <c r="CT487" s="145" t="str">
        <f>IF($I487&lt;&gt;"",J487*(INDEX('Device Refrigerant Leakage'!$D$2:$D$42,MATCH($M487,'Device Refrigerant Leakage'!$B$2:$B$42,0))-(INDEX('Device Refrigerant Leakage'!$D$2:$D$42,MATCH($M487,'Device Refrigerant Leakage'!$B$2:$B$42,0)))*CR487*CP487)*CQ487/2204.62*CO487,"")</f>
        <v/>
      </c>
      <c r="CU487" s="135" t="str">
        <f>IF($I487&lt;&gt;"",J487*IF(W487&lt;&gt;"AR",(CS487*K487)+CT487,(CS487*AB487)+CT487*(AB487/INDEX('Device Refrigerant Leakage'!$C$2:$C$42,MATCH($M487,'Device Refrigerant Leakage'!$B$2:$B$42,0)))),"")</f>
        <v/>
      </c>
      <c r="CW487" s="135" t="str">
        <f>IF($I487&lt;&gt;"",IF(S487="User Specified",V487,INDEX('Refrigerant GWPs'!$G$2:$G$156,MATCH(S487,'Refrigerant GWPs'!$A$2:$A$157,0))),"")</f>
        <v/>
      </c>
      <c r="CX487" s="138" t="str">
        <f>IF($I487&lt;&gt;"",INDEX('Device Refrigerant Leakage'!$E$2:$E$42,MATCH($Q487,'Device Refrigerant Leakage'!$B$2:$B$42,0)),"")</f>
        <v/>
      </c>
      <c r="CY487" s="138" t="str">
        <f>IF($I487&lt;&gt;"",INDEX('Device Refrigerant Leakage'!$F$2:$F$42,MATCH($Q487,'Device Refrigerant Leakage'!$B$2:$B$42,0)),"")</f>
        <v/>
      </c>
      <c r="CZ487" s="145" t="str">
        <f>IF($I487&lt;&gt;"",INDEX('Device Refrigerant Leakage'!$G$2:$G$42,MATCH($Q487,'Device Refrigerant Leakage'!$B$2:$B$42,0)),"")</f>
        <v/>
      </c>
      <c r="DA487" s="145" t="str">
        <f>IF($I487&lt;&gt;"",J487*INDEX('Device Refrigerant Leakage'!$D$2:$D$42,MATCH($Q487,'Device Refrigerant Leakage'!$B$2:$B$42,0))*CX487/2204.62*CW487,"")</f>
        <v/>
      </c>
      <c r="DB487" s="145" t="str">
        <f>IF($I487&lt;&gt;"",J487*(INDEX('Device Refrigerant Leakage'!$D$2:$D$42,MATCH($Q487,'Device Refrigerant Leakage'!$B$2:$B$42,0))-(INDEX('Device Refrigerant Leakage'!$D$2:$D$42,MATCH($Q487,'Device Refrigerant Leakage'!$B$2:$B$42,0)))*CZ487*CX487)*CY487/2204.62*CW487,"")</f>
        <v/>
      </c>
      <c r="DC487" s="135" t="str">
        <f t="shared" si="620"/>
        <v/>
      </c>
      <c r="DE487" s="146" t="str">
        <f>IF(W487&lt;&gt;"AR","",IF(Y487="User Specified", AA487, INDEX('Refrigerant GWPs'!$G$2:$G$154,MATCH(Y487,'Refrigerant GWPs'!$A$2:$A$154,0))))</f>
        <v/>
      </c>
      <c r="DF487" s="146" t="str">
        <f>IF(W487&lt;&gt;"AR","",INDEX('Device Refrigerant Leakage'!$E$2:$E$42,MATCH(X487,'Device Refrigerant Leakage'!$B$2:$B$42,0)))</f>
        <v/>
      </c>
      <c r="DG487" s="146" t="str">
        <f>IF(W487&lt;&gt;"AR","",INDEX('Device Refrigerant Leakage'!$F$2:$F$42,MATCH(X487,'Device Refrigerant Leakage'!$B$2:$B$42,0)))</f>
        <v/>
      </c>
      <c r="DH487" s="146" t="str">
        <f>IF(W487&lt;&gt;"AR","",INDEX('Device Refrigerant Leakage'!$G$2:$G$42,MATCH(X487,'Device Refrigerant Leakage'!$B$2:$B$42,0)))</f>
        <v/>
      </c>
      <c r="DI487" s="146" t="str">
        <f>IF(W487&lt;&gt;"AR","",J487*INDEX('Device Refrigerant Leakage'!$D$2:$D$42,MATCH(X487,'Device Refrigerant Leakage'!$B$2:$B$42,0))*DF487/2204.62*DE487)</f>
        <v/>
      </c>
      <c r="DJ487" s="146" t="str">
        <f>IF(W487&lt;&gt;"AR","",J487*(INDEX('Device Refrigerant Leakage'!$D$2:$D$42,MATCH(X487,'Device Refrigerant Leakage'!$B$2:$B$42,0))-(INDEX('Device Refrigerant Leakage'!$D$2:$D$42,MATCH(X487,'Device Refrigerant Leakage'!$B$2:$B$42,0)))*DH487*DF487)*DG487/2204.62*DE487)</f>
        <v/>
      </c>
      <c r="DK487" s="146" t="str">
        <f>IF(W487&lt;&gt;"AR","",DI487*(K487-AB487)+'Fuel Sub Calcs-Deemed'!DJ487*((K487-AB487)/INDEX('Device Refrigerant Leakage'!$C$2:$C$42,MATCH('Fuel Sub Calcs-Deemed'!X487,'Device Refrigerant Leakage'!$B$2:$B$42,0))))</f>
        <v/>
      </c>
      <c r="DM487" s="56">
        <v>473</v>
      </c>
      <c r="DN487" s="67" t="e">
        <f t="shared" si="602"/>
        <v>#N/A</v>
      </c>
      <c r="DO487" s="45" t="e">
        <f t="shared" si="603"/>
        <v>#N/A</v>
      </c>
      <c r="DP487" s="67" t="e">
        <f t="shared" si="604"/>
        <v>#N/A</v>
      </c>
      <c r="DQ487" s="45" t="e">
        <f t="shared" si="605"/>
        <v>#N/A</v>
      </c>
      <c r="DR487" s="69" t="e">
        <f t="shared" si="606"/>
        <v>#N/A</v>
      </c>
      <c r="DS487" s="34"/>
      <c r="DT487" s="67" t="e">
        <f>((BX487*CJ487)+IF($W487=MAT_AR,(BZ487*CL487),0))*(1+Reference!$E$50+Reference!$E$51)</f>
        <v>#N/A</v>
      </c>
      <c r="DU487" s="67">
        <f>((BY487*CK487)+IF($W487=MAT_AR,(CA487*CM487),0))*(1+Reference!$G$50+Reference!$G$51)</f>
        <v>0</v>
      </c>
      <c r="DV487" s="67" t="e">
        <f t="shared" si="607"/>
        <v>#VALUE!</v>
      </c>
      <c r="DX487" s="56">
        <v>473</v>
      </c>
      <c r="DY487" s="67">
        <f t="shared" si="608"/>
        <v>0</v>
      </c>
      <c r="DZ487" s="45" t="e">
        <f>VLOOKUP($R487,Dropdown!$C$3:$D$4,2,FALSE)</f>
        <v>#N/A</v>
      </c>
      <c r="EA487" s="68">
        <f t="shared" si="609"/>
        <v>0</v>
      </c>
      <c r="EB487" s="68" t="str">
        <f t="shared" si="610"/>
        <v>N/A</v>
      </c>
      <c r="EC487" s="68">
        <f t="shared" si="611"/>
        <v>0</v>
      </c>
      <c r="ED487" s="68" t="str">
        <f t="shared" si="649"/>
        <v>N/A</v>
      </c>
      <c r="EF487" s="56">
        <v>473</v>
      </c>
      <c r="EG487" s="46">
        <f t="shared" si="612"/>
        <v>0</v>
      </c>
      <c r="EH487" s="68" t="e">
        <f t="shared" si="613"/>
        <v>#N/A</v>
      </c>
      <c r="EI487" s="68" t="e">
        <f t="shared" si="614"/>
        <v>#N/A</v>
      </c>
      <c r="EJ487" s="68" t="e">
        <f t="shared" si="615"/>
        <v>#N/A</v>
      </c>
      <c r="EK487" s="68" t="e">
        <f t="shared" si="616"/>
        <v>#N/A</v>
      </c>
      <c r="EL487" s="46">
        <f t="shared" si="617"/>
        <v>0</v>
      </c>
      <c r="EM487" s="46">
        <f t="shared" si="618"/>
        <v>0</v>
      </c>
    </row>
    <row r="488" spans="1:143">
      <c r="A488" s="89"/>
      <c r="B488" s="89"/>
      <c r="C488" s="89"/>
      <c r="D488" s="89"/>
      <c r="E488" s="89"/>
      <c r="F488" s="89"/>
      <c r="G488" s="34"/>
      <c r="H488" s="56">
        <f t="shared" si="619"/>
        <v>474</v>
      </c>
      <c r="I488" s="165"/>
      <c r="J488" s="163"/>
      <c r="K488" s="163"/>
      <c r="L488" s="164"/>
      <c r="M488" s="155"/>
      <c r="N488" s="155"/>
      <c r="O488" s="144"/>
      <c r="P488" s="159" t="str">
        <f>IFERROR(IF(O488&lt;&gt;"User Specified",IF(O488&lt;&gt;"", INDEX('Refrigerant GWPs'!$G$2:$G$154,MATCH(O488,'Refrigerant GWPs'!$A$2:$A$154,0)),""),U488),0)</f>
        <v/>
      </c>
      <c r="Q488" s="155"/>
      <c r="R488" s="155"/>
      <c r="S488" s="144"/>
      <c r="T488" s="159" t="str">
        <f>IF(S488&lt;&gt;"User Specified",IF(AND(S488&lt;&gt;"User Specified",S488&lt;&gt;""), INDEX('Refrigerant GWPs'!$G$2:$G$154,MATCH(S488,'Refrigerant GWPs'!$A$2:$A$154,0)),""),V488)</f>
        <v/>
      </c>
      <c r="U488" s="144"/>
      <c r="V488" s="144"/>
      <c r="W488" s="155"/>
      <c r="X488" s="155"/>
      <c r="Y488" s="144"/>
      <c r="Z488" s="159" t="str">
        <f>IF(AND(Y488&lt;&gt;"User Specified",Y488&lt;&gt;""), INDEX('Refrigerant GWPs'!$G$2:$G$154,MATCH(Y488,'Refrigerant GWPs'!$A$2:$A$154,0)),"")</f>
        <v/>
      </c>
      <c r="AA488" s="155"/>
      <c r="AB488" s="156"/>
      <c r="AC488" s="66"/>
      <c r="AD488" s="66"/>
      <c r="AE488" s="66"/>
      <c r="AF488" s="66"/>
      <c r="AG488" s="66"/>
      <c r="AH488" s="66"/>
      <c r="AI488" s="34"/>
      <c r="AJ488" s="88">
        <f t="shared" si="582"/>
        <v>0</v>
      </c>
      <c r="AK488" s="88">
        <f t="shared" si="583"/>
        <v>0</v>
      </c>
      <c r="AL488" s="88">
        <v>0</v>
      </c>
      <c r="AM488" s="88">
        <v>0</v>
      </c>
      <c r="AN488" s="81" t="str">
        <f t="shared" si="621"/>
        <v/>
      </c>
      <c r="AO488" s="88">
        <f t="shared" si="584"/>
        <v>0</v>
      </c>
      <c r="AP488" s="88">
        <f t="shared" si="585"/>
        <v>0</v>
      </c>
      <c r="AQ488" s="81" t="str">
        <f t="shared" si="586"/>
        <v/>
      </c>
      <c r="AS488" s="41" t="b">
        <f t="shared" si="587"/>
        <v>1</v>
      </c>
      <c r="AT488" s="38">
        <f t="shared" si="588"/>
        <v>0</v>
      </c>
      <c r="AU488" s="60">
        <f t="shared" si="589"/>
        <v>0</v>
      </c>
      <c r="AV488" s="41">
        <f t="shared" si="590"/>
        <v>0</v>
      </c>
      <c r="AW488" s="41" t="b">
        <f t="shared" si="591"/>
        <v>0</v>
      </c>
      <c r="AX488" t="str">
        <f t="shared" si="592"/>
        <v>+00</v>
      </c>
      <c r="AY488" t="str">
        <f t="shared" si="593"/>
        <v>+00</v>
      </c>
      <c r="BA488" s="47" t="b">
        <f t="shared" si="622"/>
        <v>1</v>
      </c>
      <c r="BB488" s="42" t="b">
        <f t="shared" si="623"/>
        <v>1</v>
      </c>
      <c r="BC488" s="42" t="b">
        <f t="shared" si="624"/>
        <v>0</v>
      </c>
      <c r="BD488" s="42" t="b">
        <f t="shared" si="625"/>
        <v>0</v>
      </c>
      <c r="BE488" s="70">
        <f t="shared" si="626"/>
        <v>0</v>
      </c>
      <c r="BF488" s="70">
        <f t="shared" si="627"/>
        <v>0</v>
      </c>
      <c r="BG488" s="34"/>
      <c r="BI488" s="47" t="b">
        <f t="shared" si="628"/>
        <v>1</v>
      </c>
      <c r="BJ488" s="47" t="b">
        <f t="shared" si="629"/>
        <v>1</v>
      </c>
      <c r="BK488" s="42" t="b">
        <f t="shared" si="630"/>
        <v>0</v>
      </c>
      <c r="BL488" s="42" t="b">
        <f t="shared" si="631"/>
        <v>0</v>
      </c>
      <c r="BM488" s="42">
        <f t="shared" si="632"/>
        <v>0</v>
      </c>
      <c r="BN488" s="42">
        <f t="shared" si="633"/>
        <v>0</v>
      </c>
      <c r="BP488" t="e">
        <f t="shared" si="634"/>
        <v>#N/A</v>
      </c>
      <c r="BQ488" t="e">
        <f t="shared" si="635"/>
        <v>#N/A</v>
      </c>
      <c r="BR488" t="e">
        <f t="shared" si="636"/>
        <v>#N/A</v>
      </c>
      <c r="BT488" s="60">
        <f t="shared" si="637"/>
        <v>0</v>
      </c>
      <c r="BU488" s="60">
        <f t="shared" si="638"/>
        <v>0</v>
      </c>
      <c r="BV488" s="60">
        <f t="shared" si="639"/>
        <v>0</v>
      </c>
      <c r="BW488" s="60">
        <f t="shared" si="640"/>
        <v>0</v>
      </c>
      <c r="BX488" s="60">
        <f t="shared" si="641"/>
        <v>0</v>
      </c>
      <c r="BY488" s="60">
        <f t="shared" si="642"/>
        <v>0</v>
      </c>
      <c r="BZ488" s="60">
        <f t="shared" si="643"/>
        <v>0</v>
      </c>
      <c r="CA488" s="60">
        <f t="shared" si="644"/>
        <v>0</v>
      </c>
      <c r="CB488" s="60" t="e">
        <f t="shared" si="594"/>
        <v>#N/A</v>
      </c>
      <c r="CC488" s="60">
        <f t="shared" si="595"/>
        <v>100000</v>
      </c>
      <c r="CD488" s="60" t="e">
        <f t="shared" si="596"/>
        <v>#N/A</v>
      </c>
      <c r="CE488" s="60">
        <f t="shared" si="597"/>
        <v>100000</v>
      </c>
      <c r="CF488" s="83" t="e">
        <f t="shared" si="645"/>
        <v>#N/A</v>
      </c>
      <c r="CG488" s="83">
        <f t="shared" si="646"/>
        <v>0</v>
      </c>
      <c r="CH488" s="83" t="e">
        <f t="shared" si="647"/>
        <v>#N/A</v>
      </c>
      <c r="CI488" s="83">
        <f t="shared" si="648"/>
        <v>0</v>
      </c>
      <c r="CJ488" s="86" t="e">
        <f t="shared" si="598"/>
        <v>#N/A</v>
      </c>
      <c r="CK488" s="82">
        <f t="shared" si="599"/>
        <v>5.3070370403969858E-3</v>
      </c>
      <c r="CL488" s="82" t="e">
        <f t="shared" si="600"/>
        <v>#N/A</v>
      </c>
      <c r="CM488" s="82">
        <f t="shared" si="601"/>
        <v>5.3070370403969858E-3</v>
      </c>
      <c r="CO488" s="149" t="str">
        <f>IF($I488&lt;&gt;"",IF(O488="User Specified",U488,INDEX('Refrigerant GWPs'!$G$2:$G$156,MATCH(O488,'Refrigerant GWPs'!$A$2:$A$156,0))),"")</f>
        <v/>
      </c>
      <c r="CP488" s="138" t="str">
        <f>IF($I488&lt;&gt;"",INDEX('Device Refrigerant Leakage'!$E$2:$E$42,MATCH($M488,'Device Refrigerant Leakage'!$B$2:$B$42,0)),"")</f>
        <v/>
      </c>
      <c r="CQ488" s="138" t="str">
        <f>IF($I488&lt;&gt;"",INDEX('Device Refrigerant Leakage'!$F$2:$F$42,MATCH($M488,'Device Refrigerant Leakage'!$B$2:$B$42,0)),"")</f>
        <v/>
      </c>
      <c r="CR488" s="145" t="str">
        <f>IF($I488&lt;&gt;"",INDEX('Device Refrigerant Leakage'!$G$2:$G$42,MATCH($M488,'Device Refrigerant Leakage'!$B$2:$B$42,0)),"")</f>
        <v/>
      </c>
      <c r="CS488" s="145" t="str">
        <f>IF($I488&lt;&gt;"",INDEX('Device Refrigerant Leakage'!$D$2:$D$42,MATCH($M488,'Device Refrigerant Leakage'!$B$2:$B$42,0))*CP488/2204.62*CO488,"")</f>
        <v/>
      </c>
      <c r="CT488" s="145" t="str">
        <f>IF($I488&lt;&gt;"",J488*(INDEX('Device Refrigerant Leakage'!$D$2:$D$42,MATCH($M488,'Device Refrigerant Leakage'!$B$2:$B$42,0))-(INDEX('Device Refrigerant Leakage'!$D$2:$D$42,MATCH($M488,'Device Refrigerant Leakage'!$B$2:$B$42,0)))*CR488*CP488)*CQ488/2204.62*CO488,"")</f>
        <v/>
      </c>
      <c r="CU488" s="135" t="str">
        <f>IF($I488&lt;&gt;"",J488*IF(W488&lt;&gt;"AR",(CS488*K488)+CT488,(CS488*AB488)+CT488*(AB488/INDEX('Device Refrigerant Leakage'!$C$2:$C$42,MATCH($M488,'Device Refrigerant Leakage'!$B$2:$B$42,0)))),"")</f>
        <v/>
      </c>
      <c r="CW488" s="135" t="str">
        <f>IF($I488&lt;&gt;"",IF(S488="User Specified",V488,INDEX('Refrigerant GWPs'!$G$2:$G$156,MATCH(S488,'Refrigerant GWPs'!$A$2:$A$157,0))),"")</f>
        <v/>
      </c>
      <c r="CX488" s="138" t="str">
        <f>IF($I488&lt;&gt;"",INDEX('Device Refrigerant Leakage'!$E$2:$E$42,MATCH($Q488,'Device Refrigerant Leakage'!$B$2:$B$42,0)),"")</f>
        <v/>
      </c>
      <c r="CY488" s="138" t="str">
        <f>IF($I488&lt;&gt;"",INDEX('Device Refrigerant Leakage'!$F$2:$F$42,MATCH($Q488,'Device Refrigerant Leakage'!$B$2:$B$42,0)),"")</f>
        <v/>
      </c>
      <c r="CZ488" s="145" t="str">
        <f>IF($I488&lt;&gt;"",INDEX('Device Refrigerant Leakage'!$G$2:$G$42,MATCH($Q488,'Device Refrigerant Leakage'!$B$2:$B$42,0)),"")</f>
        <v/>
      </c>
      <c r="DA488" s="145" t="str">
        <f>IF($I488&lt;&gt;"",J488*INDEX('Device Refrigerant Leakage'!$D$2:$D$42,MATCH($Q488,'Device Refrigerant Leakage'!$B$2:$B$42,0))*CX488/2204.62*CW488,"")</f>
        <v/>
      </c>
      <c r="DB488" s="145" t="str">
        <f>IF($I488&lt;&gt;"",J488*(INDEX('Device Refrigerant Leakage'!$D$2:$D$42,MATCH($Q488,'Device Refrigerant Leakage'!$B$2:$B$42,0))-(INDEX('Device Refrigerant Leakage'!$D$2:$D$42,MATCH($Q488,'Device Refrigerant Leakage'!$B$2:$B$42,0)))*CZ488*CX488)*CY488/2204.62*CW488,"")</f>
        <v/>
      </c>
      <c r="DC488" s="135" t="str">
        <f t="shared" si="620"/>
        <v/>
      </c>
      <c r="DE488" s="146" t="str">
        <f>IF(W488&lt;&gt;"AR","",IF(Y488="User Specified", AA488, INDEX('Refrigerant GWPs'!$G$2:$G$154,MATCH(Y488,'Refrigerant GWPs'!$A$2:$A$154,0))))</f>
        <v/>
      </c>
      <c r="DF488" s="146" t="str">
        <f>IF(W488&lt;&gt;"AR","",INDEX('Device Refrigerant Leakage'!$E$2:$E$42,MATCH(X488,'Device Refrigerant Leakage'!$B$2:$B$42,0)))</f>
        <v/>
      </c>
      <c r="DG488" s="146" t="str">
        <f>IF(W488&lt;&gt;"AR","",INDEX('Device Refrigerant Leakage'!$F$2:$F$42,MATCH(X488,'Device Refrigerant Leakage'!$B$2:$B$42,0)))</f>
        <v/>
      </c>
      <c r="DH488" s="146" t="str">
        <f>IF(W488&lt;&gt;"AR","",INDEX('Device Refrigerant Leakage'!$G$2:$G$42,MATCH(X488,'Device Refrigerant Leakage'!$B$2:$B$42,0)))</f>
        <v/>
      </c>
      <c r="DI488" s="146" t="str">
        <f>IF(W488&lt;&gt;"AR","",J488*INDEX('Device Refrigerant Leakage'!$D$2:$D$42,MATCH(X488,'Device Refrigerant Leakage'!$B$2:$B$42,0))*DF488/2204.62*DE488)</f>
        <v/>
      </c>
      <c r="DJ488" s="146" t="str">
        <f>IF(W488&lt;&gt;"AR","",J488*(INDEX('Device Refrigerant Leakage'!$D$2:$D$42,MATCH(X488,'Device Refrigerant Leakage'!$B$2:$B$42,0))-(INDEX('Device Refrigerant Leakage'!$D$2:$D$42,MATCH(X488,'Device Refrigerant Leakage'!$B$2:$B$42,0)))*DH488*DF488)*DG488/2204.62*DE488)</f>
        <v/>
      </c>
      <c r="DK488" s="146" t="str">
        <f>IF(W488&lt;&gt;"AR","",DI488*(K488-AB488)+'Fuel Sub Calcs-Deemed'!DJ488*((K488-AB488)/INDEX('Device Refrigerant Leakage'!$C$2:$C$42,MATCH('Fuel Sub Calcs-Deemed'!X488,'Device Refrigerant Leakage'!$B$2:$B$42,0))))</f>
        <v/>
      </c>
      <c r="DM488" s="56">
        <v>474</v>
      </c>
      <c r="DN488" s="67" t="e">
        <f t="shared" si="602"/>
        <v>#N/A</v>
      </c>
      <c r="DO488" s="45" t="e">
        <f t="shared" si="603"/>
        <v>#N/A</v>
      </c>
      <c r="DP488" s="67" t="e">
        <f t="shared" si="604"/>
        <v>#N/A</v>
      </c>
      <c r="DQ488" s="45" t="e">
        <f t="shared" si="605"/>
        <v>#N/A</v>
      </c>
      <c r="DR488" s="69" t="e">
        <f t="shared" si="606"/>
        <v>#N/A</v>
      </c>
      <c r="DS488" s="34"/>
      <c r="DT488" s="67" t="e">
        <f>((BX488*CJ488)+IF($W488=MAT_AR,(BZ488*CL488),0))*(1+Reference!$E$50+Reference!$E$51)</f>
        <v>#N/A</v>
      </c>
      <c r="DU488" s="67">
        <f>((BY488*CK488)+IF($W488=MAT_AR,(CA488*CM488),0))*(1+Reference!$G$50+Reference!$G$51)</f>
        <v>0</v>
      </c>
      <c r="DV488" s="67" t="e">
        <f t="shared" si="607"/>
        <v>#VALUE!</v>
      </c>
      <c r="DX488" s="56">
        <v>474</v>
      </c>
      <c r="DY488" s="67">
        <f t="shared" si="608"/>
        <v>0</v>
      </c>
      <c r="DZ488" s="45" t="e">
        <f>VLOOKUP($R488,Dropdown!$C$3:$D$4,2,FALSE)</f>
        <v>#N/A</v>
      </c>
      <c r="EA488" s="68">
        <f t="shared" si="609"/>
        <v>0</v>
      </c>
      <c r="EB488" s="68" t="str">
        <f t="shared" si="610"/>
        <v>N/A</v>
      </c>
      <c r="EC488" s="68">
        <f t="shared" si="611"/>
        <v>0</v>
      </c>
      <c r="ED488" s="68" t="str">
        <f t="shared" si="649"/>
        <v>N/A</v>
      </c>
      <c r="EF488" s="56">
        <v>474</v>
      </c>
      <c r="EG488" s="46">
        <f t="shared" si="612"/>
        <v>0</v>
      </c>
      <c r="EH488" s="68" t="e">
        <f t="shared" si="613"/>
        <v>#N/A</v>
      </c>
      <c r="EI488" s="68" t="e">
        <f t="shared" si="614"/>
        <v>#N/A</v>
      </c>
      <c r="EJ488" s="68" t="e">
        <f t="shared" si="615"/>
        <v>#N/A</v>
      </c>
      <c r="EK488" s="68" t="e">
        <f t="shared" si="616"/>
        <v>#N/A</v>
      </c>
      <c r="EL488" s="46">
        <f t="shared" si="617"/>
        <v>0</v>
      </c>
      <c r="EM488" s="46">
        <f t="shared" si="618"/>
        <v>0</v>
      </c>
    </row>
    <row r="489" spans="1:143">
      <c r="A489" s="89"/>
      <c r="B489" s="89"/>
      <c r="C489" s="89"/>
      <c r="D489" s="89"/>
      <c r="E489" s="89"/>
      <c r="F489" s="89"/>
      <c r="G489" s="34"/>
      <c r="H489" s="56">
        <f t="shared" si="619"/>
        <v>475</v>
      </c>
      <c r="I489" s="165"/>
      <c r="J489" s="163"/>
      <c r="K489" s="163"/>
      <c r="L489" s="164"/>
      <c r="M489" s="155"/>
      <c r="N489" s="155"/>
      <c r="O489" s="144"/>
      <c r="P489" s="159" t="str">
        <f>IFERROR(IF(O489&lt;&gt;"User Specified",IF(O489&lt;&gt;"", INDEX('Refrigerant GWPs'!$G$2:$G$154,MATCH(O489,'Refrigerant GWPs'!$A$2:$A$154,0)),""),U489),0)</f>
        <v/>
      </c>
      <c r="Q489" s="155"/>
      <c r="R489" s="155"/>
      <c r="S489" s="144"/>
      <c r="T489" s="159" t="str">
        <f>IF(S489&lt;&gt;"User Specified",IF(AND(S489&lt;&gt;"User Specified",S489&lt;&gt;""), INDEX('Refrigerant GWPs'!$G$2:$G$154,MATCH(S489,'Refrigerant GWPs'!$A$2:$A$154,0)),""),V489)</f>
        <v/>
      </c>
      <c r="U489" s="144"/>
      <c r="V489" s="144"/>
      <c r="W489" s="155"/>
      <c r="X489" s="155"/>
      <c r="Y489" s="144"/>
      <c r="Z489" s="159" t="str">
        <f>IF(AND(Y489&lt;&gt;"User Specified",Y489&lt;&gt;""), INDEX('Refrigerant GWPs'!$G$2:$G$154,MATCH(Y489,'Refrigerant GWPs'!$A$2:$A$154,0)),"")</f>
        <v/>
      </c>
      <c r="AA489" s="155"/>
      <c r="AB489" s="156"/>
      <c r="AC489" s="66"/>
      <c r="AD489" s="66"/>
      <c r="AE489" s="66"/>
      <c r="AF489" s="66"/>
      <c r="AG489" s="66"/>
      <c r="AH489" s="66"/>
      <c r="AI489" s="34"/>
      <c r="AJ489" s="88">
        <f t="shared" si="582"/>
        <v>0</v>
      </c>
      <c r="AK489" s="88">
        <f t="shared" si="583"/>
        <v>0</v>
      </c>
      <c r="AL489" s="88">
        <v>0</v>
      </c>
      <c r="AM489" s="88">
        <v>0</v>
      </c>
      <c r="AN489" s="81" t="str">
        <f t="shared" si="621"/>
        <v/>
      </c>
      <c r="AO489" s="88">
        <f t="shared" si="584"/>
        <v>0</v>
      </c>
      <c r="AP489" s="88">
        <f t="shared" si="585"/>
        <v>0</v>
      </c>
      <c r="AQ489" s="81" t="str">
        <f t="shared" si="586"/>
        <v/>
      </c>
      <c r="AS489" s="41" t="b">
        <f t="shared" si="587"/>
        <v>1</v>
      </c>
      <c r="AT489" s="38">
        <f t="shared" si="588"/>
        <v>0</v>
      </c>
      <c r="AU489" s="60">
        <f t="shared" si="589"/>
        <v>0</v>
      </c>
      <c r="AV489" s="41">
        <f t="shared" si="590"/>
        <v>0</v>
      </c>
      <c r="AW489" s="41" t="b">
        <f t="shared" si="591"/>
        <v>0</v>
      </c>
      <c r="AX489" t="str">
        <f t="shared" si="592"/>
        <v>+00</v>
      </c>
      <c r="AY489" t="str">
        <f t="shared" si="593"/>
        <v>+00</v>
      </c>
      <c r="BA489" s="47" t="b">
        <f t="shared" si="622"/>
        <v>1</v>
      </c>
      <c r="BB489" s="42" t="b">
        <f t="shared" si="623"/>
        <v>1</v>
      </c>
      <c r="BC489" s="42" t="b">
        <f t="shared" si="624"/>
        <v>0</v>
      </c>
      <c r="BD489" s="42" t="b">
        <f t="shared" si="625"/>
        <v>0</v>
      </c>
      <c r="BE489" s="70">
        <f t="shared" si="626"/>
        <v>0</v>
      </c>
      <c r="BF489" s="70">
        <f t="shared" si="627"/>
        <v>0</v>
      </c>
      <c r="BG489" s="34"/>
      <c r="BI489" s="47" t="b">
        <f t="shared" si="628"/>
        <v>1</v>
      </c>
      <c r="BJ489" s="47" t="b">
        <f t="shared" si="629"/>
        <v>1</v>
      </c>
      <c r="BK489" s="42" t="b">
        <f t="shared" si="630"/>
        <v>0</v>
      </c>
      <c r="BL489" s="42" t="b">
        <f t="shared" si="631"/>
        <v>0</v>
      </c>
      <c r="BM489" s="42">
        <f t="shared" si="632"/>
        <v>0</v>
      </c>
      <c r="BN489" s="42">
        <f t="shared" si="633"/>
        <v>0</v>
      </c>
      <c r="BP489" t="e">
        <f t="shared" si="634"/>
        <v>#N/A</v>
      </c>
      <c r="BQ489" t="e">
        <f t="shared" si="635"/>
        <v>#N/A</v>
      </c>
      <c r="BR489" t="e">
        <f t="shared" si="636"/>
        <v>#N/A</v>
      </c>
      <c r="BT489" s="60">
        <f t="shared" si="637"/>
        <v>0</v>
      </c>
      <c r="BU489" s="60">
        <f t="shared" si="638"/>
        <v>0</v>
      </c>
      <c r="BV489" s="60">
        <f t="shared" si="639"/>
        <v>0</v>
      </c>
      <c r="BW489" s="60">
        <f t="shared" si="640"/>
        <v>0</v>
      </c>
      <c r="BX489" s="60">
        <f t="shared" si="641"/>
        <v>0</v>
      </c>
      <c r="BY489" s="60">
        <f t="shared" si="642"/>
        <v>0</v>
      </c>
      <c r="BZ489" s="60">
        <f t="shared" si="643"/>
        <v>0</v>
      </c>
      <c r="CA489" s="60">
        <f t="shared" si="644"/>
        <v>0</v>
      </c>
      <c r="CB489" s="60" t="e">
        <f t="shared" si="594"/>
        <v>#N/A</v>
      </c>
      <c r="CC489" s="60">
        <f t="shared" si="595"/>
        <v>100000</v>
      </c>
      <c r="CD489" s="60" t="e">
        <f t="shared" si="596"/>
        <v>#N/A</v>
      </c>
      <c r="CE489" s="60">
        <f t="shared" si="597"/>
        <v>100000</v>
      </c>
      <c r="CF489" s="83" t="e">
        <f t="shared" si="645"/>
        <v>#N/A</v>
      </c>
      <c r="CG489" s="83">
        <f t="shared" si="646"/>
        <v>0</v>
      </c>
      <c r="CH489" s="83" t="e">
        <f t="shared" si="647"/>
        <v>#N/A</v>
      </c>
      <c r="CI489" s="83">
        <f t="shared" si="648"/>
        <v>0</v>
      </c>
      <c r="CJ489" s="86" t="e">
        <f t="shared" si="598"/>
        <v>#N/A</v>
      </c>
      <c r="CK489" s="82">
        <f t="shared" si="599"/>
        <v>5.3070370403969858E-3</v>
      </c>
      <c r="CL489" s="82" t="e">
        <f t="shared" si="600"/>
        <v>#N/A</v>
      </c>
      <c r="CM489" s="82">
        <f t="shared" si="601"/>
        <v>5.3070370403969858E-3</v>
      </c>
      <c r="CO489" s="149" t="str">
        <f>IF($I489&lt;&gt;"",IF(O489="User Specified",U489,INDEX('Refrigerant GWPs'!$G$2:$G$156,MATCH(O489,'Refrigerant GWPs'!$A$2:$A$156,0))),"")</f>
        <v/>
      </c>
      <c r="CP489" s="138" t="str">
        <f>IF($I489&lt;&gt;"",INDEX('Device Refrigerant Leakage'!$E$2:$E$42,MATCH($M489,'Device Refrigerant Leakage'!$B$2:$B$42,0)),"")</f>
        <v/>
      </c>
      <c r="CQ489" s="138" t="str">
        <f>IF($I489&lt;&gt;"",INDEX('Device Refrigerant Leakage'!$F$2:$F$42,MATCH($M489,'Device Refrigerant Leakage'!$B$2:$B$42,0)),"")</f>
        <v/>
      </c>
      <c r="CR489" s="145" t="str">
        <f>IF($I489&lt;&gt;"",INDEX('Device Refrigerant Leakage'!$G$2:$G$42,MATCH($M489,'Device Refrigerant Leakage'!$B$2:$B$42,0)),"")</f>
        <v/>
      </c>
      <c r="CS489" s="145" t="str">
        <f>IF($I489&lt;&gt;"",INDEX('Device Refrigerant Leakage'!$D$2:$D$42,MATCH($M489,'Device Refrigerant Leakage'!$B$2:$B$42,0))*CP489/2204.62*CO489,"")</f>
        <v/>
      </c>
      <c r="CT489" s="145" t="str">
        <f>IF($I489&lt;&gt;"",J489*(INDEX('Device Refrigerant Leakage'!$D$2:$D$42,MATCH($M489,'Device Refrigerant Leakage'!$B$2:$B$42,0))-(INDEX('Device Refrigerant Leakage'!$D$2:$D$42,MATCH($M489,'Device Refrigerant Leakage'!$B$2:$B$42,0)))*CR489*CP489)*CQ489/2204.62*CO489,"")</f>
        <v/>
      </c>
      <c r="CU489" s="135" t="str">
        <f>IF($I489&lt;&gt;"",J489*IF(W489&lt;&gt;"AR",(CS489*K489)+CT489,(CS489*AB489)+CT489*(AB489/INDEX('Device Refrigerant Leakage'!$C$2:$C$42,MATCH($M489,'Device Refrigerant Leakage'!$B$2:$B$42,0)))),"")</f>
        <v/>
      </c>
      <c r="CW489" s="135" t="str">
        <f>IF($I489&lt;&gt;"",IF(S489="User Specified",V489,INDEX('Refrigerant GWPs'!$G$2:$G$156,MATCH(S489,'Refrigerant GWPs'!$A$2:$A$157,0))),"")</f>
        <v/>
      </c>
      <c r="CX489" s="138" t="str">
        <f>IF($I489&lt;&gt;"",INDEX('Device Refrigerant Leakage'!$E$2:$E$42,MATCH($Q489,'Device Refrigerant Leakage'!$B$2:$B$42,0)),"")</f>
        <v/>
      </c>
      <c r="CY489" s="138" t="str">
        <f>IF($I489&lt;&gt;"",INDEX('Device Refrigerant Leakage'!$F$2:$F$42,MATCH($Q489,'Device Refrigerant Leakage'!$B$2:$B$42,0)),"")</f>
        <v/>
      </c>
      <c r="CZ489" s="145" t="str">
        <f>IF($I489&lt;&gt;"",INDEX('Device Refrigerant Leakage'!$G$2:$G$42,MATCH($Q489,'Device Refrigerant Leakage'!$B$2:$B$42,0)),"")</f>
        <v/>
      </c>
      <c r="DA489" s="145" t="str">
        <f>IF($I489&lt;&gt;"",J489*INDEX('Device Refrigerant Leakage'!$D$2:$D$42,MATCH($Q489,'Device Refrigerant Leakage'!$B$2:$B$42,0))*CX489/2204.62*CW489,"")</f>
        <v/>
      </c>
      <c r="DB489" s="145" t="str">
        <f>IF($I489&lt;&gt;"",J489*(INDEX('Device Refrigerant Leakage'!$D$2:$D$42,MATCH($Q489,'Device Refrigerant Leakage'!$B$2:$B$42,0))-(INDEX('Device Refrigerant Leakage'!$D$2:$D$42,MATCH($Q489,'Device Refrigerant Leakage'!$B$2:$B$42,0)))*CZ489*CX489)*CY489/2204.62*CW489,"")</f>
        <v/>
      </c>
      <c r="DC489" s="135" t="str">
        <f t="shared" si="620"/>
        <v/>
      </c>
      <c r="DE489" s="146" t="str">
        <f>IF(W489&lt;&gt;"AR","",IF(Y489="User Specified", AA489, INDEX('Refrigerant GWPs'!$G$2:$G$154,MATCH(Y489,'Refrigerant GWPs'!$A$2:$A$154,0))))</f>
        <v/>
      </c>
      <c r="DF489" s="146" t="str">
        <f>IF(W489&lt;&gt;"AR","",INDEX('Device Refrigerant Leakage'!$E$2:$E$42,MATCH(X489,'Device Refrigerant Leakage'!$B$2:$B$42,0)))</f>
        <v/>
      </c>
      <c r="DG489" s="146" t="str">
        <f>IF(W489&lt;&gt;"AR","",INDEX('Device Refrigerant Leakage'!$F$2:$F$42,MATCH(X489,'Device Refrigerant Leakage'!$B$2:$B$42,0)))</f>
        <v/>
      </c>
      <c r="DH489" s="146" t="str">
        <f>IF(W489&lt;&gt;"AR","",INDEX('Device Refrigerant Leakage'!$G$2:$G$42,MATCH(X489,'Device Refrigerant Leakage'!$B$2:$B$42,0)))</f>
        <v/>
      </c>
      <c r="DI489" s="146" t="str">
        <f>IF(W489&lt;&gt;"AR","",J489*INDEX('Device Refrigerant Leakage'!$D$2:$D$42,MATCH(X489,'Device Refrigerant Leakage'!$B$2:$B$42,0))*DF489/2204.62*DE489)</f>
        <v/>
      </c>
      <c r="DJ489" s="146" t="str">
        <f>IF(W489&lt;&gt;"AR","",J489*(INDEX('Device Refrigerant Leakage'!$D$2:$D$42,MATCH(X489,'Device Refrigerant Leakage'!$B$2:$B$42,0))-(INDEX('Device Refrigerant Leakage'!$D$2:$D$42,MATCH(X489,'Device Refrigerant Leakage'!$B$2:$B$42,0)))*DH489*DF489)*DG489/2204.62*DE489)</f>
        <v/>
      </c>
      <c r="DK489" s="146" t="str">
        <f>IF(W489&lt;&gt;"AR","",DI489*(K489-AB489)+'Fuel Sub Calcs-Deemed'!DJ489*((K489-AB489)/INDEX('Device Refrigerant Leakage'!$C$2:$C$42,MATCH('Fuel Sub Calcs-Deemed'!X489,'Device Refrigerant Leakage'!$B$2:$B$42,0))))</f>
        <v/>
      </c>
      <c r="DM489" s="56">
        <v>475</v>
      </c>
      <c r="DN489" s="67" t="e">
        <f t="shared" si="602"/>
        <v>#N/A</v>
      </c>
      <c r="DO489" s="45" t="e">
        <f t="shared" si="603"/>
        <v>#N/A</v>
      </c>
      <c r="DP489" s="67" t="e">
        <f t="shared" si="604"/>
        <v>#N/A</v>
      </c>
      <c r="DQ489" s="45" t="e">
        <f t="shared" si="605"/>
        <v>#N/A</v>
      </c>
      <c r="DR489" s="69" t="e">
        <f t="shared" si="606"/>
        <v>#N/A</v>
      </c>
      <c r="DS489" s="34"/>
      <c r="DT489" s="67" t="e">
        <f>((BX489*CJ489)+IF($W489=MAT_AR,(BZ489*CL489),0))*(1+Reference!$E$50+Reference!$E$51)</f>
        <v>#N/A</v>
      </c>
      <c r="DU489" s="67">
        <f>((BY489*CK489)+IF($W489=MAT_AR,(CA489*CM489),0))*(1+Reference!$G$50+Reference!$G$51)</f>
        <v>0</v>
      </c>
      <c r="DV489" s="67" t="e">
        <f t="shared" si="607"/>
        <v>#VALUE!</v>
      </c>
      <c r="DX489" s="56">
        <v>475</v>
      </c>
      <c r="DY489" s="67">
        <f t="shared" si="608"/>
        <v>0</v>
      </c>
      <c r="DZ489" s="45" t="e">
        <f>VLOOKUP($R489,Dropdown!$C$3:$D$4,2,FALSE)</f>
        <v>#N/A</v>
      </c>
      <c r="EA489" s="68">
        <f t="shared" si="609"/>
        <v>0</v>
      </c>
      <c r="EB489" s="68" t="str">
        <f t="shared" si="610"/>
        <v>N/A</v>
      </c>
      <c r="EC489" s="68">
        <f t="shared" si="611"/>
        <v>0</v>
      </c>
      <c r="ED489" s="68" t="str">
        <f t="shared" si="649"/>
        <v>N/A</v>
      </c>
      <c r="EF489" s="56">
        <v>475</v>
      </c>
      <c r="EG489" s="46">
        <f t="shared" si="612"/>
        <v>0</v>
      </c>
      <c r="EH489" s="68" t="e">
        <f t="shared" si="613"/>
        <v>#N/A</v>
      </c>
      <c r="EI489" s="68" t="e">
        <f t="shared" si="614"/>
        <v>#N/A</v>
      </c>
      <c r="EJ489" s="68" t="e">
        <f t="shared" si="615"/>
        <v>#N/A</v>
      </c>
      <c r="EK489" s="68" t="e">
        <f t="shared" si="616"/>
        <v>#N/A</v>
      </c>
      <c r="EL489" s="46">
        <f t="shared" si="617"/>
        <v>0</v>
      </c>
      <c r="EM489" s="46">
        <f t="shared" si="618"/>
        <v>0</v>
      </c>
    </row>
    <row r="490" spans="1:143">
      <c r="A490" s="89"/>
      <c r="B490" s="89"/>
      <c r="C490" s="89"/>
      <c r="D490" s="89"/>
      <c r="E490" s="89"/>
      <c r="F490" s="89"/>
      <c r="G490" s="34"/>
      <c r="H490" s="56">
        <f t="shared" si="619"/>
        <v>476</v>
      </c>
      <c r="I490" s="165"/>
      <c r="J490" s="163"/>
      <c r="K490" s="163"/>
      <c r="L490" s="164"/>
      <c r="M490" s="155"/>
      <c r="N490" s="155"/>
      <c r="O490" s="144"/>
      <c r="P490" s="159" t="str">
        <f>IFERROR(IF(O490&lt;&gt;"User Specified",IF(O490&lt;&gt;"", INDEX('Refrigerant GWPs'!$G$2:$G$154,MATCH(O490,'Refrigerant GWPs'!$A$2:$A$154,0)),""),U490),0)</f>
        <v/>
      </c>
      <c r="Q490" s="155"/>
      <c r="R490" s="155"/>
      <c r="S490" s="144"/>
      <c r="T490" s="159" t="str">
        <f>IF(S490&lt;&gt;"User Specified",IF(AND(S490&lt;&gt;"User Specified",S490&lt;&gt;""), INDEX('Refrigerant GWPs'!$G$2:$G$154,MATCH(S490,'Refrigerant GWPs'!$A$2:$A$154,0)),""),V490)</f>
        <v/>
      </c>
      <c r="U490" s="144"/>
      <c r="V490" s="144"/>
      <c r="W490" s="155"/>
      <c r="X490" s="155"/>
      <c r="Y490" s="144"/>
      <c r="Z490" s="159" t="str">
        <f>IF(AND(Y490&lt;&gt;"User Specified",Y490&lt;&gt;""), INDEX('Refrigerant GWPs'!$G$2:$G$154,MATCH(Y490,'Refrigerant GWPs'!$A$2:$A$154,0)),"")</f>
        <v/>
      </c>
      <c r="AA490" s="155"/>
      <c r="AB490" s="156"/>
      <c r="AC490" s="66"/>
      <c r="AD490" s="66"/>
      <c r="AE490" s="66"/>
      <c r="AF490" s="66"/>
      <c r="AG490" s="66"/>
      <c r="AH490" s="66"/>
      <c r="AI490" s="34"/>
      <c r="AJ490" s="88">
        <f t="shared" si="582"/>
        <v>0</v>
      </c>
      <c r="AK490" s="88">
        <f t="shared" si="583"/>
        <v>0</v>
      </c>
      <c r="AL490" s="88">
        <v>0</v>
      </c>
      <c r="AM490" s="88">
        <v>0</v>
      </c>
      <c r="AN490" s="81" t="str">
        <f t="shared" si="621"/>
        <v/>
      </c>
      <c r="AO490" s="88">
        <f t="shared" si="584"/>
        <v>0</v>
      </c>
      <c r="AP490" s="88">
        <f t="shared" si="585"/>
        <v>0</v>
      </c>
      <c r="AQ490" s="81" t="str">
        <f t="shared" si="586"/>
        <v/>
      </c>
      <c r="AS490" s="41" t="b">
        <f t="shared" si="587"/>
        <v>1</v>
      </c>
      <c r="AT490" s="38">
        <f t="shared" si="588"/>
        <v>0</v>
      </c>
      <c r="AU490" s="60">
        <f t="shared" si="589"/>
        <v>0</v>
      </c>
      <c r="AV490" s="41">
        <f t="shared" si="590"/>
        <v>0</v>
      </c>
      <c r="AW490" s="41" t="b">
        <f t="shared" si="591"/>
        <v>0</v>
      </c>
      <c r="AX490" t="str">
        <f t="shared" si="592"/>
        <v>+00</v>
      </c>
      <c r="AY490" t="str">
        <f t="shared" si="593"/>
        <v>+00</v>
      </c>
      <c r="BA490" s="47" t="b">
        <f t="shared" si="622"/>
        <v>1</v>
      </c>
      <c r="BB490" s="42" t="b">
        <f t="shared" si="623"/>
        <v>1</v>
      </c>
      <c r="BC490" s="42" t="b">
        <f t="shared" si="624"/>
        <v>0</v>
      </c>
      <c r="BD490" s="42" t="b">
        <f t="shared" si="625"/>
        <v>0</v>
      </c>
      <c r="BE490" s="70">
        <f t="shared" si="626"/>
        <v>0</v>
      </c>
      <c r="BF490" s="70">
        <f t="shared" si="627"/>
        <v>0</v>
      </c>
      <c r="BG490" s="34"/>
      <c r="BI490" s="47" t="b">
        <f t="shared" si="628"/>
        <v>1</v>
      </c>
      <c r="BJ490" s="47" t="b">
        <f t="shared" si="629"/>
        <v>1</v>
      </c>
      <c r="BK490" s="42" t="b">
        <f t="shared" si="630"/>
        <v>0</v>
      </c>
      <c r="BL490" s="42" t="b">
        <f t="shared" si="631"/>
        <v>0</v>
      </c>
      <c r="BM490" s="42">
        <f t="shared" si="632"/>
        <v>0</v>
      </c>
      <c r="BN490" s="42">
        <f t="shared" si="633"/>
        <v>0</v>
      </c>
      <c r="BP490" t="e">
        <f t="shared" si="634"/>
        <v>#N/A</v>
      </c>
      <c r="BQ490" t="e">
        <f t="shared" si="635"/>
        <v>#N/A</v>
      </c>
      <c r="BR490" t="e">
        <f t="shared" si="636"/>
        <v>#N/A</v>
      </c>
      <c r="BT490" s="60">
        <f t="shared" si="637"/>
        <v>0</v>
      </c>
      <c r="BU490" s="60">
        <f t="shared" si="638"/>
        <v>0</v>
      </c>
      <c r="BV490" s="60">
        <f t="shared" si="639"/>
        <v>0</v>
      </c>
      <c r="BW490" s="60">
        <f t="shared" si="640"/>
        <v>0</v>
      </c>
      <c r="BX490" s="60">
        <f t="shared" si="641"/>
        <v>0</v>
      </c>
      <c r="BY490" s="60">
        <f t="shared" si="642"/>
        <v>0</v>
      </c>
      <c r="BZ490" s="60">
        <f t="shared" si="643"/>
        <v>0</v>
      </c>
      <c r="CA490" s="60">
        <f t="shared" si="644"/>
        <v>0</v>
      </c>
      <c r="CB490" s="60" t="e">
        <f t="shared" si="594"/>
        <v>#N/A</v>
      </c>
      <c r="CC490" s="60">
        <f t="shared" si="595"/>
        <v>100000</v>
      </c>
      <c r="CD490" s="60" t="e">
        <f t="shared" si="596"/>
        <v>#N/A</v>
      </c>
      <c r="CE490" s="60">
        <f t="shared" si="597"/>
        <v>100000</v>
      </c>
      <c r="CF490" s="83" t="e">
        <f t="shared" si="645"/>
        <v>#N/A</v>
      </c>
      <c r="CG490" s="83">
        <f t="shared" si="646"/>
        <v>0</v>
      </c>
      <c r="CH490" s="83" t="e">
        <f t="shared" si="647"/>
        <v>#N/A</v>
      </c>
      <c r="CI490" s="83">
        <f t="shared" si="648"/>
        <v>0</v>
      </c>
      <c r="CJ490" s="86" t="e">
        <f t="shared" si="598"/>
        <v>#N/A</v>
      </c>
      <c r="CK490" s="82">
        <f t="shared" si="599"/>
        <v>5.3070370403969858E-3</v>
      </c>
      <c r="CL490" s="82" t="e">
        <f t="shared" si="600"/>
        <v>#N/A</v>
      </c>
      <c r="CM490" s="82">
        <f t="shared" si="601"/>
        <v>5.3070370403969858E-3</v>
      </c>
      <c r="CO490" s="149" t="str">
        <f>IF($I490&lt;&gt;"",IF(O490="User Specified",U490,INDEX('Refrigerant GWPs'!$G$2:$G$156,MATCH(O490,'Refrigerant GWPs'!$A$2:$A$156,0))),"")</f>
        <v/>
      </c>
      <c r="CP490" s="138" t="str">
        <f>IF($I490&lt;&gt;"",INDEX('Device Refrigerant Leakage'!$E$2:$E$42,MATCH($M490,'Device Refrigerant Leakage'!$B$2:$B$42,0)),"")</f>
        <v/>
      </c>
      <c r="CQ490" s="138" t="str">
        <f>IF($I490&lt;&gt;"",INDEX('Device Refrigerant Leakage'!$F$2:$F$42,MATCH($M490,'Device Refrigerant Leakage'!$B$2:$B$42,0)),"")</f>
        <v/>
      </c>
      <c r="CR490" s="145" t="str">
        <f>IF($I490&lt;&gt;"",INDEX('Device Refrigerant Leakage'!$G$2:$G$42,MATCH($M490,'Device Refrigerant Leakage'!$B$2:$B$42,0)),"")</f>
        <v/>
      </c>
      <c r="CS490" s="145" t="str">
        <f>IF($I490&lt;&gt;"",INDEX('Device Refrigerant Leakage'!$D$2:$D$42,MATCH($M490,'Device Refrigerant Leakage'!$B$2:$B$42,0))*CP490/2204.62*CO490,"")</f>
        <v/>
      </c>
      <c r="CT490" s="145" t="str">
        <f>IF($I490&lt;&gt;"",J490*(INDEX('Device Refrigerant Leakage'!$D$2:$D$42,MATCH($M490,'Device Refrigerant Leakage'!$B$2:$B$42,0))-(INDEX('Device Refrigerant Leakage'!$D$2:$D$42,MATCH($M490,'Device Refrigerant Leakage'!$B$2:$B$42,0)))*CR490*CP490)*CQ490/2204.62*CO490,"")</f>
        <v/>
      </c>
      <c r="CU490" s="135" t="str">
        <f>IF($I490&lt;&gt;"",J490*IF(W490&lt;&gt;"AR",(CS490*K490)+CT490,(CS490*AB490)+CT490*(AB490/INDEX('Device Refrigerant Leakage'!$C$2:$C$42,MATCH($M490,'Device Refrigerant Leakage'!$B$2:$B$42,0)))),"")</f>
        <v/>
      </c>
      <c r="CW490" s="135" t="str">
        <f>IF($I490&lt;&gt;"",IF(S490="User Specified",V490,INDEX('Refrigerant GWPs'!$G$2:$G$156,MATCH(S490,'Refrigerant GWPs'!$A$2:$A$157,0))),"")</f>
        <v/>
      </c>
      <c r="CX490" s="138" t="str">
        <f>IF($I490&lt;&gt;"",INDEX('Device Refrigerant Leakage'!$E$2:$E$42,MATCH($Q490,'Device Refrigerant Leakage'!$B$2:$B$42,0)),"")</f>
        <v/>
      </c>
      <c r="CY490" s="138" t="str">
        <f>IF($I490&lt;&gt;"",INDEX('Device Refrigerant Leakage'!$F$2:$F$42,MATCH($Q490,'Device Refrigerant Leakage'!$B$2:$B$42,0)),"")</f>
        <v/>
      </c>
      <c r="CZ490" s="145" t="str">
        <f>IF($I490&lt;&gt;"",INDEX('Device Refrigerant Leakage'!$G$2:$G$42,MATCH($Q490,'Device Refrigerant Leakage'!$B$2:$B$42,0)),"")</f>
        <v/>
      </c>
      <c r="DA490" s="145" t="str">
        <f>IF($I490&lt;&gt;"",J490*INDEX('Device Refrigerant Leakage'!$D$2:$D$42,MATCH($Q490,'Device Refrigerant Leakage'!$B$2:$B$42,0))*CX490/2204.62*CW490,"")</f>
        <v/>
      </c>
      <c r="DB490" s="145" t="str">
        <f>IF($I490&lt;&gt;"",J490*(INDEX('Device Refrigerant Leakage'!$D$2:$D$42,MATCH($Q490,'Device Refrigerant Leakage'!$B$2:$B$42,0))-(INDEX('Device Refrigerant Leakage'!$D$2:$D$42,MATCH($Q490,'Device Refrigerant Leakage'!$B$2:$B$42,0)))*CZ490*CX490)*CY490/2204.62*CW490,"")</f>
        <v/>
      </c>
      <c r="DC490" s="135" t="str">
        <f t="shared" si="620"/>
        <v/>
      </c>
      <c r="DE490" s="146" t="str">
        <f>IF(W490&lt;&gt;"AR","",IF(Y490="User Specified", AA490, INDEX('Refrigerant GWPs'!$G$2:$G$154,MATCH(Y490,'Refrigerant GWPs'!$A$2:$A$154,0))))</f>
        <v/>
      </c>
      <c r="DF490" s="146" t="str">
        <f>IF(W490&lt;&gt;"AR","",INDEX('Device Refrigerant Leakage'!$E$2:$E$42,MATCH(X490,'Device Refrigerant Leakage'!$B$2:$B$42,0)))</f>
        <v/>
      </c>
      <c r="DG490" s="146" t="str">
        <f>IF(W490&lt;&gt;"AR","",INDEX('Device Refrigerant Leakage'!$F$2:$F$42,MATCH(X490,'Device Refrigerant Leakage'!$B$2:$B$42,0)))</f>
        <v/>
      </c>
      <c r="DH490" s="146" t="str">
        <f>IF(W490&lt;&gt;"AR","",INDEX('Device Refrigerant Leakage'!$G$2:$G$42,MATCH(X490,'Device Refrigerant Leakage'!$B$2:$B$42,0)))</f>
        <v/>
      </c>
      <c r="DI490" s="146" t="str">
        <f>IF(W490&lt;&gt;"AR","",J490*INDEX('Device Refrigerant Leakage'!$D$2:$D$42,MATCH(X490,'Device Refrigerant Leakage'!$B$2:$B$42,0))*DF490/2204.62*DE490)</f>
        <v/>
      </c>
      <c r="DJ490" s="146" t="str">
        <f>IF(W490&lt;&gt;"AR","",J490*(INDEX('Device Refrigerant Leakage'!$D$2:$D$42,MATCH(X490,'Device Refrigerant Leakage'!$B$2:$B$42,0))-(INDEX('Device Refrigerant Leakage'!$D$2:$D$42,MATCH(X490,'Device Refrigerant Leakage'!$B$2:$B$42,0)))*DH490*DF490)*DG490/2204.62*DE490)</f>
        <v/>
      </c>
      <c r="DK490" s="146" t="str">
        <f>IF(W490&lt;&gt;"AR","",DI490*(K490-AB490)+'Fuel Sub Calcs-Deemed'!DJ490*((K490-AB490)/INDEX('Device Refrigerant Leakage'!$C$2:$C$42,MATCH('Fuel Sub Calcs-Deemed'!X490,'Device Refrigerant Leakage'!$B$2:$B$42,0))))</f>
        <v/>
      </c>
      <c r="DM490" s="56">
        <v>476</v>
      </c>
      <c r="DN490" s="67" t="e">
        <f t="shared" si="602"/>
        <v>#N/A</v>
      </c>
      <c r="DO490" s="45" t="e">
        <f t="shared" si="603"/>
        <v>#N/A</v>
      </c>
      <c r="DP490" s="67" t="e">
        <f t="shared" si="604"/>
        <v>#N/A</v>
      </c>
      <c r="DQ490" s="45" t="e">
        <f t="shared" si="605"/>
        <v>#N/A</v>
      </c>
      <c r="DR490" s="69" t="e">
        <f t="shared" si="606"/>
        <v>#N/A</v>
      </c>
      <c r="DS490" s="34"/>
      <c r="DT490" s="67" t="e">
        <f>((BX490*CJ490)+IF($W490=MAT_AR,(BZ490*CL490),0))*(1+Reference!$E$50+Reference!$E$51)</f>
        <v>#N/A</v>
      </c>
      <c r="DU490" s="67">
        <f>((BY490*CK490)+IF($W490=MAT_AR,(CA490*CM490),0))*(1+Reference!$G$50+Reference!$G$51)</f>
        <v>0</v>
      </c>
      <c r="DV490" s="67" t="e">
        <f t="shared" si="607"/>
        <v>#VALUE!</v>
      </c>
      <c r="DX490" s="56">
        <v>476</v>
      </c>
      <c r="DY490" s="67">
        <f t="shared" si="608"/>
        <v>0</v>
      </c>
      <c r="DZ490" s="45" t="e">
        <f>VLOOKUP($R490,Dropdown!$C$3:$D$4,2,FALSE)</f>
        <v>#N/A</v>
      </c>
      <c r="EA490" s="68">
        <f t="shared" si="609"/>
        <v>0</v>
      </c>
      <c r="EB490" s="68" t="str">
        <f t="shared" si="610"/>
        <v>N/A</v>
      </c>
      <c r="EC490" s="68">
        <f t="shared" si="611"/>
        <v>0</v>
      </c>
      <c r="ED490" s="68" t="str">
        <f t="shared" si="649"/>
        <v>N/A</v>
      </c>
      <c r="EF490" s="56">
        <v>476</v>
      </c>
      <c r="EG490" s="46">
        <f t="shared" si="612"/>
        <v>0</v>
      </c>
      <c r="EH490" s="68" t="e">
        <f t="shared" si="613"/>
        <v>#N/A</v>
      </c>
      <c r="EI490" s="68" t="e">
        <f t="shared" si="614"/>
        <v>#N/A</v>
      </c>
      <c r="EJ490" s="68" t="e">
        <f t="shared" si="615"/>
        <v>#N/A</v>
      </c>
      <c r="EK490" s="68" t="e">
        <f t="shared" si="616"/>
        <v>#N/A</v>
      </c>
      <c r="EL490" s="46">
        <f t="shared" si="617"/>
        <v>0</v>
      </c>
      <c r="EM490" s="46">
        <f t="shared" si="618"/>
        <v>0</v>
      </c>
    </row>
    <row r="491" spans="1:143">
      <c r="A491" s="89"/>
      <c r="B491" s="89"/>
      <c r="C491" s="89"/>
      <c r="D491" s="89"/>
      <c r="E491" s="89"/>
      <c r="F491" s="89"/>
      <c r="G491" s="34"/>
      <c r="H491" s="56">
        <f t="shared" si="619"/>
        <v>477</v>
      </c>
      <c r="I491" s="165"/>
      <c r="J491" s="163"/>
      <c r="K491" s="163"/>
      <c r="L491" s="164"/>
      <c r="M491" s="155"/>
      <c r="N491" s="155"/>
      <c r="O491" s="144"/>
      <c r="P491" s="159" t="str">
        <f>IFERROR(IF(O491&lt;&gt;"User Specified",IF(O491&lt;&gt;"", INDEX('Refrigerant GWPs'!$G$2:$G$154,MATCH(O491,'Refrigerant GWPs'!$A$2:$A$154,0)),""),U491),0)</f>
        <v/>
      </c>
      <c r="Q491" s="155"/>
      <c r="R491" s="155"/>
      <c r="S491" s="144"/>
      <c r="T491" s="159" t="str">
        <f>IF(S491&lt;&gt;"User Specified",IF(AND(S491&lt;&gt;"User Specified",S491&lt;&gt;""), INDEX('Refrigerant GWPs'!$G$2:$G$154,MATCH(S491,'Refrigerant GWPs'!$A$2:$A$154,0)),""),V491)</f>
        <v/>
      </c>
      <c r="U491" s="144"/>
      <c r="V491" s="144"/>
      <c r="W491" s="155"/>
      <c r="X491" s="155"/>
      <c r="Y491" s="144"/>
      <c r="Z491" s="159" t="str">
        <f>IF(AND(Y491&lt;&gt;"User Specified",Y491&lt;&gt;""), INDEX('Refrigerant GWPs'!$G$2:$G$154,MATCH(Y491,'Refrigerant GWPs'!$A$2:$A$154,0)),"")</f>
        <v/>
      </c>
      <c r="AA491" s="155"/>
      <c r="AB491" s="156"/>
      <c r="AC491" s="66"/>
      <c r="AD491" s="66"/>
      <c r="AE491" s="66"/>
      <c r="AF491" s="66"/>
      <c r="AG491" s="66"/>
      <c r="AH491" s="66"/>
      <c r="AI491" s="34"/>
      <c r="AJ491" s="88">
        <f t="shared" si="582"/>
        <v>0</v>
      </c>
      <c r="AK491" s="88">
        <f t="shared" si="583"/>
        <v>0</v>
      </c>
      <c r="AL491" s="88">
        <v>0</v>
      </c>
      <c r="AM491" s="88">
        <v>0</v>
      </c>
      <c r="AN491" s="81" t="str">
        <f t="shared" si="621"/>
        <v/>
      </c>
      <c r="AO491" s="88">
        <f t="shared" si="584"/>
        <v>0</v>
      </c>
      <c r="AP491" s="88">
        <f t="shared" si="585"/>
        <v>0</v>
      </c>
      <c r="AQ491" s="81" t="str">
        <f t="shared" si="586"/>
        <v/>
      </c>
      <c r="AS491" s="41" t="b">
        <f t="shared" si="587"/>
        <v>1</v>
      </c>
      <c r="AT491" s="38">
        <f t="shared" si="588"/>
        <v>0</v>
      </c>
      <c r="AU491" s="60">
        <f t="shared" si="589"/>
        <v>0</v>
      </c>
      <c r="AV491" s="41">
        <f t="shared" si="590"/>
        <v>0</v>
      </c>
      <c r="AW491" s="41" t="b">
        <f t="shared" si="591"/>
        <v>0</v>
      </c>
      <c r="AX491" t="str">
        <f t="shared" si="592"/>
        <v>+00</v>
      </c>
      <c r="AY491" t="str">
        <f t="shared" si="593"/>
        <v>+00</v>
      </c>
      <c r="BA491" s="47" t="b">
        <f t="shared" si="622"/>
        <v>1</v>
      </c>
      <c r="BB491" s="42" t="b">
        <f t="shared" si="623"/>
        <v>1</v>
      </c>
      <c r="BC491" s="42" t="b">
        <f t="shared" si="624"/>
        <v>0</v>
      </c>
      <c r="BD491" s="42" t="b">
        <f t="shared" si="625"/>
        <v>0</v>
      </c>
      <c r="BE491" s="70">
        <f t="shared" si="626"/>
        <v>0</v>
      </c>
      <c r="BF491" s="70">
        <f t="shared" si="627"/>
        <v>0</v>
      </c>
      <c r="BG491" s="34"/>
      <c r="BI491" s="47" t="b">
        <f t="shared" si="628"/>
        <v>1</v>
      </c>
      <c r="BJ491" s="47" t="b">
        <f t="shared" si="629"/>
        <v>1</v>
      </c>
      <c r="BK491" s="42" t="b">
        <f t="shared" si="630"/>
        <v>0</v>
      </c>
      <c r="BL491" s="42" t="b">
        <f t="shared" si="631"/>
        <v>0</v>
      </c>
      <c r="BM491" s="42">
        <f t="shared" si="632"/>
        <v>0</v>
      </c>
      <c r="BN491" s="42">
        <f t="shared" si="633"/>
        <v>0</v>
      </c>
      <c r="BP491" t="e">
        <f t="shared" si="634"/>
        <v>#N/A</v>
      </c>
      <c r="BQ491" t="e">
        <f t="shared" si="635"/>
        <v>#N/A</v>
      </c>
      <c r="BR491" t="e">
        <f t="shared" si="636"/>
        <v>#N/A</v>
      </c>
      <c r="BT491" s="60">
        <f t="shared" si="637"/>
        <v>0</v>
      </c>
      <c r="BU491" s="60">
        <f t="shared" si="638"/>
        <v>0</v>
      </c>
      <c r="BV491" s="60">
        <f t="shared" si="639"/>
        <v>0</v>
      </c>
      <c r="BW491" s="60">
        <f t="shared" si="640"/>
        <v>0</v>
      </c>
      <c r="BX491" s="60">
        <f t="shared" si="641"/>
        <v>0</v>
      </c>
      <c r="BY491" s="60">
        <f t="shared" si="642"/>
        <v>0</v>
      </c>
      <c r="BZ491" s="60">
        <f t="shared" si="643"/>
        <v>0</v>
      </c>
      <c r="CA491" s="60">
        <f t="shared" si="644"/>
        <v>0</v>
      </c>
      <c r="CB491" s="60" t="e">
        <f t="shared" si="594"/>
        <v>#N/A</v>
      </c>
      <c r="CC491" s="60">
        <f t="shared" si="595"/>
        <v>100000</v>
      </c>
      <c r="CD491" s="60" t="e">
        <f t="shared" si="596"/>
        <v>#N/A</v>
      </c>
      <c r="CE491" s="60">
        <f t="shared" si="597"/>
        <v>100000</v>
      </c>
      <c r="CF491" s="83" t="e">
        <f t="shared" si="645"/>
        <v>#N/A</v>
      </c>
      <c r="CG491" s="83">
        <f t="shared" si="646"/>
        <v>0</v>
      </c>
      <c r="CH491" s="83" t="e">
        <f t="shared" si="647"/>
        <v>#N/A</v>
      </c>
      <c r="CI491" s="83">
        <f t="shared" si="648"/>
        <v>0</v>
      </c>
      <c r="CJ491" s="86" t="e">
        <f t="shared" si="598"/>
        <v>#N/A</v>
      </c>
      <c r="CK491" s="82">
        <f t="shared" si="599"/>
        <v>5.3070370403969858E-3</v>
      </c>
      <c r="CL491" s="82" t="e">
        <f t="shared" si="600"/>
        <v>#N/A</v>
      </c>
      <c r="CM491" s="82">
        <f t="shared" si="601"/>
        <v>5.3070370403969858E-3</v>
      </c>
      <c r="CO491" s="149" t="str">
        <f>IF($I491&lt;&gt;"",IF(O491="User Specified",U491,INDEX('Refrigerant GWPs'!$G$2:$G$156,MATCH(O491,'Refrigerant GWPs'!$A$2:$A$156,0))),"")</f>
        <v/>
      </c>
      <c r="CP491" s="138" t="str">
        <f>IF($I491&lt;&gt;"",INDEX('Device Refrigerant Leakage'!$E$2:$E$42,MATCH($M491,'Device Refrigerant Leakage'!$B$2:$B$42,0)),"")</f>
        <v/>
      </c>
      <c r="CQ491" s="138" t="str">
        <f>IF($I491&lt;&gt;"",INDEX('Device Refrigerant Leakage'!$F$2:$F$42,MATCH($M491,'Device Refrigerant Leakage'!$B$2:$B$42,0)),"")</f>
        <v/>
      </c>
      <c r="CR491" s="145" t="str">
        <f>IF($I491&lt;&gt;"",INDEX('Device Refrigerant Leakage'!$G$2:$G$42,MATCH($M491,'Device Refrigerant Leakage'!$B$2:$B$42,0)),"")</f>
        <v/>
      </c>
      <c r="CS491" s="145" t="str">
        <f>IF($I491&lt;&gt;"",INDEX('Device Refrigerant Leakage'!$D$2:$D$42,MATCH($M491,'Device Refrigerant Leakage'!$B$2:$B$42,0))*CP491/2204.62*CO491,"")</f>
        <v/>
      </c>
      <c r="CT491" s="145" t="str">
        <f>IF($I491&lt;&gt;"",J491*(INDEX('Device Refrigerant Leakage'!$D$2:$D$42,MATCH($M491,'Device Refrigerant Leakage'!$B$2:$B$42,0))-(INDEX('Device Refrigerant Leakage'!$D$2:$D$42,MATCH($M491,'Device Refrigerant Leakage'!$B$2:$B$42,0)))*CR491*CP491)*CQ491/2204.62*CO491,"")</f>
        <v/>
      </c>
      <c r="CU491" s="135" t="str">
        <f>IF($I491&lt;&gt;"",J491*IF(W491&lt;&gt;"AR",(CS491*K491)+CT491,(CS491*AB491)+CT491*(AB491/INDEX('Device Refrigerant Leakage'!$C$2:$C$42,MATCH($M491,'Device Refrigerant Leakage'!$B$2:$B$42,0)))),"")</f>
        <v/>
      </c>
      <c r="CW491" s="135" t="str">
        <f>IF($I491&lt;&gt;"",IF(S491="User Specified",V491,INDEX('Refrigerant GWPs'!$G$2:$G$156,MATCH(S491,'Refrigerant GWPs'!$A$2:$A$157,0))),"")</f>
        <v/>
      </c>
      <c r="CX491" s="138" t="str">
        <f>IF($I491&lt;&gt;"",INDEX('Device Refrigerant Leakage'!$E$2:$E$42,MATCH($Q491,'Device Refrigerant Leakage'!$B$2:$B$42,0)),"")</f>
        <v/>
      </c>
      <c r="CY491" s="138" t="str">
        <f>IF($I491&lt;&gt;"",INDEX('Device Refrigerant Leakage'!$F$2:$F$42,MATCH($Q491,'Device Refrigerant Leakage'!$B$2:$B$42,0)),"")</f>
        <v/>
      </c>
      <c r="CZ491" s="145" t="str">
        <f>IF($I491&lt;&gt;"",INDEX('Device Refrigerant Leakage'!$G$2:$G$42,MATCH($Q491,'Device Refrigerant Leakage'!$B$2:$B$42,0)),"")</f>
        <v/>
      </c>
      <c r="DA491" s="145" t="str">
        <f>IF($I491&lt;&gt;"",J491*INDEX('Device Refrigerant Leakage'!$D$2:$D$42,MATCH($Q491,'Device Refrigerant Leakage'!$B$2:$B$42,0))*CX491/2204.62*CW491,"")</f>
        <v/>
      </c>
      <c r="DB491" s="145" t="str">
        <f>IF($I491&lt;&gt;"",J491*(INDEX('Device Refrigerant Leakage'!$D$2:$D$42,MATCH($Q491,'Device Refrigerant Leakage'!$B$2:$B$42,0))-(INDEX('Device Refrigerant Leakage'!$D$2:$D$42,MATCH($Q491,'Device Refrigerant Leakage'!$B$2:$B$42,0)))*CZ491*CX491)*CY491/2204.62*CW491,"")</f>
        <v/>
      </c>
      <c r="DC491" s="135" t="str">
        <f t="shared" si="620"/>
        <v/>
      </c>
      <c r="DE491" s="146" t="str">
        <f>IF(W491&lt;&gt;"AR","",IF(Y491="User Specified", AA491, INDEX('Refrigerant GWPs'!$G$2:$G$154,MATCH(Y491,'Refrigerant GWPs'!$A$2:$A$154,0))))</f>
        <v/>
      </c>
      <c r="DF491" s="146" t="str">
        <f>IF(W491&lt;&gt;"AR","",INDEX('Device Refrigerant Leakage'!$E$2:$E$42,MATCH(X491,'Device Refrigerant Leakage'!$B$2:$B$42,0)))</f>
        <v/>
      </c>
      <c r="DG491" s="146" t="str">
        <f>IF(W491&lt;&gt;"AR","",INDEX('Device Refrigerant Leakage'!$F$2:$F$42,MATCH(X491,'Device Refrigerant Leakage'!$B$2:$B$42,0)))</f>
        <v/>
      </c>
      <c r="DH491" s="146" t="str">
        <f>IF(W491&lt;&gt;"AR","",INDEX('Device Refrigerant Leakage'!$G$2:$G$42,MATCH(X491,'Device Refrigerant Leakage'!$B$2:$B$42,0)))</f>
        <v/>
      </c>
      <c r="DI491" s="146" t="str">
        <f>IF(W491&lt;&gt;"AR","",J491*INDEX('Device Refrigerant Leakage'!$D$2:$D$42,MATCH(X491,'Device Refrigerant Leakage'!$B$2:$B$42,0))*DF491/2204.62*DE491)</f>
        <v/>
      </c>
      <c r="DJ491" s="146" t="str">
        <f>IF(W491&lt;&gt;"AR","",J491*(INDEX('Device Refrigerant Leakage'!$D$2:$D$42,MATCH(X491,'Device Refrigerant Leakage'!$B$2:$B$42,0))-(INDEX('Device Refrigerant Leakage'!$D$2:$D$42,MATCH(X491,'Device Refrigerant Leakage'!$B$2:$B$42,0)))*DH491*DF491)*DG491/2204.62*DE491)</f>
        <v/>
      </c>
      <c r="DK491" s="146" t="str">
        <f>IF(W491&lt;&gt;"AR","",DI491*(K491-AB491)+'Fuel Sub Calcs-Deemed'!DJ491*((K491-AB491)/INDEX('Device Refrigerant Leakage'!$C$2:$C$42,MATCH('Fuel Sub Calcs-Deemed'!X491,'Device Refrigerant Leakage'!$B$2:$B$42,0))))</f>
        <v/>
      </c>
      <c r="DM491" s="56">
        <v>477</v>
      </c>
      <c r="DN491" s="67" t="e">
        <f t="shared" si="602"/>
        <v>#N/A</v>
      </c>
      <c r="DO491" s="45" t="e">
        <f t="shared" si="603"/>
        <v>#N/A</v>
      </c>
      <c r="DP491" s="67" t="e">
        <f t="shared" si="604"/>
        <v>#N/A</v>
      </c>
      <c r="DQ491" s="45" t="e">
        <f t="shared" si="605"/>
        <v>#N/A</v>
      </c>
      <c r="DR491" s="69" t="e">
        <f t="shared" si="606"/>
        <v>#N/A</v>
      </c>
      <c r="DS491" s="34"/>
      <c r="DT491" s="67" t="e">
        <f>((BX491*CJ491)+IF($W491=MAT_AR,(BZ491*CL491),0))*(1+Reference!$E$50+Reference!$E$51)</f>
        <v>#N/A</v>
      </c>
      <c r="DU491" s="67">
        <f>((BY491*CK491)+IF($W491=MAT_AR,(CA491*CM491),0))*(1+Reference!$G$50+Reference!$G$51)</f>
        <v>0</v>
      </c>
      <c r="DV491" s="67" t="e">
        <f t="shared" si="607"/>
        <v>#VALUE!</v>
      </c>
      <c r="DX491" s="56">
        <v>477</v>
      </c>
      <c r="DY491" s="67">
        <f t="shared" si="608"/>
        <v>0</v>
      </c>
      <c r="DZ491" s="45" t="e">
        <f>VLOOKUP($R491,Dropdown!$C$3:$D$4,2,FALSE)</f>
        <v>#N/A</v>
      </c>
      <c r="EA491" s="68">
        <f t="shared" si="609"/>
        <v>0</v>
      </c>
      <c r="EB491" s="68" t="str">
        <f t="shared" si="610"/>
        <v>N/A</v>
      </c>
      <c r="EC491" s="68">
        <f t="shared" si="611"/>
        <v>0</v>
      </c>
      <c r="ED491" s="68" t="str">
        <f t="shared" si="649"/>
        <v>N/A</v>
      </c>
      <c r="EF491" s="56">
        <v>477</v>
      </c>
      <c r="EG491" s="46">
        <f t="shared" si="612"/>
        <v>0</v>
      </c>
      <c r="EH491" s="68" t="e">
        <f t="shared" si="613"/>
        <v>#N/A</v>
      </c>
      <c r="EI491" s="68" t="e">
        <f t="shared" si="614"/>
        <v>#N/A</v>
      </c>
      <c r="EJ491" s="68" t="e">
        <f t="shared" si="615"/>
        <v>#N/A</v>
      </c>
      <c r="EK491" s="68" t="e">
        <f t="shared" si="616"/>
        <v>#N/A</v>
      </c>
      <c r="EL491" s="46">
        <f t="shared" si="617"/>
        <v>0</v>
      </c>
      <c r="EM491" s="46">
        <f t="shared" si="618"/>
        <v>0</v>
      </c>
    </row>
    <row r="492" spans="1:143">
      <c r="A492" s="89"/>
      <c r="B492" s="89"/>
      <c r="C492" s="89"/>
      <c r="D492" s="89"/>
      <c r="E492" s="89"/>
      <c r="F492" s="89"/>
      <c r="G492" s="34"/>
      <c r="H492" s="56">
        <f t="shared" si="619"/>
        <v>478</v>
      </c>
      <c r="I492" s="165"/>
      <c r="J492" s="163"/>
      <c r="K492" s="163"/>
      <c r="L492" s="164"/>
      <c r="M492" s="155"/>
      <c r="N492" s="155"/>
      <c r="O492" s="144"/>
      <c r="P492" s="159" t="str">
        <f>IFERROR(IF(O492&lt;&gt;"User Specified",IF(O492&lt;&gt;"", INDEX('Refrigerant GWPs'!$G$2:$G$154,MATCH(O492,'Refrigerant GWPs'!$A$2:$A$154,0)),""),U492),0)</f>
        <v/>
      </c>
      <c r="Q492" s="155"/>
      <c r="R492" s="155"/>
      <c r="S492" s="144"/>
      <c r="T492" s="159" t="str">
        <f>IF(S492&lt;&gt;"User Specified",IF(AND(S492&lt;&gt;"User Specified",S492&lt;&gt;""), INDEX('Refrigerant GWPs'!$G$2:$G$154,MATCH(S492,'Refrigerant GWPs'!$A$2:$A$154,0)),""),V492)</f>
        <v/>
      </c>
      <c r="U492" s="144"/>
      <c r="V492" s="144"/>
      <c r="W492" s="155"/>
      <c r="X492" s="155"/>
      <c r="Y492" s="144"/>
      <c r="Z492" s="159" t="str">
        <f>IF(AND(Y492&lt;&gt;"User Specified",Y492&lt;&gt;""), INDEX('Refrigerant GWPs'!$G$2:$G$154,MATCH(Y492,'Refrigerant GWPs'!$A$2:$A$154,0)),"")</f>
        <v/>
      </c>
      <c r="AA492" s="155"/>
      <c r="AB492" s="156"/>
      <c r="AC492" s="66"/>
      <c r="AD492" s="66"/>
      <c r="AE492" s="66"/>
      <c r="AF492" s="66"/>
      <c r="AG492" s="66"/>
      <c r="AH492" s="66"/>
      <c r="AI492" s="34"/>
      <c r="AJ492" s="88">
        <f t="shared" si="582"/>
        <v>0</v>
      </c>
      <c r="AK492" s="88">
        <f t="shared" si="583"/>
        <v>0</v>
      </c>
      <c r="AL492" s="88">
        <v>0</v>
      </c>
      <c r="AM492" s="88">
        <v>0</v>
      </c>
      <c r="AN492" s="81" t="str">
        <f t="shared" si="621"/>
        <v/>
      </c>
      <c r="AO492" s="88">
        <f t="shared" si="584"/>
        <v>0</v>
      </c>
      <c r="AP492" s="88">
        <f t="shared" si="585"/>
        <v>0</v>
      </c>
      <c r="AQ492" s="81" t="str">
        <f t="shared" si="586"/>
        <v/>
      </c>
      <c r="AS492" s="41" t="b">
        <f t="shared" si="587"/>
        <v>1</v>
      </c>
      <c r="AT492" s="38">
        <f t="shared" si="588"/>
        <v>0</v>
      </c>
      <c r="AU492" s="60">
        <f t="shared" si="589"/>
        <v>0</v>
      </c>
      <c r="AV492" s="41">
        <f t="shared" si="590"/>
        <v>0</v>
      </c>
      <c r="AW492" s="41" t="b">
        <f t="shared" si="591"/>
        <v>0</v>
      </c>
      <c r="AX492" t="str">
        <f t="shared" si="592"/>
        <v>+00</v>
      </c>
      <c r="AY492" t="str">
        <f t="shared" si="593"/>
        <v>+00</v>
      </c>
      <c r="BA492" s="47" t="b">
        <f t="shared" si="622"/>
        <v>1</v>
      </c>
      <c r="BB492" s="42" t="b">
        <f t="shared" si="623"/>
        <v>1</v>
      </c>
      <c r="BC492" s="42" t="b">
        <f t="shared" si="624"/>
        <v>0</v>
      </c>
      <c r="BD492" s="42" t="b">
        <f t="shared" si="625"/>
        <v>0</v>
      </c>
      <c r="BE492" s="70">
        <f t="shared" si="626"/>
        <v>0</v>
      </c>
      <c r="BF492" s="70">
        <f t="shared" si="627"/>
        <v>0</v>
      </c>
      <c r="BG492" s="34"/>
      <c r="BI492" s="47" t="b">
        <f t="shared" si="628"/>
        <v>1</v>
      </c>
      <c r="BJ492" s="47" t="b">
        <f t="shared" si="629"/>
        <v>1</v>
      </c>
      <c r="BK492" s="42" t="b">
        <f t="shared" si="630"/>
        <v>0</v>
      </c>
      <c r="BL492" s="42" t="b">
        <f t="shared" si="631"/>
        <v>0</v>
      </c>
      <c r="BM492" s="42">
        <f t="shared" si="632"/>
        <v>0</v>
      </c>
      <c r="BN492" s="42">
        <f t="shared" si="633"/>
        <v>0</v>
      </c>
      <c r="BP492" t="e">
        <f t="shared" si="634"/>
        <v>#N/A</v>
      </c>
      <c r="BQ492" t="e">
        <f t="shared" si="635"/>
        <v>#N/A</v>
      </c>
      <c r="BR492" t="e">
        <f t="shared" si="636"/>
        <v>#N/A</v>
      </c>
      <c r="BT492" s="60">
        <f t="shared" si="637"/>
        <v>0</v>
      </c>
      <c r="BU492" s="60">
        <f t="shared" si="638"/>
        <v>0</v>
      </c>
      <c r="BV492" s="60">
        <f t="shared" si="639"/>
        <v>0</v>
      </c>
      <c r="BW492" s="60">
        <f t="shared" si="640"/>
        <v>0</v>
      </c>
      <c r="BX492" s="60">
        <f t="shared" si="641"/>
        <v>0</v>
      </c>
      <c r="BY492" s="60">
        <f t="shared" si="642"/>
        <v>0</v>
      </c>
      <c r="BZ492" s="60">
        <f t="shared" si="643"/>
        <v>0</v>
      </c>
      <c r="CA492" s="60">
        <f t="shared" si="644"/>
        <v>0</v>
      </c>
      <c r="CB492" s="60" t="e">
        <f t="shared" si="594"/>
        <v>#N/A</v>
      </c>
      <c r="CC492" s="60">
        <f t="shared" si="595"/>
        <v>100000</v>
      </c>
      <c r="CD492" s="60" t="e">
        <f t="shared" si="596"/>
        <v>#N/A</v>
      </c>
      <c r="CE492" s="60">
        <f t="shared" si="597"/>
        <v>100000</v>
      </c>
      <c r="CF492" s="83" t="e">
        <f t="shared" si="645"/>
        <v>#N/A</v>
      </c>
      <c r="CG492" s="83">
        <f t="shared" si="646"/>
        <v>0</v>
      </c>
      <c r="CH492" s="83" t="e">
        <f t="shared" si="647"/>
        <v>#N/A</v>
      </c>
      <c r="CI492" s="83">
        <f t="shared" si="648"/>
        <v>0</v>
      </c>
      <c r="CJ492" s="86" t="e">
        <f t="shared" si="598"/>
        <v>#N/A</v>
      </c>
      <c r="CK492" s="82">
        <f t="shared" si="599"/>
        <v>5.3070370403969858E-3</v>
      </c>
      <c r="CL492" s="82" t="e">
        <f t="shared" si="600"/>
        <v>#N/A</v>
      </c>
      <c r="CM492" s="82">
        <f t="shared" si="601"/>
        <v>5.3070370403969858E-3</v>
      </c>
      <c r="CO492" s="149" t="str">
        <f>IF($I492&lt;&gt;"",IF(O492="User Specified",U492,INDEX('Refrigerant GWPs'!$G$2:$G$156,MATCH(O492,'Refrigerant GWPs'!$A$2:$A$156,0))),"")</f>
        <v/>
      </c>
      <c r="CP492" s="138" t="str">
        <f>IF($I492&lt;&gt;"",INDEX('Device Refrigerant Leakage'!$E$2:$E$42,MATCH($M492,'Device Refrigerant Leakage'!$B$2:$B$42,0)),"")</f>
        <v/>
      </c>
      <c r="CQ492" s="138" t="str">
        <f>IF($I492&lt;&gt;"",INDEX('Device Refrigerant Leakage'!$F$2:$F$42,MATCH($M492,'Device Refrigerant Leakage'!$B$2:$B$42,0)),"")</f>
        <v/>
      </c>
      <c r="CR492" s="145" t="str">
        <f>IF($I492&lt;&gt;"",INDEX('Device Refrigerant Leakage'!$G$2:$G$42,MATCH($M492,'Device Refrigerant Leakage'!$B$2:$B$42,0)),"")</f>
        <v/>
      </c>
      <c r="CS492" s="145" t="str">
        <f>IF($I492&lt;&gt;"",INDEX('Device Refrigerant Leakage'!$D$2:$D$42,MATCH($M492,'Device Refrigerant Leakage'!$B$2:$B$42,0))*CP492/2204.62*CO492,"")</f>
        <v/>
      </c>
      <c r="CT492" s="145" t="str">
        <f>IF($I492&lt;&gt;"",J492*(INDEX('Device Refrigerant Leakage'!$D$2:$D$42,MATCH($M492,'Device Refrigerant Leakage'!$B$2:$B$42,0))-(INDEX('Device Refrigerant Leakage'!$D$2:$D$42,MATCH($M492,'Device Refrigerant Leakage'!$B$2:$B$42,0)))*CR492*CP492)*CQ492/2204.62*CO492,"")</f>
        <v/>
      </c>
      <c r="CU492" s="135" t="str">
        <f>IF($I492&lt;&gt;"",J492*IF(W492&lt;&gt;"AR",(CS492*K492)+CT492,(CS492*AB492)+CT492*(AB492/INDEX('Device Refrigerant Leakage'!$C$2:$C$42,MATCH($M492,'Device Refrigerant Leakage'!$B$2:$B$42,0)))),"")</f>
        <v/>
      </c>
      <c r="CW492" s="135" t="str">
        <f>IF($I492&lt;&gt;"",IF(S492="User Specified",V492,INDEX('Refrigerant GWPs'!$G$2:$G$156,MATCH(S492,'Refrigerant GWPs'!$A$2:$A$157,0))),"")</f>
        <v/>
      </c>
      <c r="CX492" s="138" t="str">
        <f>IF($I492&lt;&gt;"",INDEX('Device Refrigerant Leakage'!$E$2:$E$42,MATCH($Q492,'Device Refrigerant Leakage'!$B$2:$B$42,0)),"")</f>
        <v/>
      </c>
      <c r="CY492" s="138" t="str">
        <f>IF($I492&lt;&gt;"",INDEX('Device Refrigerant Leakage'!$F$2:$F$42,MATCH($Q492,'Device Refrigerant Leakage'!$B$2:$B$42,0)),"")</f>
        <v/>
      </c>
      <c r="CZ492" s="145" t="str">
        <f>IF($I492&lt;&gt;"",INDEX('Device Refrigerant Leakage'!$G$2:$G$42,MATCH($Q492,'Device Refrigerant Leakage'!$B$2:$B$42,0)),"")</f>
        <v/>
      </c>
      <c r="DA492" s="145" t="str">
        <f>IF($I492&lt;&gt;"",J492*INDEX('Device Refrigerant Leakage'!$D$2:$D$42,MATCH($Q492,'Device Refrigerant Leakage'!$B$2:$B$42,0))*CX492/2204.62*CW492,"")</f>
        <v/>
      </c>
      <c r="DB492" s="145" t="str">
        <f>IF($I492&lt;&gt;"",J492*(INDEX('Device Refrigerant Leakage'!$D$2:$D$42,MATCH($Q492,'Device Refrigerant Leakage'!$B$2:$B$42,0))-(INDEX('Device Refrigerant Leakage'!$D$2:$D$42,MATCH($Q492,'Device Refrigerant Leakage'!$B$2:$B$42,0)))*CZ492*CX492)*CY492/2204.62*CW492,"")</f>
        <v/>
      </c>
      <c r="DC492" s="135" t="str">
        <f t="shared" si="620"/>
        <v/>
      </c>
      <c r="DE492" s="146" t="str">
        <f>IF(W492&lt;&gt;"AR","",IF(Y492="User Specified", AA492, INDEX('Refrigerant GWPs'!$G$2:$G$154,MATCH(Y492,'Refrigerant GWPs'!$A$2:$A$154,0))))</f>
        <v/>
      </c>
      <c r="DF492" s="146" t="str">
        <f>IF(W492&lt;&gt;"AR","",INDEX('Device Refrigerant Leakage'!$E$2:$E$42,MATCH(X492,'Device Refrigerant Leakage'!$B$2:$B$42,0)))</f>
        <v/>
      </c>
      <c r="DG492" s="146" t="str">
        <f>IF(W492&lt;&gt;"AR","",INDEX('Device Refrigerant Leakage'!$F$2:$F$42,MATCH(X492,'Device Refrigerant Leakage'!$B$2:$B$42,0)))</f>
        <v/>
      </c>
      <c r="DH492" s="146" t="str">
        <f>IF(W492&lt;&gt;"AR","",INDEX('Device Refrigerant Leakage'!$G$2:$G$42,MATCH(X492,'Device Refrigerant Leakage'!$B$2:$B$42,0)))</f>
        <v/>
      </c>
      <c r="DI492" s="146" t="str">
        <f>IF(W492&lt;&gt;"AR","",J492*INDEX('Device Refrigerant Leakage'!$D$2:$D$42,MATCH(X492,'Device Refrigerant Leakage'!$B$2:$B$42,0))*DF492/2204.62*DE492)</f>
        <v/>
      </c>
      <c r="DJ492" s="146" t="str">
        <f>IF(W492&lt;&gt;"AR","",J492*(INDEX('Device Refrigerant Leakage'!$D$2:$D$42,MATCH(X492,'Device Refrigerant Leakage'!$B$2:$B$42,0))-(INDEX('Device Refrigerant Leakage'!$D$2:$D$42,MATCH(X492,'Device Refrigerant Leakage'!$B$2:$B$42,0)))*DH492*DF492)*DG492/2204.62*DE492)</f>
        <v/>
      </c>
      <c r="DK492" s="146" t="str">
        <f>IF(W492&lt;&gt;"AR","",DI492*(K492-AB492)+'Fuel Sub Calcs-Deemed'!DJ492*((K492-AB492)/INDEX('Device Refrigerant Leakage'!$C$2:$C$42,MATCH('Fuel Sub Calcs-Deemed'!X492,'Device Refrigerant Leakage'!$B$2:$B$42,0))))</f>
        <v/>
      </c>
      <c r="DM492" s="56">
        <v>478</v>
      </c>
      <c r="DN492" s="67" t="e">
        <f t="shared" si="602"/>
        <v>#N/A</v>
      </c>
      <c r="DO492" s="45" t="e">
        <f t="shared" si="603"/>
        <v>#N/A</v>
      </c>
      <c r="DP492" s="67" t="e">
        <f t="shared" si="604"/>
        <v>#N/A</v>
      </c>
      <c r="DQ492" s="45" t="e">
        <f t="shared" si="605"/>
        <v>#N/A</v>
      </c>
      <c r="DR492" s="69" t="e">
        <f t="shared" si="606"/>
        <v>#N/A</v>
      </c>
      <c r="DS492" s="34"/>
      <c r="DT492" s="67" t="e">
        <f>((BX492*CJ492)+IF($W492=MAT_AR,(BZ492*CL492),0))*(1+Reference!$E$50+Reference!$E$51)</f>
        <v>#N/A</v>
      </c>
      <c r="DU492" s="67">
        <f>((BY492*CK492)+IF($W492=MAT_AR,(CA492*CM492),0))*(1+Reference!$G$50+Reference!$G$51)</f>
        <v>0</v>
      </c>
      <c r="DV492" s="67" t="e">
        <f t="shared" si="607"/>
        <v>#VALUE!</v>
      </c>
      <c r="DX492" s="56">
        <v>478</v>
      </c>
      <c r="DY492" s="67">
        <f t="shared" si="608"/>
        <v>0</v>
      </c>
      <c r="DZ492" s="45" t="e">
        <f>VLOOKUP($R492,Dropdown!$C$3:$D$4,2,FALSE)</f>
        <v>#N/A</v>
      </c>
      <c r="EA492" s="68">
        <f t="shared" si="609"/>
        <v>0</v>
      </c>
      <c r="EB492" s="68" t="str">
        <f t="shared" si="610"/>
        <v>N/A</v>
      </c>
      <c r="EC492" s="68">
        <f t="shared" si="611"/>
        <v>0</v>
      </c>
      <c r="ED492" s="68" t="str">
        <f t="shared" si="649"/>
        <v>N/A</v>
      </c>
      <c r="EF492" s="56">
        <v>478</v>
      </c>
      <c r="EG492" s="46">
        <f t="shared" si="612"/>
        <v>0</v>
      </c>
      <c r="EH492" s="68" t="e">
        <f t="shared" si="613"/>
        <v>#N/A</v>
      </c>
      <c r="EI492" s="68" t="e">
        <f t="shared" si="614"/>
        <v>#N/A</v>
      </c>
      <c r="EJ492" s="68" t="e">
        <f t="shared" si="615"/>
        <v>#N/A</v>
      </c>
      <c r="EK492" s="68" t="e">
        <f t="shared" si="616"/>
        <v>#N/A</v>
      </c>
      <c r="EL492" s="46">
        <f t="shared" si="617"/>
        <v>0</v>
      </c>
      <c r="EM492" s="46">
        <f t="shared" si="618"/>
        <v>0</v>
      </c>
    </row>
    <row r="493" spans="1:143">
      <c r="A493" s="89"/>
      <c r="B493" s="89"/>
      <c r="C493" s="89"/>
      <c r="D493" s="89"/>
      <c r="E493" s="89"/>
      <c r="F493" s="89"/>
      <c r="G493" s="34"/>
      <c r="H493" s="56">
        <f t="shared" si="619"/>
        <v>479</v>
      </c>
      <c r="I493" s="165"/>
      <c r="J493" s="163"/>
      <c r="K493" s="163"/>
      <c r="L493" s="164"/>
      <c r="M493" s="155"/>
      <c r="N493" s="155"/>
      <c r="O493" s="144"/>
      <c r="P493" s="159" t="str">
        <f>IFERROR(IF(O493&lt;&gt;"User Specified",IF(O493&lt;&gt;"", INDEX('Refrigerant GWPs'!$G$2:$G$154,MATCH(O493,'Refrigerant GWPs'!$A$2:$A$154,0)),""),U493),0)</f>
        <v/>
      </c>
      <c r="Q493" s="155"/>
      <c r="R493" s="155"/>
      <c r="S493" s="144"/>
      <c r="T493" s="159" t="str">
        <f>IF(S493&lt;&gt;"User Specified",IF(AND(S493&lt;&gt;"User Specified",S493&lt;&gt;""), INDEX('Refrigerant GWPs'!$G$2:$G$154,MATCH(S493,'Refrigerant GWPs'!$A$2:$A$154,0)),""),V493)</f>
        <v/>
      </c>
      <c r="U493" s="144"/>
      <c r="V493" s="144"/>
      <c r="W493" s="155"/>
      <c r="X493" s="155"/>
      <c r="Y493" s="144"/>
      <c r="Z493" s="159" t="str">
        <f>IF(AND(Y493&lt;&gt;"User Specified",Y493&lt;&gt;""), INDEX('Refrigerant GWPs'!$G$2:$G$154,MATCH(Y493,'Refrigerant GWPs'!$A$2:$A$154,0)),"")</f>
        <v/>
      </c>
      <c r="AA493" s="155"/>
      <c r="AB493" s="156"/>
      <c r="AC493" s="66"/>
      <c r="AD493" s="66"/>
      <c r="AE493" s="66"/>
      <c r="AF493" s="66"/>
      <c r="AG493" s="66"/>
      <c r="AH493" s="66"/>
      <c r="AI493" s="34"/>
      <c r="AJ493" s="88">
        <f t="shared" si="582"/>
        <v>0</v>
      </c>
      <c r="AK493" s="88">
        <f t="shared" si="583"/>
        <v>0</v>
      </c>
      <c r="AL493" s="88">
        <v>0</v>
      </c>
      <c r="AM493" s="88">
        <v>0</v>
      </c>
      <c r="AN493" s="81" t="str">
        <f t="shared" si="621"/>
        <v/>
      </c>
      <c r="AO493" s="88">
        <f t="shared" si="584"/>
        <v>0</v>
      </c>
      <c r="AP493" s="88">
        <f t="shared" si="585"/>
        <v>0</v>
      </c>
      <c r="AQ493" s="81" t="str">
        <f t="shared" si="586"/>
        <v/>
      </c>
      <c r="AS493" s="41" t="b">
        <f t="shared" si="587"/>
        <v>1</v>
      </c>
      <c r="AT493" s="38">
        <f t="shared" si="588"/>
        <v>0</v>
      </c>
      <c r="AU493" s="60">
        <f t="shared" si="589"/>
        <v>0</v>
      </c>
      <c r="AV493" s="41">
        <f t="shared" si="590"/>
        <v>0</v>
      </c>
      <c r="AW493" s="41" t="b">
        <f t="shared" si="591"/>
        <v>0</v>
      </c>
      <c r="AX493" t="str">
        <f t="shared" si="592"/>
        <v>+00</v>
      </c>
      <c r="AY493" t="str">
        <f t="shared" si="593"/>
        <v>+00</v>
      </c>
      <c r="BA493" s="47" t="b">
        <f t="shared" si="622"/>
        <v>1</v>
      </c>
      <c r="BB493" s="42" t="b">
        <f t="shared" si="623"/>
        <v>1</v>
      </c>
      <c r="BC493" s="42" t="b">
        <f t="shared" si="624"/>
        <v>0</v>
      </c>
      <c r="BD493" s="42" t="b">
        <f t="shared" si="625"/>
        <v>0</v>
      </c>
      <c r="BE493" s="70">
        <f t="shared" si="626"/>
        <v>0</v>
      </c>
      <c r="BF493" s="70">
        <f t="shared" si="627"/>
        <v>0</v>
      </c>
      <c r="BG493" s="34"/>
      <c r="BI493" s="47" t="b">
        <f t="shared" si="628"/>
        <v>1</v>
      </c>
      <c r="BJ493" s="47" t="b">
        <f t="shared" si="629"/>
        <v>1</v>
      </c>
      <c r="BK493" s="42" t="b">
        <f t="shared" si="630"/>
        <v>0</v>
      </c>
      <c r="BL493" s="42" t="b">
        <f t="shared" si="631"/>
        <v>0</v>
      </c>
      <c r="BM493" s="42">
        <f t="shared" si="632"/>
        <v>0</v>
      </c>
      <c r="BN493" s="42">
        <f t="shared" si="633"/>
        <v>0</v>
      </c>
      <c r="BP493" t="e">
        <f t="shared" si="634"/>
        <v>#N/A</v>
      </c>
      <c r="BQ493" t="e">
        <f t="shared" si="635"/>
        <v>#N/A</v>
      </c>
      <c r="BR493" t="e">
        <f t="shared" si="636"/>
        <v>#N/A</v>
      </c>
      <c r="BT493" s="60">
        <f t="shared" si="637"/>
        <v>0</v>
      </c>
      <c r="BU493" s="60">
        <f t="shared" si="638"/>
        <v>0</v>
      </c>
      <c r="BV493" s="60">
        <f t="shared" si="639"/>
        <v>0</v>
      </c>
      <c r="BW493" s="60">
        <f t="shared" si="640"/>
        <v>0</v>
      </c>
      <c r="BX493" s="60">
        <f t="shared" si="641"/>
        <v>0</v>
      </c>
      <c r="BY493" s="60">
        <f t="shared" si="642"/>
        <v>0</v>
      </c>
      <c r="BZ493" s="60">
        <f t="shared" si="643"/>
        <v>0</v>
      </c>
      <c r="CA493" s="60">
        <f t="shared" si="644"/>
        <v>0</v>
      </c>
      <c r="CB493" s="60" t="e">
        <f t="shared" si="594"/>
        <v>#N/A</v>
      </c>
      <c r="CC493" s="60">
        <f t="shared" si="595"/>
        <v>100000</v>
      </c>
      <c r="CD493" s="60" t="e">
        <f t="shared" si="596"/>
        <v>#N/A</v>
      </c>
      <c r="CE493" s="60">
        <f t="shared" si="597"/>
        <v>100000</v>
      </c>
      <c r="CF493" s="83" t="e">
        <f t="shared" si="645"/>
        <v>#N/A</v>
      </c>
      <c r="CG493" s="83">
        <f t="shared" si="646"/>
        <v>0</v>
      </c>
      <c r="CH493" s="83" t="e">
        <f t="shared" si="647"/>
        <v>#N/A</v>
      </c>
      <c r="CI493" s="83">
        <f t="shared" si="648"/>
        <v>0</v>
      </c>
      <c r="CJ493" s="86" t="e">
        <f t="shared" si="598"/>
        <v>#N/A</v>
      </c>
      <c r="CK493" s="82">
        <f t="shared" si="599"/>
        <v>5.3070370403969858E-3</v>
      </c>
      <c r="CL493" s="82" t="e">
        <f t="shared" si="600"/>
        <v>#N/A</v>
      </c>
      <c r="CM493" s="82">
        <f t="shared" si="601"/>
        <v>5.3070370403969858E-3</v>
      </c>
      <c r="CO493" s="149" t="str">
        <f>IF($I493&lt;&gt;"",IF(O493="User Specified",U493,INDEX('Refrigerant GWPs'!$G$2:$G$156,MATCH(O493,'Refrigerant GWPs'!$A$2:$A$156,0))),"")</f>
        <v/>
      </c>
      <c r="CP493" s="138" t="str">
        <f>IF($I493&lt;&gt;"",INDEX('Device Refrigerant Leakage'!$E$2:$E$42,MATCH($M493,'Device Refrigerant Leakage'!$B$2:$B$42,0)),"")</f>
        <v/>
      </c>
      <c r="CQ493" s="138" t="str">
        <f>IF($I493&lt;&gt;"",INDEX('Device Refrigerant Leakage'!$F$2:$F$42,MATCH($M493,'Device Refrigerant Leakage'!$B$2:$B$42,0)),"")</f>
        <v/>
      </c>
      <c r="CR493" s="145" t="str">
        <f>IF($I493&lt;&gt;"",INDEX('Device Refrigerant Leakage'!$G$2:$G$42,MATCH($M493,'Device Refrigerant Leakage'!$B$2:$B$42,0)),"")</f>
        <v/>
      </c>
      <c r="CS493" s="145" t="str">
        <f>IF($I493&lt;&gt;"",INDEX('Device Refrigerant Leakage'!$D$2:$D$42,MATCH($M493,'Device Refrigerant Leakage'!$B$2:$B$42,0))*CP493/2204.62*CO493,"")</f>
        <v/>
      </c>
      <c r="CT493" s="145" t="str">
        <f>IF($I493&lt;&gt;"",J493*(INDEX('Device Refrigerant Leakage'!$D$2:$D$42,MATCH($M493,'Device Refrigerant Leakage'!$B$2:$B$42,0))-(INDEX('Device Refrigerant Leakage'!$D$2:$D$42,MATCH($M493,'Device Refrigerant Leakage'!$B$2:$B$42,0)))*CR493*CP493)*CQ493/2204.62*CO493,"")</f>
        <v/>
      </c>
      <c r="CU493" s="135" t="str">
        <f>IF($I493&lt;&gt;"",J493*IF(W493&lt;&gt;"AR",(CS493*K493)+CT493,(CS493*AB493)+CT493*(AB493/INDEX('Device Refrigerant Leakage'!$C$2:$C$42,MATCH($M493,'Device Refrigerant Leakage'!$B$2:$B$42,0)))),"")</f>
        <v/>
      </c>
      <c r="CW493" s="135" t="str">
        <f>IF($I493&lt;&gt;"",IF(S493="User Specified",V493,INDEX('Refrigerant GWPs'!$G$2:$G$156,MATCH(S493,'Refrigerant GWPs'!$A$2:$A$157,0))),"")</f>
        <v/>
      </c>
      <c r="CX493" s="138" t="str">
        <f>IF($I493&lt;&gt;"",INDEX('Device Refrigerant Leakage'!$E$2:$E$42,MATCH($Q493,'Device Refrigerant Leakage'!$B$2:$B$42,0)),"")</f>
        <v/>
      </c>
      <c r="CY493" s="138" t="str">
        <f>IF($I493&lt;&gt;"",INDEX('Device Refrigerant Leakage'!$F$2:$F$42,MATCH($Q493,'Device Refrigerant Leakage'!$B$2:$B$42,0)),"")</f>
        <v/>
      </c>
      <c r="CZ493" s="145" t="str">
        <f>IF($I493&lt;&gt;"",INDEX('Device Refrigerant Leakage'!$G$2:$G$42,MATCH($Q493,'Device Refrigerant Leakage'!$B$2:$B$42,0)),"")</f>
        <v/>
      </c>
      <c r="DA493" s="145" t="str">
        <f>IF($I493&lt;&gt;"",J493*INDEX('Device Refrigerant Leakage'!$D$2:$D$42,MATCH($Q493,'Device Refrigerant Leakage'!$B$2:$B$42,0))*CX493/2204.62*CW493,"")</f>
        <v/>
      </c>
      <c r="DB493" s="145" t="str">
        <f>IF($I493&lt;&gt;"",J493*(INDEX('Device Refrigerant Leakage'!$D$2:$D$42,MATCH($Q493,'Device Refrigerant Leakage'!$B$2:$B$42,0))-(INDEX('Device Refrigerant Leakage'!$D$2:$D$42,MATCH($Q493,'Device Refrigerant Leakage'!$B$2:$B$42,0)))*CZ493*CX493)*CY493/2204.62*CW493,"")</f>
        <v/>
      </c>
      <c r="DC493" s="135" t="str">
        <f t="shared" si="620"/>
        <v/>
      </c>
      <c r="DE493" s="146" t="str">
        <f>IF(W493&lt;&gt;"AR","",IF(Y493="User Specified", AA493, INDEX('Refrigerant GWPs'!$G$2:$G$154,MATCH(Y493,'Refrigerant GWPs'!$A$2:$A$154,0))))</f>
        <v/>
      </c>
      <c r="DF493" s="146" t="str">
        <f>IF(W493&lt;&gt;"AR","",INDEX('Device Refrigerant Leakage'!$E$2:$E$42,MATCH(X493,'Device Refrigerant Leakage'!$B$2:$B$42,0)))</f>
        <v/>
      </c>
      <c r="DG493" s="146" t="str">
        <f>IF(W493&lt;&gt;"AR","",INDEX('Device Refrigerant Leakage'!$F$2:$F$42,MATCH(X493,'Device Refrigerant Leakage'!$B$2:$B$42,0)))</f>
        <v/>
      </c>
      <c r="DH493" s="146" t="str">
        <f>IF(W493&lt;&gt;"AR","",INDEX('Device Refrigerant Leakage'!$G$2:$G$42,MATCH(X493,'Device Refrigerant Leakage'!$B$2:$B$42,0)))</f>
        <v/>
      </c>
      <c r="DI493" s="146" t="str">
        <f>IF(W493&lt;&gt;"AR","",J493*INDEX('Device Refrigerant Leakage'!$D$2:$D$42,MATCH(X493,'Device Refrigerant Leakage'!$B$2:$B$42,0))*DF493/2204.62*DE493)</f>
        <v/>
      </c>
      <c r="DJ493" s="146" t="str">
        <f>IF(W493&lt;&gt;"AR","",J493*(INDEX('Device Refrigerant Leakage'!$D$2:$D$42,MATCH(X493,'Device Refrigerant Leakage'!$B$2:$B$42,0))-(INDEX('Device Refrigerant Leakage'!$D$2:$D$42,MATCH(X493,'Device Refrigerant Leakage'!$B$2:$B$42,0)))*DH493*DF493)*DG493/2204.62*DE493)</f>
        <v/>
      </c>
      <c r="DK493" s="146" t="str">
        <f>IF(W493&lt;&gt;"AR","",DI493*(K493-AB493)+'Fuel Sub Calcs-Deemed'!DJ493*((K493-AB493)/INDEX('Device Refrigerant Leakage'!$C$2:$C$42,MATCH('Fuel Sub Calcs-Deemed'!X493,'Device Refrigerant Leakage'!$B$2:$B$42,0))))</f>
        <v/>
      </c>
      <c r="DM493" s="56">
        <v>479</v>
      </c>
      <c r="DN493" s="67" t="e">
        <f t="shared" si="602"/>
        <v>#N/A</v>
      </c>
      <c r="DO493" s="45" t="e">
        <f t="shared" si="603"/>
        <v>#N/A</v>
      </c>
      <c r="DP493" s="67" t="e">
        <f t="shared" si="604"/>
        <v>#N/A</v>
      </c>
      <c r="DQ493" s="45" t="e">
        <f t="shared" si="605"/>
        <v>#N/A</v>
      </c>
      <c r="DR493" s="69" t="e">
        <f t="shared" si="606"/>
        <v>#N/A</v>
      </c>
      <c r="DS493" s="34"/>
      <c r="DT493" s="67" t="e">
        <f>((BX493*CJ493)+IF($W493=MAT_AR,(BZ493*CL493),0))*(1+Reference!$E$50+Reference!$E$51)</f>
        <v>#N/A</v>
      </c>
      <c r="DU493" s="67">
        <f>((BY493*CK493)+IF($W493=MAT_AR,(CA493*CM493),0))*(1+Reference!$G$50+Reference!$G$51)</f>
        <v>0</v>
      </c>
      <c r="DV493" s="67" t="e">
        <f t="shared" si="607"/>
        <v>#VALUE!</v>
      </c>
      <c r="DX493" s="56">
        <v>479</v>
      </c>
      <c r="DY493" s="67">
        <f t="shared" si="608"/>
        <v>0</v>
      </c>
      <c r="DZ493" s="45" t="e">
        <f>VLOOKUP($R493,Dropdown!$C$3:$D$4,2,FALSE)</f>
        <v>#N/A</v>
      </c>
      <c r="EA493" s="68">
        <f t="shared" si="609"/>
        <v>0</v>
      </c>
      <c r="EB493" s="68" t="str">
        <f t="shared" si="610"/>
        <v>N/A</v>
      </c>
      <c r="EC493" s="68">
        <f t="shared" si="611"/>
        <v>0</v>
      </c>
      <c r="ED493" s="68" t="str">
        <f t="shared" si="649"/>
        <v>N/A</v>
      </c>
      <c r="EF493" s="56">
        <v>479</v>
      </c>
      <c r="EG493" s="46">
        <f t="shared" si="612"/>
        <v>0</v>
      </c>
      <c r="EH493" s="68" t="e">
        <f t="shared" si="613"/>
        <v>#N/A</v>
      </c>
      <c r="EI493" s="68" t="e">
        <f t="shared" si="614"/>
        <v>#N/A</v>
      </c>
      <c r="EJ493" s="68" t="e">
        <f t="shared" si="615"/>
        <v>#N/A</v>
      </c>
      <c r="EK493" s="68" t="e">
        <f t="shared" si="616"/>
        <v>#N/A</v>
      </c>
      <c r="EL493" s="46">
        <f t="shared" si="617"/>
        <v>0</v>
      </c>
      <c r="EM493" s="46">
        <f t="shared" si="618"/>
        <v>0</v>
      </c>
    </row>
    <row r="494" spans="1:143">
      <c r="A494" s="89"/>
      <c r="B494" s="89"/>
      <c r="C494" s="89"/>
      <c r="D494" s="89"/>
      <c r="E494" s="89"/>
      <c r="F494" s="89"/>
      <c r="G494" s="34"/>
      <c r="H494" s="56">
        <f t="shared" si="619"/>
        <v>480</v>
      </c>
      <c r="I494" s="165"/>
      <c r="J494" s="163"/>
      <c r="K494" s="163"/>
      <c r="L494" s="164"/>
      <c r="M494" s="155"/>
      <c r="N494" s="155"/>
      <c r="O494" s="144"/>
      <c r="P494" s="159" t="str">
        <f>IFERROR(IF(O494&lt;&gt;"User Specified",IF(O494&lt;&gt;"", INDEX('Refrigerant GWPs'!$G$2:$G$154,MATCH(O494,'Refrigerant GWPs'!$A$2:$A$154,0)),""),U494),0)</f>
        <v/>
      </c>
      <c r="Q494" s="155"/>
      <c r="R494" s="155"/>
      <c r="S494" s="144"/>
      <c r="T494" s="159" t="str">
        <f>IF(S494&lt;&gt;"User Specified",IF(AND(S494&lt;&gt;"User Specified",S494&lt;&gt;""), INDEX('Refrigerant GWPs'!$G$2:$G$154,MATCH(S494,'Refrigerant GWPs'!$A$2:$A$154,0)),""),V494)</f>
        <v/>
      </c>
      <c r="U494" s="144"/>
      <c r="V494" s="144"/>
      <c r="W494" s="155"/>
      <c r="X494" s="155"/>
      <c r="Y494" s="144"/>
      <c r="Z494" s="159" t="str">
        <f>IF(AND(Y494&lt;&gt;"User Specified",Y494&lt;&gt;""), INDEX('Refrigerant GWPs'!$G$2:$G$154,MATCH(Y494,'Refrigerant GWPs'!$A$2:$A$154,0)),"")</f>
        <v/>
      </c>
      <c r="AA494" s="155"/>
      <c r="AB494" s="156"/>
      <c r="AC494" s="66"/>
      <c r="AD494" s="66"/>
      <c r="AE494" s="66"/>
      <c r="AF494" s="66"/>
      <c r="AG494" s="66"/>
      <c r="AH494" s="66"/>
      <c r="AI494" s="34"/>
      <c r="AJ494" s="88">
        <f t="shared" si="582"/>
        <v>0</v>
      </c>
      <c r="AK494" s="88">
        <f t="shared" si="583"/>
        <v>0</v>
      </c>
      <c r="AL494" s="88">
        <v>0</v>
      </c>
      <c r="AM494" s="88">
        <v>0</v>
      </c>
      <c r="AN494" s="81" t="str">
        <f t="shared" si="621"/>
        <v/>
      </c>
      <c r="AO494" s="88">
        <f t="shared" si="584"/>
        <v>0</v>
      </c>
      <c r="AP494" s="88">
        <f t="shared" si="585"/>
        <v>0</v>
      </c>
      <c r="AQ494" s="81" t="str">
        <f t="shared" si="586"/>
        <v/>
      </c>
      <c r="AS494" s="41" t="b">
        <f t="shared" si="587"/>
        <v>1</v>
      </c>
      <c r="AT494" s="38">
        <f t="shared" si="588"/>
        <v>0</v>
      </c>
      <c r="AU494" s="60">
        <f t="shared" si="589"/>
        <v>0</v>
      </c>
      <c r="AV494" s="41">
        <f t="shared" si="590"/>
        <v>0</v>
      </c>
      <c r="AW494" s="41" t="b">
        <f t="shared" si="591"/>
        <v>0</v>
      </c>
      <c r="AX494" t="str">
        <f t="shared" si="592"/>
        <v>+00</v>
      </c>
      <c r="AY494" t="str">
        <f t="shared" si="593"/>
        <v>+00</v>
      </c>
      <c r="BA494" s="47" t="b">
        <f t="shared" si="622"/>
        <v>1</v>
      </c>
      <c r="BB494" s="42" t="b">
        <f t="shared" si="623"/>
        <v>1</v>
      </c>
      <c r="BC494" s="42" t="b">
        <f t="shared" si="624"/>
        <v>0</v>
      </c>
      <c r="BD494" s="42" t="b">
        <f t="shared" si="625"/>
        <v>0</v>
      </c>
      <c r="BE494" s="70">
        <f t="shared" si="626"/>
        <v>0</v>
      </c>
      <c r="BF494" s="70">
        <f t="shared" si="627"/>
        <v>0</v>
      </c>
      <c r="BG494" s="34"/>
      <c r="BI494" s="47" t="b">
        <f t="shared" si="628"/>
        <v>1</v>
      </c>
      <c r="BJ494" s="47" t="b">
        <f t="shared" si="629"/>
        <v>1</v>
      </c>
      <c r="BK494" s="42" t="b">
        <f t="shared" si="630"/>
        <v>0</v>
      </c>
      <c r="BL494" s="42" t="b">
        <f t="shared" si="631"/>
        <v>0</v>
      </c>
      <c r="BM494" s="42">
        <f t="shared" si="632"/>
        <v>0</v>
      </c>
      <c r="BN494" s="42">
        <f t="shared" si="633"/>
        <v>0</v>
      </c>
      <c r="BP494" t="e">
        <f t="shared" si="634"/>
        <v>#N/A</v>
      </c>
      <c r="BQ494" t="e">
        <f t="shared" si="635"/>
        <v>#N/A</v>
      </c>
      <c r="BR494" t="e">
        <f t="shared" si="636"/>
        <v>#N/A</v>
      </c>
      <c r="BT494" s="60">
        <f t="shared" si="637"/>
        <v>0</v>
      </c>
      <c r="BU494" s="60">
        <f t="shared" si="638"/>
        <v>0</v>
      </c>
      <c r="BV494" s="60">
        <f t="shared" si="639"/>
        <v>0</v>
      </c>
      <c r="BW494" s="60">
        <f t="shared" si="640"/>
        <v>0</v>
      </c>
      <c r="BX494" s="60">
        <f t="shared" si="641"/>
        <v>0</v>
      </c>
      <c r="BY494" s="60">
        <f t="shared" si="642"/>
        <v>0</v>
      </c>
      <c r="BZ494" s="60">
        <f t="shared" si="643"/>
        <v>0</v>
      </c>
      <c r="CA494" s="60">
        <f t="shared" si="644"/>
        <v>0</v>
      </c>
      <c r="CB494" s="60" t="e">
        <f t="shared" si="594"/>
        <v>#N/A</v>
      </c>
      <c r="CC494" s="60">
        <f t="shared" si="595"/>
        <v>100000</v>
      </c>
      <c r="CD494" s="60" t="e">
        <f t="shared" si="596"/>
        <v>#N/A</v>
      </c>
      <c r="CE494" s="60">
        <f t="shared" si="597"/>
        <v>100000</v>
      </c>
      <c r="CF494" s="83" t="e">
        <f t="shared" si="645"/>
        <v>#N/A</v>
      </c>
      <c r="CG494" s="83">
        <f t="shared" si="646"/>
        <v>0</v>
      </c>
      <c r="CH494" s="83" t="e">
        <f t="shared" si="647"/>
        <v>#N/A</v>
      </c>
      <c r="CI494" s="83">
        <f t="shared" si="648"/>
        <v>0</v>
      </c>
      <c r="CJ494" s="86" t="e">
        <f t="shared" si="598"/>
        <v>#N/A</v>
      </c>
      <c r="CK494" s="82">
        <f t="shared" si="599"/>
        <v>5.3070370403969858E-3</v>
      </c>
      <c r="CL494" s="82" t="e">
        <f t="shared" si="600"/>
        <v>#N/A</v>
      </c>
      <c r="CM494" s="82">
        <f t="shared" si="601"/>
        <v>5.3070370403969858E-3</v>
      </c>
      <c r="CO494" s="149" t="str">
        <f>IF($I494&lt;&gt;"",IF(O494="User Specified",U494,INDEX('Refrigerant GWPs'!$G$2:$G$156,MATCH(O494,'Refrigerant GWPs'!$A$2:$A$156,0))),"")</f>
        <v/>
      </c>
      <c r="CP494" s="138" t="str">
        <f>IF($I494&lt;&gt;"",INDEX('Device Refrigerant Leakage'!$E$2:$E$42,MATCH($M494,'Device Refrigerant Leakage'!$B$2:$B$42,0)),"")</f>
        <v/>
      </c>
      <c r="CQ494" s="138" t="str">
        <f>IF($I494&lt;&gt;"",INDEX('Device Refrigerant Leakage'!$F$2:$F$42,MATCH($M494,'Device Refrigerant Leakage'!$B$2:$B$42,0)),"")</f>
        <v/>
      </c>
      <c r="CR494" s="145" t="str">
        <f>IF($I494&lt;&gt;"",INDEX('Device Refrigerant Leakage'!$G$2:$G$42,MATCH($M494,'Device Refrigerant Leakage'!$B$2:$B$42,0)),"")</f>
        <v/>
      </c>
      <c r="CS494" s="145" t="str">
        <f>IF($I494&lt;&gt;"",INDEX('Device Refrigerant Leakage'!$D$2:$D$42,MATCH($M494,'Device Refrigerant Leakage'!$B$2:$B$42,0))*CP494/2204.62*CO494,"")</f>
        <v/>
      </c>
      <c r="CT494" s="145" t="str">
        <f>IF($I494&lt;&gt;"",J494*(INDEX('Device Refrigerant Leakage'!$D$2:$D$42,MATCH($M494,'Device Refrigerant Leakage'!$B$2:$B$42,0))-(INDEX('Device Refrigerant Leakage'!$D$2:$D$42,MATCH($M494,'Device Refrigerant Leakage'!$B$2:$B$42,0)))*CR494*CP494)*CQ494/2204.62*CO494,"")</f>
        <v/>
      </c>
      <c r="CU494" s="135" t="str">
        <f>IF($I494&lt;&gt;"",J494*IF(W494&lt;&gt;"AR",(CS494*K494)+CT494,(CS494*AB494)+CT494*(AB494/INDEX('Device Refrigerant Leakage'!$C$2:$C$42,MATCH($M494,'Device Refrigerant Leakage'!$B$2:$B$42,0)))),"")</f>
        <v/>
      </c>
      <c r="CW494" s="135" t="str">
        <f>IF($I494&lt;&gt;"",IF(S494="User Specified",V494,INDEX('Refrigerant GWPs'!$G$2:$G$156,MATCH(S494,'Refrigerant GWPs'!$A$2:$A$157,0))),"")</f>
        <v/>
      </c>
      <c r="CX494" s="138" t="str">
        <f>IF($I494&lt;&gt;"",INDEX('Device Refrigerant Leakage'!$E$2:$E$42,MATCH($Q494,'Device Refrigerant Leakage'!$B$2:$B$42,0)),"")</f>
        <v/>
      </c>
      <c r="CY494" s="138" t="str">
        <f>IF($I494&lt;&gt;"",INDEX('Device Refrigerant Leakage'!$F$2:$F$42,MATCH($Q494,'Device Refrigerant Leakage'!$B$2:$B$42,0)),"")</f>
        <v/>
      </c>
      <c r="CZ494" s="145" t="str">
        <f>IF($I494&lt;&gt;"",INDEX('Device Refrigerant Leakage'!$G$2:$G$42,MATCH($Q494,'Device Refrigerant Leakage'!$B$2:$B$42,0)),"")</f>
        <v/>
      </c>
      <c r="DA494" s="145" t="str">
        <f>IF($I494&lt;&gt;"",J494*INDEX('Device Refrigerant Leakage'!$D$2:$D$42,MATCH($Q494,'Device Refrigerant Leakage'!$B$2:$B$42,0))*CX494/2204.62*CW494,"")</f>
        <v/>
      </c>
      <c r="DB494" s="145" t="str">
        <f>IF($I494&lt;&gt;"",J494*(INDEX('Device Refrigerant Leakage'!$D$2:$D$42,MATCH($Q494,'Device Refrigerant Leakage'!$B$2:$B$42,0))-(INDEX('Device Refrigerant Leakage'!$D$2:$D$42,MATCH($Q494,'Device Refrigerant Leakage'!$B$2:$B$42,0)))*CZ494*CX494)*CY494/2204.62*CW494,"")</f>
        <v/>
      </c>
      <c r="DC494" s="135" t="str">
        <f t="shared" si="620"/>
        <v/>
      </c>
      <c r="DE494" s="146" t="str">
        <f>IF(W494&lt;&gt;"AR","",IF(Y494="User Specified", AA494, INDEX('Refrigerant GWPs'!$G$2:$G$154,MATCH(Y494,'Refrigerant GWPs'!$A$2:$A$154,0))))</f>
        <v/>
      </c>
      <c r="DF494" s="146" t="str">
        <f>IF(W494&lt;&gt;"AR","",INDEX('Device Refrigerant Leakage'!$E$2:$E$42,MATCH(X494,'Device Refrigerant Leakage'!$B$2:$B$42,0)))</f>
        <v/>
      </c>
      <c r="DG494" s="146" t="str">
        <f>IF(W494&lt;&gt;"AR","",INDEX('Device Refrigerant Leakage'!$F$2:$F$42,MATCH(X494,'Device Refrigerant Leakage'!$B$2:$B$42,0)))</f>
        <v/>
      </c>
      <c r="DH494" s="146" t="str">
        <f>IF(W494&lt;&gt;"AR","",INDEX('Device Refrigerant Leakage'!$G$2:$G$42,MATCH(X494,'Device Refrigerant Leakage'!$B$2:$B$42,0)))</f>
        <v/>
      </c>
      <c r="DI494" s="146" t="str">
        <f>IF(W494&lt;&gt;"AR","",J494*INDEX('Device Refrigerant Leakage'!$D$2:$D$42,MATCH(X494,'Device Refrigerant Leakage'!$B$2:$B$42,0))*DF494/2204.62*DE494)</f>
        <v/>
      </c>
      <c r="DJ494" s="146" t="str">
        <f>IF(W494&lt;&gt;"AR","",J494*(INDEX('Device Refrigerant Leakage'!$D$2:$D$42,MATCH(X494,'Device Refrigerant Leakage'!$B$2:$B$42,0))-(INDEX('Device Refrigerant Leakage'!$D$2:$D$42,MATCH(X494,'Device Refrigerant Leakage'!$B$2:$B$42,0)))*DH494*DF494)*DG494/2204.62*DE494)</f>
        <v/>
      </c>
      <c r="DK494" s="146" t="str">
        <f>IF(W494&lt;&gt;"AR","",DI494*(K494-AB494)+'Fuel Sub Calcs-Deemed'!DJ494*((K494-AB494)/INDEX('Device Refrigerant Leakage'!$C$2:$C$42,MATCH('Fuel Sub Calcs-Deemed'!X494,'Device Refrigerant Leakage'!$B$2:$B$42,0))))</f>
        <v/>
      </c>
      <c r="DM494" s="56">
        <v>480</v>
      </c>
      <c r="DN494" s="67" t="e">
        <f t="shared" si="602"/>
        <v>#N/A</v>
      </c>
      <c r="DO494" s="45" t="e">
        <f t="shared" si="603"/>
        <v>#N/A</v>
      </c>
      <c r="DP494" s="67" t="e">
        <f t="shared" si="604"/>
        <v>#N/A</v>
      </c>
      <c r="DQ494" s="45" t="e">
        <f t="shared" si="605"/>
        <v>#N/A</v>
      </c>
      <c r="DR494" s="69" t="e">
        <f t="shared" si="606"/>
        <v>#N/A</v>
      </c>
      <c r="DS494" s="34"/>
      <c r="DT494" s="67" t="e">
        <f>((BX494*CJ494)+IF($W494=MAT_AR,(BZ494*CL494),0))*(1+Reference!$E$50+Reference!$E$51)</f>
        <v>#N/A</v>
      </c>
      <c r="DU494" s="67">
        <f>((BY494*CK494)+IF($W494=MAT_AR,(CA494*CM494),0))*(1+Reference!$G$50+Reference!$G$51)</f>
        <v>0</v>
      </c>
      <c r="DV494" s="67" t="e">
        <f t="shared" si="607"/>
        <v>#VALUE!</v>
      </c>
      <c r="DX494" s="56">
        <v>480</v>
      </c>
      <c r="DY494" s="67">
        <f t="shared" si="608"/>
        <v>0</v>
      </c>
      <c r="DZ494" s="45" t="e">
        <f>VLOOKUP($R494,Dropdown!$C$3:$D$4,2,FALSE)</f>
        <v>#N/A</v>
      </c>
      <c r="EA494" s="68">
        <f t="shared" si="609"/>
        <v>0</v>
      </c>
      <c r="EB494" s="68" t="str">
        <f t="shared" si="610"/>
        <v>N/A</v>
      </c>
      <c r="EC494" s="68">
        <f t="shared" si="611"/>
        <v>0</v>
      </c>
      <c r="ED494" s="68" t="str">
        <f t="shared" si="649"/>
        <v>N/A</v>
      </c>
      <c r="EF494" s="56">
        <v>480</v>
      </c>
      <c r="EG494" s="46">
        <f t="shared" si="612"/>
        <v>0</v>
      </c>
      <c r="EH494" s="68" t="e">
        <f t="shared" si="613"/>
        <v>#N/A</v>
      </c>
      <c r="EI494" s="68" t="e">
        <f t="shared" si="614"/>
        <v>#N/A</v>
      </c>
      <c r="EJ494" s="68" t="e">
        <f t="shared" si="615"/>
        <v>#N/A</v>
      </c>
      <c r="EK494" s="68" t="e">
        <f t="shared" si="616"/>
        <v>#N/A</v>
      </c>
      <c r="EL494" s="46">
        <f t="shared" si="617"/>
        <v>0</v>
      </c>
      <c r="EM494" s="46">
        <f t="shared" si="618"/>
        <v>0</v>
      </c>
    </row>
    <row r="495" spans="1:143">
      <c r="A495" s="89"/>
      <c r="B495" s="89"/>
      <c r="C495" s="89"/>
      <c r="D495" s="89"/>
      <c r="E495" s="89"/>
      <c r="F495" s="89"/>
      <c r="G495" s="34"/>
      <c r="H495" s="56">
        <f t="shared" si="619"/>
        <v>481</v>
      </c>
      <c r="I495" s="165"/>
      <c r="J495" s="163"/>
      <c r="K495" s="163"/>
      <c r="L495" s="164"/>
      <c r="M495" s="155"/>
      <c r="N495" s="155"/>
      <c r="O495" s="144"/>
      <c r="P495" s="159" t="str">
        <f>IFERROR(IF(O495&lt;&gt;"User Specified",IF(O495&lt;&gt;"", INDEX('Refrigerant GWPs'!$G$2:$G$154,MATCH(O495,'Refrigerant GWPs'!$A$2:$A$154,0)),""),U495),0)</f>
        <v/>
      </c>
      <c r="Q495" s="155"/>
      <c r="R495" s="155"/>
      <c r="S495" s="144"/>
      <c r="T495" s="159" t="str">
        <f>IF(S495&lt;&gt;"User Specified",IF(AND(S495&lt;&gt;"User Specified",S495&lt;&gt;""), INDEX('Refrigerant GWPs'!$G$2:$G$154,MATCH(S495,'Refrigerant GWPs'!$A$2:$A$154,0)),""),V495)</f>
        <v/>
      </c>
      <c r="U495" s="144"/>
      <c r="V495" s="144"/>
      <c r="W495" s="155"/>
      <c r="X495" s="155"/>
      <c r="Y495" s="144"/>
      <c r="Z495" s="159" t="str">
        <f>IF(AND(Y495&lt;&gt;"User Specified",Y495&lt;&gt;""), INDEX('Refrigerant GWPs'!$G$2:$G$154,MATCH(Y495,'Refrigerant GWPs'!$A$2:$A$154,0)),"")</f>
        <v/>
      </c>
      <c r="AA495" s="155"/>
      <c r="AB495" s="156"/>
      <c r="AC495" s="66"/>
      <c r="AD495" s="66"/>
      <c r="AE495" s="66"/>
      <c r="AF495" s="66"/>
      <c r="AG495" s="66"/>
      <c r="AH495" s="66"/>
      <c r="AI495" s="34"/>
      <c r="AJ495" s="88">
        <f t="shared" si="582"/>
        <v>0</v>
      </c>
      <c r="AK495" s="88">
        <f t="shared" si="583"/>
        <v>0</v>
      </c>
      <c r="AL495" s="88">
        <v>0</v>
      </c>
      <c r="AM495" s="88">
        <v>0</v>
      </c>
      <c r="AN495" s="81" t="str">
        <f t="shared" si="621"/>
        <v/>
      </c>
      <c r="AO495" s="88">
        <f t="shared" si="584"/>
        <v>0</v>
      </c>
      <c r="AP495" s="88">
        <f t="shared" si="585"/>
        <v>0</v>
      </c>
      <c r="AQ495" s="81" t="str">
        <f t="shared" si="586"/>
        <v/>
      </c>
      <c r="AS495" s="41" t="b">
        <f t="shared" si="587"/>
        <v>1</v>
      </c>
      <c r="AT495" s="38">
        <f t="shared" si="588"/>
        <v>0</v>
      </c>
      <c r="AU495" s="60">
        <f t="shared" si="589"/>
        <v>0</v>
      </c>
      <c r="AV495" s="41">
        <f t="shared" si="590"/>
        <v>0</v>
      </c>
      <c r="AW495" s="41" t="b">
        <f t="shared" si="591"/>
        <v>0</v>
      </c>
      <c r="AX495" t="str">
        <f t="shared" si="592"/>
        <v>+00</v>
      </c>
      <c r="AY495" t="str">
        <f t="shared" si="593"/>
        <v>+00</v>
      </c>
      <c r="BA495" s="47" t="b">
        <f t="shared" si="622"/>
        <v>1</v>
      </c>
      <c r="BB495" s="42" t="b">
        <f t="shared" si="623"/>
        <v>1</v>
      </c>
      <c r="BC495" s="42" t="b">
        <f t="shared" si="624"/>
        <v>0</v>
      </c>
      <c r="BD495" s="42" t="b">
        <f t="shared" si="625"/>
        <v>0</v>
      </c>
      <c r="BE495" s="70">
        <f t="shared" si="626"/>
        <v>0</v>
      </c>
      <c r="BF495" s="70">
        <f t="shared" si="627"/>
        <v>0</v>
      </c>
      <c r="BG495" s="34"/>
      <c r="BI495" s="47" t="b">
        <f t="shared" si="628"/>
        <v>1</v>
      </c>
      <c r="BJ495" s="47" t="b">
        <f t="shared" si="629"/>
        <v>1</v>
      </c>
      <c r="BK495" s="42" t="b">
        <f t="shared" si="630"/>
        <v>0</v>
      </c>
      <c r="BL495" s="42" t="b">
        <f t="shared" si="631"/>
        <v>0</v>
      </c>
      <c r="BM495" s="42">
        <f t="shared" si="632"/>
        <v>0</v>
      </c>
      <c r="BN495" s="42">
        <f t="shared" si="633"/>
        <v>0</v>
      </c>
      <c r="BP495" t="e">
        <f t="shared" si="634"/>
        <v>#N/A</v>
      </c>
      <c r="BQ495" t="e">
        <f t="shared" si="635"/>
        <v>#N/A</v>
      </c>
      <c r="BR495" t="e">
        <f t="shared" si="636"/>
        <v>#N/A</v>
      </c>
      <c r="BT495" s="60">
        <f t="shared" si="637"/>
        <v>0</v>
      </c>
      <c r="BU495" s="60">
        <f t="shared" si="638"/>
        <v>0</v>
      </c>
      <c r="BV495" s="60">
        <f t="shared" si="639"/>
        <v>0</v>
      </c>
      <c r="BW495" s="60">
        <f t="shared" si="640"/>
        <v>0</v>
      </c>
      <c r="BX495" s="60">
        <f t="shared" si="641"/>
        <v>0</v>
      </c>
      <c r="BY495" s="60">
        <f t="shared" si="642"/>
        <v>0</v>
      </c>
      <c r="BZ495" s="60">
        <f t="shared" si="643"/>
        <v>0</v>
      </c>
      <c r="CA495" s="60">
        <f t="shared" si="644"/>
        <v>0</v>
      </c>
      <c r="CB495" s="60" t="e">
        <f t="shared" si="594"/>
        <v>#N/A</v>
      </c>
      <c r="CC495" s="60">
        <f t="shared" si="595"/>
        <v>100000</v>
      </c>
      <c r="CD495" s="60" t="e">
        <f t="shared" si="596"/>
        <v>#N/A</v>
      </c>
      <c r="CE495" s="60">
        <f t="shared" si="597"/>
        <v>100000</v>
      </c>
      <c r="CF495" s="83" t="e">
        <f t="shared" si="645"/>
        <v>#N/A</v>
      </c>
      <c r="CG495" s="83">
        <f t="shared" si="646"/>
        <v>0</v>
      </c>
      <c r="CH495" s="83" t="e">
        <f t="shared" si="647"/>
        <v>#N/A</v>
      </c>
      <c r="CI495" s="83">
        <f t="shared" si="648"/>
        <v>0</v>
      </c>
      <c r="CJ495" s="86" t="e">
        <f t="shared" si="598"/>
        <v>#N/A</v>
      </c>
      <c r="CK495" s="82">
        <f t="shared" si="599"/>
        <v>5.3070370403969858E-3</v>
      </c>
      <c r="CL495" s="82" t="e">
        <f t="shared" si="600"/>
        <v>#N/A</v>
      </c>
      <c r="CM495" s="82">
        <f t="shared" si="601"/>
        <v>5.3070370403969858E-3</v>
      </c>
      <c r="CO495" s="149" t="str">
        <f>IF($I495&lt;&gt;"",IF(O495="User Specified",U495,INDEX('Refrigerant GWPs'!$G$2:$G$156,MATCH(O495,'Refrigerant GWPs'!$A$2:$A$156,0))),"")</f>
        <v/>
      </c>
      <c r="CP495" s="138" t="str">
        <f>IF($I495&lt;&gt;"",INDEX('Device Refrigerant Leakage'!$E$2:$E$42,MATCH($M495,'Device Refrigerant Leakage'!$B$2:$B$42,0)),"")</f>
        <v/>
      </c>
      <c r="CQ495" s="138" t="str">
        <f>IF($I495&lt;&gt;"",INDEX('Device Refrigerant Leakage'!$F$2:$F$42,MATCH($M495,'Device Refrigerant Leakage'!$B$2:$B$42,0)),"")</f>
        <v/>
      </c>
      <c r="CR495" s="145" t="str">
        <f>IF($I495&lt;&gt;"",INDEX('Device Refrigerant Leakage'!$G$2:$G$42,MATCH($M495,'Device Refrigerant Leakage'!$B$2:$B$42,0)),"")</f>
        <v/>
      </c>
      <c r="CS495" s="145" t="str">
        <f>IF($I495&lt;&gt;"",INDEX('Device Refrigerant Leakage'!$D$2:$D$42,MATCH($M495,'Device Refrigerant Leakage'!$B$2:$B$42,0))*CP495/2204.62*CO495,"")</f>
        <v/>
      </c>
      <c r="CT495" s="145" t="str">
        <f>IF($I495&lt;&gt;"",J495*(INDEX('Device Refrigerant Leakage'!$D$2:$D$42,MATCH($M495,'Device Refrigerant Leakage'!$B$2:$B$42,0))-(INDEX('Device Refrigerant Leakage'!$D$2:$D$42,MATCH($M495,'Device Refrigerant Leakage'!$B$2:$B$42,0)))*CR495*CP495)*CQ495/2204.62*CO495,"")</f>
        <v/>
      </c>
      <c r="CU495" s="135" t="str">
        <f>IF($I495&lt;&gt;"",J495*IF(W495&lt;&gt;"AR",(CS495*K495)+CT495,(CS495*AB495)+CT495*(AB495/INDEX('Device Refrigerant Leakage'!$C$2:$C$42,MATCH($M495,'Device Refrigerant Leakage'!$B$2:$B$42,0)))),"")</f>
        <v/>
      </c>
      <c r="CW495" s="135" t="str">
        <f>IF($I495&lt;&gt;"",IF(S495="User Specified",V495,INDEX('Refrigerant GWPs'!$G$2:$G$156,MATCH(S495,'Refrigerant GWPs'!$A$2:$A$157,0))),"")</f>
        <v/>
      </c>
      <c r="CX495" s="138" t="str">
        <f>IF($I495&lt;&gt;"",INDEX('Device Refrigerant Leakage'!$E$2:$E$42,MATCH($Q495,'Device Refrigerant Leakage'!$B$2:$B$42,0)),"")</f>
        <v/>
      </c>
      <c r="CY495" s="138" t="str">
        <f>IF($I495&lt;&gt;"",INDEX('Device Refrigerant Leakage'!$F$2:$F$42,MATCH($Q495,'Device Refrigerant Leakage'!$B$2:$B$42,0)),"")</f>
        <v/>
      </c>
      <c r="CZ495" s="145" t="str">
        <f>IF($I495&lt;&gt;"",INDEX('Device Refrigerant Leakage'!$G$2:$G$42,MATCH($Q495,'Device Refrigerant Leakage'!$B$2:$B$42,0)),"")</f>
        <v/>
      </c>
      <c r="DA495" s="145" t="str">
        <f>IF($I495&lt;&gt;"",J495*INDEX('Device Refrigerant Leakage'!$D$2:$D$42,MATCH($Q495,'Device Refrigerant Leakage'!$B$2:$B$42,0))*CX495/2204.62*CW495,"")</f>
        <v/>
      </c>
      <c r="DB495" s="145" t="str">
        <f>IF($I495&lt;&gt;"",J495*(INDEX('Device Refrigerant Leakage'!$D$2:$D$42,MATCH($Q495,'Device Refrigerant Leakage'!$B$2:$B$42,0))-(INDEX('Device Refrigerant Leakage'!$D$2:$D$42,MATCH($Q495,'Device Refrigerant Leakage'!$B$2:$B$42,0)))*CZ495*CX495)*CY495/2204.62*CW495,"")</f>
        <v/>
      </c>
      <c r="DC495" s="135" t="str">
        <f t="shared" si="620"/>
        <v/>
      </c>
      <c r="DE495" s="146" t="str">
        <f>IF(W495&lt;&gt;"AR","",IF(Y495="User Specified", AA495, INDEX('Refrigerant GWPs'!$G$2:$G$154,MATCH(Y495,'Refrigerant GWPs'!$A$2:$A$154,0))))</f>
        <v/>
      </c>
      <c r="DF495" s="146" t="str">
        <f>IF(W495&lt;&gt;"AR","",INDEX('Device Refrigerant Leakage'!$E$2:$E$42,MATCH(X495,'Device Refrigerant Leakage'!$B$2:$B$42,0)))</f>
        <v/>
      </c>
      <c r="DG495" s="146" t="str">
        <f>IF(W495&lt;&gt;"AR","",INDEX('Device Refrigerant Leakage'!$F$2:$F$42,MATCH(X495,'Device Refrigerant Leakage'!$B$2:$B$42,0)))</f>
        <v/>
      </c>
      <c r="DH495" s="146" t="str">
        <f>IF(W495&lt;&gt;"AR","",INDEX('Device Refrigerant Leakage'!$G$2:$G$42,MATCH(X495,'Device Refrigerant Leakage'!$B$2:$B$42,0)))</f>
        <v/>
      </c>
      <c r="DI495" s="146" t="str">
        <f>IF(W495&lt;&gt;"AR","",J495*INDEX('Device Refrigerant Leakage'!$D$2:$D$42,MATCH(X495,'Device Refrigerant Leakage'!$B$2:$B$42,0))*DF495/2204.62*DE495)</f>
        <v/>
      </c>
      <c r="DJ495" s="146" t="str">
        <f>IF(W495&lt;&gt;"AR","",J495*(INDEX('Device Refrigerant Leakage'!$D$2:$D$42,MATCH(X495,'Device Refrigerant Leakage'!$B$2:$B$42,0))-(INDEX('Device Refrigerant Leakage'!$D$2:$D$42,MATCH(X495,'Device Refrigerant Leakage'!$B$2:$B$42,0)))*DH495*DF495)*DG495/2204.62*DE495)</f>
        <v/>
      </c>
      <c r="DK495" s="146" t="str">
        <f>IF(W495&lt;&gt;"AR","",DI495*(K495-AB495)+'Fuel Sub Calcs-Deemed'!DJ495*((K495-AB495)/INDEX('Device Refrigerant Leakage'!$C$2:$C$42,MATCH('Fuel Sub Calcs-Deemed'!X495,'Device Refrigerant Leakage'!$B$2:$B$42,0))))</f>
        <v/>
      </c>
      <c r="DM495" s="56">
        <v>481</v>
      </c>
      <c r="DN495" s="67" t="e">
        <f t="shared" si="602"/>
        <v>#N/A</v>
      </c>
      <c r="DO495" s="45" t="e">
        <f t="shared" si="603"/>
        <v>#N/A</v>
      </c>
      <c r="DP495" s="67" t="e">
        <f t="shared" si="604"/>
        <v>#N/A</v>
      </c>
      <c r="DQ495" s="45" t="e">
        <f t="shared" si="605"/>
        <v>#N/A</v>
      </c>
      <c r="DR495" s="69" t="e">
        <f t="shared" si="606"/>
        <v>#N/A</v>
      </c>
      <c r="DS495" s="34"/>
      <c r="DT495" s="67" t="e">
        <f>((BX495*CJ495)+IF($W495=MAT_AR,(BZ495*CL495),0))*(1+Reference!$E$50+Reference!$E$51)</f>
        <v>#N/A</v>
      </c>
      <c r="DU495" s="67">
        <f>((BY495*CK495)+IF($W495=MAT_AR,(CA495*CM495),0))*(1+Reference!$G$50+Reference!$G$51)</f>
        <v>0</v>
      </c>
      <c r="DV495" s="67" t="e">
        <f t="shared" si="607"/>
        <v>#VALUE!</v>
      </c>
      <c r="DX495" s="56">
        <v>481</v>
      </c>
      <c r="DY495" s="67">
        <f t="shared" si="608"/>
        <v>0</v>
      </c>
      <c r="DZ495" s="45" t="e">
        <f>VLOOKUP($R495,Dropdown!$C$3:$D$4,2,FALSE)</f>
        <v>#N/A</v>
      </c>
      <c r="EA495" s="68">
        <f t="shared" si="609"/>
        <v>0</v>
      </c>
      <c r="EB495" s="68" t="str">
        <f t="shared" si="610"/>
        <v>N/A</v>
      </c>
      <c r="EC495" s="68">
        <f t="shared" si="611"/>
        <v>0</v>
      </c>
      <c r="ED495" s="68" t="str">
        <f t="shared" si="649"/>
        <v>N/A</v>
      </c>
      <c r="EF495" s="56">
        <v>481</v>
      </c>
      <c r="EG495" s="46">
        <f t="shared" si="612"/>
        <v>0</v>
      </c>
      <c r="EH495" s="68" t="e">
        <f t="shared" si="613"/>
        <v>#N/A</v>
      </c>
      <c r="EI495" s="68" t="e">
        <f t="shared" si="614"/>
        <v>#N/A</v>
      </c>
      <c r="EJ495" s="68" t="e">
        <f t="shared" si="615"/>
        <v>#N/A</v>
      </c>
      <c r="EK495" s="68" t="e">
        <f t="shared" si="616"/>
        <v>#N/A</v>
      </c>
      <c r="EL495" s="46">
        <f t="shared" si="617"/>
        <v>0</v>
      </c>
      <c r="EM495" s="46">
        <f t="shared" si="618"/>
        <v>0</v>
      </c>
    </row>
    <row r="496" spans="1:143">
      <c r="A496" s="89"/>
      <c r="B496" s="89"/>
      <c r="C496" s="89"/>
      <c r="D496" s="89"/>
      <c r="E496" s="89"/>
      <c r="F496" s="89"/>
      <c r="G496" s="34"/>
      <c r="H496" s="56">
        <f t="shared" si="619"/>
        <v>482</v>
      </c>
      <c r="I496" s="165"/>
      <c r="J496" s="163"/>
      <c r="K496" s="163"/>
      <c r="L496" s="164"/>
      <c r="M496" s="155"/>
      <c r="N496" s="155"/>
      <c r="O496" s="144"/>
      <c r="P496" s="159" t="str">
        <f>IFERROR(IF(O496&lt;&gt;"User Specified",IF(O496&lt;&gt;"", INDEX('Refrigerant GWPs'!$G$2:$G$154,MATCH(O496,'Refrigerant GWPs'!$A$2:$A$154,0)),""),U496),0)</f>
        <v/>
      </c>
      <c r="Q496" s="155"/>
      <c r="R496" s="155"/>
      <c r="S496" s="144"/>
      <c r="T496" s="159" t="str">
        <f>IF(S496&lt;&gt;"User Specified",IF(AND(S496&lt;&gt;"User Specified",S496&lt;&gt;""), INDEX('Refrigerant GWPs'!$G$2:$G$154,MATCH(S496,'Refrigerant GWPs'!$A$2:$A$154,0)),""),V496)</f>
        <v/>
      </c>
      <c r="U496" s="144"/>
      <c r="V496" s="144"/>
      <c r="W496" s="155"/>
      <c r="X496" s="155"/>
      <c r="Y496" s="144"/>
      <c r="Z496" s="159" t="str">
        <f>IF(AND(Y496&lt;&gt;"User Specified",Y496&lt;&gt;""), INDEX('Refrigerant GWPs'!$G$2:$G$154,MATCH(Y496,'Refrigerant GWPs'!$A$2:$A$154,0)),"")</f>
        <v/>
      </c>
      <c r="AA496" s="155"/>
      <c r="AB496" s="156"/>
      <c r="AC496" s="66"/>
      <c r="AD496" s="66"/>
      <c r="AE496" s="66"/>
      <c r="AF496" s="66"/>
      <c r="AG496" s="66"/>
      <c r="AH496" s="66"/>
      <c r="AI496" s="34"/>
      <c r="AJ496" s="88">
        <f t="shared" si="582"/>
        <v>0</v>
      </c>
      <c r="AK496" s="88">
        <f t="shared" si="583"/>
        <v>0</v>
      </c>
      <c r="AL496" s="88">
        <v>0</v>
      </c>
      <c r="AM496" s="88">
        <v>0</v>
      </c>
      <c r="AN496" s="81" t="str">
        <f t="shared" si="621"/>
        <v/>
      </c>
      <c r="AO496" s="88">
        <f t="shared" si="584"/>
        <v>0</v>
      </c>
      <c r="AP496" s="88">
        <f t="shared" si="585"/>
        <v>0</v>
      </c>
      <c r="AQ496" s="81" t="str">
        <f t="shared" si="586"/>
        <v/>
      </c>
      <c r="AS496" s="41" t="b">
        <f t="shared" si="587"/>
        <v>1</v>
      </c>
      <c r="AT496" s="38">
        <f t="shared" si="588"/>
        <v>0</v>
      </c>
      <c r="AU496" s="60">
        <f t="shared" si="589"/>
        <v>0</v>
      </c>
      <c r="AV496" s="41">
        <f t="shared" si="590"/>
        <v>0</v>
      </c>
      <c r="AW496" s="41" t="b">
        <f t="shared" si="591"/>
        <v>0</v>
      </c>
      <c r="AX496" t="str">
        <f t="shared" si="592"/>
        <v>+00</v>
      </c>
      <c r="AY496" t="str">
        <f t="shared" si="593"/>
        <v>+00</v>
      </c>
      <c r="BA496" s="47" t="b">
        <f t="shared" si="622"/>
        <v>1</v>
      </c>
      <c r="BB496" s="42" t="b">
        <f t="shared" si="623"/>
        <v>1</v>
      </c>
      <c r="BC496" s="42" t="b">
        <f t="shared" si="624"/>
        <v>0</v>
      </c>
      <c r="BD496" s="42" t="b">
        <f t="shared" si="625"/>
        <v>0</v>
      </c>
      <c r="BE496" s="70">
        <f t="shared" si="626"/>
        <v>0</v>
      </c>
      <c r="BF496" s="70">
        <f t="shared" si="627"/>
        <v>0</v>
      </c>
      <c r="BG496" s="34"/>
      <c r="BI496" s="47" t="b">
        <f t="shared" si="628"/>
        <v>1</v>
      </c>
      <c r="BJ496" s="47" t="b">
        <f t="shared" si="629"/>
        <v>1</v>
      </c>
      <c r="BK496" s="42" t="b">
        <f t="shared" si="630"/>
        <v>0</v>
      </c>
      <c r="BL496" s="42" t="b">
        <f t="shared" si="631"/>
        <v>0</v>
      </c>
      <c r="BM496" s="42">
        <f t="shared" si="632"/>
        <v>0</v>
      </c>
      <c r="BN496" s="42">
        <f t="shared" si="633"/>
        <v>0</v>
      </c>
      <c r="BP496" t="e">
        <f t="shared" si="634"/>
        <v>#N/A</v>
      </c>
      <c r="BQ496" t="e">
        <f t="shared" si="635"/>
        <v>#N/A</v>
      </c>
      <c r="BR496" t="e">
        <f t="shared" si="636"/>
        <v>#N/A</v>
      </c>
      <c r="BT496" s="60">
        <f t="shared" si="637"/>
        <v>0</v>
      </c>
      <c r="BU496" s="60">
        <f t="shared" si="638"/>
        <v>0</v>
      </c>
      <c r="BV496" s="60">
        <f t="shared" si="639"/>
        <v>0</v>
      </c>
      <c r="BW496" s="60">
        <f t="shared" si="640"/>
        <v>0</v>
      </c>
      <c r="BX496" s="60">
        <f t="shared" si="641"/>
        <v>0</v>
      </c>
      <c r="BY496" s="60">
        <f t="shared" si="642"/>
        <v>0</v>
      </c>
      <c r="BZ496" s="60">
        <f t="shared" si="643"/>
        <v>0</v>
      </c>
      <c r="CA496" s="60">
        <f t="shared" si="644"/>
        <v>0</v>
      </c>
      <c r="CB496" s="60" t="e">
        <f t="shared" si="594"/>
        <v>#N/A</v>
      </c>
      <c r="CC496" s="60">
        <f t="shared" si="595"/>
        <v>100000</v>
      </c>
      <c r="CD496" s="60" t="e">
        <f t="shared" si="596"/>
        <v>#N/A</v>
      </c>
      <c r="CE496" s="60">
        <f t="shared" si="597"/>
        <v>100000</v>
      </c>
      <c r="CF496" s="83" t="e">
        <f t="shared" si="645"/>
        <v>#N/A</v>
      </c>
      <c r="CG496" s="83">
        <f t="shared" si="646"/>
        <v>0</v>
      </c>
      <c r="CH496" s="83" t="e">
        <f t="shared" si="647"/>
        <v>#N/A</v>
      </c>
      <c r="CI496" s="83">
        <f t="shared" si="648"/>
        <v>0</v>
      </c>
      <c r="CJ496" s="86" t="e">
        <f t="shared" si="598"/>
        <v>#N/A</v>
      </c>
      <c r="CK496" s="82">
        <f t="shared" si="599"/>
        <v>5.3070370403969858E-3</v>
      </c>
      <c r="CL496" s="82" t="e">
        <f t="shared" si="600"/>
        <v>#N/A</v>
      </c>
      <c r="CM496" s="82">
        <f t="shared" si="601"/>
        <v>5.3070370403969858E-3</v>
      </c>
      <c r="CO496" s="149" t="str">
        <f>IF($I496&lt;&gt;"",IF(O496="User Specified",U496,INDEX('Refrigerant GWPs'!$G$2:$G$156,MATCH(O496,'Refrigerant GWPs'!$A$2:$A$156,0))),"")</f>
        <v/>
      </c>
      <c r="CP496" s="138" t="str">
        <f>IF($I496&lt;&gt;"",INDEX('Device Refrigerant Leakage'!$E$2:$E$42,MATCH($M496,'Device Refrigerant Leakage'!$B$2:$B$42,0)),"")</f>
        <v/>
      </c>
      <c r="CQ496" s="138" t="str">
        <f>IF($I496&lt;&gt;"",INDEX('Device Refrigerant Leakage'!$F$2:$F$42,MATCH($M496,'Device Refrigerant Leakage'!$B$2:$B$42,0)),"")</f>
        <v/>
      </c>
      <c r="CR496" s="145" t="str">
        <f>IF($I496&lt;&gt;"",INDEX('Device Refrigerant Leakage'!$G$2:$G$42,MATCH($M496,'Device Refrigerant Leakage'!$B$2:$B$42,0)),"")</f>
        <v/>
      </c>
      <c r="CS496" s="145" t="str">
        <f>IF($I496&lt;&gt;"",INDEX('Device Refrigerant Leakage'!$D$2:$D$42,MATCH($M496,'Device Refrigerant Leakage'!$B$2:$B$42,0))*CP496/2204.62*CO496,"")</f>
        <v/>
      </c>
      <c r="CT496" s="145" t="str">
        <f>IF($I496&lt;&gt;"",J496*(INDEX('Device Refrigerant Leakage'!$D$2:$D$42,MATCH($M496,'Device Refrigerant Leakage'!$B$2:$B$42,0))-(INDEX('Device Refrigerant Leakage'!$D$2:$D$42,MATCH($M496,'Device Refrigerant Leakage'!$B$2:$B$42,0)))*CR496*CP496)*CQ496/2204.62*CO496,"")</f>
        <v/>
      </c>
      <c r="CU496" s="135" t="str">
        <f>IF($I496&lt;&gt;"",J496*IF(W496&lt;&gt;"AR",(CS496*K496)+CT496,(CS496*AB496)+CT496*(AB496/INDEX('Device Refrigerant Leakage'!$C$2:$C$42,MATCH($M496,'Device Refrigerant Leakage'!$B$2:$B$42,0)))),"")</f>
        <v/>
      </c>
      <c r="CW496" s="135" t="str">
        <f>IF($I496&lt;&gt;"",IF(S496="User Specified",V496,INDEX('Refrigerant GWPs'!$G$2:$G$156,MATCH(S496,'Refrigerant GWPs'!$A$2:$A$157,0))),"")</f>
        <v/>
      </c>
      <c r="CX496" s="138" t="str">
        <f>IF($I496&lt;&gt;"",INDEX('Device Refrigerant Leakage'!$E$2:$E$42,MATCH($Q496,'Device Refrigerant Leakage'!$B$2:$B$42,0)),"")</f>
        <v/>
      </c>
      <c r="CY496" s="138" t="str">
        <f>IF($I496&lt;&gt;"",INDEX('Device Refrigerant Leakage'!$F$2:$F$42,MATCH($Q496,'Device Refrigerant Leakage'!$B$2:$B$42,0)),"")</f>
        <v/>
      </c>
      <c r="CZ496" s="145" t="str">
        <f>IF($I496&lt;&gt;"",INDEX('Device Refrigerant Leakage'!$G$2:$G$42,MATCH($Q496,'Device Refrigerant Leakage'!$B$2:$B$42,0)),"")</f>
        <v/>
      </c>
      <c r="DA496" s="145" t="str">
        <f>IF($I496&lt;&gt;"",J496*INDEX('Device Refrigerant Leakage'!$D$2:$D$42,MATCH($Q496,'Device Refrigerant Leakage'!$B$2:$B$42,0))*CX496/2204.62*CW496,"")</f>
        <v/>
      </c>
      <c r="DB496" s="145" t="str">
        <f>IF($I496&lt;&gt;"",J496*(INDEX('Device Refrigerant Leakage'!$D$2:$D$42,MATCH($Q496,'Device Refrigerant Leakage'!$B$2:$B$42,0))-(INDEX('Device Refrigerant Leakage'!$D$2:$D$42,MATCH($Q496,'Device Refrigerant Leakage'!$B$2:$B$42,0)))*CZ496*CX496)*CY496/2204.62*CW496,"")</f>
        <v/>
      </c>
      <c r="DC496" s="135" t="str">
        <f t="shared" si="620"/>
        <v/>
      </c>
      <c r="DE496" s="146" t="str">
        <f>IF(W496&lt;&gt;"AR","",IF(Y496="User Specified", AA496, INDEX('Refrigerant GWPs'!$G$2:$G$154,MATCH(Y496,'Refrigerant GWPs'!$A$2:$A$154,0))))</f>
        <v/>
      </c>
      <c r="DF496" s="146" t="str">
        <f>IF(W496&lt;&gt;"AR","",INDEX('Device Refrigerant Leakage'!$E$2:$E$42,MATCH(X496,'Device Refrigerant Leakage'!$B$2:$B$42,0)))</f>
        <v/>
      </c>
      <c r="DG496" s="146" t="str">
        <f>IF(W496&lt;&gt;"AR","",INDEX('Device Refrigerant Leakage'!$F$2:$F$42,MATCH(X496,'Device Refrigerant Leakage'!$B$2:$B$42,0)))</f>
        <v/>
      </c>
      <c r="DH496" s="146" t="str">
        <f>IF(W496&lt;&gt;"AR","",INDEX('Device Refrigerant Leakage'!$G$2:$G$42,MATCH(X496,'Device Refrigerant Leakage'!$B$2:$B$42,0)))</f>
        <v/>
      </c>
      <c r="DI496" s="146" t="str">
        <f>IF(W496&lt;&gt;"AR","",J496*INDEX('Device Refrigerant Leakage'!$D$2:$D$42,MATCH(X496,'Device Refrigerant Leakage'!$B$2:$B$42,0))*DF496/2204.62*DE496)</f>
        <v/>
      </c>
      <c r="DJ496" s="146" t="str">
        <f>IF(W496&lt;&gt;"AR","",J496*(INDEX('Device Refrigerant Leakage'!$D$2:$D$42,MATCH(X496,'Device Refrigerant Leakage'!$B$2:$B$42,0))-(INDEX('Device Refrigerant Leakage'!$D$2:$D$42,MATCH(X496,'Device Refrigerant Leakage'!$B$2:$B$42,0)))*DH496*DF496)*DG496/2204.62*DE496)</f>
        <v/>
      </c>
      <c r="DK496" s="146" t="str">
        <f>IF(W496&lt;&gt;"AR","",DI496*(K496-AB496)+'Fuel Sub Calcs-Deemed'!DJ496*((K496-AB496)/INDEX('Device Refrigerant Leakage'!$C$2:$C$42,MATCH('Fuel Sub Calcs-Deemed'!X496,'Device Refrigerant Leakage'!$B$2:$B$42,0))))</f>
        <v/>
      </c>
      <c r="DM496" s="56">
        <v>482</v>
      </c>
      <c r="DN496" s="67" t="e">
        <f t="shared" si="602"/>
        <v>#N/A</v>
      </c>
      <c r="DO496" s="45" t="e">
        <f t="shared" si="603"/>
        <v>#N/A</v>
      </c>
      <c r="DP496" s="67" t="e">
        <f t="shared" si="604"/>
        <v>#N/A</v>
      </c>
      <c r="DQ496" s="45" t="e">
        <f t="shared" si="605"/>
        <v>#N/A</v>
      </c>
      <c r="DR496" s="69" t="e">
        <f t="shared" si="606"/>
        <v>#N/A</v>
      </c>
      <c r="DS496" s="34"/>
      <c r="DT496" s="67" t="e">
        <f>((BX496*CJ496)+IF($W496=MAT_AR,(BZ496*CL496),0))*(1+Reference!$E$50+Reference!$E$51)</f>
        <v>#N/A</v>
      </c>
      <c r="DU496" s="67">
        <f>((BY496*CK496)+IF($W496=MAT_AR,(CA496*CM496),0))*(1+Reference!$G$50+Reference!$G$51)</f>
        <v>0</v>
      </c>
      <c r="DV496" s="67" t="e">
        <f t="shared" si="607"/>
        <v>#VALUE!</v>
      </c>
      <c r="DX496" s="56">
        <v>482</v>
      </c>
      <c r="DY496" s="67">
        <f t="shared" si="608"/>
        <v>0</v>
      </c>
      <c r="DZ496" s="45" t="e">
        <f>VLOOKUP($R496,Dropdown!$C$3:$D$4,2,FALSE)</f>
        <v>#N/A</v>
      </c>
      <c r="EA496" s="68">
        <f t="shared" si="609"/>
        <v>0</v>
      </c>
      <c r="EB496" s="68" t="str">
        <f t="shared" si="610"/>
        <v>N/A</v>
      </c>
      <c r="EC496" s="68">
        <f t="shared" si="611"/>
        <v>0</v>
      </c>
      <c r="ED496" s="68" t="str">
        <f t="shared" si="649"/>
        <v>N/A</v>
      </c>
      <c r="EF496" s="56">
        <v>482</v>
      </c>
      <c r="EG496" s="46">
        <f t="shared" si="612"/>
        <v>0</v>
      </c>
      <c r="EH496" s="68" t="e">
        <f t="shared" si="613"/>
        <v>#N/A</v>
      </c>
      <c r="EI496" s="68" t="e">
        <f t="shared" si="614"/>
        <v>#N/A</v>
      </c>
      <c r="EJ496" s="68" t="e">
        <f t="shared" si="615"/>
        <v>#N/A</v>
      </c>
      <c r="EK496" s="68" t="e">
        <f t="shared" si="616"/>
        <v>#N/A</v>
      </c>
      <c r="EL496" s="46">
        <f t="shared" si="617"/>
        <v>0</v>
      </c>
      <c r="EM496" s="46">
        <f t="shared" si="618"/>
        <v>0</v>
      </c>
    </row>
    <row r="497" spans="1:143">
      <c r="A497" s="89"/>
      <c r="B497" s="89"/>
      <c r="C497" s="89"/>
      <c r="D497" s="89"/>
      <c r="E497" s="89"/>
      <c r="F497" s="89"/>
      <c r="G497" s="34"/>
      <c r="H497" s="56">
        <f t="shared" si="619"/>
        <v>483</v>
      </c>
      <c r="I497" s="165"/>
      <c r="J497" s="163"/>
      <c r="K497" s="163"/>
      <c r="L497" s="164"/>
      <c r="M497" s="155"/>
      <c r="N497" s="155"/>
      <c r="O497" s="144"/>
      <c r="P497" s="159" t="str">
        <f>IFERROR(IF(O497&lt;&gt;"User Specified",IF(O497&lt;&gt;"", INDEX('Refrigerant GWPs'!$G$2:$G$154,MATCH(O497,'Refrigerant GWPs'!$A$2:$A$154,0)),""),U497),0)</f>
        <v/>
      </c>
      <c r="Q497" s="155"/>
      <c r="R497" s="155"/>
      <c r="S497" s="144"/>
      <c r="T497" s="159" t="str">
        <f>IF(S497&lt;&gt;"User Specified",IF(AND(S497&lt;&gt;"User Specified",S497&lt;&gt;""), INDEX('Refrigerant GWPs'!$G$2:$G$154,MATCH(S497,'Refrigerant GWPs'!$A$2:$A$154,0)),""),V497)</f>
        <v/>
      </c>
      <c r="U497" s="144"/>
      <c r="V497" s="144"/>
      <c r="W497" s="155"/>
      <c r="X497" s="155"/>
      <c r="Y497" s="144"/>
      <c r="Z497" s="159" t="str">
        <f>IF(AND(Y497&lt;&gt;"User Specified",Y497&lt;&gt;""), INDEX('Refrigerant GWPs'!$G$2:$G$154,MATCH(Y497,'Refrigerant GWPs'!$A$2:$A$154,0)),"")</f>
        <v/>
      </c>
      <c r="AA497" s="155"/>
      <c r="AB497" s="156"/>
      <c r="AC497" s="66"/>
      <c r="AD497" s="66"/>
      <c r="AE497" s="66"/>
      <c r="AF497" s="66"/>
      <c r="AG497" s="66"/>
      <c r="AH497" s="66"/>
      <c r="AI497" s="34"/>
      <c r="AJ497" s="88">
        <f t="shared" si="582"/>
        <v>0</v>
      </c>
      <c r="AK497" s="88">
        <f t="shared" si="583"/>
        <v>0</v>
      </c>
      <c r="AL497" s="88">
        <v>0</v>
      </c>
      <c r="AM497" s="88">
        <v>0</v>
      </c>
      <c r="AN497" s="81" t="str">
        <f t="shared" si="621"/>
        <v/>
      </c>
      <c r="AO497" s="88">
        <f t="shared" si="584"/>
        <v>0</v>
      </c>
      <c r="AP497" s="88">
        <f t="shared" si="585"/>
        <v>0</v>
      </c>
      <c r="AQ497" s="81" t="str">
        <f t="shared" si="586"/>
        <v/>
      </c>
      <c r="AS497" s="41" t="b">
        <f t="shared" si="587"/>
        <v>1</v>
      </c>
      <c r="AT497" s="38">
        <f t="shared" si="588"/>
        <v>0</v>
      </c>
      <c r="AU497" s="60">
        <f t="shared" si="589"/>
        <v>0</v>
      </c>
      <c r="AV497" s="41">
        <f t="shared" si="590"/>
        <v>0</v>
      </c>
      <c r="AW497" s="41" t="b">
        <f t="shared" si="591"/>
        <v>0</v>
      </c>
      <c r="AX497" t="str">
        <f t="shared" si="592"/>
        <v>+00</v>
      </c>
      <c r="AY497" t="str">
        <f t="shared" si="593"/>
        <v>+00</v>
      </c>
      <c r="BA497" s="47" t="b">
        <f t="shared" si="622"/>
        <v>1</v>
      </c>
      <c r="BB497" s="42" t="b">
        <f t="shared" si="623"/>
        <v>1</v>
      </c>
      <c r="BC497" s="42" t="b">
        <f t="shared" si="624"/>
        <v>0</v>
      </c>
      <c r="BD497" s="42" t="b">
        <f t="shared" si="625"/>
        <v>0</v>
      </c>
      <c r="BE497" s="70">
        <f t="shared" si="626"/>
        <v>0</v>
      </c>
      <c r="BF497" s="70">
        <f t="shared" si="627"/>
        <v>0</v>
      </c>
      <c r="BG497" s="34"/>
      <c r="BI497" s="47" t="b">
        <f t="shared" si="628"/>
        <v>1</v>
      </c>
      <c r="BJ497" s="47" t="b">
        <f t="shared" si="629"/>
        <v>1</v>
      </c>
      <c r="BK497" s="42" t="b">
        <f t="shared" si="630"/>
        <v>0</v>
      </c>
      <c r="BL497" s="42" t="b">
        <f t="shared" si="631"/>
        <v>0</v>
      </c>
      <c r="BM497" s="42">
        <f t="shared" si="632"/>
        <v>0</v>
      </c>
      <c r="BN497" s="42">
        <f t="shared" si="633"/>
        <v>0</v>
      </c>
      <c r="BP497" t="e">
        <f t="shared" si="634"/>
        <v>#N/A</v>
      </c>
      <c r="BQ497" t="e">
        <f t="shared" si="635"/>
        <v>#N/A</v>
      </c>
      <c r="BR497" t="e">
        <f t="shared" si="636"/>
        <v>#N/A</v>
      </c>
      <c r="BT497" s="60">
        <f t="shared" si="637"/>
        <v>0</v>
      </c>
      <c r="BU497" s="60">
        <f t="shared" si="638"/>
        <v>0</v>
      </c>
      <c r="BV497" s="60">
        <f t="shared" si="639"/>
        <v>0</v>
      </c>
      <c r="BW497" s="60">
        <f t="shared" si="640"/>
        <v>0</v>
      </c>
      <c r="BX497" s="60">
        <f t="shared" si="641"/>
        <v>0</v>
      </c>
      <c r="BY497" s="60">
        <f t="shared" si="642"/>
        <v>0</v>
      </c>
      <c r="BZ497" s="60">
        <f t="shared" si="643"/>
        <v>0</v>
      </c>
      <c r="CA497" s="60">
        <f t="shared" si="644"/>
        <v>0</v>
      </c>
      <c r="CB497" s="60" t="e">
        <f t="shared" si="594"/>
        <v>#N/A</v>
      </c>
      <c r="CC497" s="60">
        <f t="shared" si="595"/>
        <v>100000</v>
      </c>
      <c r="CD497" s="60" t="e">
        <f t="shared" si="596"/>
        <v>#N/A</v>
      </c>
      <c r="CE497" s="60">
        <f t="shared" si="597"/>
        <v>100000</v>
      </c>
      <c r="CF497" s="83" t="e">
        <f t="shared" si="645"/>
        <v>#N/A</v>
      </c>
      <c r="CG497" s="83">
        <f t="shared" si="646"/>
        <v>0</v>
      </c>
      <c r="CH497" s="83" t="e">
        <f t="shared" si="647"/>
        <v>#N/A</v>
      </c>
      <c r="CI497" s="83">
        <f t="shared" si="648"/>
        <v>0</v>
      </c>
      <c r="CJ497" s="86" t="e">
        <f t="shared" si="598"/>
        <v>#N/A</v>
      </c>
      <c r="CK497" s="82">
        <f t="shared" si="599"/>
        <v>5.3070370403969858E-3</v>
      </c>
      <c r="CL497" s="82" t="e">
        <f t="shared" si="600"/>
        <v>#N/A</v>
      </c>
      <c r="CM497" s="82">
        <f t="shared" si="601"/>
        <v>5.3070370403969858E-3</v>
      </c>
      <c r="CO497" s="149" t="str">
        <f>IF($I497&lt;&gt;"",IF(O497="User Specified",U497,INDEX('Refrigerant GWPs'!$G$2:$G$156,MATCH(O497,'Refrigerant GWPs'!$A$2:$A$156,0))),"")</f>
        <v/>
      </c>
      <c r="CP497" s="138" t="str">
        <f>IF($I497&lt;&gt;"",INDEX('Device Refrigerant Leakage'!$E$2:$E$42,MATCH($M497,'Device Refrigerant Leakage'!$B$2:$B$42,0)),"")</f>
        <v/>
      </c>
      <c r="CQ497" s="138" t="str">
        <f>IF($I497&lt;&gt;"",INDEX('Device Refrigerant Leakage'!$F$2:$F$42,MATCH($M497,'Device Refrigerant Leakage'!$B$2:$B$42,0)),"")</f>
        <v/>
      </c>
      <c r="CR497" s="145" t="str">
        <f>IF($I497&lt;&gt;"",INDEX('Device Refrigerant Leakage'!$G$2:$G$42,MATCH($M497,'Device Refrigerant Leakage'!$B$2:$B$42,0)),"")</f>
        <v/>
      </c>
      <c r="CS497" s="145" t="str">
        <f>IF($I497&lt;&gt;"",INDEX('Device Refrigerant Leakage'!$D$2:$D$42,MATCH($M497,'Device Refrigerant Leakage'!$B$2:$B$42,0))*CP497/2204.62*CO497,"")</f>
        <v/>
      </c>
      <c r="CT497" s="145" t="str">
        <f>IF($I497&lt;&gt;"",J497*(INDEX('Device Refrigerant Leakage'!$D$2:$D$42,MATCH($M497,'Device Refrigerant Leakage'!$B$2:$B$42,0))-(INDEX('Device Refrigerant Leakage'!$D$2:$D$42,MATCH($M497,'Device Refrigerant Leakage'!$B$2:$B$42,0)))*CR497*CP497)*CQ497/2204.62*CO497,"")</f>
        <v/>
      </c>
      <c r="CU497" s="135" t="str">
        <f>IF($I497&lt;&gt;"",J497*IF(W497&lt;&gt;"AR",(CS497*K497)+CT497,(CS497*AB497)+CT497*(AB497/INDEX('Device Refrigerant Leakage'!$C$2:$C$42,MATCH($M497,'Device Refrigerant Leakage'!$B$2:$B$42,0)))),"")</f>
        <v/>
      </c>
      <c r="CW497" s="135" t="str">
        <f>IF($I497&lt;&gt;"",IF(S497="User Specified",V497,INDEX('Refrigerant GWPs'!$G$2:$G$156,MATCH(S497,'Refrigerant GWPs'!$A$2:$A$157,0))),"")</f>
        <v/>
      </c>
      <c r="CX497" s="138" t="str">
        <f>IF($I497&lt;&gt;"",INDEX('Device Refrigerant Leakage'!$E$2:$E$42,MATCH($Q497,'Device Refrigerant Leakage'!$B$2:$B$42,0)),"")</f>
        <v/>
      </c>
      <c r="CY497" s="138" t="str">
        <f>IF($I497&lt;&gt;"",INDEX('Device Refrigerant Leakage'!$F$2:$F$42,MATCH($Q497,'Device Refrigerant Leakage'!$B$2:$B$42,0)),"")</f>
        <v/>
      </c>
      <c r="CZ497" s="145" t="str">
        <f>IF($I497&lt;&gt;"",INDEX('Device Refrigerant Leakage'!$G$2:$G$42,MATCH($Q497,'Device Refrigerant Leakage'!$B$2:$B$42,0)),"")</f>
        <v/>
      </c>
      <c r="DA497" s="145" t="str">
        <f>IF($I497&lt;&gt;"",J497*INDEX('Device Refrigerant Leakage'!$D$2:$D$42,MATCH($Q497,'Device Refrigerant Leakage'!$B$2:$B$42,0))*CX497/2204.62*CW497,"")</f>
        <v/>
      </c>
      <c r="DB497" s="145" t="str">
        <f>IF($I497&lt;&gt;"",J497*(INDEX('Device Refrigerant Leakage'!$D$2:$D$42,MATCH($Q497,'Device Refrigerant Leakage'!$B$2:$B$42,0))-(INDEX('Device Refrigerant Leakage'!$D$2:$D$42,MATCH($Q497,'Device Refrigerant Leakage'!$B$2:$B$42,0)))*CZ497*CX497)*CY497/2204.62*CW497,"")</f>
        <v/>
      </c>
      <c r="DC497" s="135" t="str">
        <f t="shared" si="620"/>
        <v/>
      </c>
      <c r="DE497" s="146" t="str">
        <f>IF(W497&lt;&gt;"AR","",IF(Y497="User Specified", AA497, INDEX('Refrigerant GWPs'!$G$2:$G$154,MATCH(Y497,'Refrigerant GWPs'!$A$2:$A$154,0))))</f>
        <v/>
      </c>
      <c r="DF497" s="146" t="str">
        <f>IF(W497&lt;&gt;"AR","",INDEX('Device Refrigerant Leakage'!$E$2:$E$42,MATCH(X497,'Device Refrigerant Leakage'!$B$2:$B$42,0)))</f>
        <v/>
      </c>
      <c r="DG497" s="146" t="str">
        <f>IF(W497&lt;&gt;"AR","",INDEX('Device Refrigerant Leakage'!$F$2:$F$42,MATCH(X497,'Device Refrigerant Leakage'!$B$2:$B$42,0)))</f>
        <v/>
      </c>
      <c r="DH497" s="146" t="str">
        <f>IF(W497&lt;&gt;"AR","",INDEX('Device Refrigerant Leakage'!$G$2:$G$42,MATCH(X497,'Device Refrigerant Leakage'!$B$2:$B$42,0)))</f>
        <v/>
      </c>
      <c r="DI497" s="146" t="str">
        <f>IF(W497&lt;&gt;"AR","",J497*INDEX('Device Refrigerant Leakage'!$D$2:$D$42,MATCH(X497,'Device Refrigerant Leakage'!$B$2:$B$42,0))*DF497/2204.62*DE497)</f>
        <v/>
      </c>
      <c r="DJ497" s="146" t="str">
        <f>IF(W497&lt;&gt;"AR","",J497*(INDEX('Device Refrigerant Leakage'!$D$2:$D$42,MATCH(X497,'Device Refrigerant Leakage'!$B$2:$B$42,0))-(INDEX('Device Refrigerant Leakage'!$D$2:$D$42,MATCH(X497,'Device Refrigerant Leakage'!$B$2:$B$42,0)))*DH497*DF497)*DG497/2204.62*DE497)</f>
        <v/>
      </c>
      <c r="DK497" s="146" t="str">
        <f>IF(W497&lt;&gt;"AR","",DI497*(K497-AB497)+'Fuel Sub Calcs-Deemed'!DJ497*((K497-AB497)/INDEX('Device Refrigerant Leakage'!$C$2:$C$42,MATCH('Fuel Sub Calcs-Deemed'!X497,'Device Refrigerant Leakage'!$B$2:$B$42,0))))</f>
        <v/>
      </c>
      <c r="DM497" s="56">
        <v>483</v>
      </c>
      <c r="DN497" s="67" t="e">
        <f t="shared" si="602"/>
        <v>#N/A</v>
      </c>
      <c r="DO497" s="45" t="e">
        <f t="shared" si="603"/>
        <v>#N/A</v>
      </c>
      <c r="DP497" s="67" t="e">
        <f t="shared" si="604"/>
        <v>#N/A</v>
      </c>
      <c r="DQ497" s="45" t="e">
        <f t="shared" si="605"/>
        <v>#N/A</v>
      </c>
      <c r="DR497" s="69" t="e">
        <f t="shared" si="606"/>
        <v>#N/A</v>
      </c>
      <c r="DS497" s="34"/>
      <c r="DT497" s="67" t="e">
        <f>((BX497*CJ497)+IF($W497=MAT_AR,(BZ497*CL497),0))*(1+Reference!$E$50+Reference!$E$51)</f>
        <v>#N/A</v>
      </c>
      <c r="DU497" s="67">
        <f>((BY497*CK497)+IF($W497=MAT_AR,(CA497*CM497),0))*(1+Reference!$G$50+Reference!$G$51)</f>
        <v>0</v>
      </c>
      <c r="DV497" s="67" t="e">
        <f t="shared" si="607"/>
        <v>#VALUE!</v>
      </c>
      <c r="DX497" s="56">
        <v>483</v>
      </c>
      <c r="DY497" s="67">
        <f t="shared" si="608"/>
        <v>0</v>
      </c>
      <c r="DZ497" s="45" t="e">
        <f>VLOOKUP($R497,Dropdown!$C$3:$D$4,2,FALSE)</f>
        <v>#N/A</v>
      </c>
      <c r="EA497" s="68">
        <f t="shared" si="609"/>
        <v>0</v>
      </c>
      <c r="EB497" s="68" t="str">
        <f t="shared" si="610"/>
        <v>N/A</v>
      </c>
      <c r="EC497" s="68">
        <f t="shared" si="611"/>
        <v>0</v>
      </c>
      <c r="ED497" s="68" t="str">
        <f t="shared" si="649"/>
        <v>N/A</v>
      </c>
      <c r="EF497" s="56">
        <v>483</v>
      </c>
      <c r="EG497" s="46">
        <f t="shared" si="612"/>
        <v>0</v>
      </c>
      <c r="EH497" s="68" t="e">
        <f t="shared" si="613"/>
        <v>#N/A</v>
      </c>
      <c r="EI497" s="68" t="e">
        <f t="shared" si="614"/>
        <v>#N/A</v>
      </c>
      <c r="EJ497" s="68" t="e">
        <f t="shared" si="615"/>
        <v>#N/A</v>
      </c>
      <c r="EK497" s="68" t="e">
        <f t="shared" si="616"/>
        <v>#N/A</v>
      </c>
      <c r="EL497" s="46">
        <f t="shared" si="617"/>
        <v>0</v>
      </c>
      <c r="EM497" s="46">
        <f t="shared" si="618"/>
        <v>0</v>
      </c>
    </row>
    <row r="498" spans="1:143">
      <c r="A498" s="89"/>
      <c r="B498" s="89"/>
      <c r="C498" s="89"/>
      <c r="D498" s="89"/>
      <c r="E498" s="89"/>
      <c r="F498" s="89"/>
      <c r="G498" s="34"/>
      <c r="H498" s="56">
        <f t="shared" si="619"/>
        <v>484</v>
      </c>
      <c r="I498" s="165"/>
      <c r="J498" s="163"/>
      <c r="K498" s="163"/>
      <c r="L498" s="164"/>
      <c r="M498" s="155"/>
      <c r="N498" s="155"/>
      <c r="O498" s="144"/>
      <c r="P498" s="159" t="str">
        <f>IFERROR(IF(O498&lt;&gt;"User Specified",IF(O498&lt;&gt;"", INDEX('Refrigerant GWPs'!$G$2:$G$154,MATCH(O498,'Refrigerant GWPs'!$A$2:$A$154,0)),""),U498),0)</f>
        <v/>
      </c>
      <c r="Q498" s="155"/>
      <c r="R498" s="155"/>
      <c r="S498" s="144"/>
      <c r="T498" s="159" t="str">
        <f>IF(S498&lt;&gt;"User Specified",IF(AND(S498&lt;&gt;"User Specified",S498&lt;&gt;""), INDEX('Refrigerant GWPs'!$G$2:$G$154,MATCH(S498,'Refrigerant GWPs'!$A$2:$A$154,0)),""),V498)</f>
        <v/>
      </c>
      <c r="U498" s="144"/>
      <c r="V498" s="144"/>
      <c r="W498" s="155"/>
      <c r="X498" s="155"/>
      <c r="Y498" s="144"/>
      <c r="Z498" s="159" t="str">
        <f>IF(AND(Y498&lt;&gt;"User Specified",Y498&lt;&gt;""), INDEX('Refrigerant GWPs'!$G$2:$G$154,MATCH(Y498,'Refrigerant GWPs'!$A$2:$A$154,0)),"")</f>
        <v/>
      </c>
      <c r="AA498" s="155"/>
      <c r="AB498" s="156"/>
      <c r="AC498" s="66"/>
      <c r="AD498" s="66"/>
      <c r="AE498" s="66"/>
      <c r="AF498" s="66"/>
      <c r="AG498" s="66"/>
      <c r="AH498" s="66"/>
      <c r="AI498" s="34"/>
      <c r="AJ498" s="88">
        <f t="shared" si="582"/>
        <v>0</v>
      </c>
      <c r="AK498" s="88">
        <f t="shared" si="583"/>
        <v>0</v>
      </c>
      <c r="AL498" s="88">
        <v>0</v>
      </c>
      <c r="AM498" s="88">
        <v>0</v>
      </c>
      <c r="AN498" s="81" t="str">
        <f t="shared" si="621"/>
        <v/>
      </c>
      <c r="AO498" s="88">
        <f t="shared" si="584"/>
        <v>0</v>
      </c>
      <c r="AP498" s="88">
        <f t="shared" si="585"/>
        <v>0</v>
      </c>
      <c r="AQ498" s="81" t="str">
        <f t="shared" si="586"/>
        <v/>
      </c>
      <c r="AS498" s="41" t="b">
        <f t="shared" si="587"/>
        <v>1</v>
      </c>
      <c r="AT498" s="38">
        <f t="shared" si="588"/>
        <v>0</v>
      </c>
      <c r="AU498" s="60">
        <f t="shared" si="589"/>
        <v>0</v>
      </c>
      <c r="AV498" s="41">
        <f t="shared" si="590"/>
        <v>0</v>
      </c>
      <c r="AW498" s="41" t="b">
        <f t="shared" si="591"/>
        <v>0</v>
      </c>
      <c r="AX498" t="str">
        <f t="shared" si="592"/>
        <v>+00</v>
      </c>
      <c r="AY498" t="str">
        <f t="shared" si="593"/>
        <v>+00</v>
      </c>
      <c r="BA498" s="47" t="b">
        <f t="shared" si="622"/>
        <v>1</v>
      </c>
      <c r="BB498" s="42" t="b">
        <f t="shared" si="623"/>
        <v>1</v>
      </c>
      <c r="BC498" s="42" t="b">
        <f t="shared" si="624"/>
        <v>0</v>
      </c>
      <c r="BD498" s="42" t="b">
        <f t="shared" si="625"/>
        <v>0</v>
      </c>
      <c r="BE498" s="70">
        <f t="shared" si="626"/>
        <v>0</v>
      </c>
      <c r="BF498" s="70">
        <f t="shared" si="627"/>
        <v>0</v>
      </c>
      <c r="BG498" s="34"/>
      <c r="BI498" s="47" t="b">
        <f t="shared" si="628"/>
        <v>1</v>
      </c>
      <c r="BJ498" s="47" t="b">
        <f t="shared" si="629"/>
        <v>1</v>
      </c>
      <c r="BK498" s="42" t="b">
        <f t="shared" si="630"/>
        <v>0</v>
      </c>
      <c r="BL498" s="42" t="b">
        <f t="shared" si="631"/>
        <v>0</v>
      </c>
      <c r="BM498" s="42">
        <f t="shared" si="632"/>
        <v>0</v>
      </c>
      <c r="BN498" s="42">
        <f t="shared" si="633"/>
        <v>0</v>
      </c>
      <c r="BP498" t="e">
        <f t="shared" si="634"/>
        <v>#N/A</v>
      </c>
      <c r="BQ498" t="e">
        <f t="shared" si="635"/>
        <v>#N/A</v>
      </c>
      <c r="BR498" t="e">
        <f t="shared" si="636"/>
        <v>#N/A</v>
      </c>
      <c r="BT498" s="60">
        <f t="shared" si="637"/>
        <v>0</v>
      </c>
      <c r="BU498" s="60">
        <f t="shared" si="638"/>
        <v>0</v>
      </c>
      <c r="BV498" s="60">
        <f t="shared" si="639"/>
        <v>0</v>
      </c>
      <c r="BW498" s="60">
        <f t="shared" si="640"/>
        <v>0</v>
      </c>
      <c r="BX498" s="60">
        <f t="shared" si="641"/>
        <v>0</v>
      </c>
      <c r="BY498" s="60">
        <f t="shared" si="642"/>
        <v>0</v>
      </c>
      <c r="BZ498" s="60">
        <f t="shared" si="643"/>
        <v>0</v>
      </c>
      <c r="CA498" s="60">
        <f t="shared" si="644"/>
        <v>0</v>
      </c>
      <c r="CB498" s="60" t="e">
        <f t="shared" si="594"/>
        <v>#N/A</v>
      </c>
      <c r="CC498" s="60">
        <f t="shared" si="595"/>
        <v>100000</v>
      </c>
      <c r="CD498" s="60" t="e">
        <f t="shared" si="596"/>
        <v>#N/A</v>
      </c>
      <c r="CE498" s="60">
        <f t="shared" si="597"/>
        <v>100000</v>
      </c>
      <c r="CF498" s="83" t="e">
        <f t="shared" si="645"/>
        <v>#N/A</v>
      </c>
      <c r="CG498" s="83">
        <f t="shared" si="646"/>
        <v>0</v>
      </c>
      <c r="CH498" s="83" t="e">
        <f t="shared" si="647"/>
        <v>#N/A</v>
      </c>
      <c r="CI498" s="83">
        <f t="shared" si="648"/>
        <v>0</v>
      </c>
      <c r="CJ498" s="86" t="e">
        <f t="shared" si="598"/>
        <v>#N/A</v>
      </c>
      <c r="CK498" s="82">
        <f t="shared" si="599"/>
        <v>5.3070370403969858E-3</v>
      </c>
      <c r="CL498" s="82" t="e">
        <f t="shared" si="600"/>
        <v>#N/A</v>
      </c>
      <c r="CM498" s="82">
        <f t="shared" si="601"/>
        <v>5.3070370403969858E-3</v>
      </c>
      <c r="CO498" s="149" t="str">
        <f>IF($I498&lt;&gt;"",IF(O498="User Specified",U498,INDEX('Refrigerant GWPs'!$G$2:$G$156,MATCH(O498,'Refrigerant GWPs'!$A$2:$A$156,0))),"")</f>
        <v/>
      </c>
      <c r="CP498" s="138" t="str">
        <f>IF($I498&lt;&gt;"",INDEX('Device Refrigerant Leakage'!$E$2:$E$42,MATCH($M498,'Device Refrigerant Leakage'!$B$2:$B$42,0)),"")</f>
        <v/>
      </c>
      <c r="CQ498" s="138" t="str">
        <f>IF($I498&lt;&gt;"",INDEX('Device Refrigerant Leakage'!$F$2:$F$42,MATCH($M498,'Device Refrigerant Leakage'!$B$2:$B$42,0)),"")</f>
        <v/>
      </c>
      <c r="CR498" s="145" t="str">
        <f>IF($I498&lt;&gt;"",INDEX('Device Refrigerant Leakage'!$G$2:$G$42,MATCH($M498,'Device Refrigerant Leakage'!$B$2:$B$42,0)),"")</f>
        <v/>
      </c>
      <c r="CS498" s="145" t="str">
        <f>IF($I498&lt;&gt;"",INDEX('Device Refrigerant Leakage'!$D$2:$D$42,MATCH($M498,'Device Refrigerant Leakage'!$B$2:$B$42,0))*CP498/2204.62*CO498,"")</f>
        <v/>
      </c>
      <c r="CT498" s="145" t="str">
        <f>IF($I498&lt;&gt;"",J498*(INDEX('Device Refrigerant Leakage'!$D$2:$D$42,MATCH($M498,'Device Refrigerant Leakage'!$B$2:$B$42,0))-(INDEX('Device Refrigerant Leakage'!$D$2:$D$42,MATCH($M498,'Device Refrigerant Leakage'!$B$2:$B$42,0)))*CR498*CP498)*CQ498/2204.62*CO498,"")</f>
        <v/>
      </c>
      <c r="CU498" s="135" t="str">
        <f>IF($I498&lt;&gt;"",J498*IF(W498&lt;&gt;"AR",(CS498*K498)+CT498,(CS498*AB498)+CT498*(AB498/INDEX('Device Refrigerant Leakage'!$C$2:$C$42,MATCH($M498,'Device Refrigerant Leakage'!$B$2:$B$42,0)))),"")</f>
        <v/>
      </c>
      <c r="CW498" s="135" t="str">
        <f>IF($I498&lt;&gt;"",IF(S498="User Specified",V498,INDEX('Refrigerant GWPs'!$G$2:$G$156,MATCH(S498,'Refrigerant GWPs'!$A$2:$A$157,0))),"")</f>
        <v/>
      </c>
      <c r="CX498" s="138" t="str">
        <f>IF($I498&lt;&gt;"",INDEX('Device Refrigerant Leakage'!$E$2:$E$42,MATCH($Q498,'Device Refrigerant Leakage'!$B$2:$B$42,0)),"")</f>
        <v/>
      </c>
      <c r="CY498" s="138" t="str">
        <f>IF($I498&lt;&gt;"",INDEX('Device Refrigerant Leakage'!$F$2:$F$42,MATCH($Q498,'Device Refrigerant Leakage'!$B$2:$B$42,0)),"")</f>
        <v/>
      </c>
      <c r="CZ498" s="145" t="str">
        <f>IF($I498&lt;&gt;"",INDEX('Device Refrigerant Leakage'!$G$2:$G$42,MATCH($Q498,'Device Refrigerant Leakage'!$B$2:$B$42,0)),"")</f>
        <v/>
      </c>
      <c r="DA498" s="145" t="str">
        <f>IF($I498&lt;&gt;"",J498*INDEX('Device Refrigerant Leakage'!$D$2:$D$42,MATCH($Q498,'Device Refrigerant Leakage'!$B$2:$B$42,0))*CX498/2204.62*CW498,"")</f>
        <v/>
      </c>
      <c r="DB498" s="145" t="str">
        <f>IF($I498&lt;&gt;"",J498*(INDEX('Device Refrigerant Leakage'!$D$2:$D$42,MATCH($Q498,'Device Refrigerant Leakage'!$B$2:$B$42,0))-(INDEX('Device Refrigerant Leakage'!$D$2:$D$42,MATCH($Q498,'Device Refrigerant Leakage'!$B$2:$B$42,0)))*CZ498*CX498)*CY498/2204.62*CW498,"")</f>
        <v/>
      </c>
      <c r="DC498" s="135" t="str">
        <f t="shared" si="620"/>
        <v/>
      </c>
      <c r="DE498" s="146" t="str">
        <f>IF(W498&lt;&gt;"AR","",IF(Y498="User Specified", AA498, INDEX('Refrigerant GWPs'!$G$2:$G$154,MATCH(Y498,'Refrigerant GWPs'!$A$2:$A$154,0))))</f>
        <v/>
      </c>
      <c r="DF498" s="146" t="str">
        <f>IF(W498&lt;&gt;"AR","",INDEX('Device Refrigerant Leakage'!$E$2:$E$42,MATCH(X498,'Device Refrigerant Leakage'!$B$2:$B$42,0)))</f>
        <v/>
      </c>
      <c r="DG498" s="146" t="str">
        <f>IF(W498&lt;&gt;"AR","",INDEX('Device Refrigerant Leakage'!$F$2:$F$42,MATCH(X498,'Device Refrigerant Leakage'!$B$2:$B$42,0)))</f>
        <v/>
      </c>
      <c r="DH498" s="146" t="str">
        <f>IF(W498&lt;&gt;"AR","",INDEX('Device Refrigerant Leakage'!$G$2:$G$42,MATCH(X498,'Device Refrigerant Leakage'!$B$2:$B$42,0)))</f>
        <v/>
      </c>
      <c r="DI498" s="146" t="str">
        <f>IF(W498&lt;&gt;"AR","",J498*INDEX('Device Refrigerant Leakage'!$D$2:$D$42,MATCH(X498,'Device Refrigerant Leakage'!$B$2:$B$42,0))*DF498/2204.62*DE498)</f>
        <v/>
      </c>
      <c r="DJ498" s="146" t="str">
        <f>IF(W498&lt;&gt;"AR","",J498*(INDEX('Device Refrigerant Leakage'!$D$2:$D$42,MATCH(X498,'Device Refrigerant Leakage'!$B$2:$B$42,0))-(INDEX('Device Refrigerant Leakage'!$D$2:$D$42,MATCH(X498,'Device Refrigerant Leakage'!$B$2:$B$42,0)))*DH498*DF498)*DG498/2204.62*DE498)</f>
        <v/>
      </c>
      <c r="DK498" s="146" t="str">
        <f>IF(W498&lt;&gt;"AR","",DI498*(K498-AB498)+'Fuel Sub Calcs-Deemed'!DJ498*((K498-AB498)/INDEX('Device Refrigerant Leakage'!$C$2:$C$42,MATCH('Fuel Sub Calcs-Deemed'!X498,'Device Refrigerant Leakage'!$B$2:$B$42,0))))</f>
        <v/>
      </c>
      <c r="DM498" s="56">
        <v>484</v>
      </c>
      <c r="DN498" s="67" t="e">
        <f t="shared" si="602"/>
        <v>#N/A</v>
      </c>
      <c r="DO498" s="45" t="e">
        <f t="shared" si="603"/>
        <v>#N/A</v>
      </c>
      <c r="DP498" s="67" t="e">
        <f t="shared" si="604"/>
        <v>#N/A</v>
      </c>
      <c r="DQ498" s="45" t="e">
        <f t="shared" si="605"/>
        <v>#N/A</v>
      </c>
      <c r="DR498" s="69" t="e">
        <f t="shared" si="606"/>
        <v>#N/A</v>
      </c>
      <c r="DS498" s="34"/>
      <c r="DT498" s="67" t="e">
        <f>((BX498*CJ498)+IF($W498=MAT_AR,(BZ498*CL498),0))*(1+Reference!$E$50+Reference!$E$51)</f>
        <v>#N/A</v>
      </c>
      <c r="DU498" s="67">
        <f>((BY498*CK498)+IF($W498=MAT_AR,(CA498*CM498),0))*(1+Reference!$G$50+Reference!$G$51)</f>
        <v>0</v>
      </c>
      <c r="DV498" s="67" t="e">
        <f t="shared" si="607"/>
        <v>#VALUE!</v>
      </c>
      <c r="DX498" s="56">
        <v>484</v>
      </c>
      <c r="DY498" s="67">
        <f t="shared" si="608"/>
        <v>0</v>
      </c>
      <c r="DZ498" s="45" t="e">
        <f>VLOOKUP($R498,Dropdown!$C$3:$D$4,2,FALSE)</f>
        <v>#N/A</v>
      </c>
      <c r="EA498" s="68">
        <f t="shared" si="609"/>
        <v>0</v>
      </c>
      <c r="EB498" s="68" t="str">
        <f t="shared" si="610"/>
        <v>N/A</v>
      </c>
      <c r="EC498" s="68">
        <f t="shared" si="611"/>
        <v>0</v>
      </c>
      <c r="ED498" s="68" t="str">
        <f t="shared" si="649"/>
        <v>N/A</v>
      </c>
      <c r="EF498" s="56">
        <v>484</v>
      </c>
      <c r="EG498" s="46">
        <f t="shared" si="612"/>
        <v>0</v>
      </c>
      <c r="EH498" s="68" t="e">
        <f t="shared" si="613"/>
        <v>#N/A</v>
      </c>
      <c r="EI498" s="68" t="e">
        <f t="shared" si="614"/>
        <v>#N/A</v>
      </c>
      <c r="EJ498" s="68" t="e">
        <f t="shared" si="615"/>
        <v>#N/A</v>
      </c>
      <c r="EK498" s="68" t="e">
        <f t="shared" si="616"/>
        <v>#N/A</v>
      </c>
      <c r="EL498" s="46">
        <f t="shared" si="617"/>
        <v>0</v>
      </c>
      <c r="EM498" s="46">
        <f t="shared" si="618"/>
        <v>0</v>
      </c>
    </row>
    <row r="499" spans="1:143">
      <c r="A499" s="89"/>
      <c r="B499" s="89"/>
      <c r="C499" s="89"/>
      <c r="D499" s="89"/>
      <c r="E499" s="89"/>
      <c r="F499" s="89"/>
      <c r="G499" s="34"/>
      <c r="H499" s="56">
        <f t="shared" si="619"/>
        <v>485</v>
      </c>
      <c r="I499" s="165"/>
      <c r="J499" s="163"/>
      <c r="K499" s="163"/>
      <c r="L499" s="164"/>
      <c r="M499" s="155"/>
      <c r="N499" s="155"/>
      <c r="O499" s="144"/>
      <c r="P499" s="159" t="str">
        <f>IFERROR(IF(O499&lt;&gt;"User Specified",IF(O499&lt;&gt;"", INDEX('Refrigerant GWPs'!$G$2:$G$154,MATCH(O499,'Refrigerant GWPs'!$A$2:$A$154,0)),""),U499),0)</f>
        <v/>
      </c>
      <c r="Q499" s="155"/>
      <c r="R499" s="155"/>
      <c r="S499" s="144"/>
      <c r="T499" s="159" t="str">
        <f>IF(S499&lt;&gt;"User Specified",IF(AND(S499&lt;&gt;"User Specified",S499&lt;&gt;""), INDEX('Refrigerant GWPs'!$G$2:$G$154,MATCH(S499,'Refrigerant GWPs'!$A$2:$A$154,0)),""),V499)</f>
        <v/>
      </c>
      <c r="U499" s="144"/>
      <c r="V499" s="144"/>
      <c r="W499" s="155"/>
      <c r="X499" s="155"/>
      <c r="Y499" s="144"/>
      <c r="Z499" s="159" t="str">
        <f>IF(AND(Y499&lt;&gt;"User Specified",Y499&lt;&gt;""), INDEX('Refrigerant GWPs'!$G$2:$G$154,MATCH(Y499,'Refrigerant GWPs'!$A$2:$A$154,0)),"")</f>
        <v/>
      </c>
      <c r="AA499" s="155"/>
      <c r="AB499" s="156"/>
      <c r="AC499" s="66"/>
      <c r="AD499" s="66"/>
      <c r="AE499" s="66"/>
      <c r="AF499" s="66"/>
      <c r="AG499" s="66"/>
      <c r="AH499" s="66"/>
      <c r="AI499" s="34"/>
      <c r="AJ499" s="88">
        <f t="shared" si="582"/>
        <v>0</v>
      </c>
      <c r="AK499" s="88">
        <f t="shared" si="583"/>
        <v>0</v>
      </c>
      <c r="AL499" s="88">
        <v>0</v>
      </c>
      <c r="AM499" s="88">
        <v>0</v>
      </c>
      <c r="AN499" s="81" t="str">
        <f t="shared" si="621"/>
        <v/>
      </c>
      <c r="AO499" s="88">
        <f t="shared" si="584"/>
        <v>0</v>
      </c>
      <c r="AP499" s="88">
        <f t="shared" si="585"/>
        <v>0</v>
      </c>
      <c r="AQ499" s="81" t="str">
        <f t="shared" si="586"/>
        <v/>
      </c>
      <c r="AS499" s="41" t="b">
        <f t="shared" si="587"/>
        <v>1</v>
      </c>
      <c r="AT499" s="38">
        <f t="shared" si="588"/>
        <v>0</v>
      </c>
      <c r="AU499" s="60">
        <f t="shared" si="589"/>
        <v>0</v>
      </c>
      <c r="AV499" s="41">
        <f t="shared" si="590"/>
        <v>0</v>
      </c>
      <c r="AW499" s="41" t="b">
        <f t="shared" si="591"/>
        <v>0</v>
      </c>
      <c r="AX499" t="str">
        <f t="shared" si="592"/>
        <v>+00</v>
      </c>
      <c r="AY499" t="str">
        <f t="shared" si="593"/>
        <v>+00</v>
      </c>
      <c r="BA499" s="47" t="b">
        <f t="shared" si="622"/>
        <v>1</v>
      </c>
      <c r="BB499" s="42" t="b">
        <f t="shared" si="623"/>
        <v>1</v>
      </c>
      <c r="BC499" s="42" t="b">
        <f t="shared" si="624"/>
        <v>0</v>
      </c>
      <c r="BD499" s="42" t="b">
        <f t="shared" si="625"/>
        <v>0</v>
      </c>
      <c r="BE499" s="70">
        <f t="shared" si="626"/>
        <v>0</v>
      </c>
      <c r="BF499" s="70">
        <f t="shared" si="627"/>
        <v>0</v>
      </c>
      <c r="BG499" s="34"/>
      <c r="BI499" s="47" t="b">
        <f t="shared" si="628"/>
        <v>1</v>
      </c>
      <c r="BJ499" s="47" t="b">
        <f t="shared" si="629"/>
        <v>1</v>
      </c>
      <c r="BK499" s="42" t="b">
        <f t="shared" si="630"/>
        <v>0</v>
      </c>
      <c r="BL499" s="42" t="b">
        <f t="shared" si="631"/>
        <v>0</v>
      </c>
      <c r="BM499" s="42">
        <f t="shared" si="632"/>
        <v>0</v>
      </c>
      <c r="BN499" s="42">
        <f t="shared" si="633"/>
        <v>0</v>
      </c>
      <c r="BP499" t="e">
        <f t="shared" si="634"/>
        <v>#N/A</v>
      </c>
      <c r="BQ499" t="e">
        <f t="shared" si="635"/>
        <v>#N/A</v>
      </c>
      <c r="BR499" t="e">
        <f t="shared" si="636"/>
        <v>#N/A</v>
      </c>
      <c r="BT499" s="60">
        <f t="shared" si="637"/>
        <v>0</v>
      </c>
      <c r="BU499" s="60">
        <f t="shared" si="638"/>
        <v>0</v>
      </c>
      <c r="BV499" s="60">
        <f t="shared" si="639"/>
        <v>0</v>
      </c>
      <c r="BW499" s="60">
        <f t="shared" si="640"/>
        <v>0</v>
      </c>
      <c r="BX499" s="60">
        <f t="shared" si="641"/>
        <v>0</v>
      </c>
      <c r="BY499" s="60">
        <f t="shared" si="642"/>
        <v>0</v>
      </c>
      <c r="BZ499" s="60">
        <f t="shared" si="643"/>
        <v>0</v>
      </c>
      <c r="CA499" s="60">
        <f t="shared" si="644"/>
        <v>0</v>
      </c>
      <c r="CB499" s="60" t="e">
        <f t="shared" si="594"/>
        <v>#N/A</v>
      </c>
      <c r="CC499" s="60">
        <f t="shared" si="595"/>
        <v>100000</v>
      </c>
      <c r="CD499" s="60" t="e">
        <f t="shared" si="596"/>
        <v>#N/A</v>
      </c>
      <c r="CE499" s="60">
        <f t="shared" si="597"/>
        <v>100000</v>
      </c>
      <c r="CF499" s="83" t="e">
        <f t="shared" si="645"/>
        <v>#N/A</v>
      </c>
      <c r="CG499" s="83">
        <f t="shared" si="646"/>
        <v>0</v>
      </c>
      <c r="CH499" s="83" t="e">
        <f t="shared" si="647"/>
        <v>#N/A</v>
      </c>
      <c r="CI499" s="83">
        <f t="shared" si="648"/>
        <v>0</v>
      </c>
      <c r="CJ499" s="86" t="e">
        <f t="shared" si="598"/>
        <v>#N/A</v>
      </c>
      <c r="CK499" s="82">
        <f t="shared" si="599"/>
        <v>5.3070370403969858E-3</v>
      </c>
      <c r="CL499" s="82" t="e">
        <f t="shared" si="600"/>
        <v>#N/A</v>
      </c>
      <c r="CM499" s="82">
        <f t="shared" si="601"/>
        <v>5.3070370403969858E-3</v>
      </c>
      <c r="CO499" s="149" t="str">
        <f>IF($I499&lt;&gt;"",IF(O499="User Specified",U499,INDEX('Refrigerant GWPs'!$G$2:$G$156,MATCH(O499,'Refrigerant GWPs'!$A$2:$A$156,0))),"")</f>
        <v/>
      </c>
      <c r="CP499" s="138" t="str">
        <f>IF($I499&lt;&gt;"",INDEX('Device Refrigerant Leakage'!$E$2:$E$42,MATCH($M499,'Device Refrigerant Leakage'!$B$2:$B$42,0)),"")</f>
        <v/>
      </c>
      <c r="CQ499" s="138" t="str">
        <f>IF($I499&lt;&gt;"",INDEX('Device Refrigerant Leakage'!$F$2:$F$42,MATCH($M499,'Device Refrigerant Leakage'!$B$2:$B$42,0)),"")</f>
        <v/>
      </c>
      <c r="CR499" s="145" t="str">
        <f>IF($I499&lt;&gt;"",INDEX('Device Refrigerant Leakage'!$G$2:$G$42,MATCH($M499,'Device Refrigerant Leakage'!$B$2:$B$42,0)),"")</f>
        <v/>
      </c>
      <c r="CS499" s="145" t="str">
        <f>IF($I499&lt;&gt;"",INDEX('Device Refrigerant Leakage'!$D$2:$D$42,MATCH($M499,'Device Refrigerant Leakage'!$B$2:$B$42,0))*CP499/2204.62*CO499,"")</f>
        <v/>
      </c>
      <c r="CT499" s="145" t="str">
        <f>IF($I499&lt;&gt;"",J499*(INDEX('Device Refrigerant Leakage'!$D$2:$D$42,MATCH($M499,'Device Refrigerant Leakage'!$B$2:$B$42,0))-(INDEX('Device Refrigerant Leakage'!$D$2:$D$42,MATCH($M499,'Device Refrigerant Leakage'!$B$2:$B$42,0)))*CR499*CP499)*CQ499/2204.62*CO499,"")</f>
        <v/>
      </c>
      <c r="CU499" s="135" t="str">
        <f>IF($I499&lt;&gt;"",J499*IF(W499&lt;&gt;"AR",(CS499*K499)+CT499,(CS499*AB499)+CT499*(AB499/INDEX('Device Refrigerant Leakage'!$C$2:$C$42,MATCH($M499,'Device Refrigerant Leakage'!$B$2:$B$42,0)))),"")</f>
        <v/>
      </c>
      <c r="CW499" s="135" t="str">
        <f>IF($I499&lt;&gt;"",IF(S499="User Specified",V499,INDEX('Refrigerant GWPs'!$G$2:$G$156,MATCH(S499,'Refrigerant GWPs'!$A$2:$A$157,0))),"")</f>
        <v/>
      </c>
      <c r="CX499" s="138" t="str">
        <f>IF($I499&lt;&gt;"",INDEX('Device Refrigerant Leakage'!$E$2:$E$42,MATCH($Q499,'Device Refrigerant Leakage'!$B$2:$B$42,0)),"")</f>
        <v/>
      </c>
      <c r="CY499" s="138" t="str">
        <f>IF($I499&lt;&gt;"",INDEX('Device Refrigerant Leakage'!$F$2:$F$42,MATCH($Q499,'Device Refrigerant Leakage'!$B$2:$B$42,0)),"")</f>
        <v/>
      </c>
      <c r="CZ499" s="145" t="str">
        <f>IF($I499&lt;&gt;"",INDEX('Device Refrigerant Leakage'!$G$2:$G$42,MATCH($Q499,'Device Refrigerant Leakage'!$B$2:$B$42,0)),"")</f>
        <v/>
      </c>
      <c r="DA499" s="145" t="str">
        <f>IF($I499&lt;&gt;"",J499*INDEX('Device Refrigerant Leakage'!$D$2:$D$42,MATCH($Q499,'Device Refrigerant Leakage'!$B$2:$B$42,0))*CX499/2204.62*CW499,"")</f>
        <v/>
      </c>
      <c r="DB499" s="145" t="str">
        <f>IF($I499&lt;&gt;"",J499*(INDEX('Device Refrigerant Leakage'!$D$2:$D$42,MATCH($Q499,'Device Refrigerant Leakage'!$B$2:$B$42,0))-(INDEX('Device Refrigerant Leakage'!$D$2:$D$42,MATCH($Q499,'Device Refrigerant Leakage'!$B$2:$B$42,0)))*CZ499*CX499)*CY499/2204.62*CW499,"")</f>
        <v/>
      </c>
      <c r="DC499" s="135" t="str">
        <f t="shared" si="620"/>
        <v/>
      </c>
      <c r="DE499" s="146" t="str">
        <f>IF(W499&lt;&gt;"AR","",IF(Y499="User Specified", AA499, INDEX('Refrigerant GWPs'!$G$2:$G$154,MATCH(Y499,'Refrigerant GWPs'!$A$2:$A$154,0))))</f>
        <v/>
      </c>
      <c r="DF499" s="146" t="str">
        <f>IF(W499&lt;&gt;"AR","",INDEX('Device Refrigerant Leakage'!$E$2:$E$42,MATCH(X499,'Device Refrigerant Leakage'!$B$2:$B$42,0)))</f>
        <v/>
      </c>
      <c r="DG499" s="146" t="str">
        <f>IF(W499&lt;&gt;"AR","",INDEX('Device Refrigerant Leakage'!$F$2:$F$42,MATCH(X499,'Device Refrigerant Leakage'!$B$2:$B$42,0)))</f>
        <v/>
      </c>
      <c r="DH499" s="146" t="str">
        <f>IF(W499&lt;&gt;"AR","",INDEX('Device Refrigerant Leakage'!$G$2:$G$42,MATCH(X499,'Device Refrigerant Leakage'!$B$2:$B$42,0)))</f>
        <v/>
      </c>
      <c r="DI499" s="146" t="str">
        <f>IF(W499&lt;&gt;"AR","",J499*INDEX('Device Refrigerant Leakage'!$D$2:$D$42,MATCH(X499,'Device Refrigerant Leakage'!$B$2:$B$42,0))*DF499/2204.62*DE499)</f>
        <v/>
      </c>
      <c r="DJ499" s="146" t="str">
        <f>IF(W499&lt;&gt;"AR","",J499*(INDEX('Device Refrigerant Leakage'!$D$2:$D$42,MATCH(X499,'Device Refrigerant Leakage'!$B$2:$B$42,0))-(INDEX('Device Refrigerant Leakage'!$D$2:$D$42,MATCH(X499,'Device Refrigerant Leakage'!$B$2:$B$42,0)))*DH499*DF499)*DG499/2204.62*DE499)</f>
        <v/>
      </c>
      <c r="DK499" s="146" t="str">
        <f>IF(W499&lt;&gt;"AR","",DI499*(K499-AB499)+'Fuel Sub Calcs-Deemed'!DJ499*((K499-AB499)/INDEX('Device Refrigerant Leakage'!$C$2:$C$42,MATCH('Fuel Sub Calcs-Deemed'!X499,'Device Refrigerant Leakage'!$B$2:$B$42,0))))</f>
        <v/>
      </c>
      <c r="DM499" s="56">
        <v>485</v>
      </c>
      <c r="DN499" s="67" t="e">
        <f t="shared" si="602"/>
        <v>#N/A</v>
      </c>
      <c r="DO499" s="45" t="e">
        <f t="shared" si="603"/>
        <v>#N/A</v>
      </c>
      <c r="DP499" s="67" t="e">
        <f t="shared" si="604"/>
        <v>#N/A</v>
      </c>
      <c r="DQ499" s="45" t="e">
        <f t="shared" si="605"/>
        <v>#N/A</v>
      </c>
      <c r="DR499" s="69" t="e">
        <f t="shared" si="606"/>
        <v>#N/A</v>
      </c>
      <c r="DS499" s="34"/>
      <c r="DT499" s="67" t="e">
        <f>((BX499*CJ499)+IF($W499=MAT_AR,(BZ499*CL499),0))*(1+Reference!$E$50+Reference!$E$51)</f>
        <v>#N/A</v>
      </c>
      <c r="DU499" s="67">
        <f>((BY499*CK499)+IF($W499=MAT_AR,(CA499*CM499),0))*(1+Reference!$G$50+Reference!$G$51)</f>
        <v>0</v>
      </c>
      <c r="DV499" s="67" t="e">
        <f t="shared" si="607"/>
        <v>#VALUE!</v>
      </c>
      <c r="DX499" s="56">
        <v>485</v>
      </c>
      <c r="DY499" s="67">
        <f t="shared" si="608"/>
        <v>0</v>
      </c>
      <c r="DZ499" s="45" t="e">
        <f>VLOOKUP($R499,Dropdown!$C$3:$D$4,2,FALSE)</f>
        <v>#N/A</v>
      </c>
      <c r="EA499" s="68">
        <f t="shared" si="609"/>
        <v>0</v>
      </c>
      <c r="EB499" s="68" t="str">
        <f t="shared" si="610"/>
        <v>N/A</v>
      </c>
      <c r="EC499" s="68">
        <f t="shared" si="611"/>
        <v>0</v>
      </c>
      <c r="ED499" s="68" t="str">
        <f t="shared" si="649"/>
        <v>N/A</v>
      </c>
      <c r="EF499" s="56">
        <v>485</v>
      </c>
      <c r="EG499" s="46">
        <f t="shared" si="612"/>
        <v>0</v>
      </c>
      <c r="EH499" s="68" t="e">
        <f t="shared" si="613"/>
        <v>#N/A</v>
      </c>
      <c r="EI499" s="68" t="e">
        <f t="shared" si="614"/>
        <v>#N/A</v>
      </c>
      <c r="EJ499" s="68" t="e">
        <f t="shared" si="615"/>
        <v>#N/A</v>
      </c>
      <c r="EK499" s="68" t="e">
        <f t="shared" si="616"/>
        <v>#N/A</v>
      </c>
      <c r="EL499" s="46">
        <f t="shared" si="617"/>
        <v>0</v>
      </c>
      <c r="EM499" s="46">
        <f t="shared" si="618"/>
        <v>0</v>
      </c>
    </row>
    <row r="500" spans="1:143">
      <c r="A500" s="89"/>
      <c r="B500" s="89"/>
      <c r="C500" s="89"/>
      <c r="D500" s="89"/>
      <c r="E500" s="89"/>
      <c r="F500" s="89"/>
      <c r="G500" s="34"/>
      <c r="H500" s="56">
        <f t="shared" si="619"/>
        <v>486</v>
      </c>
      <c r="I500" s="165"/>
      <c r="J500" s="163"/>
      <c r="K500" s="163"/>
      <c r="L500" s="164"/>
      <c r="M500" s="155"/>
      <c r="N500" s="155"/>
      <c r="O500" s="144"/>
      <c r="P500" s="159" t="str">
        <f>IFERROR(IF(O500&lt;&gt;"User Specified",IF(O500&lt;&gt;"", INDEX('Refrigerant GWPs'!$G$2:$G$154,MATCH(O500,'Refrigerant GWPs'!$A$2:$A$154,0)),""),U500),0)</f>
        <v/>
      </c>
      <c r="Q500" s="155"/>
      <c r="R500" s="155"/>
      <c r="S500" s="144"/>
      <c r="T500" s="159" t="str">
        <f>IF(S500&lt;&gt;"User Specified",IF(AND(S500&lt;&gt;"User Specified",S500&lt;&gt;""), INDEX('Refrigerant GWPs'!$G$2:$G$154,MATCH(S500,'Refrigerant GWPs'!$A$2:$A$154,0)),""),V500)</f>
        <v/>
      </c>
      <c r="U500" s="144"/>
      <c r="V500" s="144"/>
      <c r="W500" s="155"/>
      <c r="X500" s="155"/>
      <c r="Y500" s="144"/>
      <c r="Z500" s="159" t="str">
        <f>IF(AND(Y500&lt;&gt;"User Specified",Y500&lt;&gt;""), INDEX('Refrigerant GWPs'!$G$2:$G$154,MATCH(Y500,'Refrigerant GWPs'!$A$2:$A$154,0)),"")</f>
        <v/>
      </c>
      <c r="AA500" s="155"/>
      <c r="AB500" s="156"/>
      <c r="AC500" s="66"/>
      <c r="AD500" s="66"/>
      <c r="AE500" s="66"/>
      <c r="AF500" s="66"/>
      <c r="AG500" s="66"/>
      <c r="AH500" s="66"/>
      <c r="AI500" s="34"/>
      <c r="AJ500" s="88">
        <f t="shared" si="582"/>
        <v>0</v>
      </c>
      <c r="AK500" s="88">
        <f t="shared" si="583"/>
        <v>0</v>
      </c>
      <c r="AL500" s="88">
        <v>0</v>
      </c>
      <c r="AM500" s="88">
        <v>0</v>
      </c>
      <c r="AN500" s="81" t="str">
        <f t="shared" si="621"/>
        <v/>
      </c>
      <c r="AO500" s="88">
        <f t="shared" si="584"/>
        <v>0</v>
      </c>
      <c r="AP500" s="88">
        <f t="shared" si="585"/>
        <v>0</v>
      </c>
      <c r="AQ500" s="81" t="str">
        <f t="shared" si="586"/>
        <v/>
      </c>
      <c r="AS500" s="41" t="b">
        <f t="shared" si="587"/>
        <v>1</v>
      </c>
      <c r="AT500" s="38">
        <f t="shared" si="588"/>
        <v>0</v>
      </c>
      <c r="AU500" s="60">
        <f t="shared" si="589"/>
        <v>0</v>
      </c>
      <c r="AV500" s="41">
        <f t="shared" si="590"/>
        <v>0</v>
      </c>
      <c r="AW500" s="41" t="b">
        <f t="shared" si="591"/>
        <v>0</v>
      </c>
      <c r="AX500" t="str">
        <f t="shared" si="592"/>
        <v>+00</v>
      </c>
      <c r="AY500" t="str">
        <f t="shared" si="593"/>
        <v>+00</v>
      </c>
      <c r="BA500" s="47" t="b">
        <f t="shared" si="622"/>
        <v>1</v>
      </c>
      <c r="BB500" s="42" t="b">
        <f t="shared" si="623"/>
        <v>1</v>
      </c>
      <c r="BC500" s="42" t="b">
        <f t="shared" si="624"/>
        <v>0</v>
      </c>
      <c r="BD500" s="42" t="b">
        <f t="shared" si="625"/>
        <v>0</v>
      </c>
      <c r="BE500" s="70">
        <f t="shared" si="626"/>
        <v>0</v>
      </c>
      <c r="BF500" s="70">
        <f t="shared" si="627"/>
        <v>0</v>
      </c>
      <c r="BG500" s="34"/>
      <c r="BI500" s="47" t="b">
        <f t="shared" si="628"/>
        <v>1</v>
      </c>
      <c r="BJ500" s="47" t="b">
        <f t="shared" si="629"/>
        <v>1</v>
      </c>
      <c r="BK500" s="42" t="b">
        <f t="shared" si="630"/>
        <v>0</v>
      </c>
      <c r="BL500" s="42" t="b">
        <f t="shared" si="631"/>
        <v>0</v>
      </c>
      <c r="BM500" s="42">
        <f t="shared" si="632"/>
        <v>0</v>
      </c>
      <c r="BN500" s="42">
        <f t="shared" si="633"/>
        <v>0</v>
      </c>
      <c r="BP500" t="e">
        <f t="shared" si="634"/>
        <v>#N/A</v>
      </c>
      <c r="BQ500" t="e">
        <f t="shared" si="635"/>
        <v>#N/A</v>
      </c>
      <c r="BR500" t="e">
        <f t="shared" si="636"/>
        <v>#N/A</v>
      </c>
      <c r="BT500" s="60">
        <f t="shared" si="637"/>
        <v>0</v>
      </c>
      <c r="BU500" s="60">
        <f t="shared" si="638"/>
        <v>0</v>
      </c>
      <c r="BV500" s="60">
        <f t="shared" si="639"/>
        <v>0</v>
      </c>
      <c r="BW500" s="60">
        <f t="shared" si="640"/>
        <v>0</v>
      </c>
      <c r="BX500" s="60">
        <f t="shared" si="641"/>
        <v>0</v>
      </c>
      <c r="BY500" s="60">
        <f t="shared" si="642"/>
        <v>0</v>
      </c>
      <c r="BZ500" s="60">
        <f t="shared" si="643"/>
        <v>0</v>
      </c>
      <c r="CA500" s="60">
        <f t="shared" si="644"/>
        <v>0</v>
      </c>
      <c r="CB500" s="60" t="e">
        <f t="shared" si="594"/>
        <v>#N/A</v>
      </c>
      <c r="CC500" s="60">
        <f t="shared" si="595"/>
        <v>100000</v>
      </c>
      <c r="CD500" s="60" t="e">
        <f t="shared" si="596"/>
        <v>#N/A</v>
      </c>
      <c r="CE500" s="60">
        <f t="shared" si="597"/>
        <v>100000</v>
      </c>
      <c r="CF500" s="83" t="e">
        <f t="shared" si="645"/>
        <v>#N/A</v>
      </c>
      <c r="CG500" s="83">
        <f t="shared" si="646"/>
        <v>0</v>
      </c>
      <c r="CH500" s="83" t="e">
        <f t="shared" si="647"/>
        <v>#N/A</v>
      </c>
      <c r="CI500" s="83">
        <f t="shared" si="648"/>
        <v>0</v>
      </c>
      <c r="CJ500" s="86" t="e">
        <f t="shared" si="598"/>
        <v>#N/A</v>
      </c>
      <c r="CK500" s="82">
        <f t="shared" si="599"/>
        <v>5.3070370403969858E-3</v>
      </c>
      <c r="CL500" s="82" t="e">
        <f t="shared" si="600"/>
        <v>#N/A</v>
      </c>
      <c r="CM500" s="82">
        <f t="shared" si="601"/>
        <v>5.3070370403969858E-3</v>
      </c>
      <c r="CO500" s="149" t="str">
        <f>IF($I500&lt;&gt;"",IF(O500="User Specified",U500,INDEX('Refrigerant GWPs'!$G$2:$G$156,MATCH(O500,'Refrigerant GWPs'!$A$2:$A$156,0))),"")</f>
        <v/>
      </c>
      <c r="CP500" s="138" t="str">
        <f>IF($I500&lt;&gt;"",INDEX('Device Refrigerant Leakage'!$E$2:$E$42,MATCH($M500,'Device Refrigerant Leakage'!$B$2:$B$42,0)),"")</f>
        <v/>
      </c>
      <c r="CQ500" s="138" t="str">
        <f>IF($I500&lt;&gt;"",INDEX('Device Refrigerant Leakage'!$F$2:$F$42,MATCH($M500,'Device Refrigerant Leakage'!$B$2:$B$42,0)),"")</f>
        <v/>
      </c>
      <c r="CR500" s="145" t="str">
        <f>IF($I500&lt;&gt;"",INDEX('Device Refrigerant Leakage'!$G$2:$G$42,MATCH($M500,'Device Refrigerant Leakage'!$B$2:$B$42,0)),"")</f>
        <v/>
      </c>
      <c r="CS500" s="145" t="str">
        <f>IF($I500&lt;&gt;"",INDEX('Device Refrigerant Leakage'!$D$2:$D$42,MATCH($M500,'Device Refrigerant Leakage'!$B$2:$B$42,0))*CP500/2204.62*CO500,"")</f>
        <v/>
      </c>
      <c r="CT500" s="145" t="str">
        <f>IF($I500&lt;&gt;"",J500*(INDEX('Device Refrigerant Leakage'!$D$2:$D$42,MATCH($M500,'Device Refrigerant Leakage'!$B$2:$B$42,0))-(INDEX('Device Refrigerant Leakage'!$D$2:$D$42,MATCH($M500,'Device Refrigerant Leakage'!$B$2:$B$42,0)))*CR500*CP500)*CQ500/2204.62*CO500,"")</f>
        <v/>
      </c>
      <c r="CU500" s="135" t="str">
        <f>IF($I500&lt;&gt;"",J500*IF(W500&lt;&gt;"AR",(CS500*K500)+CT500,(CS500*AB500)+CT500*(AB500/INDEX('Device Refrigerant Leakage'!$C$2:$C$42,MATCH($M500,'Device Refrigerant Leakage'!$B$2:$B$42,0)))),"")</f>
        <v/>
      </c>
      <c r="CW500" s="135" t="str">
        <f>IF($I500&lt;&gt;"",IF(S500="User Specified",V500,INDEX('Refrigerant GWPs'!$G$2:$G$156,MATCH(S500,'Refrigerant GWPs'!$A$2:$A$157,0))),"")</f>
        <v/>
      </c>
      <c r="CX500" s="138" t="str">
        <f>IF($I500&lt;&gt;"",INDEX('Device Refrigerant Leakage'!$E$2:$E$42,MATCH($Q500,'Device Refrigerant Leakage'!$B$2:$B$42,0)),"")</f>
        <v/>
      </c>
      <c r="CY500" s="138" t="str">
        <f>IF($I500&lt;&gt;"",INDEX('Device Refrigerant Leakage'!$F$2:$F$42,MATCH($Q500,'Device Refrigerant Leakage'!$B$2:$B$42,0)),"")</f>
        <v/>
      </c>
      <c r="CZ500" s="145" t="str">
        <f>IF($I500&lt;&gt;"",INDEX('Device Refrigerant Leakage'!$G$2:$G$42,MATCH($Q500,'Device Refrigerant Leakage'!$B$2:$B$42,0)),"")</f>
        <v/>
      </c>
      <c r="DA500" s="145" t="str">
        <f>IF($I500&lt;&gt;"",J500*INDEX('Device Refrigerant Leakage'!$D$2:$D$42,MATCH($Q500,'Device Refrigerant Leakage'!$B$2:$B$42,0))*CX500/2204.62*CW500,"")</f>
        <v/>
      </c>
      <c r="DB500" s="145" t="str">
        <f>IF($I500&lt;&gt;"",J500*(INDEX('Device Refrigerant Leakage'!$D$2:$D$42,MATCH($Q500,'Device Refrigerant Leakage'!$B$2:$B$42,0))-(INDEX('Device Refrigerant Leakage'!$D$2:$D$42,MATCH($Q500,'Device Refrigerant Leakage'!$B$2:$B$42,0)))*CZ500*CX500)*CY500/2204.62*CW500,"")</f>
        <v/>
      </c>
      <c r="DC500" s="135" t="str">
        <f t="shared" si="620"/>
        <v/>
      </c>
      <c r="DE500" s="146" t="str">
        <f>IF(W500&lt;&gt;"AR","",IF(Y500="User Specified", AA500, INDEX('Refrigerant GWPs'!$G$2:$G$154,MATCH(Y500,'Refrigerant GWPs'!$A$2:$A$154,0))))</f>
        <v/>
      </c>
      <c r="DF500" s="146" t="str">
        <f>IF(W500&lt;&gt;"AR","",INDEX('Device Refrigerant Leakage'!$E$2:$E$42,MATCH(X500,'Device Refrigerant Leakage'!$B$2:$B$42,0)))</f>
        <v/>
      </c>
      <c r="DG500" s="146" t="str">
        <f>IF(W500&lt;&gt;"AR","",INDEX('Device Refrigerant Leakage'!$F$2:$F$42,MATCH(X500,'Device Refrigerant Leakage'!$B$2:$B$42,0)))</f>
        <v/>
      </c>
      <c r="DH500" s="146" t="str">
        <f>IF(W500&lt;&gt;"AR","",INDEX('Device Refrigerant Leakage'!$G$2:$G$42,MATCH(X500,'Device Refrigerant Leakage'!$B$2:$B$42,0)))</f>
        <v/>
      </c>
      <c r="DI500" s="146" t="str">
        <f>IF(W500&lt;&gt;"AR","",J500*INDEX('Device Refrigerant Leakage'!$D$2:$D$42,MATCH(X500,'Device Refrigerant Leakage'!$B$2:$B$42,0))*DF500/2204.62*DE500)</f>
        <v/>
      </c>
      <c r="DJ500" s="146" t="str">
        <f>IF(W500&lt;&gt;"AR","",J500*(INDEX('Device Refrigerant Leakage'!$D$2:$D$42,MATCH(X500,'Device Refrigerant Leakage'!$B$2:$B$42,0))-(INDEX('Device Refrigerant Leakage'!$D$2:$D$42,MATCH(X500,'Device Refrigerant Leakage'!$B$2:$B$42,0)))*DH500*DF500)*DG500/2204.62*DE500)</f>
        <v/>
      </c>
      <c r="DK500" s="146" t="str">
        <f>IF(W500&lt;&gt;"AR","",DI500*(K500-AB500)+'Fuel Sub Calcs-Deemed'!DJ500*((K500-AB500)/INDEX('Device Refrigerant Leakage'!$C$2:$C$42,MATCH('Fuel Sub Calcs-Deemed'!X500,'Device Refrigerant Leakage'!$B$2:$B$42,0))))</f>
        <v/>
      </c>
      <c r="DM500" s="56">
        <v>486</v>
      </c>
      <c r="DN500" s="67" t="e">
        <f t="shared" si="602"/>
        <v>#N/A</v>
      </c>
      <c r="DO500" s="45" t="e">
        <f t="shared" si="603"/>
        <v>#N/A</v>
      </c>
      <c r="DP500" s="67" t="e">
        <f t="shared" si="604"/>
        <v>#N/A</v>
      </c>
      <c r="DQ500" s="45" t="e">
        <f t="shared" si="605"/>
        <v>#N/A</v>
      </c>
      <c r="DR500" s="69" t="e">
        <f t="shared" si="606"/>
        <v>#N/A</v>
      </c>
      <c r="DS500" s="34"/>
      <c r="DT500" s="67" t="e">
        <f>((BX500*CJ500)+IF($W500=MAT_AR,(BZ500*CL500),0))*(1+Reference!$E$50+Reference!$E$51)</f>
        <v>#N/A</v>
      </c>
      <c r="DU500" s="67">
        <f>((BY500*CK500)+IF($W500=MAT_AR,(CA500*CM500),0))*(1+Reference!$G$50+Reference!$G$51)</f>
        <v>0</v>
      </c>
      <c r="DV500" s="67" t="e">
        <f t="shared" si="607"/>
        <v>#VALUE!</v>
      </c>
      <c r="DX500" s="56">
        <v>486</v>
      </c>
      <c r="DY500" s="67">
        <f t="shared" si="608"/>
        <v>0</v>
      </c>
      <c r="DZ500" s="45" t="e">
        <f>VLOOKUP($R500,Dropdown!$C$3:$D$4,2,FALSE)</f>
        <v>#N/A</v>
      </c>
      <c r="EA500" s="68">
        <f t="shared" si="609"/>
        <v>0</v>
      </c>
      <c r="EB500" s="68" t="str">
        <f t="shared" si="610"/>
        <v>N/A</v>
      </c>
      <c r="EC500" s="68">
        <f t="shared" si="611"/>
        <v>0</v>
      </c>
      <c r="ED500" s="68" t="str">
        <f t="shared" si="649"/>
        <v>N/A</v>
      </c>
      <c r="EF500" s="56">
        <v>486</v>
      </c>
      <c r="EG500" s="46">
        <f t="shared" si="612"/>
        <v>0</v>
      </c>
      <c r="EH500" s="68" t="e">
        <f t="shared" si="613"/>
        <v>#N/A</v>
      </c>
      <c r="EI500" s="68" t="e">
        <f t="shared" si="614"/>
        <v>#N/A</v>
      </c>
      <c r="EJ500" s="68" t="e">
        <f t="shared" si="615"/>
        <v>#N/A</v>
      </c>
      <c r="EK500" s="68" t="e">
        <f t="shared" si="616"/>
        <v>#N/A</v>
      </c>
      <c r="EL500" s="46">
        <f t="shared" si="617"/>
        <v>0</v>
      </c>
      <c r="EM500" s="46">
        <f t="shared" si="618"/>
        <v>0</v>
      </c>
    </row>
    <row r="501" spans="1:143">
      <c r="A501" s="89"/>
      <c r="B501" s="89"/>
      <c r="C501" s="89"/>
      <c r="D501" s="89"/>
      <c r="E501" s="89"/>
      <c r="F501" s="89"/>
      <c r="G501" s="34"/>
      <c r="H501" s="56">
        <f t="shared" si="619"/>
        <v>487</v>
      </c>
      <c r="I501" s="165"/>
      <c r="J501" s="163"/>
      <c r="K501" s="163"/>
      <c r="L501" s="164"/>
      <c r="M501" s="155"/>
      <c r="N501" s="155"/>
      <c r="O501" s="144"/>
      <c r="P501" s="159" t="str">
        <f>IFERROR(IF(O501&lt;&gt;"User Specified",IF(O501&lt;&gt;"", INDEX('Refrigerant GWPs'!$G$2:$G$154,MATCH(O501,'Refrigerant GWPs'!$A$2:$A$154,0)),""),U501),0)</f>
        <v/>
      </c>
      <c r="Q501" s="155"/>
      <c r="R501" s="155"/>
      <c r="S501" s="144"/>
      <c r="T501" s="159" t="str">
        <f>IF(S501&lt;&gt;"User Specified",IF(AND(S501&lt;&gt;"User Specified",S501&lt;&gt;""), INDEX('Refrigerant GWPs'!$G$2:$G$154,MATCH(S501,'Refrigerant GWPs'!$A$2:$A$154,0)),""),V501)</f>
        <v/>
      </c>
      <c r="U501" s="144"/>
      <c r="V501" s="144"/>
      <c r="W501" s="155"/>
      <c r="X501" s="155"/>
      <c r="Y501" s="144"/>
      <c r="Z501" s="159" t="str">
        <f>IF(AND(Y501&lt;&gt;"User Specified",Y501&lt;&gt;""), INDEX('Refrigerant GWPs'!$G$2:$G$154,MATCH(Y501,'Refrigerant GWPs'!$A$2:$A$154,0)),"")</f>
        <v/>
      </c>
      <c r="AA501" s="155"/>
      <c r="AB501" s="156"/>
      <c r="AC501" s="66"/>
      <c r="AD501" s="66"/>
      <c r="AE501" s="66"/>
      <c r="AF501" s="66"/>
      <c r="AG501" s="66"/>
      <c r="AH501" s="66"/>
      <c r="AI501" s="34"/>
      <c r="AJ501" s="88">
        <f t="shared" si="582"/>
        <v>0</v>
      </c>
      <c r="AK501" s="88">
        <f t="shared" si="583"/>
        <v>0</v>
      </c>
      <c r="AL501" s="88">
        <v>0</v>
      </c>
      <c r="AM501" s="88">
        <v>0</v>
      </c>
      <c r="AN501" s="81" t="str">
        <f t="shared" si="621"/>
        <v/>
      </c>
      <c r="AO501" s="88">
        <f t="shared" si="584"/>
        <v>0</v>
      </c>
      <c r="AP501" s="88">
        <f t="shared" si="585"/>
        <v>0</v>
      </c>
      <c r="AQ501" s="81" t="str">
        <f t="shared" si="586"/>
        <v/>
      </c>
      <c r="AS501" s="41" t="b">
        <f t="shared" si="587"/>
        <v>1</v>
      </c>
      <c r="AT501" s="38">
        <f t="shared" si="588"/>
        <v>0</v>
      </c>
      <c r="AU501" s="60">
        <f t="shared" si="589"/>
        <v>0</v>
      </c>
      <c r="AV501" s="41">
        <f t="shared" si="590"/>
        <v>0</v>
      </c>
      <c r="AW501" s="41" t="b">
        <f t="shared" si="591"/>
        <v>0</v>
      </c>
      <c r="AX501" t="str">
        <f t="shared" si="592"/>
        <v>+00</v>
      </c>
      <c r="AY501" t="str">
        <f t="shared" si="593"/>
        <v>+00</v>
      </c>
      <c r="BA501" s="47" t="b">
        <f t="shared" si="622"/>
        <v>1</v>
      </c>
      <c r="BB501" s="42" t="b">
        <f t="shared" si="623"/>
        <v>1</v>
      </c>
      <c r="BC501" s="42" t="b">
        <f t="shared" si="624"/>
        <v>0</v>
      </c>
      <c r="BD501" s="42" t="b">
        <f t="shared" si="625"/>
        <v>0</v>
      </c>
      <c r="BE501" s="70">
        <f t="shared" si="626"/>
        <v>0</v>
      </c>
      <c r="BF501" s="70">
        <f t="shared" si="627"/>
        <v>0</v>
      </c>
      <c r="BG501" s="34"/>
      <c r="BI501" s="47" t="b">
        <f t="shared" si="628"/>
        <v>1</v>
      </c>
      <c r="BJ501" s="47" t="b">
        <f t="shared" si="629"/>
        <v>1</v>
      </c>
      <c r="BK501" s="42" t="b">
        <f t="shared" si="630"/>
        <v>0</v>
      </c>
      <c r="BL501" s="42" t="b">
        <f t="shared" si="631"/>
        <v>0</v>
      </c>
      <c r="BM501" s="42">
        <f t="shared" si="632"/>
        <v>0</v>
      </c>
      <c r="BN501" s="42">
        <f t="shared" si="633"/>
        <v>0</v>
      </c>
      <c r="BP501" t="e">
        <f t="shared" si="634"/>
        <v>#N/A</v>
      </c>
      <c r="BQ501" t="e">
        <f t="shared" si="635"/>
        <v>#N/A</v>
      </c>
      <c r="BR501" t="e">
        <f t="shared" si="636"/>
        <v>#N/A</v>
      </c>
      <c r="BT501" s="60">
        <f t="shared" si="637"/>
        <v>0</v>
      </c>
      <c r="BU501" s="60">
        <f t="shared" si="638"/>
        <v>0</v>
      </c>
      <c r="BV501" s="60">
        <f t="shared" si="639"/>
        <v>0</v>
      </c>
      <c r="BW501" s="60">
        <f t="shared" si="640"/>
        <v>0</v>
      </c>
      <c r="BX501" s="60">
        <f t="shared" si="641"/>
        <v>0</v>
      </c>
      <c r="BY501" s="60">
        <f t="shared" si="642"/>
        <v>0</v>
      </c>
      <c r="BZ501" s="60">
        <f t="shared" si="643"/>
        <v>0</v>
      </c>
      <c r="CA501" s="60">
        <f t="shared" si="644"/>
        <v>0</v>
      </c>
      <c r="CB501" s="60" t="e">
        <f t="shared" si="594"/>
        <v>#N/A</v>
      </c>
      <c r="CC501" s="60">
        <f t="shared" si="595"/>
        <v>100000</v>
      </c>
      <c r="CD501" s="60" t="e">
        <f t="shared" si="596"/>
        <v>#N/A</v>
      </c>
      <c r="CE501" s="60">
        <f t="shared" si="597"/>
        <v>100000</v>
      </c>
      <c r="CF501" s="83" t="e">
        <f t="shared" si="645"/>
        <v>#N/A</v>
      </c>
      <c r="CG501" s="83">
        <f t="shared" si="646"/>
        <v>0</v>
      </c>
      <c r="CH501" s="83" t="e">
        <f t="shared" si="647"/>
        <v>#N/A</v>
      </c>
      <c r="CI501" s="83">
        <f t="shared" si="648"/>
        <v>0</v>
      </c>
      <c r="CJ501" s="86" t="e">
        <f t="shared" si="598"/>
        <v>#N/A</v>
      </c>
      <c r="CK501" s="82">
        <f t="shared" si="599"/>
        <v>5.3070370403969858E-3</v>
      </c>
      <c r="CL501" s="82" t="e">
        <f t="shared" si="600"/>
        <v>#N/A</v>
      </c>
      <c r="CM501" s="82">
        <f t="shared" si="601"/>
        <v>5.3070370403969858E-3</v>
      </c>
      <c r="CO501" s="149" t="str">
        <f>IF($I501&lt;&gt;"",IF(O501="User Specified",U501,INDEX('Refrigerant GWPs'!$G$2:$G$156,MATCH(O501,'Refrigerant GWPs'!$A$2:$A$156,0))),"")</f>
        <v/>
      </c>
      <c r="CP501" s="138" t="str">
        <f>IF($I501&lt;&gt;"",INDEX('Device Refrigerant Leakage'!$E$2:$E$42,MATCH($M501,'Device Refrigerant Leakage'!$B$2:$B$42,0)),"")</f>
        <v/>
      </c>
      <c r="CQ501" s="138" t="str">
        <f>IF($I501&lt;&gt;"",INDEX('Device Refrigerant Leakage'!$F$2:$F$42,MATCH($M501,'Device Refrigerant Leakage'!$B$2:$B$42,0)),"")</f>
        <v/>
      </c>
      <c r="CR501" s="145" t="str">
        <f>IF($I501&lt;&gt;"",INDEX('Device Refrigerant Leakage'!$G$2:$G$42,MATCH($M501,'Device Refrigerant Leakage'!$B$2:$B$42,0)),"")</f>
        <v/>
      </c>
      <c r="CS501" s="145" t="str">
        <f>IF($I501&lt;&gt;"",INDEX('Device Refrigerant Leakage'!$D$2:$D$42,MATCH($M501,'Device Refrigerant Leakage'!$B$2:$B$42,0))*CP501/2204.62*CO501,"")</f>
        <v/>
      </c>
      <c r="CT501" s="145" t="str">
        <f>IF($I501&lt;&gt;"",J501*(INDEX('Device Refrigerant Leakage'!$D$2:$D$42,MATCH($M501,'Device Refrigerant Leakage'!$B$2:$B$42,0))-(INDEX('Device Refrigerant Leakage'!$D$2:$D$42,MATCH($M501,'Device Refrigerant Leakage'!$B$2:$B$42,0)))*CR501*CP501)*CQ501/2204.62*CO501,"")</f>
        <v/>
      </c>
      <c r="CU501" s="135" t="str">
        <f>IF($I501&lt;&gt;"",J501*IF(W501&lt;&gt;"AR",(CS501*K501)+CT501,(CS501*AB501)+CT501*(AB501/INDEX('Device Refrigerant Leakage'!$C$2:$C$42,MATCH($M501,'Device Refrigerant Leakage'!$B$2:$B$42,0)))),"")</f>
        <v/>
      </c>
      <c r="CW501" s="135" t="str">
        <f>IF($I501&lt;&gt;"",IF(S501="User Specified",V501,INDEX('Refrigerant GWPs'!$G$2:$G$156,MATCH(S501,'Refrigerant GWPs'!$A$2:$A$157,0))),"")</f>
        <v/>
      </c>
      <c r="CX501" s="138" t="str">
        <f>IF($I501&lt;&gt;"",INDEX('Device Refrigerant Leakage'!$E$2:$E$42,MATCH($Q501,'Device Refrigerant Leakage'!$B$2:$B$42,0)),"")</f>
        <v/>
      </c>
      <c r="CY501" s="138" t="str">
        <f>IF($I501&lt;&gt;"",INDEX('Device Refrigerant Leakage'!$F$2:$F$42,MATCH($Q501,'Device Refrigerant Leakage'!$B$2:$B$42,0)),"")</f>
        <v/>
      </c>
      <c r="CZ501" s="145" t="str">
        <f>IF($I501&lt;&gt;"",INDEX('Device Refrigerant Leakage'!$G$2:$G$42,MATCH($Q501,'Device Refrigerant Leakage'!$B$2:$B$42,0)),"")</f>
        <v/>
      </c>
      <c r="DA501" s="145" t="str">
        <f>IF($I501&lt;&gt;"",J501*INDEX('Device Refrigerant Leakage'!$D$2:$D$42,MATCH($Q501,'Device Refrigerant Leakage'!$B$2:$B$42,0))*CX501/2204.62*CW501,"")</f>
        <v/>
      </c>
      <c r="DB501" s="145" t="str">
        <f>IF($I501&lt;&gt;"",J501*(INDEX('Device Refrigerant Leakage'!$D$2:$D$42,MATCH($Q501,'Device Refrigerant Leakage'!$B$2:$B$42,0))-(INDEX('Device Refrigerant Leakage'!$D$2:$D$42,MATCH($Q501,'Device Refrigerant Leakage'!$B$2:$B$42,0)))*CZ501*CX501)*CY501/2204.62*CW501,"")</f>
        <v/>
      </c>
      <c r="DC501" s="135" t="str">
        <f t="shared" si="620"/>
        <v/>
      </c>
      <c r="DE501" s="146" t="str">
        <f>IF(W501&lt;&gt;"AR","",IF(Y501="User Specified", AA501, INDEX('Refrigerant GWPs'!$G$2:$G$154,MATCH(Y501,'Refrigerant GWPs'!$A$2:$A$154,0))))</f>
        <v/>
      </c>
      <c r="DF501" s="146" t="str">
        <f>IF(W501&lt;&gt;"AR","",INDEX('Device Refrigerant Leakage'!$E$2:$E$42,MATCH(X501,'Device Refrigerant Leakage'!$B$2:$B$42,0)))</f>
        <v/>
      </c>
      <c r="DG501" s="146" t="str">
        <f>IF(W501&lt;&gt;"AR","",INDEX('Device Refrigerant Leakage'!$F$2:$F$42,MATCH(X501,'Device Refrigerant Leakage'!$B$2:$B$42,0)))</f>
        <v/>
      </c>
      <c r="DH501" s="146" t="str">
        <f>IF(W501&lt;&gt;"AR","",INDEX('Device Refrigerant Leakage'!$G$2:$G$42,MATCH(X501,'Device Refrigerant Leakage'!$B$2:$B$42,0)))</f>
        <v/>
      </c>
      <c r="DI501" s="146" t="str">
        <f>IF(W501&lt;&gt;"AR","",J501*INDEX('Device Refrigerant Leakage'!$D$2:$D$42,MATCH(X501,'Device Refrigerant Leakage'!$B$2:$B$42,0))*DF501/2204.62*DE501)</f>
        <v/>
      </c>
      <c r="DJ501" s="146" t="str">
        <f>IF(W501&lt;&gt;"AR","",J501*(INDEX('Device Refrigerant Leakage'!$D$2:$D$42,MATCH(X501,'Device Refrigerant Leakage'!$B$2:$B$42,0))-(INDEX('Device Refrigerant Leakage'!$D$2:$D$42,MATCH(X501,'Device Refrigerant Leakage'!$B$2:$B$42,0)))*DH501*DF501)*DG501/2204.62*DE501)</f>
        <v/>
      </c>
      <c r="DK501" s="146" t="str">
        <f>IF(W501&lt;&gt;"AR","",DI501*(K501-AB501)+'Fuel Sub Calcs-Deemed'!DJ501*((K501-AB501)/INDEX('Device Refrigerant Leakage'!$C$2:$C$42,MATCH('Fuel Sub Calcs-Deemed'!X501,'Device Refrigerant Leakage'!$B$2:$B$42,0))))</f>
        <v/>
      </c>
      <c r="DM501" s="56">
        <v>487</v>
      </c>
      <c r="DN501" s="67" t="e">
        <f t="shared" si="602"/>
        <v>#N/A</v>
      </c>
      <c r="DO501" s="45" t="e">
        <f t="shared" si="603"/>
        <v>#N/A</v>
      </c>
      <c r="DP501" s="67" t="e">
        <f t="shared" si="604"/>
        <v>#N/A</v>
      </c>
      <c r="DQ501" s="45" t="e">
        <f t="shared" si="605"/>
        <v>#N/A</v>
      </c>
      <c r="DR501" s="69" t="e">
        <f t="shared" si="606"/>
        <v>#N/A</v>
      </c>
      <c r="DS501" s="34"/>
      <c r="DT501" s="67" t="e">
        <f>((BX501*CJ501)+IF($W501=MAT_AR,(BZ501*CL501),0))*(1+Reference!$E$50+Reference!$E$51)</f>
        <v>#N/A</v>
      </c>
      <c r="DU501" s="67">
        <f>((BY501*CK501)+IF($W501=MAT_AR,(CA501*CM501),0))*(1+Reference!$G$50+Reference!$G$51)</f>
        <v>0</v>
      </c>
      <c r="DV501" s="67" t="e">
        <f t="shared" si="607"/>
        <v>#VALUE!</v>
      </c>
      <c r="DX501" s="56">
        <v>487</v>
      </c>
      <c r="DY501" s="67">
        <f t="shared" si="608"/>
        <v>0</v>
      </c>
      <c r="DZ501" s="45" t="e">
        <f>VLOOKUP($R501,Dropdown!$C$3:$D$4,2,FALSE)</f>
        <v>#N/A</v>
      </c>
      <c r="EA501" s="68">
        <f t="shared" si="609"/>
        <v>0</v>
      </c>
      <c r="EB501" s="68" t="str">
        <f t="shared" si="610"/>
        <v>N/A</v>
      </c>
      <c r="EC501" s="68">
        <f t="shared" si="611"/>
        <v>0</v>
      </c>
      <c r="ED501" s="68" t="str">
        <f t="shared" si="649"/>
        <v>N/A</v>
      </c>
      <c r="EF501" s="56">
        <v>487</v>
      </c>
      <c r="EG501" s="46">
        <f t="shared" si="612"/>
        <v>0</v>
      </c>
      <c r="EH501" s="68" t="e">
        <f t="shared" si="613"/>
        <v>#N/A</v>
      </c>
      <c r="EI501" s="68" t="e">
        <f t="shared" si="614"/>
        <v>#N/A</v>
      </c>
      <c r="EJ501" s="68" t="e">
        <f t="shared" si="615"/>
        <v>#N/A</v>
      </c>
      <c r="EK501" s="68" t="e">
        <f t="shared" si="616"/>
        <v>#N/A</v>
      </c>
      <c r="EL501" s="46">
        <f t="shared" si="617"/>
        <v>0</v>
      </c>
      <c r="EM501" s="46">
        <f t="shared" si="618"/>
        <v>0</v>
      </c>
    </row>
    <row r="502" spans="1:143">
      <c r="A502" s="89"/>
      <c r="B502" s="89"/>
      <c r="C502" s="89"/>
      <c r="D502" s="89"/>
      <c r="E502" s="89"/>
      <c r="F502" s="89"/>
      <c r="G502" s="34"/>
      <c r="H502" s="56">
        <f t="shared" si="619"/>
        <v>488</v>
      </c>
      <c r="I502" s="165"/>
      <c r="J502" s="163"/>
      <c r="K502" s="163"/>
      <c r="L502" s="164"/>
      <c r="M502" s="155"/>
      <c r="N502" s="155"/>
      <c r="O502" s="144"/>
      <c r="P502" s="159" t="str">
        <f>IFERROR(IF(O502&lt;&gt;"User Specified",IF(O502&lt;&gt;"", INDEX('Refrigerant GWPs'!$G$2:$G$154,MATCH(O502,'Refrigerant GWPs'!$A$2:$A$154,0)),""),U502),0)</f>
        <v/>
      </c>
      <c r="Q502" s="155"/>
      <c r="R502" s="155"/>
      <c r="S502" s="144"/>
      <c r="T502" s="159" t="str">
        <f>IF(S502&lt;&gt;"User Specified",IF(AND(S502&lt;&gt;"User Specified",S502&lt;&gt;""), INDEX('Refrigerant GWPs'!$G$2:$G$154,MATCH(S502,'Refrigerant GWPs'!$A$2:$A$154,0)),""),V502)</f>
        <v/>
      </c>
      <c r="U502" s="144"/>
      <c r="V502" s="144"/>
      <c r="W502" s="155"/>
      <c r="X502" s="155"/>
      <c r="Y502" s="144"/>
      <c r="Z502" s="159" t="str">
        <f>IF(AND(Y502&lt;&gt;"User Specified",Y502&lt;&gt;""), INDEX('Refrigerant GWPs'!$G$2:$G$154,MATCH(Y502,'Refrigerant GWPs'!$A$2:$A$154,0)),"")</f>
        <v/>
      </c>
      <c r="AA502" s="155"/>
      <c r="AB502" s="156"/>
      <c r="AC502" s="66"/>
      <c r="AD502" s="66"/>
      <c r="AE502" s="66"/>
      <c r="AF502" s="66"/>
      <c r="AG502" s="66"/>
      <c r="AH502" s="66"/>
      <c r="AI502" s="34"/>
      <c r="AJ502" s="88">
        <f t="shared" si="582"/>
        <v>0</v>
      </c>
      <c r="AK502" s="88">
        <f t="shared" si="583"/>
        <v>0</v>
      </c>
      <c r="AL502" s="88">
        <v>0</v>
      </c>
      <c r="AM502" s="88">
        <v>0</v>
      </c>
      <c r="AN502" s="81" t="str">
        <f t="shared" si="621"/>
        <v/>
      </c>
      <c r="AO502" s="88">
        <f t="shared" si="584"/>
        <v>0</v>
      </c>
      <c r="AP502" s="88">
        <f t="shared" si="585"/>
        <v>0</v>
      </c>
      <c r="AQ502" s="81" t="str">
        <f t="shared" si="586"/>
        <v/>
      </c>
      <c r="AS502" s="41" t="b">
        <f t="shared" si="587"/>
        <v>1</v>
      </c>
      <c r="AT502" s="38">
        <f t="shared" si="588"/>
        <v>0</v>
      </c>
      <c r="AU502" s="60">
        <f t="shared" si="589"/>
        <v>0</v>
      </c>
      <c r="AV502" s="41">
        <f t="shared" si="590"/>
        <v>0</v>
      </c>
      <c r="AW502" s="41" t="b">
        <f t="shared" si="591"/>
        <v>0</v>
      </c>
      <c r="AX502" t="str">
        <f t="shared" si="592"/>
        <v>+00</v>
      </c>
      <c r="AY502" t="str">
        <f t="shared" si="593"/>
        <v>+00</v>
      </c>
      <c r="BA502" s="47" t="b">
        <f t="shared" si="622"/>
        <v>1</v>
      </c>
      <c r="BB502" s="42" t="b">
        <f t="shared" si="623"/>
        <v>1</v>
      </c>
      <c r="BC502" s="42" t="b">
        <f t="shared" si="624"/>
        <v>0</v>
      </c>
      <c r="BD502" s="42" t="b">
        <f t="shared" si="625"/>
        <v>0</v>
      </c>
      <c r="BE502" s="70">
        <f t="shared" si="626"/>
        <v>0</v>
      </c>
      <c r="BF502" s="70">
        <f t="shared" si="627"/>
        <v>0</v>
      </c>
      <c r="BG502" s="34"/>
      <c r="BI502" s="47" t="b">
        <f t="shared" si="628"/>
        <v>1</v>
      </c>
      <c r="BJ502" s="47" t="b">
        <f t="shared" si="629"/>
        <v>1</v>
      </c>
      <c r="BK502" s="42" t="b">
        <f t="shared" si="630"/>
        <v>0</v>
      </c>
      <c r="BL502" s="42" t="b">
        <f t="shared" si="631"/>
        <v>0</v>
      </c>
      <c r="BM502" s="42">
        <f t="shared" si="632"/>
        <v>0</v>
      </c>
      <c r="BN502" s="42">
        <f t="shared" si="633"/>
        <v>0</v>
      </c>
      <c r="BP502" t="e">
        <f t="shared" si="634"/>
        <v>#N/A</v>
      </c>
      <c r="BQ502" t="e">
        <f t="shared" si="635"/>
        <v>#N/A</v>
      </c>
      <c r="BR502" t="e">
        <f t="shared" si="636"/>
        <v>#N/A</v>
      </c>
      <c r="BT502" s="60">
        <f t="shared" si="637"/>
        <v>0</v>
      </c>
      <c r="BU502" s="60">
        <f t="shared" si="638"/>
        <v>0</v>
      </c>
      <c r="BV502" s="60">
        <f t="shared" si="639"/>
        <v>0</v>
      </c>
      <c r="BW502" s="60">
        <f t="shared" si="640"/>
        <v>0</v>
      </c>
      <c r="BX502" s="60">
        <f t="shared" si="641"/>
        <v>0</v>
      </c>
      <c r="BY502" s="60">
        <f t="shared" si="642"/>
        <v>0</v>
      </c>
      <c r="BZ502" s="60">
        <f t="shared" si="643"/>
        <v>0</v>
      </c>
      <c r="CA502" s="60">
        <f t="shared" si="644"/>
        <v>0</v>
      </c>
      <c r="CB502" s="60" t="e">
        <f t="shared" si="594"/>
        <v>#N/A</v>
      </c>
      <c r="CC502" s="60">
        <f t="shared" si="595"/>
        <v>100000</v>
      </c>
      <c r="CD502" s="60" t="e">
        <f t="shared" si="596"/>
        <v>#N/A</v>
      </c>
      <c r="CE502" s="60">
        <f t="shared" si="597"/>
        <v>100000</v>
      </c>
      <c r="CF502" s="83" t="e">
        <f t="shared" si="645"/>
        <v>#N/A</v>
      </c>
      <c r="CG502" s="83">
        <f t="shared" si="646"/>
        <v>0</v>
      </c>
      <c r="CH502" s="83" t="e">
        <f t="shared" si="647"/>
        <v>#N/A</v>
      </c>
      <c r="CI502" s="83">
        <f t="shared" si="648"/>
        <v>0</v>
      </c>
      <c r="CJ502" s="86" t="e">
        <f t="shared" si="598"/>
        <v>#N/A</v>
      </c>
      <c r="CK502" s="82">
        <f t="shared" si="599"/>
        <v>5.3070370403969858E-3</v>
      </c>
      <c r="CL502" s="82" t="e">
        <f t="shared" si="600"/>
        <v>#N/A</v>
      </c>
      <c r="CM502" s="82">
        <f t="shared" si="601"/>
        <v>5.3070370403969858E-3</v>
      </c>
      <c r="CO502" s="149" t="str">
        <f>IF($I502&lt;&gt;"",IF(O502="User Specified",U502,INDEX('Refrigerant GWPs'!$G$2:$G$156,MATCH(O502,'Refrigerant GWPs'!$A$2:$A$156,0))),"")</f>
        <v/>
      </c>
      <c r="CP502" s="138" t="str">
        <f>IF($I502&lt;&gt;"",INDEX('Device Refrigerant Leakage'!$E$2:$E$42,MATCH($M502,'Device Refrigerant Leakage'!$B$2:$B$42,0)),"")</f>
        <v/>
      </c>
      <c r="CQ502" s="138" t="str">
        <f>IF($I502&lt;&gt;"",INDEX('Device Refrigerant Leakage'!$F$2:$F$42,MATCH($M502,'Device Refrigerant Leakage'!$B$2:$B$42,0)),"")</f>
        <v/>
      </c>
      <c r="CR502" s="145" t="str">
        <f>IF($I502&lt;&gt;"",INDEX('Device Refrigerant Leakage'!$G$2:$G$42,MATCH($M502,'Device Refrigerant Leakage'!$B$2:$B$42,0)),"")</f>
        <v/>
      </c>
      <c r="CS502" s="145" t="str">
        <f>IF($I502&lt;&gt;"",INDEX('Device Refrigerant Leakage'!$D$2:$D$42,MATCH($M502,'Device Refrigerant Leakage'!$B$2:$B$42,0))*CP502/2204.62*CO502,"")</f>
        <v/>
      </c>
      <c r="CT502" s="145" t="str">
        <f>IF($I502&lt;&gt;"",J502*(INDEX('Device Refrigerant Leakage'!$D$2:$D$42,MATCH($M502,'Device Refrigerant Leakage'!$B$2:$B$42,0))-(INDEX('Device Refrigerant Leakage'!$D$2:$D$42,MATCH($M502,'Device Refrigerant Leakage'!$B$2:$B$42,0)))*CR502*CP502)*CQ502/2204.62*CO502,"")</f>
        <v/>
      </c>
      <c r="CU502" s="135" t="str">
        <f>IF($I502&lt;&gt;"",J502*IF(W502&lt;&gt;"AR",(CS502*K502)+CT502,(CS502*AB502)+CT502*(AB502/INDEX('Device Refrigerant Leakage'!$C$2:$C$42,MATCH($M502,'Device Refrigerant Leakage'!$B$2:$B$42,0)))),"")</f>
        <v/>
      </c>
      <c r="CW502" s="135" t="str">
        <f>IF($I502&lt;&gt;"",IF(S502="User Specified",V502,INDEX('Refrigerant GWPs'!$G$2:$G$156,MATCH(S502,'Refrigerant GWPs'!$A$2:$A$157,0))),"")</f>
        <v/>
      </c>
      <c r="CX502" s="138" t="str">
        <f>IF($I502&lt;&gt;"",INDEX('Device Refrigerant Leakage'!$E$2:$E$42,MATCH($Q502,'Device Refrigerant Leakage'!$B$2:$B$42,0)),"")</f>
        <v/>
      </c>
      <c r="CY502" s="138" t="str">
        <f>IF($I502&lt;&gt;"",INDEX('Device Refrigerant Leakage'!$F$2:$F$42,MATCH($Q502,'Device Refrigerant Leakage'!$B$2:$B$42,0)),"")</f>
        <v/>
      </c>
      <c r="CZ502" s="145" t="str">
        <f>IF($I502&lt;&gt;"",INDEX('Device Refrigerant Leakage'!$G$2:$G$42,MATCH($Q502,'Device Refrigerant Leakage'!$B$2:$B$42,0)),"")</f>
        <v/>
      </c>
      <c r="DA502" s="145" t="str">
        <f>IF($I502&lt;&gt;"",J502*INDEX('Device Refrigerant Leakage'!$D$2:$D$42,MATCH($Q502,'Device Refrigerant Leakage'!$B$2:$B$42,0))*CX502/2204.62*CW502,"")</f>
        <v/>
      </c>
      <c r="DB502" s="145" t="str">
        <f>IF($I502&lt;&gt;"",J502*(INDEX('Device Refrigerant Leakage'!$D$2:$D$42,MATCH($Q502,'Device Refrigerant Leakage'!$B$2:$B$42,0))-(INDEX('Device Refrigerant Leakage'!$D$2:$D$42,MATCH($Q502,'Device Refrigerant Leakage'!$B$2:$B$42,0)))*CZ502*CX502)*CY502/2204.62*CW502,"")</f>
        <v/>
      </c>
      <c r="DC502" s="135" t="str">
        <f t="shared" si="620"/>
        <v/>
      </c>
      <c r="DE502" s="146" t="str">
        <f>IF(W502&lt;&gt;"AR","",IF(Y502="User Specified", AA502, INDEX('Refrigerant GWPs'!$G$2:$G$154,MATCH(Y502,'Refrigerant GWPs'!$A$2:$A$154,0))))</f>
        <v/>
      </c>
      <c r="DF502" s="146" t="str">
        <f>IF(W502&lt;&gt;"AR","",INDEX('Device Refrigerant Leakage'!$E$2:$E$42,MATCH(X502,'Device Refrigerant Leakage'!$B$2:$B$42,0)))</f>
        <v/>
      </c>
      <c r="DG502" s="146" t="str">
        <f>IF(W502&lt;&gt;"AR","",INDEX('Device Refrigerant Leakage'!$F$2:$F$42,MATCH(X502,'Device Refrigerant Leakage'!$B$2:$B$42,0)))</f>
        <v/>
      </c>
      <c r="DH502" s="146" t="str">
        <f>IF(W502&lt;&gt;"AR","",INDEX('Device Refrigerant Leakage'!$G$2:$G$42,MATCH(X502,'Device Refrigerant Leakage'!$B$2:$B$42,0)))</f>
        <v/>
      </c>
      <c r="DI502" s="146" t="str">
        <f>IF(W502&lt;&gt;"AR","",J502*INDEX('Device Refrigerant Leakage'!$D$2:$D$42,MATCH(X502,'Device Refrigerant Leakage'!$B$2:$B$42,0))*DF502/2204.62*DE502)</f>
        <v/>
      </c>
      <c r="DJ502" s="146" t="str">
        <f>IF(W502&lt;&gt;"AR","",J502*(INDEX('Device Refrigerant Leakage'!$D$2:$D$42,MATCH(X502,'Device Refrigerant Leakage'!$B$2:$B$42,0))-(INDEX('Device Refrigerant Leakage'!$D$2:$D$42,MATCH(X502,'Device Refrigerant Leakage'!$B$2:$B$42,0)))*DH502*DF502)*DG502/2204.62*DE502)</f>
        <v/>
      </c>
      <c r="DK502" s="146" t="str">
        <f>IF(W502&lt;&gt;"AR","",DI502*(K502-AB502)+'Fuel Sub Calcs-Deemed'!DJ502*((K502-AB502)/INDEX('Device Refrigerant Leakage'!$C$2:$C$42,MATCH('Fuel Sub Calcs-Deemed'!X502,'Device Refrigerant Leakage'!$B$2:$B$42,0))))</f>
        <v/>
      </c>
      <c r="DM502" s="56">
        <v>488</v>
      </c>
      <c r="DN502" s="67" t="e">
        <f t="shared" si="602"/>
        <v>#N/A</v>
      </c>
      <c r="DO502" s="45" t="e">
        <f t="shared" si="603"/>
        <v>#N/A</v>
      </c>
      <c r="DP502" s="67" t="e">
        <f t="shared" si="604"/>
        <v>#N/A</v>
      </c>
      <c r="DQ502" s="45" t="e">
        <f t="shared" si="605"/>
        <v>#N/A</v>
      </c>
      <c r="DR502" s="69" t="e">
        <f t="shared" si="606"/>
        <v>#N/A</v>
      </c>
      <c r="DS502" s="34"/>
      <c r="DT502" s="67" t="e">
        <f>((BX502*CJ502)+IF($W502=MAT_AR,(BZ502*CL502),0))*(1+Reference!$E$50+Reference!$E$51)</f>
        <v>#N/A</v>
      </c>
      <c r="DU502" s="67">
        <f>((BY502*CK502)+IF($W502=MAT_AR,(CA502*CM502),0))*(1+Reference!$G$50+Reference!$G$51)</f>
        <v>0</v>
      </c>
      <c r="DV502" s="67" t="e">
        <f t="shared" si="607"/>
        <v>#VALUE!</v>
      </c>
      <c r="DX502" s="56">
        <v>488</v>
      </c>
      <c r="DY502" s="67">
        <f t="shared" si="608"/>
        <v>0</v>
      </c>
      <c r="DZ502" s="45" t="e">
        <f>VLOOKUP($R502,Dropdown!$C$3:$D$4,2,FALSE)</f>
        <v>#N/A</v>
      </c>
      <c r="EA502" s="68">
        <f t="shared" si="609"/>
        <v>0</v>
      </c>
      <c r="EB502" s="68" t="str">
        <f t="shared" si="610"/>
        <v>N/A</v>
      </c>
      <c r="EC502" s="68">
        <f t="shared" si="611"/>
        <v>0</v>
      </c>
      <c r="ED502" s="68" t="str">
        <f t="shared" si="649"/>
        <v>N/A</v>
      </c>
      <c r="EF502" s="56">
        <v>488</v>
      </c>
      <c r="EG502" s="46">
        <f t="shared" si="612"/>
        <v>0</v>
      </c>
      <c r="EH502" s="68" t="e">
        <f t="shared" si="613"/>
        <v>#N/A</v>
      </c>
      <c r="EI502" s="68" t="e">
        <f t="shared" si="614"/>
        <v>#N/A</v>
      </c>
      <c r="EJ502" s="68" t="e">
        <f t="shared" si="615"/>
        <v>#N/A</v>
      </c>
      <c r="EK502" s="68" t="e">
        <f t="shared" si="616"/>
        <v>#N/A</v>
      </c>
      <c r="EL502" s="46">
        <f t="shared" si="617"/>
        <v>0</v>
      </c>
      <c r="EM502" s="46">
        <f t="shared" si="618"/>
        <v>0</v>
      </c>
    </row>
    <row r="503" spans="1:143">
      <c r="A503" s="89"/>
      <c r="B503" s="89"/>
      <c r="C503" s="89"/>
      <c r="D503" s="89"/>
      <c r="E503" s="89"/>
      <c r="F503" s="89"/>
      <c r="G503" s="34"/>
      <c r="H503" s="56">
        <f t="shared" si="619"/>
        <v>489</v>
      </c>
      <c r="I503" s="165"/>
      <c r="J503" s="163"/>
      <c r="K503" s="163"/>
      <c r="L503" s="164"/>
      <c r="M503" s="155"/>
      <c r="N503" s="155"/>
      <c r="O503" s="144"/>
      <c r="P503" s="159" t="str">
        <f>IFERROR(IF(O503&lt;&gt;"User Specified",IF(O503&lt;&gt;"", INDEX('Refrigerant GWPs'!$G$2:$G$154,MATCH(O503,'Refrigerant GWPs'!$A$2:$A$154,0)),""),U503),0)</f>
        <v/>
      </c>
      <c r="Q503" s="155"/>
      <c r="R503" s="155"/>
      <c r="S503" s="144"/>
      <c r="T503" s="159" t="str">
        <f>IF(S503&lt;&gt;"User Specified",IF(AND(S503&lt;&gt;"User Specified",S503&lt;&gt;""), INDEX('Refrigerant GWPs'!$G$2:$G$154,MATCH(S503,'Refrigerant GWPs'!$A$2:$A$154,0)),""),V503)</f>
        <v/>
      </c>
      <c r="U503" s="144"/>
      <c r="V503" s="144"/>
      <c r="W503" s="155"/>
      <c r="X503" s="155"/>
      <c r="Y503" s="144"/>
      <c r="Z503" s="159" t="str">
        <f>IF(AND(Y503&lt;&gt;"User Specified",Y503&lt;&gt;""), INDEX('Refrigerant GWPs'!$G$2:$G$154,MATCH(Y503,'Refrigerant GWPs'!$A$2:$A$154,0)),"")</f>
        <v/>
      </c>
      <c r="AA503" s="155"/>
      <c r="AB503" s="156"/>
      <c r="AC503" s="66"/>
      <c r="AD503" s="66"/>
      <c r="AE503" s="66"/>
      <c r="AF503" s="66"/>
      <c r="AG503" s="66"/>
      <c r="AH503" s="66"/>
      <c r="AI503" s="34"/>
      <c r="AJ503" s="88">
        <f t="shared" si="582"/>
        <v>0</v>
      </c>
      <c r="AK503" s="88">
        <f t="shared" si="583"/>
        <v>0</v>
      </c>
      <c r="AL503" s="88">
        <v>0</v>
      </c>
      <c r="AM503" s="88">
        <v>0</v>
      </c>
      <c r="AN503" s="81" t="str">
        <f t="shared" si="621"/>
        <v/>
      </c>
      <c r="AO503" s="88">
        <f t="shared" si="584"/>
        <v>0</v>
      </c>
      <c r="AP503" s="88">
        <f t="shared" si="585"/>
        <v>0</v>
      </c>
      <c r="AQ503" s="81" t="str">
        <f t="shared" si="586"/>
        <v/>
      </c>
      <c r="AS503" s="41" t="b">
        <f t="shared" si="587"/>
        <v>1</v>
      </c>
      <c r="AT503" s="38">
        <f t="shared" si="588"/>
        <v>0</v>
      </c>
      <c r="AU503" s="60">
        <f t="shared" si="589"/>
        <v>0</v>
      </c>
      <c r="AV503" s="41">
        <f t="shared" si="590"/>
        <v>0</v>
      </c>
      <c r="AW503" s="41" t="b">
        <f t="shared" si="591"/>
        <v>0</v>
      </c>
      <c r="AX503" t="str">
        <f t="shared" si="592"/>
        <v>+00</v>
      </c>
      <c r="AY503" t="str">
        <f t="shared" si="593"/>
        <v>+00</v>
      </c>
      <c r="BA503" s="47" t="b">
        <f t="shared" si="622"/>
        <v>1</v>
      </c>
      <c r="BB503" s="42" t="b">
        <f t="shared" si="623"/>
        <v>1</v>
      </c>
      <c r="BC503" s="42" t="b">
        <f t="shared" si="624"/>
        <v>0</v>
      </c>
      <c r="BD503" s="42" t="b">
        <f t="shared" si="625"/>
        <v>0</v>
      </c>
      <c r="BE503" s="70">
        <f t="shared" si="626"/>
        <v>0</v>
      </c>
      <c r="BF503" s="70">
        <f t="shared" si="627"/>
        <v>0</v>
      </c>
      <c r="BG503" s="34"/>
      <c r="BI503" s="47" t="b">
        <f t="shared" si="628"/>
        <v>1</v>
      </c>
      <c r="BJ503" s="47" t="b">
        <f t="shared" si="629"/>
        <v>1</v>
      </c>
      <c r="BK503" s="42" t="b">
        <f t="shared" si="630"/>
        <v>0</v>
      </c>
      <c r="BL503" s="42" t="b">
        <f t="shared" si="631"/>
        <v>0</v>
      </c>
      <c r="BM503" s="42">
        <f t="shared" si="632"/>
        <v>0</v>
      </c>
      <c r="BN503" s="42">
        <f t="shared" si="633"/>
        <v>0</v>
      </c>
      <c r="BP503" t="e">
        <f t="shared" si="634"/>
        <v>#N/A</v>
      </c>
      <c r="BQ503" t="e">
        <f t="shared" si="635"/>
        <v>#N/A</v>
      </c>
      <c r="BR503" t="e">
        <f t="shared" si="636"/>
        <v>#N/A</v>
      </c>
      <c r="BT503" s="60">
        <f t="shared" si="637"/>
        <v>0</v>
      </c>
      <c r="BU503" s="60">
        <f t="shared" si="638"/>
        <v>0</v>
      </c>
      <c r="BV503" s="60">
        <f t="shared" si="639"/>
        <v>0</v>
      </c>
      <c r="BW503" s="60">
        <f t="shared" si="640"/>
        <v>0</v>
      </c>
      <c r="BX503" s="60">
        <f t="shared" si="641"/>
        <v>0</v>
      </c>
      <c r="BY503" s="60">
        <f t="shared" si="642"/>
        <v>0</v>
      </c>
      <c r="BZ503" s="60">
        <f t="shared" si="643"/>
        <v>0</v>
      </c>
      <c r="CA503" s="60">
        <f t="shared" si="644"/>
        <v>0</v>
      </c>
      <c r="CB503" s="60" t="e">
        <f t="shared" si="594"/>
        <v>#N/A</v>
      </c>
      <c r="CC503" s="60">
        <f t="shared" si="595"/>
        <v>100000</v>
      </c>
      <c r="CD503" s="60" t="e">
        <f t="shared" si="596"/>
        <v>#N/A</v>
      </c>
      <c r="CE503" s="60">
        <f t="shared" si="597"/>
        <v>100000</v>
      </c>
      <c r="CF503" s="83" t="e">
        <f t="shared" si="645"/>
        <v>#N/A</v>
      </c>
      <c r="CG503" s="83">
        <f t="shared" si="646"/>
        <v>0</v>
      </c>
      <c r="CH503" s="83" t="e">
        <f t="shared" si="647"/>
        <v>#N/A</v>
      </c>
      <c r="CI503" s="83">
        <f t="shared" si="648"/>
        <v>0</v>
      </c>
      <c r="CJ503" s="86" t="e">
        <f t="shared" si="598"/>
        <v>#N/A</v>
      </c>
      <c r="CK503" s="82">
        <f t="shared" si="599"/>
        <v>5.3070370403969858E-3</v>
      </c>
      <c r="CL503" s="82" t="e">
        <f t="shared" si="600"/>
        <v>#N/A</v>
      </c>
      <c r="CM503" s="82">
        <f t="shared" si="601"/>
        <v>5.3070370403969858E-3</v>
      </c>
      <c r="CO503" s="149" t="str">
        <f>IF($I503&lt;&gt;"",IF(O503="User Specified",U503,INDEX('Refrigerant GWPs'!$G$2:$G$156,MATCH(O503,'Refrigerant GWPs'!$A$2:$A$156,0))),"")</f>
        <v/>
      </c>
      <c r="CP503" s="138" t="str">
        <f>IF($I503&lt;&gt;"",INDEX('Device Refrigerant Leakage'!$E$2:$E$42,MATCH($M503,'Device Refrigerant Leakage'!$B$2:$B$42,0)),"")</f>
        <v/>
      </c>
      <c r="CQ503" s="138" t="str">
        <f>IF($I503&lt;&gt;"",INDEX('Device Refrigerant Leakage'!$F$2:$F$42,MATCH($M503,'Device Refrigerant Leakage'!$B$2:$B$42,0)),"")</f>
        <v/>
      </c>
      <c r="CR503" s="145" t="str">
        <f>IF($I503&lt;&gt;"",INDEX('Device Refrigerant Leakage'!$G$2:$G$42,MATCH($M503,'Device Refrigerant Leakage'!$B$2:$B$42,0)),"")</f>
        <v/>
      </c>
      <c r="CS503" s="145" t="str">
        <f>IF($I503&lt;&gt;"",INDEX('Device Refrigerant Leakage'!$D$2:$D$42,MATCH($M503,'Device Refrigerant Leakage'!$B$2:$B$42,0))*CP503/2204.62*CO503,"")</f>
        <v/>
      </c>
      <c r="CT503" s="145" t="str">
        <f>IF($I503&lt;&gt;"",J503*(INDEX('Device Refrigerant Leakage'!$D$2:$D$42,MATCH($M503,'Device Refrigerant Leakage'!$B$2:$B$42,0))-(INDEX('Device Refrigerant Leakage'!$D$2:$D$42,MATCH($M503,'Device Refrigerant Leakage'!$B$2:$B$42,0)))*CR503*CP503)*CQ503/2204.62*CO503,"")</f>
        <v/>
      </c>
      <c r="CU503" s="135" t="str">
        <f>IF($I503&lt;&gt;"",J503*IF(W503&lt;&gt;"AR",(CS503*K503)+CT503,(CS503*AB503)+CT503*(AB503/INDEX('Device Refrigerant Leakage'!$C$2:$C$42,MATCH($M503,'Device Refrigerant Leakage'!$B$2:$B$42,0)))),"")</f>
        <v/>
      </c>
      <c r="CW503" s="135" t="str">
        <f>IF($I503&lt;&gt;"",IF(S503="User Specified",V503,INDEX('Refrigerant GWPs'!$G$2:$G$156,MATCH(S503,'Refrigerant GWPs'!$A$2:$A$157,0))),"")</f>
        <v/>
      </c>
      <c r="CX503" s="138" t="str">
        <f>IF($I503&lt;&gt;"",INDEX('Device Refrigerant Leakage'!$E$2:$E$42,MATCH($Q503,'Device Refrigerant Leakage'!$B$2:$B$42,0)),"")</f>
        <v/>
      </c>
      <c r="CY503" s="138" t="str">
        <f>IF($I503&lt;&gt;"",INDEX('Device Refrigerant Leakage'!$F$2:$F$42,MATCH($Q503,'Device Refrigerant Leakage'!$B$2:$B$42,0)),"")</f>
        <v/>
      </c>
      <c r="CZ503" s="145" t="str">
        <f>IF($I503&lt;&gt;"",INDEX('Device Refrigerant Leakage'!$G$2:$G$42,MATCH($Q503,'Device Refrigerant Leakage'!$B$2:$B$42,0)),"")</f>
        <v/>
      </c>
      <c r="DA503" s="145" t="str">
        <f>IF($I503&lt;&gt;"",J503*INDEX('Device Refrigerant Leakage'!$D$2:$D$42,MATCH($Q503,'Device Refrigerant Leakage'!$B$2:$B$42,0))*CX503/2204.62*CW503,"")</f>
        <v/>
      </c>
      <c r="DB503" s="145" t="str">
        <f>IF($I503&lt;&gt;"",J503*(INDEX('Device Refrigerant Leakage'!$D$2:$D$42,MATCH($Q503,'Device Refrigerant Leakage'!$B$2:$B$42,0))-(INDEX('Device Refrigerant Leakage'!$D$2:$D$42,MATCH($Q503,'Device Refrigerant Leakage'!$B$2:$B$42,0)))*CZ503*CX503)*CY503/2204.62*CW503,"")</f>
        <v/>
      </c>
      <c r="DC503" s="135" t="str">
        <f t="shared" si="620"/>
        <v/>
      </c>
      <c r="DE503" s="146" t="str">
        <f>IF(W503&lt;&gt;"AR","",IF(Y503="User Specified", AA503, INDEX('Refrigerant GWPs'!$G$2:$G$154,MATCH(Y503,'Refrigerant GWPs'!$A$2:$A$154,0))))</f>
        <v/>
      </c>
      <c r="DF503" s="146" t="str">
        <f>IF(W503&lt;&gt;"AR","",INDEX('Device Refrigerant Leakage'!$E$2:$E$42,MATCH(X503,'Device Refrigerant Leakage'!$B$2:$B$42,0)))</f>
        <v/>
      </c>
      <c r="DG503" s="146" t="str">
        <f>IF(W503&lt;&gt;"AR","",INDEX('Device Refrigerant Leakage'!$F$2:$F$42,MATCH(X503,'Device Refrigerant Leakage'!$B$2:$B$42,0)))</f>
        <v/>
      </c>
      <c r="DH503" s="146" t="str">
        <f>IF(W503&lt;&gt;"AR","",INDEX('Device Refrigerant Leakage'!$G$2:$G$42,MATCH(X503,'Device Refrigerant Leakage'!$B$2:$B$42,0)))</f>
        <v/>
      </c>
      <c r="DI503" s="146" t="str">
        <f>IF(W503&lt;&gt;"AR","",J503*INDEX('Device Refrigerant Leakage'!$D$2:$D$42,MATCH(X503,'Device Refrigerant Leakage'!$B$2:$B$42,0))*DF503/2204.62*DE503)</f>
        <v/>
      </c>
      <c r="DJ503" s="146" t="str">
        <f>IF(W503&lt;&gt;"AR","",J503*(INDEX('Device Refrigerant Leakage'!$D$2:$D$42,MATCH(X503,'Device Refrigerant Leakage'!$B$2:$B$42,0))-(INDEX('Device Refrigerant Leakage'!$D$2:$D$42,MATCH(X503,'Device Refrigerant Leakage'!$B$2:$B$42,0)))*DH503*DF503)*DG503/2204.62*DE503)</f>
        <v/>
      </c>
      <c r="DK503" s="146" t="str">
        <f>IF(W503&lt;&gt;"AR","",DI503*(K503-AB503)+'Fuel Sub Calcs-Deemed'!DJ503*((K503-AB503)/INDEX('Device Refrigerant Leakage'!$C$2:$C$42,MATCH('Fuel Sub Calcs-Deemed'!X503,'Device Refrigerant Leakage'!$B$2:$B$42,0))))</f>
        <v/>
      </c>
      <c r="DM503" s="56">
        <v>489</v>
      </c>
      <c r="DN503" s="67" t="e">
        <f t="shared" si="602"/>
        <v>#N/A</v>
      </c>
      <c r="DO503" s="45" t="e">
        <f t="shared" si="603"/>
        <v>#N/A</v>
      </c>
      <c r="DP503" s="67" t="e">
        <f t="shared" si="604"/>
        <v>#N/A</v>
      </c>
      <c r="DQ503" s="45" t="e">
        <f t="shared" si="605"/>
        <v>#N/A</v>
      </c>
      <c r="DR503" s="69" t="e">
        <f t="shared" si="606"/>
        <v>#N/A</v>
      </c>
      <c r="DS503" s="34"/>
      <c r="DT503" s="67" t="e">
        <f>((BX503*CJ503)+IF($W503=MAT_AR,(BZ503*CL503),0))*(1+Reference!$E$50+Reference!$E$51)</f>
        <v>#N/A</v>
      </c>
      <c r="DU503" s="67">
        <f>((BY503*CK503)+IF($W503=MAT_AR,(CA503*CM503),0))*(1+Reference!$G$50+Reference!$G$51)</f>
        <v>0</v>
      </c>
      <c r="DV503" s="67" t="e">
        <f t="shared" si="607"/>
        <v>#VALUE!</v>
      </c>
      <c r="DX503" s="56">
        <v>489</v>
      </c>
      <c r="DY503" s="67">
        <f t="shared" si="608"/>
        <v>0</v>
      </c>
      <c r="DZ503" s="45" t="e">
        <f>VLOOKUP($R503,Dropdown!$C$3:$D$4,2,FALSE)</f>
        <v>#N/A</v>
      </c>
      <c r="EA503" s="68">
        <f t="shared" si="609"/>
        <v>0</v>
      </c>
      <c r="EB503" s="68" t="str">
        <f t="shared" si="610"/>
        <v>N/A</v>
      </c>
      <c r="EC503" s="68">
        <f t="shared" si="611"/>
        <v>0</v>
      </c>
      <c r="ED503" s="68" t="str">
        <f t="shared" si="649"/>
        <v>N/A</v>
      </c>
      <c r="EF503" s="56">
        <v>489</v>
      </c>
      <c r="EG503" s="46">
        <f t="shared" si="612"/>
        <v>0</v>
      </c>
      <c r="EH503" s="68" t="e">
        <f t="shared" si="613"/>
        <v>#N/A</v>
      </c>
      <c r="EI503" s="68" t="e">
        <f t="shared" si="614"/>
        <v>#N/A</v>
      </c>
      <c r="EJ503" s="68" t="e">
        <f t="shared" si="615"/>
        <v>#N/A</v>
      </c>
      <c r="EK503" s="68" t="e">
        <f t="shared" si="616"/>
        <v>#N/A</v>
      </c>
      <c r="EL503" s="46">
        <f t="shared" si="617"/>
        <v>0</v>
      </c>
      <c r="EM503" s="46">
        <f t="shared" si="618"/>
        <v>0</v>
      </c>
    </row>
    <row r="504" spans="1:143">
      <c r="A504" s="89"/>
      <c r="B504" s="89"/>
      <c r="C504" s="89"/>
      <c r="D504" s="89"/>
      <c r="E504" s="89"/>
      <c r="F504" s="89"/>
      <c r="G504" s="34"/>
      <c r="H504" s="56">
        <f t="shared" si="619"/>
        <v>490</v>
      </c>
      <c r="I504" s="165"/>
      <c r="J504" s="163"/>
      <c r="K504" s="163"/>
      <c r="L504" s="164"/>
      <c r="M504" s="155"/>
      <c r="N504" s="155"/>
      <c r="O504" s="144"/>
      <c r="P504" s="159" t="str">
        <f>IFERROR(IF(O504&lt;&gt;"User Specified",IF(O504&lt;&gt;"", INDEX('Refrigerant GWPs'!$G$2:$G$154,MATCH(O504,'Refrigerant GWPs'!$A$2:$A$154,0)),""),U504),0)</f>
        <v/>
      </c>
      <c r="Q504" s="155"/>
      <c r="R504" s="155"/>
      <c r="S504" s="144"/>
      <c r="T504" s="159" t="str">
        <f>IF(S504&lt;&gt;"User Specified",IF(AND(S504&lt;&gt;"User Specified",S504&lt;&gt;""), INDEX('Refrigerant GWPs'!$G$2:$G$154,MATCH(S504,'Refrigerant GWPs'!$A$2:$A$154,0)),""),V504)</f>
        <v/>
      </c>
      <c r="U504" s="144"/>
      <c r="V504" s="144"/>
      <c r="W504" s="155"/>
      <c r="X504" s="155"/>
      <c r="Y504" s="144"/>
      <c r="Z504" s="159" t="str">
        <f>IF(AND(Y504&lt;&gt;"User Specified",Y504&lt;&gt;""), INDEX('Refrigerant GWPs'!$G$2:$G$154,MATCH(Y504,'Refrigerant GWPs'!$A$2:$A$154,0)),"")</f>
        <v/>
      </c>
      <c r="AA504" s="155"/>
      <c r="AB504" s="156"/>
      <c r="AC504" s="66"/>
      <c r="AD504" s="66"/>
      <c r="AE504" s="66"/>
      <c r="AF504" s="66"/>
      <c r="AG504" s="66"/>
      <c r="AH504" s="66"/>
      <c r="AI504" s="34"/>
      <c r="AJ504" s="88">
        <f t="shared" si="582"/>
        <v>0</v>
      </c>
      <c r="AK504" s="88">
        <f t="shared" si="583"/>
        <v>0</v>
      </c>
      <c r="AL504" s="88">
        <v>0</v>
      </c>
      <c r="AM504" s="88">
        <v>0</v>
      </c>
      <c r="AN504" s="81" t="str">
        <f t="shared" si="621"/>
        <v/>
      </c>
      <c r="AO504" s="88">
        <f t="shared" si="584"/>
        <v>0</v>
      </c>
      <c r="AP504" s="88">
        <f t="shared" si="585"/>
        <v>0</v>
      </c>
      <c r="AQ504" s="81" t="str">
        <f t="shared" si="586"/>
        <v/>
      </c>
      <c r="AS504" s="41" t="b">
        <f t="shared" si="587"/>
        <v>1</v>
      </c>
      <c r="AT504" s="38">
        <f t="shared" si="588"/>
        <v>0</v>
      </c>
      <c r="AU504" s="60">
        <f t="shared" si="589"/>
        <v>0</v>
      </c>
      <c r="AV504" s="41">
        <f t="shared" si="590"/>
        <v>0</v>
      </c>
      <c r="AW504" s="41" t="b">
        <f t="shared" si="591"/>
        <v>0</v>
      </c>
      <c r="AX504" t="str">
        <f t="shared" si="592"/>
        <v>+00</v>
      </c>
      <c r="AY504" t="str">
        <f t="shared" si="593"/>
        <v>+00</v>
      </c>
      <c r="BA504" s="47" t="b">
        <f t="shared" si="622"/>
        <v>1</v>
      </c>
      <c r="BB504" s="42" t="b">
        <f t="shared" si="623"/>
        <v>1</v>
      </c>
      <c r="BC504" s="42" t="b">
        <f t="shared" si="624"/>
        <v>0</v>
      </c>
      <c r="BD504" s="42" t="b">
        <f t="shared" si="625"/>
        <v>0</v>
      </c>
      <c r="BE504" s="70">
        <f t="shared" si="626"/>
        <v>0</v>
      </c>
      <c r="BF504" s="70">
        <f t="shared" si="627"/>
        <v>0</v>
      </c>
      <c r="BG504" s="34"/>
      <c r="BI504" s="47" t="b">
        <f t="shared" si="628"/>
        <v>1</v>
      </c>
      <c r="BJ504" s="47" t="b">
        <f t="shared" si="629"/>
        <v>1</v>
      </c>
      <c r="BK504" s="42" t="b">
        <f t="shared" si="630"/>
        <v>0</v>
      </c>
      <c r="BL504" s="42" t="b">
        <f t="shared" si="631"/>
        <v>0</v>
      </c>
      <c r="BM504" s="42">
        <f t="shared" si="632"/>
        <v>0</v>
      </c>
      <c r="BN504" s="42">
        <f t="shared" si="633"/>
        <v>0</v>
      </c>
      <c r="BP504" t="e">
        <f t="shared" si="634"/>
        <v>#N/A</v>
      </c>
      <c r="BQ504" t="e">
        <f t="shared" si="635"/>
        <v>#N/A</v>
      </c>
      <c r="BR504" t="e">
        <f t="shared" si="636"/>
        <v>#N/A</v>
      </c>
      <c r="BT504" s="60">
        <f t="shared" si="637"/>
        <v>0</v>
      </c>
      <c r="BU504" s="60">
        <f t="shared" si="638"/>
        <v>0</v>
      </c>
      <c r="BV504" s="60">
        <f t="shared" si="639"/>
        <v>0</v>
      </c>
      <c r="BW504" s="60">
        <f t="shared" si="640"/>
        <v>0</v>
      </c>
      <c r="BX504" s="60">
        <f t="shared" si="641"/>
        <v>0</v>
      </c>
      <c r="BY504" s="60">
        <f t="shared" si="642"/>
        <v>0</v>
      </c>
      <c r="BZ504" s="60">
        <f t="shared" si="643"/>
        <v>0</v>
      </c>
      <c r="CA504" s="60">
        <f t="shared" si="644"/>
        <v>0</v>
      </c>
      <c r="CB504" s="60" t="e">
        <f t="shared" si="594"/>
        <v>#N/A</v>
      </c>
      <c r="CC504" s="60">
        <f t="shared" si="595"/>
        <v>100000</v>
      </c>
      <c r="CD504" s="60" t="e">
        <f t="shared" si="596"/>
        <v>#N/A</v>
      </c>
      <c r="CE504" s="60">
        <f t="shared" si="597"/>
        <v>100000</v>
      </c>
      <c r="CF504" s="83" t="e">
        <f t="shared" si="645"/>
        <v>#N/A</v>
      </c>
      <c r="CG504" s="83">
        <f t="shared" si="646"/>
        <v>0</v>
      </c>
      <c r="CH504" s="83" t="e">
        <f t="shared" si="647"/>
        <v>#N/A</v>
      </c>
      <c r="CI504" s="83">
        <f t="shared" si="648"/>
        <v>0</v>
      </c>
      <c r="CJ504" s="86" t="e">
        <f t="shared" si="598"/>
        <v>#N/A</v>
      </c>
      <c r="CK504" s="82">
        <f t="shared" si="599"/>
        <v>5.3070370403969858E-3</v>
      </c>
      <c r="CL504" s="82" t="e">
        <f t="shared" si="600"/>
        <v>#N/A</v>
      </c>
      <c r="CM504" s="82">
        <f t="shared" si="601"/>
        <v>5.3070370403969858E-3</v>
      </c>
      <c r="CO504" s="149" t="str">
        <f>IF($I504&lt;&gt;"",IF(O504="User Specified",U504,INDEX('Refrigerant GWPs'!$G$2:$G$156,MATCH(O504,'Refrigerant GWPs'!$A$2:$A$156,0))),"")</f>
        <v/>
      </c>
      <c r="CP504" s="138" t="str">
        <f>IF($I504&lt;&gt;"",INDEX('Device Refrigerant Leakage'!$E$2:$E$42,MATCH($M504,'Device Refrigerant Leakage'!$B$2:$B$42,0)),"")</f>
        <v/>
      </c>
      <c r="CQ504" s="138" t="str">
        <f>IF($I504&lt;&gt;"",INDEX('Device Refrigerant Leakage'!$F$2:$F$42,MATCH($M504,'Device Refrigerant Leakage'!$B$2:$B$42,0)),"")</f>
        <v/>
      </c>
      <c r="CR504" s="145" t="str">
        <f>IF($I504&lt;&gt;"",INDEX('Device Refrigerant Leakage'!$G$2:$G$42,MATCH($M504,'Device Refrigerant Leakage'!$B$2:$B$42,0)),"")</f>
        <v/>
      </c>
      <c r="CS504" s="145" t="str">
        <f>IF($I504&lt;&gt;"",INDEX('Device Refrigerant Leakage'!$D$2:$D$42,MATCH($M504,'Device Refrigerant Leakage'!$B$2:$B$42,0))*CP504/2204.62*CO504,"")</f>
        <v/>
      </c>
      <c r="CT504" s="145" t="str">
        <f>IF($I504&lt;&gt;"",J504*(INDEX('Device Refrigerant Leakage'!$D$2:$D$42,MATCH($M504,'Device Refrigerant Leakage'!$B$2:$B$42,0))-(INDEX('Device Refrigerant Leakage'!$D$2:$D$42,MATCH($M504,'Device Refrigerant Leakage'!$B$2:$B$42,0)))*CR504*CP504)*CQ504/2204.62*CO504,"")</f>
        <v/>
      </c>
      <c r="CU504" s="135" t="str">
        <f>IF($I504&lt;&gt;"",J504*IF(W504&lt;&gt;"AR",(CS504*K504)+CT504,(CS504*AB504)+CT504*(AB504/INDEX('Device Refrigerant Leakage'!$C$2:$C$42,MATCH($M504,'Device Refrigerant Leakage'!$B$2:$B$42,0)))),"")</f>
        <v/>
      </c>
      <c r="CW504" s="135" t="str">
        <f>IF($I504&lt;&gt;"",IF(S504="User Specified",V504,INDEX('Refrigerant GWPs'!$G$2:$G$156,MATCH(S504,'Refrigerant GWPs'!$A$2:$A$157,0))),"")</f>
        <v/>
      </c>
      <c r="CX504" s="138" t="str">
        <f>IF($I504&lt;&gt;"",INDEX('Device Refrigerant Leakage'!$E$2:$E$42,MATCH($Q504,'Device Refrigerant Leakage'!$B$2:$B$42,0)),"")</f>
        <v/>
      </c>
      <c r="CY504" s="138" t="str">
        <f>IF($I504&lt;&gt;"",INDEX('Device Refrigerant Leakage'!$F$2:$F$42,MATCH($Q504,'Device Refrigerant Leakage'!$B$2:$B$42,0)),"")</f>
        <v/>
      </c>
      <c r="CZ504" s="145" t="str">
        <f>IF($I504&lt;&gt;"",INDEX('Device Refrigerant Leakage'!$G$2:$G$42,MATCH($Q504,'Device Refrigerant Leakage'!$B$2:$B$42,0)),"")</f>
        <v/>
      </c>
      <c r="DA504" s="145" t="str">
        <f>IF($I504&lt;&gt;"",J504*INDEX('Device Refrigerant Leakage'!$D$2:$D$42,MATCH($Q504,'Device Refrigerant Leakage'!$B$2:$B$42,0))*CX504/2204.62*CW504,"")</f>
        <v/>
      </c>
      <c r="DB504" s="145" t="str">
        <f>IF($I504&lt;&gt;"",J504*(INDEX('Device Refrigerant Leakage'!$D$2:$D$42,MATCH($Q504,'Device Refrigerant Leakage'!$B$2:$B$42,0))-(INDEX('Device Refrigerant Leakage'!$D$2:$D$42,MATCH($Q504,'Device Refrigerant Leakage'!$B$2:$B$42,0)))*CZ504*CX504)*CY504/2204.62*CW504,"")</f>
        <v/>
      </c>
      <c r="DC504" s="135" t="str">
        <f t="shared" si="620"/>
        <v/>
      </c>
      <c r="DE504" s="146" t="str">
        <f>IF(W504&lt;&gt;"AR","",IF(Y504="User Specified", AA504, INDEX('Refrigerant GWPs'!$G$2:$G$154,MATCH(Y504,'Refrigerant GWPs'!$A$2:$A$154,0))))</f>
        <v/>
      </c>
      <c r="DF504" s="146" t="str">
        <f>IF(W504&lt;&gt;"AR","",INDEX('Device Refrigerant Leakage'!$E$2:$E$42,MATCH(X504,'Device Refrigerant Leakage'!$B$2:$B$42,0)))</f>
        <v/>
      </c>
      <c r="DG504" s="146" t="str">
        <f>IF(W504&lt;&gt;"AR","",INDEX('Device Refrigerant Leakage'!$F$2:$F$42,MATCH(X504,'Device Refrigerant Leakage'!$B$2:$B$42,0)))</f>
        <v/>
      </c>
      <c r="DH504" s="146" t="str">
        <f>IF(W504&lt;&gt;"AR","",INDEX('Device Refrigerant Leakage'!$G$2:$G$42,MATCH(X504,'Device Refrigerant Leakage'!$B$2:$B$42,0)))</f>
        <v/>
      </c>
      <c r="DI504" s="146" t="str">
        <f>IF(W504&lt;&gt;"AR","",J504*INDEX('Device Refrigerant Leakage'!$D$2:$D$42,MATCH(X504,'Device Refrigerant Leakage'!$B$2:$B$42,0))*DF504/2204.62*DE504)</f>
        <v/>
      </c>
      <c r="DJ504" s="146" t="str">
        <f>IF(W504&lt;&gt;"AR","",J504*(INDEX('Device Refrigerant Leakage'!$D$2:$D$42,MATCH(X504,'Device Refrigerant Leakage'!$B$2:$B$42,0))-(INDEX('Device Refrigerant Leakage'!$D$2:$D$42,MATCH(X504,'Device Refrigerant Leakage'!$B$2:$B$42,0)))*DH504*DF504)*DG504/2204.62*DE504)</f>
        <v/>
      </c>
      <c r="DK504" s="146" t="str">
        <f>IF(W504&lt;&gt;"AR","",DI504*(K504-AB504)+'Fuel Sub Calcs-Deemed'!DJ504*((K504-AB504)/INDEX('Device Refrigerant Leakage'!$C$2:$C$42,MATCH('Fuel Sub Calcs-Deemed'!X504,'Device Refrigerant Leakage'!$B$2:$B$42,0))))</f>
        <v/>
      </c>
      <c r="DM504" s="56">
        <v>490</v>
      </c>
      <c r="DN504" s="67" t="e">
        <f t="shared" si="602"/>
        <v>#N/A</v>
      </c>
      <c r="DO504" s="45" t="e">
        <f t="shared" si="603"/>
        <v>#N/A</v>
      </c>
      <c r="DP504" s="67" t="e">
        <f t="shared" si="604"/>
        <v>#N/A</v>
      </c>
      <c r="DQ504" s="45" t="e">
        <f t="shared" si="605"/>
        <v>#N/A</v>
      </c>
      <c r="DR504" s="69" t="e">
        <f t="shared" si="606"/>
        <v>#N/A</v>
      </c>
      <c r="DS504" s="34"/>
      <c r="DT504" s="67" t="e">
        <f>((BX504*CJ504)+IF($W504=MAT_AR,(BZ504*CL504),0))*(1+Reference!$E$50+Reference!$E$51)</f>
        <v>#N/A</v>
      </c>
      <c r="DU504" s="67">
        <f>((BY504*CK504)+IF($W504=MAT_AR,(CA504*CM504),0))*(1+Reference!$G$50+Reference!$G$51)</f>
        <v>0</v>
      </c>
      <c r="DV504" s="67" t="e">
        <f t="shared" si="607"/>
        <v>#VALUE!</v>
      </c>
      <c r="DX504" s="56">
        <v>490</v>
      </c>
      <c r="DY504" s="67">
        <f t="shared" si="608"/>
        <v>0</v>
      </c>
      <c r="DZ504" s="45" t="e">
        <f>VLOOKUP($R504,Dropdown!$C$3:$D$4,2,FALSE)</f>
        <v>#N/A</v>
      </c>
      <c r="EA504" s="68">
        <f t="shared" si="609"/>
        <v>0</v>
      </c>
      <c r="EB504" s="68" t="str">
        <f t="shared" si="610"/>
        <v>N/A</v>
      </c>
      <c r="EC504" s="68">
        <f t="shared" si="611"/>
        <v>0</v>
      </c>
      <c r="ED504" s="68" t="str">
        <f t="shared" si="649"/>
        <v>N/A</v>
      </c>
      <c r="EF504" s="56">
        <v>490</v>
      </c>
      <c r="EG504" s="46">
        <f t="shared" si="612"/>
        <v>0</v>
      </c>
      <c r="EH504" s="68" t="e">
        <f t="shared" si="613"/>
        <v>#N/A</v>
      </c>
      <c r="EI504" s="68" t="e">
        <f t="shared" si="614"/>
        <v>#N/A</v>
      </c>
      <c r="EJ504" s="68" t="e">
        <f t="shared" si="615"/>
        <v>#N/A</v>
      </c>
      <c r="EK504" s="68" t="e">
        <f t="shared" si="616"/>
        <v>#N/A</v>
      </c>
      <c r="EL504" s="46">
        <f t="shared" si="617"/>
        <v>0</v>
      </c>
      <c r="EM504" s="46">
        <f t="shared" si="618"/>
        <v>0</v>
      </c>
    </row>
    <row r="505" spans="1:143">
      <c r="A505" s="89"/>
      <c r="B505" s="89"/>
      <c r="C505" s="89"/>
      <c r="D505" s="89"/>
      <c r="E505" s="89"/>
      <c r="F505" s="89"/>
      <c r="G505" s="34"/>
      <c r="H505" s="56">
        <f t="shared" si="619"/>
        <v>491</v>
      </c>
      <c r="I505" s="165"/>
      <c r="J505" s="163"/>
      <c r="K505" s="163"/>
      <c r="L505" s="164"/>
      <c r="M505" s="155"/>
      <c r="N505" s="155"/>
      <c r="O505" s="144"/>
      <c r="P505" s="159" t="str">
        <f>IFERROR(IF(O505&lt;&gt;"User Specified",IF(O505&lt;&gt;"", INDEX('Refrigerant GWPs'!$G$2:$G$154,MATCH(O505,'Refrigerant GWPs'!$A$2:$A$154,0)),""),U505),0)</f>
        <v/>
      </c>
      <c r="Q505" s="155"/>
      <c r="R505" s="155"/>
      <c r="S505" s="144"/>
      <c r="T505" s="159" t="str">
        <f>IF(S505&lt;&gt;"User Specified",IF(AND(S505&lt;&gt;"User Specified",S505&lt;&gt;""), INDEX('Refrigerant GWPs'!$G$2:$G$154,MATCH(S505,'Refrigerant GWPs'!$A$2:$A$154,0)),""),V505)</f>
        <v/>
      </c>
      <c r="U505" s="144"/>
      <c r="V505" s="144"/>
      <c r="W505" s="155"/>
      <c r="X505" s="155"/>
      <c r="Y505" s="144"/>
      <c r="Z505" s="159" t="str">
        <f>IF(AND(Y505&lt;&gt;"User Specified",Y505&lt;&gt;""), INDEX('Refrigerant GWPs'!$G$2:$G$154,MATCH(Y505,'Refrigerant GWPs'!$A$2:$A$154,0)),"")</f>
        <v/>
      </c>
      <c r="AA505" s="155"/>
      <c r="AB505" s="156"/>
      <c r="AC505" s="66"/>
      <c r="AD505" s="66"/>
      <c r="AE505" s="66"/>
      <c r="AF505" s="66"/>
      <c r="AG505" s="66"/>
      <c r="AH505" s="66"/>
      <c r="AI505" s="34"/>
      <c r="AJ505" s="88">
        <f t="shared" si="582"/>
        <v>0</v>
      </c>
      <c r="AK505" s="88">
        <f t="shared" si="583"/>
        <v>0</v>
      </c>
      <c r="AL505" s="88">
        <v>0</v>
      </c>
      <c r="AM505" s="88">
        <v>0</v>
      </c>
      <c r="AN505" s="81" t="str">
        <f t="shared" si="621"/>
        <v/>
      </c>
      <c r="AO505" s="88">
        <f t="shared" si="584"/>
        <v>0</v>
      </c>
      <c r="AP505" s="88">
        <f t="shared" si="585"/>
        <v>0</v>
      </c>
      <c r="AQ505" s="81" t="str">
        <f t="shared" si="586"/>
        <v/>
      </c>
      <c r="AS505" s="41" t="b">
        <f t="shared" si="587"/>
        <v>1</v>
      </c>
      <c r="AT505" s="38">
        <f t="shared" si="588"/>
        <v>0</v>
      </c>
      <c r="AU505" s="60">
        <f t="shared" si="589"/>
        <v>0</v>
      </c>
      <c r="AV505" s="41">
        <f t="shared" si="590"/>
        <v>0</v>
      </c>
      <c r="AW505" s="41" t="b">
        <f t="shared" si="591"/>
        <v>0</v>
      </c>
      <c r="AX505" t="str">
        <f t="shared" si="592"/>
        <v>+00</v>
      </c>
      <c r="AY505" t="str">
        <f t="shared" si="593"/>
        <v>+00</v>
      </c>
      <c r="BA505" s="47" t="b">
        <f t="shared" si="622"/>
        <v>1</v>
      </c>
      <c r="BB505" s="42" t="b">
        <f t="shared" si="623"/>
        <v>1</v>
      </c>
      <c r="BC505" s="42" t="b">
        <f t="shared" si="624"/>
        <v>0</v>
      </c>
      <c r="BD505" s="42" t="b">
        <f t="shared" si="625"/>
        <v>0</v>
      </c>
      <c r="BE505" s="70">
        <f t="shared" si="626"/>
        <v>0</v>
      </c>
      <c r="BF505" s="70">
        <f t="shared" si="627"/>
        <v>0</v>
      </c>
      <c r="BG505" s="34"/>
      <c r="BI505" s="47" t="b">
        <f t="shared" si="628"/>
        <v>1</v>
      </c>
      <c r="BJ505" s="47" t="b">
        <f t="shared" si="629"/>
        <v>1</v>
      </c>
      <c r="BK505" s="42" t="b">
        <f t="shared" si="630"/>
        <v>0</v>
      </c>
      <c r="BL505" s="42" t="b">
        <f t="shared" si="631"/>
        <v>0</v>
      </c>
      <c r="BM505" s="42">
        <f t="shared" si="632"/>
        <v>0</v>
      </c>
      <c r="BN505" s="42">
        <f t="shared" si="633"/>
        <v>0</v>
      </c>
      <c r="BP505" t="e">
        <f t="shared" si="634"/>
        <v>#N/A</v>
      </c>
      <c r="BQ505" t="e">
        <f t="shared" si="635"/>
        <v>#N/A</v>
      </c>
      <c r="BR505" t="e">
        <f t="shared" si="636"/>
        <v>#N/A</v>
      </c>
      <c r="BT505" s="60">
        <f t="shared" si="637"/>
        <v>0</v>
      </c>
      <c r="BU505" s="60">
        <f t="shared" si="638"/>
        <v>0</v>
      </c>
      <c r="BV505" s="60">
        <f t="shared" si="639"/>
        <v>0</v>
      </c>
      <c r="BW505" s="60">
        <f t="shared" si="640"/>
        <v>0</v>
      </c>
      <c r="BX505" s="60">
        <f t="shared" si="641"/>
        <v>0</v>
      </c>
      <c r="BY505" s="60">
        <f t="shared" si="642"/>
        <v>0</v>
      </c>
      <c r="BZ505" s="60">
        <f t="shared" si="643"/>
        <v>0</v>
      </c>
      <c r="CA505" s="60">
        <f t="shared" si="644"/>
        <v>0</v>
      </c>
      <c r="CB505" s="60" t="e">
        <f t="shared" si="594"/>
        <v>#N/A</v>
      </c>
      <c r="CC505" s="60">
        <f t="shared" si="595"/>
        <v>100000</v>
      </c>
      <c r="CD505" s="60" t="e">
        <f t="shared" si="596"/>
        <v>#N/A</v>
      </c>
      <c r="CE505" s="60">
        <f t="shared" si="597"/>
        <v>100000</v>
      </c>
      <c r="CF505" s="83" t="e">
        <f t="shared" si="645"/>
        <v>#N/A</v>
      </c>
      <c r="CG505" s="83">
        <f t="shared" si="646"/>
        <v>0</v>
      </c>
      <c r="CH505" s="83" t="e">
        <f t="shared" si="647"/>
        <v>#N/A</v>
      </c>
      <c r="CI505" s="83">
        <f t="shared" si="648"/>
        <v>0</v>
      </c>
      <c r="CJ505" s="86" t="e">
        <f t="shared" si="598"/>
        <v>#N/A</v>
      </c>
      <c r="CK505" s="82">
        <f t="shared" si="599"/>
        <v>5.3070370403969858E-3</v>
      </c>
      <c r="CL505" s="82" t="e">
        <f t="shared" si="600"/>
        <v>#N/A</v>
      </c>
      <c r="CM505" s="82">
        <f t="shared" si="601"/>
        <v>5.3070370403969858E-3</v>
      </c>
      <c r="CO505" s="149" t="str">
        <f>IF($I505&lt;&gt;"",IF(O505="User Specified",U505,INDEX('Refrigerant GWPs'!$G$2:$G$156,MATCH(O505,'Refrigerant GWPs'!$A$2:$A$156,0))),"")</f>
        <v/>
      </c>
      <c r="CP505" s="138" t="str">
        <f>IF($I505&lt;&gt;"",INDEX('Device Refrigerant Leakage'!$E$2:$E$42,MATCH($M505,'Device Refrigerant Leakage'!$B$2:$B$42,0)),"")</f>
        <v/>
      </c>
      <c r="CQ505" s="138" t="str">
        <f>IF($I505&lt;&gt;"",INDEX('Device Refrigerant Leakage'!$F$2:$F$42,MATCH($M505,'Device Refrigerant Leakage'!$B$2:$B$42,0)),"")</f>
        <v/>
      </c>
      <c r="CR505" s="145" t="str">
        <f>IF($I505&lt;&gt;"",INDEX('Device Refrigerant Leakage'!$G$2:$G$42,MATCH($M505,'Device Refrigerant Leakage'!$B$2:$B$42,0)),"")</f>
        <v/>
      </c>
      <c r="CS505" s="145" t="str">
        <f>IF($I505&lt;&gt;"",INDEX('Device Refrigerant Leakage'!$D$2:$D$42,MATCH($M505,'Device Refrigerant Leakage'!$B$2:$B$42,0))*CP505/2204.62*CO505,"")</f>
        <v/>
      </c>
      <c r="CT505" s="145" t="str">
        <f>IF($I505&lt;&gt;"",J505*(INDEX('Device Refrigerant Leakage'!$D$2:$D$42,MATCH($M505,'Device Refrigerant Leakage'!$B$2:$B$42,0))-(INDEX('Device Refrigerant Leakage'!$D$2:$D$42,MATCH($M505,'Device Refrigerant Leakage'!$B$2:$B$42,0)))*CR505*CP505)*CQ505/2204.62*CO505,"")</f>
        <v/>
      </c>
      <c r="CU505" s="135" t="str">
        <f>IF($I505&lt;&gt;"",J505*IF(W505&lt;&gt;"AR",(CS505*K505)+CT505,(CS505*AB505)+CT505*(AB505/INDEX('Device Refrigerant Leakage'!$C$2:$C$42,MATCH($M505,'Device Refrigerant Leakage'!$B$2:$B$42,0)))),"")</f>
        <v/>
      </c>
      <c r="CW505" s="135" t="str">
        <f>IF($I505&lt;&gt;"",IF(S505="User Specified",V505,INDEX('Refrigerant GWPs'!$G$2:$G$156,MATCH(S505,'Refrigerant GWPs'!$A$2:$A$157,0))),"")</f>
        <v/>
      </c>
      <c r="CX505" s="138" t="str">
        <f>IF($I505&lt;&gt;"",INDEX('Device Refrigerant Leakage'!$E$2:$E$42,MATCH($Q505,'Device Refrigerant Leakage'!$B$2:$B$42,0)),"")</f>
        <v/>
      </c>
      <c r="CY505" s="138" t="str">
        <f>IF($I505&lt;&gt;"",INDEX('Device Refrigerant Leakage'!$F$2:$F$42,MATCH($Q505,'Device Refrigerant Leakage'!$B$2:$B$42,0)),"")</f>
        <v/>
      </c>
      <c r="CZ505" s="145" t="str">
        <f>IF($I505&lt;&gt;"",INDEX('Device Refrigerant Leakage'!$G$2:$G$42,MATCH($Q505,'Device Refrigerant Leakage'!$B$2:$B$42,0)),"")</f>
        <v/>
      </c>
      <c r="DA505" s="145" t="str">
        <f>IF($I505&lt;&gt;"",J505*INDEX('Device Refrigerant Leakage'!$D$2:$D$42,MATCH($Q505,'Device Refrigerant Leakage'!$B$2:$B$42,0))*CX505/2204.62*CW505,"")</f>
        <v/>
      </c>
      <c r="DB505" s="145" t="str">
        <f>IF($I505&lt;&gt;"",J505*(INDEX('Device Refrigerant Leakage'!$D$2:$D$42,MATCH($Q505,'Device Refrigerant Leakage'!$B$2:$B$42,0))-(INDEX('Device Refrigerant Leakage'!$D$2:$D$42,MATCH($Q505,'Device Refrigerant Leakage'!$B$2:$B$42,0)))*CZ505*CX505)*CY505/2204.62*CW505,"")</f>
        <v/>
      </c>
      <c r="DC505" s="135" t="str">
        <f t="shared" si="620"/>
        <v/>
      </c>
      <c r="DE505" s="146" t="str">
        <f>IF(W505&lt;&gt;"AR","",IF(Y505="User Specified", AA505, INDEX('Refrigerant GWPs'!$G$2:$G$154,MATCH(Y505,'Refrigerant GWPs'!$A$2:$A$154,0))))</f>
        <v/>
      </c>
      <c r="DF505" s="146" t="str">
        <f>IF(W505&lt;&gt;"AR","",INDEX('Device Refrigerant Leakage'!$E$2:$E$42,MATCH(X505,'Device Refrigerant Leakage'!$B$2:$B$42,0)))</f>
        <v/>
      </c>
      <c r="DG505" s="146" t="str">
        <f>IF(W505&lt;&gt;"AR","",INDEX('Device Refrigerant Leakage'!$F$2:$F$42,MATCH(X505,'Device Refrigerant Leakage'!$B$2:$B$42,0)))</f>
        <v/>
      </c>
      <c r="DH505" s="146" t="str">
        <f>IF(W505&lt;&gt;"AR","",INDEX('Device Refrigerant Leakage'!$G$2:$G$42,MATCH(X505,'Device Refrigerant Leakage'!$B$2:$B$42,0)))</f>
        <v/>
      </c>
      <c r="DI505" s="146" t="str">
        <f>IF(W505&lt;&gt;"AR","",J505*INDEX('Device Refrigerant Leakage'!$D$2:$D$42,MATCH(X505,'Device Refrigerant Leakage'!$B$2:$B$42,0))*DF505/2204.62*DE505)</f>
        <v/>
      </c>
      <c r="DJ505" s="146" t="str">
        <f>IF(W505&lt;&gt;"AR","",J505*(INDEX('Device Refrigerant Leakage'!$D$2:$D$42,MATCH(X505,'Device Refrigerant Leakage'!$B$2:$B$42,0))-(INDEX('Device Refrigerant Leakage'!$D$2:$D$42,MATCH(X505,'Device Refrigerant Leakage'!$B$2:$B$42,0)))*DH505*DF505)*DG505/2204.62*DE505)</f>
        <v/>
      </c>
      <c r="DK505" s="146" t="str">
        <f>IF(W505&lt;&gt;"AR","",DI505*(K505-AB505)+'Fuel Sub Calcs-Deemed'!DJ505*((K505-AB505)/INDEX('Device Refrigerant Leakage'!$C$2:$C$42,MATCH('Fuel Sub Calcs-Deemed'!X505,'Device Refrigerant Leakage'!$B$2:$B$42,0))))</f>
        <v/>
      </c>
      <c r="DM505" s="56">
        <v>491</v>
      </c>
      <c r="DN505" s="67" t="e">
        <f t="shared" si="602"/>
        <v>#N/A</v>
      </c>
      <c r="DO505" s="45" t="e">
        <f t="shared" si="603"/>
        <v>#N/A</v>
      </c>
      <c r="DP505" s="67" t="e">
        <f t="shared" si="604"/>
        <v>#N/A</v>
      </c>
      <c r="DQ505" s="45" t="e">
        <f t="shared" si="605"/>
        <v>#N/A</v>
      </c>
      <c r="DR505" s="69" t="e">
        <f t="shared" si="606"/>
        <v>#N/A</v>
      </c>
      <c r="DS505" s="34"/>
      <c r="DT505" s="67" t="e">
        <f>((BX505*CJ505)+IF($W505=MAT_AR,(BZ505*CL505),0))*(1+Reference!$E$50+Reference!$E$51)</f>
        <v>#N/A</v>
      </c>
      <c r="DU505" s="67">
        <f>((BY505*CK505)+IF($W505=MAT_AR,(CA505*CM505),0))*(1+Reference!$G$50+Reference!$G$51)</f>
        <v>0</v>
      </c>
      <c r="DV505" s="67" t="e">
        <f t="shared" si="607"/>
        <v>#VALUE!</v>
      </c>
      <c r="DX505" s="56">
        <v>491</v>
      </c>
      <c r="DY505" s="67">
        <f t="shared" si="608"/>
        <v>0</v>
      </c>
      <c r="DZ505" s="45" t="e">
        <f>VLOOKUP($R505,Dropdown!$C$3:$D$4,2,FALSE)</f>
        <v>#N/A</v>
      </c>
      <c r="EA505" s="68">
        <f t="shared" si="609"/>
        <v>0</v>
      </c>
      <c r="EB505" s="68" t="str">
        <f t="shared" si="610"/>
        <v>N/A</v>
      </c>
      <c r="EC505" s="68">
        <f t="shared" si="611"/>
        <v>0</v>
      </c>
      <c r="ED505" s="68" t="str">
        <f t="shared" si="649"/>
        <v>N/A</v>
      </c>
      <c r="EF505" s="56">
        <v>491</v>
      </c>
      <c r="EG505" s="46">
        <f t="shared" si="612"/>
        <v>0</v>
      </c>
      <c r="EH505" s="68" t="e">
        <f t="shared" si="613"/>
        <v>#N/A</v>
      </c>
      <c r="EI505" s="68" t="e">
        <f t="shared" si="614"/>
        <v>#N/A</v>
      </c>
      <c r="EJ505" s="68" t="e">
        <f t="shared" si="615"/>
        <v>#N/A</v>
      </c>
      <c r="EK505" s="68" t="e">
        <f t="shared" si="616"/>
        <v>#N/A</v>
      </c>
      <c r="EL505" s="46">
        <f t="shared" si="617"/>
        <v>0</v>
      </c>
      <c r="EM505" s="46">
        <f t="shared" si="618"/>
        <v>0</v>
      </c>
    </row>
    <row r="506" spans="1:143">
      <c r="A506" s="89"/>
      <c r="B506" s="89"/>
      <c r="C506" s="89"/>
      <c r="D506" s="89"/>
      <c r="E506" s="89"/>
      <c r="F506" s="89"/>
      <c r="G506" s="34"/>
      <c r="H506" s="56">
        <f t="shared" si="619"/>
        <v>492</v>
      </c>
      <c r="I506" s="165"/>
      <c r="J506" s="163"/>
      <c r="K506" s="163"/>
      <c r="L506" s="164"/>
      <c r="M506" s="155"/>
      <c r="N506" s="155"/>
      <c r="O506" s="144"/>
      <c r="P506" s="159" t="str">
        <f>IFERROR(IF(O506&lt;&gt;"User Specified",IF(O506&lt;&gt;"", INDEX('Refrigerant GWPs'!$G$2:$G$154,MATCH(O506,'Refrigerant GWPs'!$A$2:$A$154,0)),""),U506),0)</f>
        <v/>
      </c>
      <c r="Q506" s="155"/>
      <c r="R506" s="155"/>
      <c r="S506" s="144"/>
      <c r="T506" s="159" t="str">
        <f>IF(S506&lt;&gt;"User Specified",IF(AND(S506&lt;&gt;"User Specified",S506&lt;&gt;""), INDEX('Refrigerant GWPs'!$G$2:$G$154,MATCH(S506,'Refrigerant GWPs'!$A$2:$A$154,0)),""),V506)</f>
        <v/>
      </c>
      <c r="U506" s="144"/>
      <c r="V506" s="144"/>
      <c r="W506" s="155"/>
      <c r="X506" s="155"/>
      <c r="Y506" s="144"/>
      <c r="Z506" s="159" t="str">
        <f>IF(AND(Y506&lt;&gt;"User Specified",Y506&lt;&gt;""), INDEX('Refrigerant GWPs'!$G$2:$G$154,MATCH(Y506,'Refrigerant GWPs'!$A$2:$A$154,0)),"")</f>
        <v/>
      </c>
      <c r="AA506" s="155"/>
      <c r="AB506" s="156"/>
      <c r="AC506" s="66"/>
      <c r="AD506" s="66"/>
      <c r="AE506" s="66"/>
      <c r="AF506" s="66"/>
      <c r="AG506" s="66"/>
      <c r="AH506" s="66"/>
      <c r="AI506" s="34"/>
      <c r="AJ506" s="88">
        <f t="shared" si="582"/>
        <v>0</v>
      </c>
      <c r="AK506" s="88">
        <f t="shared" si="583"/>
        <v>0</v>
      </c>
      <c r="AL506" s="88">
        <v>0</v>
      </c>
      <c r="AM506" s="88">
        <v>0</v>
      </c>
      <c r="AN506" s="81" t="str">
        <f t="shared" si="621"/>
        <v/>
      </c>
      <c r="AO506" s="88">
        <f t="shared" si="584"/>
        <v>0</v>
      </c>
      <c r="AP506" s="88">
        <f t="shared" si="585"/>
        <v>0</v>
      </c>
      <c r="AQ506" s="81" t="str">
        <f t="shared" si="586"/>
        <v/>
      </c>
      <c r="AS506" s="41" t="b">
        <f t="shared" si="587"/>
        <v>1</v>
      </c>
      <c r="AT506" s="38">
        <f t="shared" si="588"/>
        <v>0</v>
      </c>
      <c r="AU506" s="60">
        <f t="shared" si="589"/>
        <v>0</v>
      </c>
      <c r="AV506" s="41">
        <f t="shared" si="590"/>
        <v>0</v>
      </c>
      <c r="AW506" s="41" t="b">
        <f t="shared" si="591"/>
        <v>0</v>
      </c>
      <c r="AX506" t="str">
        <f t="shared" si="592"/>
        <v>+00</v>
      </c>
      <c r="AY506" t="str">
        <f t="shared" si="593"/>
        <v>+00</v>
      </c>
      <c r="BA506" s="47" t="b">
        <f t="shared" si="622"/>
        <v>1</v>
      </c>
      <c r="BB506" s="42" t="b">
        <f t="shared" si="623"/>
        <v>1</v>
      </c>
      <c r="BC506" s="42" t="b">
        <f t="shared" si="624"/>
        <v>0</v>
      </c>
      <c r="BD506" s="42" t="b">
        <f t="shared" si="625"/>
        <v>0</v>
      </c>
      <c r="BE506" s="70">
        <f t="shared" si="626"/>
        <v>0</v>
      </c>
      <c r="BF506" s="70">
        <f t="shared" si="627"/>
        <v>0</v>
      </c>
      <c r="BG506" s="34"/>
      <c r="BI506" s="47" t="b">
        <f t="shared" si="628"/>
        <v>1</v>
      </c>
      <c r="BJ506" s="47" t="b">
        <f t="shared" si="629"/>
        <v>1</v>
      </c>
      <c r="BK506" s="42" t="b">
        <f t="shared" si="630"/>
        <v>0</v>
      </c>
      <c r="BL506" s="42" t="b">
        <f t="shared" si="631"/>
        <v>0</v>
      </c>
      <c r="BM506" s="42">
        <f t="shared" si="632"/>
        <v>0</v>
      </c>
      <c r="BN506" s="42">
        <f t="shared" si="633"/>
        <v>0</v>
      </c>
      <c r="BP506" t="e">
        <f t="shared" si="634"/>
        <v>#N/A</v>
      </c>
      <c r="BQ506" t="e">
        <f t="shared" si="635"/>
        <v>#N/A</v>
      </c>
      <c r="BR506" t="e">
        <f t="shared" si="636"/>
        <v>#N/A</v>
      </c>
      <c r="BT506" s="60">
        <f t="shared" si="637"/>
        <v>0</v>
      </c>
      <c r="BU506" s="60">
        <f t="shared" si="638"/>
        <v>0</v>
      </c>
      <c r="BV506" s="60">
        <f t="shared" si="639"/>
        <v>0</v>
      </c>
      <c r="BW506" s="60">
        <f t="shared" si="640"/>
        <v>0</v>
      </c>
      <c r="BX506" s="60">
        <f t="shared" si="641"/>
        <v>0</v>
      </c>
      <c r="BY506" s="60">
        <f t="shared" si="642"/>
        <v>0</v>
      </c>
      <c r="BZ506" s="60">
        <f t="shared" si="643"/>
        <v>0</v>
      </c>
      <c r="CA506" s="60">
        <f t="shared" si="644"/>
        <v>0</v>
      </c>
      <c r="CB506" s="60" t="e">
        <f t="shared" si="594"/>
        <v>#N/A</v>
      </c>
      <c r="CC506" s="60">
        <f t="shared" si="595"/>
        <v>100000</v>
      </c>
      <c r="CD506" s="60" t="e">
        <f t="shared" si="596"/>
        <v>#N/A</v>
      </c>
      <c r="CE506" s="60">
        <f t="shared" si="597"/>
        <v>100000</v>
      </c>
      <c r="CF506" s="83" t="e">
        <f t="shared" si="645"/>
        <v>#N/A</v>
      </c>
      <c r="CG506" s="83">
        <f t="shared" si="646"/>
        <v>0</v>
      </c>
      <c r="CH506" s="83" t="e">
        <f t="shared" si="647"/>
        <v>#N/A</v>
      </c>
      <c r="CI506" s="83">
        <f t="shared" si="648"/>
        <v>0</v>
      </c>
      <c r="CJ506" s="86" t="e">
        <f t="shared" si="598"/>
        <v>#N/A</v>
      </c>
      <c r="CK506" s="82">
        <f t="shared" si="599"/>
        <v>5.3070370403969858E-3</v>
      </c>
      <c r="CL506" s="82" t="e">
        <f t="shared" si="600"/>
        <v>#N/A</v>
      </c>
      <c r="CM506" s="82">
        <f t="shared" si="601"/>
        <v>5.3070370403969858E-3</v>
      </c>
      <c r="CO506" s="149" t="str">
        <f>IF($I506&lt;&gt;"",IF(O506="User Specified",U506,INDEX('Refrigerant GWPs'!$G$2:$G$156,MATCH(O506,'Refrigerant GWPs'!$A$2:$A$156,0))),"")</f>
        <v/>
      </c>
      <c r="CP506" s="138" t="str">
        <f>IF($I506&lt;&gt;"",INDEX('Device Refrigerant Leakage'!$E$2:$E$42,MATCH($M506,'Device Refrigerant Leakage'!$B$2:$B$42,0)),"")</f>
        <v/>
      </c>
      <c r="CQ506" s="138" t="str">
        <f>IF($I506&lt;&gt;"",INDEX('Device Refrigerant Leakage'!$F$2:$F$42,MATCH($M506,'Device Refrigerant Leakage'!$B$2:$B$42,0)),"")</f>
        <v/>
      </c>
      <c r="CR506" s="145" t="str">
        <f>IF($I506&lt;&gt;"",INDEX('Device Refrigerant Leakage'!$G$2:$G$42,MATCH($M506,'Device Refrigerant Leakage'!$B$2:$B$42,0)),"")</f>
        <v/>
      </c>
      <c r="CS506" s="145" t="str">
        <f>IF($I506&lt;&gt;"",INDEX('Device Refrigerant Leakage'!$D$2:$D$42,MATCH($M506,'Device Refrigerant Leakage'!$B$2:$B$42,0))*CP506/2204.62*CO506,"")</f>
        <v/>
      </c>
      <c r="CT506" s="145" t="str">
        <f>IF($I506&lt;&gt;"",J506*(INDEX('Device Refrigerant Leakage'!$D$2:$D$42,MATCH($M506,'Device Refrigerant Leakage'!$B$2:$B$42,0))-(INDEX('Device Refrigerant Leakage'!$D$2:$D$42,MATCH($M506,'Device Refrigerant Leakage'!$B$2:$B$42,0)))*CR506*CP506)*CQ506/2204.62*CO506,"")</f>
        <v/>
      </c>
      <c r="CU506" s="135" t="str">
        <f>IF($I506&lt;&gt;"",J506*IF(W506&lt;&gt;"AR",(CS506*K506)+CT506,(CS506*AB506)+CT506*(AB506/INDEX('Device Refrigerant Leakage'!$C$2:$C$42,MATCH($M506,'Device Refrigerant Leakage'!$B$2:$B$42,0)))),"")</f>
        <v/>
      </c>
      <c r="CW506" s="135" t="str">
        <f>IF($I506&lt;&gt;"",IF(S506="User Specified",V506,INDEX('Refrigerant GWPs'!$G$2:$G$156,MATCH(S506,'Refrigerant GWPs'!$A$2:$A$157,0))),"")</f>
        <v/>
      </c>
      <c r="CX506" s="138" t="str">
        <f>IF($I506&lt;&gt;"",INDEX('Device Refrigerant Leakage'!$E$2:$E$42,MATCH($Q506,'Device Refrigerant Leakage'!$B$2:$B$42,0)),"")</f>
        <v/>
      </c>
      <c r="CY506" s="138" t="str">
        <f>IF($I506&lt;&gt;"",INDEX('Device Refrigerant Leakage'!$F$2:$F$42,MATCH($Q506,'Device Refrigerant Leakage'!$B$2:$B$42,0)),"")</f>
        <v/>
      </c>
      <c r="CZ506" s="145" t="str">
        <f>IF($I506&lt;&gt;"",INDEX('Device Refrigerant Leakage'!$G$2:$G$42,MATCH($Q506,'Device Refrigerant Leakage'!$B$2:$B$42,0)),"")</f>
        <v/>
      </c>
      <c r="DA506" s="145" t="str">
        <f>IF($I506&lt;&gt;"",J506*INDEX('Device Refrigerant Leakage'!$D$2:$D$42,MATCH($Q506,'Device Refrigerant Leakage'!$B$2:$B$42,0))*CX506/2204.62*CW506,"")</f>
        <v/>
      </c>
      <c r="DB506" s="145" t="str">
        <f>IF($I506&lt;&gt;"",J506*(INDEX('Device Refrigerant Leakage'!$D$2:$D$42,MATCH($Q506,'Device Refrigerant Leakage'!$B$2:$B$42,0))-(INDEX('Device Refrigerant Leakage'!$D$2:$D$42,MATCH($Q506,'Device Refrigerant Leakage'!$B$2:$B$42,0)))*CZ506*CX506)*CY506/2204.62*CW506,"")</f>
        <v/>
      </c>
      <c r="DC506" s="135" t="str">
        <f t="shared" si="620"/>
        <v/>
      </c>
      <c r="DE506" s="146" t="str">
        <f>IF(W506&lt;&gt;"AR","",IF(Y506="User Specified", AA506, INDEX('Refrigerant GWPs'!$G$2:$G$154,MATCH(Y506,'Refrigerant GWPs'!$A$2:$A$154,0))))</f>
        <v/>
      </c>
      <c r="DF506" s="146" t="str">
        <f>IF(W506&lt;&gt;"AR","",INDEX('Device Refrigerant Leakage'!$E$2:$E$42,MATCH(X506,'Device Refrigerant Leakage'!$B$2:$B$42,0)))</f>
        <v/>
      </c>
      <c r="DG506" s="146" t="str">
        <f>IF(W506&lt;&gt;"AR","",INDEX('Device Refrigerant Leakage'!$F$2:$F$42,MATCH(X506,'Device Refrigerant Leakage'!$B$2:$B$42,0)))</f>
        <v/>
      </c>
      <c r="DH506" s="146" t="str">
        <f>IF(W506&lt;&gt;"AR","",INDEX('Device Refrigerant Leakage'!$G$2:$G$42,MATCH(X506,'Device Refrigerant Leakage'!$B$2:$B$42,0)))</f>
        <v/>
      </c>
      <c r="DI506" s="146" t="str">
        <f>IF(W506&lt;&gt;"AR","",J506*INDEX('Device Refrigerant Leakage'!$D$2:$D$42,MATCH(X506,'Device Refrigerant Leakage'!$B$2:$B$42,0))*DF506/2204.62*DE506)</f>
        <v/>
      </c>
      <c r="DJ506" s="146" t="str">
        <f>IF(W506&lt;&gt;"AR","",J506*(INDEX('Device Refrigerant Leakage'!$D$2:$D$42,MATCH(X506,'Device Refrigerant Leakage'!$B$2:$B$42,0))-(INDEX('Device Refrigerant Leakage'!$D$2:$D$42,MATCH(X506,'Device Refrigerant Leakage'!$B$2:$B$42,0)))*DH506*DF506)*DG506/2204.62*DE506)</f>
        <v/>
      </c>
      <c r="DK506" s="146" t="str">
        <f>IF(W506&lt;&gt;"AR","",DI506*(K506-AB506)+'Fuel Sub Calcs-Deemed'!DJ506*((K506-AB506)/INDEX('Device Refrigerant Leakage'!$C$2:$C$42,MATCH('Fuel Sub Calcs-Deemed'!X506,'Device Refrigerant Leakage'!$B$2:$B$42,0))))</f>
        <v/>
      </c>
      <c r="DM506" s="56">
        <v>492</v>
      </c>
      <c r="DN506" s="67" t="e">
        <f t="shared" si="602"/>
        <v>#N/A</v>
      </c>
      <c r="DO506" s="45" t="e">
        <f t="shared" si="603"/>
        <v>#N/A</v>
      </c>
      <c r="DP506" s="67" t="e">
        <f t="shared" si="604"/>
        <v>#N/A</v>
      </c>
      <c r="DQ506" s="45" t="e">
        <f t="shared" si="605"/>
        <v>#N/A</v>
      </c>
      <c r="DR506" s="69" t="e">
        <f t="shared" si="606"/>
        <v>#N/A</v>
      </c>
      <c r="DS506" s="34"/>
      <c r="DT506" s="67" t="e">
        <f>((BX506*CJ506)+IF($W506=MAT_AR,(BZ506*CL506),0))*(1+Reference!$E$50+Reference!$E$51)</f>
        <v>#N/A</v>
      </c>
      <c r="DU506" s="67">
        <f>((BY506*CK506)+IF($W506=MAT_AR,(CA506*CM506),0))*(1+Reference!$G$50+Reference!$G$51)</f>
        <v>0</v>
      </c>
      <c r="DV506" s="67" t="e">
        <f t="shared" si="607"/>
        <v>#VALUE!</v>
      </c>
      <c r="DX506" s="56">
        <v>492</v>
      </c>
      <c r="DY506" s="67">
        <f t="shared" si="608"/>
        <v>0</v>
      </c>
      <c r="DZ506" s="45" t="e">
        <f>VLOOKUP($R506,Dropdown!$C$3:$D$4,2,FALSE)</f>
        <v>#N/A</v>
      </c>
      <c r="EA506" s="68">
        <f t="shared" si="609"/>
        <v>0</v>
      </c>
      <c r="EB506" s="68" t="str">
        <f t="shared" si="610"/>
        <v>N/A</v>
      </c>
      <c r="EC506" s="68">
        <f t="shared" si="611"/>
        <v>0</v>
      </c>
      <c r="ED506" s="68" t="str">
        <f t="shared" si="649"/>
        <v>N/A</v>
      </c>
      <c r="EF506" s="56">
        <v>492</v>
      </c>
      <c r="EG506" s="46">
        <f t="shared" si="612"/>
        <v>0</v>
      </c>
      <c r="EH506" s="68" t="e">
        <f t="shared" si="613"/>
        <v>#N/A</v>
      </c>
      <c r="EI506" s="68" t="e">
        <f t="shared" si="614"/>
        <v>#N/A</v>
      </c>
      <c r="EJ506" s="68" t="e">
        <f t="shared" si="615"/>
        <v>#N/A</v>
      </c>
      <c r="EK506" s="68" t="e">
        <f t="shared" si="616"/>
        <v>#N/A</v>
      </c>
      <c r="EL506" s="46">
        <f t="shared" si="617"/>
        <v>0</v>
      </c>
      <c r="EM506" s="46">
        <f t="shared" si="618"/>
        <v>0</v>
      </c>
    </row>
    <row r="507" spans="1:143">
      <c r="A507" s="89"/>
      <c r="B507" s="89"/>
      <c r="C507" s="89"/>
      <c r="D507" s="89"/>
      <c r="E507" s="89"/>
      <c r="F507" s="89"/>
      <c r="G507" s="34"/>
      <c r="H507" s="56">
        <f t="shared" si="619"/>
        <v>493</v>
      </c>
      <c r="I507" s="165"/>
      <c r="J507" s="163"/>
      <c r="K507" s="163"/>
      <c r="L507" s="164"/>
      <c r="M507" s="155"/>
      <c r="N507" s="155"/>
      <c r="O507" s="144"/>
      <c r="P507" s="159" t="str">
        <f>IFERROR(IF(O507&lt;&gt;"User Specified",IF(O507&lt;&gt;"", INDEX('Refrigerant GWPs'!$G$2:$G$154,MATCH(O507,'Refrigerant GWPs'!$A$2:$A$154,0)),""),U507),0)</f>
        <v/>
      </c>
      <c r="Q507" s="155"/>
      <c r="R507" s="155"/>
      <c r="S507" s="144"/>
      <c r="T507" s="159" t="str">
        <f>IF(S507&lt;&gt;"User Specified",IF(AND(S507&lt;&gt;"User Specified",S507&lt;&gt;""), INDEX('Refrigerant GWPs'!$G$2:$G$154,MATCH(S507,'Refrigerant GWPs'!$A$2:$A$154,0)),""),V507)</f>
        <v/>
      </c>
      <c r="U507" s="144"/>
      <c r="V507" s="144"/>
      <c r="W507" s="155"/>
      <c r="X507" s="155"/>
      <c r="Y507" s="144"/>
      <c r="Z507" s="159" t="str">
        <f>IF(AND(Y507&lt;&gt;"User Specified",Y507&lt;&gt;""), INDEX('Refrigerant GWPs'!$G$2:$G$154,MATCH(Y507,'Refrigerant GWPs'!$A$2:$A$154,0)),"")</f>
        <v/>
      </c>
      <c r="AA507" s="155"/>
      <c r="AB507" s="156"/>
      <c r="AC507" s="66"/>
      <c r="AD507" s="66"/>
      <c r="AE507" s="66"/>
      <c r="AF507" s="66"/>
      <c r="AG507" s="66"/>
      <c r="AH507" s="66"/>
      <c r="AI507" s="34"/>
      <c r="AJ507" s="88">
        <f t="shared" si="582"/>
        <v>0</v>
      </c>
      <c r="AK507" s="88">
        <f t="shared" si="583"/>
        <v>0</v>
      </c>
      <c r="AL507" s="88">
        <v>0</v>
      </c>
      <c r="AM507" s="88">
        <v>0</v>
      </c>
      <c r="AN507" s="81" t="str">
        <f t="shared" si="621"/>
        <v/>
      </c>
      <c r="AO507" s="88">
        <f t="shared" si="584"/>
        <v>0</v>
      </c>
      <c r="AP507" s="88">
        <f t="shared" si="585"/>
        <v>0</v>
      </c>
      <c r="AQ507" s="81" t="str">
        <f t="shared" si="586"/>
        <v/>
      </c>
      <c r="AS507" s="41" t="b">
        <f t="shared" si="587"/>
        <v>1</v>
      </c>
      <c r="AT507" s="38">
        <f t="shared" si="588"/>
        <v>0</v>
      </c>
      <c r="AU507" s="60">
        <f t="shared" si="589"/>
        <v>0</v>
      </c>
      <c r="AV507" s="41">
        <f t="shared" si="590"/>
        <v>0</v>
      </c>
      <c r="AW507" s="41" t="b">
        <f t="shared" si="591"/>
        <v>0</v>
      </c>
      <c r="AX507" t="str">
        <f t="shared" si="592"/>
        <v>+00</v>
      </c>
      <c r="AY507" t="str">
        <f t="shared" si="593"/>
        <v>+00</v>
      </c>
      <c r="BA507" s="47" t="b">
        <f t="shared" si="622"/>
        <v>1</v>
      </c>
      <c r="BB507" s="42" t="b">
        <f t="shared" si="623"/>
        <v>1</v>
      </c>
      <c r="BC507" s="42" t="b">
        <f t="shared" si="624"/>
        <v>0</v>
      </c>
      <c r="BD507" s="42" t="b">
        <f t="shared" si="625"/>
        <v>0</v>
      </c>
      <c r="BE507" s="70">
        <f t="shared" si="626"/>
        <v>0</v>
      </c>
      <c r="BF507" s="70">
        <f t="shared" si="627"/>
        <v>0</v>
      </c>
      <c r="BG507" s="34"/>
      <c r="BI507" s="47" t="b">
        <f t="shared" si="628"/>
        <v>1</v>
      </c>
      <c r="BJ507" s="47" t="b">
        <f t="shared" si="629"/>
        <v>1</v>
      </c>
      <c r="BK507" s="42" t="b">
        <f t="shared" si="630"/>
        <v>0</v>
      </c>
      <c r="BL507" s="42" t="b">
        <f t="shared" si="631"/>
        <v>0</v>
      </c>
      <c r="BM507" s="42">
        <f t="shared" si="632"/>
        <v>0</v>
      </c>
      <c r="BN507" s="42">
        <f t="shared" si="633"/>
        <v>0</v>
      </c>
      <c r="BP507" t="e">
        <f t="shared" si="634"/>
        <v>#N/A</v>
      </c>
      <c r="BQ507" t="e">
        <f t="shared" si="635"/>
        <v>#N/A</v>
      </c>
      <c r="BR507" t="e">
        <f t="shared" si="636"/>
        <v>#N/A</v>
      </c>
      <c r="BT507" s="60">
        <f t="shared" si="637"/>
        <v>0</v>
      </c>
      <c r="BU507" s="60">
        <f t="shared" si="638"/>
        <v>0</v>
      </c>
      <c r="BV507" s="60">
        <f t="shared" si="639"/>
        <v>0</v>
      </c>
      <c r="BW507" s="60">
        <f t="shared" si="640"/>
        <v>0</v>
      </c>
      <c r="BX507" s="60">
        <f t="shared" si="641"/>
        <v>0</v>
      </c>
      <c r="BY507" s="60">
        <f t="shared" si="642"/>
        <v>0</v>
      </c>
      <c r="BZ507" s="60">
        <f t="shared" si="643"/>
        <v>0</v>
      </c>
      <c r="CA507" s="60">
        <f t="shared" si="644"/>
        <v>0</v>
      </c>
      <c r="CB507" s="60" t="e">
        <f t="shared" si="594"/>
        <v>#N/A</v>
      </c>
      <c r="CC507" s="60">
        <f t="shared" si="595"/>
        <v>100000</v>
      </c>
      <c r="CD507" s="60" t="e">
        <f t="shared" si="596"/>
        <v>#N/A</v>
      </c>
      <c r="CE507" s="60">
        <f t="shared" si="597"/>
        <v>100000</v>
      </c>
      <c r="CF507" s="83" t="e">
        <f t="shared" si="645"/>
        <v>#N/A</v>
      </c>
      <c r="CG507" s="83">
        <f t="shared" si="646"/>
        <v>0</v>
      </c>
      <c r="CH507" s="83" t="e">
        <f t="shared" si="647"/>
        <v>#N/A</v>
      </c>
      <c r="CI507" s="83">
        <f t="shared" si="648"/>
        <v>0</v>
      </c>
      <c r="CJ507" s="86" t="e">
        <f t="shared" si="598"/>
        <v>#N/A</v>
      </c>
      <c r="CK507" s="82">
        <f t="shared" si="599"/>
        <v>5.3070370403969858E-3</v>
      </c>
      <c r="CL507" s="82" t="e">
        <f t="shared" si="600"/>
        <v>#N/A</v>
      </c>
      <c r="CM507" s="82">
        <f t="shared" si="601"/>
        <v>5.3070370403969858E-3</v>
      </c>
      <c r="CO507" s="149" t="str">
        <f>IF($I507&lt;&gt;"",IF(O507="User Specified",U507,INDEX('Refrigerant GWPs'!$G$2:$G$156,MATCH(O507,'Refrigerant GWPs'!$A$2:$A$156,0))),"")</f>
        <v/>
      </c>
      <c r="CP507" s="138" t="str">
        <f>IF($I507&lt;&gt;"",INDEX('Device Refrigerant Leakage'!$E$2:$E$42,MATCH($M507,'Device Refrigerant Leakage'!$B$2:$B$42,0)),"")</f>
        <v/>
      </c>
      <c r="CQ507" s="138" t="str">
        <f>IF($I507&lt;&gt;"",INDEX('Device Refrigerant Leakage'!$F$2:$F$42,MATCH($M507,'Device Refrigerant Leakage'!$B$2:$B$42,0)),"")</f>
        <v/>
      </c>
      <c r="CR507" s="145" t="str">
        <f>IF($I507&lt;&gt;"",INDEX('Device Refrigerant Leakage'!$G$2:$G$42,MATCH($M507,'Device Refrigerant Leakage'!$B$2:$B$42,0)),"")</f>
        <v/>
      </c>
      <c r="CS507" s="145" t="str">
        <f>IF($I507&lt;&gt;"",INDEX('Device Refrigerant Leakage'!$D$2:$D$42,MATCH($M507,'Device Refrigerant Leakage'!$B$2:$B$42,0))*CP507/2204.62*CO507,"")</f>
        <v/>
      </c>
      <c r="CT507" s="145" t="str">
        <f>IF($I507&lt;&gt;"",J507*(INDEX('Device Refrigerant Leakage'!$D$2:$D$42,MATCH($M507,'Device Refrigerant Leakage'!$B$2:$B$42,0))-(INDEX('Device Refrigerant Leakage'!$D$2:$D$42,MATCH($M507,'Device Refrigerant Leakage'!$B$2:$B$42,0)))*CR507*CP507)*CQ507/2204.62*CO507,"")</f>
        <v/>
      </c>
      <c r="CU507" s="135" t="str">
        <f>IF($I507&lt;&gt;"",J507*IF(W507&lt;&gt;"AR",(CS507*K507)+CT507,(CS507*AB507)+CT507*(AB507/INDEX('Device Refrigerant Leakage'!$C$2:$C$42,MATCH($M507,'Device Refrigerant Leakage'!$B$2:$B$42,0)))),"")</f>
        <v/>
      </c>
      <c r="CW507" s="135" t="str">
        <f>IF($I507&lt;&gt;"",IF(S507="User Specified",V507,INDEX('Refrigerant GWPs'!$G$2:$G$156,MATCH(S507,'Refrigerant GWPs'!$A$2:$A$157,0))),"")</f>
        <v/>
      </c>
      <c r="CX507" s="138" t="str">
        <f>IF($I507&lt;&gt;"",INDEX('Device Refrigerant Leakage'!$E$2:$E$42,MATCH($Q507,'Device Refrigerant Leakage'!$B$2:$B$42,0)),"")</f>
        <v/>
      </c>
      <c r="CY507" s="138" t="str">
        <f>IF($I507&lt;&gt;"",INDEX('Device Refrigerant Leakage'!$F$2:$F$42,MATCH($Q507,'Device Refrigerant Leakage'!$B$2:$B$42,0)),"")</f>
        <v/>
      </c>
      <c r="CZ507" s="145" t="str">
        <f>IF($I507&lt;&gt;"",INDEX('Device Refrigerant Leakage'!$G$2:$G$42,MATCH($Q507,'Device Refrigerant Leakage'!$B$2:$B$42,0)),"")</f>
        <v/>
      </c>
      <c r="DA507" s="145" t="str">
        <f>IF($I507&lt;&gt;"",J507*INDEX('Device Refrigerant Leakage'!$D$2:$D$42,MATCH($Q507,'Device Refrigerant Leakage'!$B$2:$B$42,0))*CX507/2204.62*CW507,"")</f>
        <v/>
      </c>
      <c r="DB507" s="145" t="str">
        <f>IF($I507&lt;&gt;"",J507*(INDEX('Device Refrigerant Leakage'!$D$2:$D$42,MATCH($Q507,'Device Refrigerant Leakage'!$B$2:$B$42,0))-(INDEX('Device Refrigerant Leakage'!$D$2:$D$42,MATCH($Q507,'Device Refrigerant Leakage'!$B$2:$B$42,0)))*CZ507*CX507)*CY507/2204.62*CW507,"")</f>
        <v/>
      </c>
      <c r="DC507" s="135" t="str">
        <f t="shared" si="620"/>
        <v/>
      </c>
      <c r="DE507" s="146" t="str">
        <f>IF(W507&lt;&gt;"AR","",IF(Y507="User Specified", AA507, INDEX('Refrigerant GWPs'!$G$2:$G$154,MATCH(Y507,'Refrigerant GWPs'!$A$2:$A$154,0))))</f>
        <v/>
      </c>
      <c r="DF507" s="146" t="str">
        <f>IF(W507&lt;&gt;"AR","",INDEX('Device Refrigerant Leakage'!$E$2:$E$42,MATCH(X507,'Device Refrigerant Leakage'!$B$2:$B$42,0)))</f>
        <v/>
      </c>
      <c r="DG507" s="146" t="str">
        <f>IF(W507&lt;&gt;"AR","",INDEX('Device Refrigerant Leakage'!$F$2:$F$42,MATCH(X507,'Device Refrigerant Leakage'!$B$2:$B$42,0)))</f>
        <v/>
      </c>
      <c r="DH507" s="146" t="str">
        <f>IF(W507&lt;&gt;"AR","",INDEX('Device Refrigerant Leakage'!$G$2:$G$42,MATCH(X507,'Device Refrigerant Leakage'!$B$2:$B$42,0)))</f>
        <v/>
      </c>
      <c r="DI507" s="146" t="str">
        <f>IF(W507&lt;&gt;"AR","",J507*INDEX('Device Refrigerant Leakage'!$D$2:$D$42,MATCH(X507,'Device Refrigerant Leakage'!$B$2:$B$42,0))*DF507/2204.62*DE507)</f>
        <v/>
      </c>
      <c r="DJ507" s="146" t="str">
        <f>IF(W507&lt;&gt;"AR","",J507*(INDEX('Device Refrigerant Leakage'!$D$2:$D$42,MATCH(X507,'Device Refrigerant Leakage'!$B$2:$B$42,0))-(INDEX('Device Refrigerant Leakage'!$D$2:$D$42,MATCH(X507,'Device Refrigerant Leakage'!$B$2:$B$42,0)))*DH507*DF507)*DG507/2204.62*DE507)</f>
        <v/>
      </c>
      <c r="DK507" s="146" t="str">
        <f>IF(W507&lt;&gt;"AR","",DI507*(K507-AB507)+'Fuel Sub Calcs-Deemed'!DJ507*((K507-AB507)/INDEX('Device Refrigerant Leakage'!$C$2:$C$42,MATCH('Fuel Sub Calcs-Deemed'!X507,'Device Refrigerant Leakage'!$B$2:$B$42,0))))</f>
        <v/>
      </c>
      <c r="DM507" s="56">
        <v>493</v>
      </c>
      <c r="DN507" s="67" t="e">
        <f t="shared" si="602"/>
        <v>#N/A</v>
      </c>
      <c r="DO507" s="45" t="e">
        <f t="shared" si="603"/>
        <v>#N/A</v>
      </c>
      <c r="DP507" s="67" t="e">
        <f t="shared" si="604"/>
        <v>#N/A</v>
      </c>
      <c r="DQ507" s="45" t="e">
        <f t="shared" si="605"/>
        <v>#N/A</v>
      </c>
      <c r="DR507" s="69" t="e">
        <f t="shared" si="606"/>
        <v>#N/A</v>
      </c>
      <c r="DS507" s="34"/>
      <c r="DT507" s="67" t="e">
        <f>((BX507*CJ507)+IF($W507=MAT_AR,(BZ507*CL507),0))*(1+Reference!$E$50+Reference!$E$51)</f>
        <v>#N/A</v>
      </c>
      <c r="DU507" s="67">
        <f>((BY507*CK507)+IF($W507=MAT_AR,(CA507*CM507),0))*(1+Reference!$G$50+Reference!$G$51)</f>
        <v>0</v>
      </c>
      <c r="DV507" s="67" t="e">
        <f t="shared" si="607"/>
        <v>#VALUE!</v>
      </c>
      <c r="DX507" s="56">
        <v>493</v>
      </c>
      <c r="DY507" s="67">
        <f t="shared" si="608"/>
        <v>0</v>
      </c>
      <c r="DZ507" s="45" t="e">
        <f>VLOOKUP($R507,Dropdown!$C$3:$D$4,2,FALSE)</f>
        <v>#N/A</v>
      </c>
      <c r="EA507" s="68">
        <f t="shared" si="609"/>
        <v>0</v>
      </c>
      <c r="EB507" s="68" t="str">
        <f t="shared" si="610"/>
        <v>N/A</v>
      </c>
      <c r="EC507" s="68">
        <f t="shared" si="611"/>
        <v>0</v>
      </c>
      <c r="ED507" s="68" t="str">
        <f t="shared" si="649"/>
        <v>N/A</v>
      </c>
      <c r="EF507" s="56">
        <v>493</v>
      </c>
      <c r="EG507" s="46">
        <f t="shared" si="612"/>
        <v>0</v>
      </c>
      <c r="EH507" s="68" t="e">
        <f t="shared" si="613"/>
        <v>#N/A</v>
      </c>
      <c r="EI507" s="68" t="e">
        <f t="shared" si="614"/>
        <v>#N/A</v>
      </c>
      <c r="EJ507" s="68" t="e">
        <f t="shared" si="615"/>
        <v>#N/A</v>
      </c>
      <c r="EK507" s="68" t="e">
        <f t="shared" si="616"/>
        <v>#N/A</v>
      </c>
      <c r="EL507" s="46">
        <f t="shared" si="617"/>
        <v>0</v>
      </c>
      <c r="EM507" s="46">
        <f t="shared" si="618"/>
        <v>0</v>
      </c>
    </row>
    <row r="508" spans="1:143">
      <c r="A508" s="89"/>
      <c r="B508" s="89"/>
      <c r="C508" s="89"/>
      <c r="D508" s="89"/>
      <c r="E508" s="89"/>
      <c r="F508" s="89"/>
      <c r="G508" s="34"/>
      <c r="H508" s="56">
        <f t="shared" si="619"/>
        <v>494</v>
      </c>
      <c r="I508" s="165"/>
      <c r="J508" s="163"/>
      <c r="K508" s="163"/>
      <c r="L508" s="164"/>
      <c r="M508" s="155"/>
      <c r="N508" s="155"/>
      <c r="O508" s="144"/>
      <c r="P508" s="159" t="str">
        <f>IFERROR(IF(O508&lt;&gt;"User Specified",IF(O508&lt;&gt;"", INDEX('Refrigerant GWPs'!$G$2:$G$154,MATCH(O508,'Refrigerant GWPs'!$A$2:$A$154,0)),""),U508),0)</f>
        <v/>
      </c>
      <c r="Q508" s="155"/>
      <c r="R508" s="155"/>
      <c r="S508" s="144"/>
      <c r="T508" s="159" t="str">
        <f>IF(S508&lt;&gt;"User Specified",IF(AND(S508&lt;&gt;"User Specified",S508&lt;&gt;""), INDEX('Refrigerant GWPs'!$G$2:$G$154,MATCH(S508,'Refrigerant GWPs'!$A$2:$A$154,0)),""),V508)</f>
        <v/>
      </c>
      <c r="U508" s="144"/>
      <c r="V508" s="144"/>
      <c r="W508" s="155"/>
      <c r="X508" s="155"/>
      <c r="Y508" s="144"/>
      <c r="Z508" s="159" t="str">
        <f>IF(AND(Y508&lt;&gt;"User Specified",Y508&lt;&gt;""), INDEX('Refrigerant GWPs'!$G$2:$G$154,MATCH(Y508,'Refrigerant GWPs'!$A$2:$A$154,0)),"")</f>
        <v/>
      </c>
      <c r="AA508" s="155"/>
      <c r="AB508" s="156"/>
      <c r="AC508" s="66"/>
      <c r="AD508" s="66"/>
      <c r="AE508" s="66"/>
      <c r="AF508" s="66"/>
      <c r="AG508" s="66"/>
      <c r="AH508" s="66"/>
      <c r="AI508" s="34"/>
      <c r="AJ508" s="88">
        <f t="shared" si="582"/>
        <v>0</v>
      </c>
      <c r="AK508" s="88">
        <f t="shared" si="583"/>
        <v>0</v>
      </c>
      <c r="AL508" s="88">
        <v>0</v>
      </c>
      <c r="AM508" s="88">
        <v>0</v>
      </c>
      <c r="AN508" s="81" t="str">
        <f t="shared" si="621"/>
        <v/>
      </c>
      <c r="AO508" s="88">
        <f t="shared" si="584"/>
        <v>0</v>
      </c>
      <c r="AP508" s="88">
        <f t="shared" si="585"/>
        <v>0</v>
      </c>
      <c r="AQ508" s="81" t="str">
        <f t="shared" si="586"/>
        <v/>
      </c>
      <c r="AS508" s="41" t="b">
        <f t="shared" si="587"/>
        <v>1</v>
      </c>
      <c r="AT508" s="38">
        <f t="shared" si="588"/>
        <v>0</v>
      </c>
      <c r="AU508" s="60">
        <f t="shared" si="589"/>
        <v>0</v>
      </c>
      <c r="AV508" s="41">
        <f t="shared" si="590"/>
        <v>0</v>
      </c>
      <c r="AW508" s="41" t="b">
        <f t="shared" si="591"/>
        <v>0</v>
      </c>
      <c r="AX508" t="str">
        <f t="shared" si="592"/>
        <v>+00</v>
      </c>
      <c r="AY508" t="str">
        <f t="shared" si="593"/>
        <v>+00</v>
      </c>
      <c r="BA508" s="47" t="b">
        <f t="shared" si="622"/>
        <v>1</v>
      </c>
      <c r="BB508" s="42" t="b">
        <f t="shared" si="623"/>
        <v>1</v>
      </c>
      <c r="BC508" s="42" t="b">
        <f t="shared" si="624"/>
        <v>0</v>
      </c>
      <c r="BD508" s="42" t="b">
        <f t="shared" si="625"/>
        <v>0</v>
      </c>
      <c r="BE508" s="70">
        <f t="shared" si="626"/>
        <v>0</v>
      </c>
      <c r="BF508" s="70">
        <f t="shared" si="627"/>
        <v>0</v>
      </c>
      <c r="BG508" s="34"/>
      <c r="BI508" s="47" t="b">
        <f t="shared" si="628"/>
        <v>1</v>
      </c>
      <c r="BJ508" s="47" t="b">
        <f t="shared" si="629"/>
        <v>1</v>
      </c>
      <c r="BK508" s="42" t="b">
        <f t="shared" si="630"/>
        <v>0</v>
      </c>
      <c r="BL508" s="42" t="b">
        <f t="shared" si="631"/>
        <v>0</v>
      </c>
      <c r="BM508" s="42">
        <f t="shared" si="632"/>
        <v>0</v>
      </c>
      <c r="BN508" s="42">
        <f t="shared" si="633"/>
        <v>0</v>
      </c>
      <c r="BP508" t="e">
        <f t="shared" si="634"/>
        <v>#N/A</v>
      </c>
      <c r="BQ508" t="e">
        <f t="shared" si="635"/>
        <v>#N/A</v>
      </c>
      <c r="BR508" t="e">
        <f t="shared" si="636"/>
        <v>#N/A</v>
      </c>
      <c r="BT508" s="60">
        <f t="shared" si="637"/>
        <v>0</v>
      </c>
      <c r="BU508" s="60">
        <f t="shared" si="638"/>
        <v>0</v>
      </c>
      <c r="BV508" s="60">
        <f t="shared" si="639"/>
        <v>0</v>
      </c>
      <c r="BW508" s="60">
        <f t="shared" si="640"/>
        <v>0</v>
      </c>
      <c r="BX508" s="60">
        <f t="shared" si="641"/>
        <v>0</v>
      </c>
      <c r="BY508" s="60">
        <f t="shared" si="642"/>
        <v>0</v>
      </c>
      <c r="BZ508" s="60">
        <f t="shared" si="643"/>
        <v>0</v>
      </c>
      <c r="CA508" s="60">
        <f t="shared" si="644"/>
        <v>0</v>
      </c>
      <c r="CB508" s="60" t="e">
        <f t="shared" si="594"/>
        <v>#N/A</v>
      </c>
      <c r="CC508" s="60">
        <f t="shared" si="595"/>
        <v>100000</v>
      </c>
      <c r="CD508" s="60" t="e">
        <f t="shared" si="596"/>
        <v>#N/A</v>
      </c>
      <c r="CE508" s="60">
        <f t="shared" si="597"/>
        <v>100000</v>
      </c>
      <c r="CF508" s="83" t="e">
        <f t="shared" si="645"/>
        <v>#N/A</v>
      </c>
      <c r="CG508" s="83">
        <f t="shared" si="646"/>
        <v>0</v>
      </c>
      <c r="CH508" s="83" t="e">
        <f t="shared" si="647"/>
        <v>#N/A</v>
      </c>
      <c r="CI508" s="83">
        <f t="shared" si="648"/>
        <v>0</v>
      </c>
      <c r="CJ508" s="86" t="e">
        <f t="shared" si="598"/>
        <v>#N/A</v>
      </c>
      <c r="CK508" s="82">
        <f t="shared" si="599"/>
        <v>5.3070370403969858E-3</v>
      </c>
      <c r="CL508" s="82" t="e">
        <f t="shared" si="600"/>
        <v>#N/A</v>
      </c>
      <c r="CM508" s="82">
        <f t="shared" si="601"/>
        <v>5.3070370403969858E-3</v>
      </c>
      <c r="CO508" s="149" t="str">
        <f>IF($I508&lt;&gt;"",IF(O508="User Specified",U508,INDEX('Refrigerant GWPs'!$G$2:$G$156,MATCH(O508,'Refrigerant GWPs'!$A$2:$A$156,0))),"")</f>
        <v/>
      </c>
      <c r="CP508" s="138" t="str">
        <f>IF($I508&lt;&gt;"",INDEX('Device Refrigerant Leakage'!$E$2:$E$42,MATCH($M508,'Device Refrigerant Leakage'!$B$2:$B$42,0)),"")</f>
        <v/>
      </c>
      <c r="CQ508" s="138" t="str">
        <f>IF($I508&lt;&gt;"",INDEX('Device Refrigerant Leakage'!$F$2:$F$42,MATCH($M508,'Device Refrigerant Leakage'!$B$2:$B$42,0)),"")</f>
        <v/>
      </c>
      <c r="CR508" s="145" t="str">
        <f>IF($I508&lt;&gt;"",INDEX('Device Refrigerant Leakage'!$G$2:$G$42,MATCH($M508,'Device Refrigerant Leakage'!$B$2:$B$42,0)),"")</f>
        <v/>
      </c>
      <c r="CS508" s="145" t="str">
        <f>IF($I508&lt;&gt;"",INDEX('Device Refrigerant Leakage'!$D$2:$D$42,MATCH($M508,'Device Refrigerant Leakage'!$B$2:$B$42,0))*CP508/2204.62*CO508,"")</f>
        <v/>
      </c>
      <c r="CT508" s="145" t="str">
        <f>IF($I508&lt;&gt;"",J508*(INDEX('Device Refrigerant Leakage'!$D$2:$D$42,MATCH($M508,'Device Refrigerant Leakage'!$B$2:$B$42,0))-(INDEX('Device Refrigerant Leakage'!$D$2:$D$42,MATCH($M508,'Device Refrigerant Leakage'!$B$2:$B$42,0)))*CR508*CP508)*CQ508/2204.62*CO508,"")</f>
        <v/>
      </c>
      <c r="CU508" s="135" t="str">
        <f>IF($I508&lt;&gt;"",J508*IF(W508&lt;&gt;"AR",(CS508*K508)+CT508,(CS508*AB508)+CT508*(AB508/INDEX('Device Refrigerant Leakage'!$C$2:$C$42,MATCH($M508,'Device Refrigerant Leakage'!$B$2:$B$42,0)))),"")</f>
        <v/>
      </c>
      <c r="CW508" s="135" t="str">
        <f>IF($I508&lt;&gt;"",IF(S508="User Specified",V508,INDEX('Refrigerant GWPs'!$G$2:$G$156,MATCH(S508,'Refrigerant GWPs'!$A$2:$A$157,0))),"")</f>
        <v/>
      </c>
      <c r="CX508" s="138" t="str">
        <f>IF($I508&lt;&gt;"",INDEX('Device Refrigerant Leakage'!$E$2:$E$42,MATCH($Q508,'Device Refrigerant Leakage'!$B$2:$B$42,0)),"")</f>
        <v/>
      </c>
      <c r="CY508" s="138" t="str">
        <f>IF($I508&lt;&gt;"",INDEX('Device Refrigerant Leakage'!$F$2:$F$42,MATCH($Q508,'Device Refrigerant Leakage'!$B$2:$B$42,0)),"")</f>
        <v/>
      </c>
      <c r="CZ508" s="145" t="str">
        <f>IF($I508&lt;&gt;"",INDEX('Device Refrigerant Leakage'!$G$2:$G$42,MATCH($Q508,'Device Refrigerant Leakage'!$B$2:$B$42,0)),"")</f>
        <v/>
      </c>
      <c r="DA508" s="145" t="str">
        <f>IF($I508&lt;&gt;"",J508*INDEX('Device Refrigerant Leakage'!$D$2:$D$42,MATCH($Q508,'Device Refrigerant Leakage'!$B$2:$B$42,0))*CX508/2204.62*CW508,"")</f>
        <v/>
      </c>
      <c r="DB508" s="145" t="str">
        <f>IF($I508&lt;&gt;"",J508*(INDEX('Device Refrigerant Leakage'!$D$2:$D$42,MATCH($Q508,'Device Refrigerant Leakage'!$B$2:$B$42,0))-(INDEX('Device Refrigerant Leakage'!$D$2:$D$42,MATCH($Q508,'Device Refrigerant Leakage'!$B$2:$B$42,0)))*CZ508*CX508)*CY508/2204.62*CW508,"")</f>
        <v/>
      </c>
      <c r="DC508" s="135" t="str">
        <f t="shared" si="620"/>
        <v/>
      </c>
      <c r="DE508" s="146" t="str">
        <f>IF(W508&lt;&gt;"AR","",IF(Y508="User Specified", AA508, INDEX('Refrigerant GWPs'!$G$2:$G$154,MATCH(Y508,'Refrigerant GWPs'!$A$2:$A$154,0))))</f>
        <v/>
      </c>
      <c r="DF508" s="146" t="str">
        <f>IF(W508&lt;&gt;"AR","",INDEX('Device Refrigerant Leakage'!$E$2:$E$42,MATCH(X508,'Device Refrigerant Leakage'!$B$2:$B$42,0)))</f>
        <v/>
      </c>
      <c r="DG508" s="146" t="str">
        <f>IF(W508&lt;&gt;"AR","",INDEX('Device Refrigerant Leakage'!$F$2:$F$42,MATCH(X508,'Device Refrigerant Leakage'!$B$2:$B$42,0)))</f>
        <v/>
      </c>
      <c r="DH508" s="146" t="str">
        <f>IF(W508&lt;&gt;"AR","",INDEX('Device Refrigerant Leakage'!$G$2:$G$42,MATCH(X508,'Device Refrigerant Leakage'!$B$2:$B$42,0)))</f>
        <v/>
      </c>
      <c r="DI508" s="146" t="str">
        <f>IF(W508&lt;&gt;"AR","",J508*INDEX('Device Refrigerant Leakage'!$D$2:$D$42,MATCH(X508,'Device Refrigerant Leakage'!$B$2:$B$42,0))*DF508/2204.62*DE508)</f>
        <v/>
      </c>
      <c r="DJ508" s="146" t="str">
        <f>IF(W508&lt;&gt;"AR","",J508*(INDEX('Device Refrigerant Leakage'!$D$2:$D$42,MATCH(X508,'Device Refrigerant Leakage'!$B$2:$B$42,0))-(INDEX('Device Refrigerant Leakage'!$D$2:$D$42,MATCH(X508,'Device Refrigerant Leakage'!$B$2:$B$42,0)))*DH508*DF508)*DG508/2204.62*DE508)</f>
        <v/>
      </c>
      <c r="DK508" s="146" t="str">
        <f>IF(W508&lt;&gt;"AR","",DI508*(K508-AB508)+'Fuel Sub Calcs-Deemed'!DJ508*((K508-AB508)/INDEX('Device Refrigerant Leakage'!$C$2:$C$42,MATCH('Fuel Sub Calcs-Deemed'!X508,'Device Refrigerant Leakage'!$B$2:$B$42,0))))</f>
        <v/>
      </c>
      <c r="DM508" s="56">
        <v>494</v>
      </c>
      <c r="DN508" s="67" t="e">
        <f t="shared" si="602"/>
        <v>#N/A</v>
      </c>
      <c r="DO508" s="45" t="e">
        <f t="shared" si="603"/>
        <v>#N/A</v>
      </c>
      <c r="DP508" s="67" t="e">
        <f t="shared" si="604"/>
        <v>#N/A</v>
      </c>
      <c r="DQ508" s="45" t="e">
        <f t="shared" si="605"/>
        <v>#N/A</v>
      </c>
      <c r="DR508" s="69" t="e">
        <f t="shared" si="606"/>
        <v>#N/A</v>
      </c>
      <c r="DS508" s="34"/>
      <c r="DT508" s="67" t="e">
        <f>((BX508*CJ508)+IF($W508=MAT_AR,(BZ508*CL508),0))*(1+Reference!$E$50+Reference!$E$51)</f>
        <v>#N/A</v>
      </c>
      <c r="DU508" s="67">
        <f>((BY508*CK508)+IF($W508=MAT_AR,(CA508*CM508),0))*(1+Reference!$G$50+Reference!$G$51)</f>
        <v>0</v>
      </c>
      <c r="DV508" s="67" t="e">
        <f t="shared" si="607"/>
        <v>#VALUE!</v>
      </c>
      <c r="DX508" s="56">
        <v>494</v>
      </c>
      <c r="DY508" s="67">
        <f t="shared" si="608"/>
        <v>0</v>
      </c>
      <c r="DZ508" s="45" t="e">
        <f>VLOOKUP($R508,Dropdown!$C$3:$D$4,2,FALSE)</f>
        <v>#N/A</v>
      </c>
      <c r="EA508" s="68">
        <f t="shared" si="609"/>
        <v>0</v>
      </c>
      <c r="EB508" s="68" t="str">
        <f t="shared" si="610"/>
        <v>N/A</v>
      </c>
      <c r="EC508" s="68">
        <f t="shared" si="611"/>
        <v>0</v>
      </c>
      <c r="ED508" s="68" t="str">
        <f t="shared" si="649"/>
        <v>N/A</v>
      </c>
      <c r="EF508" s="56">
        <v>494</v>
      </c>
      <c r="EG508" s="46">
        <f t="shared" si="612"/>
        <v>0</v>
      </c>
      <c r="EH508" s="68" t="e">
        <f t="shared" si="613"/>
        <v>#N/A</v>
      </c>
      <c r="EI508" s="68" t="e">
        <f t="shared" si="614"/>
        <v>#N/A</v>
      </c>
      <c r="EJ508" s="68" t="e">
        <f t="shared" si="615"/>
        <v>#N/A</v>
      </c>
      <c r="EK508" s="68" t="e">
        <f t="shared" si="616"/>
        <v>#N/A</v>
      </c>
      <c r="EL508" s="46">
        <f t="shared" si="617"/>
        <v>0</v>
      </c>
      <c r="EM508" s="46">
        <f t="shared" si="618"/>
        <v>0</v>
      </c>
    </row>
    <row r="509" spans="1:143">
      <c r="A509" s="89"/>
      <c r="B509" s="89"/>
      <c r="C509" s="89"/>
      <c r="D509" s="89"/>
      <c r="E509" s="89"/>
      <c r="F509" s="89"/>
      <c r="G509" s="34"/>
      <c r="H509" s="56">
        <f t="shared" si="619"/>
        <v>495</v>
      </c>
      <c r="I509" s="165"/>
      <c r="J509" s="163"/>
      <c r="K509" s="163"/>
      <c r="L509" s="164"/>
      <c r="M509" s="155"/>
      <c r="N509" s="155"/>
      <c r="O509" s="144"/>
      <c r="P509" s="159" t="str">
        <f>IFERROR(IF(O509&lt;&gt;"User Specified",IF(O509&lt;&gt;"", INDEX('Refrigerant GWPs'!$G$2:$G$154,MATCH(O509,'Refrigerant GWPs'!$A$2:$A$154,0)),""),U509),0)</f>
        <v/>
      </c>
      <c r="Q509" s="155"/>
      <c r="R509" s="155"/>
      <c r="S509" s="144"/>
      <c r="T509" s="159" t="str">
        <f>IF(S509&lt;&gt;"User Specified",IF(AND(S509&lt;&gt;"User Specified",S509&lt;&gt;""), INDEX('Refrigerant GWPs'!$G$2:$G$154,MATCH(S509,'Refrigerant GWPs'!$A$2:$A$154,0)),""),V509)</f>
        <v/>
      </c>
      <c r="U509" s="144"/>
      <c r="V509" s="144"/>
      <c r="W509" s="155"/>
      <c r="X509" s="155"/>
      <c r="Y509" s="144"/>
      <c r="Z509" s="159" t="str">
        <f>IF(AND(Y509&lt;&gt;"User Specified",Y509&lt;&gt;""), INDEX('Refrigerant GWPs'!$G$2:$G$154,MATCH(Y509,'Refrigerant GWPs'!$A$2:$A$154,0)),"")</f>
        <v/>
      </c>
      <c r="AA509" s="155"/>
      <c r="AB509" s="156"/>
      <c r="AC509" s="66"/>
      <c r="AD509" s="66"/>
      <c r="AE509" s="66"/>
      <c r="AF509" s="66"/>
      <c r="AG509" s="66"/>
      <c r="AH509" s="66"/>
      <c r="AI509" s="34"/>
      <c r="AJ509" s="88">
        <f t="shared" si="582"/>
        <v>0</v>
      </c>
      <c r="AK509" s="88">
        <f t="shared" si="583"/>
        <v>0</v>
      </c>
      <c r="AL509" s="88">
        <v>0</v>
      </c>
      <c r="AM509" s="88">
        <v>0</v>
      </c>
      <c r="AN509" s="81" t="str">
        <f t="shared" si="621"/>
        <v/>
      </c>
      <c r="AO509" s="88">
        <f t="shared" si="584"/>
        <v>0</v>
      </c>
      <c r="AP509" s="88">
        <f t="shared" si="585"/>
        <v>0</v>
      </c>
      <c r="AQ509" s="81" t="str">
        <f t="shared" si="586"/>
        <v/>
      </c>
      <c r="AS509" s="41" t="b">
        <f t="shared" si="587"/>
        <v>1</v>
      </c>
      <c r="AT509" s="38">
        <f t="shared" si="588"/>
        <v>0</v>
      </c>
      <c r="AU509" s="60">
        <f t="shared" si="589"/>
        <v>0</v>
      </c>
      <c r="AV509" s="41">
        <f t="shared" si="590"/>
        <v>0</v>
      </c>
      <c r="AW509" s="41" t="b">
        <f t="shared" si="591"/>
        <v>0</v>
      </c>
      <c r="AX509" t="str">
        <f t="shared" si="592"/>
        <v>+00</v>
      </c>
      <c r="AY509" t="str">
        <f t="shared" si="593"/>
        <v>+00</v>
      </c>
      <c r="BA509" s="47" t="b">
        <f t="shared" si="622"/>
        <v>1</v>
      </c>
      <c r="BB509" s="42" t="b">
        <f t="shared" si="623"/>
        <v>1</v>
      </c>
      <c r="BC509" s="42" t="b">
        <f t="shared" si="624"/>
        <v>0</v>
      </c>
      <c r="BD509" s="42" t="b">
        <f t="shared" si="625"/>
        <v>0</v>
      </c>
      <c r="BE509" s="70">
        <f t="shared" si="626"/>
        <v>0</v>
      </c>
      <c r="BF509" s="70">
        <f t="shared" si="627"/>
        <v>0</v>
      </c>
      <c r="BG509" s="34"/>
      <c r="BI509" s="47" t="b">
        <f t="shared" si="628"/>
        <v>1</v>
      </c>
      <c r="BJ509" s="47" t="b">
        <f t="shared" si="629"/>
        <v>1</v>
      </c>
      <c r="BK509" s="42" t="b">
        <f t="shared" si="630"/>
        <v>0</v>
      </c>
      <c r="BL509" s="42" t="b">
        <f t="shared" si="631"/>
        <v>0</v>
      </c>
      <c r="BM509" s="42">
        <f t="shared" si="632"/>
        <v>0</v>
      </c>
      <c r="BN509" s="42">
        <f t="shared" si="633"/>
        <v>0</v>
      </c>
      <c r="BP509" t="e">
        <f t="shared" si="634"/>
        <v>#N/A</v>
      </c>
      <c r="BQ509" t="e">
        <f t="shared" si="635"/>
        <v>#N/A</v>
      </c>
      <c r="BR509" t="e">
        <f t="shared" si="636"/>
        <v>#N/A</v>
      </c>
      <c r="BT509" s="60">
        <f t="shared" si="637"/>
        <v>0</v>
      </c>
      <c r="BU509" s="60">
        <f t="shared" si="638"/>
        <v>0</v>
      </c>
      <c r="BV509" s="60">
        <f t="shared" si="639"/>
        <v>0</v>
      </c>
      <c r="BW509" s="60">
        <f t="shared" si="640"/>
        <v>0</v>
      </c>
      <c r="BX509" s="60">
        <f t="shared" si="641"/>
        <v>0</v>
      </c>
      <c r="BY509" s="60">
        <f t="shared" si="642"/>
        <v>0</v>
      </c>
      <c r="BZ509" s="60">
        <f t="shared" si="643"/>
        <v>0</v>
      </c>
      <c r="CA509" s="60">
        <f t="shared" si="644"/>
        <v>0</v>
      </c>
      <c r="CB509" s="60" t="e">
        <f t="shared" si="594"/>
        <v>#N/A</v>
      </c>
      <c r="CC509" s="60">
        <f t="shared" si="595"/>
        <v>100000</v>
      </c>
      <c r="CD509" s="60" t="e">
        <f t="shared" si="596"/>
        <v>#N/A</v>
      </c>
      <c r="CE509" s="60">
        <f t="shared" si="597"/>
        <v>100000</v>
      </c>
      <c r="CF509" s="83" t="e">
        <f t="shared" si="645"/>
        <v>#N/A</v>
      </c>
      <c r="CG509" s="83">
        <f t="shared" si="646"/>
        <v>0</v>
      </c>
      <c r="CH509" s="83" t="e">
        <f t="shared" si="647"/>
        <v>#N/A</v>
      </c>
      <c r="CI509" s="83">
        <f t="shared" si="648"/>
        <v>0</v>
      </c>
      <c r="CJ509" s="86" t="e">
        <f t="shared" si="598"/>
        <v>#N/A</v>
      </c>
      <c r="CK509" s="82">
        <f t="shared" si="599"/>
        <v>5.3070370403969858E-3</v>
      </c>
      <c r="CL509" s="82" t="e">
        <f t="shared" si="600"/>
        <v>#N/A</v>
      </c>
      <c r="CM509" s="82">
        <f t="shared" si="601"/>
        <v>5.3070370403969858E-3</v>
      </c>
      <c r="CO509" s="149" t="str">
        <f>IF($I509&lt;&gt;"",IF(O509="User Specified",U509,INDEX('Refrigerant GWPs'!$G$2:$G$156,MATCH(O509,'Refrigerant GWPs'!$A$2:$A$156,0))),"")</f>
        <v/>
      </c>
      <c r="CP509" s="138" t="str">
        <f>IF($I509&lt;&gt;"",INDEX('Device Refrigerant Leakage'!$E$2:$E$42,MATCH($M509,'Device Refrigerant Leakage'!$B$2:$B$42,0)),"")</f>
        <v/>
      </c>
      <c r="CQ509" s="138" t="str">
        <f>IF($I509&lt;&gt;"",INDEX('Device Refrigerant Leakage'!$F$2:$F$42,MATCH($M509,'Device Refrigerant Leakage'!$B$2:$B$42,0)),"")</f>
        <v/>
      </c>
      <c r="CR509" s="145" t="str">
        <f>IF($I509&lt;&gt;"",INDEX('Device Refrigerant Leakage'!$G$2:$G$42,MATCH($M509,'Device Refrigerant Leakage'!$B$2:$B$42,0)),"")</f>
        <v/>
      </c>
      <c r="CS509" s="145" t="str">
        <f>IF($I509&lt;&gt;"",INDEX('Device Refrigerant Leakage'!$D$2:$D$42,MATCH($M509,'Device Refrigerant Leakage'!$B$2:$B$42,0))*CP509/2204.62*CO509,"")</f>
        <v/>
      </c>
      <c r="CT509" s="145" t="str">
        <f>IF($I509&lt;&gt;"",J509*(INDEX('Device Refrigerant Leakage'!$D$2:$D$42,MATCH($M509,'Device Refrigerant Leakage'!$B$2:$B$42,0))-(INDEX('Device Refrigerant Leakage'!$D$2:$D$42,MATCH($M509,'Device Refrigerant Leakage'!$B$2:$B$42,0)))*CR509*CP509)*CQ509/2204.62*CO509,"")</f>
        <v/>
      </c>
      <c r="CU509" s="135" t="str">
        <f>IF($I509&lt;&gt;"",J509*IF(W509&lt;&gt;"AR",(CS509*K509)+CT509,(CS509*AB509)+CT509*(AB509/INDEX('Device Refrigerant Leakage'!$C$2:$C$42,MATCH($M509,'Device Refrigerant Leakage'!$B$2:$B$42,0)))),"")</f>
        <v/>
      </c>
      <c r="CW509" s="135" t="str">
        <f>IF($I509&lt;&gt;"",IF(S509="User Specified",V509,INDEX('Refrigerant GWPs'!$G$2:$G$156,MATCH(S509,'Refrigerant GWPs'!$A$2:$A$157,0))),"")</f>
        <v/>
      </c>
      <c r="CX509" s="138" t="str">
        <f>IF($I509&lt;&gt;"",INDEX('Device Refrigerant Leakage'!$E$2:$E$42,MATCH($Q509,'Device Refrigerant Leakage'!$B$2:$B$42,0)),"")</f>
        <v/>
      </c>
      <c r="CY509" s="138" t="str">
        <f>IF($I509&lt;&gt;"",INDEX('Device Refrigerant Leakage'!$F$2:$F$42,MATCH($Q509,'Device Refrigerant Leakage'!$B$2:$B$42,0)),"")</f>
        <v/>
      </c>
      <c r="CZ509" s="145" t="str">
        <f>IF($I509&lt;&gt;"",INDEX('Device Refrigerant Leakage'!$G$2:$G$42,MATCH($Q509,'Device Refrigerant Leakage'!$B$2:$B$42,0)),"")</f>
        <v/>
      </c>
      <c r="DA509" s="145" t="str">
        <f>IF($I509&lt;&gt;"",J509*INDEX('Device Refrigerant Leakage'!$D$2:$D$42,MATCH($Q509,'Device Refrigerant Leakage'!$B$2:$B$42,0))*CX509/2204.62*CW509,"")</f>
        <v/>
      </c>
      <c r="DB509" s="145" t="str">
        <f>IF($I509&lt;&gt;"",J509*(INDEX('Device Refrigerant Leakage'!$D$2:$D$42,MATCH($Q509,'Device Refrigerant Leakage'!$B$2:$B$42,0))-(INDEX('Device Refrigerant Leakage'!$D$2:$D$42,MATCH($Q509,'Device Refrigerant Leakage'!$B$2:$B$42,0)))*CZ509*CX509)*CY509/2204.62*CW509,"")</f>
        <v/>
      </c>
      <c r="DC509" s="135" t="str">
        <f t="shared" si="620"/>
        <v/>
      </c>
      <c r="DE509" s="146" t="str">
        <f>IF(W509&lt;&gt;"AR","",IF(Y509="User Specified", AA509, INDEX('Refrigerant GWPs'!$G$2:$G$154,MATCH(Y509,'Refrigerant GWPs'!$A$2:$A$154,0))))</f>
        <v/>
      </c>
      <c r="DF509" s="146" t="str">
        <f>IF(W509&lt;&gt;"AR","",INDEX('Device Refrigerant Leakage'!$E$2:$E$42,MATCH(X509,'Device Refrigerant Leakage'!$B$2:$B$42,0)))</f>
        <v/>
      </c>
      <c r="DG509" s="146" t="str">
        <f>IF(W509&lt;&gt;"AR","",INDEX('Device Refrigerant Leakage'!$F$2:$F$42,MATCH(X509,'Device Refrigerant Leakage'!$B$2:$B$42,0)))</f>
        <v/>
      </c>
      <c r="DH509" s="146" t="str">
        <f>IF(W509&lt;&gt;"AR","",INDEX('Device Refrigerant Leakage'!$G$2:$G$42,MATCH(X509,'Device Refrigerant Leakage'!$B$2:$B$42,0)))</f>
        <v/>
      </c>
      <c r="DI509" s="146" t="str">
        <f>IF(W509&lt;&gt;"AR","",J509*INDEX('Device Refrigerant Leakage'!$D$2:$D$42,MATCH(X509,'Device Refrigerant Leakage'!$B$2:$B$42,0))*DF509/2204.62*DE509)</f>
        <v/>
      </c>
      <c r="DJ509" s="146" t="str">
        <f>IF(W509&lt;&gt;"AR","",J509*(INDEX('Device Refrigerant Leakage'!$D$2:$D$42,MATCH(X509,'Device Refrigerant Leakage'!$B$2:$B$42,0))-(INDEX('Device Refrigerant Leakage'!$D$2:$D$42,MATCH(X509,'Device Refrigerant Leakage'!$B$2:$B$42,0)))*DH509*DF509)*DG509/2204.62*DE509)</f>
        <v/>
      </c>
      <c r="DK509" s="146" t="str">
        <f>IF(W509&lt;&gt;"AR","",DI509*(K509-AB509)+'Fuel Sub Calcs-Deemed'!DJ509*((K509-AB509)/INDEX('Device Refrigerant Leakage'!$C$2:$C$42,MATCH('Fuel Sub Calcs-Deemed'!X509,'Device Refrigerant Leakage'!$B$2:$B$42,0))))</f>
        <v/>
      </c>
      <c r="DM509" s="56">
        <v>495</v>
      </c>
      <c r="DN509" s="67" t="e">
        <f t="shared" si="602"/>
        <v>#N/A</v>
      </c>
      <c r="DO509" s="45" t="e">
        <f t="shared" si="603"/>
        <v>#N/A</v>
      </c>
      <c r="DP509" s="67" t="e">
        <f t="shared" si="604"/>
        <v>#N/A</v>
      </c>
      <c r="DQ509" s="45" t="e">
        <f t="shared" si="605"/>
        <v>#N/A</v>
      </c>
      <c r="DR509" s="69" t="e">
        <f t="shared" si="606"/>
        <v>#N/A</v>
      </c>
      <c r="DS509" s="34"/>
      <c r="DT509" s="67" t="e">
        <f>((BX509*CJ509)+IF($W509=MAT_AR,(BZ509*CL509),0))*(1+Reference!$E$50+Reference!$E$51)</f>
        <v>#N/A</v>
      </c>
      <c r="DU509" s="67">
        <f>((BY509*CK509)+IF($W509=MAT_AR,(CA509*CM509),0))*(1+Reference!$G$50+Reference!$G$51)</f>
        <v>0</v>
      </c>
      <c r="DV509" s="67" t="e">
        <f t="shared" si="607"/>
        <v>#VALUE!</v>
      </c>
      <c r="DX509" s="56">
        <v>495</v>
      </c>
      <c r="DY509" s="67">
        <f t="shared" si="608"/>
        <v>0</v>
      </c>
      <c r="DZ509" s="45" t="e">
        <f>VLOOKUP($R509,Dropdown!$C$3:$D$4,2,FALSE)</f>
        <v>#N/A</v>
      </c>
      <c r="EA509" s="68">
        <f t="shared" si="609"/>
        <v>0</v>
      </c>
      <c r="EB509" s="68" t="str">
        <f t="shared" si="610"/>
        <v>N/A</v>
      </c>
      <c r="EC509" s="68">
        <f t="shared" si="611"/>
        <v>0</v>
      </c>
      <c r="ED509" s="68" t="str">
        <f t="shared" si="649"/>
        <v>N/A</v>
      </c>
      <c r="EF509" s="56">
        <v>495</v>
      </c>
      <c r="EG509" s="46">
        <f t="shared" si="612"/>
        <v>0</v>
      </c>
      <c r="EH509" s="68" t="e">
        <f t="shared" si="613"/>
        <v>#N/A</v>
      </c>
      <c r="EI509" s="68" t="e">
        <f t="shared" si="614"/>
        <v>#N/A</v>
      </c>
      <c r="EJ509" s="68" t="e">
        <f t="shared" si="615"/>
        <v>#N/A</v>
      </c>
      <c r="EK509" s="68" t="e">
        <f t="shared" si="616"/>
        <v>#N/A</v>
      </c>
      <c r="EL509" s="46">
        <f t="shared" si="617"/>
        <v>0</v>
      </c>
      <c r="EM509" s="46">
        <f t="shared" si="618"/>
        <v>0</v>
      </c>
    </row>
    <row r="510" spans="1:143">
      <c r="A510" s="89"/>
      <c r="B510" s="89"/>
      <c r="C510" s="89"/>
      <c r="D510" s="89"/>
      <c r="E510" s="89"/>
      <c r="F510" s="89"/>
      <c r="G510" s="34"/>
      <c r="H510" s="56">
        <f t="shared" si="619"/>
        <v>496</v>
      </c>
      <c r="I510" s="165"/>
      <c r="J510" s="163"/>
      <c r="K510" s="163"/>
      <c r="L510" s="164"/>
      <c r="M510" s="155"/>
      <c r="N510" s="155"/>
      <c r="O510" s="144"/>
      <c r="P510" s="159" t="str">
        <f>IFERROR(IF(O510&lt;&gt;"User Specified",IF(O510&lt;&gt;"", INDEX('Refrigerant GWPs'!$G$2:$G$154,MATCH(O510,'Refrigerant GWPs'!$A$2:$A$154,0)),""),U510),0)</f>
        <v/>
      </c>
      <c r="Q510" s="155"/>
      <c r="R510" s="155"/>
      <c r="S510" s="144"/>
      <c r="T510" s="159" t="str">
        <f>IF(S510&lt;&gt;"User Specified",IF(AND(S510&lt;&gt;"User Specified",S510&lt;&gt;""), INDEX('Refrigerant GWPs'!$G$2:$G$154,MATCH(S510,'Refrigerant GWPs'!$A$2:$A$154,0)),""),V510)</f>
        <v/>
      </c>
      <c r="U510" s="144"/>
      <c r="V510" s="144"/>
      <c r="W510" s="155"/>
      <c r="X510" s="155"/>
      <c r="Y510" s="144"/>
      <c r="Z510" s="159" t="str">
        <f>IF(AND(Y510&lt;&gt;"User Specified",Y510&lt;&gt;""), INDEX('Refrigerant GWPs'!$G$2:$G$154,MATCH(Y510,'Refrigerant GWPs'!$A$2:$A$154,0)),"")</f>
        <v/>
      </c>
      <c r="AA510" s="155"/>
      <c r="AB510" s="156"/>
      <c r="AC510" s="66"/>
      <c r="AD510" s="66"/>
      <c r="AE510" s="66"/>
      <c r="AF510" s="66"/>
      <c r="AG510" s="66"/>
      <c r="AH510" s="66"/>
      <c r="AI510" s="34"/>
      <c r="AJ510" s="88">
        <f t="shared" si="582"/>
        <v>0</v>
      </c>
      <c r="AK510" s="88">
        <f t="shared" si="583"/>
        <v>0</v>
      </c>
      <c r="AL510" s="88">
        <v>0</v>
      </c>
      <c r="AM510" s="88">
        <v>0</v>
      </c>
      <c r="AN510" s="81" t="str">
        <f t="shared" si="621"/>
        <v/>
      </c>
      <c r="AO510" s="88">
        <f t="shared" si="584"/>
        <v>0</v>
      </c>
      <c r="AP510" s="88">
        <f t="shared" si="585"/>
        <v>0</v>
      </c>
      <c r="AQ510" s="81" t="str">
        <f t="shared" si="586"/>
        <v/>
      </c>
      <c r="AS510" s="41" t="b">
        <f t="shared" si="587"/>
        <v>1</v>
      </c>
      <c r="AT510" s="38">
        <f t="shared" si="588"/>
        <v>0</v>
      </c>
      <c r="AU510" s="60">
        <f t="shared" si="589"/>
        <v>0</v>
      </c>
      <c r="AV510" s="41">
        <f t="shared" si="590"/>
        <v>0</v>
      </c>
      <c r="AW510" s="41" t="b">
        <f t="shared" si="591"/>
        <v>0</v>
      </c>
      <c r="AX510" t="str">
        <f t="shared" si="592"/>
        <v>+00</v>
      </c>
      <c r="AY510" t="str">
        <f t="shared" si="593"/>
        <v>+00</v>
      </c>
      <c r="BA510" s="47" t="b">
        <f t="shared" si="622"/>
        <v>1</v>
      </c>
      <c r="BB510" s="42" t="b">
        <f t="shared" si="623"/>
        <v>1</v>
      </c>
      <c r="BC510" s="42" t="b">
        <f t="shared" si="624"/>
        <v>0</v>
      </c>
      <c r="BD510" s="42" t="b">
        <f t="shared" si="625"/>
        <v>0</v>
      </c>
      <c r="BE510" s="70">
        <f t="shared" si="626"/>
        <v>0</v>
      </c>
      <c r="BF510" s="70">
        <f t="shared" si="627"/>
        <v>0</v>
      </c>
      <c r="BG510" s="34"/>
      <c r="BI510" s="47" t="b">
        <f t="shared" si="628"/>
        <v>1</v>
      </c>
      <c r="BJ510" s="47" t="b">
        <f t="shared" si="629"/>
        <v>1</v>
      </c>
      <c r="BK510" s="42" t="b">
        <f t="shared" si="630"/>
        <v>0</v>
      </c>
      <c r="BL510" s="42" t="b">
        <f t="shared" si="631"/>
        <v>0</v>
      </c>
      <c r="BM510" s="42">
        <f t="shared" si="632"/>
        <v>0</v>
      </c>
      <c r="BN510" s="42">
        <f t="shared" si="633"/>
        <v>0</v>
      </c>
      <c r="BP510" t="e">
        <f t="shared" si="634"/>
        <v>#N/A</v>
      </c>
      <c r="BQ510" t="e">
        <f t="shared" si="635"/>
        <v>#N/A</v>
      </c>
      <c r="BR510" t="e">
        <f t="shared" si="636"/>
        <v>#N/A</v>
      </c>
      <c r="BT510" s="60">
        <f t="shared" si="637"/>
        <v>0</v>
      </c>
      <c r="BU510" s="60">
        <f t="shared" si="638"/>
        <v>0</v>
      </c>
      <c r="BV510" s="60">
        <f t="shared" si="639"/>
        <v>0</v>
      </c>
      <c r="BW510" s="60">
        <f t="shared" si="640"/>
        <v>0</v>
      </c>
      <c r="BX510" s="60">
        <f t="shared" si="641"/>
        <v>0</v>
      </c>
      <c r="BY510" s="60">
        <f t="shared" si="642"/>
        <v>0</v>
      </c>
      <c r="BZ510" s="60">
        <f t="shared" si="643"/>
        <v>0</v>
      </c>
      <c r="CA510" s="60">
        <f t="shared" si="644"/>
        <v>0</v>
      </c>
      <c r="CB510" s="60" t="e">
        <f t="shared" si="594"/>
        <v>#N/A</v>
      </c>
      <c r="CC510" s="60">
        <f t="shared" si="595"/>
        <v>100000</v>
      </c>
      <c r="CD510" s="60" t="e">
        <f t="shared" si="596"/>
        <v>#N/A</v>
      </c>
      <c r="CE510" s="60">
        <f t="shared" si="597"/>
        <v>100000</v>
      </c>
      <c r="CF510" s="83" t="e">
        <f t="shared" si="645"/>
        <v>#N/A</v>
      </c>
      <c r="CG510" s="83">
        <f t="shared" si="646"/>
        <v>0</v>
      </c>
      <c r="CH510" s="83" t="e">
        <f t="shared" si="647"/>
        <v>#N/A</v>
      </c>
      <c r="CI510" s="83">
        <f t="shared" si="648"/>
        <v>0</v>
      </c>
      <c r="CJ510" s="86" t="e">
        <f t="shared" si="598"/>
        <v>#N/A</v>
      </c>
      <c r="CK510" s="82">
        <f t="shared" si="599"/>
        <v>5.3070370403969858E-3</v>
      </c>
      <c r="CL510" s="82" t="e">
        <f t="shared" si="600"/>
        <v>#N/A</v>
      </c>
      <c r="CM510" s="82">
        <f t="shared" si="601"/>
        <v>5.3070370403969858E-3</v>
      </c>
      <c r="CO510" s="149" t="str">
        <f>IF($I510&lt;&gt;"",IF(O510="User Specified",U510,INDEX('Refrigerant GWPs'!$G$2:$G$156,MATCH(O510,'Refrigerant GWPs'!$A$2:$A$156,0))),"")</f>
        <v/>
      </c>
      <c r="CP510" s="138" t="str">
        <f>IF($I510&lt;&gt;"",INDEX('Device Refrigerant Leakage'!$E$2:$E$42,MATCH($M510,'Device Refrigerant Leakage'!$B$2:$B$42,0)),"")</f>
        <v/>
      </c>
      <c r="CQ510" s="138" t="str">
        <f>IF($I510&lt;&gt;"",INDEX('Device Refrigerant Leakage'!$F$2:$F$42,MATCH($M510,'Device Refrigerant Leakage'!$B$2:$B$42,0)),"")</f>
        <v/>
      </c>
      <c r="CR510" s="145" t="str">
        <f>IF($I510&lt;&gt;"",INDEX('Device Refrigerant Leakage'!$G$2:$G$42,MATCH($M510,'Device Refrigerant Leakage'!$B$2:$B$42,0)),"")</f>
        <v/>
      </c>
      <c r="CS510" s="145" t="str">
        <f>IF($I510&lt;&gt;"",INDEX('Device Refrigerant Leakage'!$D$2:$D$42,MATCH($M510,'Device Refrigerant Leakage'!$B$2:$B$42,0))*CP510/2204.62*CO510,"")</f>
        <v/>
      </c>
      <c r="CT510" s="145" t="str">
        <f>IF($I510&lt;&gt;"",J510*(INDEX('Device Refrigerant Leakage'!$D$2:$D$42,MATCH($M510,'Device Refrigerant Leakage'!$B$2:$B$42,0))-(INDEX('Device Refrigerant Leakage'!$D$2:$D$42,MATCH($M510,'Device Refrigerant Leakage'!$B$2:$B$42,0)))*CR510*CP510)*CQ510/2204.62*CO510,"")</f>
        <v/>
      </c>
      <c r="CU510" s="135" t="str">
        <f>IF($I510&lt;&gt;"",J510*IF(W510&lt;&gt;"AR",(CS510*K510)+CT510,(CS510*AB510)+CT510*(AB510/INDEX('Device Refrigerant Leakage'!$C$2:$C$42,MATCH($M510,'Device Refrigerant Leakage'!$B$2:$B$42,0)))),"")</f>
        <v/>
      </c>
      <c r="CW510" s="135" t="str">
        <f>IF($I510&lt;&gt;"",IF(S510="User Specified",V510,INDEX('Refrigerant GWPs'!$G$2:$G$156,MATCH(S510,'Refrigerant GWPs'!$A$2:$A$157,0))),"")</f>
        <v/>
      </c>
      <c r="CX510" s="138" t="str">
        <f>IF($I510&lt;&gt;"",INDEX('Device Refrigerant Leakage'!$E$2:$E$42,MATCH($Q510,'Device Refrigerant Leakage'!$B$2:$B$42,0)),"")</f>
        <v/>
      </c>
      <c r="CY510" s="138" t="str">
        <f>IF($I510&lt;&gt;"",INDEX('Device Refrigerant Leakage'!$F$2:$F$42,MATCH($Q510,'Device Refrigerant Leakage'!$B$2:$B$42,0)),"")</f>
        <v/>
      </c>
      <c r="CZ510" s="145" t="str">
        <f>IF($I510&lt;&gt;"",INDEX('Device Refrigerant Leakage'!$G$2:$G$42,MATCH($Q510,'Device Refrigerant Leakage'!$B$2:$B$42,0)),"")</f>
        <v/>
      </c>
      <c r="DA510" s="145" t="str">
        <f>IF($I510&lt;&gt;"",J510*INDEX('Device Refrigerant Leakage'!$D$2:$D$42,MATCH($Q510,'Device Refrigerant Leakage'!$B$2:$B$42,0))*CX510/2204.62*CW510,"")</f>
        <v/>
      </c>
      <c r="DB510" s="145" t="str">
        <f>IF($I510&lt;&gt;"",J510*(INDEX('Device Refrigerant Leakage'!$D$2:$D$42,MATCH($Q510,'Device Refrigerant Leakage'!$B$2:$B$42,0))-(INDEX('Device Refrigerant Leakage'!$D$2:$D$42,MATCH($Q510,'Device Refrigerant Leakage'!$B$2:$B$42,0)))*CZ510*CX510)*CY510/2204.62*CW510,"")</f>
        <v/>
      </c>
      <c r="DC510" s="135" t="str">
        <f t="shared" si="620"/>
        <v/>
      </c>
      <c r="DE510" s="146" t="str">
        <f>IF(W510&lt;&gt;"AR","",IF(Y510="User Specified", AA510, INDEX('Refrigerant GWPs'!$G$2:$G$154,MATCH(Y510,'Refrigerant GWPs'!$A$2:$A$154,0))))</f>
        <v/>
      </c>
      <c r="DF510" s="146" t="str">
        <f>IF(W510&lt;&gt;"AR","",INDEX('Device Refrigerant Leakage'!$E$2:$E$42,MATCH(X510,'Device Refrigerant Leakage'!$B$2:$B$42,0)))</f>
        <v/>
      </c>
      <c r="DG510" s="146" t="str">
        <f>IF(W510&lt;&gt;"AR","",INDEX('Device Refrigerant Leakage'!$F$2:$F$42,MATCH(X510,'Device Refrigerant Leakage'!$B$2:$B$42,0)))</f>
        <v/>
      </c>
      <c r="DH510" s="146" t="str">
        <f>IF(W510&lt;&gt;"AR","",INDEX('Device Refrigerant Leakage'!$G$2:$G$42,MATCH(X510,'Device Refrigerant Leakage'!$B$2:$B$42,0)))</f>
        <v/>
      </c>
      <c r="DI510" s="146" t="str">
        <f>IF(W510&lt;&gt;"AR","",J510*INDEX('Device Refrigerant Leakage'!$D$2:$D$42,MATCH(X510,'Device Refrigerant Leakage'!$B$2:$B$42,0))*DF510/2204.62*DE510)</f>
        <v/>
      </c>
      <c r="DJ510" s="146" t="str">
        <f>IF(W510&lt;&gt;"AR","",J510*(INDEX('Device Refrigerant Leakage'!$D$2:$D$42,MATCH(X510,'Device Refrigerant Leakage'!$B$2:$B$42,0))-(INDEX('Device Refrigerant Leakage'!$D$2:$D$42,MATCH(X510,'Device Refrigerant Leakage'!$B$2:$B$42,0)))*DH510*DF510)*DG510/2204.62*DE510)</f>
        <v/>
      </c>
      <c r="DK510" s="146" t="str">
        <f>IF(W510&lt;&gt;"AR","",DI510*(K510-AB510)+'Fuel Sub Calcs-Deemed'!DJ510*((K510-AB510)/INDEX('Device Refrigerant Leakage'!$C$2:$C$42,MATCH('Fuel Sub Calcs-Deemed'!X510,'Device Refrigerant Leakage'!$B$2:$B$42,0))))</f>
        <v/>
      </c>
      <c r="DM510" s="56">
        <v>496</v>
      </c>
      <c r="DN510" s="67" t="e">
        <f t="shared" si="602"/>
        <v>#N/A</v>
      </c>
      <c r="DO510" s="45" t="e">
        <f t="shared" si="603"/>
        <v>#N/A</v>
      </c>
      <c r="DP510" s="67" t="e">
        <f t="shared" si="604"/>
        <v>#N/A</v>
      </c>
      <c r="DQ510" s="45" t="e">
        <f t="shared" si="605"/>
        <v>#N/A</v>
      </c>
      <c r="DR510" s="69" t="e">
        <f t="shared" si="606"/>
        <v>#N/A</v>
      </c>
      <c r="DS510" s="34"/>
      <c r="DT510" s="67" t="e">
        <f>((BX510*CJ510)+IF($W510=MAT_AR,(BZ510*CL510),0))*(1+Reference!$E$50+Reference!$E$51)</f>
        <v>#N/A</v>
      </c>
      <c r="DU510" s="67">
        <f>((BY510*CK510)+IF($W510=MAT_AR,(CA510*CM510),0))*(1+Reference!$G$50+Reference!$G$51)</f>
        <v>0</v>
      </c>
      <c r="DV510" s="67" t="e">
        <f t="shared" si="607"/>
        <v>#VALUE!</v>
      </c>
      <c r="DX510" s="56">
        <v>496</v>
      </c>
      <c r="DY510" s="67">
        <f t="shared" si="608"/>
        <v>0</v>
      </c>
      <c r="DZ510" s="45" t="e">
        <f>VLOOKUP($R510,Dropdown!$C$3:$D$4,2,FALSE)</f>
        <v>#N/A</v>
      </c>
      <c r="EA510" s="68">
        <f t="shared" si="609"/>
        <v>0</v>
      </c>
      <c r="EB510" s="68" t="str">
        <f t="shared" si="610"/>
        <v>N/A</v>
      </c>
      <c r="EC510" s="68">
        <f t="shared" si="611"/>
        <v>0</v>
      </c>
      <c r="ED510" s="68" t="str">
        <f t="shared" si="649"/>
        <v>N/A</v>
      </c>
      <c r="EF510" s="56">
        <v>496</v>
      </c>
      <c r="EG510" s="46">
        <f t="shared" si="612"/>
        <v>0</v>
      </c>
      <c r="EH510" s="68" t="e">
        <f t="shared" si="613"/>
        <v>#N/A</v>
      </c>
      <c r="EI510" s="68" t="e">
        <f t="shared" si="614"/>
        <v>#N/A</v>
      </c>
      <c r="EJ510" s="68" t="e">
        <f t="shared" si="615"/>
        <v>#N/A</v>
      </c>
      <c r="EK510" s="68" t="e">
        <f t="shared" si="616"/>
        <v>#N/A</v>
      </c>
      <c r="EL510" s="46">
        <f t="shared" si="617"/>
        <v>0</v>
      </c>
      <c r="EM510" s="46">
        <f t="shared" si="618"/>
        <v>0</v>
      </c>
    </row>
    <row r="511" spans="1:143">
      <c r="A511" s="89"/>
      <c r="B511" s="89"/>
      <c r="C511" s="89"/>
      <c r="D511" s="89"/>
      <c r="E511" s="89"/>
      <c r="F511" s="89"/>
      <c r="G511" s="34"/>
      <c r="H511" s="56">
        <f t="shared" si="619"/>
        <v>497</v>
      </c>
      <c r="I511" s="165"/>
      <c r="J511" s="163"/>
      <c r="K511" s="163"/>
      <c r="L511" s="164"/>
      <c r="M511" s="155"/>
      <c r="N511" s="155"/>
      <c r="O511" s="144"/>
      <c r="P511" s="159" t="str">
        <f>IFERROR(IF(O511&lt;&gt;"User Specified",IF(O511&lt;&gt;"", INDEX('Refrigerant GWPs'!$G$2:$G$154,MATCH(O511,'Refrigerant GWPs'!$A$2:$A$154,0)),""),U511),0)</f>
        <v/>
      </c>
      <c r="Q511" s="155"/>
      <c r="R511" s="155"/>
      <c r="S511" s="144"/>
      <c r="T511" s="159" t="str">
        <f>IF(S511&lt;&gt;"User Specified",IF(AND(S511&lt;&gt;"User Specified",S511&lt;&gt;""), INDEX('Refrigerant GWPs'!$G$2:$G$154,MATCH(S511,'Refrigerant GWPs'!$A$2:$A$154,0)),""),V511)</f>
        <v/>
      </c>
      <c r="U511" s="144"/>
      <c r="V511" s="144"/>
      <c r="W511" s="155"/>
      <c r="X511" s="155"/>
      <c r="Y511" s="144"/>
      <c r="Z511" s="159" t="str">
        <f>IF(AND(Y511&lt;&gt;"User Specified",Y511&lt;&gt;""), INDEX('Refrigerant GWPs'!$G$2:$G$154,MATCH(Y511,'Refrigerant GWPs'!$A$2:$A$154,0)),"")</f>
        <v/>
      </c>
      <c r="AA511" s="155"/>
      <c r="AB511" s="156"/>
      <c r="AC511" s="66"/>
      <c r="AD511" s="66"/>
      <c r="AE511" s="66"/>
      <c r="AF511" s="66"/>
      <c r="AG511" s="66"/>
      <c r="AH511" s="66"/>
      <c r="AI511" s="34"/>
      <c r="AJ511" s="88">
        <f t="shared" si="582"/>
        <v>0</v>
      </c>
      <c r="AK511" s="88">
        <f t="shared" si="583"/>
        <v>0</v>
      </c>
      <c r="AL511" s="88">
        <v>0</v>
      </c>
      <c r="AM511" s="88">
        <v>0</v>
      </c>
      <c r="AN511" s="81" t="str">
        <f t="shared" si="621"/>
        <v/>
      </c>
      <c r="AO511" s="88">
        <f t="shared" si="584"/>
        <v>0</v>
      </c>
      <c r="AP511" s="88">
        <f t="shared" si="585"/>
        <v>0</v>
      </c>
      <c r="AQ511" s="81" t="str">
        <f t="shared" si="586"/>
        <v/>
      </c>
      <c r="AS511" s="41" t="b">
        <f t="shared" si="587"/>
        <v>1</v>
      </c>
      <c r="AT511" s="38">
        <f t="shared" si="588"/>
        <v>0</v>
      </c>
      <c r="AU511" s="60">
        <f t="shared" si="589"/>
        <v>0</v>
      </c>
      <c r="AV511" s="41">
        <f t="shared" si="590"/>
        <v>0</v>
      </c>
      <c r="AW511" s="41" t="b">
        <f t="shared" si="591"/>
        <v>0</v>
      </c>
      <c r="AX511" t="str">
        <f t="shared" si="592"/>
        <v>+00</v>
      </c>
      <c r="AY511" t="str">
        <f t="shared" si="593"/>
        <v>+00</v>
      </c>
      <c r="BA511" s="47" t="b">
        <f t="shared" si="622"/>
        <v>1</v>
      </c>
      <c r="BB511" s="42" t="b">
        <f t="shared" si="623"/>
        <v>1</v>
      </c>
      <c r="BC511" s="42" t="b">
        <f t="shared" si="624"/>
        <v>0</v>
      </c>
      <c r="BD511" s="42" t="b">
        <f t="shared" si="625"/>
        <v>0</v>
      </c>
      <c r="BE511" s="70">
        <f t="shared" si="626"/>
        <v>0</v>
      </c>
      <c r="BF511" s="70">
        <f t="shared" si="627"/>
        <v>0</v>
      </c>
      <c r="BG511" s="34"/>
      <c r="BI511" s="47" t="b">
        <f t="shared" si="628"/>
        <v>1</v>
      </c>
      <c r="BJ511" s="47" t="b">
        <f t="shared" si="629"/>
        <v>1</v>
      </c>
      <c r="BK511" s="42" t="b">
        <f t="shared" si="630"/>
        <v>0</v>
      </c>
      <c r="BL511" s="42" t="b">
        <f t="shared" si="631"/>
        <v>0</v>
      </c>
      <c r="BM511" s="42">
        <f t="shared" si="632"/>
        <v>0</v>
      </c>
      <c r="BN511" s="42">
        <f t="shared" si="633"/>
        <v>0</v>
      </c>
      <c r="BP511" t="e">
        <f t="shared" si="634"/>
        <v>#N/A</v>
      </c>
      <c r="BQ511" t="e">
        <f t="shared" si="635"/>
        <v>#N/A</v>
      </c>
      <c r="BR511" t="e">
        <f t="shared" si="636"/>
        <v>#N/A</v>
      </c>
      <c r="BT511" s="60">
        <f t="shared" si="637"/>
        <v>0</v>
      </c>
      <c r="BU511" s="60">
        <f t="shared" si="638"/>
        <v>0</v>
      </c>
      <c r="BV511" s="60">
        <f t="shared" si="639"/>
        <v>0</v>
      </c>
      <c r="BW511" s="60">
        <f t="shared" si="640"/>
        <v>0</v>
      </c>
      <c r="BX511" s="60">
        <f t="shared" si="641"/>
        <v>0</v>
      </c>
      <c r="BY511" s="60">
        <f t="shared" si="642"/>
        <v>0</v>
      </c>
      <c r="BZ511" s="60">
        <f t="shared" si="643"/>
        <v>0</v>
      </c>
      <c r="CA511" s="60">
        <f t="shared" si="644"/>
        <v>0</v>
      </c>
      <c r="CB511" s="60" t="e">
        <f t="shared" si="594"/>
        <v>#N/A</v>
      </c>
      <c r="CC511" s="60">
        <f t="shared" si="595"/>
        <v>100000</v>
      </c>
      <c r="CD511" s="60" t="e">
        <f t="shared" si="596"/>
        <v>#N/A</v>
      </c>
      <c r="CE511" s="60">
        <f t="shared" si="597"/>
        <v>100000</v>
      </c>
      <c r="CF511" s="83" t="e">
        <f t="shared" si="645"/>
        <v>#N/A</v>
      </c>
      <c r="CG511" s="83">
        <f t="shared" si="646"/>
        <v>0</v>
      </c>
      <c r="CH511" s="83" t="e">
        <f t="shared" si="647"/>
        <v>#N/A</v>
      </c>
      <c r="CI511" s="83">
        <f t="shared" si="648"/>
        <v>0</v>
      </c>
      <c r="CJ511" s="86" t="e">
        <f t="shared" si="598"/>
        <v>#N/A</v>
      </c>
      <c r="CK511" s="82">
        <f t="shared" si="599"/>
        <v>5.3070370403969858E-3</v>
      </c>
      <c r="CL511" s="82" t="e">
        <f t="shared" si="600"/>
        <v>#N/A</v>
      </c>
      <c r="CM511" s="82">
        <f t="shared" si="601"/>
        <v>5.3070370403969858E-3</v>
      </c>
      <c r="CO511" s="149" t="str">
        <f>IF($I511&lt;&gt;"",IF(O511="User Specified",U511,INDEX('Refrigerant GWPs'!$G$2:$G$156,MATCH(O511,'Refrigerant GWPs'!$A$2:$A$156,0))),"")</f>
        <v/>
      </c>
      <c r="CP511" s="138" t="str">
        <f>IF($I511&lt;&gt;"",INDEX('Device Refrigerant Leakage'!$E$2:$E$42,MATCH($M511,'Device Refrigerant Leakage'!$B$2:$B$42,0)),"")</f>
        <v/>
      </c>
      <c r="CQ511" s="138" t="str">
        <f>IF($I511&lt;&gt;"",INDEX('Device Refrigerant Leakage'!$F$2:$F$42,MATCH($M511,'Device Refrigerant Leakage'!$B$2:$B$42,0)),"")</f>
        <v/>
      </c>
      <c r="CR511" s="145" t="str">
        <f>IF($I511&lt;&gt;"",INDEX('Device Refrigerant Leakage'!$G$2:$G$42,MATCH($M511,'Device Refrigerant Leakage'!$B$2:$B$42,0)),"")</f>
        <v/>
      </c>
      <c r="CS511" s="145" t="str">
        <f>IF($I511&lt;&gt;"",INDEX('Device Refrigerant Leakage'!$D$2:$D$42,MATCH($M511,'Device Refrigerant Leakage'!$B$2:$B$42,0))*CP511/2204.62*CO511,"")</f>
        <v/>
      </c>
      <c r="CT511" s="145" t="str">
        <f>IF($I511&lt;&gt;"",J511*(INDEX('Device Refrigerant Leakage'!$D$2:$D$42,MATCH($M511,'Device Refrigerant Leakage'!$B$2:$B$42,0))-(INDEX('Device Refrigerant Leakage'!$D$2:$D$42,MATCH($M511,'Device Refrigerant Leakage'!$B$2:$B$42,0)))*CR511*CP511)*CQ511/2204.62*CO511,"")</f>
        <v/>
      </c>
      <c r="CU511" s="135" t="str">
        <f>IF($I511&lt;&gt;"",J511*IF(W511&lt;&gt;"AR",(CS511*K511)+CT511,(CS511*AB511)+CT511*(AB511/INDEX('Device Refrigerant Leakage'!$C$2:$C$42,MATCH($M511,'Device Refrigerant Leakage'!$B$2:$B$42,0)))),"")</f>
        <v/>
      </c>
      <c r="CW511" s="135" t="str">
        <f>IF($I511&lt;&gt;"",IF(S511="User Specified",V511,INDEX('Refrigerant GWPs'!$G$2:$G$156,MATCH(S511,'Refrigerant GWPs'!$A$2:$A$157,0))),"")</f>
        <v/>
      </c>
      <c r="CX511" s="138" t="str">
        <f>IF($I511&lt;&gt;"",INDEX('Device Refrigerant Leakage'!$E$2:$E$42,MATCH($Q511,'Device Refrigerant Leakage'!$B$2:$B$42,0)),"")</f>
        <v/>
      </c>
      <c r="CY511" s="138" t="str">
        <f>IF($I511&lt;&gt;"",INDEX('Device Refrigerant Leakage'!$F$2:$F$42,MATCH($Q511,'Device Refrigerant Leakage'!$B$2:$B$42,0)),"")</f>
        <v/>
      </c>
      <c r="CZ511" s="145" t="str">
        <f>IF($I511&lt;&gt;"",INDEX('Device Refrigerant Leakage'!$G$2:$G$42,MATCH($Q511,'Device Refrigerant Leakage'!$B$2:$B$42,0)),"")</f>
        <v/>
      </c>
      <c r="DA511" s="145" t="str">
        <f>IF($I511&lt;&gt;"",J511*INDEX('Device Refrigerant Leakage'!$D$2:$D$42,MATCH($Q511,'Device Refrigerant Leakage'!$B$2:$B$42,0))*CX511/2204.62*CW511,"")</f>
        <v/>
      </c>
      <c r="DB511" s="145" t="str">
        <f>IF($I511&lt;&gt;"",J511*(INDEX('Device Refrigerant Leakage'!$D$2:$D$42,MATCH($Q511,'Device Refrigerant Leakage'!$B$2:$B$42,0))-(INDEX('Device Refrigerant Leakage'!$D$2:$D$42,MATCH($Q511,'Device Refrigerant Leakage'!$B$2:$B$42,0)))*CZ511*CX511)*CY511/2204.62*CW511,"")</f>
        <v/>
      </c>
      <c r="DC511" s="135" t="str">
        <f t="shared" si="620"/>
        <v/>
      </c>
      <c r="DE511" s="146" t="str">
        <f>IF(W511&lt;&gt;"AR","",IF(Y511="User Specified", AA511, INDEX('Refrigerant GWPs'!$G$2:$G$154,MATCH(Y511,'Refrigerant GWPs'!$A$2:$A$154,0))))</f>
        <v/>
      </c>
      <c r="DF511" s="146" t="str">
        <f>IF(W511&lt;&gt;"AR","",INDEX('Device Refrigerant Leakage'!$E$2:$E$42,MATCH(X511,'Device Refrigerant Leakage'!$B$2:$B$42,0)))</f>
        <v/>
      </c>
      <c r="DG511" s="146" t="str">
        <f>IF(W511&lt;&gt;"AR","",INDEX('Device Refrigerant Leakage'!$F$2:$F$42,MATCH(X511,'Device Refrigerant Leakage'!$B$2:$B$42,0)))</f>
        <v/>
      </c>
      <c r="DH511" s="146" t="str">
        <f>IF(W511&lt;&gt;"AR","",INDEX('Device Refrigerant Leakage'!$G$2:$G$42,MATCH(X511,'Device Refrigerant Leakage'!$B$2:$B$42,0)))</f>
        <v/>
      </c>
      <c r="DI511" s="146" t="str">
        <f>IF(W511&lt;&gt;"AR","",J511*INDEX('Device Refrigerant Leakage'!$D$2:$D$42,MATCH(X511,'Device Refrigerant Leakage'!$B$2:$B$42,0))*DF511/2204.62*DE511)</f>
        <v/>
      </c>
      <c r="DJ511" s="146" t="str">
        <f>IF(W511&lt;&gt;"AR","",J511*(INDEX('Device Refrigerant Leakage'!$D$2:$D$42,MATCH(X511,'Device Refrigerant Leakage'!$B$2:$B$42,0))-(INDEX('Device Refrigerant Leakage'!$D$2:$D$42,MATCH(X511,'Device Refrigerant Leakage'!$B$2:$B$42,0)))*DH511*DF511)*DG511/2204.62*DE511)</f>
        <v/>
      </c>
      <c r="DK511" s="146" t="str">
        <f>IF(W511&lt;&gt;"AR","",DI511*(K511-AB511)+'Fuel Sub Calcs-Deemed'!DJ511*((K511-AB511)/INDEX('Device Refrigerant Leakage'!$C$2:$C$42,MATCH('Fuel Sub Calcs-Deemed'!X511,'Device Refrigerant Leakage'!$B$2:$B$42,0))))</f>
        <v/>
      </c>
      <c r="DM511" s="56">
        <v>497</v>
      </c>
      <c r="DN511" s="67" t="e">
        <f t="shared" si="602"/>
        <v>#N/A</v>
      </c>
      <c r="DO511" s="45" t="e">
        <f t="shared" si="603"/>
        <v>#N/A</v>
      </c>
      <c r="DP511" s="67" t="e">
        <f t="shared" si="604"/>
        <v>#N/A</v>
      </c>
      <c r="DQ511" s="45" t="e">
        <f t="shared" si="605"/>
        <v>#N/A</v>
      </c>
      <c r="DR511" s="69" t="e">
        <f t="shared" si="606"/>
        <v>#N/A</v>
      </c>
      <c r="DS511" s="34"/>
      <c r="DT511" s="67" t="e">
        <f>((BX511*CJ511)+IF($W511=MAT_AR,(BZ511*CL511),0))*(1+Reference!$E$50+Reference!$E$51)</f>
        <v>#N/A</v>
      </c>
      <c r="DU511" s="67">
        <f>((BY511*CK511)+IF($W511=MAT_AR,(CA511*CM511),0))*(1+Reference!$G$50+Reference!$G$51)</f>
        <v>0</v>
      </c>
      <c r="DV511" s="67" t="e">
        <f t="shared" si="607"/>
        <v>#VALUE!</v>
      </c>
      <c r="DX511" s="56">
        <v>497</v>
      </c>
      <c r="DY511" s="67">
        <f t="shared" si="608"/>
        <v>0</v>
      </c>
      <c r="DZ511" s="45" t="e">
        <f>VLOOKUP($R511,Dropdown!$C$3:$D$4,2,FALSE)</f>
        <v>#N/A</v>
      </c>
      <c r="EA511" s="68">
        <f t="shared" si="609"/>
        <v>0</v>
      </c>
      <c r="EB511" s="68" t="str">
        <f t="shared" si="610"/>
        <v>N/A</v>
      </c>
      <c r="EC511" s="68">
        <f t="shared" si="611"/>
        <v>0</v>
      </c>
      <c r="ED511" s="68" t="str">
        <f t="shared" si="649"/>
        <v>N/A</v>
      </c>
      <c r="EF511" s="56">
        <v>497</v>
      </c>
      <c r="EG511" s="46">
        <f t="shared" si="612"/>
        <v>0</v>
      </c>
      <c r="EH511" s="68" t="e">
        <f t="shared" si="613"/>
        <v>#N/A</v>
      </c>
      <c r="EI511" s="68" t="e">
        <f t="shared" si="614"/>
        <v>#N/A</v>
      </c>
      <c r="EJ511" s="68" t="e">
        <f t="shared" si="615"/>
        <v>#N/A</v>
      </c>
      <c r="EK511" s="68" t="e">
        <f t="shared" si="616"/>
        <v>#N/A</v>
      </c>
      <c r="EL511" s="46">
        <f t="shared" si="617"/>
        <v>0</v>
      </c>
      <c r="EM511" s="46">
        <f t="shared" si="618"/>
        <v>0</v>
      </c>
    </row>
    <row r="512" spans="1:143">
      <c r="A512" s="89"/>
      <c r="B512" s="89"/>
      <c r="C512" s="89"/>
      <c r="D512" s="89"/>
      <c r="E512" s="89"/>
      <c r="F512" s="89"/>
      <c r="G512" s="34"/>
      <c r="H512" s="56">
        <f t="shared" si="619"/>
        <v>498</v>
      </c>
      <c r="I512" s="165"/>
      <c r="J512" s="163"/>
      <c r="K512" s="163"/>
      <c r="L512" s="164"/>
      <c r="M512" s="155"/>
      <c r="N512" s="155"/>
      <c r="O512" s="144"/>
      <c r="P512" s="159" t="str">
        <f>IFERROR(IF(O512&lt;&gt;"User Specified",IF(O512&lt;&gt;"", INDEX('Refrigerant GWPs'!$G$2:$G$154,MATCH(O512,'Refrigerant GWPs'!$A$2:$A$154,0)),""),U512),0)</f>
        <v/>
      </c>
      <c r="Q512" s="155"/>
      <c r="R512" s="155"/>
      <c r="S512" s="144"/>
      <c r="T512" s="159" t="str">
        <f>IF(S512&lt;&gt;"User Specified",IF(AND(S512&lt;&gt;"User Specified",S512&lt;&gt;""), INDEX('Refrigerant GWPs'!$G$2:$G$154,MATCH(S512,'Refrigerant GWPs'!$A$2:$A$154,0)),""),V512)</f>
        <v/>
      </c>
      <c r="U512" s="144"/>
      <c r="V512" s="144"/>
      <c r="W512" s="155"/>
      <c r="X512" s="155"/>
      <c r="Y512" s="144"/>
      <c r="Z512" s="159" t="str">
        <f>IF(AND(Y512&lt;&gt;"User Specified",Y512&lt;&gt;""), INDEX('Refrigerant GWPs'!$G$2:$G$154,MATCH(Y512,'Refrigerant GWPs'!$A$2:$A$154,0)),"")</f>
        <v/>
      </c>
      <c r="AA512" s="155"/>
      <c r="AB512" s="156"/>
      <c r="AC512" s="66"/>
      <c r="AD512" s="66"/>
      <c r="AE512" s="66"/>
      <c r="AF512" s="66"/>
      <c r="AG512" s="66"/>
      <c r="AH512" s="66"/>
      <c r="AI512" s="34"/>
      <c r="AJ512" s="88">
        <f t="shared" si="582"/>
        <v>0</v>
      </c>
      <c r="AK512" s="88">
        <f t="shared" si="583"/>
        <v>0</v>
      </c>
      <c r="AL512" s="88">
        <v>0</v>
      </c>
      <c r="AM512" s="88">
        <v>0</v>
      </c>
      <c r="AN512" s="81" t="str">
        <f t="shared" si="621"/>
        <v/>
      </c>
      <c r="AO512" s="88">
        <f t="shared" si="584"/>
        <v>0</v>
      </c>
      <c r="AP512" s="88">
        <f t="shared" si="585"/>
        <v>0</v>
      </c>
      <c r="AQ512" s="81" t="str">
        <f t="shared" si="586"/>
        <v/>
      </c>
      <c r="AS512" s="41" t="b">
        <f t="shared" si="587"/>
        <v>1</v>
      </c>
      <c r="AT512" s="38">
        <f t="shared" si="588"/>
        <v>0</v>
      </c>
      <c r="AU512" s="60">
        <f t="shared" si="589"/>
        <v>0</v>
      </c>
      <c r="AV512" s="41">
        <f t="shared" si="590"/>
        <v>0</v>
      </c>
      <c r="AW512" s="41" t="b">
        <f t="shared" si="591"/>
        <v>0</v>
      </c>
      <c r="AX512" t="str">
        <f t="shared" si="592"/>
        <v>+00</v>
      </c>
      <c r="AY512" t="str">
        <f t="shared" si="593"/>
        <v>+00</v>
      </c>
      <c r="BA512" s="47" t="b">
        <f t="shared" si="622"/>
        <v>1</v>
      </c>
      <c r="BB512" s="42" t="b">
        <f t="shared" si="623"/>
        <v>1</v>
      </c>
      <c r="BC512" s="42" t="b">
        <f t="shared" si="624"/>
        <v>0</v>
      </c>
      <c r="BD512" s="42" t="b">
        <f t="shared" si="625"/>
        <v>0</v>
      </c>
      <c r="BE512" s="70">
        <f t="shared" si="626"/>
        <v>0</v>
      </c>
      <c r="BF512" s="70">
        <f t="shared" si="627"/>
        <v>0</v>
      </c>
      <c r="BG512" s="34"/>
      <c r="BI512" s="47" t="b">
        <f t="shared" si="628"/>
        <v>1</v>
      </c>
      <c r="BJ512" s="47" t="b">
        <f t="shared" si="629"/>
        <v>1</v>
      </c>
      <c r="BK512" s="42" t="b">
        <f t="shared" si="630"/>
        <v>0</v>
      </c>
      <c r="BL512" s="42" t="b">
        <f t="shared" si="631"/>
        <v>0</v>
      </c>
      <c r="BM512" s="42">
        <f t="shared" si="632"/>
        <v>0</v>
      </c>
      <c r="BN512" s="42">
        <f t="shared" si="633"/>
        <v>0</v>
      </c>
      <c r="BP512" t="e">
        <f t="shared" si="634"/>
        <v>#N/A</v>
      </c>
      <c r="BQ512" t="e">
        <f t="shared" si="635"/>
        <v>#N/A</v>
      </c>
      <c r="BR512" t="e">
        <f t="shared" si="636"/>
        <v>#N/A</v>
      </c>
      <c r="BT512" s="60">
        <f t="shared" si="637"/>
        <v>0</v>
      </c>
      <c r="BU512" s="60">
        <f t="shared" si="638"/>
        <v>0</v>
      </c>
      <c r="BV512" s="60">
        <f t="shared" si="639"/>
        <v>0</v>
      </c>
      <c r="BW512" s="60">
        <f t="shared" si="640"/>
        <v>0</v>
      </c>
      <c r="BX512" s="60">
        <f t="shared" si="641"/>
        <v>0</v>
      </c>
      <c r="BY512" s="60">
        <f t="shared" si="642"/>
        <v>0</v>
      </c>
      <c r="BZ512" s="60">
        <f t="shared" si="643"/>
        <v>0</v>
      </c>
      <c r="CA512" s="60">
        <f t="shared" si="644"/>
        <v>0</v>
      </c>
      <c r="CB512" s="60" t="e">
        <f t="shared" si="594"/>
        <v>#N/A</v>
      </c>
      <c r="CC512" s="60">
        <f t="shared" si="595"/>
        <v>100000</v>
      </c>
      <c r="CD512" s="60" t="e">
        <f t="shared" si="596"/>
        <v>#N/A</v>
      </c>
      <c r="CE512" s="60">
        <f t="shared" si="597"/>
        <v>100000</v>
      </c>
      <c r="CF512" s="83" t="e">
        <f t="shared" si="645"/>
        <v>#N/A</v>
      </c>
      <c r="CG512" s="83">
        <f t="shared" si="646"/>
        <v>0</v>
      </c>
      <c r="CH512" s="83" t="e">
        <f t="shared" si="647"/>
        <v>#N/A</v>
      </c>
      <c r="CI512" s="83">
        <f t="shared" si="648"/>
        <v>0</v>
      </c>
      <c r="CJ512" s="86" t="e">
        <f t="shared" si="598"/>
        <v>#N/A</v>
      </c>
      <c r="CK512" s="82">
        <f t="shared" si="599"/>
        <v>5.3070370403969858E-3</v>
      </c>
      <c r="CL512" s="82" t="e">
        <f t="shared" si="600"/>
        <v>#N/A</v>
      </c>
      <c r="CM512" s="82">
        <f t="shared" si="601"/>
        <v>5.3070370403969858E-3</v>
      </c>
      <c r="CO512" s="149" t="str">
        <f>IF($I512&lt;&gt;"",IF(O512="User Specified",U512,INDEX('Refrigerant GWPs'!$G$2:$G$156,MATCH(O512,'Refrigerant GWPs'!$A$2:$A$156,0))),"")</f>
        <v/>
      </c>
      <c r="CP512" s="138" t="str">
        <f>IF($I512&lt;&gt;"",INDEX('Device Refrigerant Leakage'!$E$2:$E$42,MATCH($M512,'Device Refrigerant Leakage'!$B$2:$B$42,0)),"")</f>
        <v/>
      </c>
      <c r="CQ512" s="138" t="str">
        <f>IF($I512&lt;&gt;"",INDEX('Device Refrigerant Leakage'!$F$2:$F$42,MATCH($M512,'Device Refrigerant Leakage'!$B$2:$B$42,0)),"")</f>
        <v/>
      </c>
      <c r="CR512" s="145" t="str">
        <f>IF($I512&lt;&gt;"",INDEX('Device Refrigerant Leakage'!$G$2:$G$42,MATCH($M512,'Device Refrigerant Leakage'!$B$2:$B$42,0)),"")</f>
        <v/>
      </c>
      <c r="CS512" s="145" t="str">
        <f>IF($I512&lt;&gt;"",INDEX('Device Refrigerant Leakage'!$D$2:$D$42,MATCH($M512,'Device Refrigerant Leakage'!$B$2:$B$42,0))*CP512/2204.62*CO512,"")</f>
        <v/>
      </c>
      <c r="CT512" s="145" t="str">
        <f>IF($I512&lt;&gt;"",J512*(INDEX('Device Refrigerant Leakage'!$D$2:$D$42,MATCH($M512,'Device Refrigerant Leakage'!$B$2:$B$42,0))-(INDEX('Device Refrigerant Leakage'!$D$2:$D$42,MATCH($M512,'Device Refrigerant Leakage'!$B$2:$B$42,0)))*CR512*CP512)*CQ512/2204.62*CO512,"")</f>
        <v/>
      </c>
      <c r="CU512" s="135" t="str">
        <f>IF($I512&lt;&gt;"",J512*IF(W512&lt;&gt;"AR",(CS512*K512)+CT512,(CS512*AB512)+CT512*(AB512/INDEX('Device Refrigerant Leakage'!$C$2:$C$42,MATCH($M512,'Device Refrigerant Leakage'!$B$2:$B$42,0)))),"")</f>
        <v/>
      </c>
      <c r="CW512" s="135" t="str">
        <f>IF($I512&lt;&gt;"",IF(S512="User Specified",V512,INDEX('Refrigerant GWPs'!$G$2:$G$156,MATCH(S512,'Refrigerant GWPs'!$A$2:$A$157,0))),"")</f>
        <v/>
      </c>
      <c r="CX512" s="138" t="str">
        <f>IF($I512&lt;&gt;"",INDEX('Device Refrigerant Leakage'!$E$2:$E$42,MATCH($Q512,'Device Refrigerant Leakage'!$B$2:$B$42,0)),"")</f>
        <v/>
      </c>
      <c r="CY512" s="138" t="str">
        <f>IF($I512&lt;&gt;"",INDEX('Device Refrigerant Leakage'!$F$2:$F$42,MATCH($Q512,'Device Refrigerant Leakage'!$B$2:$B$42,0)),"")</f>
        <v/>
      </c>
      <c r="CZ512" s="145" t="str">
        <f>IF($I512&lt;&gt;"",INDEX('Device Refrigerant Leakage'!$G$2:$G$42,MATCH($Q512,'Device Refrigerant Leakage'!$B$2:$B$42,0)),"")</f>
        <v/>
      </c>
      <c r="DA512" s="145" t="str">
        <f>IF($I512&lt;&gt;"",J512*INDEX('Device Refrigerant Leakage'!$D$2:$D$42,MATCH($Q512,'Device Refrigerant Leakage'!$B$2:$B$42,0))*CX512/2204.62*CW512,"")</f>
        <v/>
      </c>
      <c r="DB512" s="145" t="str">
        <f>IF($I512&lt;&gt;"",J512*(INDEX('Device Refrigerant Leakage'!$D$2:$D$42,MATCH($Q512,'Device Refrigerant Leakage'!$B$2:$B$42,0))-(INDEX('Device Refrigerant Leakage'!$D$2:$D$42,MATCH($Q512,'Device Refrigerant Leakage'!$B$2:$B$42,0)))*CZ512*CX512)*CY512/2204.62*CW512,"")</f>
        <v/>
      </c>
      <c r="DC512" s="135" t="str">
        <f t="shared" si="620"/>
        <v/>
      </c>
      <c r="DE512" s="146" t="str">
        <f>IF(W512&lt;&gt;"AR","",IF(Y512="User Specified", AA512, INDEX('Refrigerant GWPs'!$G$2:$G$154,MATCH(Y512,'Refrigerant GWPs'!$A$2:$A$154,0))))</f>
        <v/>
      </c>
      <c r="DF512" s="146" t="str">
        <f>IF(W512&lt;&gt;"AR","",INDEX('Device Refrigerant Leakage'!$E$2:$E$42,MATCH(X512,'Device Refrigerant Leakage'!$B$2:$B$42,0)))</f>
        <v/>
      </c>
      <c r="DG512" s="146" t="str">
        <f>IF(W512&lt;&gt;"AR","",INDEX('Device Refrigerant Leakage'!$F$2:$F$42,MATCH(X512,'Device Refrigerant Leakage'!$B$2:$B$42,0)))</f>
        <v/>
      </c>
      <c r="DH512" s="146" t="str">
        <f>IF(W512&lt;&gt;"AR","",INDEX('Device Refrigerant Leakage'!$G$2:$G$42,MATCH(X512,'Device Refrigerant Leakage'!$B$2:$B$42,0)))</f>
        <v/>
      </c>
      <c r="DI512" s="146" t="str">
        <f>IF(W512&lt;&gt;"AR","",J512*INDEX('Device Refrigerant Leakage'!$D$2:$D$42,MATCH(X512,'Device Refrigerant Leakage'!$B$2:$B$42,0))*DF512/2204.62*DE512)</f>
        <v/>
      </c>
      <c r="DJ512" s="146" t="str">
        <f>IF(W512&lt;&gt;"AR","",J512*(INDEX('Device Refrigerant Leakage'!$D$2:$D$42,MATCH(X512,'Device Refrigerant Leakage'!$B$2:$B$42,0))-(INDEX('Device Refrigerant Leakage'!$D$2:$D$42,MATCH(X512,'Device Refrigerant Leakage'!$B$2:$B$42,0)))*DH512*DF512)*DG512/2204.62*DE512)</f>
        <v/>
      </c>
      <c r="DK512" s="146" t="str">
        <f>IF(W512&lt;&gt;"AR","",DI512*(K512-AB512)+'Fuel Sub Calcs-Deemed'!DJ512*((K512-AB512)/INDEX('Device Refrigerant Leakage'!$C$2:$C$42,MATCH('Fuel Sub Calcs-Deemed'!X512,'Device Refrigerant Leakage'!$B$2:$B$42,0))))</f>
        <v/>
      </c>
      <c r="DM512" s="56">
        <v>498</v>
      </c>
      <c r="DN512" s="67" t="e">
        <f t="shared" si="602"/>
        <v>#N/A</v>
      </c>
      <c r="DO512" s="45" t="e">
        <f t="shared" si="603"/>
        <v>#N/A</v>
      </c>
      <c r="DP512" s="67" t="e">
        <f t="shared" si="604"/>
        <v>#N/A</v>
      </c>
      <c r="DQ512" s="45" t="e">
        <f t="shared" si="605"/>
        <v>#N/A</v>
      </c>
      <c r="DR512" s="69" t="e">
        <f t="shared" si="606"/>
        <v>#N/A</v>
      </c>
      <c r="DS512" s="34"/>
      <c r="DT512" s="67" t="e">
        <f>((BX512*CJ512)+IF($W512=MAT_AR,(BZ512*CL512),0))*(1+Reference!$E$50+Reference!$E$51)</f>
        <v>#N/A</v>
      </c>
      <c r="DU512" s="67">
        <f>((BY512*CK512)+IF($W512=MAT_AR,(CA512*CM512),0))*(1+Reference!$G$50+Reference!$G$51)</f>
        <v>0</v>
      </c>
      <c r="DV512" s="67" t="e">
        <f t="shared" si="607"/>
        <v>#VALUE!</v>
      </c>
      <c r="DX512" s="56">
        <v>498</v>
      </c>
      <c r="DY512" s="67">
        <f t="shared" si="608"/>
        <v>0</v>
      </c>
      <c r="DZ512" s="45" t="e">
        <f>VLOOKUP($R512,Dropdown!$C$3:$D$4,2,FALSE)</f>
        <v>#N/A</v>
      </c>
      <c r="EA512" s="68">
        <f t="shared" si="609"/>
        <v>0</v>
      </c>
      <c r="EB512" s="68" t="str">
        <f t="shared" si="610"/>
        <v>N/A</v>
      </c>
      <c r="EC512" s="68">
        <f t="shared" si="611"/>
        <v>0</v>
      </c>
      <c r="ED512" s="68" t="str">
        <f t="shared" si="649"/>
        <v>N/A</v>
      </c>
      <c r="EF512" s="56">
        <v>498</v>
      </c>
      <c r="EG512" s="46">
        <f t="shared" si="612"/>
        <v>0</v>
      </c>
      <c r="EH512" s="68" t="e">
        <f t="shared" si="613"/>
        <v>#N/A</v>
      </c>
      <c r="EI512" s="68" t="e">
        <f t="shared" si="614"/>
        <v>#N/A</v>
      </c>
      <c r="EJ512" s="68" t="e">
        <f t="shared" si="615"/>
        <v>#N/A</v>
      </c>
      <c r="EK512" s="68" t="e">
        <f t="shared" si="616"/>
        <v>#N/A</v>
      </c>
      <c r="EL512" s="46">
        <f t="shared" si="617"/>
        <v>0</v>
      </c>
      <c r="EM512" s="46">
        <f t="shared" si="618"/>
        <v>0</v>
      </c>
    </row>
    <row r="513" spans="1:143">
      <c r="A513" s="89"/>
      <c r="B513" s="89"/>
      <c r="C513" s="89"/>
      <c r="D513" s="89"/>
      <c r="E513" s="89"/>
      <c r="F513" s="89"/>
      <c r="G513" s="34"/>
      <c r="H513" s="56">
        <f t="shared" si="619"/>
        <v>499</v>
      </c>
      <c r="I513" s="165"/>
      <c r="J513" s="163"/>
      <c r="K513" s="163"/>
      <c r="L513" s="164"/>
      <c r="M513" s="155"/>
      <c r="N513" s="155"/>
      <c r="O513" s="144"/>
      <c r="P513" s="159" t="str">
        <f>IFERROR(IF(O513&lt;&gt;"User Specified",IF(O513&lt;&gt;"", INDEX('Refrigerant GWPs'!$G$2:$G$154,MATCH(O513,'Refrigerant GWPs'!$A$2:$A$154,0)),""),U513),0)</f>
        <v/>
      </c>
      <c r="Q513" s="155"/>
      <c r="R513" s="155"/>
      <c r="S513" s="144"/>
      <c r="T513" s="159" t="str">
        <f>IF(S513&lt;&gt;"User Specified",IF(AND(S513&lt;&gt;"User Specified",S513&lt;&gt;""), INDEX('Refrigerant GWPs'!$G$2:$G$154,MATCH(S513,'Refrigerant GWPs'!$A$2:$A$154,0)),""),V513)</f>
        <v/>
      </c>
      <c r="U513" s="144"/>
      <c r="V513" s="144"/>
      <c r="W513" s="155"/>
      <c r="X513" s="155"/>
      <c r="Y513" s="144"/>
      <c r="Z513" s="159" t="str">
        <f>IF(AND(Y513&lt;&gt;"User Specified",Y513&lt;&gt;""), INDEX('Refrigerant GWPs'!$G$2:$G$154,MATCH(Y513,'Refrigerant GWPs'!$A$2:$A$154,0)),"")</f>
        <v/>
      </c>
      <c r="AA513" s="155"/>
      <c r="AB513" s="156"/>
      <c r="AC513" s="66"/>
      <c r="AD513" s="66"/>
      <c r="AE513" s="66"/>
      <c r="AF513" s="66"/>
      <c r="AG513" s="66"/>
      <c r="AH513" s="66"/>
      <c r="AI513" s="34"/>
      <c r="AJ513" s="88">
        <f t="shared" si="582"/>
        <v>0</v>
      </c>
      <c r="AK513" s="88">
        <f t="shared" si="583"/>
        <v>0</v>
      </c>
      <c r="AL513" s="88">
        <v>0</v>
      </c>
      <c r="AM513" s="88">
        <v>0</v>
      </c>
      <c r="AN513" s="81" t="str">
        <f t="shared" si="621"/>
        <v/>
      </c>
      <c r="AO513" s="88">
        <f t="shared" si="584"/>
        <v>0</v>
      </c>
      <c r="AP513" s="88">
        <f t="shared" si="585"/>
        <v>0</v>
      </c>
      <c r="AQ513" s="81" t="str">
        <f t="shared" si="586"/>
        <v/>
      </c>
      <c r="AS513" s="41" t="b">
        <f t="shared" si="587"/>
        <v>1</v>
      </c>
      <c r="AT513" s="38">
        <f t="shared" si="588"/>
        <v>0</v>
      </c>
      <c r="AU513" s="60">
        <f t="shared" si="589"/>
        <v>0</v>
      </c>
      <c r="AV513" s="41">
        <f t="shared" si="590"/>
        <v>0</v>
      </c>
      <c r="AW513" s="41" t="b">
        <f t="shared" si="591"/>
        <v>0</v>
      </c>
      <c r="AX513" t="str">
        <f t="shared" si="592"/>
        <v>+00</v>
      </c>
      <c r="AY513" t="str">
        <f t="shared" si="593"/>
        <v>+00</v>
      </c>
      <c r="BA513" s="47" t="b">
        <f t="shared" si="622"/>
        <v>1</v>
      </c>
      <c r="BB513" s="42" t="b">
        <f t="shared" si="623"/>
        <v>1</v>
      </c>
      <c r="BC513" s="42" t="b">
        <f t="shared" si="624"/>
        <v>0</v>
      </c>
      <c r="BD513" s="42" t="b">
        <f t="shared" si="625"/>
        <v>0</v>
      </c>
      <c r="BE513" s="70">
        <f t="shared" si="626"/>
        <v>0</v>
      </c>
      <c r="BF513" s="70">
        <f t="shared" si="627"/>
        <v>0</v>
      </c>
      <c r="BG513" s="34"/>
      <c r="BI513" s="47" t="b">
        <f t="shared" si="628"/>
        <v>1</v>
      </c>
      <c r="BJ513" s="47" t="b">
        <f t="shared" si="629"/>
        <v>1</v>
      </c>
      <c r="BK513" s="42" t="b">
        <f t="shared" si="630"/>
        <v>0</v>
      </c>
      <c r="BL513" s="42" t="b">
        <f t="shared" si="631"/>
        <v>0</v>
      </c>
      <c r="BM513" s="42">
        <f t="shared" si="632"/>
        <v>0</v>
      </c>
      <c r="BN513" s="42">
        <f t="shared" si="633"/>
        <v>0</v>
      </c>
      <c r="BP513" t="e">
        <f t="shared" si="634"/>
        <v>#N/A</v>
      </c>
      <c r="BQ513" t="e">
        <f t="shared" si="635"/>
        <v>#N/A</v>
      </c>
      <c r="BR513" t="e">
        <f t="shared" si="636"/>
        <v>#N/A</v>
      </c>
      <c r="BT513" s="60">
        <f t="shared" si="637"/>
        <v>0</v>
      </c>
      <c r="BU513" s="60">
        <f t="shared" si="638"/>
        <v>0</v>
      </c>
      <c r="BV513" s="60">
        <f t="shared" si="639"/>
        <v>0</v>
      </c>
      <c r="BW513" s="60">
        <f t="shared" si="640"/>
        <v>0</v>
      </c>
      <c r="BX513" s="60">
        <f t="shared" si="641"/>
        <v>0</v>
      </c>
      <c r="BY513" s="60">
        <f t="shared" si="642"/>
        <v>0</v>
      </c>
      <c r="BZ513" s="60">
        <f t="shared" si="643"/>
        <v>0</v>
      </c>
      <c r="CA513" s="60">
        <f t="shared" si="644"/>
        <v>0</v>
      </c>
      <c r="CB513" s="60" t="e">
        <f t="shared" si="594"/>
        <v>#N/A</v>
      </c>
      <c r="CC513" s="60">
        <f t="shared" si="595"/>
        <v>100000</v>
      </c>
      <c r="CD513" s="60" t="e">
        <f t="shared" si="596"/>
        <v>#N/A</v>
      </c>
      <c r="CE513" s="60">
        <f t="shared" si="597"/>
        <v>100000</v>
      </c>
      <c r="CF513" s="83" t="e">
        <f t="shared" si="645"/>
        <v>#N/A</v>
      </c>
      <c r="CG513" s="83">
        <f t="shared" si="646"/>
        <v>0</v>
      </c>
      <c r="CH513" s="83" t="e">
        <f t="shared" si="647"/>
        <v>#N/A</v>
      </c>
      <c r="CI513" s="83">
        <f t="shared" si="648"/>
        <v>0</v>
      </c>
      <c r="CJ513" s="86" t="e">
        <f t="shared" si="598"/>
        <v>#N/A</v>
      </c>
      <c r="CK513" s="82">
        <f t="shared" si="599"/>
        <v>5.3070370403969858E-3</v>
      </c>
      <c r="CL513" s="82" t="e">
        <f t="shared" si="600"/>
        <v>#N/A</v>
      </c>
      <c r="CM513" s="82">
        <f t="shared" si="601"/>
        <v>5.3070370403969858E-3</v>
      </c>
      <c r="CO513" s="149" t="str">
        <f>IF($I513&lt;&gt;"",IF(O513="User Specified",U513,INDEX('Refrigerant GWPs'!$G$2:$G$156,MATCH(O513,'Refrigerant GWPs'!$A$2:$A$156,0))),"")</f>
        <v/>
      </c>
      <c r="CP513" s="138" t="str">
        <f>IF($I513&lt;&gt;"",INDEX('Device Refrigerant Leakage'!$E$2:$E$42,MATCH($M513,'Device Refrigerant Leakage'!$B$2:$B$42,0)),"")</f>
        <v/>
      </c>
      <c r="CQ513" s="138" t="str">
        <f>IF($I513&lt;&gt;"",INDEX('Device Refrigerant Leakage'!$F$2:$F$42,MATCH($M513,'Device Refrigerant Leakage'!$B$2:$B$42,0)),"")</f>
        <v/>
      </c>
      <c r="CR513" s="145" t="str">
        <f>IF($I513&lt;&gt;"",INDEX('Device Refrigerant Leakage'!$G$2:$G$42,MATCH($M513,'Device Refrigerant Leakage'!$B$2:$B$42,0)),"")</f>
        <v/>
      </c>
      <c r="CS513" s="145" t="str">
        <f>IF($I513&lt;&gt;"",INDEX('Device Refrigerant Leakage'!$D$2:$D$42,MATCH($M513,'Device Refrigerant Leakage'!$B$2:$B$42,0))*CP513/2204.62*CO513,"")</f>
        <v/>
      </c>
      <c r="CT513" s="145" t="str">
        <f>IF($I513&lt;&gt;"",J513*(INDEX('Device Refrigerant Leakage'!$D$2:$D$42,MATCH($M513,'Device Refrigerant Leakage'!$B$2:$B$42,0))-(INDEX('Device Refrigerant Leakage'!$D$2:$D$42,MATCH($M513,'Device Refrigerant Leakage'!$B$2:$B$42,0)))*CR513*CP513)*CQ513/2204.62*CO513,"")</f>
        <v/>
      </c>
      <c r="CU513" s="135" t="str">
        <f>IF($I513&lt;&gt;"",J513*IF(W513&lt;&gt;"AR",(CS513*K513)+CT513,(CS513*AB513)+CT513*(AB513/INDEX('Device Refrigerant Leakage'!$C$2:$C$42,MATCH($M513,'Device Refrigerant Leakage'!$B$2:$B$42,0)))),"")</f>
        <v/>
      </c>
      <c r="CW513" s="135" t="str">
        <f>IF($I513&lt;&gt;"",IF(S513="User Specified",V513,INDEX('Refrigerant GWPs'!$G$2:$G$156,MATCH(S513,'Refrigerant GWPs'!$A$2:$A$157,0))),"")</f>
        <v/>
      </c>
      <c r="CX513" s="138" t="str">
        <f>IF($I513&lt;&gt;"",INDEX('Device Refrigerant Leakage'!$E$2:$E$42,MATCH($Q513,'Device Refrigerant Leakage'!$B$2:$B$42,0)),"")</f>
        <v/>
      </c>
      <c r="CY513" s="138" t="str">
        <f>IF($I513&lt;&gt;"",INDEX('Device Refrigerant Leakage'!$F$2:$F$42,MATCH($Q513,'Device Refrigerant Leakage'!$B$2:$B$42,0)),"")</f>
        <v/>
      </c>
      <c r="CZ513" s="145" t="str">
        <f>IF($I513&lt;&gt;"",INDEX('Device Refrigerant Leakage'!$G$2:$G$42,MATCH($Q513,'Device Refrigerant Leakage'!$B$2:$B$42,0)),"")</f>
        <v/>
      </c>
      <c r="DA513" s="145" t="str">
        <f>IF($I513&lt;&gt;"",J513*INDEX('Device Refrigerant Leakage'!$D$2:$D$42,MATCH($Q513,'Device Refrigerant Leakage'!$B$2:$B$42,0))*CX513/2204.62*CW513,"")</f>
        <v/>
      </c>
      <c r="DB513" s="145" t="str">
        <f>IF($I513&lt;&gt;"",J513*(INDEX('Device Refrigerant Leakage'!$D$2:$D$42,MATCH($Q513,'Device Refrigerant Leakage'!$B$2:$B$42,0))-(INDEX('Device Refrigerant Leakage'!$D$2:$D$42,MATCH($Q513,'Device Refrigerant Leakage'!$B$2:$B$42,0)))*CZ513*CX513)*CY513/2204.62*CW513,"")</f>
        <v/>
      </c>
      <c r="DC513" s="135" t="str">
        <f t="shared" si="620"/>
        <v/>
      </c>
      <c r="DE513" s="146" t="str">
        <f>IF(W513&lt;&gt;"AR","",IF(Y513="User Specified", AA513, INDEX('Refrigerant GWPs'!$G$2:$G$154,MATCH(Y513,'Refrigerant GWPs'!$A$2:$A$154,0))))</f>
        <v/>
      </c>
      <c r="DF513" s="146" t="str">
        <f>IF(W513&lt;&gt;"AR","",INDEX('Device Refrigerant Leakage'!$E$2:$E$42,MATCH(X513,'Device Refrigerant Leakage'!$B$2:$B$42,0)))</f>
        <v/>
      </c>
      <c r="DG513" s="146" t="str">
        <f>IF(W513&lt;&gt;"AR","",INDEX('Device Refrigerant Leakage'!$F$2:$F$42,MATCH(X513,'Device Refrigerant Leakage'!$B$2:$B$42,0)))</f>
        <v/>
      </c>
      <c r="DH513" s="146" t="str">
        <f>IF(W513&lt;&gt;"AR","",INDEX('Device Refrigerant Leakage'!$G$2:$G$42,MATCH(X513,'Device Refrigerant Leakage'!$B$2:$B$42,0)))</f>
        <v/>
      </c>
      <c r="DI513" s="146" t="str">
        <f>IF(W513&lt;&gt;"AR","",J513*INDEX('Device Refrigerant Leakage'!$D$2:$D$42,MATCH(X513,'Device Refrigerant Leakage'!$B$2:$B$42,0))*DF513/2204.62*DE513)</f>
        <v/>
      </c>
      <c r="DJ513" s="146" t="str">
        <f>IF(W513&lt;&gt;"AR","",J513*(INDEX('Device Refrigerant Leakage'!$D$2:$D$42,MATCH(X513,'Device Refrigerant Leakage'!$B$2:$B$42,0))-(INDEX('Device Refrigerant Leakage'!$D$2:$D$42,MATCH(X513,'Device Refrigerant Leakage'!$B$2:$B$42,0)))*DH513*DF513)*DG513/2204.62*DE513)</f>
        <v/>
      </c>
      <c r="DK513" s="146" t="str">
        <f>IF(W513&lt;&gt;"AR","",DI513*(K513-AB513)+'Fuel Sub Calcs-Deemed'!DJ513*((K513-AB513)/INDEX('Device Refrigerant Leakage'!$C$2:$C$42,MATCH('Fuel Sub Calcs-Deemed'!X513,'Device Refrigerant Leakage'!$B$2:$B$42,0))))</f>
        <v/>
      </c>
      <c r="DM513" s="56">
        <v>499</v>
      </c>
      <c r="DN513" s="67" t="e">
        <f t="shared" si="602"/>
        <v>#N/A</v>
      </c>
      <c r="DO513" s="45" t="e">
        <f t="shared" si="603"/>
        <v>#N/A</v>
      </c>
      <c r="DP513" s="67" t="e">
        <f t="shared" si="604"/>
        <v>#N/A</v>
      </c>
      <c r="DQ513" s="45" t="e">
        <f t="shared" si="605"/>
        <v>#N/A</v>
      </c>
      <c r="DR513" s="69" t="e">
        <f t="shared" si="606"/>
        <v>#N/A</v>
      </c>
      <c r="DS513" s="34"/>
      <c r="DT513" s="67" t="e">
        <f>((BX513*CJ513)+IF($W513=MAT_AR,(BZ513*CL513),0))*(1+Reference!$E$50+Reference!$E$51)</f>
        <v>#N/A</v>
      </c>
      <c r="DU513" s="67">
        <f>((BY513*CK513)+IF($W513=MAT_AR,(CA513*CM513),0))*(1+Reference!$G$50+Reference!$G$51)</f>
        <v>0</v>
      </c>
      <c r="DV513" s="67" t="e">
        <f t="shared" si="607"/>
        <v>#VALUE!</v>
      </c>
      <c r="DX513" s="56">
        <v>499</v>
      </c>
      <c r="DY513" s="67">
        <f t="shared" si="608"/>
        <v>0</v>
      </c>
      <c r="DZ513" s="45" t="e">
        <f>VLOOKUP($R513,Dropdown!$C$3:$D$4,2,FALSE)</f>
        <v>#N/A</v>
      </c>
      <c r="EA513" s="68">
        <f t="shared" si="609"/>
        <v>0</v>
      </c>
      <c r="EB513" s="68" t="str">
        <f t="shared" si="610"/>
        <v>N/A</v>
      </c>
      <c r="EC513" s="68">
        <f t="shared" si="611"/>
        <v>0</v>
      </c>
      <c r="ED513" s="68" t="str">
        <f t="shared" si="649"/>
        <v>N/A</v>
      </c>
      <c r="EF513" s="56">
        <v>499</v>
      </c>
      <c r="EG513" s="46">
        <f t="shared" si="612"/>
        <v>0</v>
      </c>
      <c r="EH513" s="68" t="e">
        <f t="shared" si="613"/>
        <v>#N/A</v>
      </c>
      <c r="EI513" s="68" t="e">
        <f t="shared" si="614"/>
        <v>#N/A</v>
      </c>
      <c r="EJ513" s="68" t="e">
        <f t="shared" si="615"/>
        <v>#N/A</v>
      </c>
      <c r="EK513" s="68" t="e">
        <f t="shared" si="616"/>
        <v>#N/A</v>
      </c>
      <c r="EL513" s="46">
        <f t="shared" si="617"/>
        <v>0</v>
      </c>
      <c r="EM513" s="46">
        <f t="shared" si="618"/>
        <v>0</v>
      </c>
    </row>
    <row r="514" spans="1:143">
      <c r="A514" s="89"/>
      <c r="B514" s="89"/>
      <c r="C514" s="89"/>
      <c r="D514" s="89"/>
      <c r="E514" s="89"/>
      <c r="F514" s="89"/>
      <c r="G514" s="34"/>
      <c r="H514" s="56">
        <f t="shared" si="619"/>
        <v>500</v>
      </c>
      <c r="I514" s="165"/>
      <c r="J514" s="163"/>
      <c r="K514" s="163"/>
      <c r="L514" s="164"/>
      <c r="M514" s="155"/>
      <c r="N514" s="155"/>
      <c r="O514" s="144"/>
      <c r="P514" s="159" t="str">
        <f>IFERROR(IF(O514&lt;&gt;"User Specified",IF(O514&lt;&gt;"", INDEX('Refrigerant GWPs'!$G$2:$G$154,MATCH(O514,'Refrigerant GWPs'!$A$2:$A$154,0)),""),U514),0)</f>
        <v/>
      </c>
      <c r="Q514" s="155"/>
      <c r="R514" s="155"/>
      <c r="S514" s="144"/>
      <c r="T514" s="159" t="str">
        <f>IF(S514&lt;&gt;"User Specified",IF(AND(S514&lt;&gt;"User Specified",S514&lt;&gt;""), INDEX('Refrigerant GWPs'!$G$2:$G$154,MATCH(S514,'Refrigerant GWPs'!$A$2:$A$154,0)),""),V514)</f>
        <v/>
      </c>
      <c r="U514" s="144"/>
      <c r="V514" s="144"/>
      <c r="W514" s="155"/>
      <c r="X514" s="155"/>
      <c r="Y514" s="144"/>
      <c r="Z514" s="159" t="str">
        <f>IF(AND(Y514&lt;&gt;"User Specified",Y514&lt;&gt;""), INDEX('Refrigerant GWPs'!$G$2:$G$154,MATCH(Y514,'Refrigerant GWPs'!$A$2:$A$154,0)),"")</f>
        <v/>
      </c>
      <c r="AA514" s="155"/>
      <c r="AB514" s="156"/>
      <c r="AC514" s="66"/>
      <c r="AD514" s="66"/>
      <c r="AE514" s="66"/>
      <c r="AF514" s="66"/>
      <c r="AG514" s="66"/>
      <c r="AH514" s="66"/>
      <c r="AI514" s="34"/>
      <c r="AJ514" s="88">
        <f t="shared" si="582"/>
        <v>0</v>
      </c>
      <c r="AK514" s="88">
        <f t="shared" si="583"/>
        <v>0</v>
      </c>
      <c r="AL514" s="88">
        <v>0</v>
      </c>
      <c r="AM514" s="88">
        <v>0</v>
      </c>
      <c r="AN514" s="81" t="str">
        <f t="shared" si="621"/>
        <v/>
      </c>
      <c r="AO514" s="88">
        <f t="shared" si="584"/>
        <v>0</v>
      </c>
      <c r="AP514" s="88">
        <f t="shared" si="585"/>
        <v>0</v>
      </c>
      <c r="AQ514" s="81" t="str">
        <f t="shared" si="586"/>
        <v/>
      </c>
      <c r="AS514" s="41" t="b">
        <f t="shared" si="587"/>
        <v>1</v>
      </c>
      <c r="AT514" s="38">
        <f t="shared" si="588"/>
        <v>0</v>
      </c>
      <c r="AU514" s="60">
        <f t="shared" si="589"/>
        <v>0</v>
      </c>
      <c r="AV514" s="41">
        <f t="shared" si="590"/>
        <v>0</v>
      </c>
      <c r="AW514" s="41" t="b">
        <f t="shared" si="591"/>
        <v>0</v>
      </c>
      <c r="AX514" t="str">
        <f t="shared" si="592"/>
        <v>+00</v>
      </c>
      <c r="AY514" t="str">
        <f t="shared" si="593"/>
        <v>+00</v>
      </c>
      <c r="BA514" s="47" t="b">
        <f t="shared" si="622"/>
        <v>1</v>
      </c>
      <c r="BB514" s="42" t="b">
        <f t="shared" si="623"/>
        <v>1</v>
      </c>
      <c r="BC514" s="42" t="b">
        <f t="shared" si="624"/>
        <v>0</v>
      </c>
      <c r="BD514" s="42" t="b">
        <f t="shared" si="625"/>
        <v>0</v>
      </c>
      <c r="BE514" s="70">
        <f t="shared" si="626"/>
        <v>0</v>
      </c>
      <c r="BF514" s="70">
        <f t="shared" si="627"/>
        <v>0</v>
      </c>
      <c r="BG514" s="34"/>
      <c r="BI514" s="47" t="b">
        <f t="shared" si="628"/>
        <v>1</v>
      </c>
      <c r="BJ514" s="47" t="b">
        <f t="shared" si="629"/>
        <v>1</v>
      </c>
      <c r="BK514" s="42" t="b">
        <f t="shared" si="630"/>
        <v>0</v>
      </c>
      <c r="BL514" s="42" t="b">
        <f t="shared" si="631"/>
        <v>0</v>
      </c>
      <c r="BM514" s="42">
        <f t="shared" si="632"/>
        <v>0</v>
      </c>
      <c r="BN514" s="42">
        <f t="shared" si="633"/>
        <v>0</v>
      </c>
      <c r="BP514" t="e">
        <f t="shared" si="634"/>
        <v>#N/A</v>
      </c>
      <c r="BQ514" t="e">
        <f t="shared" si="635"/>
        <v>#N/A</v>
      </c>
      <c r="BR514" t="e">
        <f t="shared" si="636"/>
        <v>#N/A</v>
      </c>
      <c r="BT514" s="60">
        <f t="shared" si="637"/>
        <v>0</v>
      </c>
      <c r="BU514" s="60">
        <f t="shared" si="638"/>
        <v>0</v>
      </c>
      <c r="BV514" s="60">
        <f t="shared" si="639"/>
        <v>0</v>
      </c>
      <c r="BW514" s="60">
        <f t="shared" si="640"/>
        <v>0</v>
      </c>
      <c r="BX514" s="60">
        <f t="shared" si="641"/>
        <v>0</v>
      </c>
      <c r="BY514" s="60">
        <f t="shared" si="642"/>
        <v>0</v>
      </c>
      <c r="BZ514" s="60">
        <f t="shared" si="643"/>
        <v>0</v>
      </c>
      <c r="CA514" s="60">
        <f t="shared" si="644"/>
        <v>0</v>
      </c>
      <c r="CB514" s="60" t="e">
        <f t="shared" si="594"/>
        <v>#N/A</v>
      </c>
      <c r="CC514" s="60">
        <f t="shared" si="595"/>
        <v>100000</v>
      </c>
      <c r="CD514" s="60" t="e">
        <f t="shared" si="596"/>
        <v>#N/A</v>
      </c>
      <c r="CE514" s="60">
        <f t="shared" si="597"/>
        <v>100000</v>
      </c>
      <c r="CF514" s="83" t="e">
        <f t="shared" si="645"/>
        <v>#N/A</v>
      </c>
      <c r="CG514" s="83">
        <f t="shared" si="646"/>
        <v>0</v>
      </c>
      <c r="CH514" s="83" t="e">
        <f t="shared" si="647"/>
        <v>#N/A</v>
      </c>
      <c r="CI514" s="83">
        <f t="shared" si="648"/>
        <v>0</v>
      </c>
      <c r="CJ514" s="86" t="e">
        <f t="shared" si="598"/>
        <v>#N/A</v>
      </c>
      <c r="CK514" s="82">
        <f t="shared" si="599"/>
        <v>5.3070370403969858E-3</v>
      </c>
      <c r="CL514" s="82" t="e">
        <f t="shared" si="600"/>
        <v>#N/A</v>
      </c>
      <c r="CM514" s="82">
        <f t="shared" si="601"/>
        <v>5.3070370403969858E-3</v>
      </c>
      <c r="CO514" s="149" t="str">
        <f>IF($I514&lt;&gt;"",IF(O514="User Specified",U514,INDEX('Refrigerant GWPs'!$G$2:$G$156,MATCH(O514,'Refrigerant GWPs'!$A$2:$A$156,0))),"")</f>
        <v/>
      </c>
      <c r="CP514" s="138" t="str">
        <f>IF($I514&lt;&gt;"",INDEX('Device Refrigerant Leakage'!$E$2:$E$42,MATCH($M514,'Device Refrigerant Leakage'!$B$2:$B$42,0)),"")</f>
        <v/>
      </c>
      <c r="CQ514" s="138" t="str">
        <f>IF($I514&lt;&gt;"",INDEX('Device Refrigerant Leakage'!$F$2:$F$42,MATCH($M514,'Device Refrigerant Leakage'!$B$2:$B$42,0)),"")</f>
        <v/>
      </c>
      <c r="CR514" s="145" t="str">
        <f>IF($I514&lt;&gt;"",INDEX('Device Refrigerant Leakage'!$G$2:$G$42,MATCH($M514,'Device Refrigerant Leakage'!$B$2:$B$42,0)),"")</f>
        <v/>
      </c>
      <c r="CS514" s="145" t="str">
        <f>IF($I514&lt;&gt;"",INDEX('Device Refrigerant Leakage'!$D$2:$D$42,MATCH($M514,'Device Refrigerant Leakage'!$B$2:$B$42,0))*CP514/2204.62*CO514,"")</f>
        <v/>
      </c>
      <c r="CT514" s="145" t="str">
        <f>IF($I514&lt;&gt;"",J514*(INDEX('Device Refrigerant Leakage'!$D$2:$D$42,MATCH($M514,'Device Refrigerant Leakage'!$B$2:$B$42,0))-(INDEX('Device Refrigerant Leakage'!$D$2:$D$42,MATCH($M514,'Device Refrigerant Leakage'!$B$2:$B$42,0)))*CR514*CP514)*CQ514/2204.62*CO514,"")</f>
        <v/>
      </c>
      <c r="CU514" s="135" t="str">
        <f>IF($I514&lt;&gt;"",J514*IF(W514&lt;&gt;"AR",(CS514*K514)+CT514,(CS514*AB514)+CT514*(AB514/INDEX('Device Refrigerant Leakage'!$C$2:$C$42,MATCH($M514,'Device Refrigerant Leakage'!$B$2:$B$42,0)))),"")</f>
        <v/>
      </c>
      <c r="CW514" s="135" t="str">
        <f>IF($I514&lt;&gt;"",IF(S514="User Specified",V514,INDEX('Refrigerant GWPs'!$G$2:$G$156,MATCH(S514,'Refrigerant GWPs'!$A$2:$A$157,0))),"")</f>
        <v/>
      </c>
      <c r="CX514" s="138" t="str">
        <f>IF($I514&lt;&gt;"",INDEX('Device Refrigerant Leakage'!$E$2:$E$42,MATCH($Q514,'Device Refrigerant Leakage'!$B$2:$B$42,0)),"")</f>
        <v/>
      </c>
      <c r="CY514" s="138" t="str">
        <f>IF($I514&lt;&gt;"",INDEX('Device Refrigerant Leakage'!$F$2:$F$42,MATCH($Q514,'Device Refrigerant Leakage'!$B$2:$B$42,0)),"")</f>
        <v/>
      </c>
      <c r="CZ514" s="145" t="str">
        <f>IF($I514&lt;&gt;"",INDEX('Device Refrigerant Leakage'!$G$2:$G$42,MATCH($Q514,'Device Refrigerant Leakage'!$B$2:$B$42,0)),"")</f>
        <v/>
      </c>
      <c r="DA514" s="145" t="str">
        <f>IF($I514&lt;&gt;"",J514*INDEX('Device Refrigerant Leakage'!$D$2:$D$42,MATCH($Q514,'Device Refrigerant Leakage'!$B$2:$B$42,0))*CX514/2204.62*CW514,"")</f>
        <v/>
      </c>
      <c r="DB514" s="145" t="str">
        <f>IF($I514&lt;&gt;"",J514*(INDEX('Device Refrigerant Leakage'!$D$2:$D$42,MATCH($Q514,'Device Refrigerant Leakage'!$B$2:$B$42,0))-(INDEX('Device Refrigerant Leakage'!$D$2:$D$42,MATCH($Q514,'Device Refrigerant Leakage'!$B$2:$B$42,0)))*CZ514*CX514)*CY514/2204.62*CW514,"")</f>
        <v/>
      </c>
      <c r="DC514" s="135" t="str">
        <f t="shared" si="620"/>
        <v/>
      </c>
      <c r="DE514" s="146" t="str">
        <f>IF(W514&lt;&gt;"AR","",IF(Y514="User Specified", AA514, INDEX('Refrigerant GWPs'!$G$2:$G$154,MATCH(Y514,'Refrigerant GWPs'!$A$2:$A$154,0))))</f>
        <v/>
      </c>
      <c r="DF514" s="146" t="str">
        <f>IF(W514&lt;&gt;"AR","",INDEX('Device Refrigerant Leakage'!$E$2:$E$42,MATCH(X514,'Device Refrigerant Leakage'!$B$2:$B$42,0)))</f>
        <v/>
      </c>
      <c r="DG514" s="146" t="str">
        <f>IF(W514&lt;&gt;"AR","",INDEX('Device Refrigerant Leakage'!$F$2:$F$42,MATCH(X514,'Device Refrigerant Leakage'!$B$2:$B$42,0)))</f>
        <v/>
      </c>
      <c r="DH514" s="146" t="str">
        <f>IF(W514&lt;&gt;"AR","",INDEX('Device Refrigerant Leakage'!$G$2:$G$42,MATCH(X514,'Device Refrigerant Leakage'!$B$2:$B$42,0)))</f>
        <v/>
      </c>
      <c r="DI514" s="146" t="str">
        <f>IF(W514&lt;&gt;"AR","",J514*INDEX('Device Refrigerant Leakage'!$D$2:$D$42,MATCH(X514,'Device Refrigerant Leakage'!$B$2:$B$42,0))*DF514/2204.62*DE514)</f>
        <v/>
      </c>
      <c r="DJ514" s="146" t="str">
        <f>IF(W514&lt;&gt;"AR","",J514*(INDEX('Device Refrigerant Leakage'!$D$2:$D$42,MATCH(X514,'Device Refrigerant Leakage'!$B$2:$B$42,0))-(INDEX('Device Refrigerant Leakage'!$D$2:$D$42,MATCH(X514,'Device Refrigerant Leakage'!$B$2:$B$42,0)))*DH514*DF514)*DG514/2204.62*DE514)</f>
        <v/>
      </c>
      <c r="DK514" s="146" t="str">
        <f>IF(W514&lt;&gt;"AR","",DI514*(K514-AB514)+'Fuel Sub Calcs-Deemed'!DJ514*((K514-AB514)/INDEX('Device Refrigerant Leakage'!$C$2:$C$42,MATCH('Fuel Sub Calcs-Deemed'!X514,'Device Refrigerant Leakage'!$B$2:$B$42,0))))</f>
        <v/>
      </c>
      <c r="DM514" s="56">
        <v>500</v>
      </c>
      <c r="DN514" s="67" t="e">
        <f t="shared" si="602"/>
        <v>#N/A</v>
      </c>
      <c r="DO514" s="45" t="e">
        <f t="shared" si="603"/>
        <v>#N/A</v>
      </c>
      <c r="DP514" s="67" t="e">
        <f t="shared" si="604"/>
        <v>#N/A</v>
      </c>
      <c r="DQ514" s="45" t="e">
        <f t="shared" si="605"/>
        <v>#N/A</v>
      </c>
      <c r="DR514" s="69" t="e">
        <f t="shared" si="606"/>
        <v>#N/A</v>
      </c>
      <c r="DS514" s="34"/>
      <c r="DT514" s="67" t="e">
        <f>((BX514*CJ514)+IF($W514=MAT_AR,(BZ514*CL514),0))*(1+Reference!$E$50+Reference!$E$51)</f>
        <v>#N/A</v>
      </c>
      <c r="DU514" s="67">
        <f>((BY514*CK514)+IF($W514=MAT_AR,(CA514*CM514),0))*(1+Reference!$G$50+Reference!$G$51)</f>
        <v>0</v>
      </c>
      <c r="DV514" s="67" t="e">
        <f t="shared" si="607"/>
        <v>#VALUE!</v>
      </c>
      <c r="DX514" s="56">
        <v>500</v>
      </c>
      <c r="DY514" s="67">
        <f t="shared" si="608"/>
        <v>0</v>
      </c>
      <c r="DZ514" s="45" t="e">
        <f>VLOOKUP($R514,Dropdown!$C$3:$D$4,2,FALSE)</f>
        <v>#N/A</v>
      </c>
      <c r="EA514" s="68">
        <f t="shared" si="609"/>
        <v>0</v>
      </c>
      <c r="EB514" s="68" t="str">
        <f t="shared" si="610"/>
        <v>N/A</v>
      </c>
      <c r="EC514" s="68">
        <f t="shared" si="611"/>
        <v>0</v>
      </c>
      <c r="ED514" s="68" t="str">
        <f t="shared" si="649"/>
        <v>N/A</v>
      </c>
      <c r="EF514" s="56">
        <v>500</v>
      </c>
      <c r="EG514" s="46">
        <f t="shared" si="612"/>
        <v>0</v>
      </c>
      <c r="EH514" s="68" t="e">
        <f t="shared" si="613"/>
        <v>#N/A</v>
      </c>
      <c r="EI514" s="68" t="e">
        <f t="shared" si="614"/>
        <v>#N/A</v>
      </c>
      <c r="EJ514" s="68" t="e">
        <f t="shared" si="615"/>
        <v>#N/A</v>
      </c>
      <c r="EK514" s="68" t="e">
        <f t="shared" si="616"/>
        <v>#N/A</v>
      </c>
      <c r="EL514" s="46">
        <f t="shared" si="617"/>
        <v>0</v>
      </c>
      <c r="EM514" s="46">
        <f t="shared" si="618"/>
        <v>0</v>
      </c>
    </row>
    <row r="515" spans="1:143">
      <c r="A515" s="89"/>
      <c r="B515" s="89"/>
      <c r="C515" s="89"/>
      <c r="D515" s="89"/>
      <c r="E515" s="89"/>
      <c r="F515" s="89"/>
      <c r="G515" s="34"/>
      <c r="H515" s="56">
        <f t="shared" si="619"/>
        <v>501</v>
      </c>
      <c r="I515" s="165"/>
      <c r="J515" s="163"/>
      <c r="K515" s="163"/>
      <c r="L515" s="164"/>
      <c r="M515" s="155"/>
      <c r="N515" s="155"/>
      <c r="O515" s="144"/>
      <c r="P515" s="159" t="str">
        <f>IFERROR(IF(O515&lt;&gt;"User Specified",IF(O515&lt;&gt;"", INDEX('Refrigerant GWPs'!$G$2:$G$154,MATCH(O515,'Refrigerant GWPs'!$A$2:$A$154,0)),""),U515),0)</f>
        <v/>
      </c>
      <c r="Q515" s="155"/>
      <c r="R515" s="155"/>
      <c r="S515" s="144"/>
      <c r="T515" s="159" t="str">
        <f>IF(S515&lt;&gt;"User Specified",IF(AND(S515&lt;&gt;"User Specified",S515&lt;&gt;""), INDEX('Refrigerant GWPs'!$G$2:$G$154,MATCH(S515,'Refrigerant GWPs'!$A$2:$A$154,0)),""),V515)</f>
        <v/>
      </c>
      <c r="U515" s="144"/>
      <c r="V515" s="144"/>
      <c r="W515" s="155"/>
      <c r="X515" s="155"/>
      <c r="Y515" s="144"/>
      <c r="Z515" s="159" t="str">
        <f>IF(AND(Y515&lt;&gt;"User Specified",Y515&lt;&gt;""), INDEX('Refrigerant GWPs'!$G$2:$G$154,MATCH(Y515,'Refrigerant GWPs'!$A$2:$A$154,0)),"")</f>
        <v/>
      </c>
      <c r="AA515" s="155"/>
      <c r="AB515" s="156"/>
      <c r="AC515" s="66"/>
      <c r="AD515" s="66"/>
      <c r="AE515" s="66"/>
      <c r="AF515" s="66"/>
      <c r="AG515" s="66"/>
      <c r="AH515" s="66"/>
      <c r="AI515" s="34"/>
      <c r="AJ515" s="88">
        <f t="shared" si="582"/>
        <v>0</v>
      </c>
      <c r="AK515" s="88">
        <f t="shared" si="583"/>
        <v>0</v>
      </c>
      <c r="AL515" s="88">
        <v>0</v>
      </c>
      <c r="AM515" s="88">
        <v>0</v>
      </c>
      <c r="AN515" s="81" t="str">
        <f t="shared" si="621"/>
        <v/>
      </c>
      <c r="AO515" s="88">
        <f t="shared" si="584"/>
        <v>0</v>
      </c>
      <c r="AP515" s="88">
        <f t="shared" si="585"/>
        <v>0</v>
      </c>
      <c r="AQ515" s="81" t="str">
        <f t="shared" si="586"/>
        <v/>
      </c>
      <c r="AS515" s="41" t="b">
        <f t="shared" si="587"/>
        <v>1</v>
      </c>
      <c r="AT515" s="38">
        <f t="shared" si="588"/>
        <v>0</v>
      </c>
      <c r="AU515" s="60">
        <f t="shared" si="589"/>
        <v>0</v>
      </c>
      <c r="AV515" s="41">
        <f t="shared" si="590"/>
        <v>0</v>
      </c>
      <c r="AW515" s="41" t="b">
        <f t="shared" si="591"/>
        <v>0</v>
      </c>
      <c r="AX515" t="str">
        <f t="shared" si="592"/>
        <v>+00</v>
      </c>
      <c r="AY515" t="str">
        <f t="shared" si="593"/>
        <v>+00</v>
      </c>
      <c r="BA515" s="47" t="b">
        <f t="shared" si="622"/>
        <v>1</v>
      </c>
      <c r="BB515" s="42" t="b">
        <f t="shared" si="623"/>
        <v>1</v>
      </c>
      <c r="BC515" s="42" t="b">
        <f t="shared" si="624"/>
        <v>0</v>
      </c>
      <c r="BD515" s="42" t="b">
        <f t="shared" si="625"/>
        <v>0</v>
      </c>
      <c r="BE515" s="70">
        <f t="shared" si="626"/>
        <v>0</v>
      </c>
      <c r="BF515" s="70">
        <f t="shared" si="627"/>
        <v>0</v>
      </c>
      <c r="BG515" s="34"/>
      <c r="BI515" s="47" t="b">
        <f t="shared" si="628"/>
        <v>1</v>
      </c>
      <c r="BJ515" s="47" t="b">
        <f t="shared" si="629"/>
        <v>1</v>
      </c>
      <c r="BK515" s="42" t="b">
        <f t="shared" si="630"/>
        <v>0</v>
      </c>
      <c r="BL515" s="42" t="b">
        <f t="shared" si="631"/>
        <v>0</v>
      </c>
      <c r="BM515" s="42">
        <f t="shared" si="632"/>
        <v>0</v>
      </c>
      <c r="BN515" s="42">
        <f t="shared" si="633"/>
        <v>0</v>
      </c>
      <c r="BP515" t="e">
        <f t="shared" si="634"/>
        <v>#N/A</v>
      </c>
      <c r="BQ515" t="e">
        <f t="shared" si="635"/>
        <v>#N/A</v>
      </c>
      <c r="BR515" t="e">
        <f t="shared" si="636"/>
        <v>#N/A</v>
      </c>
      <c r="BT515" s="60">
        <f t="shared" si="637"/>
        <v>0</v>
      </c>
      <c r="BU515" s="60">
        <f t="shared" si="638"/>
        <v>0</v>
      </c>
      <c r="BV515" s="60">
        <f t="shared" si="639"/>
        <v>0</v>
      </c>
      <c r="BW515" s="60">
        <f t="shared" si="640"/>
        <v>0</v>
      </c>
      <c r="BX515" s="60">
        <f t="shared" si="641"/>
        <v>0</v>
      </c>
      <c r="BY515" s="60">
        <f t="shared" si="642"/>
        <v>0</v>
      </c>
      <c r="BZ515" s="60">
        <f t="shared" si="643"/>
        <v>0</v>
      </c>
      <c r="CA515" s="60">
        <f t="shared" si="644"/>
        <v>0</v>
      </c>
      <c r="CB515" s="60" t="e">
        <f t="shared" si="594"/>
        <v>#N/A</v>
      </c>
      <c r="CC515" s="60">
        <f t="shared" si="595"/>
        <v>100000</v>
      </c>
      <c r="CD515" s="60" t="e">
        <f t="shared" si="596"/>
        <v>#N/A</v>
      </c>
      <c r="CE515" s="60">
        <f t="shared" si="597"/>
        <v>100000</v>
      </c>
      <c r="CF515" s="83" t="e">
        <f t="shared" si="645"/>
        <v>#N/A</v>
      </c>
      <c r="CG515" s="83">
        <f t="shared" si="646"/>
        <v>0</v>
      </c>
      <c r="CH515" s="83" t="e">
        <f t="shared" si="647"/>
        <v>#N/A</v>
      </c>
      <c r="CI515" s="83">
        <f t="shared" si="648"/>
        <v>0</v>
      </c>
      <c r="CJ515" s="86" t="e">
        <f t="shared" si="598"/>
        <v>#N/A</v>
      </c>
      <c r="CK515" s="82">
        <f t="shared" si="599"/>
        <v>5.3070370403969858E-3</v>
      </c>
      <c r="CL515" s="82" t="e">
        <f t="shared" si="600"/>
        <v>#N/A</v>
      </c>
      <c r="CM515" s="82">
        <f t="shared" si="601"/>
        <v>5.3070370403969858E-3</v>
      </c>
      <c r="CO515" s="149" t="str">
        <f>IF($I515&lt;&gt;"",IF(O515="User Specified",U515,INDEX('Refrigerant GWPs'!$G$2:$G$156,MATCH(O515,'Refrigerant GWPs'!$A$2:$A$156,0))),"")</f>
        <v/>
      </c>
      <c r="CP515" s="138" t="str">
        <f>IF($I515&lt;&gt;"",INDEX('Device Refrigerant Leakage'!$E$2:$E$42,MATCH($M515,'Device Refrigerant Leakage'!$B$2:$B$42,0)),"")</f>
        <v/>
      </c>
      <c r="CQ515" s="138" t="str">
        <f>IF($I515&lt;&gt;"",INDEX('Device Refrigerant Leakage'!$F$2:$F$42,MATCH($M515,'Device Refrigerant Leakage'!$B$2:$B$42,0)),"")</f>
        <v/>
      </c>
      <c r="CR515" s="145" t="str">
        <f>IF($I515&lt;&gt;"",INDEX('Device Refrigerant Leakage'!$G$2:$G$42,MATCH($M515,'Device Refrigerant Leakage'!$B$2:$B$42,0)),"")</f>
        <v/>
      </c>
      <c r="CS515" s="145" t="str">
        <f>IF($I515&lt;&gt;"",INDEX('Device Refrigerant Leakage'!$D$2:$D$42,MATCH($M515,'Device Refrigerant Leakage'!$B$2:$B$42,0))*CP515/2204.62*CO515,"")</f>
        <v/>
      </c>
      <c r="CT515" s="145" t="str">
        <f>IF($I515&lt;&gt;"",J515*(INDEX('Device Refrigerant Leakage'!$D$2:$D$42,MATCH($M515,'Device Refrigerant Leakage'!$B$2:$B$42,0))-(INDEX('Device Refrigerant Leakage'!$D$2:$D$42,MATCH($M515,'Device Refrigerant Leakage'!$B$2:$B$42,0)))*CR515*CP515)*CQ515/2204.62*CO515,"")</f>
        <v/>
      </c>
      <c r="CU515" s="135" t="str">
        <f>IF($I515&lt;&gt;"",J515*IF(W515&lt;&gt;"AR",(CS515*K515)+CT515,(CS515*AB515)+CT515*(AB515/INDEX('Device Refrigerant Leakage'!$C$2:$C$42,MATCH($M515,'Device Refrigerant Leakage'!$B$2:$B$42,0)))),"")</f>
        <v/>
      </c>
      <c r="CW515" s="135" t="str">
        <f>IF($I515&lt;&gt;"",IF(S515="User Specified",V515,INDEX('Refrigerant GWPs'!$G$2:$G$156,MATCH(S515,'Refrigerant GWPs'!$A$2:$A$157,0))),"")</f>
        <v/>
      </c>
      <c r="CX515" s="138" t="str">
        <f>IF($I515&lt;&gt;"",INDEX('Device Refrigerant Leakage'!$E$2:$E$42,MATCH($Q515,'Device Refrigerant Leakage'!$B$2:$B$42,0)),"")</f>
        <v/>
      </c>
      <c r="CY515" s="138" t="str">
        <f>IF($I515&lt;&gt;"",INDEX('Device Refrigerant Leakage'!$F$2:$F$42,MATCH($Q515,'Device Refrigerant Leakage'!$B$2:$B$42,0)),"")</f>
        <v/>
      </c>
      <c r="CZ515" s="145" t="str">
        <f>IF($I515&lt;&gt;"",INDEX('Device Refrigerant Leakage'!$G$2:$G$42,MATCH($Q515,'Device Refrigerant Leakage'!$B$2:$B$42,0)),"")</f>
        <v/>
      </c>
      <c r="DA515" s="145" t="str">
        <f>IF($I515&lt;&gt;"",J515*INDEX('Device Refrigerant Leakage'!$D$2:$D$42,MATCH($Q515,'Device Refrigerant Leakage'!$B$2:$B$42,0))*CX515/2204.62*CW515,"")</f>
        <v/>
      </c>
      <c r="DB515" s="145" t="str">
        <f>IF($I515&lt;&gt;"",J515*(INDEX('Device Refrigerant Leakage'!$D$2:$D$42,MATCH($Q515,'Device Refrigerant Leakage'!$B$2:$B$42,0))-(INDEX('Device Refrigerant Leakage'!$D$2:$D$42,MATCH($Q515,'Device Refrigerant Leakage'!$B$2:$B$42,0)))*CZ515*CX515)*CY515/2204.62*CW515,"")</f>
        <v/>
      </c>
      <c r="DC515" s="135" t="str">
        <f t="shared" si="620"/>
        <v/>
      </c>
      <c r="DE515" s="146" t="str">
        <f>IF(W515&lt;&gt;"AR","",IF(Y515="User Specified", AA515, INDEX('Refrigerant GWPs'!$G$2:$G$154,MATCH(Y515,'Refrigerant GWPs'!$A$2:$A$154,0))))</f>
        <v/>
      </c>
      <c r="DF515" s="146" t="str">
        <f>IF(W515&lt;&gt;"AR","",INDEX('Device Refrigerant Leakage'!$E$2:$E$42,MATCH(X515,'Device Refrigerant Leakage'!$B$2:$B$42,0)))</f>
        <v/>
      </c>
      <c r="DG515" s="146" t="str">
        <f>IF(W515&lt;&gt;"AR","",INDEX('Device Refrigerant Leakage'!$F$2:$F$42,MATCH(X515,'Device Refrigerant Leakage'!$B$2:$B$42,0)))</f>
        <v/>
      </c>
      <c r="DH515" s="146" t="str">
        <f>IF(W515&lt;&gt;"AR","",INDEX('Device Refrigerant Leakage'!$G$2:$G$42,MATCH(X515,'Device Refrigerant Leakage'!$B$2:$B$42,0)))</f>
        <v/>
      </c>
      <c r="DI515" s="146" t="str">
        <f>IF(W515&lt;&gt;"AR","",J515*INDEX('Device Refrigerant Leakage'!$D$2:$D$42,MATCH(X515,'Device Refrigerant Leakage'!$B$2:$B$42,0))*DF515/2204.62*DE515)</f>
        <v/>
      </c>
      <c r="DJ515" s="146" t="str">
        <f>IF(W515&lt;&gt;"AR","",J515*(INDEX('Device Refrigerant Leakage'!$D$2:$D$42,MATCH(X515,'Device Refrigerant Leakage'!$B$2:$B$42,0))-(INDEX('Device Refrigerant Leakage'!$D$2:$D$42,MATCH(X515,'Device Refrigerant Leakage'!$B$2:$B$42,0)))*DH515*DF515)*DG515/2204.62*DE515)</f>
        <v/>
      </c>
      <c r="DK515" s="146" t="str">
        <f>IF(W515&lt;&gt;"AR","",DI515*(K515-AB515)+'Fuel Sub Calcs-Deemed'!DJ515*((K515-AB515)/INDEX('Device Refrigerant Leakage'!$C$2:$C$42,MATCH('Fuel Sub Calcs-Deemed'!X515,'Device Refrigerant Leakage'!$B$2:$B$42,0))))</f>
        <v/>
      </c>
      <c r="DM515" s="56">
        <v>501</v>
      </c>
      <c r="DN515" s="67" t="e">
        <f t="shared" si="602"/>
        <v>#N/A</v>
      </c>
      <c r="DO515" s="45" t="e">
        <f t="shared" si="603"/>
        <v>#N/A</v>
      </c>
      <c r="DP515" s="67" t="e">
        <f t="shared" si="604"/>
        <v>#N/A</v>
      </c>
      <c r="DQ515" s="45" t="e">
        <f t="shared" si="605"/>
        <v>#N/A</v>
      </c>
      <c r="DR515" s="69" t="e">
        <f t="shared" si="606"/>
        <v>#N/A</v>
      </c>
      <c r="DS515" s="34"/>
      <c r="DT515" s="67" t="e">
        <f>((BX515*CJ515)+IF($W515=MAT_AR,(BZ515*CL515),0))*(1+Reference!$E$50+Reference!$E$51)</f>
        <v>#N/A</v>
      </c>
      <c r="DU515" s="67">
        <f>((BY515*CK515)+IF($W515=MAT_AR,(CA515*CM515),0))*(1+Reference!$G$50+Reference!$G$51)</f>
        <v>0</v>
      </c>
      <c r="DV515" s="67" t="e">
        <f t="shared" si="607"/>
        <v>#VALUE!</v>
      </c>
      <c r="DX515" s="56">
        <v>501</v>
      </c>
      <c r="DY515" s="67">
        <f t="shared" si="608"/>
        <v>0</v>
      </c>
      <c r="DZ515" s="45" t="e">
        <f>VLOOKUP($R515,Dropdown!$C$3:$D$4,2,FALSE)</f>
        <v>#N/A</v>
      </c>
      <c r="EA515" s="68">
        <f t="shared" si="609"/>
        <v>0</v>
      </c>
      <c r="EB515" s="68" t="str">
        <f t="shared" si="610"/>
        <v>N/A</v>
      </c>
      <c r="EC515" s="68">
        <f t="shared" si="611"/>
        <v>0</v>
      </c>
      <c r="ED515" s="68" t="str">
        <f t="shared" si="649"/>
        <v>N/A</v>
      </c>
      <c r="EF515" s="56">
        <v>501</v>
      </c>
      <c r="EG515" s="46">
        <f t="shared" si="612"/>
        <v>0</v>
      </c>
      <c r="EH515" s="68" t="e">
        <f t="shared" si="613"/>
        <v>#N/A</v>
      </c>
      <c r="EI515" s="68" t="e">
        <f t="shared" si="614"/>
        <v>#N/A</v>
      </c>
      <c r="EJ515" s="68" t="e">
        <f t="shared" si="615"/>
        <v>#N/A</v>
      </c>
      <c r="EK515" s="68" t="e">
        <f t="shared" si="616"/>
        <v>#N/A</v>
      </c>
      <c r="EL515" s="46">
        <f t="shared" si="617"/>
        <v>0</v>
      </c>
      <c r="EM515" s="46">
        <f t="shared" si="618"/>
        <v>0</v>
      </c>
    </row>
    <row r="516" spans="1:143">
      <c r="A516" s="89"/>
      <c r="B516" s="89"/>
      <c r="C516" s="89"/>
      <c r="D516" s="89"/>
      <c r="E516" s="89"/>
      <c r="F516" s="89"/>
      <c r="G516" s="34"/>
      <c r="H516" s="56">
        <f t="shared" si="619"/>
        <v>502</v>
      </c>
      <c r="I516" s="165"/>
      <c r="J516" s="163"/>
      <c r="K516" s="163"/>
      <c r="L516" s="164"/>
      <c r="M516" s="155"/>
      <c r="N516" s="155"/>
      <c r="O516" s="144"/>
      <c r="P516" s="159" t="str">
        <f>IFERROR(IF(O516&lt;&gt;"User Specified",IF(O516&lt;&gt;"", INDEX('Refrigerant GWPs'!$G$2:$G$154,MATCH(O516,'Refrigerant GWPs'!$A$2:$A$154,0)),""),U516),0)</f>
        <v/>
      </c>
      <c r="Q516" s="155"/>
      <c r="R516" s="155"/>
      <c r="S516" s="144"/>
      <c r="T516" s="159" t="str">
        <f>IF(S516&lt;&gt;"User Specified",IF(AND(S516&lt;&gt;"User Specified",S516&lt;&gt;""), INDEX('Refrigerant GWPs'!$G$2:$G$154,MATCH(S516,'Refrigerant GWPs'!$A$2:$A$154,0)),""),V516)</f>
        <v/>
      </c>
      <c r="U516" s="144"/>
      <c r="V516" s="144"/>
      <c r="W516" s="155"/>
      <c r="X516" s="155"/>
      <c r="Y516" s="144"/>
      <c r="Z516" s="159" t="str">
        <f>IF(AND(Y516&lt;&gt;"User Specified",Y516&lt;&gt;""), INDEX('Refrigerant GWPs'!$G$2:$G$154,MATCH(Y516,'Refrigerant GWPs'!$A$2:$A$154,0)),"")</f>
        <v/>
      </c>
      <c r="AA516" s="155"/>
      <c r="AB516" s="156"/>
      <c r="AC516" s="66"/>
      <c r="AD516" s="66"/>
      <c r="AE516" s="66"/>
      <c r="AF516" s="66"/>
      <c r="AG516" s="66"/>
      <c r="AH516" s="66"/>
      <c r="AI516" s="34"/>
      <c r="AJ516" s="88">
        <f t="shared" si="582"/>
        <v>0</v>
      </c>
      <c r="AK516" s="88">
        <f t="shared" si="583"/>
        <v>0</v>
      </c>
      <c r="AL516" s="88">
        <v>0</v>
      </c>
      <c r="AM516" s="88">
        <v>0</v>
      </c>
      <c r="AN516" s="81" t="str">
        <f t="shared" si="621"/>
        <v/>
      </c>
      <c r="AO516" s="88">
        <f t="shared" si="584"/>
        <v>0</v>
      </c>
      <c r="AP516" s="88">
        <f t="shared" si="585"/>
        <v>0</v>
      </c>
      <c r="AQ516" s="81" t="str">
        <f t="shared" si="586"/>
        <v/>
      </c>
      <c r="AS516" s="41" t="b">
        <f t="shared" si="587"/>
        <v>1</v>
      </c>
      <c r="AT516" s="38">
        <f t="shared" si="588"/>
        <v>0</v>
      </c>
      <c r="AU516" s="60">
        <f t="shared" si="589"/>
        <v>0</v>
      </c>
      <c r="AV516" s="41">
        <f t="shared" si="590"/>
        <v>0</v>
      </c>
      <c r="AW516" s="41" t="b">
        <f t="shared" si="591"/>
        <v>0</v>
      </c>
      <c r="AX516" t="str">
        <f t="shared" si="592"/>
        <v>+00</v>
      </c>
      <c r="AY516" t="str">
        <f t="shared" si="593"/>
        <v>+00</v>
      </c>
      <c r="BA516" s="47" t="b">
        <f t="shared" si="622"/>
        <v>1</v>
      </c>
      <c r="BB516" s="42" t="b">
        <f t="shared" si="623"/>
        <v>1</v>
      </c>
      <c r="BC516" s="42" t="b">
        <f t="shared" si="624"/>
        <v>0</v>
      </c>
      <c r="BD516" s="42" t="b">
        <f t="shared" si="625"/>
        <v>0</v>
      </c>
      <c r="BE516" s="70">
        <f t="shared" si="626"/>
        <v>0</v>
      </c>
      <c r="BF516" s="70">
        <f t="shared" si="627"/>
        <v>0</v>
      </c>
      <c r="BG516" s="34"/>
      <c r="BI516" s="47" t="b">
        <f t="shared" si="628"/>
        <v>1</v>
      </c>
      <c r="BJ516" s="47" t="b">
        <f t="shared" si="629"/>
        <v>1</v>
      </c>
      <c r="BK516" s="42" t="b">
        <f t="shared" si="630"/>
        <v>0</v>
      </c>
      <c r="BL516" s="42" t="b">
        <f t="shared" si="631"/>
        <v>0</v>
      </c>
      <c r="BM516" s="42">
        <f t="shared" si="632"/>
        <v>0</v>
      </c>
      <c r="BN516" s="42">
        <f t="shared" si="633"/>
        <v>0</v>
      </c>
      <c r="BP516" t="e">
        <f t="shared" si="634"/>
        <v>#N/A</v>
      </c>
      <c r="BQ516" t="e">
        <f t="shared" si="635"/>
        <v>#N/A</v>
      </c>
      <c r="BR516" t="e">
        <f t="shared" si="636"/>
        <v>#N/A</v>
      </c>
      <c r="BT516" s="60">
        <f t="shared" si="637"/>
        <v>0</v>
      </c>
      <c r="BU516" s="60">
        <f t="shared" si="638"/>
        <v>0</v>
      </c>
      <c r="BV516" s="60">
        <f t="shared" si="639"/>
        <v>0</v>
      </c>
      <c r="BW516" s="60">
        <f t="shared" si="640"/>
        <v>0</v>
      </c>
      <c r="BX516" s="60">
        <f t="shared" si="641"/>
        <v>0</v>
      </c>
      <c r="BY516" s="60">
        <f t="shared" si="642"/>
        <v>0</v>
      </c>
      <c r="BZ516" s="60">
        <f t="shared" si="643"/>
        <v>0</v>
      </c>
      <c r="CA516" s="60">
        <f t="shared" si="644"/>
        <v>0</v>
      </c>
      <c r="CB516" s="60" t="e">
        <f t="shared" si="594"/>
        <v>#N/A</v>
      </c>
      <c r="CC516" s="60">
        <f t="shared" si="595"/>
        <v>100000</v>
      </c>
      <c r="CD516" s="60" t="e">
        <f t="shared" si="596"/>
        <v>#N/A</v>
      </c>
      <c r="CE516" s="60">
        <f t="shared" si="597"/>
        <v>100000</v>
      </c>
      <c r="CF516" s="83" t="e">
        <f t="shared" si="645"/>
        <v>#N/A</v>
      </c>
      <c r="CG516" s="83">
        <f t="shared" si="646"/>
        <v>0</v>
      </c>
      <c r="CH516" s="83" t="e">
        <f t="shared" si="647"/>
        <v>#N/A</v>
      </c>
      <c r="CI516" s="83">
        <f t="shared" si="648"/>
        <v>0</v>
      </c>
      <c r="CJ516" s="86" t="e">
        <f t="shared" si="598"/>
        <v>#N/A</v>
      </c>
      <c r="CK516" s="82">
        <f t="shared" si="599"/>
        <v>5.3070370403969858E-3</v>
      </c>
      <c r="CL516" s="82" t="e">
        <f t="shared" si="600"/>
        <v>#N/A</v>
      </c>
      <c r="CM516" s="82">
        <f t="shared" si="601"/>
        <v>5.3070370403969858E-3</v>
      </c>
      <c r="CO516" s="149" t="str">
        <f>IF($I516&lt;&gt;"",IF(O516="User Specified",U516,INDEX('Refrigerant GWPs'!$G$2:$G$156,MATCH(O516,'Refrigerant GWPs'!$A$2:$A$156,0))),"")</f>
        <v/>
      </c>
      <c r="CP516" s="138" t="str">
        <f>IF($I516&lt;&gt;"",INDEX('Device Refrigerant Leakage'!$E$2:$E$42,MATCH($M516,'Device Refrigerant Leakage'!$B$2:$B$42,0)),"")</f>
        <v/>
      </c>
      <c r="CQ516" s="138" t="str">
        <f>IF($I516&lt;&gt;"",INDEX('Device Refrigerant Leakage'!$F$2:$F$42,MATCH($M516,'Device Refrigerant Leakage'!$B$2:$B$42,0)),"")</f>
        <v/>
      </c>
      <c r="CR516" s="145" t="str">
        <f>IF($I516&lt;&gt;"",INDEX('Device Refrigerant Leakage'!$G$2:$G$42,MATCH($M516,'Device Refrigerant Leakage'!$B$2:$B$42,0)),"")</f>
        <v/>
      </c>
      <c r="CS516" s="145" t="str">
        <f>IF($I516&lt;&gt;"",INDEX('Device Refrigerant Leakage'!$D$2:$D$42,MATCH($M516,'Device Refrigerant Leakage'!$B$2:$B$42,0))*CP516/2204.62*CO516,"")</f>
        <v/>
      </c>
      <c r="CT516" s="145" t="str">
        <f>IF($I516&lt;&gt;"",J516*(INDEX('Device Refrigerant Leakage'!$D$2:$D$42,MATCH($M516,'Device Refrigerant Leakage'!$B$2:$B$42,0))-(INDEX('Device Refrigerant Leakage'!$D$2:$D$42,MATCH($M516,'Device Refrigerant Leakage'!$B$2:$B$42,0)))*CR516*CP516)*CQ516/2204.62*CO516,"")</f>
        <v/>
      </c>
      <c r="CU516" s="135" t="str">
        <f>IF($I516&lt;&gt;"",J516*IF(W516&lt;&gt;"AR",(CS516*K516)+CT516,(CS516*AB516)+CT516*(AB516/INDEX('Device Refrigerant Leakage'!$C$2:$C$42,MATCH($M516,'Device Refrigerant Leakage'!$B$2:$B$42,0)))),"")</f>
        <v/>
      </c>
      <c r="CW516" s="135" t="str">
        <f>IF($I516&lt;&gt;"",IF(S516="User Specified",V516,INDEX('Refrigerant GWPs'!$G$2:$G$156,MATCH(S516,'Refrigerant GWPs'!$A$2:$A$157,0))),"")</f>
        <v/>
      </c>
      <c r="CX516" s="138" t="str">
        <f>IF($I516&lt;&gt;"",INDEX('Device Refrigerant Leakage'!$E$2:$E$42,MATCH($Q516,'Device Refrigerant Leakage'!$B$2:$B$42,0)),"")</f>
        <v/>
      </c>
      <c r="CY516" s="138" t="str">
        <f>IF($I516&lt;&gt;"",INDEX('Device Refrigerant Leakage'!$F$2:$F$42,MATCH($Q516,'Device Refrigerant Leakage'!$B$2:$B$42,0)),"")</f>
        <v/>
      </c>
      <c r="CZ516" s="145" t="str">
        <f>IF($I516&lt;&gt;"",INDEX('Device Refrigerant Leakage'!$G$2:$G$42,MATCH($Q516,'Device Refrigerant Leakage'!$B$2:$B$42,0)),"")</f>
        <v/>
      </c>
      <c r="DA516" s="145" t="str">
        <f>IF($I516&lt;&gt;"",J516*INDEX('Device Refrigerant Leakage'!$D$2:$D$42,MATCH($Q516,'Device Refrigerant Leakage'!$B$2:$B$42,0))*CX516/2204.62*CW516,"")</f>
        <v/>
      </c>
      <c r="DB516" s="145" t="str">
        <f>IF($I516&lt;&gt;"",J516*(INDEX('Device Refrigerant Leakage'!$D$2:$D$42,MATCH($Q516,'Device Refrigerant Leakage'!$B$2:$B$42,0))-(INDEX('Device Refrigerant Leakage'!$D$2:$D$42,MATCH($Q516,'Device Refrigerant Leakage'!$B$2:$B$42,0)))*CZ516*CX516)*CY516/2204.62*CW516,"")</f>
        <v/>
      </c>
      <c r="DC516" s="135" t="str">
        <f t="shared" si="620"/>
        <v/>
      </c>
      <c r="DE516" s="146" t="str">
        <f>IF(W516&lt;&gt;"AR","",IF(Y516="User Specified", AA516, INDEX('Refrigerant GWPs'!$G$2:$G$154,MATCH(Y516,'Refrigerant GWPs'!$A$2:$A$154,0))))</f>
        <v/>
      </c>
      <c r="DF516" s="146" t="str">
        <f>IF(W516&lt;&gt;"AR","",INDEX('Device Refrigerant Leakage'!$E$2:$E$42,MATCH(X516,'Device Refrigerant Leakage'!$B$2:$B$42,0)))</f>
        <v/>
      </c>
      <c r="DG516" s="146" t="str">
        <f>IF(W516&lt;&gt;"AR","",INDEX('Device Refrigerant Leakage'!$F$2:$F$42,MATCH(X516,'Device Refrigerant Leakage'!$B$2:$B$42,0)))</f>
        <v/>
      </c>
      <c r="DH516" s="146" t="str">
        <f>IF(W516&lt;&gt;"AR","",INDEX('Device Refrigerant Leakage'!$G$2:$G$42,MATCH(X516,'Device Refrigerant Leakage'!$B$2:$B$42,0)))</f>
        <v/>
      </c>
      <c r="DI516" s="146" t="str">
        <f>IF(W516&lt;&gt;"AR","",J516*INDEX('Device Refrigerant Leakage'!$D$2:$D$42,MATCH(X516,'Device Refrigerant Leakage'!$B$2:$B$42,0))*DF516/2204.62*DE516)</f>
        <v/>
      </c>
      <c r="DJ516" s="146" t="str">
        <f>IF(W516&lt;&gt;"AR","",J516*(INDEX('Device Refrigerant Leakage'!$D$2:$D$42,MATCH(X516,'Device Refrigerant Leakage'!$B$2:$B$42,0))-(INDEX('Device Refrigerant Leakage'!$D$2:$D$42,MATCH(X516,'Device Refrigerant Leakage'!$B$2:$B$42,0)))*DH516*DF516)*DG516/2204.62*DE516)</f>
        <v/>
      </c>
      <c r="DK516" s="146" t="str">
        <f>IF(W516&lt;&gt;"AR","",DI516*(K516-AB516)+'Fuel Sub Calcs-Deemed'!DJ516*((K516-AB516)/INDEX('Device Refrigerant Leakage'!$C$2:$C$42,MATCH('Fuel Sub Calcs-Deemed'!X516,'Device Refrigerant Leakage'!$B$2:$B$42,0))))</f>
        <v/>
      </c>
      <c r="DM516" s="56">
        <v>502</v>
      </c>
      <c r="DN516" s="67" t="e">
        <f t="shared" si="602"/>
        <v>#N/A</v>
      </c>
      <c r="DO516" s="45" t="e">
        <f t="shared" si="603"/>
        <v>#N/A</v>
      </c>
      <c r="DP516" s="67" t="e">
        <f t="shared" si="604"/>
        <v>#N/A</v>
      </c>
      <c r="DQ516" s="45" t="e">
        <f t="shared" si="605"/>
        <v>#N/A</v>
      </c>
      <c r="DR516" s="69" t="e">
        <f t="shared" si="606"/>
        <v>#N/A</v>
      </c>
      <c r="DS516" s="34"/>
      <c r="DT516" s="67" t="e">
        <f>((BX516*CJ516)+IF($W516=MAT_AR,(BZ516*CL516),0))*(1+Reference!$E$50+Reference!$E$51)</f>
        <v>#N/A</v>
      </c>
      <c r="DU516" s="67">
        <f>((BY516*CK516)+IF($W516=MAT_AR,(CA516*CM516),0))*(1+Reference!$G$50+Reference!$G$51)</f>
        <v>0</v>
      </c>
      <c r="DV516" s="67" t="e">
        <f t="shared" si="607"/>
        <v>#VALUE!</v>
      </c>
      <c r="DX516" s="56">
        <v>502</v>
      </c>
      <c r="DY516" s="67">
        <f t="shared" si="608"/>
        <v>0</v>
      </c>
      <c r="DZ516" s="45" t="e">
        <f>VLOOKUP($R516,Dropdown!$C$3:$D$4,2,FALSE)</f>
        <v>#N/A</v>
      </c>
      <c r="EA516" s="68">
        <f t="shared" si="609"/>
        <v>0</v>
      </c>
      <c r="EB516" s="68" t="str">
        <f t="shared" si="610"/>
        <v>N/A</v>
      </c>
      <c r="EC516" s="68">
        <f t="shared" si="611"/>
        <v>0</v>
      </c>
      <c r="ED516" s="68" t="str">
        <f t="shared" si="649"/>
        <v>N/A</v>
      </c>
      <c r="EF516" s="56">
        <v>502</v>
      </c>
      <c r="EG516" s="46">
        <f t="shared" si="612"/>
        <v>0</v>
      </c>
      <c r="EH516" s="68" t="e">
        <f t="shared" si="613"/>
        <v>#N/A</v>
      </c>
      <c r="EI516" s="68" t="e">
        <f t="shared" si="614"/>
        <v>#N/A</v>
      </c>
      <c r="EJ516" s="68" t="e">
        <f t="shared" si="615"/>
        <v>#N/A</v>
      </c>
      <c r="EK516" s="68" t="e">
        <f t="shared" si="616"/>
        <v>#N/A</v>
      </c>
      <c r="EL516" s="46">
        <f t="shared" si="617"/>
        <v>0</v>
      </c>
      <c r="EM516" s="46">
        <f t="shared" si="618"/>
        <v>0</v>
      </c>
    </row>
    <row r="517" spans="1:143">
      <c r="A517" s="89"/>
      <c r="B517" s="89"/>
      <c r="C517" s="89"/>
      <c r="D517" s="89"/>
      <c r="E517" s="89"/>
      <c r="F517" s="89"/>
      <c r="G517" s="34"/>
      <c r="H517" s="56">
        <f t="shared" si="619"/>
        <v>503</v>
      </c>
      <c r="I517" s="165"/>
      <c r="J517" s="163"/>
      <c r="K517" s="163"/>
      <c r="L517" s="164"/>
      <c r="M517" s="155"/>
      <c r="N517" s="155"/>
      <c r="O517" s="144"/>
      <c r="P517" s="159" t="str">
        <f>IFERROR(IF(O517&lt;&gt;"User Specified",IF(O517&lt;&gt;"", INDEX('Refrigerant GWPs'!$G$2:$G$154,MATCH(O517,'Refrigerant GWPs'!$A$2:$A$154,0)),""),U517),0)</f>
        <v/>
      </c>
      <c r="Q517" s="155"/>
      <c r="R517" s="155"/>
      <c r="S517" s="144"/>
      <c r="T517" s="159" t="str">
        <f>IF(S517&lt;&gt;"User Specified",IF(AND(S517&lt;&gt;"User Specified",S517&lt;&gt;""), INDEX('Refrigerant GWPs'!$G$2:$G$154,MATCH(S517,'Refrigerant GWPs'!$A$2:$A$154,0)),""),V517)</f>
        <v/>
      </c>
      <c r="U517" s="144"/>
      <c r="V517" s="144"/>
      <c r="W517" s="155"/>
      <c r="X517" s="155"/>
      <c r="Y517" s="144"/>
      <c r="Z517" s="159" t="str">
        <f>IF(AND(Y517&lt;&gt;"User Specified",Y517&lt;&gt;""), INDEX('Refrigerant GWPs'!$G$2:$G$154,MATCH(Y517,'Refrigerant GWPs'!$A$2:$A$154,0)),"")</f>
        <v/>
      </c>
      <c r="AA517" s="155"/>
      <c r="AB517" s="156"/>
      <c r="AC517" s="66"/>
      <c r="AD517" s="66"/>
      <c r="AE517" s="66"/>
      <c r="AF517" s="66"/>
      <c r="AG517" s="66"/>
      <c r="AH517" s="66"/>
      <c r="AI517" s="34"/>
      <c r="AJ517" s="88">
        <f t="shared" si="582"/>
        <v>0</v>
      </c>
      <c r="AK517" s="88">
        <f t="shared" si="583"/>
        <v>0</v>
      </c>
      <c r="AL517" s="88">
        <v>0</v>
      </c>
      <c r="AM517" s="88">
        <v>0</v>
      </c>
      <c r="AN517" s="81" t="str">
        <f t="shared" si="621"/>
        <v/>
      </c>
      <c r="AO517" s="88">
        <f t="shared" si="584"/>
        <v>0</v>
      </c>
      <c r="AP517" s="88">
        <f t="shared" si="585"/>
        <v>0</v>
      </c>
      <c r="AQ517" s="81" t="str">
        <f t="shared" si="586"/>
        <v/>
      </c>
      <c r="AS517" s="41" t="b">
        <f t="shared" si="587"/>
        <v>1</v>
      </c>
      <c r="AT517" s="38">
        <f t="shared" si="588"/>
        <v>0</v>
      </c>
      <c r="AU517" s="60">
        <f t="shared" si="589"/>
        <v>0</v>
      </c>
      <c r="AV517" s="41">
        <f t="shared" si="590"/>
        <v>0</v>
      </c>
      <c r="AW517" s="41" t="b">
        <f t="shared" si="591"/>
        <v>0</v>
      </c>
      <c r="AX517" t="str">
        <f t="shared" si="592"/>
        <v>+00</v>
      </c>
      <c r="AY517" t="str">
        <f t="shared" si="593"/>
        <v>+00</v>
      </c>
      <c r="BA517" s="47" t="b">
        <f t="shared" si="622"/>
        <v>1</v>
      </c>
      <c r="BB517" s="42" t="b">
        <f t="shared" si="623"/>
        <v>1</v>
      </c>
      <c r="BC517" s="42" t="b">
        <f t="shared" si="624"/>
        <v>0</v>
      </c>
      <c r="BD517" s="42" t="b">
        <f t="shared" si="625"/>
        <v>0</v>
      </c>
      <c r="BE517" s="70">
        <f t="shared" si="626"/>
        <v>0</v>
      </c>
      <c r="BF517" s="70">
        <f t="shared" si="627"/>
        <v>0</v>
      </c>
      <c r="BG517" s="34"/>
      <c r="BI517" s="47" t="b">
        <f t="shared" si="628"/>
        <v>1</v>
      </c>
      <c r="BJ517" s="47" t="b">
        <f t="shared" si="629"/>
        <v>1</v>
      </c>
      <c r="BK517" s="42" t="b">
        <f t="shared" si="630"/>
        <v>0</v>
      </c>
      <c r="BL517" s="42" t="b">
        <f t="shared" si="631"/>
        <v>0</v>
      </c>
      <c r="BM517" s="42">
        <f t="shared" si="632"/>
        <v>0</v>
      </c>
      <c r="BN517" s="42">
        <f t="shared" si="633"/>
        <v>0</v>
      </c>
      <c r="BP517" t="e">
        <f t="shared" si="634"/>
        <v>#N/A</v>
      </c>
      <c r="BQ517" t="e">
        <f t="shared" si="635"/>
        <v>#N/A</v>
      </c>
      <c r="BR517" t="e">
        <f t="shared" si="636"/>
        <v>#N/A</v>
      </c>
      <c r="BT517" s="60">
        <f t="shared" si="637"/>
        <v>0</v>
      </c>
      <c r="BU517" s="60">
        <f t="shared" si="638"/>
        <v>0</v>
      </c>
      <c r="BV517" s="60">
        <f t="shared" si="639"/>
        <v>0</v>
      </c>
      <c r="BW517" s="60">
        <f t="shared" si="640"/>
        <v>0</v>
      </c>
      <c r="BX517" s="60">
        <f t="shared" si="641"/>
        <v>0</v>
      </c>
      <c r="BY517" s="60">
        <f t="shared" si="642"/>
        <v>0</v>
      </c>
      <c r="BZ517" s="60">
        <f t="shared" si="643"/>
        <v>0</v>
      </c>
      <c r="CA517" s="60">
        <f t="shared" si="644"/>
        <v>0</v>
      </c>
      <c r="CB517" s="60" t="e">
        <f t="shared" si="594"/>
        <v>#N/A</v>
      </c>
      <c r="CC517" s="60">
        <f t="shared" si="595"/>
        <v>100000</v>
      </c>
      <c r="CD517" s="60" t="e">
        <f t="shared" si="596"/>
        <v>#N/A</v>
      </c>
      <c r="CE517" s="60">
        <f t="shared" si="597"/>
        <v>100000</v>
      </c>
      <c r="CF517" s="83" t="e">
        <f t="shared" si="645"/>
        <v>#N/A</v>
      </c>
      <c r="CG517" s="83">
        <f t="shared" si="646"/>
        <v>0</v>
      </c>
      <c r="CH517" s="83" t="e">
        <f t="shared" si="647"/>
        <v>#N/A</v>
      </c>
      <c r="CI517" s="83">
        <f t="shared" si="648"/>
        <v>0</v>
      </c>
      <c r="CJ517" s="86" t="e">
        <f t="shared" si="598"/>
        <v>#N/A</v>
      </c>
      <c r="CK517" s="82">
        <f t="shared" si="599"/>
        <v>5.3070370403969858E-3</v>
      </c>
      <c r="CL517" s="82" t="e">
        <f t="shared" si="600"/>
        <v>#N/A</v>
      </c>
      <c r="CM517" s="82">
        <f t="shared" si="601"/>
        <v>5.3070370403969858E-3</v>
      </c>
      <c r="CO517" s="149" t="str">
        <f>IF($I517&lt;&gt;"",IF(O517="User Specified",U517,INDEX('Refrigerant GWPs'!$G$2:$G$156,MATCH(O517,'Refrigerant GWPs'!$A$2:$A$156,0))),"")</f>
        <v/>
      </c>
      <c r="CP517" s="138" t="str">
        <f>IF($I517&lt;&gt;"",INDEX('Device Refrigerant Leakage'!$E$2:$E$42,MATCH($M517,'Device Refrigerant Leakage'!$B$2:$B$42,0)),"")</f>
        <v/>
      </c>
      <c r="CQ517" s="138" t="str">
        <f>IF($I517&lt;&gt;"",INDEX('Device Refrigerant Leakage'!$F$2:$F$42,MATCH($M517,'Device Refrigerant Leakage'!$B$2:$B$42,0)),"")</f>
        <v/>
      </c>
      <c r="CR517" s="145" t="str">
        <f>IF($I517&lt;&gt;"",INDEX('Device Refrigerant Leakage'!$G$2:$G$42,MATCH($M517,'Device Refrigerant Leakage'!$B$2:$B$42,0)),"")</f>
        <v/>
      </c>
      <c r="CS517" s="145" t="str">
        <f>IF($I517&lt;&gt;"",INDEX('Device Refrigerant Leakage'!$D$2:$D$42,MATCH($M517,'Device Refrigerant Leakage'!$B$2:$B$42,0))*CP517/2204.62*CO517,"")</f>
        <v/>
      </c>
      <c r="CT517" s="145" t="str">
        <f>IF($I517&lt;&gt;"",J517*(INDEX('Device Refrigerant Leakage'!$D$2:$D$42,MATCH($M517,'Device Refrigerant Leakage'!$B$2:$B$42,0))-(INDEX('Device Refrigerant Leakage'!$D$2:$D$42,MATCH($M517,'Device Refrigerant Leakage'!$B$2:$B$42,0)))*CR517*CP517)*CQ517/2204.62*CO517,"")</f>
        <v/>
      </c>
      <c r="CU517" s="135" t="str">
        <f>IF($I517&lt;&gt;"",J517*IF(W517&lt;&gt;"AR",(CS517*K517)+CT517,(CS517*AB517)+CT517*(AB517/INDEX('Device Refrigerant Leakage'!$C$2:$C$42,MATCH($M517,'Device Refrigerant Leakage'!$B$2:$B$42,0)))),"")</f>
        <v/>
      </c>
      <c r="CW517" s="135" t="str">
        <f>IF($I517&lt;&gt;"",IF(S517="User Specified",V517,INDEX('Refrigerant GWPs'!$G$2:$G$156,MATCH(S517,'Refrigerant GWPs'!$A$2:$A$157,0))),"")</f>
        <v/>
      </c>
      <c r="CX517" s="138" t="str">
        <f>IF($I517&lt;&gt;"",INDEX('Device Refrigerant Leakage'!$E$2:$E$42,MATCH($Q517,'Device Refrigerant Leakage'!$B$2:$B$42,0)),"")</f>
        <v/>
      </c>
      <c r="CY517" s="138" t="str">
        <f>IF($I517&lt;&gt;"",INDEX('Device Refrigerant Leakage'!$F$2:$F$42,MATCH($Q517,'Device Refrigerant Leakage'!$B$2:$B$42,0)),"")</f>
        <v/>
      </c>
      <c r="CZ517" s="145" t="str">
        <f>IF($I517&lt;&gt;"",INDEX('Device Refrigerant Leakage'!$G$2:$G$42,MATCH($Q517,'Device Refrigerant Leakage'!$B$2:$B$42,0)),"")</f>
        <v/>
      </c>
      <c r="DA517" s="145" t="str">
        <f>IF($I517&lt;&gt;"",J517*INDEX('Device Refrigerant Leakage'!$D$2:$D$42,MATCH($Q517,'Device Refrigerant Leakage'!$B$2:$B$42,0))*CX517/2204.62*CW517,"")</f>
        <v/>
      </c>
      <c r="DB517" s="145" t="str">
        <f>IF($I517&lt;&gt;"",J517*(INDEX('Device Refrigerant Leakage'!$D$2:$D$42,MATCH($Q517,'Device Refrigerant Leakage'!$B$2:$B$42,0))-(INDEX('Device Refrigerant Leakage'!$D$2:$D$42,MATCH($Q517,'Device Refrigerant Leakage'!$B$2:$B$42,0)))*CZ517*CX517)*CY517/2204.62*CW517,"")</f>
        <v/>
      </c>
      <c r="DC517" s="135" t="str">
        <f t="shared" si="620"/>
        <v/>
      </c>
      <c r="DE517" s="146" t="str">
        <f>IF(W517&lt;&gt;"AR","",IF(Y517="User Specified", AA517, INDEX('Refrigerant GWPs'!$G$2:$G$154,MATCH(Y517,'Refrigerant GWPs'!$A$2:$A$154,0))))</f>
        <v/>
      </c>
      <c r="DF517" s="146" t="str">
        <f>IF(W517&lt;&gt;"AR","",INDEX('Device Refrigerant Leakage'!$E$2:$E$42,MATCH(X517,'Device Refrigerant Leakage'!$B$2:$B$42,0)))</f>
        <v/>
      </c>
      <c r="DG517" s="146" t="str">
        <f>IF(W517&lt;&gt;"AR","",INDEX('Device Refrigerant Leakage'!$F$2:$F$42,MATCH(X517,'Device Refrigerant Leakage'!$B$2:$B$42,0)))</f>
        <v/>
      </c>
      <c r="DH517" s="146" t="str">
        <f>IF(W517&lt;&gt;"AR","",INDEX('Device Refrigerant Leakage'!$G$2:$G$42,MATCH(X517,'Device Refrigerant Leakage'!$B$2:$B$42,0)))</f>
        <v/>
      </c>
      <c r="DI517" s="146" t="str">
        <f>IF(W517&lt;&gt;"AR","",J517*INDEX('Device Refrigerant Leakage'!$D$2:$D$42,MATCH(X517,'Device Refrigerant Leakage'!$B$2:$B$42,0))*DF517/2204.62*DE517)</f>
        <v/>
      </c>
      <c r="DJ517" s="146" t="str">
        <f>IF(W517&lt;&gt;"AR","",J517*(INDEX('Device Refrigerant Leakage'!$D$2:$D$42,MATCH(X517,'Device Refrigerant Leakage'!$B$2:$B$42,0))-(INDEX('Device Refrigerant Leakage'!$D$2:$D$42,MATCH(X517,'Device Refrigerant Leakage'!$B$2:$B$42,0)))*DH517*DF517)*DG517/2204.62*DE517)</f>
        <v/>
      </c>
      <c r="DK517" s="146" t="str">
        <f>IF(W517&lt;&gt;"AR","",DI517*(K517-AB517)+'Fuel Sub Calcs-Deemed'!DJ517*((K517-AB517)/INDEX('Device Refrigerant Leakage'!$C$2:$C$42,MATCH('Fuel Sub Calcs-Deemed'!X517,'Device Refrigerant Leakage'!$B$2:$B$42,0))))</f>
        <v/>
      </c>
      <c r="DM517" s="56">
        <v>503</v>
      </c>
      <c r="DN517" s="67" t="e">
        <f t="shared" si="602"/>
        <v>#N/A</v>
      </c>
      <c r="DO517" s="45" t="e">
        <f t="shared" si="603"/>
        <v>#N/A</v>
      </c>
      <c r="DP517" s="67" t="e">
        <f t="shared" si="604"/>
        <v>#N/A</v>
      </c>
      <c r="DQ517" s="45" t="e">
        <f t="shared" si="605"/>
        <v>#N/A</v>
      </c>
      <c r="DR517" s="69" t="e">
        <f t="shared" si="606"/>
        <v>#N/A</v>
      </c>
      <c r="DS517" s="34"/>
      <c r="DT517" s="67" t="e">
        <f>((BX517*CJ517)+IF($W517=MAT_AR,(BZ517*CL517),0))*(1+Reference!$E$50+Reference!$E$51)</f>
        <v>#N/A</v>
      </c>
      <c r="DU517" s="67">
        <f>((BY517*CK517)+IF($W517=MAT_AR,(CA517*CM517),0))*(1+Reference!$G$50+Reference!$G$51)</f>
        <v>0</v>
      </c>
      <c r="DV517" s="67" t="e">
        <f t="shared" si="607"/>
        <v>#VALUE!</v>
      </c>
      <c r="DX517" s="56">
        <v>503</v>
      </c>
      <c r="DY517" s="67">
        <f t="shared" si="608"/>
        <v>0</v>
      </c>
      <c r="DZ517" s="45" t="e">
        <f>VLOOKUP($R517,Dropdown!$C$3:$D$4,2,FALSE)</f>
        <v>#N/A</v>
      </c>
      <c r="EA517" s="68">
        <f t="shared" si="609"/>
        <v>0</v>
      </c>
      <c r="EB517" s="68" t="str">
        <f t="shared" si="610"/>
        <v>N/A</v>
      </c>
      <c r="EC517" s="68">
        <f t="shared" si="611"/>
        <v>0</v>
      </c>
      <c r="ED517" s="68" t="str">
        <f t="shared" si="649"/>
        <v>N/A</v>
      </c>
      <c r="EF517" s="56">
        <v>503</v>
      </c>
      <c r="EG517" s="46">
        <f t="shared" si="612"/>
        <v>0</v>
      </c>
      <c r="EH517" s="68" t="e">
        <f t="shared" si="613"/>
        <v>#N/A</v>
      </c>
      <c r="EI517" s="68" t="e">
        <f t="shared" si="614"/>
        <v>#N/A</v>
      </c>
      <c r="EJ517" s="68" t="e">
        <f t="shared" si="615"/>
        <v>#N/A</v>
      </c>
      <c r="EK517" s="68" t="e">
        <f t="shared" si="616"/>
        <v>#N/A</v>
      </c>
      <c r="EL517" s="46">
        <f t="shared" si="617"/>
        <v>0</v>
      </c>
      <c r="EM517" s="46">
        <f t="shared" si="618"/>
        <v>0</v>
      </c>
    </row>
    <row r="518" spans="1:143">
      <c r="A518" s="89"/>
      <c r="B518" s="89"/>
      <c r="C518" s="89"/>
      <c r="D518" s="89"/>
      <c r="E518" s="89"/>
      <c r="F518" s="89"/>
      <c r="G518" s="34"/>
      <c r="H518" s="56">
        <f t="shared" si="619"/>
        <v>504</v>
      </c>
      <c r="I518" s="165"/>
      <c r="J518" s="163"/>
      <c r="K518" s="163"/>
      <c r="L518" s="164"/>
      <c r="M518" s="155"/>
      <c r="N518" s="155"/>
      <c r="O518" s="144"/>
      <c r="P518" s="159" t="str">
        <f>IFERROR(IF(O518&lt;&gt;"User Specified",IF(O518&lt;&gt;"", INDEX('Refrigerant GWPs'!$G$2:$G$154,MATCH(O518,'Refrigerant GWPs'!$A$2:$A$154,0)),""),U518),0)</f>
        <v/>
      </c>
      <c r="Q518" s="155"/>
      <c r="R518" s="155"/>
      <c r="S518" s="144"/>
      <c r="T518" s="159" t="str">
        <f>IF(S518&lt;&gt;"User Specified",IF(AND(S518&lt;&gt;"User Specified",S518&lt;&gt;""), INDEX('Refrigerant GWPs'!$G$2:$G$154,MATCH(S518,'Refrigerant GWPs'!$A$2:$A$154,0)),""),V518)</f>
        <v/>
      </c>
      <c r="U518" s="144"/>
      <c r="V518" s="144"/>
      <c r="W518" s="155"/>
      <c r="X518" s="155"/>
      <c r="Y518" s="144"/>
      <c r="Z518" s="159" t="str">
        <f>IF(AND(Y518&lt;&gt;"User Specified",Y518&lt;&gt;""), INDEX('Refrigerant GWPs'!$G$2:$G$154,MATCH(Y518,'Refrigerant GWPs'!$A$2:$A$154,0)),"")</f>
        <v/>
      </c>
      <c r="AA518" s="155"/>
      <c r="AB518" s="156"/>
      <c r="AC518" s="66"/>
      <c r="AD518" s="66"/>
      <c r="AE518" s="66"/>
      <c r="AF518" s="66"/>
      <c r="AG518" s="66"/>
      <c r="AH518" s="66"/>
      <c r="AI518" s="34"/>
      <c r="AJ518" s="88">
        <f t="shared" si="582"/>
        <v>0</v>
      </c>
      <c r="AK518" s="88">
        <f t="shared" si="583"/>
        <v>0</v>
      </c>
      <c r="AL518" s="88">
        <v>0</v>
      </c>
      <c r="AM518" s="88">
        <v>0</v>
      </c>
      <c r="AN518" s="81" t="str">
        <f t="shared" si="621"/>
        <v/>
      </c>
      <c r="AO518" s="88">
        <f t="shared" si="584"/>
        <v>0</v>
      </c>
      <c r="AP518" s="88">
        <f t="shared" si="585"/>
        <v>0</v>
      </c>
      <c r="AQ518" s="81" t="str">
        <f t="shared" si="586"/>
        <v/>
      </c>
      <c r="AS518" s="41" t="b">
        <f t="shared" si="587"/>
        <v>1</v>
      </c>
      <c r="AT518" s="38">
        <f t="shared" si="588"/>
        <v>0</v>
      </c>
      <c r="AU518" s="60">
        <f t="shared" si="589"/>
        <v>0</v>
      </c>
      <c r="AV518" s="41">
        <f t="shared" si="590"/>
        <v>0</v>
      </c>
      <c r="AW518" s="41" t="b">
        <f t="shared" si="591"/>
        <v>0</v>
      </c>
      <c r="AX518" t="str">
        <f t="shared" si="592"/>
        <v>+00</v>
      </c>
      <c r="AY518" t="str">
        <f t="shared" si="593"/>
        <v>+00</v>
      </c>
      <c r="BA518" s="47" t="b">
        <f t="shared" si="622"/>
        <v>1</v>
      </c>
      <c r="BB518" s="42" t="b">
        <f t="shared" si="623"/>
        <v>1</v>
      </c>
      <c r="BC518" s="42" t="b">
        <f t="shared" si="624"/>
        <v>0</v>
      </c>
      <c r="BD518" s="42" t="b">
        <f t="shared" si="625"/>
        <v>0</v>
      </c>
      <c r="BE518" s="70">
        <f t="shared" si="626"/>
        <v>0</v>
      </c>
      <c r="BF518" s="70">
        <f t="shared" si="627"/>
        <v>0</v>
      </c>
      <c r="BG518" s="34"/>
      <c r="BI518" s="47" t="b">
        <f t="shared" si="628"/>
        <v>1</v>
      </c>
      <c r="BJ518" s="47" t="b">
        <f t="shared" si="629"/>
        <v>1</v>
      </c>
      <c r="BK518" s="42" t="b">
        <f t="shared" si="630"/>
        <v>0</v>
      </c>
      <c r="BL518" s="42" t="b">
        <f t="shared" si="631"/>
        <v>0</v>
      </c>
      <c r="BM518" s="42">
        <f t="shared" si="632"/>
        <v>0</v>
      </c>
      <c r="BN518" s="42">
        <f t="shared" si="633"/>
        <v>0</v>
      </c>
      <c r="BP518" t="e">
        <f t="shared" si="634"/>
        <v>#N/A</v>
      </c>
      <c r="BQ518" t="e">
        <f t="shared" si="635"/>
        <v>#N/A</v>
      </c>
      <c r="BR518" t="e">
        <f t="shared" si="636"/>
        <v>#N/A</v>
      </c>
      <c r="BT518" s="60">
        <f t="shared" si="637"/>
        <v>0</v>
      </c>
      <c r="BU518" s="60">
        <f t="shared" si="638"/>
        <v>0</v>
      </c>
      <c r="BV518" s="60">
        <f t="shared" si="639"/>
        <v>0</v>
      </c>
      <c r="BW518" s="60">
        <f t="shared" si="640"/>
        <v>0</v>
      </c>
      <c r="BX518" s="60">
        <f t="shared" si="641"/>
        <v>0</v>
      </c>
      <c r="BY518" s="60">
        <f t="shared" si="642"/>
        <v>0</v>
      </c>
      <c r="BZ518" s="60">
        <f t="shared" si="643"/>
        <v>0</v>
      </c>
      <c r="CA518" s="60">
        <f t="shared" si="644"/>
        <v>0</v>
      </c>
      <c r="CB518" s="60" t="e">
        <f t="shared" si="594"/>
        <v>#N/A</v>
      </c>
      <c r="CC518" s="60">
        <f t="shared" si="595"/>
        <v>100000</v>
      </c>
      <c r="CD518" s="60" t="e">
        <f t="shared" si="596"/>
        <v>#N/A</v>
      </c>
      <c r="CE518" s="60">
        <f t="shared" si="597"/>
        <v>100000</v>
      </c>
      <c r="CF518" s="83" t="e">
        <f t="shared" si="645"/>
        <v>#N/A</v>
      </c>
      <c r="CG518" s="83">
        <f t="shared" si="646"/>
        <v>0</v>
      </c>
      <c r="CH518" s="83" t="e">
        <f t="shared" si="647"/>
        <v>#N/A</v>
      </c>
      <c r="CI518" s="83">
        <f t="shared" si="648"/>
        <v>0</v>
      </c>
      <c r="CJ518" s="86" t="e">
        <f t="shared" si="598"/>
        <v>#N/A</v>
      </c>
      <c r="CK518" s="82">
        <f t="shared" si="599"/>
        <v>5.3070370403969858E-3</v>
      </c>
      <c r="CL518" s="82" t="e">
        <f t="shared" si="600"/>
        <v>#N/A</v>
      </c>
      <c r="CM518" s="82">
        <f t="shared" si="601"/>
        <v>5.3070370403969858E-3</v>
      </c>
      <c r="CO518" s="149" t="str">
        <f>IF($I518&lt;&gt;"",IF(O518="User Specified",U518,INDEX('Refrigerant GWPs'!$G$2:$G$156,MATCH(O518,'Refrigerant GWPs'!$A$2:$A$156,0))),"")</f>
        <v/>
      </c>
      <c r="CP518" s="138" t="str">
        <f>IF($I518&lt;&gt;"",INDEX('Device Refrigerant Leakage'!$E$2:$E$42,MATCH($M518,'Device Refrigerant Leakage'!$B$2:$B$42,0)),"")</f>
        <v/>
      </c>
      <c r="CQ518" s="138" t="str">
        <f>IF($I518&lt;&gt;"",INDEX('Device Refrigerant Leakage'!$F$2:$F$42,MATCH($M518,'Device Refrigerant Leakage'!$B$2:$B$42,0)),"")</f>
        <v/>
      </c>
      <c r="CR518" s="145" t="str">
        <f>IF($I518&lt;&gt;"",INDEX('Device Refrigerant Leakage'!$G$2:$G$42,MATCH($M518,'Device Refrigerant Leakage'!$B$2:$B$42,0)),"")</f>
        <v/>
      </c>
      <c r="CS518" s="145" t="str">
        <f>IF($I518&lt;&gt;"",INDEX('Device Refrigerant Leakage'!$D$2:$D$42,MATCH($M518,'Device Refrigerant Leakage'!$B$2:$B$42,0))*CP518/2204.62*CO518,"")</f>
        <v/>
      </c>
      <c r="CT518" s="145" t="str">
        <f>IF($I518&lt;&gt;"",J518*(INDEX('Device Refrigerant Leakage'!$D$2:$D$42,MATCH($M518,'Device Refrigerant Leakage'!$B$2:$B$42,0))-(INDEX('Device Refrigerant Leakage'!$D$2:$D$42,MATCH($M518,'Device Refrigerant Leakage'!$B$2:$B$42,0)))*CR518*CP518)*CQ518/2204.62*CO518,"")</f>
        <v/>
      </c>
      <c r="CU518" s="135" t="str">
        <f>IF($I518&lt;&gt;"",J518*IF(W518&lt;&gt;"AR",(CS518*K518)+CT518,(CS518*AB518)+CT518*(AB518/INDEX('Device Refrigerant Leakage'!$C$2:$C$42,MATCH($M518,'Device Refrigerant Leakage'!$B$2:$B$42,0)))),"")</f>
        <v/>
      </c>
      <c r="CW518" s="135" t="str">
        <f>IF($I518&lt;&gt;"",IF(S518="User Specified",V518,INDEX('Refrigerant GWPs'!$G$2:$G$156,MATCH(S518,'Refrigerant GWPs'!$A$2:$A$157,0))),"")</f>
        <v/>
      </c>
      <c r="CX518" s="138" t="str">
        <f>IF($I518&lt;&gt;"",INDEX('Device Refrigerant Leakage'!$E$2:$E$42,MATCH($Q518,'Device Refrigerant Leakage'!$B$2:$B$42,0)),"")</f>
        <v/>
      </c>
      <c r="CY518" s="138" t="str">
        <f>IF($I518&lt;&gt;"",INDEX('Device Refrigerant Leakage'!$F$2:$F$42,MATCH($Q518,'Device Refrigerant Leakage'!$B$2:$B$42,0)),"")</f>
        <v/>
      </c>
      <c r="CZ518" s="145" t="str">
        <f>IF($I518&lt;&gt;"",INDEX('Device Refrigerant Leakage'!$G$2:$G$42,MATCH($Q518,'Device Refrigerant Leakage'!$B$2:$B$42,0)),"")</f>
        <v/>
      </c>
      <c r="DA518" s="145" t="str">
        <f>IF($I518&lt;&gt;"",J518*INDEX('Device Refrigerant Leakage'!$D$2:$D$42,MATCH($Q518,'Device Refrigerant Leakage'!$B$2:$B$42,0))*CX518/2204.62*CW518,"")</f>
        <v/>
      </c>
      <c r="DB518" s="145" t="str">
        <f>IF($I518&lt;&gt;"",J518*(INDEX('Device Refrigerant Leakage'!$D$2:$D$42,MATCH($Q518,'Device Refrigerant Leakage'!$B$2:$B$42,0))-(INDEX('Device Refrigerant Leakage'!$D$2:$D$42,MATCH($Q518,'Device Refrigerant Leakage'!$B$2:$B$42,0)))*CZ518*CX518)*CY518/2204.62*CW518,"")</f>
        <v/>
      </c>
      <c r="DC518" s="135" t="str">
        <f t="shared" si="620"/>
        <v/>
      </c>
      <c r="DE518" s="146" t="str">
        <f>IF(W518&lt;&gt;"AR","",IF(Y518="User Specified", AA518, INDEX('Refrigerant GWPs'!$G$2:$G$154,MATCH(Y518,'Refrigerant GWPs'!$A$2:$A$154,0))))</f>
        <v/>
      </c>
      <c r="DF518" s="146" t="str">
        <f>IF(W518&lt;&gt;"AR","",INDEX('Device Refrigerant Leakage'!$E$2:$E$42,MATCH(X518,'Device Refrigerant Leakage'!$B$2:$B$42,0)))</f>
        <v/>
      </c>
      <c r="DG518" s="146" t="str">
        <f>IF(W518&lt;&gt;"AR","",INDEX('Device Refrigerant Leakage'!$F$2:$F$42,MATCH(X518,'Device Refrigerant Leakage'!$B$2:$B$42,0)))</f>
        <v/>
      </c>
      <c r="DH518" s="146" t="str">
        <f>IF(W518&lt;&gt;"AR","",INDEX('Device Refrigerant Leakage'!$G$2:$G$42,MATCH(X518,'Device Refrigerant Leakage'!$B$2:$B$42,0)))</f>
        <v/>
      </c>
      <c r="DI518" s="146" t="str">
        <f>IF(W518&lt;&gt;"AR","",J518*INDEX('Device Refrigerant Leakage'!$D$2:$D$42,MATCH(X518,'Device Refrigerant Leakage'!$B$2:$B$42,0))*DF518/2204.62*DE518)</f>
        <v/>
      </c>
      <c r="DJ518" s="146" t="str">
        <f>IF(W518&lt;&gt;"AR","",J518*(INDEX('Device Refrigerant Leakage'!$D$2:$D$42,MATCH(X518,'Device Refrigerant Leakage'!$B$2:$B$42,0))-(INDEX('Device Refrigerant Leakage'!$D$2:$D$42,MATCH(X518,'Device Refrigerant Leakage'!$B$2:$B$42,0)))*DH518*DF518)*DG518/2204.62*DE518)</f>
        <v/>
      </c>
      <c r="DK518" s="146" t="str">
        <f>IF(W518&lt;&gt;"AR","",DI518*(K518-AB518)+'Fuel Sub Calcs-Deemed'!DJ518*((K518-AB518)/INDEX('Device Refrigerant Leakage'!$C$2:$C$42,MATCH('Fuel Sub Calcs-Deemed'!X518,'Device Refrigerant Leakage'!$B$2:$B$42,0))))</f>
        <v/>
      </c>
      <c r="DM518" s="56">
        <v>504</v>
      </c>
      <c r="DN518" s="67" t="e">
        <f t="shared" si="602"/>
        <v>#N/A</v>
      </c>
      <c r="DO518" s="45" t="e">
        <f t="shared" si="603"/>
        <v>#N/A</v>
      </c>
      <c r="DP518" s="67" t="e">
        <f t="shared" si="604"/>
        <v>#N/A</v>
      </c>
      <c r="DQ518" s="45" t="e">
        <f t="shared" si="605"/>
        <v>#N/A</v>
      </c>
      <c r="DR518" s="69" t="e">
        <f t="shared" si="606"/>
        <v>#N/A</v>
      </c>
      <c r="DS518" s="34"/>
      <c r="DT518" s="67" t="e">
        <f>((BX518*CJ518)+IF($W518=MAT_AR,(BZ518*CL518),0))*(1+Reference!$E$50+Reference!$E$51)</f>
        <v>#N/A</v>
      </c>
      <c r="DU518" s="67">
        <f>((BY518*CK518)+IF($W518=MAT_AR,(CA518*CM518),0))*(1+Reference!$G$50+Reference!$G$51)</f>
        <v>0</v>
      </c>
      <c r="DV518" s="67" t="e">
        <f t="shared" si="607"/>
        <v>#VALUE!</v>
      </c>
      <c r="DX518" s="56">
        <v>504</v>
      </c>
      <c r="DY518" s="67">
        <f t="shared" si="608"/>
        <v>0</v>
      </c>
      <c r="DZ518" s="45" t="e">
        <f>VLOOKUP($R518,Dropdown!$C$3:$D$4,2,FALSE)</f>
        <v>#N/A</v>
      </c>
      <c r="EA518" s="68">
        <f t="shared" si="609"/>
        <v>0</v>
      </c>
      <c r="EB518" s="68" t="str">
        <f t="shared" si="610"/>
        <v>N/A</v>
      </c>
      <c r="EC518" s="68">
        <f t="shared" si="611"/>
        <v>0</v>
      </c>
      <c r="ED518" s="68" t="str">
        <f t="shared" si="649"/>
        <v>N/A</v>
      </c>
      <c r="EF518" s="56">
        <v>504</v>
      </c>
      <c r="EG518" s="46">
        <f t="shared" si="612"/>
        <v>0</v>
      </c>
      <c r="EH518" s="68" t="e">
        <f t="shared" si="613"/>
        <v>#N/A</v>
      </c>
      <c r="EI518" s="68" t="e">
        <f t="shared" si="614"/>
        <v>#N/A</v>
      </c>
      <c r="EJ518" s="68" t="e">
        <f t="shared" si="615"/>
        <v>#N/A</v>
      </c>
      <c r="EK518" s="68" t="e">
        <f t="shared" si="616"/>
        <v>#N/A</v>
      </c>
      <c r="EL518" s="46">
        <f t="shared" si="617"/>
        <v>0</v>
      </c>
      <c r="EM518" s="46">
        <f t="shared" si="618"/>
        <v>0</v>
      </c>
    </row>
    <row r="519" spans="1:143">
      <c r="A519" s="89"/>
      <c r="B519" s="89"/>
      <c r="C519" s="89"/>
      <c r="D519" s="89"/>
      <c r="E519" s="89"/>
      <c r="F519" s="89"/>
      <c r="G519" s="34"/>
      <c r="H519" s="56">
        <f t="shared" si="619"/>
        <v>505</v>
      </c>
      <c r="I519" s="165"/>
      <c r="J519" s="163"/>
      <c r="K519" s="163"/>
      <c r="L519" s="164"/>
      <c r="M519" s="155"/>
      <c r="N519" s="155"/>
      <c r="O519" s="144"/>
      <c r="P519" s="159" t="str">
        <f>IFERROR(IF(O519&lt;&gt;"User Specified",IF(O519&lt;&gt;"", INDEX('Refrigerant GWPs'!$G$2:$G$154,MATCH(O519,'Refrigerant GWPs'!$A$2:$A$154,0)),""),U519),0)</f>
        <v/>
      </c>
      <c r="Q519" s="155"/>
      <c r="R519" s="155"/>
      <c r="S519" s="144"/>
      <c r="T519" s="159" t="str">
        <f>IF(S519&lt;&gt;"User Specified",IF(AND(S519&lt;&gt;"User Specified",S519&lt;&gt;""), INDEX('Refrigerant GWPs'!$G$2:$G$154,MATCH(S519,'Refrigerant GWPs'!$A$2:$A$154,0)),""),V519)</f>
        <v/>
      </c>
      <c r="U519" s="144"/>
      <c r="V519" s="144"/>
      <c r="W519" s="155"/>
      <c r="X519" s="155"/>
      <c r="Y519" s="144"/>
      <c r="Z519" s="159" t="str">
        <f>IF(AND(Y519&lt;&gt;"User Specified",Y519&lt;&gt;""), INDEX('Refrigerant GWPs'!$G$2:$G$154,MATCH(Y519,'Refrigerant GWPs'!$A$2:$A$154,0)),"")</f>
        <v/>
      </c>
      <c r="AA519" s="155"/>
      <c r="AB519" s="156"/>
      <c r="AC519" s="66"/>
      <c r="AD519" s="66"/>
      <c r="AE519" s="66"/>
      <c r="AF519" s="66"/>
      <c r="AG519" s="66"/>
      <c r="AH519" s="66"/>
      <c r="AI519" s="34"/>
      <c r="AJ519" s="88">
        <f t="shared" si="582"/>
        <v>0</v>
      </c>
      <c r="AK519" s="88">
        <f t="shared" si="583"/>
        <v>0</v>
      </c>
      <c r="AL519" s="88">
        <v>0</v>
      </c>
      <c r="AM519" s="88">
        <v>0</v>
      </c>
      <c r="AN519" s="81" t="str">
        <f t="shared" si="621"/>
        <v/>
      </c>
      <c r="AO519" s="88">
        <f t="shared" si="584"/>
        <v>0</v>
      </c>
      <c r="AP519" s="88">
        <f t="shared" si="585"/>
        <v>0</v>
      </c>
      <c r="AQ519" s="81" t="str">
        <f t="shared" si="586"/>
        <v/>
      </c>
      <c r="AS519" s="41" t="b">
        <f t="shared" si="587"/>
        <v>1</v>
      </c>
      <c r="AT519" s="38">
        <f t="shared" si="588"/>
        <v>0</v>
      </c>
      <c r="AU519" s="60">
        <f t="shared" si="589"/>
        <v>0</v>
      </c>
      <c r="AV519" s="41">
        <f t="shared" si="590"/>
        <v>0</v>
      </c>
      <c r="AW519" s="41" t="b">
        <f t="shared" si="591"/>
        <v>0</v>
      </c>
      <c r="AX519" t="str">
        <f t="shared" si="592"/>
        <v>+00</v>
      </c>
      <c r="AY519" t="str">
        <f t="shared" si="593"/>
        <v>+00</v>
      </c>
      <c r="BA519" s="47" t="b">
        <f t="shared" si="622"/>
        <v>1</v>
      </c>
      <c r="BB519" s="42" t="b">
        <f t="shared" si="623"/>
        <v>1</v>
      </c>
      <c r="BC519" s="42" t="b">
        <f t="shared" si="624"/>
        <v>0</v>
      </c>
      <c r="BD519" s="42" t="b">
        <f t="shared" si="625"/>
        <v>0</v>
      </c>
      <c r="BE519" s="70">
        <f t="shared" si="626"/>
        <v>0</v>
      </c>
      <c r="BF519" s="70">
        <f t="shared" si="627"/>
        <v>0</v>
      </c>
      <c r="BG519" s="34"/>
      <c r="BI519" s="47" t="b">
        <f t="shared" si="628"/>
        <v>1</v>
      </c>
      <c r="BJ519" s="47" t="b">
        <f t="shared" si="629"/>
        <v>1</v>
      </c>
      <c r="BK519" s="42" t="b">
        <f t="shared" si="630"/>
        <v>0</v>
      </c>
      <c r="BL519" s="42" t="b">
        <f t="shared" si="631"/>
        <v>0</v>
      </c>
      <c r="BM519" s="42">
        <f t="shared" si="632"/>
        <v>0</v>
      </c>
      <c r="BN519" s="42">
        <f t="shared" si="633"/>
        <v>0</v>
      </c>
      <c r="BP519" t="e">
        <f t="shared" si="634"/>
        <v>#N/A</v>
      </c>
      <c r="BQ519" t="e">
        <f t="shared" si="635"/>
        <v>#N/A</v>
      </c>
      <c r="BR519" t="e">
        <f t="shared" si="636"/>
        <v>#N/A</v>
      </c>
      <c r="BT519" s="60">
        <f t="shared" si="637"/>
        <v>0</v>
      </c>
      <c r="BU519" s="60">
        <f t="shared" si="638"/>
        <v>0</v>
      </c>
      <c r="BV519" s="60">
        <f t="shared" si="639"/>
        <v>0</v>
      </c>
      <c r="BW519" s="60">
        <f t="shared" si="640"/>
        <v>0</v>
      </c>
      <c r="BX519" s="60">
        <f t="shared" si="641"/>
        <v>0</v>
      </c>
      <c r="BY519" s="60">
        <f t="shared" si="642"/>
        <v>0</v>
      </c>
      <c r="BZ519" s="60">
        <f t="shared" si="643"/>
        <v>0</v>
      </c>
      <c r="CA519" s="60">
        <f t="shared" si="644"/>
        <v>0</v>
      </c>
      <c r="CB519" s="60" t="e">
        <f t="shared" si="594"/>
        <v>#N/A</v>
      </c>
      <c r="CC519" s="60">
        <f t="shared" si="595"/>
        <v>100000</v>
      </c>
      <c r="CD519" s="60" t="e">
        <f t="shared" si="596"/>
        <v>#N/A</v>
      </c>
      <c r="CE519" s="60">
        <f t="shared" si="597"/>
        <v>100000</v>
      </c>
      <c r="CF519" s="83" t="e">
        <f t="shared" si="645"/>
        <v>#N/A</v>
      </c>
      <c r="CG519" s="83">
        <f t="shared" si="646"/>
        <v>0</v>
      </c>
      <c r="CH519" s="83" t="e">
        <f t="shared" si="647"/>
        <v>#N/A</v>
      </c>
      <c r="CI519" s="83">
        <f t="shared" si="648"/>
        <v>0</v>
      </c>
      <c r="CJ519" s="86" t="e">
        <f t="shared" si="598"/>
        <v>#N/A</v>
      </c>
      <c r="CK519" s="82">
        <f t="shared" si="599"/>
        <v>5.3070370403969858E-3</v>
      </c>
      <c r="CL519" s="82" t="e">
        <f t="shared" si="600"/>
        <v>#N/A</v>
      </c>
      <c r="CM519" s="82">
        <f t="shared" si="601"/>
        <v>5.3070370403969858E-3</v>
      </c>
      <c r="CO519" s="149" t="str">
        <f>IF($I519&lt;&gt;"",IF(O519="User Specified",U519,INDEX('Refrigerant GWPs'!$G$2:$G$156,MATCH(O519,'Refrigerant GWPs'!$A$2:$A$156,0))),"")</f>
        <v/>
      </c>
      <c r="CP519" s="138" t="str">
        <f>IF($I519&lt;&gt;"",INDEX('Device Refrigerant Leakage'!$E$2:$E$42,MATCH($M519,'Device Refrigerant Leakage'!$B$2:$B$42,0)),"")</f>
        <v/>
      </c>
      <c r="CQ519" s="138" t="str">
        <f>IF($I519&lt;&gt;"",INDEX('Device Refrigerant Leakage'!$F$2:$F$42,MATCH($M519,'Device Refrigerant Leakage'!$B$2:$B$42,0)),"")</f>
        <v/>
      </c>
      <c r="CR519" s="145" t="str">
        <f>IF($I519&lt;&gt;"",INDEX('Device Refrigerant Leakage'!$G$2:$G$42,MATCH($M519,'Device Refrigerant Leakage'!$B$2:$B$42,0)),"")</f>
        <v/>
      </c>
      <c r="CS519" s="145" t="str">
        <f>IF($I519&lt;&gt;"",INDEX('Device Refrigerant Leakage'!$D$2:$D$42,MATCH($M519,'Device Refrigerant Leakage'!$B$2:$B$42,0))*CP519/2204.62*CO519,"")</f>
        <v/>
      </c>
      <c r="CT519" s="145" t="str">
        <f>IF($I519&lt;&gt;"",J519*(INDEX('Device Refrigerant Leakage'!$D$2:$D$42,MATCH($M519,'Device Refrigerant Leakage'!$B$2:$B$42,0))-(INDEX('Device Refrigerant Leakage'!$D$2:$D$42,MATCH($M519,'Device Refrigerant Leakage'!$B$2:$B$42,0)))*CR519*CP519)*CQ519/2204.62*CO519,"")</f>
        <v/>
      </c>
      <c r="CU519" s="135" t="str">
        <f>IF($I519&lt;&gt;"",J519*IF(W519&lt;&gt;"AR",(CS519*K519)+CT519,(CS519*AB519)+CT519*(AB519/INDEX('Device Refrigerant Leakage'!$C$2:$C$42,MATCH($M519,'Device Refrigerant Leakage'!$B$2:$B$42,0)))),"")</f>
        <v/>
      </c>
      <c r="CW519" s="135" t="str">
        <f>IF($I519&lt;&gt;"",IF(S519="User Specified",V519,INDEX('Refrigerant GWPs'!$G$2:$G$156,MATCH(S519,'Refrigerant GWPs'!$A$2:$A$157,0))),"")</f>
        <v/>
      </c>
      <c r="CX519" s="138" t="str">
        <f>IF($I519&lt;&gt;"",INDEX('Device Refrigerant Leakage'!$E$2:$E$42,MATCH($Q519,'Device Refrigerant Leakage'!$B$2:$B$42,0)),"")</f>
        <v/>
      </c>
      <c r="CY519" s="138" t="str">
        <f>IF($I519&lt;&gt;"",INDEX('Device Refrigerant Leakage'!$F$2:$F$42,MATCH($Q519,'Device Refrigerant Leakage'!$B$2:$B$42,0)),"")</f>
        <v/>
      </c>
      <c r="CZ519" s="145" t="str">
        <f>IF($I519&lt;&gt;"",INDEX('Device Refrigerant Leakage'!$G$2:$G$42,MATCH($Q519,'Device Refrigerant Leakage'!$B$2:$B$42,0)),"")</f>
        <v/>
      </c>
      <c r="DA519" s="145" t="str">
        <f>IF($I519&lt;&gt;"",J519*INDEX('Device Refrigerant Leakage'!$D$2:$D$42,MATCH($Q519,'Device Refrigerant Leakage'!$B$2:$B$42,0))*CX519/2204.62*CW519,"")</f>
        <v/>
      </c>
      <c r="DB519" s="145" t="str">
        <f>IF($I519&lt;&gt;"",J519*(INDEX('Device Refrigerant Leakage'!$D$2:$D$42,MATCH($Q519,'Device Refrigerant Leakage'!$B$2:$B$42,0))-(INDEX('Device Refrigerant Leakage'!$D$2:$D$42,MATCH($Q519,'Device Refrigerant Leakage'!$B$2:$B$42,0)))*CZ519*CX519)*CY519/2204.62*CW519,"")</f>
        <v/>
      </c>
      <c r="DC519" s="135" t="str">
        <f t="shared" si="620"/>
        <v/>
      </c>
      <c r="DE519" s="146" t="str">
        <f>IF(W519&lt;&gt;"AR","",IF(Y519="User Specified", AA519, INDEX('Refrigerant GWPs'!$G$2:$G$154,MATCH(Y519,'Refrigerant GWPs'!$A$2:$A$154,0))))</f>
        <v/>
      </c>
      <c r="DF519" s="146" t="str">
        <f>IF(W519&lt;&gt;"AR","",INDEX('Device Refrigerant Leakage'!$E$2:$E$42,MATCH(X519,'Device Refrigerant Leakage'!$B$2:$B$42,0)))</f>
        <v/>
      </c>
      <c r="DG519" s="146" t="str">
        <f>IF(W519&lt;&gt;"AR","",INDEX('Device Refrigerant Leakage'!$F$2:$F$42,MATCH(X519,'Device Refrigerant Leakage'!$B$2:$B$42,0)))</f>
        <v/>
      </c>
      <c r="DH519" s="146" t="str">
        <f>IF(W519&lt;&gt;"AR","",INDEX('Device Refrigerant Leakage'!$G$2:$G$42,MATCH(X519,'Device Refrigerant Leakage'!$B$2:$B$42,0)))</f>
        <v/>
      </c>
      <c r="DI519" s="146" t="str">
        <f>IF(W519&lt;&gt;"AR","",J519*INDEX('Device Refrigerant Leakage'!$D$2:$D$42,MATCH(X519,'Device Refrigerant Leakage'!$B$2:$B$42,0))*DF519/2204.62*DE519)</f>
        <v/>
      </c>
      <c r="DJ519" s="146" t="str">
        <f>IF(W519&lt;&gt;"AR","",J519*(INDEX('Device Refrigerant Leakage'!$D$2:$D$42,MATCH(X519,'Device Refrigerant Leakage'!$B$2:$B$42,0))-(INDEX('Device Refrigerant Leakage'!$D$2:$D$42,MATCH(X519,'Device Refrigerant Leakage'!$B$2:$B$42,0)))*DH519*DF519)*DG519/2204.62*DE519)</f>
        <v/>
      </c>
      <c r="DK519" s="146" t="str">
        <f>IF(W519&lt;&gt;"AR","",DI519*(K519-AB519)+'Fuel Sub Calcs-Deemed'!DJ519*((K519-AB519)/INDEX('Device Refrigerant Leakage'!$C$2:$C$42,MATCH('Fuel Sub Calcs-Deemed'!X519,'Device Refrigerant Leakage'!$B$2:$B$42,0))))</f>
        <v/>
      </c>
      <c r="DM519" s="56">
        <v>505</v>
      </c>
      <c r="DN519" s="67" t="e">
        <f t="shared" si="602"/>
        <v>#N/A</v>
      </c>
      <c r="DO519" s="45" t="e">
        <f t="shared" si="603"/>
        <v>#N/A</v>
      </c>
      <c r="DP519" s="67" t="e">
        <f t="shared" si="604"/>
        <v>#N/A</v>
      </c>
      <c r="DQ519" s="45" t="e">
        <f t="shared" si="605"/>
        <v>#N/A</v>
      </c>
      <c r="DR519" s="69" t="e">
        <f t="shared" si="606"/>
        <v>#N/A</v>
      </c>
      <c r="DS519" s="34"/>
      <c r="DT519" s="67" t="e">
        <f>((BX519*CJ519)+IF($W519=MAT_AR,(BZ519*CL519),0))*(1+Reference!$E$50+Reference!$E$51)</f>
        <v>#N/A</v>
      </c>
      <c r="DU519" s="67">
        <f>((BY519*CK519)+IF($W519=MAT_AR,(CA519*CM519),0))*(1+Reference!$G$50+Reference!$G$51)</f>
        <v>0</v>
      </c>
      <c r="DV519" s="67" t="e">
        <f t="shared" si="607"/>
        <v>#VALUE!</v>
      </c>
      <c r="DX519" s="56">
        <v>505</v>
      </c>
      <c r="DY519" s="67">
        <f t="shared" si="608"/>
        <v>0</v>
      </c>
      <c r="DZ519" s="45" t="e">
        <f>VLOOKUP($R519,Dropdown!$C$3:$D$4,2,FALSE)</f>
        <v>#N/A</v>
      </c>
      <c r="EA519" s="68">
        <f t="shared" si="609"/>
        <v>0</v>
      </c>
      <c r="EB519" s="68" t="str">
        <f t="shared" si="610"/>
        <v>N/A</v>
      </c>
      <c r="EC519" s="68">
        <f t="shared" si="611"/>
        <v>0</v>
      </c>
      <c r="ED519" s="68" t="str">
        <f t="shared" si="649"/>
        <v>N/A</v>
      </c>
      <c r="EF519" s="56">
        <v>505</v>
      </c>
      <c r="EG519" s="46">
        <f t="shared" si="612"/>
        <v>0</v>
      </c>
      <c r="EH519" s="68" t="e">
        <f t="shared" si="613"/>
        <v>#N/A</v>
      </c>
      <c r="EI519" s="68" t="e">
        <f t="shared" si="614"/>
        <v>#N/A</v>
      </c>
      <c r="EJ519" s="68" t="e">
        <f t="shared" si="615"/>
        <v>#N/A</v>
      </c>
      <c r="EK519" s="68" t="e">
        <f t="shared" si="616"/>
        <v>#N/A</v>
      </c>
      <c r="EL519" s="46">
        <f t="shared" si="617"/>
        <v>0</v>
      </c>
      <c r="EM519" s="46">
        <f t="shared" si="618"/>
        <v>0</v>
      </c>
    </row>
    <row r="520" spans="1:143">
      <c r="A520" s="89"/>
      <c r="B520" s="89"/>
      <c r="C520" s="89"/>
      <c r="D520" s="89"/>
      <c r="E520" s="89"/>
      <c r="F520" s="89"/>
      <c r="G520" s="34"/>
      <c r="H520" s="56">
        <f t="shared" si="619"/>
        <v>506</v>
      </c>
      <c r="I520" s="165"/>
      <c r="J520" s="163"/>
      <c r="K520" s="163"/>
      <c r="L520" s="164"/>
      <c r="M520" s="155"/>
      <c r="N520" s="155"/>
      <c r="O520" s="144"/>
      <c r="P520" s="159" t="str">
        <f>IFERROR(IF(O520&lt;&gt;"User Specified",IF(O520&lt;&gt;"", INDEX('Refrigerant GWPs'!$G$2:$G$154,MATCH(O520,'Refrigerant GWPs'!$A$2:$A$154,0)),""),U520),0)</f>
        <v/>
      </c>
      <c r="Q520" s="155"/>
      <c r="R520" s="155"/>
      <c r="S520" s="144"/>
      <c r="T520" s="159" t="str">
        <f>IF(S520&lt;&gt;"User Specified",IF(AND(S520&lt;&gt;"User Specified",S520&lt;&gt;""), INDEX('Refrigerant GWPs'!$G$2:$G$154,MATCH(S520,'Refrigerant GWPs'!$A$2:$A$154,0)),""),V520)</f>
        <v/>
      </c>
      <c r="U520" s="144"/>
      <c r="V520" s="144"/>
      <c r="W520" s="155"/>
      <c r="X520" s="155"/>
      <c r="Y520" s="144"/>
      <c r="Z520" s="159" t="str">
        <f>IF(AND(Y520&lt;&gt;"User Specified",Y520&lt;&gt;""), INDEX('Refrigerant GWPs'!$G$2:$G$154,MATCH(Y520,'Refrigerant GWPs'!$A$2:$A$154,0)),"")</f>
        <v/>
      </c>
      <c r="AA520" s="155"/>
      <c r="AB520" s="156"/>
      <c r="AC520" s="66"/>
      <c r="AD520" s="66"/>
      <c r="AE520" s="66"/>
      <c r="AF520" s="66"/>
      <c r="AG520" s="66"/>
      <c r="AH520" s="66"/>
      <c r="AI520" s="34"/>
      <c r="AJ520" s="88">
        <f t="shared" si="582"/>
        <v>0</v>
      </c>
      <c r="AK520" s="88">
        <f t="shared" si="583"/>
        <v>0</v>
      </c>
      <c r="AL520" s="88">
        <v>0</v>
      </c>
      <c r="AM520" s="88">
        <v>0</v>
      </c>
      <c r="AN520" s="81" t="str">
        <f t="shared" si="621"/>
        <v/>
      </c>
      <c r="AO520" s="88">
        <f t="shared" si="584"/>
        <v>0</v>
      </c>
      <c r="AP520" s="88">
        <f t="shared" si="585"/>
        <v>0</v>
      </c>
      <c r="AQ520" s="81" t="str">
        <f t="shared" si="586"/>
        <v/>
      </c>
      <c r="AS520" s="41" t="b">
        <f t="shared" si="587"/>
        <v>1</v>
      </c>
      <c r="AT520" s="38">
        <f t="shared" si="588"/>
        <v>0</v>
      </c>
      <c r="AU520" s="60">
        <f t="shared" si="589"/>
        <v>0</v>
      </c>
      <c r="AV520" s="41">
        <f t="shared" si="590"/>
        <v>0</v>
      </c>
      <c r="AW520" s="41" t="b">
        <f t="shared" si="591"/>
        <v>0</v>
      </c>
      <c r="AX520" t="str">
        <f t="shared" si="592"/>
        <v>+00</v>
      </c>
      <c r="AY520" t="str">
        <f t="shared" si="593"/>
        <v>+00</v>
      </c>
      <c r="BA520" s="47" t="b">
        <f t="shared" si="622"/>
        <v>1</v>
      </c>
      <c r="BB520" s="42" t="b">
        <f t="shared" si="623"/>
        <v>1</v>
      </c>
      <c r="BC520" s="42" t="b">
        <f t="shared" si="624"/>
        <v>0</v>
      </c>
      <c r="BD520" s="42" t="b">
        <f t="shared" si="625"/>
        <v>0</v>
      </c>
      <c r="BE520" s="70">
        <f t="shared" si="626"/>
        <v>0</v>
      </c>
      <c r="BF520" s="70">
        <f t="shared" si="627"/>
        <v>0</v>
      </c>
      <c r="BG520" s="34"/>
      <c r="BI520" s="47" t="b">
        <f t="shared" si="628"/>
        <v>1</v>
      </c>
      <c r="BJ520" s="47" t="b">
        <f t="shared" si="629"/>
        <v>1</v>
      </c>
      <c r="BK520" s="42" t="b">
        <f t="shared" si="630"/>
        <v>0</v>
      </c>
      <c r="BL520" s="42" t="b">
        <f t="shared" si="631"/>
        <v>0</v>
      </c>
      <c r="BM520" s="42">
        <f t="shared" si="632"/>
        <v>0</v>
      </c>
      <c r="BN520" s="42">
        <f t="shared" si="633"/>
        <v>0</v>
      </c>
      <c r="BP520" t="e">
        <f t="shared" si="634"/>
        <v>#N/A</v>
      </c>
      <c r="BQ520" t="e">
        <f t="shared" si="635"/>
        <v>#N/A</v>
      </c>
      <c r="BR520" t="e">
        <f t="shared" si="636"/>
        <v>#N/A</v>
      </c>
      <c r="BT520" s="60">
        <f t="shared" si="637"/>
        <v>0</v>
      </c>
      <c r="BU520" s="60">
        <f t="shared" si="638"/>
        <v>0</v>
      </c>
      <c r="BV520" s="60">
        <f t="shared" si="639"/>
        <v>0</v>
      </c>
      <c r="BW520" s="60">
        <f t="shared" si="640"/>
        <v>0</v>
      </c>
      <c r="BX520" s="60">
        <f t="shared" si="641"/>
        <v>0</v>
      </c>
      <c r="BY520" s="60">
        <f t="shared" si="642"/>
        <v>0</v>
      </c>
      <c r="BZ520" s="60">
        <f t="shared" si="643"/>
        <v>0</v>
      </c>
      <c r="CA520" s="60">
        <f t="shared" si="644"/>
        <v>0</v>
      </c>
      <c r="CB520" s="60" t="e">
        <f t="shared" si="594"/>
        <v>#N/A</v>
      </c>
      <c r="CC520" s="60">
        <f t="shared" si="595"/>
        <v>100000</v>
      </c>
      <c r="CD520" s="60" t="e">
        <f t="shared" si="596"/>
        <v>#N/A</v>
      </c>
      <c r="CE520" s="60">
        <f t="shared" si="597"/>
        <v>100000</v>
      </c>
      <c r="CF520" s="83" t="e">
        <f t="shared" si="645"/>
        <v>#N/A</v>
      </c>
      <c r="CG520" s="83">
        <f t="shared" si="646"/>
        <v>0</v>
      </c>
      <c r="CH520" s="83" t="e">
        <f t="shared" si="647"/>
        <v>#N/A</v>
      </c>
      <c r="CI520" s="83">
        <f t="shared" si="648"/>
        <v>0</v>
      </c>
      <c r="CJ520" s="86" t="e">
        <f t="shared" si="598"/>
        <v>#N/A</v>
      </c>
      <c r="CK520" s="82">
        <f t="shared" si="599"/>
        <v>5.3070370403969858E-3</v>
      </c>
      <c r="CL520" s="82" t="e">
        <f t="shared" si="600"/>
        <v>#N/A</v>
      </c>
      <c r="CM520" s="82">
        <f t="shared" si="601"/>
        <v>5.3070370403969858E-3</v>
      </c>
      <c r="CO520" s="149" t="str">
        <f>IF($I520&lt;&gt;"",IF(O520="User Specified",U520,INDEX('Refrigerant GWPs'!$G$2:$G$156,MATCH(O520,'Refrigerant GWPs'!$A$2:$A$156,0))),"")</f>
        <v/>
      </c>
      <c r="CP520" s="138" t="str">
        <f>IF($I520&lt;&gt;"",INDEX('Device Refrigerant Leakage'!$E$2:$E$42,MATCH($M520,'Device Refrigerant Leakage'!$B$2:$B$42,0)),"")</f>
        <v/>
      </c>
      <c r="CQ520" s="138" t="str">
        <f>IF($I520&lt;&gt;"",INDEX('Device Refrigerant Leakage'!$F$2:$F$42,MATCH($M520,'Device Refrigerant Leakage'!$B$2:$B$42,0)),"")</f>
        <v/>
      </c>
      <c r="CR520" s="145" t="str">
        <f>IF($I520&lt;&gt;"",INDEX('Device Refrigerant Leakage'!$G$2:$G$42,MATCH($M520,'Device Refrigerant Leakage'!$B$2:$B$42,0)),"")</f>
        <v/>
      </c>
      <c r="CS520" s="145" t="str">
        <f>IF($I520&lt;&gt;"",INDEX('Device Refrigerant Leakage'!$D$2:$D$42,MATCH($M520,'Device Refrigerant Leakage'!$B$2:$B$42,0))*CP520/2204.62*CO520,"")</f>
        <v/>
      </c>
      <c r="CT520" s="145" t="str">
        <f>IF($I520&lt;&gt;"",J520*(INDEX('Device Refrigerant Leakage'!$D$2:$D$42,MATCH($M520,'Device Refrigerant Leakage'!$B$2:$B$42,0))-(INDEX('Device Refrigerant Leakage'!$D$2:$D$42,MATCH($M520,'Device Refrigerant Leakage'!$B$2:$B$42,0)))*CR520*CP520)*CQ520/2204.62*CO520,"")</f>
        <v/>
      </c>
      <c r="CU520" s="135" t="str">
        <f>IF($I520&lt;&gt;"",J520*IF(W520&lt;&gt;"AR",(CS520*K520)+CT520,(CS520*AB520)+CT520*(AB520/INDEX('Device Refrigerant Leakage'!$C$2:$C$42,MATCH($M520,'Device Refrigerant Leakage'!$B$2:$B$42,0)))),"")</f>
        <v/>
      </c>
      <c r="CW520" s="135" t="str">
        <f>IF($I520&lt;&gt;"",IF(S520="User Specified",V520,INDEX('Refrigerant GWPs'!$G$2:$G$156,MATCH(S520,'Refrigerant GWPs'!$A$2:$A$157,0))),"")</f>
        <v/>
      </c>
      <c r="CX520" s="138" t="str">
        <f>IF($I520&lt;&gt;"",INDEX('Device Refrigerant Leakage'!$E$2:$E$42,MATCH($Q520,'Device Refrigerant Leakage'!$B$2:$B$42,0)),"")</f>
        <v/>
      </c>
      <c r="CY520" s="138" t="str">
        <f>IF($I520&lt;&gt;"",INDEX('Device Refrigerant Leakage'!$F$2:$F$42,MATCH($Q520,'Device Refrigerant Leakage'!$B$2:$B$42,0)),"")</f>
        <v/>
      </c>
      <c r="CZ520" s="145" t="str">
        <f>IF($I520&lt;&gt;"",INDEX('Device Refrigerant Leakage'!$G$2:$G$42,MATCH($Q520,'Device Refrigerant Leakage'!$B$2:$B$42,0)),"")</f>
        <v/>
      </c>
      <c r="DA520" s="145" t="str">
        <f>IF($I520&lt;&gt;"",J520*INDEX('Device Refrigerant Leakage'!$D$2:$D$42,MATCH($Q520,'Device Refrigerant Leakage'!$B$2:$B$42,0))*CX520/2204.62*CW520,"")</f>
        <v/>
      </c>
      <c r="DB520" s="145" t="str">
        <f>IF($I520&lt;&gt;"",J520*(INDEX('Device Refrigerant Leakage'!$D$2:$D$42,MATCH($Q520,'Device Refrigerant Leakage'!$B$2:$B$42,0))-(INDEX('Device Refrigerant Leakage'!$D$2:$D$42,MATCH($Q520,'Device Refrigerant Leakage'!$B$2:$B$42,0)))*CZ520*CX520)*CY520/2204.62*CW520,"")</f>
        <v/>
      </c>
      <c r="DC520" s="135" t="str">
        <f t="shared" si="620"/>
        <v/>
      </c>
      <c r="DE520" s="146" t="str">
        <f>IF(W520&lt;&gt;"AR","",IF(Y520="User Specified", AA520, INDEX('Refrigerant GWPs'!$G$2:$G$154,MATCH(Y520,'Refrigerant GWPs'!$A$2:$A$154,0))))</f>
        <v/>
      </c>
      <c r="DF520" s="146" t="str">
        <f>IF(W520&lt;&gt;"AR","",INDEX('Device Refrigerant Leakage'!$E$2:$E$42,MATCH(X520,'Device Refrigerant Leakage'!$B$2:$B$42,0)))</f>
        <v/>
      </c>
      <c r="DG520" s="146" t="str">
        <f>IF(W520&lt;&gt;"AR","",INDEX('Device Refrigerant Leakage'!$F$2:$F$42,MATCH(X520,'Device Refrigerant Leakage'!$B$2:$B$42,0)))</f>
        <v/>
      </c>
      <c r="DH520" s="146" t="str">
        <f>IF(W520&lt;&gt;"AR","",INDEX('Device Refrigerant Leakage'!$G$2:$G$42,MATCH(X520,'Device Refrigerant Leakage'!$B$2:$B$42,0)))</f>
        <v/>
      </c>
      <c r="DI520" s="146" t="str">
        <f>IF(W520&lt;&gt;"AR","",J520*INDEX('Device Refrigerant Leakage'!$D$2:$D$42,MATCH(X520,'Device Refrigerant Leakage'!$B$2:$B$42,0))*DF520/2204.62*DE520)</f>
        <v/>
      </c>
      <c r="DJ520" s="146" t="str">
        <f>IF(W520&lt;&gt;"AR","",J520*(INDEX('Device Refrigerant Leakage'!$D$2:$D$42,MATCH(X520,'Device Refrigerant Leakage'!$B$2:$B$42,0))-(INDEX('Device Refrigerant Leakage'!$D$2:$D$42,MATCH(X520,'Device Refrigerant Leakage'!$B$2:$B$42,0)))*DH520*DF520)*DG520/2204.62*DE520)</f>
        <v/>
      </c>
      <c r="DK520" s="146" t="str">
        <f>IF(W520&lt;&gt;"AR","",DI520*(K520-AB520)+'Fuel Sub Calcs-Deemed'!DJ520*((K520-AB520)/INDEX('Device Refrigerant Leakage'!$C$2:$C$42,MATCH('Fuel Sub Calcs-Deemed'!X520,'Device Refrigerant Leakage'!$B$2:$B$42,0))))</f>
        <v/>
      </c>
      <c r="DM520" s="56">
        <v>506</v>
      </c>
      <c r="DN520" s="67" t="e">
        <f t="shared" si="602"/>
        <v>#N/A</v>
      </c>
      <c r="DO520" s="45" t="e">
        <f t="shared" si="603"/>
        <v>#N/A</v>
      </c>
      <c r="DP520" s="67" t="e">
        <f t="shared" si="604"/>
        <v>#N/A</v>
      </c>
      <c r="DQ520" s="45" t="e">
        <f t="shared" si="605"/>
        <v>#N/A</v>
      </c>
      <c r="DR520" s="69" t="e">
        <f t="shared" si="606"/>
        <v>#N/A</v>
      </c>
      <c r="DS520" s="34"/>
      <c r="DT520" s="67" t="e">
        <f>((BX520*CJ520)+IF($W520=MAT_AR,(BZ520*CL520),0))*(1+Reference!$E$50+Reference!$E$51)</f>
        <v>#N/A</v>
      </c>
      <c r="DU520" s="67">
        <f>((BY520*CK520)+IF($W520=MAT_AR,(CA520*CM520),0))*(1+Reference!$G$50+Reference!$G$51)</f>
        <v>0</v>
      </c>
      <c r="DV520" s="67" t="e">
        <f t="shared" si="607"/>
        <v>#VALUE!</v>
      </c>
      <c r="DX520" s="56">
        <v>506</v>
      </c>
      <c r="DY520" s="67">
        <f t="shared" si="608"/>
        <v>0</v>
      </c>
      <c r="DZ520" s="45" t="e">
        <f>VLOOKUP($R520,Dropdown!$C$3:$D$4,2,FALSE)</f>
        <v>#N/A</v>
      </c>
      <c r="EA520" s="68">
        <f t="shared" si="609"/>
        <v>0</v>
      </c>
      <c r="EB520" s="68" t="str">
        <f t="shared" si="610"/>
        <v>N/A</v>
      </c>
      <c r="EC520" s="68">
        <f t="shared" si="611"/>
        <v>0</v>
      </c>
      <c r="ED520" s="68" t="str">
        <f t="shared" si="649"/>
        <v>N/A</v>
      </c>
      <c r="EF520" s="56">
        <v>506</v>
      </c>
      <c r="EG520" s="46">
        <f t="shared" si="612"/>
        <v>0</v>
      </c>
      <c r="EH520" s="68" t="e">
        <f t="shared" si="613"/>
        <v>#N/A</v>
      </c>
      <c r="EI520" s="68" t="e">
        <f t="shared" si="614"/>
        <v>#N/A</v>
      </c>
      <c r="EJ520" s="68" t="e">
        <f t="shared" si="615"/>
        <v>#N/A</v>
      </c>
      <c r="EK520" s="68" t="e">
        <f t="shared" si="616"/>
        <v>#N/A</v>
      </c>
      <c r="EL520" s="46">
        <f t="shared" si="617"/>
        <v>0</v>
      </c>
      <c r="EM520" s="46">
        <f t="shared" si="618"/>
        <v>0</v>
      </c>
    </row>
    <row r="521" spans="1:143">
      <c r="A521" s="89"/>
      <c r="B521" s="89"/>
      <c r="C521" s="89"/>
      <c r="D521" s="89"/>
      <c r="E521" s="89"/>
      <c r="F521" s="89"/>
      <c r="G521" s="34"/>
      <c r="H521" s="56">
        <f t="shared" si="619"/>
        <v>507</v>
      </c>
      <c r="I521" s="165"/>
      <c r="J521" s="163"/>
      <c r="K521" s="163"/>
      <c r="L521" s="164"/>
      <c r="M521" s="155"/>
      <c r="N521" s="155"/>
      <c r="O521" s="144"/>
      <c r="P521" s="159" t="str">
        <f>IFERROR(IF(O521&lt;&gt;"User Specified",IF(O521&lt;&gt;"", INDEX('Refrigerant GWPs'!$G$2:$G$154,MATCH(O521,'Refrigerant GWPs'!$A$2:$A$154,0)),""),U521),0)</f>
        <v/>
      </c>
      <c r="Q521" s="155"/>
      <c r="R521" s="155"/>
      <c r="S521" s="144"/>
      <c r="T521" s="159" t="str">
        <f>IF(S521&lt;&gt;"User Specified",IF(AND(S521&lt;&gt;"User Specified",S521&lt;&gt;""), INDEX('Refrigerant GWPs'!$G$2:$G$154,MATCH(S521,'Refrigerant GWPs'!$A$2:$A$154,0)),""),V521)</f>
        <v/>
      </c>
      <c r="U521" s="144"/>
      <c r="V521" s="144"/>
      <c r="W521" s="155"/>
      <c r="X521" s="155"/>
      <c r="Y521" s="144"/>
      <c r="Z521" s="159" t="str">
        <f>IF(AND(Y521&lt;&gt;"User Specified",Y521&lt;&gt;""), INDEX('Refrigerant GWPs'!$G$2:$G$154,MATCH(Y521,'Refrigerant GWPs'!$A$2:$A$154,0)),"")</f>
        <v/>
      </c>
      <c r="AA521" s="155"/>
      <c r="AB521" s="156"/>
      <c r="AC521" s="66"/>
      <c r="AD521" s="66"/>
      <c r="AE521" s="66"/>
      <c r="AF521" s="66"/>
      <c r="AG521" s="66"/>
      <c r="AH521" s="66"/>
      <c r="AI521" s="34"/>
      <c r="AJ521" s="88">
        <f t="shared" si="582"/>
        <v>0</v>
      </c>
      <c r="AK521" s="88">
        <f t="shared" si="583"/>
        <v>0</v>
      </c>
      <c r="AL521" s="88">
        <v>0</v>
      </c>
      <c r="AM521" s="88">
        <v>0</v>
      </c>
      <c r="AN521" s="81" t="str">
        <f t="shared" si="621"/>
        <v/>
      </c>
      <c r="AO521" s="88">
        <f t="shared" si="584"/>
        <v>0</v>
      </c>
      <c r="AP521" s="88">
        <f t="shared" si="585"/>
        <v>0</v>
      </c>
      <c r="AQ521" s="81" t="str">
        <f t="shared" si="586"/>
        <v/>
      </c>
      <c r="AS521" s="41" t="b">
        <f t="shared" si="587"/>
        <v>1</v>
      </c>
      <c r="AT521" s="38">
        <f t="shared" si="588"/>
        <v>0</v>
      </c>
      <c r="AU521" s="60">
        <f t="shared" si="589"/>
        <v>0</v>
      </c>
      <c r="AV521" s="41">
        <f t="shared" si="590"/>
        <v>0</v>
      </c>
      <c r="AW521" s="41" t="b">
        <f t="shared" si="591"/>
        <v>0</v>
      </c>
      <c r="AX521" t="str">
        <f t="shared" si="592"/>
        <v>+00</v>
      </c>
      <c r="AY521" t="str">
        <f t="shared" si="593"/>
        <v>+00</v>
      </c>
      <c r="BA521" s="47" t="b">
        <f t="shared" si="622"/>
        <v>1</v>
      </c>
      <c r="BB521" s="42" t="b">
        <f t="shared" si="623"/>
        <v>1</v>
      </c>
      <c r="BC521" s="42" t="b">
        <f t="shared" si="624"/>
        <v>0</v>
      </c>
      <c r="BD521" s="42" t="b">
        <f t="shared" si="625"/>
        <v>0</v>
      </c>
      <c r="BE521" s="70">
        <f t="shared" si="626"/>
        <v>0</v>
      </c>
      <c r="BF521" s="70">
        <f t="shared" si="627"/>
        <v>0</v>
      </c>
      <c r="BG521" s="34"/>
      <c r="BI521" s="47" t="b">
        <f t="shared" si="628"/>
        <v>1</v>
      </c>
      <c r="BJ521" s="47" t="b">
        <f t="shared" si="629"/>
        <v>1</v>
      </c>
      <c r="BK521" s="42" t="b">
        <f t="shared" si="630"/>
        <v>0</v>
      </c>
      <c r="BL521" s="42" t="b">
        <f t="shared" si="631"/>
        <v>0</v>
      </c>
      <c r="BM521" s="42">
        <f t="shared" si="632"/>
        <v>0</v>
      </c>
      <c r="BN521" s="42">
        <f t="shared" si="633"/>
        <v>0</v>
      </c>
      <c r="BP521" t="e">
        <f t="shared" si="634"/>
        <v>#N/A</v>
      </c>
      <c r="BQ521" t="e">
        <f t="shared" si="635"/>
        <v>#N/A</v>
      </c>
      <c r="BR521" t="e">
        <f t="shared" si="636"/>
        <v>#N/A</v>
      </c>
      <c r="BT521" s="60">
        <f t="shared" si="637"/>
        <v>0</v>
      </c>
      <c r="BU521" s="60">
        <f t="shared" si="638"/>
        <v>0</v>
      </c>
      <c r="BV521" s="60">
        <f t="shared" si="639"/>
        <v>0</v>
      </c>
      <c r="BW521" s="60">
        <f t="shared" si="640"/>
        <v>0</v>
      </c>
      <c r="BX521" s="60">
        <f t="shared" si="641"/>
        <v>0</v>
      </c>
      <c r="BY521" s="60">
        <f t="shared" si="642"/>
        <v>0</v>
      </c>
      <c r="BZ521" s="60">
        <f t="shared" si="643"/>
        <v>0</v>
      </c>
      <c r="CA521" s="60">
        <f t="shared" si="644"/>
        <v>0</v>
      </c>
      <c r="CB521" s="60" t="e">
        <f t="shared" si="594"/>
        <v>#N/A</v>
      </c>
      <c r="CC521" s="60">
        <f t="shared" si="595"/>
        <v>100000</v>
      </c>
      <c r="CD521" s="60" t="e">
        <f t="shared" si="596"/>
        <v>#N/A</v>
      </c>
      <c r="CE521" s="60">
        <f t="shared" si="597"/>
        <v>100000</v>
      </c>
      <c r="CF521" s="83" t="e">
        <f t="shared" si="645"/>
        <v>#N/A</v>
      </c>
      <c r="CG521" s="83">
        <f t="shared" si="646"/>
        <v>0</v>
      </c>
      <c r="CH521" s="83" t="e">
        <f t="shared" si="647"/>
        <v>#N/A</v>
      </c>
      <c r="CI521" s="83">
        <f t="shared" si="648"/>
        <v>0</v>
      </c>
      <c r="CJ521" s="86" t="e">
        <f t="shared" si="598"/>
        <v>#N/A</v>
      </c>
      <c r="CK521" s="82">
        <f t="shared" si="599"/>
        <v>5.3070370403969858E-3</v>
      </c>
      <c r="CL521" s="82" t="e">
        <f t="shared" si="600"/>
        <v>#N/A</v>
      </c>
      <c r="CM521" s="82">
        <f t="shared" si="601"/>
        <v>5.3070370403969858E-3</v>
      </c>
      <c r="CO521" s="149" t="str">
        <f>IF($I521&lt;&gt;"",IF(O521="User Specified",U521,INDEX('Refrigerant GWPs'!$G$2:$G$156,MATCH(O521,'Refrigerant GWPs'!$A$2:$A$156,0))),"")</f>
        <v/>
      </c>
      <c r="CP521" s="138" t="str">
        <f>IF($I521&lt;&gt;"",INDEX('Device Refrigerant Leakage'!$E$2:$E$42,MATCH($M521,'Device Refrigerant Leakage'!$B$2:$B$42,0)),"")</f>
        <v/>
      </c>
      <c r="CQ521" s="138" t="str">
        <f>IF($I521&lt;&gt;"",INDEX('Device Refrigerant Leakage'!$F$2:$F$42,MATCH($M521,'Device Refrigerant Leakage'!$B$2:$B$42,0)),"")</f>
        <v/>
      </c>
      <c r="CR521" s="145" t="str">
        <f>IF($I521&lt;&gt;"",INDEX('Device Refrigerant Leakage'!$G$2:$G$42,MATCH($M521,'Device Refrigerant Leakage'!$B$2:$B$42,0)),"")</f>
        <v/>
      </c>
      <c r="CS521" s="145" t="str">
        <f>IF($I521&lt;&gt;"",INDEX('Device Refrigerant Leakage'!$D$2:$D$42,MATCH($M521,'Device Refrigerant Leakage'!$B$2:$B$42,0))*CP521/2204.62*CO521,"")</f>
        <v/>
      </c>
      <c r="CT521" s="145" t="str">
        <f>IF($I521&lt;&gt;"",J521*(INDEX('Device Refrigerant Leakage'!$D$2:$D$42,MATCH($M521,'Device Refrigerant Leakage'!$B$2:$B$42,0))-(INDEX('Device Refrigerant Leakage'!$D$2:$D$42,MATCH($M521,'Device Refrigerant Leakage'!$B$2:$B$42,0)))*CR521*CP521)*CQ521/2204.62*CO521,"")</f>
        <v/>
      </c>
      <c r="CU521" s="135" t="str">
        <f>IF($I521&lt;&gt;"",J521*IF(W521&lt;&gt;"AR",(CS521*K521)+CT521,(CS521*AB521)+CT521*(AB521/INDEX('Device Refrigerant Leakage'!$C$2:$C$42,MATCH($M521,'Device Refrigerant Leakage'!$B$2:$B$42,0)))),"")</f>
        <v/>
      </c>
      <c r="CW521" s="135" t="str">
        <f>IF($I521&lt;&gt;"",IF(S521="User Specified",V521,INDEX('Refrigerant GWPs'!$G$2:$G$156,MATCH(S521,'Refrigerant GWPs'!$A$2:$A$157,0))),"")</f>
        <v/>
      </c>
      <c r="CX521" s="138" t="str">
        <f>IF($I521&lt;&gt;"",INDEX('Device Refrigerant Leakage'!$E$2:$E$42,MATCH($Q521,'Device Refrigerant Leakage'!$B$2:$B$42,0)),"")</f>
        <v/>
      </c>
      <c r="CY521" s="138" t="str">
        <f>IF($I521&lt;&gt;"",INDEX('Device Refrigerant Leakage'!$F$2:$F$42,MATCH($Q521,'Device Refrigerant Leakage'!$B$2:$B$42,0)),"")</f>
        <v/>
      </c>
      <c r="CZ521" s="145" t="str">
        <f>IF($I521&lt;&gt;"",INDEX('Device Refrigerant Leakage'!$G$2:$G$42,MATCH($Q521,'Device Refrigerant Leakage'!$B$2:$B$42,0)),"")</f>
        <v/>
      </c>
      <c r="DA521" s="145" t="str">
        <f>IF($I521&lt;&gt;"",J521*INDEX('Device Refrigerant Leakage'!$D$2:$D$42,MATCH($Q521,'Device Refrigerant Leakage'!$B$2:$B$42,0))*CX521/2204.62*CW521,"")</f>
        <v/>
      </c>
      <c r="DB521" s="145" t="str">
        <f>IF($I521&lt;&gt;"",J521*(INDEX('Device Refrigerant Leakage'!$D$2:$D$42,MATCH($Q521,'Device Refrigerant Leakage'!$B$2:$B$42,0))-(INDEX('Device Refrigerant Leakage'!$D$2:$D$42,MATCH($Q521,'Device Refrigerant Leakage'!$B$2:$B$42,0)))*CZ521*CX521)*CY521/2204.62*CW521,"")</f>
        <v/>
      </c>
      <c r="DC521" s="135" t="str">
        <f t="shared" si="620"/>
        <v/>
      </c>
      <c r="DE521" s="146" t="str">
        <f>IF(W521&lt;&gt;"AR","",IF(Y521="User Specified", AA521, INDEX('Refrigerant GWPs'!$G$2:$G$154,MATCH(Y521,'Refrigerant GWPs'!$A$2:$A$154,0))))</f>
        <v/>
      </c>
      <c r="DF521" s="146" t="str">
        <f>IF(W521&lt;&gt;"AR","",INDEX('Device Refrigerant Leakage'!$E$2:$E$42,MATCH(X521,'Device Refrigerant Leakage'!$B$2:$B$42,0)))</f>
        <v/>
      </c>
      <c r="DG521" s="146" t="str">
        <f>IF(W521&lt;&gt;"AR","",INDEX('Device Refrigerant Leakage'!$F$2:$F$42,MATCH(X521,'Device Refrigerant Leakage'!$B$2:$B$42,0)))</f>
        <v/>
      </c>
      <c r="DH521" s="146" t="str">
        <f>IF(W521&lt;&gt;"AR","",INDEX('Device Refrigerant Leakage'!$G$2:$G$42,MATCH(X521,'Device Refrigerant Leakage'!$B$2:$B$42,0)))</f>
        <v/>
      </c>
      <c r="DI521" s="146" t="str">
        <f>IF(W521&lt;&gt;"AR","",J521*INDEX('Device Refrigerant Leakage'!$D$2:$D$42,MATCH(X521,'Device Refrigerant Leakage'!$B$2:$B$42,0))*DF521/2204.62*DE521)</f>
        <v/>
      </c>
      <c r="DJ521" s="146" t="str">
        <f>IF(W521&lt;&gt;"AR","",J521*(INDEX('Device Refrigerant Leakage'!$D$2:$D$42,MATCH(X521,'Device Refrigerant Leakage'!$B$2:$B$42,0))-(INDEX('Device Refrigerant Leakage'!$D$2:$D$42,MATCH(X521,'Device Refrigerant Leakage'!$B$2:$B$42,0)))*DH521*DF521)*DG521/2204.62*DE521)</f>
        <v/>
      </c>
      <c r="DK521" s="146" t="str">
        <f>IF(W521&lt;&gt;"AR","",DI521*(K521-AB521)+'Fuel Sub Calcs-Deemed'!DJ521*((K521-AB521)/INDEX('Device Refrigerant Leakage'!$C$2:$C$42,MATCH('Fuel Sub Calcs-Deemed'!X521,'Device Refrigerant Leakage'!$B$2:$B$42,0))))</f>
        <v/>
      </c>
      <c r="DM521" s="56">
        <v>507</v>
      </c>
      <c r="DN521" s="67" t="e">
        <f t="shared" si="602"/>
        <v>#N/A</v>
      </c>
      <c r="DO521" s="45" t="e">
        <f t="shared" si="603"/>
        <v>#N/A</v>
      </c>
      <c r="DP521" s="67" t="e">
        <f t="shared" si="604"/>
        <v>#N/A</v>
      </c>
      <c r="DQ521" s="45" t="e">
        <f t="shared" si="605"/>
        <v>#N/A</v>
      </c>
      <c r="DR521" s="69" t="e">
        <f t="shared" si="606"/>
        <v>#N/A</v>
      </c>
      <c r="DS521" s="34"/>
      <c r="DT521" s="67" t="e">
        <f>((BX521*CJ521)+IF($W521=MAT_AR,(BZ521*CL521),0))*(1+Reference!$E$50+Reference!$E$51)</f>
        <v>#N/A</v>
      </c>
      <c r="DU521" s="67">
        <f>((BY521*CK521)+IF($W521=MAT_AR,(CA521*CM521),0))*(1+Reference!$G$50+Reference!$G$51)</f>
        <v>0</v>
      </c>
      <c r="DV521" s="67" t="e">
        <f t="shared" si="607"/>
        <v>#VALUE!</v>
      </c>
      <c r="DX521" s="56">
        <v>507</v>
      </c>
      <c r="DY521" s="67">
        <f t="shared" si="608"/>
        <v>0</v>
      </c>
      <c r="DZ521" s="45" t="e">
        <f>VLOOKUP($R521,Dropdown!$C$3:$D$4,2,FALSE)</f>
        <v>#N/A</v>
      </c>
      <c r="EA521" s="68">
        <f t="shared" si="609"/>
        <v>0</v>
      </c>
      <c r="EB521" s="68" t="str">
        <f t="shared" si="610"/>
        <v>N/A</v>
      </c>
      <c r="EC521" s="68">
        <f t="shared" si="611"/>
        <v>0</v>
      </c>
      <c r="ED521" s="68" t="str">
        <f t="shared" si="649"/>
        <v>N/A</v>
      </c>
      <c r="EF521" s="56">
        <v>507</v>
      </c>
      <c r="EG521" s="46">
        <f t="shared" si="612"/>
        <v>0</v>
      </c>
      <c r="EH521" s="68" t="e">
        <f t="shared" si="613"/>
        <v>#N/A</v>
      </c>
      <c r="EI521" s="68" t="e">
        <f t="shared" si="614"/>
        <v>#N/A</v>
      </c>
      <c r="EJ521" s="68" t="e">
        <f t="shared" si="615"/>
        <v>#N/A</v>
      </c>
      <c r="EK521" s="68" t="e">
        <f t="shared" si="616"/>
        <v>#N/A</v>
      </c>
      <c r="EL521" s="46">
        <f t="shared" si="617"/>
        <v>0</v>
      </c>
      <c r="EM521" s="46">
        <f t="shared" si="618"/>
        <v>0</v>
      </c>
    </row>
    <row r="522" spans="1:143">
      <c r="A522" s="89"/>
      <c r="B522" s="89"/>
      <c r="C522" s="89"/>
      <c r="D522" s="89"/>
      <c r="E522" s="89"/>
      <c r="F522" s="89"/>
      <c r="G522" s="34"/>
      <c r="H522" s="56">
        <f t="shared" si="619"/>
        <v>508</v>
      </c>
      <c r="I522" s="165"/>
      <c r="J522" s="163"/>
      <c r="K522" s="163"/>
      <c r="L522" s="164"/>
      <c r="M522" s="155"/>
      <c r="N522" s="155"/>
      <c r="O522" s="144"/>
      <c r="P522" s="159" t="str">
        <f>IFERROR(IF(O522&lt;&gt;"User Specified",IF(O522&lt;&gt;"", INDEX('Refrigerant GWPs'!$G$2:$G$154,MATCH(O522,'Refrigerant GWPs'!$A$2:$A$154,0)),""),U522),0)</f>
        <v/>
      </c>
      <c r="Q522" s="155"/>
      <c r="R522" s="155"/>
      <c r="S522" s="144"/>
      <c r="T522" s="159" t="str">
        <f>IF(S522&lt;&gt;"User Specified",IF(AND(S522&lt;&gt;"User Specified",S522&lt;&gt;""), INDEX('Refrigerant GWPs'!$G$2:$G$154,MATCH(S522,'Refrigerant GWPs'!$A$2:$A$154,0)),""),V522)</f>
        <v/>
      </c>
      <c r="U522" s="144"/>
      <c r="V522" s="144"/>
      <c r="W522" s="155"/>
      <c r="X522" s="155"/>
      <c r="Y522" s="144"/>
      <c r="Z522" s="159" t="str">
        <f>IF(AND(Y522&lt;&gt;"User Specified",Y522&lt;&gt;""), INDEX('Refrigerant GWPs'!$G$2:$G$154,MATCH(Y522,'Refrigerant GWPs'!$A$2:$A$154,0)),"")</f>
        <v/>
      </c>
      <c r="AA522" s="155"/>
      <c r="AB522" s="156"/>
      <c r="AC522" s="66"/>
      <c r="AD522" s="66"/>
      <c r="AE522" s="66"/>
      <c r="AF522" s="66"/>
      <c r="AG522" s="66"/>
      <c r="AH522" s="66"/>
      <c r="AI522" s="34"/>
      <c r="AJ522" s="88">
        <f t="shared" si="582"/>
        <v>0</v>
      </c>
      <c r="AK522" s="88">
        <f t="shared" si="583"/>
        <v>0</v>
      </c>
      <c r="AL522" s="88">
        <v>0</v>
      </c>
      <c r="AM522" s="88">
        <v>0</v>
      </c>
      <c r="AN522" s="81" t="str">
        <f t="shared" si="621"/>
        <v/>
      </c>
      <c r="AO522" s="88">
        <f t="shared" si="584"/>
        <v>0</v>
      </c>
      <c r="AP522" s="88">
        <f t="shared" si="585"/>
        <v>0</v>
      </c>
      <c r="AQ522" s="81" t="str">
        <f t="shared" si="586"/>
        <v/>
      </c>
      <c r="AS522" s="41" t="b">
        <f t="shared" si="587"/>
        <v>1</v>
      </c>
      <c r="AT522" s="38">
        <f t="shared" si="588"/>
        <v>0</v>
      </c>
      <c r="AU522" s="60">
        <f t="shared" si="589"/>
        <v>0</v>
      </c>
      <c r="AV522" s="41">
        <f t="shared" si="590"/>
        <v>0</v>
      </c>
      <c r="AW522" s="41" t="b">
        <f t="shared" si="591"/>
        <v>0</v>
      </c>
      <c r="AX522" t="str">
        <f t="shared" si="592"/>
        <v>+00</v>
      </c>
      <c r="AY522" t="str">
        <f t="shared" si="593"/>
        <v>+00</v>
      </c>
      <c r="BA522" s="47" t="b">
        <f t="shared" si="622"/>
        <v>1</v>
      </c>
      <c r="BB522" s="42" t="b">
        <f t="shared" si="623"/>
        <v>1</v>
      </c>
      <c r="BC522" s="42" t="b">
        <f t="shared" si="624"/>
        <v>0</v>
      </c>
      <c r="BD522" s="42" t="b">
        <f t="shared" si="625"/>
        <v>0</v>
      </c>
      <c r="BE522" s="70">
        <f t="shared" si="626"/>
        <v>0</v>
      </c>
      <c r="BF522" s="70">
        <f t="shared" si="627"/>
        <v>0</v>
      </c>
      <c r="BG522" s="34"/>
      <c r="BI522" s="47" t="b">
        <f t="shared" si="628"/>
        <v>1</v>
      </c>
      <c r="BJ522" s="47" t="b">
        <f t="shared" si="629"/>
        <v>1</v>
      </c>
      <c r="BK522" s="42" t="b">
        <f t="shared" si="630"/>
        <v>0</v>
      </c>
      <c r="BL522" s="42" t="b">
        <f t="shared" si="631"/>
        <v>0</v>
      </c>
      <c r="BM522" s="42">
        <f t="shared" si="632"/>
        <v>0</v>
      </c>
      <c r="BN522" s="42">
        <f t="shared" si="633"/>
        <v>0</v>
      </c>
      <c r="BP522" t="e">
        <f t="shared" si="634"/>
        <v>#N/A</v>
      </c>
      <c r="BQ522" t="e">
        <f t="shared" si="635"/>
        <v>#N/A</v>
      </c>
      <c r="BR522" t="e">
        <f t="shared" si="636"/>
        <v>#N/A</v>
      </c>
      <c r="BT522" s="60">
        <f t="shared" si="637"/>
        <v>0</v>
      </c>
      <c r="BU522" s="60">
        <f t="shared" si="638"/>
        <v>0</v>
      </c>
      <c r="BV522" s="60">
        <f t="shared" si="639"/>
        <v>0</v>
      </c>
      <c r="BW522" s="60">
        <f t="shared" si="640"/>
        <v>0</v>
      </c>
      <c r="BX522" s="60">
        <f t="shared" si="641"/>
        <v>0</v>
      </c>
      <c r="BY522" s="60">
        <f t="shared" si="642"/>
        <v>0</v>
      </c>
      <c r="BZ522" s="60">
        <f t="shared" si="643"/>
        <v>0</v>
      </c>
      <c r="CA522" s="60">
        <f t="shared" si="644"/>
        <v>0</v>
      </c>
      <c r="CB522" s="60" t="e">
        <f t="shared" si="594"/>
        <v>#N/A</v>
      </c>
      <c r="CC522" s="60">
        <f t="shared" si="595"/>
        <v>100000</v>
      </c>
      <c r="CD522" s="60" t="e">
        <f t="shared" si="596"/>
        <v>#N/A</v>
      </c>
      <c r="CE522" s="60">
        <f t="shared" si="597"/>
        <v>100000</v>
      </c>
      <c r="CF522" s="83" t="e">
        <f t="shared" si="645"/>
        <v>#N/A</v>
      </c>
      <c r="CG522" s="83">
        <f t="shared" si="646"/>
        <v>0</v>
      </c>
      <c r="CH522" s="83" t="e">
        <f t="shared" si="647"/>
        <v>#N/A</v>
      </c>
      <c r="CI522" s="83">
        <f t="shared" si="648"/>
        <v>0</v>
      </c>
      <c r="CJ522" s="86" t="e">
        <f t="shared" si="598"/>
        <v>#N/A</v>
      </c>
      <c r="CK522" s="82">
        <f t="shared" si="599"/>
        <v>5.3070370403969858E-3</v>
      </c>
      <c r="CL522" s="82" t="e">
        <f t="shared" si="600"/>
        <v>#N/A</v>
      </c>
      <c r="CM522" s="82">
        <f t="shared" si="601"/>
        <v>5.3070370403969858E-3</v>
      </c>
      <c r="CO522" s="149" t="str">
        <f>IF($I522&lt;&gt;"",IF(O522="User Specified",U522,INDEX('Refrigerant GWPs'!$G$2:$G$156,MATCH(O522,'Refrigerant GWPs'!$A$2:$A$156,0))),"")</f>
        <v/>
      </c>
      <c r="CP522" s="138" t="str">
        <f>IF($I522&lt;&gt;"",INDEX('Device Refrigerant Leakage'!$E$2:$E$42,MATCH($M522,'Device Refrigerant Leakage'!$B$2:$B$42,0)),"")</f>
        <v/>
      </c>
      <c r="CQ522" s="138" t="str">
        <f>IF($I522&lt;&gt;"",INDEX('Device Refrigerant Leakage'!$F$2:$F$42,MATCH($M522,'Device Refrigerant Leakage'!$B$2:$B$42,0)),"")</f>
        <v/>
      </c>
      <c r="CR522" s="145" t="str">
        <f>IF($I522&lt;&gt;"",INDEX('Device Refrigerant Leakage'!$G$2:$G$42,MATCH($M522,'Device Refrigerant Leakage'!$B$2:$B$42,0)),"")</f>
        <v/>
      </c>
      <c r="CS522" s="145" t="str">
        <f>IF($I522&lt;&gt;"",INDEX('Device Refrigerant Leakage'!$D$2:$D$42,MATCH($M522,'Device Refrigerant Leakage'!$B$2:$B$42,0))*CP522/2204.62*CO522,"")</f>
        <v/>
      </c>
      <c r="CT522" s="145" t="str">
        <f>IF($I522&lt;&gt;"",J522*(INDEX('Device Refrigerant Leakage'!$D$2:$D$42,MATCH($M522,'Device Refrigerant Leakage'!$B$2:$B$42,0))-(INDEX('Device Refrigerant Leakage'!$D$2:$D$42,MATCH($M522,'Device Refrigerant Leakage'!$B$2:$B$42,0)))*CR522*CP522)*CQ522/2204.62*CO522,"")</f>
        <v/>
      </c>
      <c r="CU522" s="135" t="str">
        <f>IF($I522&lt;&gt;"",J522*IF(W522&lt;&gt;"AR",(CS522*K522)+CT522,(CS522*AB522)+CT522*(AB522/INDEX('Device Refrigerant Leakage'!$C$2:$C$42,MATCH($M522,'Device Refrigerant Leakage'!$B$2:$B$42,0)))),"")</f>
        <v/>
      </c>
      <c r="CW522" s="135" t="str">
        <f>IF($I522&lt;&gt;"",IF(S522="User Specified",V522,INDEX('Refrigerant GWPs'!$G$2:$G$156,MATCH(S522,'Refrigerant GWPs'!$A$2:$A$157,0))),"")</f>
        <v/>
      </c>
      <c r="CX522" s="138" t="str">
        <f>IF($I522&lt;&gt;"",INDEX('Device Refrigerant Leakage'!$E$2:$E$42,MATCH($Q522,'Device Refrigerant Leakage'!$B$2:$B$42,0)),"")</f>
        <v/>
      </c>
      <c r="CY522" s="138" t="str">
        <f>IF($I522&lt;&gt;"",INDEX('Device Refrigerant Leakage'!$F$2:$F$42,MATCH($Q522,'Device Refrigerant Leakage'!$B$2:$B$42,0)),"")</f>
        <v/>
      </c>
      <c r="CZ522" s="145" t="str">
        <f>IF($I522&lt;&gt;"",INDEX('Device Refrigerant Leakage'!$G$2:$G$42,MATCH($Q522,'Device Refrigerant Leakage'!$B$2:$B$42,0)),"")</f>
        <v/>
      </c>
      <c r="DA522" s="145" t="str">
        <f>IF($I522&lt;&gt;"",J522*INDEX('Device Refrigerant Leakage'!$D$2:$D$42,MATCH($Q522,'Device Refrigerant Leakage'!$B$2:$B$42,0))*CX522/2204.62*CW522,"")</f>
        <v/>
      </c>
      <c r="DB522" s="145" t="str">
        <f>IF($I522&lt;&gt;"",J522*(INDEX('Device Refrigerant Leakage'!$D$2:$D$42,MATCH($Q522,'Device Refrigerant Leakage'!$B$2:$B$42,0))-(INDEX('Device Refrigerant Leakage'!$D$2:$D$42,MATCH($Q522,'Device Refrigerant Leakage'!$B$2:$B$42,0)))*CZ522*CX522)*CY522/2204.62*CW522,"")</f>
        <v/>
      </c>
      <c r="DC522" s="135" t="str">
        <f t="shared" si="620"/>
        <v/>
      </c>
      <c r="DE522" s="146" t="str">
        <f>IF(W522&lt;&gt;"AR","",IF(Y522="User Specified", AA522, INDEX('Refrigerant GWPs'!$G$2:$G$154,MATCH(Y522,'Refrigerant GWPs'!$A$2:$A$154,0))))</f>
        <v/>
      </c>
      <c r="DF522" s="146" t="str">
        <f>IF(W522&lt;&gt;"AR","",INDEX('Device Refrigerant Leakage'!$E$2:$E$42,MATCH(X522,'Device Refrigerant Leakage'!$B$2:$B$42,0)))</f>
        <v/>
      </c>
      <c r="DG522" s="146" t="str">
        <f>IF(W522&lt;&gt;"AR","",INDEX('Device Refrigerant Leakage'!$F$2:$F$42,MATCH(X522,'Device Refrigerant Leakage'!$B$2:$B$42,0)))</f>
        <v/>
      </c>
      <c r="DH522" s="146" t="str">
        <f>IF(W522&lt;&gt;"AR","",INDEX('Device Refrigerant Leakage'!$G$2:$G$42,MATCH(X522,'Device Refrigerant Leakage'!$B$2:$B$42,0)))</f>
        <v/>
      </c>
      <c r="DI522" s="146" t="str">
        <f>IF(W522&lt;&gt;"AR","",J522*INDEX('Device Refrigerant Leakage'!$D$2:$D$42,MATCH(X522,'Device Refrigerant Leakage'!$B$2:$B$42,0))*DF522/2204.62*DE522)</f>
        <v/>
      </c>
      <c r="DJ522" s="146" t="str">
        <f>IF(W522&lt;&gt;"AR","",J522*(INDEX('Device Refrigerant Leakage'!$D$2:$D$42,MATCH(X522,'Device Refrigerant Leakage'!$B$2:$B$42,0))-(INDEX('Device Refrigerant Leakage'!$D$2:$D$42,MATCH(X522,'Device Refrigerant Leakage'!$B$2:$B$42,0)))*DH522*DF522)*DG522/2204.62*DE522)</f>
        <v/>
      </c>
      <c r="DK522" s="146" t="str">
        <f>IF(W522&lt;&gt;"AR","",DI522*(K522-AB522)+'Fuel Sub Calcs-Deemed'!DJ522*((K522-AB522)/INDEX('Device Refrigerant Leakage'!$C$2:$C$42,MATCH('Fuel Sub Calcs-Deemed'!X522,'Device Refrigerant Leakage'!$B$2:$B$42,0))))</f>
        <v/>
      </c>
      <c r="DM522" s="56">
        <v>508</v>
      </c>
      <c r="DN522" s="67" t="e">
        <f t="shared" si="602"/>
        <v>#N/A</v>
      </c>
      <c r="DO522" s="45" t="e">
        <f t="shared" si="603"/>
        <v>#N/A</v>
      </c>
      <c r="DP522" s="67" t="e">
        <f t="shared" si="604"/>
        <v>#N/A</v>
      </c>
      <c r="DQ522" s="45" t="e">
        <f t="shared" si="605"/>
        <v>#N/A</v>
      </c>
      <c r="DR522" s="69" t="e">
        <f t="shared" si="606"/>
        <v>#N/A</v>
      </c>
      <c r="DS522" s="34"/>
      <c r="DT522" s="67" t="e">
        <f>((BX522*CJ522)+IF($W522=MAT_AR,(BZ522*CL522),0))*(1+Reference!$E$50+Reference!$E$51)</f>
        <v>#N/A</v>
      </c>
      <c r="DU522" s="67">
        <f>((BY522*CK522)+IF($W522=MAT_AR,(CA522*CM522),0))*(1+Reference!$G$50+Reference!$G$51)</f>
        <v>0</v>
      </c>
      <c r="DV522" s="67" t="e">
        <f t="shared" si="607"/>
        <v>#VALUE!</v>
      </c>
      <c r="DX522" s="56">
        <v>508</v>
      </c>
      <c r="DY522" s="67">
        <f t="shared" si="608"/>
        <v>0</v>
      </c>
      <c r="DZ522" s="45" t="e">
        <f>VLOOKUP($R522,Dropdown!$C$3:$D$4,2,FALSE)</f>
        <v>#N/A</v>
      </c>
      <c r="EA522" s="68">
        <f t="shared" si="609"/>
        <v>0</v>
      </c>
      <c r="EB522" s="68" t="str">
        <f t="shared" si="610"/>
        <v>N/A</v>
      </c>
      <c r="EC522" s="68">
        <f t="shared" si="611"/>
        <v>0</v>
      </c>
      <c r="ED522" s="68" t="str">
        <f t="shared" si="649"/>
        <v>N/A</v>
      </c>
      <c r="EF522" s="56">
        <v>508</v>
      </c>
      <c r="EG522" s="46">
        <f t="shared" si="612"/>
        <v>0</v>
      </c>
      <c r="EH522" s="68" t="e">
        <f t="shared" si="613"/>
        <v>#N/A</v>
      </c>
      <c r="EI522" s="68" t="e">
        <f t="shared" si="614"/>
        <v>#N/A</v>
      </c>
      <c r="EJ522" s="68" t="e">
        <f t="shared" si="615"/>
        <v>#N/A</v>
      </c>
      <c r="EK522" s="68" t="e">
        <f t="shared" si="616"/>
        <v>#N/A</v>
      </c>
      <c r="EL522" s="46">
        <f t="shared" si="617"/>
        <v>0</v>
      </c>
      <c r="EM522" s="46">
        <f t="shared" si="618"/>
        <v>0</v>
      </c>
    </row>
    <row r="523" spans="1:143">
      <c r="A523" s="89"/>
      <c r="B523" s="89"/>
      <c r="C523" s="89"/>
      <c r="D523" s="89"/>
      <c r="E523" s="89"/>
      <c r="F523" s="89"/>
      <c r="G523" s="34"/>
      <c r="H523" s="56">
        <f t="shared" si="619"/>
        <v>509</v>
      </c>
      <c r="I523" s="165"/>
      <c r="J523" s="163"/>
      <c r="K523" s="163"/>
      <c r="L523" s="164"/>
      <c r="M523" s="155"/>
      <c r="N523" s="155"/>
      <c r="O523" s="144"/>
      <c r="P523" s="159" t="str">
        <f>IFERROR(IF(O523&lt;&gt;"User Specified",IF(O523&lt;&gt;"", INDEX('Refrigerant GWPs'!$G$2:$G$154,MATCH(O523,'Refrigerant GWPs'!$A$2:$A$154,0)),""),U523),0)</f>
        <v/>
      </c>
      <c r="Q523" s="155"/>
      <c r="R523" s="155"/>
      <c r="S523" s="144"/>
      <c r="T523" s="159" t="str">
        <f>IF(S523&lt;&gt;"User Specified",IF(AND(S523&lt;&gt;"User Specified",S523&lt;&gt;""), INDEX('Refrigerant GWPs'!$G$2:$G$154,MATCH(S523,'Refrigerant GWPs'!$A$2:$A$154,0)),""),V523)</f>
        <v/>
      </c>
      <c r="U523" s="144"/>
      <c r="V523" s="144"/>
      <c r="W523" s="155"/>
      <c r="X523" s="155"/>
      <c r="Y523" s="144"/>
      <c r="Z523" s="159" t="str">
        <f>IF(AND(Y523&lt;&gt;"User Specified",Y523&lt;&gt;""), INDEX('Refrigerant GWPs'!$G$2:$G$154,MATCH(Y523,'Refrigerant GWPs'!$A$2:$A$154,0)),"")</f>
        <v/>
      </c>
      <c r="AA523" s="155"/>
      <c r="AB523" s="156"/>
      <c r="AC523" s="66"/>
      <c r="AD523" s="66"/>
      <c r="AE523" s="66"/>
      <c r="AF523" s="66"/>
      <c r="AG523" s="66"/>
      <c r="AH523" s="66"/>
      <c r="AI523" s="34"/>
      <c r="AJ523" s="88">
        <f t="shared" si="582"/>
        <v>0</v>
      </c>
      <c r="AK523" s="88">
        <f t="shared" si="583"/>
        <v>0</v>
      </c>
      <c r="AL523" s="88">
        <v>0</v>
      </c>
      <c r="AM523" s="88">
        <v>0</v>
      </c>
      <c r="AN523" s="81" t="str">
        <f t="shared" si="621"/>
        <v/>
      </c>
      <c r="AO523" s="88">
        <f t="shared" si="584"/>
        <v>0</v>
      </c>
      <c r="AP523" s="88">
        <f t="shared" si="585"/>
        <v>0</v>
      </c>
      <c r="AQ523" s="81" t="str">
        <f t="shared" si="586"/>
        <v/>
      </c>
      <c r="AS523" s="41" t="b">
        <f t="shared" si="587"/>
        <v>1</v>
      </c>
      <c r="AT523" s="38">
        <f t="shared" si="588"/>
        <v>0</v>
      </c>
      <c r="AU523" s="60">
        <f t="shared" si="589"/>
        <v>0</v>
      </c>
      <c r="AV523" s="41">
        <f t="shared" si="590"/>
        <v>0</v>
      </c>
      <c r="AW523" s="41" t="b">
        <f t="shared" si="591"/>
        <v>0</v>
      </c>
      <c r="AX523" t="str">
        <f t="shared" si="592"/>
        <v>+00</v>
      </c>
      <c r="AY523" t="str">
        <f t="shared" si="593"/>
        <v>+00</v>
      </c>
      <c r="BA523" s="47" t="b">
        <f t="shared" si="622"/>
        <v>1</v>
      </c>
      <c r="BB523" s="42" t="b">
        <f t="shared" si="623"/>
        <v>1</v>
      </c>
      <c r="BC523" s="42" t="b">
        <f t="shared" si="624"/>
        <v>0</v>
      </c>
      <c r="BD523" s="42" t="b">
        <f t="shared" si="625"/>
        <v>0</v>
      </c>
      <c r="BE523" s="70">
        <f t="shared" si="626"/>
        <v>0</v>
      </c>
      <c r="BF523" s="70">
        <f t="shared" si="627"/>
        <v>0</v>
      </c>
      <c r="BG523" s="34"/>
      <c r="BI523" s="47" t="b">
        <f t="shared" si="628"/>
        <v>1</v>
      </c>
      <c r="BJ523" s="47" t="b">
        <f t="shared" si="629"/>
        <v>1</v>
      </c>
      <c r="BK523" s="42" t="b">
        <f t="shared" si="630"/>
        <v>0</v>
      </c>
      <c r="BL523" s="42" t="b">
        <f t="shared" si="631"/>
        <v>0</v>
      </c>
      <c r="BM523" s="42">
        <f t="shared" si="632"/>
        <v>0</v>
      </c>
      <c r="BN523" s="42">
        <f t="shared" si="633"/>
        <v>0</v>
      </c>
      <c r="BP523" t="e">
        <f t="shared" si="634"/>
        <v>#N/A</v>
      </c>
      <c r="BQ523" t="e">
        <f t="shared" si="635"/>
        <v>#N/A</v>
      </c>
      <c r="BR523" t="e">
        <f t="shared" si="636"/>
        <v>#N/A</v>
      </c>
      <c r="BT523" s="60">
        <f t="shared" si="637"/>
        <v>0</v>
      </c>
      <c r="BU523" s="60">
        <f t="shared" si="638"/>
        <v>0</v>
      </c>
      <c r="BV523" s="60">
        <f t="shared" si="639"/>
        <v>0</v>
      </c>
      <c r="BW523" s="60">
        <f t="shared" si="640"/>
        <v>0</v>
      </c>
      <c r="BX523" s="60">
        <f t="shared" si="641"/>
        <v>0</v>
      </c>
      <c r="BY523" s="60">
        <f t="shared" si="642"/>
        <v>0</v>
      </c>
      <c r="BZ523" s="60">
        <f t="shared" si="643"/>
        <v>0</v>
      </c>
      <c r="CA523" s="60">
        <f t="shared" si="644"/>
        <v>0</v>
      </c>
      <c r="CB523" s="60" t="e">
        <f t="shared" si="594"/>
        <v>#N/A</v>
      </c>
      <c r="CC523" s="60">
        <f t="shared" si="595"/>
        <v>100000</v>
      </c>
      <c r="CD523" s="60" t="e">
        <f t="shared" si="596"/>
        <v>#N/A</v>
      </c>
      <c r="CE523" s="60">
        <f t="shared" si="597"/>
        <v>100000</v>
      </c>
      <c r="CF523" s="83" t="e">
        <f t="shared" si="645"/>
        <v>#N/A</v>
      </c>
      <c r="CG523" s="83">
        <f t="shared" si="646"/>
        <v>0</v>
      </c>
      <c r="CH523" s="83" t="e">
        <f t="shared" si="647"/>
        <v>#N/A</v>
      </c>
      <c r="CI523" s="83">
        <f t="shared" si="648"/>
        <v>0</v>
      </c>
      <c r="CJ523" s="86" t="e">
        <f t="shared" si="598"/>
        <v>#N/A</v>
      </c>
      <c r="CK523" s="82">
        <f t="shared" si="599"/>
        <v>5.3070370403969858E-3</v>
      </c>
      <c r="CL523" s="82" t="e">
        <f t="shared" si="600"/>
        <v>#N/A</v>
      </c>
      <c r="CM523" s="82">
        <f t="shared" si="601"/>
        <v>5.3070370403969858E-3</v>
      </c>
      <c r="CO523" s="149" t="str">
        <f>IF($I523&lt;&gt;"",IF(O523="User Specified",U523,INDEX('Refrigerant GWPs'!$G$2:$G$156,MATCH(O523,'Refrigerant GWPs'!$A$2:$A$156,0))),"")</f>
        <v/>
      </c>
      <c r="CP523" s="138" t="str">
        <f>IF($I523&lt;&gt;"",INDEX('Device Refrigerant Leakage'!$E$2:$E$42,MATCH($M523,'Device Refrigerant Leakage'!$B$2:$B$42,0)),"")</f>
        <v/>
      </c>
      <c r="CQ523" s="138" t="str">
        <f>IF($I523&lt;&gt;"",INDEX('Device Refrigerant Leakage'!$F$2:$F$42,MATCH($M523,'Device Refrigerant Leakage'!$B$2:$B$42,0)),"")</f>
        <v/>
      </c>
      <c r="CR523" s="145" t="str">
        <f>IF($I523&lt;&gt;"",INDEX('Device Refrigerant Leakage'!$G$2:$G$42,MATCH($M523,'Device Refrigerant Leakage'!$B$2:$B$42,0)),"")</f>
        <v/>
      </c>
      <c r="CS523" s="145" t="str">
        <f>IF($I523&lt;&gt;"",INDEX('Device Refrigerant Leakage'!$D$2:$D$42,MATCH($M523,'Device Refrigerant Leakage'!$B$2:$B$42,0))*CP523/2204.62*CO523,"")</f>
        <v/>
      </c>
      <c r="CT523" s="145" t="str">
        <f>IF($I523&lt;&gt;"",J523*(INDEX('Device Refrigerant Leakage'!$D$2:$D$42,MATCH($M523,'Device Refrigerant Leakage'!$B$2:$B$42,0))-(INDEX('Device Refrigerant Leakage'!$D$2:$D$42,MATCH($M523,'Device Refrigerant Leakage'!$B$2:$B$42,0)))*CR523*CP523)*CQ523/2204.62*CO523,"")</f>
        <v/>
      </c>
      <c r="CU523" s="135" t="str">
        <f>IF($I523&lt;&gt;"",J523*IF(W523&lt;&gt;"AR",(CS523*K523)+CT523,(CS523*AB523)+CT523*(AB523/INDEX('Device Refrigerant Leakage'!$C$2:$C$42,MATCH($M523,'Device Refrigerant Leakage'!$B$2:$B$42,0)))),"")</f>
        <v/>
      </c>
      <c r="CW523" s="135" t="str">
        <f>IF($I523&lt;&gt;"",IF(S523="User Specified",V523,INDEX('Refrigerant GWPs'!$G$2:$G$156,MATCH(S523,'Refrigerant GWPs'!$A$2:$A$157,0))),"")</f>
        <v/>
      </c>
      <c r="CX523" s="138" t="str">
        <f>IF($I523&lt;&gt;"",INDEX('Device Refrigerant Leakage'!$E$2:$E$42,MATCH($Q523,'Device Refrigerant Leakage'!$B$2:$B$42,0)),"")</f>
        <v/>
      </c>
      <c r="CY523" s="138" t="str">
        <f>IF($I523&lt;&gt;"",INDEX('Device Refrigerant Leakage'!$F$2:$F$42,MATCH($Q523,'Device Refrigerant Leakage'!$B$2:$B$42,0)),"")</f>
        <v/>
      </c>
      <c r="CZ523" s="145" t="str">
        <f>IF($I523&lt;&gt;"",INDEX('Device Refrigerant Leakage'!$G$2:$G$42,MATCH($Q523,'Device Refrigerant Leakage'!$B$2:$B$42,0)),"")</f>
        <v/>
      </c>
      <c r="DA523" s="145" t="str">
        <f>IF($I523&lt;&gt;"",J523*INDEX('Device Refrigerant Leakage'!$D$2:$D$42,MATCH($Q523,'Device Refrigerant Leakage'!$B$2:$B$42,0))*CX523/2204.62*CW523,"")</f>
        <v/>
      </c>
      <c r="DB523" s="145" t="str">
        <f>IF($I523&lt;&gt;"",J523*(INDEX('Device Refrigerant Leakage'!$D$2:$D$42,MATCH($Q523,'Device Refrigerant Leakage'!$B$2:$B$42,0))-(INDEX('Device Refrigerant Leakage'!$D$2:$D$42,MATCH($Q523,'Device Refrigerant Leakage'!$B$2:$B$42,0)))*CZ523*CX523)*CY523/2204.62*CW523,"")</f>
        <v/>
      </c>
      <c r="DC523" s="135" t="str">
        <f t="shared" si="620"/>
        <v/>
      </c>
      <c r="DE523" s="146" t="str">
        <f>IF(W523&lt;&gt;"AR","",IF(Y523="User Specified", AA523, INDEX('Refrigerant GWPs'!$G$2:$G$154,MATCH(Y523,'Refrigerant GWPs'!$A$2:$A$154,0))))</f>
        <v/>
      </c>
      <c r="DF523" s="146" t="str">
        <f>IF(W523&lt;&gt;"AR","",INDEX('Device Refrigerant Leakage'!$E$2:$E$42,MATCH(X523,'Device Refrigerant Leakage'!$B$2:$B$42,0)))</f>
        <v/>
      </c>
      <c r="DG523" s="146" t="str">
        <f>IF(W523&lt;&gt;"AR","",INDEX('Device Refrigerant Leakage'!$F$2:$F$42,MATCH(X523,'Device Refrigerant Leakage'!$B$2:$B$42,0)))</f>
        <v/>
      </c>
      <c r="DH523" s="146" t="str">
        <f>IF(W523&lt;&gt;"AR","",INDEX('Device Refrigerant Leakage'!$G$2:$G$42,MATCH(X523,'Device Refrigerant Leakage'!$B$2:$B$42,0)))</f>
        <v/>
      </c>
      <c r="DI523" s="146" t="str">
        <f>IF(W523&lt;&gt;"AR","",J523*INDEX('Device Refrigerant Leakage'!$D$2:$D$42,MATCH(X523,'Device Refrigerant Leakage'!$B$2:$B$42,0))*DF523/2204.62*DE523)</f>
        <v/>
      </c>
      <c r="DJ523" s="146" t="str">
        <f>IF(W523&lt;&gt;"AR","",J523*(INDEX('Device Refrigerant Leakage'!$D$2:$D$42,MATCH(X523,'Device Refrigerant Leakage'!$B$2:$B$42,0))-(INDEX('Device Refrigerant Leakage'!$D$2:$D$42,MATCH(X523,'Device Refrigerant Leakage'!$B$2:$B$42,0)))*DH523*DF523)*DG523/2204.62*DE523)</f>
        <v/>
      </c>
      <c r="DK523" s="146" t="str">
        <f>IF(W523&lt;&gt;"AR","",DI523*(K523-AB523)+'Fuel Sub Calcs-Deemed'!DJ523*((K523-AB523)/INDEX('Device Refrigerant Leakage'!$C$2:$C$42,MATCH('Fuel Sub Calcs-Deemed'!X523,'Device Refrigerant Leakage'!$B$2:$B$42,0))))</f>
        <v/>
      </c>
      <c r="DM523" s="56">
        <v>509</v>
      </c>
      <c r="DN523" s="67" t="e">
        <f t="shared" si="602"/>
        <v>#N/A</v>
      </c>
      <c r="DO523" s="45" t="e">
        <f t="shared" si="603"/>
        <v>#N/A</v>
      </c>
      <c r="DP523" s="67" t="e">
        <f t="shared" si="604"/>
        <v>#N/A</v>
      </c>
      <c r="DQ523" s="45" t="e">
        <f t="shared" si="605"/>
        <v>#N/A</v>
      </c>
      <c r="DR523" s="69" t="e">
        <f t="shared" si="606"/>
        <v>#N/A</v>
      </c>
      <c r="DS523" s="34"/>
      <c r="DT523" s="67" t="e">
        <f>((BX523*CJ523)+IF($W523=MAT_AR,(BZ523*CL523),0))*(1+Reference!$E$50+Reference!$E$51)</f>
        <v>#N/A</v>
      </c>
      <c r="DU523" s="67">
        <f>((BY523*CK523)+IF($W523=MAT_AR,(CA523*CM523),0))*(1+Reference!$G$50+Reference!$G$51)</f>
        <v>0</v>
      </c>
      <c r="DV523" s="67" t="e">
        <f t="shared" si="607"/>
        <v>#VALUE!</v>
      </c>
      <c r="DX523" s="56">
        <v>509</v>
      </c>
      <c r="DY523" s="67">
        <f t="shared" si="608"/>
        <v>0</v>
      </c>
      <c r="DZ523" s="45" t="e">
        <f>VLOOKUP($R523,Dropdown!$C$3:$D$4,2,FALSE)</f>
        <v>#N/A</v>
      </c>
      <c r="EA523" s="68">
        <f t="shared" si="609"/>
        <v>0</v>
      </c>
      <c r="EB523" s="68" t="str">
        <f t="shared" si="610"/>
        <v>N/A</v>
      </c>
      <c r="EC523" s="68">
        <f t="shared" si="611"/>
        <v>0</v>
      </c>
      <c r="ED523" s="68" t="str">
        <f t="shared" si="649"/>
        <v>N/A</v>
      </c>
      <c r="EF523" s="56">
        <v>509</v>
      </c>
      <c r="EG523" s="46">
        <f t="shared" si="612"/>
        <v>0</v>
      </c>
      <c r="EH523" s="68" t="e">
        <f t="shared" si="613"/>
        <v>#N/A</v>
      </c>
      <c r="EI523" s="68" t="e">
        <f t="shared" si="614"/>
        <v>#N/A</v>
      </c>
      <c r="EJ523" s="68" t="e">
        <f t="shared" si="615"/>
        <v>#N/A</v>
      </c>
      <c r="EK523" s="68" t="e">
        <f t="shared" si="616"/>
        <v>#N/A</v>
      </c>
      <c r="EL523" s="46">
        <f t="shared" si="617"/>
        <v>0</v>
      </c>
      <c r="EM523" s="46">
        <f t="shared" si="618"/>
        <v>0</v>
      </c>
    </row>
    <row r="524" spans="1:143">
      <c r="A524" s="89"/>
      <c r="B524" s="89"/>
      <c r="C524" s="89"/>
      <c r="D524" s="89"/>
      <c r="E524" s="89"/>
      <c r="F524" s="89"/>
      <c r="G524" s="34"/>
      <c r="H524" s="56">
        <f t="shared" si="619"/>
        <v>510</v>
      </c>
      <c r="I524" s="165"/>
      <c r="J524" s="163"/>
      <c r="K524" s="163"/>
      <c r="L524" s="164"/>
      <c r="M524" s="155"/>
      <c r="N524" s="155"/>
      <c r="O524" s="144"/>
      <c r="P524" s="159" t="str">
        <f>IFERROR(IF(O524&lt;&gt;"User Specified",IF(O524&lt;&gt;"", INDEX('Refrigerant GWPs'!$G$2:$G$154,MATCH(O524,'Refrigerant GWPs'!$A$2:$A$154,0)),""),U524),0)</f>
        <v/>
      </c>
      <c r="Q524" s="155"/>
      <c r="R524" s="155"/>
      <c r="S524" s="144"/>
      <c r="T524" s="159" t="str">
        <f>IF(S524&lt;&gt;"User Specified",IF(AND(S524&lt;&gt;"User Specified",S524&lt;&gt;""), INDEX('Refrigerant GWPs'!$G$2:$G$154,MATCH(S524,'Refrigerant GWPs'!$A$2:$A$154,0)),""),V524)</f>
        <v/>
      </c>
      <c r="U524" s="144"/>
      <c r="V524" s="144"/>
      <c r="W524" s="155"/>
      <c r="X524" s="155"/>
      <c r="Y524" s="144"/>
      <c r="Z524" s="159" t="str">
        <f>IF(AND(Y524&lt;&gt;"User Specified",Y524&lt;&gt;""), INDEX('Refrigerant GWPs'!$G$2:$G$154,MATCH(Y524,'Refrigerant GWPs'!$A$2:$A$154,0)),"")</f>
        <v/>
      </c>
      <c r="AA524" s="155"/>
      <c r="AB524" s="156"/>
      <c r="AC524" s="66"/>
      <c r="AD524" s="66"/>
      <c r="AE524" s="66"/>
      <c r="AF524" s="66"/>
      <c r="AG524" s="66"/>
      <c r="AH524" s="66"/>
      <c r="AI524" s="34"/>
      <c r="AJ524" s="88">
        <f t="shared" si="582"/>
        <v>0</v>
      </c>
      <c r="AK524" s="88">
        <f t="shared" si="583"/>
        <v>0</v>
      </c>
      <c r="AL524" s="88">
        <v>0</v>
      </c>
      <c r="AM524" s="88">
        <v>0</v>
      </c>
      <c r="AN524" s="81" t="str">
        <f t="shared" si="621"/>
        <v/>
      </c>
      <c r="AO524" s="88">
        <f t="shared" si="584"/>
        <v>0</v>
      </c>
      <c r="AP524" s="88">
        <f t="shared" si="585"/>
        <v>0</v>
      </c>
      <c r="AQ524" s="81" t="str">
        <f t="shared" si="586"/>
        <v/>
      </c>
      <c r="AS524" s="41" t="b">
        <f t="shared" si="587"/>
        <v>1</v>
      </c>
      <c r="AT524" s="38">
        <f t="shared" si="588"/>
        <v>0</v>
      </c>
      <c r="AU524" s="60">
        <f t="shared" si="589"/>
        <v>0</v>
      </c>
      <c r="AV524" s="41">
        <f t="shared" si="590"/>
        <v>0</v>
      </c>
      <c r="AW524" s="41" t="b">
        <f t="shared" si="591"/>
        <v>0</v>
      </c>
      <c r="AX524" t="str">
        <f t="shared" si="592"/>
        <v>+00</v>
      </c>
      <c r="AY524" t="str">
        <f t="shared" si="593"/>
        <v>+00</v>
      </c>
      <c r="BA524" s="47" t="b">
        <f t="shared" si="622"/>
        <v>1</v>
      </c>
      <c r="BB524" s="42" t="b">
        <f t="shared" si="623"/>
        <v>1</v>
      </c>
      <c r="BC524" s="42" t="b">
        <f t="shared" si="624"/>
        <v>0</v>
      </c>
      <c r="BD524" s="42" t="b">
        <f t="shared" si="625"/>
        <v>0</v>
      </c>
      <c r="BE524" s="70">
        <f t="shared" si="626"/>
        <v>0</v>
      </c>
      <c r="BF524" s="70">
        <f t="shared" si="627"/>
        <v>0</v>
      </c>
      <c r="BG524" s="34"/>
      <c r="BI524" s="47" t="b">
        <f t="shared" si="628"/>
        <v>1</v>
      </c>
      <c r="BJ524" s="47" t="b">
        <f t="shared" si="629"/>
        <v>1</v>
      </c>
      <c r="BK524" s="42" t="b">
        <f t="shared" si="630"/>
        <v>0</v>
      </c>
      <c r="BL524" s="42" t="b">
        <f t="shared" si="631"/>
        <v>0</v>
      </c>
      <c r="BM524" s="42">
        <f t="shared" si="632"/>
        <v>0</v>
      </c>
      <c r="BN524" s="42">
        <f t="shared" si="633"/>
        <v>0</v>
      </c>
      <c r="BP524" t="e">
        <f t="shared" si="634"/>
        <v>#N/A</v>
      </c>
      <c r="BQ524" t="e">
        <f t="shared" si="635"/>
        <v>#N/A</v>
      </c>
      <c r="BR524" t="e">
        <f t="shared" si="636"/>
        <v>#N/A</v>
      </c>
      <c r="BT524" s="60">
        <f t="shared" si="637"/>
        <v>0</v>
      </c>
      <c r="BU524" s="60">
        <f t="shared" si="638"/>
        <v>0</v>
      </c>
      <c r="BV524" s="60">
        <f t="shared" si="639"/>
        <v>0</v>
      </c>
      <c r="BW524" s="60">
        <f t="shared" si="640"/>
        <v>0</v>
      </c>
      <c r="BX524" s="60">
        <f t="shared" si="641"/>
        <v>0</v>
      </c>
      <c r="BY524" s="60">
        <f t="shared" si="642"/>
        <v>0</v>
      </c>
      <c r="BZ524" s="60">
        <f t="shared" si="643"/>
        <v>0</v>
      </c>
      <c r="CA524" s="60">
        <f t="shared" si="644"/>
        <v>0</v>
      </c>
      <c r="CB524" s="60" t="e">
        <f t="shared" si="594"/>
        <v>#N/A</v>
      </c>
      <c r="CC524" s="60">
        <f t="shared" si="595"/>
        <v>100000</v>
      </c>
      <c r="CD524" s="60" t="e">
        <f t="shared" si="596"/>
        <v>#N/A</v>
      </c>
      <c r="CE524" s="60">
        <f t="shared" si="597"/>
        <v>100000</v>
      </c>
      <c r="CF524" s="83" t="e">
        <f t="shared" si="645"/>
        <v>#N/A</v>
      </c>
      <c r="CG524" s="83">
        <f t="shared" si="646"/>
        <v>0</v>
      </c>
      <c r="CH524" s="83" t="e">
        <f t="shared" si="647"/>
        <v>#N/A</v>
      </c>
      <c r="CI524" s="83">
        <f t="shared" si="648"/>
        <v>0</v>
      </c>
      <c r="CJ524" s="86" t="e">
        <f t="shared" si="598"/>
        <v>#N/A</v>
      </c>
      <c r="CK524" s="82">
        <f t="shared" si="599"/>
        <v>5.3070370403969858E-3</v>
      </c>
      <c r="CL524" s="82" t="e">
        <f t="shared" si="600"/>
        <v>#N/A</v>
      </c>
      <c r="CM524" s="82">
        <f t="shared" si="601"/>
        <v>5.3070370403969858E-3</v>
      </c>
      <c r="CO524" s="149" t="str">
        <f>IF($I524&lt;&gt;"",IF(O524="User Specified",U524,INDEX('Refrigerant GWPs'!$G$2:$G$156,MATCH(O524,'Refrigerant GWPs'!$A$2:$A$156,0))),"")</f>
        <v/>
      </c>
      <c r="CP524" s="138" t="str">
        <f>IF($I524&lt;&gt;"",INDEX('Device Refrigerant Leakage'!$E$2:$E$42,MATCH($M524,'Device Refrigerant Leakage'!$B$2:$B$42,0)),"")</f>
        <v/>
      </c>
      <c r="CQ524" s="138" t="str">
        <f>IF($I524&lt;&gt;"",INDEX('Device Refrigerant Leakage'!$F$2:$F$42,MATCH($M524,'Device Refrigerant Leakage'!$B$2:$B$42,0)),"")</f>
        <v/>
      </c>
      <c r="CR524" s="145" t="str">
        <f>IF($I524&lt;&gt;"",INDEX('Device Refrigerant Leakage'!$G$2:$G$42,MATCH($M524,'Device Refrigerant Leakage'!$B$2:$B$42,0)),"")</f>
        <v/>
      </c>
      <c r="CS524" s="145" t="str">
        <f>IF($I524&lt;&gt;"",INDEX('Device Refrigerant Leakage'!$D$2:$D$42,MATCH($M524,'Device Refrigerant Leakage'!$B$2:$B$42,0))*CP524/2204.62*CO524,"")</f>
        <v/>
      </c>
      <c r="CT524" s="145" t="str">
        <f>IF($I524&lt;&gt;"",J524*(INDEX('Device Refrigerant Leakage'!$D$2:$D$42,MATCH($M524,'Device Refrigerant Leakage'!$B$2:$B$42,0))-(INDEX('Device Refrigerant Leakage'!$D$2:$D$42,MATCH($M524,'Device Refrigerant Leakage'!$B$2:$B$42,0)))*CR524*CP524)*CQ524/2204.62*CO524,"")</f>
        <v/>
      </c>
      <c r="CU524" s="135" t="str">
        <f>IF($I524&lt;&gt;"",J524*IF(W524&lt;&gt;"AR",(CS524*K524)+CT524,(CS524*AB524)+CT524*(AB524/INDEX('Device Refrigerant Leakage'!$C$2:$C$42,MATCH($M524,'Device Refrigerant Leakage'!$B$2:$B$42,0)))),"")</f>
        <v/>
      </c>
      <c r="CW524" s="135" t="str">
        <f>IF($I524&lt;&gt;"",IF(S524="User Specified",V524,INDEX('Refrigerant GWPs'!$G$2:$G$156,MATCH(S524,'Refrigerant GWPs'!$A$2:$A$157,0))),"")</f>
        <v/>
      </c>
      <c r="CX524" s="138" t="str">
        <f>IF($I524&lt;&gt;"",INDEX('Device Refrigerant Leakage'!$E$2:$E$42,MATCH($Q524,'Device Refrigerant Leakage'!$B$2:$B$42,0)),"")</f>
        <v/>
      </c>
      <c r="CY524" s="138" t="str">
        <f>IF($I524&lt;&gt;"",INDEX('Device Refrigerant Leakage'!$F$2:$F$42,MATCH($Q524,'Device Refrigerant Leakage'!$B$2:$B$42,0)),"")</f>
        <v/>
      </c>
      <c r="CZ524" s="145" t="str">
        <f>IF($I524&lt;&gt;"",INDEX('Device Refrigerant Leakage'!$G$2:$G$42,MATCH($Q524,'Device Refrigerant Leakage'!$B$2:$B$42,0)),"")</f>
        <v/>
      </c>
      <c r="DA524" s="145" t="str">
        <f>IF($I524&lt;&gt;"",J524*INDEX('Device Refrigerant Leakage'!$D$2:$D$42,MATCH($Q524,'Device Refrigerant Leakage'!$B$2:$B$42,0))*CX524/2204.62*CW524,"")</f>
        <v/>
      </c>
      <c r="DB524" s="145" t="str">
        <f>IF($I524&lt;&gt;"",J524*(INDEX('Device Refrigerant Leakage'!$D$2:$D$42,MATCH($Q524,'Device Refrigerant Leakage'!$B$2:$B$42,0))-(INDEX('Device Refrigerant Leakage'!$D$2:$D$42,MATCH($Q524,'Device Refrigerant Leakage'!$B$2:$B$42,0)))*CZ524*CX524)*CY524/2204.62*CW524,"")</f>
        <v/>
      </c>
      <c r="DC524" s="135" t="str">
        <f t="shared" si="620"/>
        <v/>
      </c>
      <c r="DE524" s="146" t="str">
        <f>IF(W524&lt;&gt;"AR","",IF(Y524="User Specified", AA524, INDEX('Refrigerant GWPs'!$G$2:$G$154,MATCH(Y524,'Refrigerant GWPs'!$A$2:$A$154,0))))</f>
        <v/>
      </c>
      <c r="DF524" s="146" t="str">
        <f>IF(W524&lt;&gt;"AR","",INDEX('Device Refrigerant Leakage'!$E$2:$E$42,MATCH(X524,'Device Refrigerant Leakage'!$B$2:$B$42,0)))</f>
        <v/>
      </c>
      <c r="DG524" s="146" t="str">
        <f>IF(W524&lt;&gt;"AR","",INDEX('Device Refrigerant Leakage'!$F$2:$F$42,MATCH(X524,'Device Refrigerant Leakage'!$B$2:$B$42,0)))</f>
        <v/>
      </c>
      <c r="DH524" s="146" t="str">
        <f>IF(W524&lt;&gt;"AR","",INDEX('Device Refrigerant Leakage'!$G$2:$G$42,MATCH(X524,'Device Refrigerant Leakage'!$B$2:$B$42,0)))</f>
        <v/>
      </c>
      <c r="DI524" s="146" t="str">
        <f>IF(W524&lt;&gt;"AR","",J524*INDEX('Device Refrigerant Leakage'!$D$2:$D$42,MATCH(X524,'Device Refrigerant Leakage'!$B$2:$B$42,0))*DF524/2204.62*DE524)</f>
        <v/>
      </c>
      <c r="DJ524" s="146" t="str">
        <f>IF(W524&lt;&gt;"AR","",J524*(INDEX('Device Refrigerant Leakage'!$D$2:$D$42,MATCH(X524,'Device Refrigerant Leakage'!$B$2:$B$42,0))-(INDEX('Device Refrigerant Leakage'!$D$2:$D$42,MATCH(X524,'Device Refrigerant Leakage'!$B$2:$B$42,0)))*DH524*DF524)*DG524/2204.62*DE524)</f>
        <v/>
      </c>
      <c r="DK524" s="146" t="str">
        <f>IF(W524&lt;&gt;"AR","",DI524*(K524-AB524)+'Fuel Sub Calcs-Deemed'!DJ524*((K524-AB524)/INDEX('Device Refrigerant Leakage'!$C$2:$C$42,MATCH('Fuel Sub Calcs-Deemed'!X524,'Device Refrigerant Leakage'!$B$2:$B$42,0))))</f>
        <v/>
      </c>
      <c r="DM524" s="56">
        <v>510</v>
      </c>
      <c r="DN524" s="67" t="e">
        <f t="shared" si="602"/>
        <v>#N/A</v>
      </c>
      <c r="DO524" s="45" t="e">
        <f t="shared" si="603"/>
        <v>#N/A</v>
      </c>
      <c r="DP524" s="67" t="e">
        <f t="shared" si="604"/>
        <v>#N/A</v>
      </c>
      <c r="DQ524" s="45" t="e">
        <f t="shared" si="605"/>
        <v>#N/A</v>
      </c>
      <c r="DR524" s="69" t="e">
        <f t="shared" si="606"/>
        <v>#N/A</v>
      </c>
      <c r="DS524" s="34"/>
      <c r="DT524" s="67" t="e">
        <f>((BX524*CJ524)+IF($W524=MAT_AR,(BZ524*CL524),0))*(1+Reference!$E$50+Reference!$E$51)</f>
        <v>#N/A</v>
      </c>
      <c r="DU524" s="67">
        <f>((BY524*CK524)+IF($W524=MAT_AR,(CA524*CM524),0))*(1+Reference!$G$50+Reference!$G$51)</f>
        <v>0</v>
      </c>
      <c r="DV524" s="67" t="e">
        <f t="shared" si="607"/>
        <v>#VALUE!</v>
      </c>
      <c r="DX524" s="56">
        <v>510</v>
      </c>
      <c r="DY524" s="67">
        <f t="shared" si="608"/>
        <v>0</v>
      </c>
      <c r="DZ524" s="45" t="e">
        <f>VLOOKUP($R524,Dropdown!$C$3:$D$4,2,FALSE)</f>
        <v>#N/A</v>
      </c>
      <c r="EA524" s="68">
        <f t="shared" si="609"/>
        <v>0</v>
      </c>
      <c r="EB524" s="68" t="str">
        <f t="shared" si="610"/>
        <v>N/A</v>
      </c>
      <c r="EC524" s="68">
        <f t="shared" si="611"/>
        <v>0</v>
      </c>
      <c r="ED524" s="68" t="str">
        <f t="shared" si="649"/>
        <v>N/A</v>
      </c>
      <c r="EF524" s="56">
        <v>510</v>
      </c>
      <c r="EG524" s="46">
        <f t="shared" si="612"/>
        <v>0</v>
      </c>
      <c r="EH524" s="68" t="e">
        <f t="shared" si="613"/>
        <v>#N/A</v>
      </c>
      <c r="EI524" s="68" t="e">
        <f t="shared" si="614"/>
        <v>#N/A</v>
      </c>
      <c r="EJ524" s="68" t="e">
        <f t="shared" si="615"/>
        <v>#N/A</v>
      </c>
      <c r="EK524" s="68" t="e">
        <f t="shared" si="616"/>
        <v>#N/A</v>
      </c>
      <c r="EL524" s="46">
        <f t="shared" si="617"/>
        <v>0</v>
      </c>
      <c r="EM524" s="46">
        <f t="shared" si="618"/>
        <v>0</v>
      </c>
    </row>
    <row r="525" spans="1:143">
      <c r="A525" s="89"/>
      <c r="B525" s="89"/>
      <c r="C525" s="89"/>
      <c r="D525" s="89"/>
      <c r="E525" s="89"/>
      <c r="F525" s="89"/>
      <c r="G525" s="34"/>
      <c r="H525" s="56">
        <f t="shared" si="619"/>
        <v>511</v>
      </c>
      <c r="I525" s="165"/>
      <c r="J525" s="163"/>
      <c r="K525" s="163"/>
      <c r="L525" s="164"/>
      <c r="M525" s="155"/>
      <c r="N525" s="155"/>
      <c r="O525" s="144"/>
      <c r="P525" s="159" t="str">
        <f>IFERROR(IF(O525&lt;&gt;"User Specified",IF(O525&lt;&gt;"", INDEX('Refrigerant GWPs'!$G$2:$G$154,MATCH(O525,'Refrigerant GWPs'!$A$2:$A$154,0)),""),U525),0)</f>
        <v/>
      </c>
      <c r="Q525" s="155"/>
      <c r="R525" s="155"/>
      <c r="S525" s="144"/>
      <c r="T525" s="159" t="str">
        <f>IF(S525&lt;&gt;"User Specified",IF(AND(S525&lt;&gt;"User Specified",S525&lt;&gt;""), INDEX('Refrigerant GWPs'!$G$2:$G$154,MATCH(S525,'Refrigerant GWPs'!$A$2:$A$154,0)),""),V525)</f>
        <v/>
      </c>
      <c r="U525" s="144"/>
      <c r="V525" s="144"/>
      <c r="W525" s="155"/>
      <c r="X525" s="155"/>
      <c r="Y525" s="144"/>
      <c r="Z525" s="159" t="str">
        <f>IF(AND(Y525&lt;&gt;"User Specified",Y525&lt;&gt;""), INDEX('Refrigerant GWPs'!$G$2:$G$154,MATCH(Y525,'Refrigerant GWPs'!$A$2:$A$154,0)),"")</f>
        <v/>
      </c>
      <c r="AA525" s="155"/>
      <c r="AB525" s="156"/>
      <c r="AC525" s="66"/>
      <c r="AD525" s="66"/>
      <c r="AE525" s="66"/>
      <c r="AF525" s="66"/>
      <c r="AG525" s="66"/>
      <c r="AH525" s="66"/>
      <c r="AI525" s="34"/>
      <c r="AJ525" s="88">
        <f t="shared" si="582"/>
        <v>0</v>
      </c>
      <c r="AK525" s="88">
        <f t="shared" si="583"/>
        <v>0</v>
      </c>
      <c r="AL525" s="88">
        <v>0</v>
      </c>
      <c r="AM525" s="88">
        <v>0</v>
      </c>
      <c r="AN525" s="81" t="str">
        <f t="shared" si="621"/>
        <v/>
      </c>
      <c r="AO525" s="88">
        <f t="shared" si="584"/>
        <v>0</v>
      </c>
      <c r="AP525" s="88">
        <f t="shared" si="585"/>
        <v>0</v>
      </c>
      <c r="AQ525" s="81" t="str">
        <f t="shared" si="586"/>
        <v/>
      </c>
      <c r="AS525" s="41" t="b">
        <f t="shared" si="587"/>
        <v>1</v>
      </c>
      <c r="AT525" s="38">
        <f t="shared" si="588"/>
        <v>0</v>
      </c>
      <c r="AU525" s="60">
        <f t="shared" si="589"/>
        <v>0</v>
      </c>
      <c r="AV525" s="41">
        <f t="shared" si="590"/>
        <v>0</v>
      </c>
      <c r="AW525" s="41" t="b">
        <f t="shared" si="591"/>
        <v>0</v>
      </c>
      <c r="AX525" t="str">
        <f t="shared" si="592"/>
        <v>+00</v>
      </c>
      <c r="AY525" t="str">
        <f t="shared" si="593"/>
        <v>+00</v>
      </c>
      <c r="BA525" s="47" t="b">
        <f t="shared" si="622"/>
        <v>1</v>
      </c>
      <c r="BB525" s="42" t="b">
        <f t="shared" si="623"/>
        <v>1</v>
      </c>
      <c r="BC525" s="42" t="b">
        <f t="shared" si="624"/>
        <v>0</v>
      </c>
      <c r="BD525" s="42" t="b">
        <f t="shared" si="625"/>
        <v>0</v>
      </c>
      <c r="BE525" s="70">
        <f t="shared" si="626"/>
        <v>0</v>
      </c>
      <c r="BF525" s="70">
        <f t="shared" si="627"/>
        <v>0</v>
      </c>
      <c r="BG525" s="34"/>
      <c r="BI525" s="47" t="b">
        <f t="shared" si="628"/>
        <v>1</v>
      </c>
      <c r="BJ525" s="47" t="b">
        <f t="shared" si="629"/>
        <v>1</v>
      </c>
      <c r="BK525" s="42" t="b">
        <f t="shared" si="630"/>
        <v>0</v>
      </c>
      <c r="BL525" s="42" t="b">
        <f t="shared" si="631"/>
        <v>0</v>
      </c>
      <c r="BM525" s="42">
        <f t="shared" si="632"/>
        <v>0</v>
      </c>
      <c r="BN525" s="42">
        <f t="shared" si="633"/>
        <v>0</v>
      </c>
      <c r="BP525" t="e">
        <f t="shared" si="634"/>
        <v>#N/A</v>
      </c>
      <c r="BQ525" t="e">
        <f t="shared" si="635"/>
        <v>#N/A</v>
      </c>
      <c r="BR525" t="e">
        <f t="shared" si="636"/>
        <v>#N/A</v>
      </c>
      <c r="BT525" s="60">
        <f t="shared" si="637"/>
        <v>0</v>
      </c>
      <c r="BU525" s="60">
        <f t="shared" si="638"/>
        <v>0</v>
      </c>
      <c r="BV525" s="60">
        <f t="shared" si="639"/>
        <v>0</v>
      </c>
      <c r="BW525" s="60">
        <f t="shared" si="640"/>
        <v>0</v>
      </c>
      <c r="BX525" s="60">
        <f t="shared" si="641"/>
        <v>0</v>
      </c>
      <c r="BY525" s="60">
        <f t="shared" si="642"/>
        <v>0</v>
      </c>
      <c r="BZ525" s="60">
        <f t="shared" si="643"/>
        <v>0</v>
      </c>
      <c r="CA525" s="60">
        <f t="shared" si="644"/>
        <v>0</v>
      </c>
      <c r="CB525" s="60" t="e">
        <f t="shared" si="594"/>
        <v>#N/A</v>
      </c>
      <c r="CC525" s="60">
        <f t="shared" si="595"/>
        <v>100000</v>
      </c>
      <c r="CD525" s="60" t="e">
        <f t="shared" si="596"/>
        <v>#N/A</v>
      </c>
      <c r="CE525" s="60">
        <f t="shared" si="597"/>
        <v>100000</v>
      </c>
      <c r="CF525" s="83" t="e">
        <f t="shared" si="645"/>
        <v>#N/A</v>
      </c>
      <c r="CG525" s="83">
        <f t="shared" si="646"/>
        <v>0</v>
      </c>
      <c r="CH525" s="83" t="e">
        <f t="shared" si="647"/>
        <v>#N/A</v>
      </c>
      <c r="CI525" s="83">
        <f t="shared" si="648"/>
        <v>0</v>
      </c>
      <c r="CJ525" s="86" t="e">
        <f t="shared" si="598"/>
        <v>#N/A</v>
      </c>
      <c r="CK525" s="82">
        <f t="shared" si="599"/>
        <v>5.3070370403969858E-3</v>
      </c>
      <c r="CL525" s="82" t="e">
        <f t="shared" si="600"/>
        <v>#N/A</v>
      </c>
      <c r="CM525" s="82">
        <f t="shared" si="601"/>
        <v>5.3070370403969858E-3</v>
      </c>
      <c r="CO525" s="149" t="str">
        <f>IF($I525&lt;&gt;"",IF(O525="User Specified",U525,INDEX('Refrigerant GWPs'!$G$2:$G$156,MATCH(O525,'Refrigerant GWPs'!$A$2:$A$156,0))),"")</f>
        <v/>
      </c>
      <c r="CP525" s="138" t="str">
        <f>IF($I525&lt;&gt;"",INDEX('Device Refrigerant Leakage'!$E$2:$E$42,MATCH($M525,'Device Refrigerant Leakage'!$B$2:$B$42,0)),"")</f>
        <v/>
      </c>
      <c r="CQ525" s="138" t="str">
        <f>IF($I525&lt;&gt;"",INDEX('Device Refrigerant Leakage'!$F$2:$F$42,MATCH($M525,'Device Refrigerant Leakage'!$B$2:$B$42,0)),"")</f>
        <v/>
      </c>
      <c r="CR525" s="145" t="str">
        <f>IF($I525&lt;&gt;"",INDEX('Device Refrigerant Leakage'!$G$2:$G$42,MATCH($M525,'Device Refrigerant Leakage'!$B$2:$B$42,0)),"")</f>
        <v/>
      </c>
      <c r="CS525" s="145" t="str">
        <f>IF($I525&lt;&gt;"",INDEX('Device Refrigerant Leakage'!$D$2:$D$42,MATCH($M525,'Device Refrigerant Leakage'!$B$2:$B$42,0))*CP525/2204.62*CO525,"")</f>
        <v/>
      </c>
      <c r="CT525" s="145" t="str">
        <f>IF($I525&lt;&gt;"",J525*(INDEX('Device Refrigerant Leakage'!$D$2:$D$42,MATCH($M525,'Device Refrigerant Leakage'!$B$2:$B$42,0))-(INDEX('Device Refrigerant Leakage'!$D$2:$D$42,MATCH($M525,'Device Refrigerant Leakage'!$B$2:$B$42,0)))*CR525*CP525)*CQ525/2204.62*CO525,"")</f>
        <v/>
      </c>
      <c r="CU525" s="135" t="str">
        <f>IF($I525&lt;&gt;"",J525*IF(W525&lt;&gt;"AR",(CS525*K525)+CT525,(CS525*AB525)+CT525*(AB525/INDEX('Device Refrigerant Leakage'!$C$2:$C$42,MATCH($M525,'Device Refrigerant Leakage'!$B$2:$B$42,0)))),"")</f>
        <v/>
      </c>
      <c r="CW525" s="135" t="str">
        <f>IF($I525&lt;&gt;"",IF(S525="User Specified",V525,INDEX('Refrigerant GWPs'!$G$2:$G$156,MATCH(S525,'Refrigerant GWPs'!$A$2:$A$157,0))),"")</f>
        <v/>
      </c>
      <c r="CX525" s="138" t="str">
        <f>IF($I525&lt;&gt;"",INDEX('Device Refrigerant Leakage'!$E$2:$E$42,MATCH($Q525,'Device Refrigerant Leakage'!$B$2:$B$42,0)),"")</f>
        <v/>
      </c>
      <c r="CY525" s="138" t="str">
        <f>IF($I525&lt;&gt;"",INDEX('Device Refrigerant Leakage'!$F$2:$F$42,MATCH($Q525,'Device Refrigerant Leakage'!$B$2:$B$42,0)),"")</f>
        <v/>
      </c>
      <c r="CZ525" s="145" t="str">
        <f>IF($I525&lt;&gt;"",INDEX('Device Refrigerant Leakage'!$G$2:$G$42,MATCH($Q525,'Device Refrigerant Leakage'!$B$2:$B$42,0)),"")</f>
        <v/>
      </c>
      <c r="DA525" s="145" t="str">
        <f>IF($I525&lt;&gt;"",J525*INDEX('Device Refrigerant Leakage'!$D$2:$D$42,MATCH($Q525,'Device Refrigerant Leakage'!$B$2:$B$42,0))*CX525/2204.62*CW525,"")</f>
        <v/>
      </c>
      <c r="DB525" s="145" t="str">
        <f>IF($I525&lt;&gt;"",J525*(INDEX('Device Refrigerant Leakage'!$D$2:$D$42,MATCH($Q525,'Device Refrigerant Leakage'!$B$2:$B$42,0))-(INDEX('Device Refrigerant Leakage'!$D$2:$D$42,MATCH($Q525,'Device Refrigerant Leakage'!$B$2:$B$42,0)))*CZ525*CX525)*CY525/2204.62*CW525,"")</f>
        <v/>
      </c>
      <c r="DC525" s="135" t="str">
        <f t="shared" si="620"/>
        <v/>
      </c>
      <c r="DE525" s="146" t="str">
        <f>IF(W525&lt;&gt;"AR","",IF(Y525="User Specified", AA525, INDEX('Refrigerant GWPs'!$G$2:$G$154,MATCH(Y525,'Refrigerant GWPs'!$A$2:$A$154,0))))</f>
        <v/>
      </c>
      <c r="DF525" s="146" t="str">
        <f>IF(W525&lt;&gt;"AR","",INDEX('Device Refrigerant Leakage'!$E$2:$E$42,MATCH(X525,'Device Refrigerant Leakage'!$B$2:$B$42,0)))</f>
        <v/>
      </c>
      <c r="DG525" s="146" t="str">
        <f>IF(W525&lt;&gt;"AR","",INDEX('Device Refrigerant Leakage'!$F$2:$F$42,MATCH(X525,'Device Refrigerant Leakage'!$B$2:$B$42,0)))</f>
        <v/>
      </c>
      <c r="DH525" s="146" t="str">
        <f>IF(W525&lt;&gt;"AR","",INDEX('Device Refrigerant Leakage'!$G$2:$G$42,MATCH(X525,'Device Refrigerant Leakage'!$B$2:$B$42,0)))</f>
        <v/>
      </c>
      <c r="DI525" s="146" t="str">
        <f>IF(W525&lt;&gt;"AR","",J525*INDEX('Device Refrigerant Leakage'!$D$2:$D$42,MATCH(X525,'Device Refrigerant Leakage'!$B$2:$B$42,0))*DF525/2204.62*DE525)</f>
        <v/>
      </c>
      <c r="DJ525" s="146" t="str">
        <f>IF(W525&lt;&gt;"AR","",J525*(INDEX('Device Refrigerant Leakage'!$D$2:$D$42,MATCH(X525,'Device Refrigerant Leakage'!$B$2:$B$42,0))-(INDEX('Device Refrigerant Leakage'!$D$2:$D$42,MATCH(X525,'Device Refrigerant Leakage'!$B$2:$B$42,0)))*DH525*DF525)*DG525/2204.62*DE525)</f>
        <v/>
      </c>
      <c r="DK525" s="146" t="str">
        <f>IF(W525&lt;&gt;"AR","",DI525*(K525-AB525)+'Fuel Sub Calcs-Deemed'!DJ525*((K525-AB525)/INDEX('Device Refrigerant Leakage'!$C$2:$C$42,MATCH('Fuel Sub Calcs-Deemed'!X525,'Device Refrigerant Leakage'!$B$2:$B$42,0))))</f>
        <v/>
      </c>
      <c r="DM525" s="56">
        <v>511</v>
      </c>
      <c r="DN525" s="67" t="e">
        <f t="shared" si="602"/>
        <v>#N/A</v>
      </c>
      <c r="DO525" s="45" t="e">
        <f t="shared" si="603"/>
        <v>#N/A</v>
      </c>
      <c r="DP525" s="67" t="e">
        <f t="shared" si="604"/>
        <v>#N/A</v>
      </c>
      <c r="DQ525" s="45" t="e">
        <f t="shared" si="605"/>
        <v>#N/A</v>
      </c>
      <c r="DR525" s="69" t="e">
        <f t="shared" si="606"/>
        <v>#N/A</v>
      </c>
      <c r="DS525" s="34"/>
      <c r="DT525" s="67" t="e">
        <f>((BX525*CJ525)+IF($W525=MAT_AR,(BZ525*CL525),0))*(1+Reference!$E$50+Reference!$E$51)</f>
        <v>#N/A</v>
      </c>
      <c r="DU525" s="67">
        <f>((BY525*CK525)+IF($W525=MAT_AR,(CA525*CM525),0))*(1+Reference!$G$50+Reference!$G$51)</f>
        <v>0</v>
      </c>
      <c r="DV525" s="67" t="e">
        <f t="shared" si="607"/>
        <v>#VALUE!</v>
      </c>
      <c r="DX525" s="56">
        <v>511</v>
      </c>
      <c r="DY525" s="67">
        <f t="shared" si="608"/>
        <v>0</v>
      </c>
      <c r="DZ525" s="45" t="e">
        <f>VLOOKUP($R525,Dropdown!$C$3:$D$4,2,FALSE)</f>
        <v>#N/A</v>
      </c>
      <c r="EA525" s="68">
        <f t="shared" si="609"/>
        <v>0</v>
      </c>
      <c r="EB525" s="68" t="str">
        <f t="shared" si="610"/>
        <v>N/A</v>
      </c>
      <c r="EC525" s="68">
        <f t="shared" si="611"/>
        <v>0</v>
      </c>
      <c r="ED525" s="68" t="str">
        <f t="shared" si="649"/>
        <v>N/A</v>
      </c>
      <c r="EF525" s="56">
        <v>511</v>
      </c>
      <c r="EG525" s="46">
        <f t="shared" si="612"/>
        <v>0</v>
      </c>
      <c r="EH525" s="68" t="e">
        <f t="shared" si="613"/>
        <v>#N/A</v>
      </c>
      <c r="EI525" s="68" t="e">
        <f t="shared" si="614"/>
        <v>#N/A</v>
      </c>
      <c r="EJ525" s="68" t="e">
        <f t="shared" si="615"/>
        <v>#N/A</v>
      </c>
      <c r="EK525" s="68" t="e">
        <f t="shared" si="616"/>
        <v>#N/A</v>
      </c>
      <c r="EL525" s="46">
        <f t="shared" si="617"/>
        <v>0</v>
      </c>
      <c r="EM525" s="46">
        <f t="shared" si="618"/>
        <v>0</v>
      </c>
    </row>
    <row r="526" spans="1:143">
      <c r="A526" s="89"/>
      <c r="B526" s="89"/>
      <c r="C526" s="89"/>
      <c r="D526" s="89"/>
      <c r="E526" s="89"/>
      <c r="F526" s="89"/>
      <c r="G526" s="34"/>
      <c r="H526" s="56">
        <f t="shared" si="619"/>
        <v>512</v>
      </c>
      <c r="I526" s="165"/>
      <c r="J526" s="163"/>
      <c r="K526" s="163"/>
      <c r="L526" s="164"/>
      <c r="M526" s="155"/>
      <c r="N526" s="155"/>
      <c r="O526" s="144"/>
      <c r="P526" s="159" t="str">
        <f>IFERROR(IF(O526&lt;&gt;"User Specified",IF(O526&lt;&gt;"", INDEX('Refrigerant GWPs'!$G$2:$G$154,MATCH(O526,'Refrigerant GWPs'!$A$2:$A$154,0)),""),U526),0)</f>
        <v/>
      </c>
      <c r="Q526" s="155"/>
      <c r="R526" s="155"/>
      <c r="S526" s="144"/>
      <c r="T526" s="159" t="str">
        <f>IF(S526&lt;&gt;"User Specified",IF(AND(S526&lt;&gt;"User Specified",S526&lt;&gt;""), INDEX('Refrigerant GWPs'!$G$2:$G$154,MATCH(S526,'Refrigerant GWPs'!$A$2:$A$154,0)),""),V526)</f>
        <v/>
      </c>
      <c r="U526" s="144"/>
      <c r="V526" s="144"/>
      <c r="W526" s="155"/>
      <c r="X526" s="155"/>
      <c r="Y526" s="144"/>
      <c r="Z526" s="159" t="str">
        <f>IF(AND(Y526&lt;&gt;"User Specified",Y526&lt;&gt;""), INDEX('Refrigerant GWPs'!$G$2:$G$154,MATCH(Y526,'Refrigerant GWPs'!$A$2:$A$154,0)),"")</f>
        <v/>
      </c>
      <c r="AA526" s="155"/>
      <c r="AB526" s="156"/>
      <c r="AC526" s="66"/>
      <c r="AD526" s="66"/>
      <c r="AE526" s="66"/>
      <c r="AF526" s="66"/>
      <c r="AG526" s="66"/>
      <c r="AH526" s="66"/>
      <c r="AI526" s="34"/>
      <c r="AJ526" s="88">
        <f t="shared" si="582"/>
        <v>0</v>
      </c>
      <c r="AK526" s="88">
        <f t="shared" si="583"/>
        <v>0</v>
      </c>
      <c r="AL526" s="88">
        <v>0</v>
      </c>
      <c r="AM526" s="88">
        <v>0</v>
      </c>
      <c r="AN526" s="81" t="str">
        <f t="shared" si="621"/>
        <v/>
      </c>
      <c r="AO526" s="88">
        <f t="shared" si="584"/>
        <v>0</v>
      </c>
      <c r="AP526" s="88">
        <f t="shared" si="585"/>
        <v>0</v>
      </c>
      <c r="AQ526" s="81" t="str">
        <f t="shared" si="586"/>
        <v/>
      </c>
      <c r="AS526" s="41" t="b">
        <f t="shared" si="587"/>
        <v>1</v>
      </c>
      <c r="AT526" s="38">
        <f t="shared" si="588"/>
        <v>0</v>
      </c>
      <c r="AU526" s="60">
        <f t="shared" si="589"/>
        <v>0</v>
      </c>
      <c r="AV526" s="41">
        <f t="shared" si="590"/>
        <v>0</v>
      </c>
      <c r="AW526" s="41" t="b">
        <f t="shared" si="591"/>
        <v>0</v>
      </c>
      <c r="AX526" t="str">
        <f t="shared" si="592"/>
        <v>+00</v>
      </c>
      <c r="AY526" t="str">
        <f t="shared" si="593"/>
        <v>+00</v>
      </c>
      <c r="BA526" s="47" t="b">
        <f t="shared" si="622"/>
        <v>1</v>
      </c>
      <c r="BB526" s="42" t="b">
        <f t="shared" si="623"/>
        <v>1</v>
      </c>
      <c r="BC526" s="42" t="b">
        <f t="shared" si="624"/>
        <v>0</v>
      </c>
      <c r="BD526" s="42" t="b">
        <f t="shared" si="625"/>
        <v>0</v>
      </c>
      <c r="BE526" s="70">
        <f t="shared" si="626"/>
        <v>0</v>
      </c>
      <c r="BF526" s="70">
        <f t="shared" si="627"/>
        <v>0</v>
      </c>
      <c r="BG526" s="34"/>
      <c r="BI526" s="47" t="b">
        <f t="shared" si="628"/>
        <v>1</v>
      </c>
      <c r="BJ526" s="47" t="b">
        <f t="shared" si="629"/>
        <v>1</v>
      </c>
      <c r="BK526" s="42" t="b">
        <f t="shared" si="630"/>
        <v>0</v>
      </c>
      <c r="BL526" s="42" t="b">
        <f t="shared" si="631"/>
        <v>0</v>
      </c>
      <c r="BM526" s="42">
        <f t="shared" si="632"/>
        <v>0</v>
      </c>
      <c r="BN526" s="42">
        <f t="shared" si="633"/>
        <v>0</v>
      </c>
      <c r="BP526" t="e">
        <f t="shared" si="634"/>
        <v>#N/A</v>
      </c>
      <c r="BQ526" t="e">
        <f t="shared" si="635"/>
        <v>#N/A</v>
      </c>
      <c r="BR526" t="e">
        <f t="shared" si="636"/>
        <v>#N/A</v>
      </c>
      <c r="BT526" s="60">
        <f t="shared" si="637"/>
        <v>0</v>
      </c>
      <c r="BU526" s="60">
        <f t="shared" si="638"/>
        <v>0</v>
      </c>
      <c r="BV526" s="60">
        <f t="shared" si="639"/>
        <v>0</v>
      </c>
      <c r="BW526" s="60">
        <f t="shared" si="640"/>
        <v>0</v>
      </c>
      <c r="BX526" s="60">
        <f t="shared" si="641"/>
        <v>0</v>
      </c>
      <c r="BY526" s="60">
        <f t="shared" si="642"/>
        <v>0</v>
      </c>
      <c r="BZ526" s="60">
        <f t="shared" si="643"/>
        <v>0</v>
      </c>
      <c r="CA526" s="60">
        <f t="shared" si="644"/>
        <v>0</v>
      </c>
      <c r="CB526" s="60" t="e">
        <f t="shared" si="594"/>
        <v>#N/A</v>
      </c>
      <c r="CC526" s="60">
        <f t="shared" si="595"/>
        <v>100000</v>
      </c>
      <c r="CD526" s="60" t="e">
        <f t="shared" si="596"/>
        <v>#N/A</v>
      </c>
      <c r="CE526" s="60">
        <f t="shared" si="597"/>
        <v>100000</v>
      </c>
      <c r="CF526" s="83" t="e">
        <f t="shared" si="645"/>
        <v>#N/A</v>
      </c>
      <c r="CG526" s="83">
        <f t="shared" si="646"/>
        <v>0</v>
      </c>
      <c r="CH526" s="83" t="e">
        <f t="shared" si="647"/>
        <v>#N/A</v>
      </c>
      <c r="CI526" s="83">
        <f t="shared" si="648"/>
        <v>0</v>
      </c>
      <c r="CJ526" s="86" t="e">
        <f t="shared" si="598"/>
        <v>#N/A</v>
      </c>
      <c r="CK526" s="82">
        <f t="shared" si="599"/>
        <v>5.3070370403969858E-3</v>
      </c>
      <c r="CL526" s="82" t="e">
        <f t="shared" si="600"/>
        <v>#N/A</v>
      </c>
      <c r="CM526" s="82">
        <f t="shared" si="601"/>
        <v>5.3070370403969858E-3</v>
      </c>
      <c r="CO526" s="149" t="str">
        <f>IF($I526&lt;&gt;"",IF(O526="User Specified",U526,INDEX('Refrigerant GWPs'!$G$2:$G$156,MATCH(O526,'Refrigerant GWPs'!$A$2:$A$156,0))),"")</f>
        <v/>
      </c>
      <c r="CP526" s="138" t="str">
        <f>IF($I526&lt;&gt;"",INDEX('Device Refrigerant Leakage'!$E$2:$E$42,MATCH($M526,'Device Refrigerant Leakage'!$B$2:$B$42,0)),"")</f>
        <v/>
      </c>
      <c r="CQ526" s="138" t="str">
        <f>IF($I526&lt;&gt;"",INDEX('Device Refrigerant Leakage'!$F$2:$F$42,MATCH($M526,'Device Refrigerant Leakage'!$B$2:$B$42,0)),"")</f>
        <v/>
      </c>
      <c r="CR526" s="145" t="str">
        <f>IF($I526&lt;&gt;"",INDEX('Device Refrigerant Leakage'!$G$2:$G$42,MATCH($M526,'Device Refrigerant Leakage'!$B$2:$B$42,0)),"")</f>
        <v/>
      </c>
      <c r="CS526" s="145" t="str">
        <f>IF($I526&lt;&gt;"",INDEX('Device Refrigerant Leakage'!$D$2:$D$42,MATCH($M526,'Device Refrigerant Leakage'!$B$2:$B$42,0))*CP526/2204.62*CO526,"")</f>
        <v/>
      </c>
      <c r="CT526" s="145" t="str">
        <f>IF($I526&lt;&gt;"",J526*(INDEX('Device Refrigerant Leakage'!$D$2:$D$42,MATCH($M526,'Device Refrigerant Leakage'!$B$2:$B$42,0))-(INDEX('Device Refrigerant Leakage'!$D$2:$D$42,MATCH($M526,'Device Refrigerant Leakage'!$B$2:$B$42,0)))*CR526*CP526)*CQ526/2204.62*CO526,"")</f>
        <v/>
      </c>
      <c r="CU526" s="135" t="str">
        <f>IF($I526&lt;&gt;"",J526*IF(W526&lt;&gt;"AR",(CS526*K526)+CT526,(CS526*AB526)+CT526*(AB526/INDEX('Device Refrigerant Leakage'!$C$2:$C$42,MATCH($M526,'Device Refrigerant Leakage'!$B$2:$B$42,0)))),"")</f>
        <v/>
      </c>
      <c r="CW526" s="135" t="str">
        <f>IF($I526&lt;&gt;"",IF(S526="User Specified",V526,INDEX('Refrigerant GWPs'!$G$2:$G$156,MATCH(S526,'Refrigerant GWPs'!$A$2:$A$157,0))),"")</f>
        <v/>
      </c>
      <c r="CX526" s="138" t="str">
        <f>IF($I526&lt;&gt;"",INDEX('Device Refrigerant Leakage'!$E$2:$E$42,MATCH($Q526,'Device Refrigerant Leakage'!$B$2:$B$42,0)),"")</f>
        <v/>
      </c>
      <c r="CY526" s="138" t="str">
        <f>IF($I526&lt;&gt;"",INDEX('Device Refrigerant Leakage'!$F$2:$F$42,MATCH($Q526,'Device Refrigerant Leakage'!$B$2:$B$42,0)),"")</f>
        <v/>
      </c>
      <c r="CZ526" s="145" t="str">
        <f>IF($I526&lt;&gt;"",INDEX('Device Refrigerant Leakage'!$G$2:$G$42,MATCH($Q526,'Device Refrigerant Leakage'!$B$2:$B$42,0)),"")</f>
        <v/>
      </c>
      <c r="DA526" s="145" t="str">
        <f>IF($I526&lt;&gt;"",J526*INDEX('Device Refrigerant Leakage'!$D$2:$D$42,MATCH($Q526,'Device Refrigerant Leakage'!$B$2:$B$42,0))*CX526/2204.62*CW526,"")</f>
        <v/>
      </c>
      <c r="DB526" s="145" t="str">
        <f>IF($I526&lt;&gt;"",J526*(INDEX('Device Refrigerant Leakage'!$D$2:$D$42,MATCH($Q526,'Device Refrigerant Leakage'!$B$2:$B$42,0))-(INDEX('Device Refrigerant Leakage'!$D$2:$D$42,MATCH($Q526,'Device Refrigerant Leakage'!$B$2:$B$42,0)))*CZ526*CX526)*CY526/2204.62*CW526,"")</f>
        <v/>
      </c>
      <c r="DC526" s="135" t="str">
        <f t="shared" si="620"/>
        <v/>
      </c>
      <c r="DE526" s="146" t="str">
        <f>IF(W526&lt;&gt;"AR","",IF(Y526="User Specified", AA526, INDEX('Refrigerant GWPs'!$G$2:$G$154,MATCH(Y526,'Refrigerant GWPs'!$A$2:$A$154,0))))</f>
        <v/>
      </c>
      <c r="DF526" s="146" t="str">
        <f>IF(W526&lt;&gt;"AR","",INDEX('Device Refrigerant Leakage'!$E$2:$E$42,MATCH(X526,'Device Refrigerant Leakage'!$B$2:$B$42,0)))</f>
        <v/>
      </c>
      <c r="DG526" s="146" t="str">
        <f>IF(W526&lt;&gt;"AR","",INDEX('Device Refrigerant Leakage'!$F$2:$F$42,MATCH(X526,'Device Refrigerant Leakage'!$B$2:$B$42,0)))</f>
        <v/>
      </c>
      <c r="DH526" s="146" t="str">
        <f>IF(W526&lt;&gt;"AR","",INDEX('Device Refrigerant Leakage'!$G$2:$G$42,MATCH(X526,'Device Refrigerant Leakage'!$B$2:$B$42,0)))</f>
        <v/>
      </c>
      <c r="DI526" s="146" t="str">
        <f>IF(W526&lt;&gt;"AR","",J526*INDEX('Device Refrigerant Leakage'!$D$2:$D$42,MATCH(X526,'Device Refrigerant Leakage'!$B$2:$B$42,0))*DF526/2204.62*DE526)</f>
        <v/>
      </c>
      <c r="DJ526" s="146" t="str">
        <f>IF(W526&lt;&gt;"AR","",J526*(INDEX('Device Refrigerant Leakage'!$D$2:$D$42,MATCH(X526,'Device Refrigerant Leakage'!$B$2:$B$42,0))-(INDEX('Device Refrigerant Leakage'!$D$2:$D$42,MATCH(X526,'Device Refrigerant Leakage'!$B$2:$B$42,0)))*DH526*DF526)*DG526/2204.62*DE526)</f>
        <v/>
      </c>
      <c r="DK526" s="146" t="str">
        <f>IF(W526&lt;&gt;"AR","",DI526*(K526-AB526)+'Fuel Sub Calcs-Deemed'!DJ526*((K526-AB526)/INDEX('Device Refrigerant Leakage'!$C$2:$C$42,MATCH('Fuel Sub Calcs-Deemed'!X526,'Device Refrigerant Leakage'!$B$2:$B$42,0))))</f>
        <v/>
      </c>
      <c r="DM526" s="56">
        <v>512</v>
      </c>
      <c r="DN526" s="67" t="e">
        <f t="shared" si="602"/>
        <v>#N/A</v>
      </c>
      <c r="DO526" s="45" t="e">
        <f t="shared" si="603"/>
        <v>#N/A</v>
      </c>
      <c r="DP526" s="67" t="e">
        <f t="shared" si="604"/>
        <v>#N/A</v>
      </c>
      <c r="DQ526" s="45" t="e">
        <f t="shared" si="605"/>
        <v>#N/A</v>
      </c>
      <c r="DR526" s="69" t="e">
        <f t="shared" si="606"/>
        <v>#N/A</v>
      </c>
      <c r="DS526" s="34"/>
      <c r="DT526" s="67" t="e">
        <f>((BX526*CJ526)+IF($W526=MAT_AR,(BZ526*CL526),0))*(1+Reference!$E$50+Reference!$E$51)</f>
        <v>#N/A</v>
      </c>
      <c r="DU526" s="67">
        <f>((BY526*CK526)+IF($W526=MAT_AR,(CA526*CM526),0))*(1+Reference!$G$50+Reference!$G$51)</f>
        <v>0</v>
      </c>
      <c r="DV526" s="67" t="e">
        <f t="shared" si="607"/>
        <v>#VALUE!</v>
      </c>
      <c r="DX526" s="56">
        <v>512</v>
      </c>
      <c r="DY526" s="67">
        <f t="shared" si="608"/>
        <v>0</v>
      </c>
      <c r="DZ526" s="45" t="e">
        <f>VLOOKUP($R526,Dropdown!$C$3:$D$4,2,FALSE)</f>
        <v>#N/A</v>
      </c>
      <c r="EA526" s="68">
        <f t="shared" si="609"/>
        <v>0</v>
      </c>
      <c r="EB526" s="68" t="str">
        <f t="shared" si="610"/>
        <v>N/A</v>
      </c>
      <c r="EC526" s="68">
        <f t="shared" si="611"/>
        <v>0</v>
      </c>
      <c r="ED526" s="68" t="str">
        <f t="shared" si="649"/>
        <v>N/A</v>
      </c>
      <c r="EF526" s="56">
        <v>512</v>
      </c>
      <c r="EG526" s="46">
        <f t="shared" si="612"/>
        <v>0</v>
      </c>
      <c r="EH526" s="68" t="e">
        <f t="shared" si="613"/>
        <v>#N/A</v>
      </c>
      <c r="EI526" s="68" t="e">
        <f t="shared" si="614"/>
        <v>#N/A</v>
      </c>
      <c r="EJ526" s="68" t="e">
        <f t="shared" si="615"/>
        <v>#N/A</v>
      </c>
      <c r="EK526" s="68" t="e">
        <f t="shared" si="616"/>
        <v>#N/A</v>
      </c>
      <c r="EL526" s="46">
        <f t="shared" si="617"/>
        <v>0</v>
      </c>
      <c r="EM526" s="46">
        <f t="shared" si="618"/>
        <v>0</v>
      </c>
    </row>
    <row r="527" spans="1:143">
      <c r="A527" s="89"/>
      <c r="B527" s="89"/>
      <c r="C527" s="89"/>
      <c r="D527" s="89"/>
      <c r="E527" s="89"/>
      <c r="F527" s="89"/>
      <c r="G527" s="34"/>
      <c r="H527" s="56">
        <f t="shared" si="619"/>
        <v>513</v>
      </c>
      <c r="I527" s="165"/>
      <c r="J527" s="163"/>
      <c r="K527" s="163"/>
      <c r="L527" s="164"/>
      <c r="M527" s="155"/>
      <c r="N527" s="155"/>
      <c r="O527" s="144"/>
      <c r="P527" s="159" t="str">
        <f>IFERROR(IF(O527&lt;&gt;"User Specified",IF(O527&lt;&gt;"", INDEX('Refrigerant GWPs'!$G$2:$G$154,MATCH(O527,'Refrigerant GWPs'!$A$2:$A$154,0)),""),U527),0)</f>
        <v/>
      </c>
      <c r="Q527" s="155"/>
      <c r="R527" s="155"/>
      <c r="S527" s="144"/>
      <c r="T527" s="159" t="str">
        <f>IF(S527&lt;&gt;"User Specified",IF(AND(S527&lt;&gt;"User Specified",S527&lt;&gt;""), INDEX('Refrigerant GWPs'!$G$2:$G$154,MATCH(S527,'Refrigerant GWPs'!$A$2:$A$154,0)),""),V527)</f>
        <v/>
      </c>
      <c r="U527" s="144"/>
      <c r="V527" s="144"/>
      <c r="W527" s="155"/>
      <c r="X527" s="155"/>
      <c r="Y527" s="144"/>
      <c r="Z527" s="159" t="str">
        <f>IF(AND(Y527&lt;&gt;"User Specified",Y527&lt;&gt;""), INDEX('Refrigerant GWPs'!$G$2:$G$154,MATCH(Y527,'Refrigerant GWPs'!$A$2:$A$154,0)),"")</f>
        <v/>
      </c>
      <c r="AA527" s="155"/>
      <c r="AB527" s="156"/>
      <c r="AC527" s="66"/>
      <c r="AD527" s="66"/>
      <c r="AE527" s="66"/>
      <c r="AF527" s="66"/>
      <c r="AG527" s="66"/>
      <c r="AH527" s="66"/>
      <c r="AI527" s="34"/>
      <c r="AJ527" s="88">
        <f t="shared" ref="AJ527:AJ590" si="650">IF($W527=MAT_AR,AC527,AF527)</f>
        <v>0</v>
      </c>
      <c r="AK527" s="88">
        <f t="shared" ref="AK527:AK590" si="651">IF($W527=MAT_AR,AE527,AH527)</f>
        <v>0</v>
      </c>
      <c r="AL527" s="88">
        <v>0</v>
      </c>
      <c r="AM527" s="88">
        <v>0</v>
      </c>
      <c r="AN527" s="81" t="str">
        <f t="shared" si="621"/>
        <v/>
      </c>
      <c r="AO527" s="88">
        <f t="shared" ref="AO527:AO590" si="652">IF($W527=MAT_AR,AF527,0)</f>
        <v>0</v>
      </c>
      <c r="AP527" s="88">
        <f t="shared" ref="AP527:AP590" si="653">IF($W527=MAT_AR,AH527,0)</f>
        <v>0</v>
      </c>
      <c r="AQ527" s="81" t="str">
        <f t="shared" ref="AQ527:AQ590" si="654">IF(AND(W527=MAT_AR,OR(BK527:BL527)),"Warning: Need to enter baseline and measure consumption","")</f>
        <v/>
      </c>
      <c r="AS527" s="41" t="b">
        <f t="shared" ref="AS527:AS590" si="655">NOT(W527=MAT_AR)</f>
        <v>1</v>
      </c>
      <c r="AT527" s="38">
        <f t="shared" ref="AT527:AT590" si="656">IF(W527=MAT_AR,AB527,K527)</f>
        <v>0</v>
      </c>
      <c r="AU527" s="60">
        <f t="shared" ref="AU527:AU590" si="657">K527-AT527</f>
        <v>0</v>
      </c>
      <c r="AV527" s="41">
        <f t="shared" ref="AV527:AV590" si="658">IF(W527=MAT_AR,AB527,0)</f>
        <v>0</v>
      </c>
      <c r="AW527" s="41" t="b">
        <f t="shared" ref="AW527:AW590" si="659">AND(NOT(ISBLANK(I527)),NOT(ISBLANK(J527)),NOT(ISBLANK(K527)),NOT(ISBLANK(L527)),NOT(ISBLANK(N527)),NOT(ISBLANK(R527)),NOT(OR(BC527:BD527)),NOT(ISBLANK(W527)))</f>
        <v>0</v>
      </c>
      <c r="AX527" t="str">
        <f t="shared" ref="AX527:AX590" si="660">$L527&amp;"+"&amp;TEXT(ROUND($AT527,0),"00")</f>
        <v>+00</v>
      </c>
      <c r="AY527" t="str">
        <f t="shared" ref="AY527:AY590" si="661">TEXT(ROUND($L527+$AT527,0),"#")&amp;"+"&amp;TEXT(ROUND($AU527,0),"00")</f>
        <v>+00</v>
      </c>
      <c r="BA527" s="47" t="b">
        <f t="shared" si="622"/>
        <v>1</v>
      </c>
      <c r="BB527" s="42" t="b">
        <f t="shared" si="623"/>
        <v>1</v>
      </c>
      <c r="BC527" s="42" t="b">
        <f t="shared" si="624"/>
        <v>0</v>
      </c>
      <c r="BD527" s="42" t="b">
        <f t="shared" si="625"/>
        <v>0</v>
      </c>
      <c r="BE527" s="70">
        <f t="shared" si="626"/>
        <v>0</v>
      </c>
      <c r="BF527" s="70">
        <f t="shared" si="627"/>
        <v>0</v>
      </c>
      <c r="BG527" s="34"/>
      <c r="BI527" s="47" t="b">
        <f t="shared" si="628"/>
        <v>1</v>
      </c>
      <c r="BJ527" s="47" t="b">
        <f t="shared" si="629"/>
        <v>1</v>
      </c>
      <c r="BK527" s="42" t="b">
        <f t="shared" si="630"/>
        <v>0</v>
      </c>
      <c r="BL527" s="42" t="b">
        <f t="shared" si="631"/>
        <v>0</v>
      </c>
      <c r="BM527" s="42">
        <f t="shared" si="632"/>
        <v>0</v>
      </c>
      <c r="BN527" s="42">
        <f t="shared" si="633"/>
        <v>0</v>
      </c>
      <c r="BP527" t="e">
        <f t="shared" si="634"/>
        <v>#N/A</v>
      </c>
      <c r="BQ527" t="e">
        <f t="shared" si="635"/>
        <v>#N/A</v>
      </c>
      <c r="BR527" t="e">
        <f t="shared" si="636"/>
        <v>#N/A</v>
      </c>
      <c r="BT527" s="60">
        <f t="shared" si="637"/>
        <v>0</v>
      </c>
      <c r="BU527" s="60">
        <f t="shared" si="638"/>
        <v>0</v>
      </c>
      <c r="BV527" s="60">
        <f t="shared" si="639"/>
        <v>0</v>
      </c>
      <c r="BW527" s="60">
        <f t="shared" si="640"/>
        <v>0</v>
      </c>
      <c r="BX527" s="60">
        <f t="shared" si="641"/>
        <v>0</v>
      </c>
      <c r="BY527" s="60">
        <f t="shared" si="642"/>
        <v>0</v>
      </c>
      <c r="BZ527" s="60">
        <f t="shared" si="643"/>
        <v>0</v>
      </c>
      <c r="CA527" s="60">
        <f t="shared" si="644"/>
        <v>0</v>
      </c>
      <c r="CB527" s="60" t="e">
        <f t="shared" ref="CB527:CB590" si="662">INDEX(AFL_Source_Energy_Btu_per_kWh,MATCH($AX527,AFL_IndexB,0))</f>
        <v>#N/A</v>
      </c>
      <c r="CC527" s="60">
        <f t="shared" ref="CC527:CC590" si="663">Btu_therm</f>
        <v>100000</v>
      </c>
      <c r="CD527" s="60" t="e">
        <f t="shared" ref="CD527:CD590" si="664">INDEX(AFL_Source_Energy_Btu_per_kWh,MATCH($AY527,AFL_IndexB,0))</f>
        <v>#N/A</v>
      </c>
      <c r="CE527" s="60">
        <f t="shared" ref="CE527:CE590" si="665">Btu_therm</f>
        <v>100000</v>
      </c>
      <c r="CF527" s="83" t="e">
        <f t="shared" si="645"/>
        <v>#N/A</v>
      </c>
      <c r="CG527" s="83">
        <f t="shared" si="646"/>
        <v>0</v>
      </c>
      <c r="CH527" s="83" t="e">
        <f t="shared" si="647"/>
        <v>#N/A</v>
      </c>
      <c r="CI527" s="83">
        <f t="shared" si="648"/>
        <v>0</v>
      </c>
      <c r="CJ527" s="86" t="e">
        <f t="shared" ref="CJ527:CJ590" si="666">INDEX(AFL_Emissions_Intensity_metric_tonnes_per_MWh,MATCH($AX527,AFL_IndexB,0))/1000</f>
        <v>#N/A</v>
      </c>
      <c r="CK527" s="82">
        <f t="shared" ref="CK527:CK590" si="667">NG_metric_tonne_CO2_therm</f>
        <v>5.3070370403969858E-3</v>
      </c>
      <c r="CL527" s="82" t="e">
        <f t="shared" ref="CL527:CL590" si="668">INDEX(AFL_Emissions_Intensity_metric_tonnes_per_MWh,MATCH($AY527,AFL_IndexB,0))/1000</f>
        <v>#N/A</v>
      </c>
      <c r="CM527" s="82">
        <f t="shared" ref="CM527:CM590" si="669">NG_metric_tonne_CO2_therm</f>
        <v>5.3070370403969858E-3</v>
      </c>
      <c r="CO527" s="149" t="str">
        <f>IF($I527&lt;&gt;"",IF(O527="User Specified",U527,INDEX('Refrigerant GWPs'!$G$2:$G$156,MATCH(O527,'Refrigerant GWPs'!$A$2:$A$156,0))),"")</f>
        <v/>
      </c>
      <c r="CP527" s="138" t="str">
        <f>IF($I527&lt;&gt;"",INDEX('Device Refrigerant Leakage'!$E$2:$E$42,MATCH($M527,'Device Refrigerant Leakage'!$B$2:$B$42,0)),"")</f>
        <v/>
      </c>
      <c r="CQ527" s="138" t="str">
        <f>IF($I527&lt;&gt;"",INDEX('Device Refrigerant Leakage'!$F$2:$F$42,MATCH($M527,'Device Refrigerant Leakage'!$B$2:$B$42,0)),"")</f>
        <v/>
      </c>
      <c r="CR527" s="145" t="str">
        <f>IF($I527&lt;&gt;"",INDEX('Device Refrigerant Leakage'!$G$2:$G$42,MATCH($M527,'Device Refrigerant Leakage'!$B$2:$B$42,0)),"")</f>
        <v/>
      </c>
      <c r="CS527" s="145" t="str">
        <f>IF($I527&lt;&gt;"",INDEX('Device Refrigerant Leakage'!$D$2:$D$42,MATCH($M527,'Device Refrigerant Leakage'!$B$2:$B$42,0))*CP527/2204.62*CO527,"")</f>
        <v/>
      </c>
      <c r="CT527" s="145" t="str">
        <f>IF($I527&lt;&gt;"",J527*(INDEX('Device Refrigerant Leakage'!$D$2:$D$42,MATCH($M527,'Device Refrigerant Leakage'!$B$2:$B$42,0))-(INDEX('Device Refrigerant Leakage'!$D$2:$D$42,MATCH($M527,'Device Refrigerant Leakage'!$B$2:$B$42,0)))*CR527*CP527)*CQ527/2204.62*CO527,"")</f>
        <v/>
      </c>
      <c r="CU527" s="135" t="str">
        <f>IF($I527&lt;&gt;"",J527*IF(W527&lt;&gt;"AR",(CS527*K527)+CT527,(CS527*AB527)+CT527*(AB527/INDEX('Device Refrigerant Leakage'!$C$2:$C$42,MATCH($M527,'Device Refrigerant Leakage'!$B$2:$B$42,0)))),"")</f>
        <v/>
      </c>
      <c r="CW527" s="135" t="str">
        <f>IF($I527&lt;&gt;"",IF(S527="User Specified",V527,INDEX('Refrigerant GWPs'!$G$2:$G$156,MATCH(S527,'Refrigerant GWPs'!$A$2:$A$157,0))),"")</f>
        <v/>
      </c>
      <c r="CX527" s="138" t="str">
        <f>IF($I527&lt;&gt;"",INDEX('Device Refrigerant Leakage'!$E$2:$E$42,MATCH($Q527,'Device Refrigerant Leakage'!$B$2:$B$42,0)),"")</f>
        <v/>
      </c>
      <c r="CY527" s="138" t="str">
        <f>IF($I527&lt;&gt;"",INDEX('Device Refrigerant Leakage'!$F$2:$F$42,MATCH($Q527,'Device Refrigerant Leakage'!$B$2:$B$42,0)),"")</f>
        <v/>
      </c>
      <c r="CZ527" s="145" t="str">
        <f>IF($I527&lt;&gt;"",INDEX('Device Refrigerant Leakage'!$G$2:$G$42,MATCH($Q527,'Device Refrigerant Leakage'!$B$2:$B$42,0)),"")</f>
        <v/>
      </c>
      <c r="DA527" s="145" t="str">
        <f>IF($I527&lt;&gt;"",J527*INDEX('Device Refrigerant Leakage'!$D$2:$D$42,MATCH($Q527,'Device Refrigerant Leakage'!$B$2:$B$42,0))*CX527/2204.62*CW527,"")</f>
        <v/>
      </c>
      <c r="DB527" s="145" t="str">
        <f>IF($I527&lt;&gt;"",J527*(INDEX('Device Refrigerant Leakage'!$D$2:$D$42,MATCH($Q527,'Device Refrigerant Leakage'!$B$2:$B$42,0))-(INDEX('Device Refrigerant Leakage'!$D$2:$D$42,MATCH($Q527,'Device Refrigerant Leakage'!$B$2:$B$42,0)))*CZ527*CX527)*CY527/2204.62*CW527,"")</f>
        <v/>
      </c>
      <c r="DC527" s="135" t="str">
        <f t="shared" si="620"/>
        <v/>
      </c>
      <c r="DE527" s="146" t="str">
        <f>IF(W527&lt;&gt;"AR","",IF(Y527="User Specified", AA527, INDEX('Refrigerant GWPs'!$G$2:$G$154,MATCH(Y527,'Refrigerant GWPs'!$A$2:$A$154,0))))</f>
        <v/>
      </c>
      <c r="DF527" s="146" t="str">
        <f>IF(W527&lt;&gt;"AR","",INDEX('Device Refrigerant Leakage'!$E$2:$E$42,MATCH(X527,'Device Refrigerant Leakage'!$B$2:$B$42,0)))</f>
        <v/>
      </c>
      <c r="DG527" s="146" t="str">
        <f>IF(W527&lt;&gt;"AR","",INDEX('Device Refrigerant Leakage'!$F$2:$F$42,MATCH(X527,'Device Refrigerant Leakage'!$B$2:$B$42,0)))</f>
        <v/>
      </c>
      <c r="DH527" s="146" t="str">
        <f>IF(W527&lt;&gt;"AR","",INDEX('Device Refrigerant Leakage'!$G$2:$G$42,MATCH(X527,'Device Refrigerant Leakage'!$B$2:$B$42,0)))</f>
        <v/>
      </c>
      <c r="DI527" s="146" t="str">
        <f>IF(W527&lt;&gt;"AR","",J527*INDEX('Device Refrigerant Leakage'!$D$2:$D$42,MATCH(X527,'Device Refrigerant Leakage'!$B$2:$B$42,0))*DF527/2204.62*DE527)</f>
        <v/>
      </c>
      <c r="DJ527" s="146" t="str">
        <f>IF(W527&lt;&gt;"AR","",J527*(INDEX('Device Refrigerant Leakage'!$D$2:$D$42,MATCH(X527,'Device Refrigerant Leakage'!$B$2:$B$42,0))-(INDEX('Device Refrigerant Leakage'!$D$2:$D$42,MATCH(X527,'Device Refrigerant Leakage'!$B$2:$B$42,0)))*DH527*DF527)*DG527/2204.62*DE527)</f>
        <v/>
      </c>
      <c r="DK527" s="146" t="str">
        <f>IF(W527&lt;&gt;"AR","",DI527*(K527-AB527)+'Fuel Sub Calcs-Deemed'!DJ527*((K527-AB527)/INDEX('Device Refrigerant Leakage'!$C$2:$C$42,MATCH('Fuel Sub Calcs-Deemed'!X527,'Device Refrigerant Leakage'!$B$2:$B$42,0))))</f>
        <v/>
      </c>
      <c r="DM527" s="56">
        <v>513</v>
      </c>
      <c r="DN527" s="67" t="e">
        <f t="shared" ref="DN527:DN590" si="670">(CB527*BX527+BY527*CE527)/10^6+IF($W527=MAT_AR,(BZ527*CD527+CA527*CE527)/10^6,0)</f>
        <v>#N/A</v>
      </c>
      <c r="DO527" s="45" t="e">
        <f t="shared" ref="DO527:DO590" si="671">IF(BP527,"PASS","FAIL")</f>
        <v>#N/A</v>
      </c>
      <c r="DP527" s="67" t="e">
        <f t="shared" ref="DP527:DP590" si="672">(DT527+DU527+DV527)</f>
        <v>#N/A</v>
      </c>
      <c r="DQ527" s="45" t="e">
        <f t="shared" ref="DQ527:DQ590" si="673">IF(BQ527,"PASS","FAIL")</f>
        <v>#N/A</v>
      </c>
      <c r="DR527" s="69" t="e">
        <f t="shared" ref="DR527:DR590" si="674">IF(BR527,"Eligible","Not eligible")</f>
        <v>#N/A</v>
      </c>
      <c r="DS527" s="34"/>
      <c r="DT527" s="67" t="e">
        <f>((BX527*CJ527)+IF($W527=MAT_AR,(BZ527*CL527),0))*(1+Reference!$E$50+Reference!$E$51)</f>
        <v>#N/A</v>
      </c>
      <c r="DU527" s="67">
        <f>((BY527*CK527)+IF($W527=MAT_AR,(CA527*CM527),0))*(1+Reference!$G$50+Reference!$G$51)</f>
        <v>0</v>
      </c>
      <c r="DV527" s="67" t="e">
        <f t="shared" ref="DV527:DV590" si="675">IF(W527="NR",CU527-DC527,(CU527+DK527)-DC527)</f>
        <v>#VALUE!</v>
      </c>
      <c r="DX527" s="56">
        <v>513</v>
      </c>
      <c r="DY527" s="67">
        <f t="shared" ref="DY527:DY590" si="676">(Btu_per_kWh*BT527+Btu_therm*BU527)/10^6</f>
        <v>0</v>
      </c>
      <c r="DZ527" s="45" t="e">
        <f>VLOOKUP($R527,Dropdown!$C$3:$D$4,2,FALSE)</f>
        <v>#N/A</v>
      </c>
      <c r="EA527" s="68">
        <f t="shared" ref="EA527:EA590" si="677">IF($R527=fuel_electricity,$DY527*10^6/Btu_per_kWh,0)</f>
        <v>0</v>
      </c>
      <c r="EB527" s="68" t="str">
        <f t="shared" ref="EB527:EB590" si="678">IF($R527=fuel_natural_gas,$DY527/MMBtu_per_therm,"N/A")</f>
        <v>N/A</v>
      </c>
      <c r="EC527" s="68">
        <f t="shared" ref="EC527:EC590" si="679">IF($R527=fuel_electricity,"N/A",AJ527)</f>
        <v>0</v>
      </c>
      <c r="ED527" s="68" t="str">
        <f t="shared" si="649"/>
        <v>N/A</v>
      </c>
      <c r="EF527" s="56">
        <v>513</v>
      </c>
      <c r="EG527" s="46">
        <f t="shared" ref="EG527:EG590" si="680">J527</f>
        <v>0</v>
      </c>
      <c r="EH527" s="68" t="e">
        <f t="shared" ref="EH527:EH590" si="681">IF($BR527,BE527,0)</f>
        <v>#N/A</v>
      </c>
      <c r="EI527" s="68" t="e">
        <f t="shared" ref="EI527:EI590" si="682">IF($BR527,BF527,0)</f>
        <v>#N/A</v>
      </c>
      <c r="EJ527" s="68" t="e">
        <f t="shared" ref="EJ527:EJ590" si="683">IF($BR527,BM527,0)</f>
        <v>#N/A</v>
      </c>
      <c r="EK527" s="68" t="e">
        <f t="shared" ref="EK527:EK590" si="684">IF($BR527,BN527,0)</f>
        <v>#N/A</v>
      </c>
      <c r="EL527" s="46">
        <f t="shared" ref="EL527:EL590" si="685">K527</f>
        <v>0</v>
      </c>
      <c r="EM527" s="46">
        <f t="shared" ref="EM527:EM590" si="686">AV527</f>
        <v>0</v>
      </c>
    </row>
    <row r="528" spans="1:143">
      <c r="A528" s="89"/>
      <c r="B528" s="89"/>
      <c r="C528" s="89"/>
      <c r="D528" s="89"/>
      <c r="E528" s="89"/>
      <c r="F528" s="89"/>
      <c r="G528" s="34"/>
      <c r="H528" s="56">
        <f t="shared" ref="H528:H591" si="687">ROW($H528)-ROW($H$14)</f>
        <v>514</v>
      </c>
      <c r="I528" s="165"/>
      <c r="J528" s="163"/>
      <c r="K528" s="163"/>
      <c r="L528" s="164"/>
      <c r="M528" s="155"/>
      <c r="N528" s="155"/>
      <c r="O528" s="144"/>
      <c r="P528" s="159" t="str">
        <f>IFERROR(IF(O528&lt;&gt;"User Specified",IF(O528&lt;&gt;"", INDEX('Refrigerant GWPs'!$G$2:$G$154,MATCH(O528,'Refrigerant GWPs'!$A$2:$A$154,0)),""),U528),0)</f>
        <v/>
      </c>
      <c r="Q528" s="155"/>
      <c r="R528" s="155"/>
      <c r="S528" s="144"/>
      <c r="T528" s="159" t="str">
        <f>IF(S528&lt;&gt;"User Specified",IF(AND(S528&lt;&gt;"User Specified",S528&lt;&gt;""), INDEX('Refrigerant GWPs'!$G$2:$G$154,MATCH(S528,'Refrigerant GWPs'!$A$2:$A$154,0)),""),V528)</f>
        <v/>
      </c>
      <c r="U528" s="144"/>
      <c r="V528" s="144"/>
      <c r="W528" s="155"/>
      <c r="X528" s="155"/>
      <c r="Y528" s="144"/>
      <c r="Z528" s="159" t="str">
        <f>IF(AND(Y528&lt;&gt;"User Specified",Y528&lt;&gt;""), INDEX('Refrigerant GWPs'!$G$2:$G$154,MATCH(Y528,'Refrigerant GWPs'!$A$2:$A$154,0)),"")</f>
        <v/>
      </c>
      <c r="AA528" s="155"/>
      <c r="AB528" s="156"/>
      <c r="AC528" s="66"/>
      <c r="AD528" s="66"/>
      <c r="AE528" s="66"/>
      <c r="AF528" s="66"/>
      <c r="AG528" s="66"/>
      <c r="AH528" s="66"/>
      <c r="AI528" s="34"/>
      <c r="AJ528" s="88">
        <f t="shared" si="650"/>
        <v>0</v>
      </c>
      <c r="AK528" s="88">
        <f t="shared" si="651"/>
        <v>0</v>
      </c>
      <c r="AL528" s="88">
        <v>0</v>
      </c>
      <c r="AM528" s="88">
        <v>0</v>
      </c>
      <c r="AN528" s="81" t="str">
        <f t="shared" si="621"/>
        <v/>
      </c>
      <c r="AO528" s="88">
        <f t="shared" si="652"/>
        <v>0</v>
      </c>
      <c r="AP528" s="88">
        <f t="shared" si="653"/>
        <v>0</v>
      </c>
      <c r="AQ528" s="81" t="str">
        <f t="shared" si="654"/>
        <v/>
      </c>
      <c r="AS528" s="41" t="b">
        <f t="shared" si="655"/>
        <v>1</v>
      </c>
      <c r="AT528" s="38">
        <f t="shared" si="656"/>
        <v>0</v>
      </c>
      <c r="AU528" s="60">
        <f t="shared" si="657"/>
        <v>0</v>
      </c>
      <c r="AV528" s="41">
        <f t="shared" si="658"/>
        <v>0</v>
      </c>
      <c r="AW528" s="41" t="b">
        <f t="shared" si="659"/>
        <v>0</v>
      </c>
      <c r="AX528" t="str">
        <f t="shared" si="660"/>
        <v>+00</v>
      </c>
      <c r="AY528" t="str">
        <f t="shared" si="661"/>
        <v>+00</v>
      </c>
      <c r="BA528" s="47" t="b">
        <f t="shared" si="622"/>
        <v>1</v>
      </c>
      <c r="BB528" s="42" t="b">
        <f t="shared" si="623"/>
        <v>1</v>
      </c>
      <c r="BC528" s="42" t="b">
        <f t="shared" si="624"/>
        <v>0</v>
      </c>
      <c r="BD528" s="42" t="b">
        <f t="shared" si="625"/>
        <v>0</v>
      </c>
      <c r="BE528" s="70">
        <f t="shared" si="626"/>
        <v>0</v>
      </c>
      <c r="BF528" s="70">
        <f t="shared" si="627"/>
        <v>0</v>
      </c>
      <c r="BG528" s="34"/>
      <c r="BI528" s="47" t="b">
        <f t="shared" si="628"/>
        <v>1</v>
      </c>
      <c r="BJ528" s="47" t="b">
        <f t="shared" si="629"/>
        <v>1</v>
      </c>
      <c r="BK528" s="42" t="b">
        <f t="shared" si="630"/>
        <v>0</v>
      </c>
      <c r="BL528" s="42" t="b">
        <f t="shared" si="631"/>
        <v>0</v>
      </c>
      <c r="BM528" s="42">
        <f t="shared" si="632"/>
        <v>0</v>
      </c>
      <c r="BN528" s="42">
        <f t="shared" si="633"/>
        <v>0</v>
      </c>
      <c r="BP528" t="e">
        <f t="shared" si="634"/>
        <v>#N/A</v>
      </c>
      <c r="BQ528" t="e">
        <f t="shared" si="635"/>
        <v>#N/A</v>
      </c>
      <c r="BR528" t="e">
        <f t="shared" si="636"/>
        <v>#N/A</v>
      </c>
      <c r="BT528" s="60">
        <f t="shared" si="637"/>
        <v>0</v>
      </c>
      <c r="BU528" s="60">
        <f t="shared" si="638"/>
        <v>0</v>
      </c>
      <c r="BV528" s="60">
        <f t="shared" si="639"/>
        <v>0</v>
      </c>
      <c r="BW528" s="60">
        <f t="shared" si="640"/>
        <v>0</v>
      </c>
      <c r="BX528" s="60">
        <f t="shared" si="641"/>
        <v>0</v>
      </c>
      <c r="BY528" s="60">
        <f t="shared" si="642"/>
        <v>0</v>
      </c>
      <c r="BZ528" s="60">
        <f t="shared" si="643"/>
        <v>0</v>
      </c>
      <c r="CA528" s="60">
        <f t="shared" si="644"/>
        <v>0</v>
      </c>
      <c r="CB528" s="60" t="e">
        <f t="shared" si="662"/>
        <v>#N/A</v>
      </c>
      <c r="CC528" s="60">
        <f t="shared" si="663"/>
        <v>100000</v>
      </c>
      <c r="CD528" s="60" t="e">
        <f t="shared" si="664"/>
        <v>#N/A</v>
      </c>
      <c r="CE528" s="60">
        <f t="shared" si="665"/>
        <v>100000</v>
      </c>
      <c r="CF528" s="83" t="e">
        <f t="shared" si="645"/>
        <v>#N/A</v>
      </c>
      <c r="CG528" s="83">
        <f t="shared" si="646"/>
        <v>0</v>
      </c>
      <c r="CH528" s="83" t="e">
        <f t="shared" si="647"/>
        <v>#N/A</v>
      </c>
      <c r="CI528" s="83">
        <f t="shared" si="648"/>
        <v>0</v>
      </c>
      <c r="CJ528" s="86" t="e">
        <f t="shared" si="666"/>
        <v>#N/A</v>
      </c>
      <c r="CK528" s="82">
        <f t="shared" si="667"/>
        <v>5.3070370403969858E-3</v>
      </c>
      <c r="CL528" s="82" t="e">
        <f t="shared" si="668"/>
        <v>#N/A</v>
      </c>
      <c r="CM528" s="82">
        <f t="shared" si="669"/>
        <v>5.3070370403969858E-3</v>
      </c>
      <c r="CO528" s="149" t="str">
        <f>IF($I528&lt;&gt;"",IF(O528="User Specified",U528,INDEX('Refrigerant GWPs'!$G$2:$G$156,MATCH(O528,'Refrigerant GWPs'!$A$2:$A$156,0))),"")</f>
        <v/>
      </c>
      <c r="CP528" s="138" t="str">
        <f>IF($I528&lt;&gt;"",INDEX('Device Refrigerant Leakage'!$E$2:$E$42,MATCH($M528,'Device Refrigerant Leakage'!$B$2:$B$42,0)),"")</f>
        <v/>
      </c>
      <c r="CQ528" s="138" t="str">
        <f>IF($I528&lt;&gt;"",INDEX('Device Refrigerant Leakage'!$F$2:$F$42,MATCH($M528,'Device Refrigerant Leakage'!$B$2:$B$42,0)),"")</f>
        <v/>
      </c>
      <c r="CR528" s="145" t="str">
        <f>IF($I528&lt;&gt;"",INDEX('Device Refrigerant Leakage'!$G$2:$G$42,MATCH($M528,'Device Refrigerant Leakage'!$B$2:$B$42,0)),"")</f>
        <v/>
      </c>
      <c r="CS528" s="145" t="str">
        <f>IF($I528&lt;&gt;"",INDEX('Device Refrigerant Leakage'!$D$2:$D$42,MATCH($M528,'Device Refrigerant Leakage'!$B$2:$B$42,0))*CP528/2204.62*CO528,"")</f>
        <v/>
      </c>
      <c r="CT528" s="145" t="str">
        <f>IF($I528&lt;&gt;"",J528*(INDEX('Device Refrigerant Leakage'!$D$2:$D$42,MATCH($M528,'Device Refrigerant Leakage'!$B$2:$B$42,0))-(INDEX('Device Refrigerant Leakage'!$D$2:$D$42,MATCH($M528,'Device Refrigerant Leakage'!$B$2:$B$42,0)))*CR528*CP528)*CQ528/2204.62*CO528,"")</f>
        <v/>
      </c>
      <c r="CU528" s="135" t="str">
        <f>IF($I528&lt;&gt;"",J528*IF(W528&lt;&gt;"AR",(CS528*K528)+CT528,(CS528*AB528)+CT528*(AB528/INDEX('Device Refrigerant Leakage'!$C$2:$C$42,MATCH($M528,'Device Refrigerant Leakage'!$B$2:$B$42,0)))),"")</f>
        <v/>
      </c>
      <c r="CW528" s="135" t="str">
        <f>IF($I528&lt;&gt;"",IF(S528="User Specified",V528,INDEX('Refrigerant GWPs'!$G$2:$G$156,MATCH(S528,'Refrigerant GWPs'!$A$2:$A$157,0))),"")</f>
        <v/>
      </c>
      <c r="CX528" s="138" t="str">
        <f>IF($I528&lt;&gt;"",INDEX('Device Refrigerant Leakage'!$E$2:$E$42,MATCH($Q528,'Device Refrigerant Leakage'!$B$2:$B$42,0)),"")</f>
        <v/>
      </c>
      <c r="CY528" s="138" t="str">
        <f>IF($I528&lt;&gt;"",INDEX('Device Refrigerant Leakage'!$F$2:$F$42,MATCH($Q528,'Device Refrigerant Leakage'!$B$2:$B$42,0)),"")</f>
        <v/>
      </c>
      <c r="CZ528" s="145" t="str">
        <f>IF($I528&lt;&gt;"",INDEX('Device Refrigerant Leakage'!$G$2:$G$42,MATCH($Q528,'Device Refrigerant Leakage'!$B$2:$B$42,0)),"")</f>
        <v/>
      </c>
      <c r="DA528" s="145" t="str">
        <f>IF($I528&lt;&gt;"",J528*INDEX('Device Refrigerant Leakage'!$D$2:$D$42,MATCH($Q528,'Device Refrigerant Leakage'!$B$2:$B$42,0))*CX528/2204.62*CW528,"")</f>
        <v/>
      </c>
      <c r="DB528" s="145" t="str">
        <f>IF($I528&lt;&gt;"",J528*(INDEX('Device Refrigerant Leakage'!$D$2:$D$42,MATCH($Q528,'Device Refrigerant Leakage'!$B$2:$B$42,0))-(INDEX('Device Refrigerant Leakage'!$D$2:$D$42,MATCH($Q528,'Device Refrigerant Leakage'!$B$2:$B$42,0)))*CZ528*CX528)*CY528/2204.62*CW528,"")</f>
        <v/>
      </c>
      <c r="DC528" s="135" t="str">
        <f t="shared" ref="DC528:DC591" si="688">IF($I528&lt;&gt;"",(DA528*K528)+DB528,"")</f>
        <v/>
      </c>
      <c r="DE528" s="146" t="str">
        <f>IF(W528&lt;&gt;"AR","",IF(Y528="User Specified", AA528, INDEX('Refrigerant GWPs'!$G$2:$G$154,MATCH(Y528,'Refrigerant GWPs'!$A$2:$A$154,0))))</f>
        <v/>
      </c>
      <c r="DF528" s="146" t="str">
        <f>IF(W528&lt;&gt;"AR","",INDEX('Device Refrigerant Leakage'!$E$2:$E$42,MATCH(X528,'Device Refrigerant Leakage'!$B$2:$B$42,0)))</f>
        <v/>
      </c>
      <c r="DG528" s="146" t="str">
        <f>IF(W528&lt;&gt;"AR","",INDEX('Device Refrigerant Leakage'!$F$2:$F$42,MATCH(X528,'Device Refrigerant Leakage'!$B$2:$B$42,0)))</f>
        <v/>
      </c>
      <c r="DH528" s="146" t="str">
        <f>IF(W528&lt;&gt;"AR","",INDEX('Device Refrigerant Leakage'!$G$2:$G$42,MATCH(X528,'Device Refrigerant Leakage'!$B$2:$B$42,0)))</f>
        <v/>
      </c>
      <c r="DI528" s="146" t="str">
        <f>IF(W528&lt;&gt;"AR","",J528*INDEX('Device Refrigerant Leakage'!$D$2:$D$42,MATCH(X528,'Device Refrigerant Leakage'!$B$2:$B$42,0))*DF528/2204.62*DE528)</f>
        <v/>
      </c>
      <c r="DJ528" s="146" t="str">
        <f>IF(W528&lt;&gt;"AR","",J528*(INDEX('Device Refrigerant Leakage'!$D$2:$D$42,MATCH(X528,'Device Refrigerant Leakage'!$B$2:$B$42,0))-(INDEX('Device Refrigerant Leakage'!$D$2:$D$42,MATCH(X528,'Device Refrigerant Leakage'!$B$2:$B$42,0)))*DH528*DF528)*DG528/2204.62*DE528)</f>
        <v/>
      </c>
      <c r="DK528" s="146" t="str">
        <f>IF(W528&lt;&gt;"AR","",DI528*(K528-AB528)+'Fuel Sub Calcs-Deemed'!DJ528*((K528-AB528)/INDEX('Device Refrigerant Leakage'!$C$2:$C$42,MATCH('Fuel Sub Calcs-Deemed'!X528,'Device Refrigerant Leakage'!$B$2:$B$42,0))))</f>
        <v/>
      </c>
      <c r="DM528" s="56">
        <v>514</v>
      </c>
      <c r="DN528" s="67" t="e">
        <f t="shared" si="670"/>
        <v>#N/A</v>
      </c>
      <c r="DO528" s="45" t="e">
        <f t="shared" si="671"/>
        <v>#N/A</v>
      </c>
      <c r="DP528" s="67" t="e">
        <f t="shared" si="672"/>
        <v>#N/A</v>
      </c>
      <c r="DQ528" s="45" t="e">
        <f t="shared" si="673"/>
        <v>#N/A</v>
      </c>
      <c r="DR528" s="69" t="e">
        <f t="shared" si="674"/>
        <v>#N/A</v>
      </c>
      <c r="DS528" s="34"/>
      <c r="DT528" s="67" t="e">
        <f>((BX528*CJ528)+IF($W528=MAT_AR,(BZ528*CL528),0))*(1+Reference!$E$50+Reference!$E$51)</f>
        <v>#N/A</v>
      </c>
      <c r="DU528" s="67">
        <f>((BY528*CK528)+IF($W528=MAT_AR,(CA528*CM528),0))*(1+Reference!$G$50+Reference!$G$51)</f>
        <v>0</v>
      </c>
      <c r="DV528" s="67" t="e">
        <f t="shared" si="675"/>
        <v>#VALUE!</v>
      </c>
      <c r="DX528" s="56">
        <v>514</v>
      </c>
      <c r="DY528" s="67">
        <f t="shared" si="676"/>
        <v>0</v>
      </c>
      <c r="DZ528" s="45" t="e">
        <f>VLOOKUP($R528,Dropdown!$C$3:$D$4,2,FALSE)</f>
        <v>#N/A</v>
      </c>
      <c r="EA528" s="68">
        <f t="shared" si="677"/>
        <v>0</v>
      </c>
      <c r="EB528" s="68" t="str">
        <f t="shared" si="678"/>
        <v>N/A</v>
      </c>
      <c r="EC528" s="68">
        <f t="shared" si="679"/>
        <v>0</v>
      </c>
      <c r="ED528" s="68" t="str">
        <f t="shared" si="649"/>
        <v>N/A</v>
      </c>
      <c r="EF528" s="56">
        <v>514</v>
      </c>
      <c r="EG528" s="46">
        <f t="shared" si="680"/>
        <v>0</v>
      </c>
      <c r="EH528" s="68" t="e">
        <f t="shared" si="681"/>
        <v>#N/A</v>
      </c>
      <c r="EI528" s="68" t="e">
        <f t="shared" si="682"/>
        <v>#N/A</v>
      </c>
      <c r="EJ528" s="68" t="e">
        <f t="shared" si="683"/>
        <v>#N/A</v>
      </c>
      <c r="EK528" s="68" t="e">
        <f t="shared" si="684"/>
        <v>#N/A</v>
      </c>
      <c r="EL528" s="46">
        <f t="shared" si="685"/>
        <v>0</v>
      </c>
      <c r="EM528" s="46">
        <f t="shared" si="686"/>
        <v>0</v>
      </c>
    </row>
    <row r="529" spans="1:143">
      <c r="A529" s="89"/>
      <c r="B529" s="89"/>
      <c r="C529" s="89"/>
      <c r="D529" s="89"/>
      <c r="E529" s="89"/>
      <c r="F529" s="89"/>
      <c r="G529" s="34"/>
      <c r="H529" s="56">
        <f t="shared" si="687"/>
        <v>515</v>
      </c>
      <c r="I529" s="165"/>
      <c r="J529" s="163"/>
      <c r="K529" s="163"/>
      <c r="L529" s="164"/>
      <c r="M529" s="155"/>
      <c r="N529" s="155"/>
      <c r="O529" s="144"/>
      <c r="P529" s="159" t="str">
        <f>IFERROR(IF(O529&lt;&gt;"User Specified",IF(O529&lt;&gt;"", INDEX('Refrigerant GWPs'!$G$2:$G$154,MATCH(O529,'Refrigerant GWPs'!$A$2:$A$154,0)),""),U529),0)</f>
        <v/>
      </c>
      <c r="Q529" s="155"/>
      <c r="R529" s="155"/>
      <c r="S529" s="144"/>
      <c r="T529" s="159" t="str">
        <f>IF(S529&lt;&gt;"User Specified",IF(AND(S529&lt;&gt;"User Specified",S529&lt;&gt;""), INDEX('Refrigerant GWPs'!$G$2:$G$154,MATCH(S529,'Refrigerant GWPs'!$A$2:$A$154,0)),""),V529)</f>
        <v/>
      </c>
      <c r="U529" s="144"/>
      <c r="V529" s="144"/>
      <c r="W529" s="155"/>
      <c r="X529" s="155"/>
      <c r="Y529" s="144"/>
      <c r="Z529" s="159" t="str">
        <f>IF(AND(Y529&lt;&gt;"User Specified",Y529&lt;&gt;""), INDEX('Refrigerant GWPs'!$G$2:$G$154,MATCH(Y529,'Refrigerant GWPs'!$A$2:$A$154,0)),"")</f>
        <v/>
      </c>
      <c r="AA529" s="155"/>
      <c r="AB529" s="156"/>
      <c r="AC529" s="66"/>
      <c r="AD529" s="66"/>
      <c r="AE529" s="66"/>
      <c r="AF529" s="66"/>
      <c r="AG529" s="66"/>
      <c r="AH529" s="66"/>
      <c r="AI529" s="34"/>
      <c r="AJ529" s="88">
        <f t="shared" si="650"/>
        <v>0</v>
      </c>
      <c r="AK529" s="88">
        <f t="shared" si="651"/>
        <v>0</v>
      </c>
      <c r="AL529" s="88">
        <v>0</v>
      </c>
      <c r="AM529" s="88">
        <v>0</v>
      </c>
      <c r="AN529" s="81" t="str">
        <f t="shared" si="621"/>
        <v/>
      </c>
      <c r="AO529" s="88">
        <f t="shared" si="652"/>
        <v>0</v>
      </c>
      <c r="AP529" s="88">
        <f t="shared" si="653"/>
        <v>0</v>
      </c>
      <c r="AQ529" s="81" t="str">
        <f t="shared" si="654"/>
        <v/>
      </c>
      <c r="AS529" s="41" t="b">
        <f t="shared" si="655"/>
        <v>1</v>
      </c>
      <c r="AT529" s="38">
        <f t="shared" si="656"/>
        <v>0</v>
      </c>
      <c r="AU529" s="60">
        <f t="shared" si="657"/>
        <v>0</v>
      </c>
      <c r="AV529" s="41">
        <f t="shared" si="658"/>
        <v>0</v>
      </c>
      <c r="AW529" s="41" t="b">
        <f t="shared" si="659"/>
        <v>0</v>
      </c>
      <c r="AX529" t="str">
        <f t="shared" si="660"/>
        <v>+00</v>
      </c>
      <c r="AY529" t="str">
        <f t="shared" si="661"/>
        <v>+00</v>
      </c>
      <c r="BA529" s="47" t="b">
        <f t="shared" si="622"/>
        <v>1</v>
      </c>
      <c r="BB529" s="42" t="b">
        <f t="shared" si="623"/>
        <v>1</v>
      </c>
      <c r="BC529" s="42" t="b">
        <f t="shared" si="624"/>
        <v>0</v>
      </c>
      <c r="BD529" s="42" t="b">
        <f t="shared" si="625"/>
        <v>0</v>
      </c>
      <c r="BE529" s="70">
        <f t="shared" si="626"/>
        <v>0</v>
      </c>
      <c r="BF529" s="70">
        <f t="shared" si="627"/>
        <v>0</v>
      </c>
      <c r="BG529" s="34"/>
      <c r="BI529" s="47" t="b">
        <f t="shared" si="628"/>
        <v>1</v>
      </c>
      <c r="BJ529" s="47" t="b">
        <f t="shared" si="629"/>
        <v>1</v>
      </c>
      <c r="BK529" s="42" t="b">
        <f t="shared" si="630"/>
        <v>0</v>
      </c>
      <c r="BL529" s="42" t="b">
        <f t="shared" si="631"/>
        <v>0</v>
      </c>
      <c r="BM529" s="42">
        <f t="shared" si="632"/>
        <v>0</v>
      </c>
      <c r="BN529" s="42">
        <f t="shared" si="633"/>
        <v>0</v>
      </c>
      <c r="BP529" t="e">
        <f t="shared" si="634"/>
        <v>#N/A</v>
      </c>
      <c r="BQ529" t="e">
        <f t="shared" si="635"/>
        <v>#N/A</v>
      </c>
      <c r="BR529" t="e">
        <f t="shared" si="636"/>
        <v>#N/A</v>
      </c>
      <c r="BT529" s="60">
        <f t="shared" si="637"/>
        <v>0</v>
      </c>
      <c r="BU529" s="60">
        <f t="shared" si="638"/>
        <v>0</v>
      </c>
      <c r="BV529" s="60">
        <f t="shared" si="639"/>
        <v>0</v>
      </c>
      <c r="BW529" s="60">
        <f t="shared" si="640"/>
        <v>0</v>
      </c>
      <c r="BX529" s="60">
        <f t="shared" si="641"/>
        <v>0</v>
      </c>
      <c r="BY529" s="60">
        <f t="shared" si="642"/>
        <v>0</v>
      </c>
      <c r="BZ529" s="60">
        <f t="shared" si="643"/>
        <v>0</v>
      </c>
      <c r="CA529" s="60">
        <f t="shared" si="644"/>
        <v>0</v>
      </c>
      <c r="CB529" s="60" t="e">
        <f t="shared" si="662"/>
        <v>#N/A</v>
      </c>
      <c r="CC529" s="60">
        <f t="shared" si="663"/>
        <v>100000</v>
      </c>
      <c r="CD529" s="60" t="e">
        <f t="shared" si="664"/>
        <v>#N/A</v>
      </c>
      <c r="CE529" s="60">
        <f t="shared" si="665"/>
        <v>100000</v>
      </c>
      <c r="CF529" s="83" t="e">
        <f t="shared" si="645"/>
        <v>#N/A</v>
      </c>
      <c r="CG529" s="83">
        <f t="shared" si="646"/>
        <v>0</v>
      </c>
      <c r="CH529" s="83" t="e">
        <f t="shared" si="647"/>
        <v>#N/A</v>
      </c>
      <c r="CI529" s="83">
        <f t="shared" si="648"/>
        <v>0</v>
      </c>
      <c r="CJ529" s="86" t="e">
        <f t="shared" si="666"/>
        <v>#N/A</v>
      </c>
      <c r="CK529" s="82">
        <f t="shared" si="667"/>
        <v>5.3070370403969858E-3</v>
      </c>
      <c r="CL529" s="82" t="e">
        <f t="shared" si="668"/>
        <v>#N/A</v>
      </c>
      <c r="CM529" s="82">
        <f t="shared" si="669"/>
        <v>5.3070370403969858E-3</v>
      </c>
      <c r="CO529" s="149" t="str">
        <f>IF($I529&lt;&gt;"",IF(O529="User Specified",U529,INDEX('Refrigerant GWPs'!$G$2:$G$156,MATCH(O529,'Refrigerant GWPs'!$A$2:$A$156,0))),"")</f>
        <v/>
      </c>
      <c r="CP529" s="138" t="str">
        <f>IF($I529&lt;&gt;"",INDEX('Device Refrigerant Leakage'!$E$2:$E$42,MATCH($M529,'Device Refrigerant Leakage'!$B$2:$B$42,0)),"")</f>
        <v/>
      </c>
      <c r="CQ529" s="138" t="str">
        <f>IF($I529&lt;&gt;"",INDEX('Device Refrigerant Leakage'!$F$2:$F$42,MATCH($M529,'Device Refrigerant Leakage'!$B$2:$B$42,0)),"")</f>
        <v/>
      </c>
      <c r="CR529" s="145" t="str">
        <f>IF($I529&lt;&gt;"",INDEX('Device Refrigerant Leakage'!$G$2:$G$42,MATCH($M529,'Device Refrigerant Leakage'!$B$2:$B$42,0)),"")</f>
        <v/>
      </c>
      <c r="CS529" s="145" t="str">
        <f>IF($I529&lt;&gt;"",INDEX('Device Refrigerant Leakage'!$D$2:$D$42,MATCH($M529,'Device Refrigerant Leakage'!$B$2:$B$42,0))*CP529/2204.62*CO529,"")</f>
        <v/>
      </c>
      <c r="CT529" s="145" t="str">
        <f>IF($I529&lt;&gt;"",J529*(INDEX('Device Refrigerant Leakage'!$D$2:$D$42,MATCH($M529,'Device Refrigerant Leakage'!$B$2:$B$42,0))-(INDEX('Device Refrigerant Leakage'!$D$2:$D$42,MATCH($M529,'Device Refrigerant Leakage'!$B$2:$B$42,0)))*CR529*CP529)*CQ529/2204.62*CO529,"")</f>
        <v/>
      </c>
      <c r="CU529" s="135" t="str">
        <f>IF($I529&lt;&gt;"",J529*IF(W529&lt;&gt;"AR",(CS529*K529)+CT529,(CS529*AB529)+CT529*(AB529/INDEX('Device Refrigerant Leakage'!$C$2:$C$42,MATCH($M529,'Device Refrigerant Leakage'!$B$2:$B$42,0)))),"")</f>
        <v/>
      </c>
      <c r="CW529" s="135" t="str">
        <f>IF($I529&lt;&gt;"",IF(S529="User Specified",V529,INDEX('Refrigerant GWPs'!$G$2:$G$156,MATCH(S529,'Refrigerant GWPs'!$A$2:$A$157,0))),"")</f>
        <v/>
      </c>
      <c r="CX529" s="138" t="str">
        <f>IF($I529&lt;&gt;"",INDEX('Device Refrigerant Leakage'!$E$2:$E$42,MATCH($Q529,'Device Refrigerant Leakage'!$B$2:$B$42,0)),"")</f>
        <v/>
      </c>
      <c r="CY529" s="138" t="str">
        <f>IF($I529&lt;&gt;"",INDEX('Device Refrigerant Leakage'!$F$2:$F$42,MATCH($Q529,'Device Refrigerant Leakage'!$B$2:$B$42,0)),"")</f>
        <v/>
      </c>
      <c r="CZ529" s="145" t="str">
        <f>IF($I529&lt;&gt;"",INDEX('Device Refrigerant Leakage'!$G$2:$G$42,MATCH($Q529,'Device Refrigerant Leakage'!$B$2:$B$42,0)),"")</f>
        <v/>
      </c>
      <c r="DA529" s="145" t="str">
        <f>IF($I529&lt;&gt;"",J529*INDEX('Device Refrigerant Leakage'!$D$2:$D$42,MATCH($Q529,'Device Refrigerant Leakage'!$B$2:$B$42,0))*CX529/2204.62*CW529,"")</f>
        <v/>
      </c>
      <c r="DB529" s="145" t="str">
        <f>IF($I529&lt;&gt;"",J529*(INDEX('Device Refrigerant Leakage'!$D$2:$D$42,MATCH($Q529,'Device Refrigerant Leakage'!$B$2:$B$42,0))-(INDEX('Device Refrigerant Leakage'!$D$2:$D$42,MATCH($Q529,'Device Refrigerant Leakage'!$B$2:$B$42,0)))*CZ529*CX529)*CY529/2204.62*CW529,"")</f>
        <v/>
      </c>
      <c r="DC529" s="135" t="str">
        <f t="shared" si="688"/>
        <v/>
      </c>
      <c r="DE529" s="146" t="str">
        <f>IF(W529&lt;&gt;"AR","",IF(Y529="User Specified", AA529, INDEX('Refrigerant GWPs'!$G$2:$G$154,MATCH(Y529,'Refrigerant GWPs'!$A$2:$A$154,0))))</f>
        <v/>
      </c>
      <c r="DF529" s="146" t="str">
        <f>IF(W529&lt;&gt;"AR","",INDEX('Device Refrigerant Leakage'!$E$2:$E$42,MATCH(X529,'Device Refrigerant Leakage'!$B$2:$B$42,0)))</f>
        <v/>
      </c>
      <c r="DG529" s="146" t="str">
        <f>IF(W529&lt;&gt;"AR","",INDEX('Device Refrigerant Leakage'!$F$2:$F$42,MATCH(X529,'Device Refrigerant Leakage'!$B$2:$B$42,0)))</f>
        <v/>
      </c>
      <c r="DH529" s="146" t="str">
        <f>IF(W529&lt;&gt;"AR","",INDEX('Device Refrigerant Leakage'!$G$2:$G$42,MATCH(X529,'Device Refrigerant Leakage'!$B$2:$B$42,0)))</f>
        <v/>
      </c>
      <c r="DI529" s="146" t="str">
        <f>IF(W529&lt;&gt;"AR","",J529*INDEX('Device Refrigerant Leakage'!$D$2:$D$42,MATCH(X529,'Device Refrigerant Leakage'!$B$2:$B$42,0))*DF529/2204.62*DE529)</f>
        <v/>
      </c>
      <c r="DJ529" s="146" t="str">
        <f>IF(W529&lt;&gt;"AR","",J529*(INDEX('Device Refrigerant Leakage'!$D$2:$D$42,MATCH(X529,'Device Refrigerant Leakage'!$B$2:$B$42,0))-(INDEX('Device Refrigerant Leakage'!$D$2:$D$42,MATCH(X529,'Device Refrigerant Leakage'!$B$2:$B$42,0)))*DH529*DF529)*DG529/2204.62*DE529)</f>
        <v/>
      </c>
      <c r="DK529" s="146" t="str">
        <f>IF(W529&lt;&gt;"AR","",DI529*(K529-AB529)+'Fuel Sub Calcs-Deemed'!DJ529*((K529-AB529)/INDEX('Device Refrigerant Leakage'!$C$2:$C$42,MATCH('Fuel Sub Calcs-Deemed'!X529,'Device Refrigerant Leakage'!$B$2:$B$42,0))))</f>
        <v/>
      </c>
      <c r="DM529" s="56">
        <v>515</v>
      </c>
      <c r="DN529" s="67" t="e">
        <f t="shared" si="670"/>
        <v>#N/A</v>
      </c>
      <c r="DO529" s="45" t="e">
        <f t="shared" si="671"/>
        <v>#N/A</v>
      </c>
      <c r="DP529" s="67" t="e">
        <f t="shared" si="672"/>
        <v>#N/A</v>
      </c>
      <c r="DQ529" s="45" t="e">
        <f t="shared" si="673"/>
        <v>#N/A</v>
      </c>
      <c r="DR529" s="69" t="e">
        <f t="shared" si="674"/>
        <v>#N/A</v>
      </c>
      <c r="DS529" s="34"/>
      <c r="DT529" s="67" t="e">
        <f>((BX529*CJ529)+IF($W529=MAT_AR,(BZ529*CL529),0))*(1+Reference!$E$50+Reference!$E$51)</f>
        <v>#N/A</v>
      </c>
      <c r="DU529" s="67">
        <f>((BY529*CK529)+IF($W529=MAT_AR,(CA529*CM529),0))*(1+Reference!$G$50+Reference!$G$51)</f>
        <v>0</v>
      </c>
      <c r="DV529" s="67" t="e">
        <f t="shared" si="675"/>
        <v>#VALUE!</v>
      </c>
      <c r="DX529" s="56">
        <v>515</v>
      </c>
      <c r="DY529" s="67">
        <f t="shared" si="676"/>
        <v>0</v>
      </c>
      <c r="DZ529" s="45" t="e">
        <f>VLOOKUP($R529,Dropdown!$C$3:$D$4,2,FALSE)</f>
        <v>#N/A</v>
      </c>
      <c r="EA529" s="68">
        <f t="shared" si="677"/>
        <v>0</v>
      </c>
      <c r="EB529" s="68" t="str">
        <f t="shared" si="678"/>
        <v>N/A</v>
      </c>
      <c r="EC529" s="68">
        <f t="shared" si="679"/>
        <v>0</v>
      </c>
      <c r="ED529" s="68" t="str">
        <f t="shared" si="649"/>
        <v>N/A</v>
      </c>
      <c r="EF529" s="56">
        <v>515</v>
      </c>
      <c r="EG529" s="46">
        <f t="shared" si="680"/>
        <v>0</v>
      </c>
      <c r="EH529" s="68" t="e">
        <f t="shared" si="681"/>
        <v>#N/A</v>
      </c>
      <c r="EI529" s="68" t="e">
        <f t="shared" si="682"/>
        <v>#N/A</v>
      </c>
      <c r="EJ529" s="68" t="e">
        <f t="shared" si="683"/>
        <v>#N/A</v>
      </c>
      <c r="EK529" s="68" t="e">
        <f t="shared" si="684"/>
        <v>#N/A</v>
      </c>
      <c r="EL529" s="46">
        <f t="shared" si="685"/>
        <v>0</v>
      </c>
      <c r="EM529" s="46">
        <f t="shared" si="686"/>
        <v>0</v>
      </c>
    </row>
    <row r="530" spans="1:143">
      <c r="A530" s="89"/>
      <c r="B530" s="89"/>
      <c r="C530" s="89"/>
      <c r="D530" s="89"/>
      <c r="E530" s="89"/>
      <c r="F530" s="89"/>
      <c r="G530" s="34"/>
      <c r="H530" s="56">
        <f t="shared" si="687"/>
        <v>516</v>
      </c>
      <c r="I530" s="165"/>
      <c r="J530" s="163"/>
      <c r="K530" s="163"/>
      <c r="L530" s="164"/>
      <c r="M530" s="155"/>
      <c r="N530" s="155"/>
      <c r="O530" s="144"/>
      <c r="P530" s="159" t="str">
        <f>IFERROR(IF(O530&lt;&gt;"User Specified",IF(O530&lt;&gt;"", INDEX('Refrigerant GWPs'!$G$2:$G$154,MATCH(O530,'Refrigerant GWPs'!$A$2:$A$154,0)),""),U530),0)</f>
        <v/>
      </c>
      <c r="Q530" s="155"/>
      <c r="R530" s="155"/>
      <c r="S530" s="144"/>
      <c r="T530" s="159" t="str">
        <f>IF(S530&lt;&gt;"User Specified",IF(AND(S530&lt;&gt;"User Specified",S530&lt;&gt;""), INDEX('Refrigerant GWPs'!$G$2:$G$154,MATCH(S530,'Refrigerant GWPs'!$A$2:$A$154,0)),""),V530)</f>
        <v/>
      </c>
      <c r="U530" s="144"/>
      <c r="V530" s="144"/>
      <c r="W530" s="155"/>
      <c r="X530" s="155"/>
      <c r="Y530" s="144"/>
      <c r="Z530" s="159" t="str">
        <f>IF(AND(Y530&lt;&gt;"User Specified",Y530&lt;&gt;""), INDEX('Refrigerant GWPs'!$G$2:$G$154,MATCH(Y530,'Refrigerant GWPs'!$A$2:$A$154,0)),"")</f>
        <v/>
      </c>
      <c r="AA530" s="155"/>
      <c r="AB530" s="156"/>
      <c r="AC530" s="66"/>
      <c r="AD530" s="66"/>
      <c r="AE530" s="66"/>
      <c r="AF530" s="66"/>
      <c r="AG530" s="66"/>
      <c r="AH530" s="66"/>
      <c r="AI530" s="34"/>
      <c r="AJ530" s="88">
        <f t="shared" si="650"/>
        <v>0</v>
      </c>
      <c r="AK530" s="88">
        <f t="shared" si="651"/>
        <v>0</v>
      </c>
      <c r="AL530" s="88">
        <v>0</v>
      </c>
      <c r="AM530" s="88">
        <v>0</v>
      </c>
      <c r="AN530" s="81" t="str">
        <f t="shared" si="621"/>
        <v/>
      </c>
      <c r="AO530" s="88">
        <f t="shared" si="652"/>
        <v>0</v>
      </c>
      <c r="AP530" s="88">
        <f t="shared" si="653"/>
        <v>0</v>
      </c>
      <c r="AQ530" s="81" t="str">
        <f t="shared" si="654"/>
        <v/>
      </c>
      <c r="AS530" s="41" t="b">
        <f t="shared" si="655"/>
        <v>1</v>
      </c>
      <c r="AT530" s="38">
        <f t="shared" si="656"/>
        <v>0</v>
      </c>
      <c r="AU530" s="60">
        <f t="shared" si="657"/>
        <v>0</v>
      </c>
      <c r="AV530" s="41">
        <f t="shared" si="658"/>
        <v>0</v>
      </c>
      <c r="AW530" s="41" t="b">
        <f t="shared" si="659"/>
        <v>0</v>
      </c>
      <c r="AX530" t="str">
        <f t="shared" si="660"/>
        <v>+00</v>
      </c>
      <c r="AY530" t="str">
        <f t="shared" si="661"/>
        <v>+00</v>
      </c>
      <c r="BA530" s="47" t="b">
        <f t="shared" si="622"/>
        <v>1</v>
      </c>
      <c r="BB530" s="42" t="b">
        <f t="shared" si="623"/>
        <v>1</v>
      </c>
      <c r="BC530" s="42" t="b">
        <f t="shared" si="624"/>
        <v>0</v>
      </c>
      <c r="BD530" s="42" t="b">
        <f t="shared" si="625"/>
        <v>0</v>
      </c>
      <c r="BE530" s="70">
        <f t="shared" si="626"/>
        <v>0</v>
      </c>
      <c r="BF530" s="70">
        <f t="shared" si="627"/>
        <v>0</v>
      </c>
      <c r="BG530" s="34"/>
      <c r="BI530" s="47" t="b">
        <f t="shared" si="628"/>
        <v>1</v>
      </c>
      <c r="BJ530" s="47" t="b">
        <f t="shared" si="629"/>
        <v>1</v>
      </c>
      <c r="BK530" s="42" t="b">
        <f t="shared" si="630"/>
        <v>0</v>
      </c>
      <c r="BL530" s="42" t="b">
        <f t="shared" si="631"/>
        <v>0</v>
      </c>
      <c r="BM530" s="42">
        <f t="shared" si="632"/>
        <v>0</v>
      </c>
      <c r="BN530" s="42">
        <f t="shared" si="633"/>
        <v>0</v>
      </c>
      <c r="BP530" t="e">
        <f t="shared" si="634"/>
        <v>#N/A</v>
      </c>
      <c r="BQ530" t="e">
        <f t="shared" si="635"/>
        <v>#N/A</v>
      </c>
      <c r="BR530" t="e">
        <f t="shared" si="636"/>
        <v>#N/A</v>
      </c>
      <c r="BT530" s="60">
        <f t="shared" si="637"/>
        <v>0</v>
      </c>
      <c r="BU530" s="60">
        <f t="shared" si="638"/>
        <v>0</v>
      </c>
      <c r="BV530" s="60">
        <f t="shared" si="639"/>
        <v>0</v>
      </c>
      <c r="BW530" s="60">
        <f t="shared" si="640"/>
        <v>0</v>
      </c>
      <c r="BX530" s="60">
        <f t="shared" si="641"/>
        <v>0</v>
      </c>
      <c r="BY530" s="60">
        <f t="shared" si="642"/>
        <v>0</v>
      </c>
      <c r="BZ530" s="60">
        <f t="shared" si="643"/>
        <v>0</v>
      </c>
      <c r="CA530" s="60">
        <f t="shared" si="644"/>
        <v>0</v>
      </c>
      <c r="CB530" s="60" t="e">
        <f t="shared" si="662"/>
        <v>#N/A</v>
      </c>
      <c r="CC530" s="60">
        <f t="shared" si="663"/>
        <v>100000</v>
      </c>
      <c r="CD530" s="60" t="e">
        <f t="shared" si="664"/>
        <v>#N/A</v>
      </c>
      <c r="CE530" s="60">
        <f t="shared" si="665"/>
        <v>100000</v>
      </c>
      <c r="CF530" s="83" t="e">
        <f t="shared" si="645"/>
        <v>#N/A</v>
      </c>
      <c r="CG530" s="83">
        <f t="shared" si="646"/>
        <v>0</v>
      </c>
      <c r="CH530" s="83" t="e">
        <f t="shared" si="647"/>
        <v>#N/A</v>
      </c>
      <c r="CI530" s="83">
        <f t="shared" si="648"/>
        <v>0</v>
      </c>
      <c r="CJ530" s="86" t="e">
        <f t="shared" si="666"/>
        <v>#N/A</v>
      </c>
      <c r="CK530" s="82">
        <f t="shared" si="667"/>
        <v>5.3070370403969858E-3</v>
      </c>
      <c r="CL530" s="82" t="e">
        <f t="shared" si="668"/>
        <v>#N/A</v>
      </c>
      <c r="CM530" s="82">
        <f t="shared" si="669"/>
        <v>5.3070370403969858E-3</v>
      </c>
      <c r="CO530" s="149" t="str">
        <f>IF($I530&lt;&gt;"",IF(O530="User Specified",U530,INDEX('Refrigerant GWPs'!$G$2:$G$156,MATCH(O530,'Refrigerant GWPs'!$A$2:$A$156,0))),"")</f>
        <v/>
      </c>
      <c r="CP530" s="138" t="str">
        <f>IF($I530&lt;&gt;"",INDEX('Device Refrigerant Leakage'!$E$2:$E$42,MATCH($M530,'Device Refrigerant Leakage'!$B$2:$B$42,0)),"")</f>
        <v/>
      </c>
      <c r="CQ530" s="138" t="str">
        <f>IF($I530&lt;&gt;"",INDEX('Device Refrigerant Leakage'!$F$2:$F$42,MATCH($M530,'Device Refrigerant Leakage'!$B$2:$B$42,0)),"")</f>
        <v/>
      </c>
      <c r="CR530" s="145" t="str">
        <f>IF($I530&lt;&gt;"",INDEX('Device Refrigerant Leakage'!$G$2:$G$42,MATCH($M530,'Device Refrigerant Leakage'!$B$2:$B$42,0)),"")</f>
        <v/>
      </c>
      <c r="CS530" s="145" t="str">
        <f>IF($I530&lt;&gt;"",INDEX('Device Refrigerant Leakage'!$D$2:$D$42,MATCH($M530,'Device Refrigerant Leakage'!$B$2:$B$42,0))*CP530/2204.62*CO530,"")</f>
        <v/>
      </c>
      <c r="CT530" s="145" t="str">
        <f>IF($I530&lt;&gt;"",J530*(INDEX('Device Refrigerant Leakage'!$D$2:$D$42,MATCH($M530,'Device Refrigerant Leakage'!$B$2:$B$42,0))-(INDEX('Device Refrigerant Leakage'!$D$2:$D$42,MATCH($M530,'Device Refrigerant Leakage'!$B$2:$B$42,0)))*CR530*CP530)*CQ530/2204.62*CO530,"")</f>
        <v/>
      </c>
      <c r="CU530" s="135" t="str">
        <f>IF($I530&lt;&gt;"",J530*IF(W530&lt;&gt;"AR",(CS530*K530)+CT530,(CS530*AB530)+CT530*(AB530/INDEX('Device Refrigerant Leakage'!$C$2:$C$42,MATCH($M530,'Device Refrigerant Leakage'!$B$2:$B$42,0)))),"")</f>
        <v/>
      </c>
      <c r="CW530" s="135" t="str">
        <f>IF($I530&lt;&gt;"",IF(S530="User Specified",V530,INDEX('Refrigerant GWPs'!$G$2:$G$156,MATCH(S530,'Refrigerant GWPs'!$A$2:$A$157,0))),"")</f>
        <v/>
      </c>
      <c r="CX530" s="138" t="str">
        <f>IF($I530&lt;&gt;"",INDEX('Device Refrigerant Leakage'!$E$2:$E$42,MATCH($Q530,'Device Refrigerant Leakage'!$B$2:$B$42,0)),"")</f>
        <v/>
      </c>
      <c r="CY530" s="138" t="str">
        <f>IF($I530&lt;&gt;"",INDEX('Device Refrigerant Leakage'!$F$2:$F$42,MATCH($Q530,'Device Refrigerant Leakage'!$B$2:$B$42,0)),"")</f>
        <v/>
      </c>
      <c r="CZ530" s="145" t="str">
        <f>IF($I530&lt;&gt;"",INDEX('Device Refrigerant Leakage'!$G$2:$G$42,MATCH($Q530,'Device Refrigerant Leakage'!$B$2:$B$42,0)),"")</f>
        <v/>
      </c>
      <c r="DA530" s="145" t="str">
        <f>IF($I530&lt;&gt;"",J530*INDEX('Device Refrigerant Leakage'!$D$2:$D$42,MATCH($Q530,'Device Refrigerant Leakage'!$B$2:$B$42,0))*CX530/2204.62*CW530,"")</f>
        <v/>
      </c>
      <c r="DB530" s="145" t="str">
        <f>IF($I530&lt;&gt;"",J530*(INDEX('Device Refrigerant Leakage'!$D$2:$D$42,MATCH($Q530,'Device Refrigerant Leakage'!$B$2:$B$42,0))-(INDEX('Device Refrigerant Leakage'!$D$2:$D$42,MATCH($Q530,'Device Refrigerant Leakage'!$B$2:$B$42,0)))*CZ530*CX530)*CY530/2204.62*CW530,"")</f>
        <v/>
      </c>
      <c r="DC530" s="135" t="str">
        <f t="shared" si="688"/>
        <v/>
      </c>
      <c r="DE530" s="146" t="str">
        <f>IF(W530&lt;&gt;"AR","",IF(Y530="User Specified", AA530, INDEX('Refrigerant GWPs'!$G$2:$G$154,MATCH(Y530,'Refrigerant GWPs'!$A$2:$A$154,0))))</f>
        <v/>
      </c>
      <c r="DF530" s="146" t="str">
        <f>IF(W530&lt;&gt;"AR","",INDEX('Device Refrigerant Leakage'!$E$2:$E$42,MATCH(X530,'Device Refrigerant Leakage'!$B$2:$B$42,0)))</f>
        <v/>
      </c>
      <c r="DG530" s="146" t="str">
        <f>IF(W530&lt;&gt;"AR","",INDEX('Device Refrigerant Leakage'!$F$2:$F$42,MATCH(X530,'Device Refrigerant Leakage'!$B$2:$B$42,0)))</f>
        <v/>
      </c>
      <c r="DH530" s="146" t="str">
        <f>IF(W530&lt;&gt;"AR","",INDEX('Device Refrigerant Leakage'!$G$2:$G$42,MATCH(X530,'Device Refrigerant Leakage'!$B$2:$B$42,0)))</f>
        <v/>
      </c>
      <c r="DI530" s="146" t="str">
        <f>IF(W530&lt;&gt;"AR","",J530*INDEX('Device Refrigerant Leakage'!$D$2:$D$42,MATCH(X530,'Device Refrigerant Leakage'!$B$2:$B$42,0))*DF530/2204.62*DE530)</f>
        <v/>
      </c>
      <c r="DJ530" s="146" t="str">
        <f>IF(W530&lt;&gt;"AR","",J530*(INDEX('Device Refrigerant Leakage'!$D$2:$D$42,MATCH(X530,'Device Refrigerant Leakage'!$B$2:$B$42,0))-(INDEX('Device Refrigerant Leakage'!$D$2:$D$42,MATCH(X530,'Device Refrigerant Leakage'!$B$2:$B$42,0)))*DH530*DF530)*DG530/2204.62*DE530)</f>
        <v/>
      </c>
      <c r="DK530" s="146" t="str">
        <f>IF(W530&lt;&gt;"AR","",DI530*(K530-AB530)+'Fuel Sub Calcs-Deemed'!DJ530*((K530-AB530)/INDEX('Device Refrigerant Leakage'!$C$2:$C$42,MATCH('Fuel Sub Calcs-Deemed'!X530,'Device Refrigerant Leakage'!$B$2:$B$42,0))))</f>
        <v/>
      </c>
      <c r="DM530" s="56">
        <v>516</v>
      </c>
      <c r="DN530" s="67" t="e">
        <f t="shared" si="670"/>
        <v>#N/A</v>
      </c>
      <c r="DO530" s="45" t="e">
        <f t="shared" si="671"/>
        <v>#N/A</v>
      </c>
      <c r="DP530" s="67" t="e">
        <f t="shared" si="672"/>
        <v>#N/A</v>
      </c>
      <c r="DQ530" s="45" t="e">
        <f t="shared" si="673"/>
        <v>#N/A</v>
      </c>
      <c r="DR530" s="69" t="e">
        <f t="shared" si="674"/>
        <v>#N/A</v>
      </c>
      <c r="DS530" s="34"/>
      <c r="DT530" s="67" t="e">
        <f>((BX530*CJ530)+IF($W530=MAT_AR,(BZ530*CL530),0))*(1+Reference!$E$50+Reference!$E$51)</f>
        <v>#N/A</v>
      </c>
      <c r="DU530" s="67">
        <f>((BY530*CK530)+IF($W530=MAT_AR,(CA530*CM530),0))*(1+Reference!$G$50+Reference!$G$51)</f>
        <v>0</v>
      </c>
      <c r="DV530" s="67" t="e">
        <f t="shared" si="675"/>
        <v>#VALUE!</v>
      </c>
      <c r="DX530" s="56">
        <v>516</v>
      </c>
      <c r="DY530" s="67">
        <f t="shared" si="676"/>
        <v>0</v>
      </c>
      <c r="DZ530" s="45" t="e">
        <f>VLOOKUP($R530,Dropdown!$C$3:$D$4,2,FALSE)</f>
        <v>#N/A</v>
      </c>
      <c r="EA530" s="68">
        <f t="shared" si="677"/>
        <v>0</v>
      </c>
      <c r="EB530" s="68" t="str">
        <f t="shared" si="678"/>
        <v>N/A</v>
      </c>
      <c r="EC530" s="68">
        <f t="shared" si="679"/>
        <v>0</v>
      </c>
      <c r="ED530" s="68" t="str">
        <f t="shared" si="649"/>
        <v>N/A</v>
      </c>
      <c r="EF530" s="56">
        <v>516</v>
      </c>
      <c r="EG530" s="46">
        <f t="shared" si="680"/>
        <v>0</v>
      </c>
      <c r="EH530" s="68" t="e">
        <f t="shared" si="681"/>
        <v>#N/A</v>
      </c>
      <c r="EI530" s="68" t="e">
        <f t="shared" si="682"/>
        <v>#N/A</v>
      </c>
      <c r="EJ530" s="68" t="e">
        <f t="shared" si="683"/>
        <v>#N/A</v>
      </c>
      <c r="EK530" s="68" t="e">
        <f t="shared" si="684"/>
        <v>#N/A</v>
      </c>
      <c r="EL530" s="46">
        <f t="shared" si="685"/>
        <v>0</v>
      </c>
      <c r="EM530" s="46">
        <f t="shared" si="686"/>
        <v>0</v>
      </c>
    </row>
    <row r="531" spans="1:143">
      <c r="A531" s="89"/>
      <c r="B531" s="89"/>
      <c r="C531" s="89"/>
      <c r="D531" s="89"/>
      <c r="E531" s="89"/>
      <c r="F531" s="89"/>
      <c r="G531" s="34"/>
      <c r="H531" s="56">
        <f t="shared" si="687"/>
        <v>517</v>
      </c>
      <c r="I531" s="165"/>
      <c r="J531" s="163"/>
      <c r="K531" s="163"/>
      <c r="L531" s="164"/>
      <c r="M531" s="155"/>
      <c r="N531" s="155"/>
      <c r="O531" s="144"/>
      <c r="P531" s="159" t="str">
        <f>IFERROR(IF(O531&lt;&gt;"User Specified",IF(O531&lt;&gt;"", INDEX('Refrigerant GWPs'!$G$2:$G$154,MATCH(O531,'Refrigerant GWPs'!$A$2:$A$154,0)),""),U531),0)</f>
        <v/>
      </c>
      <c r="Q531" s="155"/>
      <c r="R531" s="155"/>
      <c r="S531" s="144"/>
      <c r="T531" s="159" t="str">
        <f>IF(S531&lt;&gt;"User Specified",IF(AND(S531&lt;&gt;"User Specified",S531&lt;&gt;""), INDEX('Refrigerant GWPs'!$G$2:$G$154,MATCH(S531,'Refrigerant GWPs'!$A$2:$A$154,0)),""),V531)</f>
        <v/>
      </c>
      <c r="U531" s="144"/>
      <c r="V531" s="144"/>
      <c r="W531" s="155"/>
      <c r="X531" s="155"/>
      <c r="Y531" s="144"/>
      <c r="Z531" s="159" t="str">
        <f>IF(AND(Y531&lt;&gt;"User Specified",Y531&lt;&gt;""), INDEX('Refrigerant GWPs'!$G$2:$G$154,MATCH(Y531,'Refrigerant GWPs'!$A$2:$A$154,0)),"")</f>
        <v/>
      </c>
      <c r="AA531" s="155"/>
      <c r="AB531" s="156"/>
      <c r="AC531" s="66"/>
      <c r="AD531" s="66"/>
      <c r="AE531" s="66"/>
      <c r="AF531" s="66"/>
      <c r="AG531" s="66"/>
      <c r="AH531" s="66"/>
      <c r="AI531" s="34"/>
      <c r="AJ531" s="88">
        <f t="shared" si="650"/>
        <v>0</v>
      </c>
      <c r="AK531" s="88">
        <f t="shared" si="651"/>
        <v>0</v>
      </c>
      <c r="AL531" s="88">
        <v>0</v>
      </c>
      <c r="AM531" s="88">
        <v>0</v>
      </c>
      <c r="AN531" s="81" t="str">
        <f t="shared" si="621"/>
        <v/>
      </c>
      <c r="AO531" s="88">
        <f t="shared" si="652"/>
        <v>0</v>
      </c>
      <c r="AP531" s="88">
        <f t="shared" si="653"/>
        <v>0</v>
      </c>
      <c r="AQ531" s="81" t="str">
        <f t="shared" si="654"/>
        <v/>
      </c>
      <c r="AS531" s="41" t="b">
        <f t="shared" si="655"/>
        <v>1</v>
      </c>
      <c r="AT531" s="38">
        <f t="shared" si="656"/>
        <v>0</v>
      </c>
      <c r="AU531" s="60">
        <f t="shared" si="657"/>
        <v>0</v>
      </c>
      <c r="AV531" s="41">
        <f t="shared" si="658"/>
        <v>0</v>
      </c>
      <c r="AW531" s="41" t="b">
        <f t="shared" si="659"/>
        <v>0</v>
      </c>
      <c r="AX531" t="str">
        <f t="shared" si="660"/>
        <v>+00</v>
      </c>
      <c r="AY531" t="str">
        <f t="shared" si="661"/>
        <v>+00</v>
      </c>
      <c r="BA531" s="47" t="b">
        <f t="shared" si="622"/>
        <v>1</v>
      </c>
      <c r="BB531" s="42" t="b">
        <f t="shared" si="623"/>
        <v>1</v>
      </c>
      <c r="BC531" s="42" t="b">
        <f t="shared" si="624"/>
        <v>0</v>
      </c>
      <c r="BD531" s="42" t="b">
        <f t="shared" si="625"/>
        <v>0</v>
      </c>
      <c r="BE531" s="70">
        <f t="shared" si="626"/>
        <v>0</v>
      </c>
      <c r="BF531" s="70">
        <f t="shared" si="627"/>
        <v>0</v>
      </c>
      <c r="BG531" s="34"/>
      <c r="BI531" s="47" t="b">
        <f t="shared" si="628"/>
        <v>1</v>
      </c>
      <c r="BJ531" s="47" t="b">
        <f t="shared" si="629"/>
        <v>1</v>
      </c>
      <c r="BK531" s="42" t="b">
        <f t="shared" si="630"/>
        <v>0</v>
      </c>
      <c r="BL531" s="42" t="b">
        <f t="shared" si="631"/>
        <v>0</v>
      </c>
      <c r="BM531" s="42">
        <f t="shared" si="632"/>
        <v>0</v>
      </c>
      <c r="BN531" s="42">
        <f t="shared" si="633"/>
        <v>0</v>
      </c>
      <c r="BP531" t="e">
        <f t="shared" si="634"/>
        <v>#N/A</v>
      </c>
      <c r="BQ531" t="e">
        <f t="shared" si="635"/>
        <v>#N/A</v>
      </c>
      <c r="BR531" t="e">
        <f t="shared" si="636"/>
        <v>#N/A</v>
      </c>
      <c r="BT531" s="60">
        <f t="shared" si="637"/>
        <v>0</v>
      </c>
      <c r="BU531" s="60">
        <f t="shared" si="638"/>
        <v>0</v>
      </c>
      <c r="BV531" s="60">
        <f t="shared" si="639"/>
        <v>0</v>
      </c>
      <c r="BW531" s="60">
        <f t="shared" si="640"/>
        <v>0</v>
      </c>
      <c r="BX531" s="60">
        <f t="shared" si="641"/>
        <v>0</v>
      </c>
      <c r="BY531" s="60">
        <f t="shared" si="642"/>
        <v>0</v>
      </c>
      <c r="BZ531" s="60">
        <f t="shared" si="643"/>
        <v>0</v>
      </c>
      <c r="CA531" s="60">
        <f t="shared" si="644"/>
        <v>0</v>
      </c>
      <c r="CB531" s="60" t="e">
        <f t="shared" si="662"/>
        <v>#N/A</v>
      </c>
      <c r="CC531" s="60">
        <f t="shared" si="663"/>
        <v>100000</v>
      </c>
      <c r="CD531" s="60" t="e">
        <f t="shared" si="664"/>
        <v>#N/A</v>
      </c>
      <c r="CE531" s="60">
        <f t="shared" si="665"/>
        <v>100000</v>
      </c>
      <c r="CF531" s="83" t="e">
        <f t="shared" si="645"/>
        <v>#N/A</v>
      </c>
      <c r="CG531" s="83">
        <f t="shared" si="646"/>
        <v>0</v>
      </c>
      <c r="CH531" s="83" t="e">
        <f t="shared" si="647"/>
        <v>#N/A</v>
      </c>
      <c r="CI531" s="83">
        <f t="shared" si="648"/>
        <v>0</v>
      </c>
      <c r="CJ531" s="86" t="e">
        <f t="shared" si="666"/>
        <v>#N/A</v>
      </c>
      <c r="CK531" s="82">
        <f t="shared" si="667"/>
        <v>5.3070370403969858E-3</v>
      </c>
      <c r="CL531" s="82" t="e">
        <f t="shared" si="668"/>
        <v>#N/A</v>
      </c>
      <c r="CM531" s="82">
        <f t="shared" si="669"/>
        <v>5.3070370403969858E-3</v>
      </c>
      <c r="CO531" s="149" t="str">
        <f>IF($I531&lt;&gt;"",IF(O531="User Specified",U531,INDEX('Refrigerant GWPs'!$G$2:$G$156,MATCH(O531,'Refrigerant GWPs'!$A$2:$A$156,0))),"")</f>
        <v/>
      </c>
      <c r="CP531" s="138" t="str">
        <f>IF($I531&lt;&gt;"",INDEX('Device Refrigerant Leakage'!$E$2:$E$42,MATCH($M531,'Device Refrigerant Leakage'!$B$2:$B$42,0)),"")</f>
        <v/>
      </c>
      <c r="CQ531" s="138" t="str">
        <f>IF($I531&lt;&gt;"",INDEX('Device Refrigerant Leakage'!$F$2:$F$42,MATCH($M531,'Device Refrigerant Leakage'!$B$2:$B$42,0)),"")</f>
        <v/>
      </c>
      <c r="CR531" s="145" t="str">
        <f>IF($I531&lt;&gt;"",INDEX('Device Refrigerant Leakage'!$G$2:$G$42,MATCH($M531,'Device Refrigerant Leakage'!$B$2:$B$42,0)),"")</f>
        <v/>
      </c>
      <c r="CS531" s="145" t="str">
        <f>IF($I531&lt;&gt;"",INDEX('Device Refrigerant Leakage'!$D$2:$D$42,MATCH($M531,'Device Refrigerant Leakage'!$B$2:$B$42,0))*CP531/2204.62*CO531,"")</f>
        <v/>
      </c>
      <c r="CT531" s="145" t="str">
        <f>IF($I531&lt;&gt;"",J531*(INDEX('Device Refrigerant Leakage'!$D$2:$D$42,MATCH($M531,'Device Refrigerant Leakage'!$B$2:$B$42,0))-(INDEX('Device Refrigerant Leakage'!$D$2:$D$42,MATCH($M531,'Device Refrigerant Leakage'!$B$2:$B$42,0)))*CR531*CP531)*CQ531/2204.62*CO531,"")</f>
        <v/>
      </c>
      <c r="CU531" s="135" t="str">
        <f>IF($I531&lt;&gt;"",J531*IF(W531&lt;&gt;"AR",(CS531*K531)+CT531,(CS531*AB531)+CT531*(AB531/INDEX('Device Refrigerant Leakage'!$C$2:$C$42,MATCH($M531,'Device Refrigerant Leakage'!$B$2:$B$42,0)))),"")</f>
        <v/>
      </c>
      <c r="CW531" s="135" t="str">
        <f>IF($I531&lt;&gt;"",IF(S531="User Specified",V531,INDEX('Refrigerant GWPs'!$G$2:$G$156,MATCH(S531,'Refrigerant GWPs'!$A$2:$A$157,0))),"")</f>
        <v/>
      </c>
      <c r="CX531" s="138" t="str">
        <f>IF($I531&lt;&gt;"",INDEX('Device Refrigerant Leakage'!$E$2:$E$42,MATCH($Q531,'Device Refrigerant Leakage'!$B$2:$B$42,0)),"")</f>
        <v/>
      </c>
      <c r="CY531" s="138" t="str">
        <f>IF($I531&lt;&gt;"",INDEX('Device Refrigerant Leakage'!$F$2:$F$42,MATCH($Q531,'Device Refrigerant Leakage'!$B$2:$B$42,0)),"")</f>
        <v/>
      </c>
      <c r="CZ531" s="145" t="str">
        <f>IF($I531&lt;&gt;"",INDEX('Device Refrigerant Leakage'!$G$2:$G$42,MATCH($Q531,'Device Refrigerant Leakage'!$B$2:$B$42,0)),"")</f>
        <v/>
      </c>
      <c r="DA531" s="145" t="str">
        <f>IF($I531&lt;&gt;"",J531*INDEX('Device Refrigerant Leakage'!$D$2:$D$42,MATCH($Q531,'Device Refrigerant Leakage'!$B$2:$B$42,0))*CX531/2204.62*CW531,"")</f>
        <v/>
      </c>
      <c r="DB531" s="145" t="str">
        <f>IF($I531&lt;&gt;"",J531*(INDEX('Device Refrigerant Leakage'!$D$2:$D$42,MATCH($Q531,'Device Refrigerant Leakage'!$B$2:$B$42,0))-(INDEX('Device Refrigerant Leakage'!$D$2:$D$42,MATCH($Q531,'Device Refrigerant Leakage'!$B$2:$B$42,0)))*CZ531*CX531)*CY531/2204.62*CW531,"")</f>
        <v/>
      </c>
      <c r="DC531" s="135" t="str">
        <f t="shared" si="688"/>
        <v/>
      </c>
      <c r="DE531" s="146" t="str">
        <f>IF(W531&lt;&gt;"AR","",IF(Y531="User Specified", AA531, INDEX('Refrigerant GWPs'!$G$2:$G$154,MATCH(Y531,'Refrigerant GWPs'!$A$2:$A$154,0))))</f>
        <v/>
      </c>
      <c r="DF531" s="146" t="str">
        <f>IF(W531&lt;&gt;"AR","",INDEX('Device Refrigerant Leakage'!$E$2:$E$42,MATCH(X531,'Device Refrigerant Leakage'!$B$2:$B$42,0)))</f>
        <v/>
      </c>
      <c r="DG531" s="146" t="str">
        <f>IF(W531&lt;&gt;"AR","",INDEX('Device Refrigerant Leakage'!$F$2:$F$42,MATCH(X531,'Device Refrigerant Leakage'!$B$2:$B$42,0)))</f>
        <v/>
      </c>
      <c r="DH531" s="146" t="str">
        <f>IF(W531&lt;&gt;"AR","",INDEX('Device Refrigerant Leakage'!$G$2:$G$42,MATCH(X531,'Device Refrigerant Leakage'!$B$2:$B$42,0)))</f>
        <v/>
      </c>
      <c r="DI531" s="146" t="str">
        <f>IF(W531&lt;&gt;"AR","",J531*INDEX('Device Refrigerant Leakage'!$D$2:$D$42,MATCH(X531,'Device Refrigerant Leakage'!$B$2:$B$42,0))*DF531/2204.62*DE531)</f>
        <v/>
      </c>
      <c r="DJ531" s="146" t="str">
        <f>IF(W531&lt;&gt;"AR","",J531*(INDEX('Device Refrigerant Leakage'!$D$2:$D$42,MATCH(X531,'Device Refrigerant Leakage'!$B$2:$B$42,0))-(INDEX('Device Refrigerant Leakage'!$D$2:$D$42,MATCH(X531,'Device Refrigerant Leakage'!$B$2:$B$42,0)))*DH531*DF531)*DG531/2204.62*DE531)</f>
        <v/>
      </c>
      <c r="DK531" s="146" t="str">
        <f>IF(W531&lt;&gt;"AR","",DI531*(K531-AB531)+'Fuel Sub Calcs-Deemed'!DJ531*((K531-AB531)/INDEX('Device Refrigerant Leakage'!$C$2:$C$42,MATCH('Fuel Sub Calcs-Deemed'!X531,'Device Refrigerant Leakage'!$B$2:$B$42,0))))</f>
        <v/>
      </c>
      <c r="DM531" s="56">
        <v>517</v>
      </c>
      <c r="DN531" s="67" t="e">
        <f t="shared" si="670"/>
        <v>#N/A</v>
      </c>
      <c r="DO531" s="45" t="e">
        <f t="shared" si="671"/>
        <v>#N/A</v>
      </c>
      <c r="DP531" s="67" t="e">
        <f t="shared" si="672"/>
        <v>#N/A</v>
      </c>
      <c r="DQ531" s="45" t="e">
        <f t="shared" si="673"/>
        <v>#N/A</v>
      </c>
      <c r="DR531" s="69" t="e">
        <f t="shared" si="674"/>
        <v>#N/A</v>
      </c>
      <c r="DS531" s="34"/>
      <c r="DT531" s="67" t="e">
        <f>((BX531*CJ531)+IF($W531=MAT_AR,(BZ531*CL531),0))*(1+Reference!$E$50+Reference!$E$51)</f>
        <v>#N/A</v>
      </c>
      <c r="DU531" s="67">
        <f>((BY531*CK531)+IF($W531=MAT_AR,(CA531*CM531),0))*(1+Reference!$G$50+Reference!$G$51)</f>
        <v>0</v>
      </c>
      <c r="DV531" s="67" t="e">
        <f t="shared" si="675"/>
        <v>#VALUE!</v>
      </c>
      <c r="DX531" s="56">
        <v>517</v>
      </c>
      <c r="DY531" s="67">
        <f t="shared" si="676"/>
        <v>0</v>
      </c>
      <c r="DZ531" s="45" t="e">
        <f>VLOOKUP($R531,Dropdown!$C$3:$D$4,2,FALSE)</f>
        <v>#N/A</v>
      </c>
      <c r="EA531" s="68">
        <f t="shared" si="677"/>
        <v>0</v>
      </c>
      <c r="EB531" s="68" t="str">
        <f t="shared" si="678"/>
        <v>N/A</v>
      </c>
      <c r="EC531" s="68">
        <f t="shared" si="679"/>
        <v>0</v>
      </c>
      <c r="ED531" s="68" t="str">
        <f t="shared" si="649"/>
        <v>N/A</v>
      </c>
      <c r="EF531" s="56">
        <v>517</v>
      </c>
      <c r="EG531" s="46">
        <f t="shared" si="680"/>
        <v>0</v>
      </c>
      <c r="EH531" s="68" t="e">
        <f t="shared" si="681"/>
        <v>#N/A</v>
      </c>
      <c r="EI531" s="68" t="e">
        <f t="shared" si="682"/>
        <v>#N/A</v>
      </c>
      <c r="EJ531" s="68" t="e">
        <f t="shared" si="683"/>
        <v>#N/A</v>
      </c>
      <c r="EK531" s="68" t="e">
        <f t="shared" si="684"/>
        <v>#N/A</v>
      </c>
      <c r="EL531" s="46">
        <f t="shared" si="685"/>
        <v>0</v>
      </c>
      <c r="EM531" s="46">
        <f t="shared" si="686"/>
        <v>0</v>
      </c>
    </row>
    <row r="532" spans="1:143">
      <c r="A532" s="89"/>
      <c r="B532" s="89"/>
      <c r="C532" s="89"/>
      <c r="D532" s="89"/>
      <c r="E532" s="89"/>
      <c r="F532" s="89"/>
      <c r="G532" s="34"/>
      <c r="H532" s="56">
        <f t="shared" si="687"/>
        <v>518</v>
      </c>
      <c r="I532" s="165"/>
      <c r="J532" s="163"/>
      <c r="K532" s="163"/>
      <c r="L532" s="164"/>
      <c r="M532" s="155"/>
      <c r="N532" s="155"/>
      <c r="O532" s="144"/>
      <c r="P532" s="159" t="str">
        <f>IFERROR(IF(O532&lt;&gt;"User Specified",IF(O532&lt;&gt;"", INDEX('Refrigerant GWPs'!$G$2:$G$154,MATCH(O532,'Refrigerant GWPs'!$A$2:$A$154,0)),""),U532),0)</f>
        <v/>
      </c>
      <c r="Q532" s="155"/>
      <c r="R532" s="155"/>
      <c r="S532" s="144"/>
      <c r="T532" s="159" t="str">
        <f>IF(S532&lt;&gt;"User Specified",IF(AND(S532&lt;&gt;"User Specified",S532&lt;&gt;""), INDEX('Refrigerant GWPs'!$G$2:$G$154,MATCH(S532,'Refrigerant GWPs'!$A$2:$A$154,0)),""),V532)</f>
        <v/>
      </c>
      <c r="U532" s="144"/>
      <c r="V532" s="144"/>
      <c r="W532" s="155"/>
      <c r="X532" s="155"/>
      <c r="Y532" s="144"/>
      <c r="Z532" s="159" t="str">
        <f>IF(AND(Y532&lt;&gt;"User Specified",Y532&lt;&gt;""), INDEX('Refrigerant GWPs'!$G$2:$G$154,MATCH(Y532,'Refrigerant GWPs'!$A$2:$A$154,0)),"")</f>
        <v/>
      </c>
      <c r="AA532" s="155"/>
      <c r="AB532" s="156"/>
      <c r="AC532" s="66"/>
      <c r="AD532" s="66"/>
      <c r="AE532" s="66"/>
      <c r="AF532" s="66"/>
      <c r="AG532" s="66"/>
      <c r="AH532" s="66"/>
      <c r="AI532" s="34"/>
      <c r="AJ532" s="88">
        <f t="shared" si="650"/>
        <v>0</v>
      </c>
      <c r="AK532" s="88">
        <f t="shared" si="651"/>
        <v>0</v>
      </c>
      <c r="AL532" s="88">
        <v>0</v>
      </c>
      <c r="AM532" s="88">
        <v>0</v>
      </c>
      <c r="AN532" s="81" t="str">
        <f t="shared" si="621"/>
        <v/>
      </c>
      <c r="AO532" s="88">
        <f t="shared" si="652"/>
        <v>0</v>
      </c>
      <c r="AP532" s="88">
        <f t="shared" si="653"/>
        <v>0</v>
      </c>
      <c r="AQ532" s="81" t="str">
        <f t="shared" si="654"/>
        <v/>
      </c>
      <c r="AS532" s="41" t="b">
        <f t="shared" si="655"/>
        <v>1</v>
      </c>
      <c r="AT532" s="38">
        <f t="shared" si="656"/>
        <v>0</v>
      </c>
      <c r="AU532" s="60">
        <f t="shared" si="657"/>
        <v>0</v>
      </c>
      <c r="AV532" s="41">
        <f t="shared" si="658"/>
        <v>0</v>
      </c>
      <c r="AW532" s="41" t="b">
        <f t="shared" si="659"/>
        <v>0</v>
      </c>
      <c r="AX532" t="str">
        <f t="shared" si="660"/>
        <v>+00</v>
      </c>
      <c r="AY532" t="str">
        <f t="shared" si="661"/>
        <v>+00</v>
      </c>
      <c r="BA532" s="47" t="b">
        <f t="shared" si="622"/>
        <v>1</v>
      </c>
      <c r="BB532" s="42" t="b">
        <f t="shared" si="623"/>
        <v>1</v>
      </c>
      <c r="BC532" s="42" t="b">
        <f t="shared" si="624"/>
        <v>0</v>
      </c>
      <c r="BD532" s="42" t="b">
        <f t="shared" si="625"/>
        <v>0</v>
      </c>
      <c r="BE532" s="70">
        <f t="shared" si="626"/>
        <v>0</v>
      </c>
      <c r="BF532" s="70">
        <f t="shared" si="627"/>
        <v>0</v>
      </c>
      <c r="BG532" s="34"/>
      <c r="BI532" s="47" t="b">
        <f t="shared" si="628"/>
        <v>1</v>
      </c>
      <c r="BJ532" s="47" t="b">
        <f t="shared" si="629"/>
        <v>1</v>
      </c>
      <c r="BK532" s="42" t="b">
        <f t="shared" si="630"/>
        <v>0</v>
      </c>
      <c r="BL532" s="42" t="b">
        <f t="shared" si="631"/>
        <v>0</v>
      </c>
      <c r="BM532" s="42">
        <f t="shared" si="632"/>
        <v>0</v>
      </c>
      <c r="BN532" s="42">
        <f t="shared" si="633"/>
        <v>0</v>
      </c>
      <c r="BP532" t="e">
        <f t="shared" si="634"/>
        <v>#N/A</v>
      </c>
      <c r="BQ532" t="e">
        <f t="shared" si="635"/>
        <v>#N/A</v>
      </c>
      <c r="BR532" t="e">
        <f t="shared" si="636"/>
        <v>#N/A</v>
      </c>
      <c r="BT532" s="60">
        <f t="shared" si="637"/>
        <v>0</v>
      </c>
      <c r="BU532" s="60">
        <f t="shared" si="638"/>
        <v>0</v>
      </c>
      <c r="BV532" s="60">
        <f t="shared" si="639"/>
        <v>0</v>
      </c>
      <c r="BW532" s="60">
        <f t="shared" si="640"/>
        <v>0</v>
      </c>
      <c r="BX532" s="60">
        <f t="shared" si="641"/>
        <v>0</v>
      </c>
      <c r="BY532" s="60">
        <f t="shared" si="642"/>
        <v>0</v>
      </c>
      <c r="BZ532" s="60">
        <f t="shared" si="643"/>
        <v>0</v>
      </c>
      <c r="CA532" s="60">
        <f t="shared" si="644"/>
        <v>0</v>
      </c>
      <c r="CB532" s="60" t="e">
        <f t="shared" si="662"/>
        <v>#N/A</v>
      </c>
      <c r="CC532" s="60">
        <f t="shared" si="663"/>
        <v>100000</v>
      </c>
      <c r="CD532" s="60" t="e">
        <f t="shared" si="664"/>
        <v>#N/A</v>
      </c>
      <c r="CE532" s="60">
        <f t="shared" si="665"/>
        <v>100000</v>
      </c>
      <c r="CF532" s="83" t="e">
        <f t="shared" si="645"/>
        <v>#N/A</v>
      </c>
      <c r="CG532" s="83">
        <f t="shared" si="646"/>
        <v>0</v>
      </c>
      <c r="CH532" s="83" t="e">
        <f t="shared" si="647"/>
        <v>#N/A</v>
      </c>
      <c r="CI532" s="83">
        <f t="shared" si="648"/>
        <v>0</v>
      </c>
      <c r="CJ532" s="86" t="e">
        <f t="shared" si="666"/>
        <v>#N/A</v>
      </c>
      <c r="CK532" s="82">
        <f t="shared" si="667"/>
        <v>5.3070370403969858E-3</v>
      </c>
      <c r="CL532" s="82" t="e">
        <f t="shared" si="668"/>
        <v>#N/A</v>
      </c>
      <c r="CM532" s="82">
        <f t="shared" si="669"/>
        <v>5.3070370403969858E-3</v>
      </c>
      <c r="CO532" s="149" t="str">
        <f>IF($I532&lt;&gt;"",IF(O532="User Specified",U532,INDEX('Refrigerant GWPs'!$G$2:$G$156,MATCH(O532,'Refrigerant GWPs'!$A$2:$A$156,0))),"")</f>
        <v/>
      </c>
      <c r="CP532" s="138" t="str">
        <f>IF($I532&lt;&gt;"",INDEX('Device Refrigerant Leakage'!$E$2:$E$42,MATCH($M532,'Device Refrigerant Leakage'!$B$2:$B$42,0)),"")</f>
        <v/>
      </c>
      <c r="CQ532" s="138" t="str">
        <f>IF($I532&lt;&gt;"",INDEX('Device Refrigerant Leakage'!$F$2:$F$42,MATCH($M532,'Device Refrigerant Leakage'!$B$2:$B$42,0)),"")</f>
        <v/>
      </c>
      <c r="CR532" s="145" t="str">
        <f>IF($I532&lt;&gt;"",INDEX('Device Refrigerant Leakage'!$G$2:$G$42,MATCH($M532,'Device Refrigerant Leakage'!$B$2:$B$42,0)),"")</f>
        <v/>
      </c>
      <c r="CS532" s="145" t="str">
        <f>IF($I532&lt;&gt;"",INDEX('Device Refrigerant Leakage'!$D$2:$D$42,MATCH($M532,'Device Refrigerant Leakage'!$B$2:$B$42,0))*CP532/2204.62*CO532,"")</f>
        <v/>
      </c>
      <c r="CT532" s="145" t="str">
        <f>IF($I532&lt;&gt;"",J532*(INDEX('Device Refrigerant Leakage'!$D$2:$D$42,MATCH($M532,'Device Refrigerant Leakage'!$B$2:$B$42,0))-(INDEX('Device Refrigerant Leakage'!$D$2:$D$42,MATCH($M532,'Device Refrigerant Leakage'!$B$2:$B$42,0)))*CR532*CP532)*CQ532/2204.62*CO532,"")</f>
        <v/>
      </c>
      <c r="CU532" s="135" t="str">
        <f>IF($I532&lt;&gt;"",J532*IF(W532&lt;&gt;"AR",(CS532*K532)+CT532,(CS532*AB532)+CT532*(AB532/INDEX('Device Refrigerant Leakage'!$C$2:$C$42,MATCH($M532,'Device Refrigerant Leakage'!$B$2:$B$42,0)))),"")</f>
        <v/>
      </c>
      <c r="CW532" s="135" t="str">
        <f>IF($I532&lt;&gt;"",IF(S532="User Specified",V532,INDEX('Refrigerant GWPs'!$G$2:$G$156,MATCH(S532,'Refrigerant GWPs'!$A$2:$A$157,0))),"")</f>
        <v/>
      </c>
      <c r="CX532" s="138" t="str">
        <f>IF($I532&lt;&gt;"",INDEX('Device Refrigerant Leakage'!$E$2:$E$42,MATCH($Q532,'Device Refrigerant Leakage'!$B$2:$B$42,0)),"")</f>
        <v/>
      </c>
      <c r="CY532" s="138" t="str">
        <f>IF($I532&lt;&gt;"",INDEX('Device Refrigerant Leakage'!$F$2:$F$42,MATCH($Q532,'Device Refrigerant Leakage'!$B$2:$B$42,0)),"")</f>
        <v/>
      </c>
      <c r="CZ532" s="145" t="str">
        <f>IF($I532&lt;&gt;"",INDEX('Device Refrigerant Leakage'!$G$2:$G$42,MATCH($Q532,'Device Refrigerant Leakage'!$B$2:$B$42,0)),"")</f>
        <v/>
      </c>
      <c r="DA532" s="145" t="str">
        <f>IF($I532&lt;&gt;"",J532*INDEX('Device Refrigerant Leakage'!$D$2:$D$42,MATCH($Q532,'Device Refrigerant Leakage'!$B$2:$B$42,0))*CX532/2204.62*CW532,"")</f>
        <v/>
      </c>
      <c r="DB532" s="145" t="str">
        <f>IF($I532&lt;&gt;"",J532*(INDEX('Device Refrigerant Leakage'!$D$2:$D$42,MATCH($Q532,'Device Refrigerant Leakage'!$B$2:$B$42,0))-(INDEX('Device Refrigerant Leakage'!$D$2:$D$42,MATCH($Q532,'Device Refrigerant Leakage'!$B$2:$B$42,0)))*CZ532*CX532)*CY532/2204.62*CW532,"")</f>
        <v/>
      </c>
      <c r="DC532" s="135" t="str">
        <f t="shared" si="688"/>
        <v/>
      </c>
      <c r="DE532" s="146" t="str">
        <f>IF(W532&lt;&gt;"AR","",IF(Y532="User Specified", AA532, INDEX('Refrigerant GWPs'!$G$2:$G$154,MATCH(Y532,'Refrigerant GWPs'!$A$2:$A$154,0))))</f>
        <v/>
      </c>
      <c r="DF532" s="146" t="str">
        <f>IF(W532&lt;&gt;"AR","",INDEX('Device Refrigerant Leakage'!$E$2:$E$42,MATCH(X532,'Device Refrigerant Leakage'!$B$2:$B$42,0)))</f>
        <v/>
      </c>
      <c r="DG532" s="146" t="str">
        <f>IF(W532&lt;&gt;"AR","",INDEX('Device Refrigerant Leakage'!$F$2:$F$42,MATCH(X532,'Device Refrigerant Leakage'!$B$2:$B$42,0)))</f>
        <v/>
      </c>
      <c r="DH532" s="146" t="str">
        <f>IF(W532&lt;&gt;"AR","",INDEX('Device Refrigerant Leakage'!$G$2:$G$42,MATCH(X532,'Device Refrigerant Leakage'!$B$2:$B$42,0)))</f>
        <v/>
      </c>
      <c r="DI532" s="146" t="str">
        <f>IF(W532&lt;&gt;"AR","",J532*INDEX('Device Refrigerant Leakage'!$D$2:$D$42,MATCH(X532,'Device Refrigerant Leakage'!$B$2:$B$42,0))*DF532/2204.62*DE532)</f>
        <v/>
      </c>
      <c r="DJ532" s="146" t="str">
        <f>IF(W532&lt;&gt;"AR","",J532*(INDEX('Device Refrigerant Leakage'!$D$2:$D$42,MATCH(X532,'Device Refrigerant Leakage'!$B$2:$B$42,0))-(INDEX('Device Refrigerant Leakage'!$D$2:$D$42,MATCH(X532,'Device Refrigerant Leakage'!$B$2:$B$42,0)))*DH532*DF532)*DG532/2204.62*DE532)</f>
        <v/>
      </c>
      <c r="DK532" s="146" t="str">
        <f>IF(W532&lt;&gt;"AR","",DI532*(K532-AB532)+'Fuel Sub Calcs-Deemed'!DJ532*((K532-AB532)/INDEX('Device Refrigerant Leakage'!$C$2:$C$42,MATCH('Fuel Sub Calcs-Deemed'!X532,'Device Refrigerant Leakage'!$B$2:$B$42,0))))</f>
        <v/>
      </c>
      <c r="DM532" s="56">
        <v>518</v>
      </c>
      <c r="DN532" s="67" t="e">
        <f t="shared" si="670"/>
        <v>#N/A</v>
      </c>
      <c r="DO532" s="45" t="e">
        <f t="shared" si="671"/>
        <v>#N/A</v>
      </c>
      <c r="DP532" s="67" t="e">
        <f t="shared" si="672"/>
        <v>#N/A</v>
      </c>
      <c r="DQ532" s="45" t="e">
        <f t="shared" si="673"/>
        <v>#N/A</v>
      </c>
      <c r="DR532" s="69" t="e">
        <f t="shared" si="674"/>
        <v>#N/A</v>
      </c>
      <c r="DS532" s="34"/>
      <c r="DT532" s="67" t="e">
        <f>((BX532*CJ532)+IF($W532=MAT_AR,(BZ532*CL532),0))*(1+Reference!$E$50+Reference!$E$51)</f>
        <v>#N/A</v>
      </c>
      <c r="DU532" s="67">
        <f>((BY532*CK532)+IF($W532=MAT_AR,(CA532*CM532),0))*(1+Reference!$G$50+Reference!$G$51)</f>
        <v>0</v>
      </c>
      <c r="DV532" s="67" t="e">
        <f t="shared" si="675"/>
        <v>#VALUE!</v>
      </c>
      <c r="DX532" s="56">
        <v>518</v>
      </c>
      <c r="DY532" s="67">
        <f t="shared" si="676"/>
        <v>0</v>
      </c>
      <c r="DZ532" s="45" t="e">
        <f>VLOOKUP($R532,Dropdown!$C$3:$D$4,2,FALSE)</f>
        <v>#N/A</v>
      </c>
      <c r="EA532" s="68">
        <f t="shared" si="677"/>
        <v>0</v>
      </c>
      <c r="EB532" s="68" t="str">
        <f t="shared" si="678"/>
        <v>N/A</v>
      </c>
      <c r="EC532" s="68">
        <f t="shared" si="679"/>
        <v>0</v>
      </c>
      <c r="ED532" s="68" t="str">
        <f t="shared" si="649"/>
        <v>N/A</v>
      </c>
      <c r="EF532" s="56">
        <v>518</v>
      </c>
      <c r="EG532" s="46">
        <f t="shared" si="680"/>
        <v>0</v>
      </c>
      <c r="EH532" s="68" t="e">
        <f t="shared" si="681"/>
        <v>#N/A</v>
      </c>
      <c r="EI532" s="68" t="e">
        <f t="shared" si="682"/>
        <v>#N/A</v>
      </c>
      <c r="EJ532" s="68" t="e">
        <f t="shared" si="683"/>
        <v>#N/A</v>
      </c>
      <c r="EK532" s="68" t="e">
        <f t="shared" si="684"/>
        <v>#N/A</v>
      </c>
      <c r="EL532" s="46">
        <f t="shared" si="685"/>
        <v>0</v>
      </c>
      <c r="EM532" s="46">
        <f t="shared" si="686"/>
        <v>0</v>
      </c>
    </row>
    <row r="533" spans="1:143">
      <c r="A533" s="89"/>
      <c r="B533" s="89"/>
      <c r="C533" s="89"/>
      <c r="D533" s="89"/>
      <c r="E533" s="89"/>
      <c r="F533" s="89"/>
      <c r="G533" s="34"/>
      <c r="H533" s="56">
        <f t="shared" si="687"/>
        <v>519</v>
      </c>
      <c r="I533" s="165"/>
      <c r="J533" s="163"/>
      <c r="K533" s="163"/>
      <c r="L533" s="164"/>
      <c r="M533" s="155"/>
      <c r="N533" s="155"/>
      <c r="O533" s="144"/>
      <c r="P533" s="159" t="str">
        <f>IFERROR(IF(O533&lt;&gt;"User Specified",IF(O533&lt;&gt;"", INDEX('Refrigerant GWPs'!$G$2:$G$154,MATCH(O533,'Refrigerant GWPs'!$A$2:$A$154,0)),""),U533),0)</f>
        <v/>
      </c>
      <c r="Q533" s="155"/>
      <c r="R533" s="155"/>
      <c r="S533" s="144"/>
      <c r="T533" s="159" t="str">
        <f>IF(S533&lt;&gt;"User Specified",IF(AND(S533&lt;&gt;"User Specified",S533&lt;&gt;""), INDEX('Refrigerant GWPs'!$G$2:$G$154,MATCH(S533,'Refrigerant GWPs'!$A$2:$A$154,0)),""),V533)</f>
        <v/>
      </c>
      <c r="U533" s="144"/>
      <c r="V533" s="144"/>
      <c r="W533" s="155"/>
      <c r="X533" s="155"/>
      <c r="Y533" s="144"/>
      <c r="Z533" s="159" t="str">
        <f>IF(AND(Y533&lt;&gt;"User Specified",Y533&lt;&gt;""), INDEX('Refrigerant GWPs'!$G$2:$G$154,MATCH(Y533,'Refrigerant GWPs'!$A$2:$A$154,0)),"")</f>
        <v/>
      </c>
      <c r="AA533" s="155"/>
      <c r="AB533" s="156"/>
      <c r="AC533" s="66"/>
      <c r="AD533" s="66"/>
      <c r="AE533" s="66"/>
      <c r="AF533" s="66"/>
      <c r="AG533" s="66"/>
      <c r="AH533" s="66"/>
      <c r="AI533" s="34"/>
      <c r="AJ533" s="88">
        <f t="shared" si="650"/>
        <v>0</v>
      </c>
      <c r="AK533" s="88">
        <f t="shared" si="651"/>
        <v>0</v>
      </c>
      <c r="AL533" s="88">
        <v>0</v>
      </c>
      <c r="AM533" s="88">
        <v>0</v>
      </c>
      <c r="AN533" s="81" t="str">
        <f t="shared" si="621"/>
        <v/>
      </c>
      <c r="AO533" s="88">
        <f t="shared" si="652"/>
        <v>0</v>
      </c>
      <c r="AP533" s="88">
        <f t="shared" si="653"/>
        <v>0</v>
      </c>
      <c r="AQ533" s="81" t="str">
        <f t="shared" si="654"/>
        <v/>
      </c>
      <c r="AS533" s="41" t="b">
        <f t="shared" si="655"/>
        <v>1</v>
      </c>
      <c r="AT533" s="38">
        <f t="shared" si="656"/>
        <v>0</v>
      </c>
      <c r="AU533" s="60">
        <f t="shared" si="657"/>
        <v>0</v>
      </c>
      <c r="AV533" s="41">
        <f t="shared" si="658"/>
        <v>0</v>
      </c>
      <c r="AW533" s="41" t="b">
        <f t="shared" si="659"/>
        <v>0</v>
      </c>
      <c r="AX533" t="str">
        <f t="shared" si="660"/>
        <v>+00</v>
      </c>
      <c r="AY533" t="str">
        <f t="shared" si="661"/>
        <v>+00</v>
      </c>
      <c r="BA533" s="47" t="b">
        <f t="shared" si="622"/>
        <v>1</v>
      </c>
      <c r="BB533" s="42" t="b">
        <f t="shared" si="623"/>
        <v>1</v>
      </c>
      <c r="BC533" s="42" t="b">
        <f t="shared" si="624"/>
        <v>0</v>
      </c>
      <c r="BD533" s="42" t="b">
        <f t="shared" si="625"/>
        <v>0</v>
      </c>
      <c r="BE533" s="70">
        <f t="shared" si="626"/>
        <v>0</v>
      </c>
      <c r="BF533" s="70">
        <f t="shared" si="627"/>
        <v>0</v>
      </c>
      <c r="BG533" s="34"/>
      <c r="BI533" s="47" t="b">
        <f t="shared" si="628"/>
        <v>1</v>
      </c>
      <c r="BJ533" s="47" t="b">
        <f t="shared" si="629"/>
        <v>1</v>
      </c>
      <c r="BK533" s="42" t="b">
        <f t="shared" si="630"/>
        <v>0</v>
      </c>
      <c r="BL533" s="42" t="b">
        <f t="shared" si="631"/>
        <v>0</v>
      </c>
      <c r="BM533" s="42">
        <f t="shared" si="632"/>
        <v>0</v>
      </c>
      <c r="BN533" s="42">
        <f t="shared" si="633"/>
        <v>0</v>
      </c>
      <c r="BP533" t="e">
        <f t="shared" si="634"/>
        <v>#N/A</v>
      </c>
      <c r="BQ533" t="e">
        <f t="shared" si="635"/>
        <v>#N/A</v>
      </c>
      <c r="BR533" t="e">
        <f t="shared" si="636"/>
        <v>#N/A</v>
      </c>
      <c r="BT533" s="60">
        <f t="shared" si="637"/>
        <v>0</v>
      </c>
      <c r="BU533" s="60">
        <f t="shared" si="638"/>
        <v>0</v>
      </c>
      <c r="BV533" s="60">
        <f t="shared" si="639"/>
        <v>0</v>
      </c>
      <c r="BW533" s="60">
        <f t="shared" si="640"/>
        <v>0</v>
      </c>
      <c r="BX533" s="60">
        <f t="shared" si="641"/>
        <v>0</v>
      </c>
      <c r="BY533" s="60">
        <f t="shared" si="642"/>
        <v>0</v>
      </c>
      <c r="BZ533" s="60">
        <f t="shared" si="643"/>
        <v>0</v>
      </c>
      <c r="CA533" s="60">
        <f t="shared" si="644"/>
        <v>0</v>
      </c>
      <c r="CB533" s="60" t="e">
        <f t="shared" si="662"/>
        <v>#N/A</v>
      </c>
      <c r="CC533" s="60">
        <f t="shared" si="663"/>
        <v>100000</v>
      </c>
      <c r="CD533" s="60" t="e">
        <f t="shared" si="664"/>
        <v>#N/A</v>
      </c>
      <c r="CE533" s="60">
        <f t="shared" si="665"/>
        <v>100000</v>
      </c>
      <c r="CF533" s="83" t="e">
        <f t="shared" si="645"/>
        <v>#N/A</v>
      </c>
      <c r="CG533" s="83">
        <f t="shared" si="646"/>
        <v>0</v>
      </c>
      <c r="CH533" s="83" t="e">
        <f t="shared" si="647"/>
        <v>#N/A</v>
      </c>
      <c r="CI533" s="83">
        <f t="shared" si="648"/>
        <v>0</v>
      </c>
      <c r="CJ533" s="86" t="e">
        <f t="shared" si="666"/>
        <v>#N/A</v>
      </c>
      <c r="CK533" s="82">
        <f t="shared" si="667"/>
        <v>5.3070370403969858E-3</v>
      </c>
      <c r="CL533" s="82" t="e">
        <f t="shared" si="668"/>
        <v>#N/A</v>
      </c>
      <c r="CM533" s="82">
        <f t="shared" si="669"/>
        <v>5.3070370403969858E-3</v>
      </c>
      <c r="CO533" s="149" t="str">
        <f>IF($I533&lt;&gt;"",IF(O533="User Specified",U533,INDEX('Refrigerant GWPs'!$G$2:$G$156,MATCH(O533,'Refrigerant GWPs'!$A$2:$A$156,0))),"")</f>
        <v/>
      </c>
      <c r="CP533" s="138" t="str">
        <f>IF($I533&lt;&gt;"",INDEX('Device Refrigerant Leakage'!$E$2:$E$42,MATCH($M533,'Device Refrigerant Leakage'!$B$2:$B$42,0)),"")</f>
        <v/>
      </c>
      <c r="CQ533" s="138" t="str">
        <f>IF($I533&lt;&gt;"",INDEX('Device Refrigerant Leakage'!$F$2:$F$42,MATCH($M533,'Device Refrigerant Leakage'!$B$2:$B$42,0)),"")</f>
        <v/>
      </c>
      <c r="CR533" s="145" t="str">
        <f>IF($I533&lt;&gt;"",INDEX('Device Refrigerant Leakage'!$G$2:$G$42,MATCH($M533,'Device Refrigerant Leakage'!$B$2:$B$42,0)),"")</f>
        <v/>
      </c>
      <c r="CS533" s="145" t="str">
        <f>IF($I533&lt;&gt;"",INDEX('Device Refrigerant Leakage'!$D$2:$D$42,MATCH($M533,'Device Refrigerant Leakage'!$B$2:$B$42,0))*CP533/2204.62*CO533,"")</f>
        <v/>
      </c>
      <c r="CT533" s="145" t="str">
        <f>IF($I533&lt;&gt;"",J533*(INDEX('Device Refrigerant Leakage'!$D$2:$D$42,MATCH($M533,'Device Refrigerant Leakage'!$B$2:$B$42,0))-(INDEX('Device Refrigerant Leakage'!$D$2:$D$42,MATCH($M533,'Device Refrigerant Leakage'!$B$2:$B$42,0)))*CR533*CP533)*CQ533/2204.62*CO533,"")</f>
        <v/>
      </c>
      <c r="CU533" s="135" t="str">
        <f>IF($I533&lt;&gt;"",J533*IF(W533&lt;&gt;"AR",(CS533*K533)+CT533,(CS533*AB533)+CT533*(AB533/INDEX('Device Refrigerant Leakage'!$C$2:$C$42,MATCH($M533,'Device Refrigerant Leakage'!$B$2:$B$42,0)))),"")</f>
        <v/>
      </c>
      <c r="CW533" s="135" t="str">
        <f>IF($I533&lt;&gt;"",IF(S533="User Specified",V533,INDEX('Refrigerant GWPs'!$G$2:$G$156,MATCH(S533,'Refrigerant GWPs'!$A$2:$A$157,0))),"")</f>
        <v/>
      </c>
      <c r="CX533" s="138" t="str">
        <f>IF($I533&lt;&gt;"",INDEX('Device Refrigerant Leakage'!$E$2:$E$42,MATCH($Q533,'Device Refrigerant Leakage'!$B$2:$B$42,0)),"")</f>
        <v/>
      </c>
      <c r="CY533" s="138" t="str">
        <f>IF($I533&lt;&gt;"",INDEX('Device Refrigerant Leakage'!$F$2:$F$42,MATCH($Q533,'Device Refrigerant Leakage'!$B$2:$B$42,0)),"")</f>
        <v/>
      </c>
      <c r="CZ533" s="145" t="str">
        <f>IF($I533&lt;&gt;"",INDEX('Device Refrigerant Leakage'!$G$2:$G$42,MATCH($Q533,'Device Refrigerant Leakage'!$B$2:$B$42,0)),"")</f>
        <v/>
      </c>
      <c r="DA533" s="145" t="str">
        <f>IF($I533&lt;&gt;"",J533*INDEX('Device Refrigerant Leakage'!$D$2:$D$42,MATCH($Q533,'Device Refrigerant Leakage'!$B$2:$B$42,0))*CX533/2204.62*CW533,"")</f>
        <v/>
      </c>
      <c r="DB533" s="145" t="str">
        <f>IF($I533&lt;&gt;"",J533*(INDEX('Device Refrigerant Leakage'!$D$2:$D$42,MATCH($Q533,'Device Refrigerant Leakage'!$B$2:$B$42,0))-(INDEX('Device Refrigerant Leakage'!$D$2:$D$42,MATCH($Q533,'Device Refrigerant Leakage'!$B$2:$B$42,0)))*CZ533*CX533)*CY533/2204.62*CW533,"")</f>
        <v/>
      </c>
      <c r="DC533" s="135" t="str">
        <f t="shared" si="688"/>
        <v/>
      </c>
      <c r="DE533" s="146" t="str">
        <f>IF(W533&lt;&gt;"AR","",IF(Y533="User Specified", AA533, INDEX('Refrigerant GWPs'!$G$2:$G$154,MATCH(Y533,'Refrigerant GWPs'!$A$2:$A$154,0))))</f>
        <v/>
      </c>
      <c r="DF533" s="146" t="str">
        <f>IF(W533&lt;&gt;"AR","",INDEX('Device Refrigerant Leakage'!$E$2:$E$42,MATCH(X533,'Device Refrigerant Leakage'!$B$2:$B$42,0)))</f>
        <v/>
      </c>
      <c r="DG533" s="146" t="str">
        <f>IF(W533&lt;&gt;"AR","",INDEX('Device Refrigerant Leakage'!$F$2:$F$42,MATCH(X533,'Device Refrigerant Leakage'!$B$2:$B$42,0)))</f>
        <v/>
      </c>
      <c r="DH533" s="146" t="str">
        <f>IF(W533&lt;&gt;"AR","",INDEX('Device Refrigerant Leakage'!$G$2:$G$42,MATCH(X533,'Device Refrigerant Leakage'!$B$2:$B$42,0)))</f>
        <v/>
      </c>
      <c r="DI533" s="146" t="str">
        <f>IF(W533&lt;&gt;"AR","",J533*INDEX('Device Refrigerant Leakage'!$D$2:$D$42,MATCH(X533,'Device Refrigerant Leakage'!$B$2:$B$42,0))*DF533/2204.62*DE533)</f>
        <v/>
      </c>
      <c r="DJ533" s="146" t="str">
        <f>IF(W533&lt;&gt;"AR","",J533*(INDEX('Device Refrigerant Leakage'!$D$2:$D$42,MATCH(X533,'Device Refrigerant Leakage'!$B$2:$B$42,0))-(INDEX('Device Refrigerant Leakage'!$D$2:$D$42,MATCH(X533,'Device Refrigerant Leakage'!$B$2:$B$42,0)))*DH533*DF533)*DG533/2204.62*DE533)</f>
        <v/>
      </c>
      <c r="DK533" s="146" t="str">
        <f>IF(W533&lt;&gt;"AR","",DI533*(K533-AB533)+'Fuel Sub Calcs-Deemed'!DJ533*((K533-AB533)/INDEX('Device Refrigerant Leakage'!$C$2:$C$42,MATCH('Fuel Sub Calcs-Deemed'!X533,'Device Refrigerant Leakage'!$B$2:$B$42,0))))</f>
        <v/>
      </c>
      <c r="DM533" s="56">
        <v>519</v>
      </c>
      <c r="DN533" s="67" t="e">
        <f t="shared" si="670"/>
        <v>#N/A</v>
      </c>
      <c r="DO533" s="45" t="e">
        <f t="shared" si="671"/>
        <v>#N/A</v>
      </c>
      <c r="DP533" s="67" t="e">
        <f t="shared" si="672"/>
        <v>#N/A</v>
      </c>
      <c r="DQ533" s="45" t="e">
        <f t="shared" si="673"/>
        <v>#N/A</v>
      </c>
      <c r="DR533" s="69" t="e">
        <f t="shared" si="674"/>
        <v>#N/A</v>
      </c>
      <c r="DS533" s="34"/>
      <c r="DT533" s="67" t="e">
        <f>((BX533*CJ533)+IF($W533=MAT_AR,(BZ533*CL533),0))*(1+Reference!$E$50+Reference!$E$51)</f>
        <v>#N/A</v>
      </c>
      <c r="DU533" s="67">
        <f>((BY533*CK533)+IF($W533=MAT_AR,(CA533*CM533),0))*(1+Reference!$G$50+Reference!$G$51)</f>
        <v>0</v>
      </c>
      <c r="DV533" s="67" t="e">
        <f t="shared" si="675"/>
        <v>#VALUE!</v>
      </c>
      <c r="DX533" s="56">
        <v>519</v>
      </c>
      <c r="DY533" s="67">
        <f t="shared" si="676"/>
        <v>0</v>
      </c>
      <c r="DZ533" s="45" t="e">
        <f>VLOOKUP($R533,Dropdown!$C$3:$D$4,2,FALSE)</f>
        <v>#N/A</v>
      </c>
      <c r="EA533" s="68">
        <f t="shared" si="677"/>
        <v>0</v>
      </c>
      <c r="EB533" s="68" t="str">
        <f t="shared" si="678"/>
        <v>N/A</v>
      </c>
      <c r="EC533" s="68">
        <f t="shared" si="679"/>
        <v>0</v>
      </c>
      <c r="ED533" s="68" t="str">
        <f t="shared" si="649"/>
        <v>N/A</v>
      </c>
      <c r="EF533" s="56">
        <v>519</v>
      </c>
      <c r="EG533" s="46">
        <f t="shared" si="680"/>
        <v>0</v>
      </c>
      <c r="EH533" s="68" t="e">
        <f t="shared" si="681"/>
        <v>#N/A</v>
      </c>
      <c r="EI533" s="68" t="e">
        <f t="shared" si="682"/>
        <v>#N/A</v>
      </c>
      <c r="EJ533" s="68" t="e">
        <f t="shared" si="683"/>
        <v>#N/A</v>
      </c>
      <c r="EK533" s="68" t="e">
        <f t="shared" si="684"/>
        <v>#N/A</v>
      </c>
      <c r="EL533" s="46">
        <f t="shared" si="685"/>
        <v>0</v>
      </c>
      <c r="EM533" s="46">
        <f t="shared" si="686"/>
        <v>0</v>
      </c>
    </row>
    <row r="534" spans="1:143">
      <c r="A534" s="89"/>
      <c r="B534" s="89"/>
      <c r="C534" s="89"/>
      <c r="D534" s="89"/>
      <c r="E534" s="89"/>
      <c r="F534" s="89"/>
      <c r="G534" s="34"/>
      <c r="H534" s="56">
        <f t="shared" si="687"/>
        <v>520</v>
      </c>
      <c r="I534" s="165"/>
      <c r="J534" s="163"/>
      <c r="K534" s="163"/>
      <c r="L534" s="164"/>
      <c r="M534" s="155"/>
      <c r="N534" s="155"/>
      <c r="O534" s="144"/>
      <c r="P534" s="159" t="str">
        <f>IFERROR(IF(O534&lt;&gt;"User Specified",IF(O534&lt;&gt;"", INDEX('Refrigerant GWPs'!$G$2:$G$154,MATCH(O534,'Refrigerant GWPs'!$A$2:$A$154,0)),""),U534),0)</f>
        <v/>
      </c>
      <c r="Q534" s="155"/>
      <c r="R534" s="155"/>
      <c r="S534" s="144"/>
      <c r="T534" s="159" t="str">
        <f>IF(S534&lt;&gt;"User Specified",IF(AND(S534&lt;&gt;"User Specified",S534&lt;&gt;""), INDEX('Refrigerant GWPs'!$G$2:$G$154,MATCH(S534,'Refrigerant GWPs'!$A$2:$A$154,0)),""),V534)</f>
        <v/>
      </c>
      <c r="U534" s="144"/>
      <c r="V534" s="144"/>
      <c r="W534" s="155"/>
      <c r="X534" s="155"/>
      <c r="Y534" s="144"/>
      <c r="Z534" s="159" t="str">
        <f>IF(AND(Y534&lt;&gt;"User Specified",Y534&lt;&gt;""), INDEX('Refrigerant GWPs'!$G$2:$G$154,MATCH(Y534,'Refrigerant GWPs'!$A$2:$A$154,0)),"")</f>
        <v/>
      </c>
      <c r="AA534" s="155"/>
      <c r="AB534" s="156"/>
      <c r="AC534" s="66"/>
      <c r="AD534" s="66"/>
      <c r="AE534" s="66"/>
      <c r="AF534" s="66"/>
      <c r="AG534" s="66"/>
      <c r="AH534" s="66"/>
      <c r="AI534" s="34"/>
      <c r="AJ534" s="88">
        <f t="shared" si="650"/>
        <v>0</v>
      </c>
      <c r="AK534" s="88">
        <f t="shared" si="651"/>
        <v>0</v>
      </c>
      <c r="AL534" s="88">
        <v>0</v>
      </c>
      <c r="AM534" s="88">
        <v>0</v>
      </c>
      <c r="AN534" s="81" t="str">
        <f t="shared" si="621"/>
        <v/>
      </c>
      <c r="AO534" s="88">
        <f t="shared" si="652"/>
        <v>0</v>
      </c>
      <c r="AP534" s="88">
        <f t="shared" si="653"/>
        <v>0</v>
      </c>
      <c r="AQ534" s="81" t="str">
        <f t="shared" si="654"/>
        <v/>
      </c>
      <c r="AS534" s="41" t="b">
        <f t="shared" si="655"/>
        <v>1</v>
      </c>
      <c r="AT534" s="38">
        <f t="shared" si="656"/>
        <v>0</v>
      </c>
      <c r="AU534" s="60">
        <f t="shared" si="657"/>
        <v>0</v>
      </c>
      <c r="AV534" s="41">
        <f t="shared" si="658"/>
        <v>0</v>
      </c>
      <c r="AW534" s="41" t="b">
        <f t="shared" si="659"/>
        <v>0</v>
      </c>
      <c r="AX534" t="str">
        <f t="shared" si="660"/>
        <v>+00</v>
      </c>
      <c r="AY534" t="str">
        <f t="shared" si="661"/>
        <v>+00</v>
      </c>
      <c r="BA534" s="47" t="b">
        <f t="shared" si="622"/>
        <v>1</v>
      </c>
      <c r="BB534" s="42" t="b">
        <f t="shared" si="623"/>
        <v>1</v>
      </c>
      <c r="BC534" s="42" t="b">
        <f t="shared" si="624"/>
        <v>0</v>
      </c>
      <c r="BD534" s="42" t="b">
        <f t="shared" si="625"/>
        <v>0</v>
      </c>
      <c r="BE534" s="70">
        <f t="shared" si="626"/>
        <v>0</v>
      </c>
      <c r="BF534" s="70">
        <f t="shared" si="627"/>
        <v>0</v>
      </c>
      <c r="BG534" s="34"/>
      <c r="BI534" s="47" t="b">
        <f t="shared" si="628"/>
        <v>1</v>
      </c>
      <c r="BJ534" s="47" t="b">
        <f t="shared" si="629"/>
        <v>1</v>
      </c>
      <c r="BK534" s="42" t="b">
        <f t="shared" si="630"/>
        <v>0</v>
      </c>
      <c r="BL534" s="42" t="b">
        <f t="shared" si="631"/>
        <v>0</v>
      </c>
      <c r="BM534" s="42">
        <f t="shared" si="632"/>
        <v>0</v>
      </c>
      <c r="BN534" s="42">
        <f t="shared" si="633"/>
        <v>0</v>
      </c>
      <c r="BP534" t="e">
        <f t="shared" si="634"/>
        <v>#N/A</v>
      </c>
      <c r="BQ534" t="e">
        <f t="shared" si="635"/>
        <v>#N/A</v>
      </c>
      <c r="BR534" t="e">
        <f t="shared" si="636"/>
        <v>#N/A</v>
      </c>
      <c r="BT534" s="60">
        <f t="shared" si="637"/>
        <v>0</v>
      </c>
      <c r="BU534" s="60">
        <f t="shared" si="638"/>
        <v>0</v>
      </c>
      <c r="BV534" s="60">
        <f t="shared" si="639"/>
        <v>0</v>
      </c>
      <c r="BW534" s="60">
        <f t="shared" si="640"/>
        <v>0</v>
      </c>
      <c r="BX534" s="60">
        <f t="shared" si="641"/>
        <v>0</v>
      </c>
      <c r="BY534" s="60">
        <f t="shared" si="642"/>
        <v>0</v>
      </c>
      <c r="BZ534" s="60">
        <f t="shared" si="643"/>
        <v>0</v>
      </c>
      <c r="CA534" s="60">
        <f t="shared" si="644"/>
        <v>0</v>
      </c>
      <c r="CB534" s="60" t="e">
        <f t="shared" si="662"/>
        <v>#N/A</v>
      </c>
      <c r="CC534" s="60">
        <f t="shared" si="663"/>
        <v>100000</v>
      </c>
      <c r="CD534" s="60" t="e">
        <f t="shared" si="664"/>
        <v>#N/A</v>
      </c>
      <c r="CE534" s="60">
        <f t="shared" si="665"/>
        <v>100000</v>
      </c>
      <c r="CF534" s="83" t="e">
        <f t="shared" si="645"/>
        <v>#N/A</v>
      </c>
      <c r="CG534" s="83">
        <f t="shared" si="646"/>
        <v>0</v>
      </c>
      <c r="CH534" s="83" t="e">
        <f t="shared" si="647"/>
        <v>#N/A</v>
      </c>
      <c r="CI534" s="83">
        <f t="shared" si="648"/>
        <v>0</v>
      </c>
      <c r="CJ534" s="86" t="e">
        <f t="shared" si="666"/>
        <v>#N/A</v>
      </c>
      <c r="CK534" s="82">
        <f t="shared" si="667"/>
        <v>5.3070370403969858E-3</v>
      </c>
      <c r="CL534" s="82" t="e">
        <f t="shared" si="668"/>
        <v>#N/A</v>
      </c>
      <c r="CM534" s="82">
        <f t="shared" si="669"/>
        <v>5.3070370403969858E-3</v>
      </c>
      <c r="CO534" s="149" t="str">
        <f>IF($I534&lt;&gt;"",IF(O534="User Specified",U534,INDEX('Refrigerant GWPs'!$G$2:$G$156,MATCH(O534,'Refrigerant GWPs'!$A$2:$A$156,0))),"")</f>
        <v/>
      </c>
      <c r="CP534" s="138" t="str">
        <f>IF($I534&lt;&gt;"",INDEX('Device Refrigerant Leakage'!$E$2:$E$42,MATCH($M534,'Device Refrigerant Leakage'!$B$2:$B$42,0)),"")</f>
        <v/>
      </c>
      <c r="CQ534" s="138" t="str">
        <f>IF($I534&lt;&gt;"",INDEX('Device Refrigerant Leakage'!$F$2:$F$42,MATCH($M534,'Device Refrigerant Leakage'!$B$2:$B$42,0)),"")</f>
        <v/>
      </c>
      <c r="CR534" s="145" t="str">
        <f>IF($I534&lt;&gt;"",INDEX('Device Refrigerant Leakage'!$G$2:$G$42,MATCH($M534,'Device Refrigerant Leakage'!$B$2:$B$42,0)),"")</f>
        <v/>
      </c>
      <c r="CS534" s="145" t="str">
        <f>IF($I534&lt;&gt;"",INDEX('Device Refrigerant Leakage'!$D$2:$D$42,MATCH($M534,'Device Refrigerant Leakage'!$B$2:$B$42,0))*CP534/2204.62*CO534,"")</f>
        <v/>
      </c>
      <c r="CT534" s="145" t="str">
        <f>IF($I534&lt;&gt;"",J534*(INDEX('Device Refrigerant Leakage'!$D$2:$D$42,MATCH($M534,'Device Refrigerant Leakage'!$B$2:$B$42,0))-(INDEX('Device Refrigerant Leakage'!$D$2:$D$42,MATCH($M534,'Device Refrigerant Leakage'!$B$2:$B$42,0)))*CR534*CP534)*CQ534/2204.62*CO534,"")</f>
        <v/>
      </c>
      <c r="CU534" s="135" t="str">
        <f>IF($I534&lt;&gt;"",J534*IF(W534&lt;&gt;"AR",(CS534*K534)+CT534,(CS534*AB534)+CT534*(AB534/INDEX('Device Refrigerant Leakage'!$C$2:$C$42,MATCH($M534,'Device Refrigerant Leakage'!$B$2:$B$42,0)))),"")</f>
        <v/>
      </c>
      <c r="CW534" s="135" t="str">
        <f>IF($I534&lt;&gt;"",IF(S534="User Specified",V534,INDEX('Refrigerant GWPs'!$G$2:$G$156,MATCH(S534,'Refrigerant GWPs'!$A$2:$A$157,0))),"")</f>
        <v/>
      </c>
      <c r="CX534" s="138" t="str">
        <f>IF($I534&lt;&gt;"",INDEX('Device Refrigerant Leakage'!$E$2:$E$42,MATCH($Q534,'Device Refrigerant Leakage'!$B$2:$B$42,0)),"")</f>
        <v/>
      </c>
      <c r="CY534" s="138" t="str">
        <f>IF($I534&lt;&gt;"",INDEX('Device Refrigerant Leakage'!$F$2:$F$42,MATCH($Q534,'Device Refrigerant Leakage'!$B$2:$B$42,0)),"")</f>
        <v/>
      </c>
      <c r="CZ534" s="145" t="str">
        <f>IF($I534&lt;&gt;"",INDEX('Device Refrigerant Leakage'!$G$2:$G$42,MATCH($Q534,'Device Refrigerant Leakage'!$B$2:$B$42,0)),"")</f>
        <v/>
      </c>
      <c r="DA534" s="145" t="str">
        <f>IF($I534&lt;&gt;"",J534*INDEX('Device Refrigerant Leakage'!$D$2:$D$42,MATCH($Q534,'Device Refrigerant Leakage'!$B$2:$B$42,0))*CX534/2204.62*CW534,"")</f>
        <v/>
      </c>
      <c r="DB534" s="145" t="str">
        <f>IF($I534&lt;&gt;"",J534*(INDEX('Device Refrigerant Leakage'!$D$2:$D$42,MATCH($Q534,'Device Refrigerant Leakage'!$B$2:$B$42,0))-(INDEX('Device Refrigerant Leakage'!$D$2:$D$42,MATCH($Q534,'Device Refrigerant Leakage'!$B$2:$B$42,0)))*CZ534*CX534)*CY534/2204.62*CW534,"")</f>
        <v/>
      </c>
      <c r="DC534" s="135" t="str">
        <f t="shared" si="688"/>
        <v/>
      </c>
      <c r="DE534" s="146" t="str">
        <f>IF(W534&lt;&gt;"AR","",IF(Y534="User Specified", AA534, INDEX('Refrigerant GWPs'!$G$2:$G$154,MATCH(Y534,'Refrigerant GWPs'!$A$2:$A$154,0))))</f>
        <v/>
      </c>
      <c r="DF534" s="146" t="str">
        <f>IF(W534&lt;&gt;"AR","",INDEX('Device Refrigerant Leakage'!$E$2:$E$42,MATCH(X534,'Device Refrigerant Leakage'!$B$2:$B$42,0)))</f>
        <v/>
      </c>
      <c r="DG534" s="146" t="str">
        <f>IF(W534&lt;&gt;"AR","",INDEX('Device Refrigerant Leakage'!$F$2:$F$42,MATCH(X534,'Device Refrigerant Leakage'!$B$2:$B$42,0)))</f>
        <v/>
      </c>
      <c r="DH534" s="146" t="str">
        <f>IF(W534&lt;&gt;"AR","",INDEX('Device Refrigerant Leakage'!$G$2:$G$42,MATCH(X534,'Device Refrigerant Leakage'!$B$2:$B$42,0)))</f>
        <v/>
      </c>
      <c r="DI534" s="146" t="str">
        <f>IF(W534&lt;&gt;"AR","",J534*INDEX('Device Refrigerant Leakage'!$D$2:$D$42,MATCH(X534,'Device Refrigerant Leakage'!$B$2:$B$42,0))*DF534/2204.62*DE534)</f>
        <v/>
      </c>
      <c r="DJ534" s="146" t="str">
        <f>IF(W534&lt;&gt;"AR","",J534*(INDEX('Device Refrigerant Leakage'!$D$2:$D$42,MATCH(X534,'Device Refrigerant Leakage'!$B$2:$B$42,0))-(INDEX('Device Refrigerant Leakage'!$D$2:$D$42,MATCH(X534,'Device Refrigerant Leakage'!$B$2:$B$42,0)))*DH534*DF534)*DG534/2204.62*DE534)</f>
        <v/>
      </c>
      <c r="DK534" s="146" t="str">
        <f>IF(W534&lt;&gt;"AR","",DI534*(K534-AB534)+'Fuel Sub Calcs-Deemed'!DJ534*((K534-AB534)/INDEX('Device Refrigerant Leakage'!$C$2:$C$42,MATCH('Fuel Sub Calcs-Deemed'!X534,'Device Refrigerant Leakage'!$B$2:$B$42,0))))</f>
        <v/>
      </c>
      <c r="DM534" s="56">
        <v>520</v>
      </c>
      <c r="DN534" s="67" t="e">
        <f t="shared" si="670"/>
        <v>#N/A</v>
      </c>
      <c r="DO534" s="45" t="e">
        <f t="shared" si="671"/>
        <v>#N/A</v>
      </c>
      <c r="DP534" s="67" t="e">
        <f t="shared" si="672"/>
        <v>#N/A</v>
      </c>
      <c r="DQ534" s="45" t="e">
        <f t="shared" si="673"/>
        <v>#N/A</v>
      </c>
      <c r="DR534" s="69" t="e">
        <f t="shared" si="674"/>
        <v>#N/A</v>
      </c>
      <c r="DS534" s="34"/>
      <c r="DT534" s="67" t="e">
        <f>((BX534*CJ534)+IF($W534=MAT_AR,(BZ534*CL534),0))*(1+Reference!$E$50+Reference!$E$51)</f>
        <v>#N/A</v>
      </c>
      <c r="DU534" s="67">
        <f>((BY534*CK534)+IF($W534=MAT_AR,(CA534*CM534),0))*(1+Reference!$G$50+Reference!$G$51)</f>
        <v>0</v>
      </c>
      <c r="DV534" s="67" t="e">
        <f t="shared" si="675"/>
        <v>#VALUE!</v>
      </c>
      <c r="DX534" s="56">
        <v>520</v>
      </c>
      <c r="DY534" s="67">
        <f t="shared" si="676"/>
        <v>0</v>
      </c>
      <c r="DZ534" s="45" t="e">
        <f>VLOOKUP($R534,Dropdown!$C$3:$D$4,2,FALSE)</f>
        <v>#N/A</v>
      </c>
      <c r="EA534" s="68">
        <f t="shared" si="677"/>
        <v>0</v>
      </c>
      <c r="EB534" s="68" t="str">
        <f t="shared" si="678"/>
        <v>N/A</v>
      </c>
      <c r="EC534" s="68">
        <f t="shared" si="679"/>
        <v>0</v>
      </c>
      <c r="ED534" s="68" t="str">
        <f t="shared" si="649"/>
        <v>N/A</v>
      </c>
      <c r="EF534" s="56">
        <v>520</v>
      </c>
      <c r="EG534" s="46">
        <f t="shared" si="680"/>
        <v>0</v>
      </c>
      <c r="EH534" s="68" t="e">
        <f t="shared" si="681"/>
        <v>#N/A</v>
      </c>
      <c r="EI534" s="68" t="e">
        <f t="shared" si="682"/>
        <v>#N/A</v>
      </c>
      <c r="EJ534" s="68" t="e">
        <f t="shared" si="683"/>
        <v>#N/A</v>
      </c>
      <c r="EK534" s="68" t="e">
        <f t="shared" si="684"/>
        <v>#N/A</v>
      </c>
      <c r="EL534" s="46">
        <f t="shared" si="685"/>
        <v>0</v>
      </c>
      <c r="EM534" s="46">
        <f t="shared" si="686"/>
        <v>0</v>
      </c>
    </row>
    <row r="535" spans="1:143">
      <c r="A535" s="89"/>
      <c r="B535" s="89"/>
      <c r="C535" s="89"/>
      <c r="D535" s="89"/>
      <c r="E535" s="89"/>
      <c r="F535" s="89"/>
      <c r="G535" s="34"/>
      <c r="H535" s="56">
        <f t="shared" si="687"/>
        <v>521</v>
      </c>
      <c r="I535" s="165"/>
      <c r="J535" s="163"/>
      <c r="K535" s="163"/>
      <c r="L535" s="164"/>
      <c r="M535" s="155"/>
      <c r="N535" s="155"/>
      <c r="O535" s="144"/>
      <c r="P535" s="159" t="str">
        <f>IFERROR(IF(O535&lt;&gt;"User Specified",IF(O535&lt;&gt;"", INDEX('Refrigerant GWPs'!$G$2:$G$154,MATCH(O535,'Refrigerant GWPs'!$A$2:$A$154,0)),""),U535),0)</f>
        <v/>
      </c>
      <c r="Q535" s="155"/>
      <c r="R535" s="155"/>
      <c r="S535" s="144"/>
      <c r="T535" s="159" t="str">
        <f>IF(S535&lt;&gt;"User Specified",IF(AND(S535&lt;&gt;"User Specified",S535&lt;&gt;""), INDEX('Refrigerant GWPs'!$G$2:$G$154,MATCH(S535,'Refrigerant GWPs'!$A$2:$A$154,0)),""),V535)</f>
        <v/>
      </c>
      <c r="U535" s="144"/>
      <c r="V535" s="144"/>
      <c r="W535" s="155"/>
      <c r="X535" s="155"/>
      <c r="Y535" s="144"/>
      <c r="Z535" s="159" t="str">
        <f>IF(AND(Y535&lt;&gt;"User Specified",Y535&lt;&gt;""), INDEX('Refrigerant GWPs'!$G$2:$G$154,MATCH(Y535,'Refrigerant GWPs'!$A$2:$A$154,0)),"")</f>
        <v/>
      </c>
      <c r="AA535" s="155"/>
      <c r="AB535" s="156"/>
      <c r="AC535" s="66"/>
      <c r="AD535" s="66"/>
      <c r="AE535" s="66"/>
      <c r="AF535" s="66"/>
      <c r="AG535" s="66"/>
      <c r="AH535" s="66"/>
      <c r="AI535" s="34"/>
      <c r="AJ535" s="88">
        <f t="shared" si="650"/>
        <v>0</v>
      </c>
      <c r="AK535" s="88">
        <f t="shared" si="651"/>
        <v>0</v>
      </c>
      <c r="AL535" s="88">
        <v>0</v>
      </c>
      <c r="AM535" s="88">
        <v>0</v>
      </c>
      <c r="AN535" s="81" t="str">
        <f t="shared" ref="AN535:AN598" si="689">IF(OR(BC535:BD535),"Warning: Need to enter baseline and measure consumption","")</f>
        <v/>
      </c>
      <c r="AO535" s="88">
        <f t="shared" si="652"/>
        <v>0</v>
      </c>
      <c r="AP535" s="88">
        <f t="shared" si="653"/>
        <v>0</v>
      </c>
      <c r="AQ535" s="81" t="str">
        <f t="shared" si="654"/>
        <v/>
      </c>
      <c r="AS535" s="41" t="b">
        <f t="shared" si="655"/>
        <v>1</v>
      </c>
      <c r="AT535" s="38">
        <f t="shared" si="656"/>
        <v>0</v>
      </c>
      <c r="AU535" s="60">
        <f t="shared" si="657"/>
        <v>0</v>
      </c>
      <c r="AV535" s="41">
        <f t="shared" si="658"/>
        <v>0</v>
      </c>
      <c r="AW535" s="41" t="b">
        <f t="shared" si="659"/>
        <v>0</v>
      </c>
      <c r="AX535" t="str">
        <f t="shared" si="660"/>
        <v>+00</v>
      </c>
      <c r="AY535" t="str">
        <f t="shared" si="661"/>
        <v>+00</v>
      </c>
      <c r="BA535" s="47" t="b">
        <f t="shared" ref="BA535:BA598" si="690">NOT(OR(ISBLANK(AJ535),ISBLANK(AL535)))</f>
        <v>1</v>
      </c>
      <c r="BB535" s="42" t="b">
        <f t="shared" ref="BB535:BB598" si="691">NOT(OR(ISBLANK(AK535),ISBLANK(AM535)))</f>
        <v>1</v>
      </c>
      <c r="BC535" s="42" t="b">
        <f t="shared" ref="BC535:BC598" si="692">AND(NOT(BA535))</f>
        <v>0</v>
      </c>
      <c r="BD535" s="42" t="b">
        <f t="shared" ref="BD535:BD598" si="693">AND(NOT(BB535))</f>
        <v>0</v>
      </c>
      <c r="BE535" s="70">
        <f t="shared" ref="BE535:BE598" si="694">AJ535-AL535</f>
        <v>0</v>
      </c>
      <c r="BF535" s="70">
        <f t="shared" ref="BF535:BF598" si="695">AK535-AM535</f>
        <v>0</v>
      </c>
      <c r="BG535" s="34"/>
      <c r="BI535" s="47" t="b">
        <f t="shared" ref="BI535:BI598" si="696">NOT(OR(ISBLANK(AL535),ISBLANK(AO535)))</f>
        <v>1</v>
      </c>
      <c r="BJ535" s="47" t="b">
        <f t="shared" ref="BJ535:BJ598" si="697">NOT(OR(ISBLANK(AM535),ISBLANK(AP535)))</f>
        <v>1</v>
      </c>
      <c r="BK535" s="42" t="b">
        <f t="shared" ref="BK535:BK598" si="698">AND(NOT(BI535))</f>
        <v>0</v>
      </c>
      <c r="BL535" s="42" t="b">
        <f t="shared" ref="BL535:BL598" si="699">AND(NOT(BJ535))</f>
        <v>0</v>
      </c>
      <c r="BM535" s="42">
        <f t="shared" ref="BM535:BM598" si="700">IF(NOT(OR(ISBLANK(AO535),ISBLANK(AL535))),AO535-AL535,0)</f>
        <v>0</v>
      </c>
      <c r="BN535" s="42">
        <f t="shared" ref="BN535:BN598" si="701">IF(NOT(OR(ISBLANK(AP535),ISBLANK(AM535))),AP535-AM535,0)</f>
        <v>0</v>
      </c>
      <c r="BP535" t="e">
        <f t="shared" ref="BP535:BP598" si="702">(DN535&gt;=0)</f>
        <v>#N/A</v>
      </c>
      <c r="BQ535" t="e">
        <f t="shared" ref="BQ535:BQ598" si="703">(DP535&gt;=0)</f>
        <v>#N/A</v>
      </c>
      <c r="BR535" t="e">
        <f t="shared" ref="BR535:BR598" si="704">AND(BP535,BQ535)</f>
        <v>#N/A</v>
      </c>
      <c r="BT535" s="60">
        <f t="shared" ref="BT535:BT598" si="705">$J535*BE535</f>
        <v>0</v>
      </c>
      <c r="BU535" s="60">
        <f t="shared" ref="BU535:BU598" si="706">$J535*BF535</f>
        <v>0</v>
      </c>
      <c r="BV535" s="60">
        <f t="shared" ref="BV535:BV598" si="707">$J535*BM535</f>
        <v>0</v>
      </c>
      <c r="BW535" s="60">
        <f t="shared" ref="BW535:BW598" si="708">$J535*BN535</f>
        <v>0</v>
      </c>
      <c r="BX535" s="60">
        <f t="shared" ref="BX535:BX598" si="709">$AT535*BT535</f>
        <v>0</v>
      </c>
      <c r="BY535" s="60">
        <f t="shared" ref="BY535:BY598" si="710">$AT535*BU535</f>
        <v>0</v>
      </c>
      <c r="BZ535" s="60">
        <f t="shared" ref="BZ535:BZ598" si="711">$AU535*BV535</f>
        <v>0</v>
      </c>
      <c r="CA535" s="60">
        <f t="shared" ref="CA535:CA598" si="712">$AU535*BW535</f>
        <v>0</v>
      </c>
      <c r="CB535" s="60" t="e">
        <f t="shared" si="662"/>
        <v>#N/A</v>
      </c>
      <c r="CC535" s="60">
        <f t="shared" si="663"/>
        <v>100000</v>
      </c>
      <c r="CD535" s="60" t="e">
        <f t="shared" si="664"/>
        <v>#N/A</v>
      </c>
      <c r="CE535" s="60">
        <f t="shared" si="665"/>
        <v>100000</v>
      </c>
      <c r="CF535" s="83" t="e">
        <f t="shared" ref="CF535:CF598" si="713">$AT535*CB535/1000000</f>
        <v>#N/A</v>
      </c>
      <c r="CG535" s="83">
        <f t="shared" ref="CG535:CG598" si="714">$AT535*CC535/1000000</f>
        <v>0</v>
      </c>
      <c r="CH535" s="83" t="e">
        <f t="shared" ref="CH535:CH598" si="715">$AU535*CD535/1000000</f>
        <v>#N/A</v>
      </c>
      <c r="CI535" s="83">
        <f t="shared" ref="CI535:CI598" si="716">$AU535*CE535/1000000</f>
        <v>0</v>
      </c>
      <c r="CJ535" s="86" t="e">
        <f t="shared" si="666"/>
        <v>#N/A</v>
      </c>
      <c r="CK535" s="82">
        <f t="shared" si="667"/>
        <v>5.3070370403969858E-3</v>
      </c>
      <c r="CL535" s="82" t="e">
        <f t="shared" si="668"/>
        <v>#N/A</v>
      </c>
      <c r="CM535" s="82">
        <f t="shared" si="669"/>
        <v>5.3070370403969858E-3</v>
      </c>
      <c r="CO535" s="149" t="str">
        <f>IF($I535&lt;&gt;"",IF(O535="User Specified",U535,INDEX('Refrigerant GWPs'!$G$2:$G$156,MATCH(O535,'Refrigerant GWPs'!$A$2:$A$156,0))),"")</f>
        <v/>
      </c>
      <c r="CP535" s="138" t="str">
        <f>IF($I535&lt;&gt;"",INDEX('Device Refrigerant Leakage'!$E$2:$E$42,MATCH($M535,'Device Refrigerant Leakage'!$B$2:$B$42,0)),"")</f>
        <v/>
      </c>
      <c r="CQ535" s="138" t="str">
        <f>IF($I535&lt;&gt;"",INDEX('Device Refrigerant Leakage'!$F$2:$F$42,MATCH($M535,'Device Refrigerant Leakage'!$B$2:$B$42,0)),"")</f>
        <v/>
      </c>
      <c r="CR535" s="145" t="str">
        <f>IF($I535&lt;&gt;"",INDEX('Device Refrigerant Leakage'!$G$2:$G$42,MATCH($M535,'Device Refrigerant Leakage'!$B$2:$B$42,0)),"")</f>
        <v/>
      </c>
      <c r="CS535" s="145" t="str">
        <f>IF($I535&lt;&gt;"",INDEX('Device Refrigerant Leakage'!$D$2:$D$42,MATCH($M535,'Device Refrigerant Leakage'!$B$2:$B$42,0))*CP535/2204.62*CO535,"")</f>
        <v/>
      </c>
      <c r="CT535" s="145" t="str">
        <f>IF($I535&lt;&gt;"",J535*(INDEX('Device Refrigerant Leakage'!$D$2:$D$42,MATCH($M535,'Device Refrigerant Leakage'!$B$2:$B$42,0))-(INDEX('Device Refrigerant Leakage'!$D$2:$D$42,MATCH($M535,'Device Refrigerant Leakage'!$B$2:$B$42,0)))*CR535*CP535)*CQ535/2204.62*CO535,"")</f>
        <v/>
      </c>
      <c r="CU535" s="135" t="str">
        <f>IF($I535&lt;&gt;"",J535*IF(W535&lt;&gt;"AR",(CS535*K535)+CT535,(CS535*AB535)+CT535*(AB535/INDEX('Device Refrigerant Leakage'!$C$2:$C$42,MATCH($M535,'Device Refrigerant Leakage'!$B$2:$B$42,0)))),"")</f>
        <v/>
      </c>
      <c r="CW535" s="135" t="str">
        <f>IF($I535&lt;&gt;"",IF(S535="User Specified",V535,INDEX('Refrigerant GWPs'!$G$2:$G$156,MATCH(S535,'Refrigerant GWPs'!$A$2:$A$157,0))),"")</f>
        <v/>
      </c>
      <c r="CX535" s="138" t="str">
        <f>IF($I535&lt;&gt;"",INDEX('Device Refrigerant Leakage'!$E$2:$E$42,MATCH($Q535,'Device Refrigerant Leakage'!$B$2:$B$42,0)),"")</f>
        <v/>
      </c>
      <c r="CY535" s="138" t="str">
        <f>IF($I535&lt;&gt;"",INDEX('Device Refrigerant Leakage'!$F$2:$F$42,MATCH($Q535,'Device Refrigerant Leakage'!$B$2:$B$42,0)),"")</f>
        <v/>
      </c>
      <c r="CZ535" s="145" t="str">
        <f>IF($I535&lt;&gt;"",INDEX('Device Refrigerant Leakage'!$G$2:$G$42,MATCH($Q535,'Device Refrigerant Leakage'!$B$2:$B$42,0)),"")</f>
        <v/>
      </c>
      <c r="DA535" s="145" t="str">
        <f>IF($I535&lt;&gt;"",J535*INDEX('Device Refrigerant Leakage'!$D$2:$D$42,MATCH($Q535,'Device Refrigerant Leakage'!$B$2:$B$42,0))*CX535/2204.62*CW535,"")</f>
        <v/>
      </c>
      <c r="DB535" s="145" t="str">
        <f>IF($I535&lt;&gt;"",J535*(INDEX('Device Refrigerant Leakage'!$D$2:$D$42,MATCH($Q535,'Device Refrigerant Leakage'!$B$2:$B$42,0))-(INDEX('Device Refrigerant Leakage'!$D$2:$D$42,MATCH($Q535,'Device Refrigerant Leakage'!$B$2:$B$42,0)))*CZ535*CX535)*CY535/2204.62*CW535,"")</f>
        <v/>
      </c>
      <c r="DC535" s="135" t="str">
        <f t="shared" si="688"/>
        <v/>
      </c>
      <c r="DE535" s="146" t="str">
        <f>IF(W535&lt;&gt;"AR","",IF(Y535="User Specified", AA535, INDEX('Refrigerant GWPs'!$G$2:$G$154,MATCH(Y535,'Refrigerant GWPs'!$A$2:$A$154,0))))</f>
        <v/>
      </c>
      <c r="DF535" s="146" t="str">
        <f>IF(W535&lt;&gt;"AR","",INDEX('Device Refrigerant Leakage'!$E$2:$E$42,MATCH(X535,'Device Refrigerant Leakage'!$B$2:$B$42,0)))</f>
        <v/>
      </c>
      <c r="DG535" s="146" t="str">
        <f>IF(W535&lt;&gt;"AR","",INDEX('Device Refrigerant Leakage'!$F$2:$F$42,MATCH(X535,'Device Refrigerant Leakage'!$B$2:$B$42,0)))</f>
        <v/>
      </c>
      <c r="DH535" s="146" t="str">
        <f>IF(W535&lt;&gt;"AR","",INDEX('Device Refrigerant Leakage'!$G$2:$G$42,MATCH(X535,'Device Refrigerant Leakage'!$B$2:$B$42,0)))</f>
        <v/>
      </c>
      <c r="DI535" s="146" t="str">
        <f>IF(W535&lt;&gt;"AR","",J535*INDEX('Device Refrigerant Leakage'!$D$2:$D$42,MATCH(X535,'Device Refrigerant Leakage'!$B$2:$B$42,0))*DF535/2204.62*DE535)</f>
        <v/>
      </c>
      <c r="DJ535" s="146" t="str">
        <f>IF(W535&lt;&gt;"AR","",J535*(INDEX('Device Refrigerant Leakage'!$D$2:$D$42,MATCH(X535,'Device Refrigerant Leakage'!$B$2:$B$42,0))-(INDEX('Device Refrigerant Leakage'!$D$2:$D$42,MATCH(X535,'Device Refrigerant Leakage'!$B$2:$B$42,0)))*DH535*DF535)*DG535/2204.62*DE535)</f>
        <v/>
      </c>
      <c r="DK535" s="146" t="str">
        <f>IF(W535&lt;&gt;"AR","",DI535*(K535-AB535)+'Fuel Sub Calcs-Deemed'!DJ535*((K535-AB535)/INDEX('Device Refrigerant Leakage'!$C$2:$C$42,MATCH('Fuel Sub Calcs-Deemed'!X535,'Device Refrigerant Leakage'!$B$2:$B$42,0))))</f>
        <v/>
      </c>
      <c r="DM535" s="56">
        <v>521</v>
      </c>
      <c r="DN535" s="67" t="e">
        <f t="shared" si="670"/>
        <v>#N/A</v>
      </c>
      <c r="DO535" s="45" t="e">
        <f t="shared" si="671"/>
        <v>#N/A</v>
      </c>
      <c r="DP535" s="67" t="e">
        <f t="shared" si="672"/>
        <v>#N/A</v>
      </c>
      <c r="DQ535" s="45" t="e">
        <f t="shared" si="673"/>
        <v>#N/A</v>
      </c>
      <c r="DR535" s="69" t="e">
        <f t="shared" si="674"/>
        <v>#N/A</v>
      </c>
      <c r="DS535" s="34"/>
      <c r="DT535" s="67" t="e">
        <f>((BX535*CJ535)+IF($W535=MAT_AR,(BZ535*CL535),0))*(1+Reference!$E$50+Reference!$E$51)</f>
        <v>#N/A</v>
      </c>
      <c r="DU535" s="67">
        <f>((BY535*CK535)+IF($W535=MAT_AR,(CA535*CM535),0))*(1+Reference!$G$50+Reference!$G$51)</f>
        <v>0</v>
      </c>
      <c r="DV535" s="67" t="e">
        <f t="shared" si="675"/>
        <v>#VALUE!</v>
      </c>
      <c r="DX535" s="56">
        <v>521</v>
      </c>
      <c r="DY535" s="67">
        <f t="shared" si="676"/>
        <v>0</v>
      </c>
      <c r="DZ535" s="45" t="e">
        <f>VLOOKUP($R535,Dropdown!$C$3:$D$4,2,FALSE)</f>
        <v>#N/A</v>
      </c>
      <c r="EA535" s="68">
        <f t="shared" si="677"/>
        <v>0</v>
      </c>
      <c r="EB535" s="68" t="str">
        <f t="shared" si="678"/>
        <v>N/A</v>
      </c>
      <c r="EC535" s="68">
        <f t="shared" si="679"/>
        <v>0</v>
      </c>
      <c r="ED535" s="68" t="str">
        <f t="shared" ref="ED535:ED598" si="717">IF($R535=fuel_electricity,DY535*10^6/Btu_therm,"N/A")</f>
        <v>N/A</v>
      </c>
      <c r="EF535" s="56">
        <v>521</v>
      </c>
      <c r="EG535" s="46">
        <f t="shared" si="680"/>
        <v>0</v>
      </c>
      <c r="EH535" s="68" t="e">
        <f t="shared" si="681"/>
        <v>#N/A</v>
      </c>
      <c r="EI535" s="68" t="e">
        <f t="shared" si="682"/>
        <v>#N/A</v>
      </c>
      <c r="EJ535" s="68" t="e">
        <f t="shared" si="683"/>
        <v>#N/A</v>
      </c>
      <c r="EK535" s="68" t="e">
        <f t="shared" si="684"/>
        <v>#N/A</v>
      </c>
      <c r="EL535" s="46">
        <f t="shared" si="685"/>
        <v>0</v>
      </c>
      <c r="EM535" s="46">
        <f t="shared" si="686"/>
        <v>0</v>
      </c>
    </row>
    <row r="536" spans="1:143">
      <c r="A536" s="89"/>
      <c r="B536" s="89"/>
      <c r="C536" s="89"/>
      <c r="D536" s="89"/>
      <c r="E536" s="89"/>
      <c r="F536" s="89"/>
      <c r="G536" s="34"/>
      <c r="H536" s="56">
        <f t="shared" si="687"/>
        <v>522</v>
      </c>
      <c r="I536" s="165"/>
      <c r="J536" s="163"/>
      <c r="K536" s="163"/>
      <c r="L536" s="164"/>
      <c r="M536" s="155"/>
      <c r="N536" s="155"/>
      <c r="O536" s="144"/>
      <c r="P536" s="159" t="str">
        <f>IFERROR(IF(O536&lt;&gt;"User Specified",IF(O536&lt;&gt;"", INDEX('Refrigerant GWPs'!$G$2:$G$154,MATCH(O536,'Refrigerant GWPs'!$A$2:$A$154,0)),""),U536),0)</f>
        <v/>
      </c>
      <c r="Q536" s="155"/>
      <c r="R536" s="155"/>
      <c r="S536" s="144"/>
      <c r="T536" s="159" t="str">
        <f>IF(S536&lt;&gt;"User Specified",IF(AND(S536&lt;&gt;"User Specified",S536&lt;&gt;""), INDEX('Refrigerant GWPs'!$G$2:$G$154,MATCH(S536,'Refrigerant GWPs'!$A$2:$A$154,0)),""),V536)</f>
        <v/>
      </c>
      <c r="U536" s="144"/>
      <c r="V536" s="144"/>
      <c r="W536" s="155"/>
      <c r="X536" s="155"/>
      <c r="Y536" s="144"/>
      <c r="Z536" s="159" t="str">
        <f>IF(AND(Y536&lt;&gt;"User Specified",Y536&lt;&gt;""), INDEX('Refrigerant GWPs'!$G$2:$G$154,MATCH(Y536,'Refrigerant GWPs'!$A$2:$A$154,0)),"")</f>
        <v/>
      </c>
      <c r="AA536" s="155"/>
      <c r="AB536" s="156"/>
      <c r="AC536" s="66"/>
      <c r="AD536" s="66"/>
      <c r="AE536" s="66"/>
      <c r="AF536" s="66"/>
      <c r="AG536" s="66"/>
      <c r="AH536" s="66"/>
      <c r="AI536" s="34"/>
      <c r="AJ536" s="88">
        <f t="shared" si="650"/>
        <v>0</v>
      </c>
      <c r="AK536" s="88">
        <f t="shared" si="651"/>
        <v>0</v>
      </c>
      <c r="AL536" s="88">
        <v>0</v>
      </c>
      <c r="AM536" s="88">
        <v>0</v>
      </c>
      <c r="AN536" s="81" t="str">
        <f t="shared" si="689"/>
        <v/>
      </c>
      <c r="AO536" s="88">
        <f t="shared" si="652"/>
        <v>0</v>
      </c>
      <c r="AP536" s="88">
        <f t="shared" si="653"/>
        <v>0</v>
      </c>
      <c r="AQ536" s="81" t="str">
        <f t="shared" si="654"/>
        <v/>
      </c>
      <c r="AS536" s="41" t="b">
        <f t="shared" si="655"/>
        <v>1</v>
      </c>
      <c r="AT536" s="38">
        <f t="shared" si="656"/>
        <v>0</v>
      </c>
      <c r="AU536" s="60">
        <f t="shared" si="657"/>
        <v>0</v>
      </c>
      <c r="AV536" s="41">
        <f t="shared" si="658"/>
        <v>0</v>
      </c>
      <c r="AW536" s="41" t="b">
        <f t="shared" si="659"/>
        <v>0</v>
      </c>
      <c r="AX536" t="str">
        <f t="shared" si="660"/>
        <v>+00</v>
      </c>
      <c r="AY536" t="str">
        <f t="shared" si="661"/>
        <v>+00</v>
      </c>
      <c r="BA536" s="47" t="b">
        <f t="shared" si="690"/>
        <v>1</v>
      </c>
      <c r="BB536" s="42" t="b">
        <f t="shared" si="691"/>
        <v>1</v>
      </c>
      <c r="BC536" s="42" t="b">
        <f t="shared" si="692"/>
        <v>0</v>
      </c>
      <c r="BD536" s="42" t="b">
        <f t="shared" si="693"/>
        <v>0</v>
      </c>
      <c r="BE536" s="70">
        <f t="shared" si="694"/>
        <v>0</v>
      </c>
      <c r="BF536" s="70">
        <f t="shared" si="695"/>
        <v>0</v>
      </c>
      <c r="BG536" s="34"/>
      <c r="BI536" s="47" t="b">
        <f t="shared" si="696"/>
        <v>1</v>
      </c>
      <c r="BJ536" s="47" t="b">
        <f t="shared" si="697"/>
        <v>1</v>
      </c>
      <c r="BK536" s="42" t="b">
        <f t="shared" si="698"/>
        <v>0</v>
      </c>
      <c r="BL536" s="42" t="b">
        <f t="shared" si="699"/>
        <v>0</v>
      </c>
      <c r="BM536" s="42">
        <f t="shared" si="700"/>
        <v>0</v>
      </c>
      <c r="BN536" s="42">
        <f t="shared" si="701"/>
        <v>0</v>
      </c>
      <c r="BP536" t="e">
        <f t="shared" si="702"/>
        <v>#N/A</v>
      </c>
      <c r="BQ536" t="e">
        <f t="shared" si="703"/>
        <v>#N/A</v>
      </c>
      <c r="BR536" t="e">
        <f t="shared" si="704"/>
        <v>#N/A</v>
      </c>
      <c r="BT536" s="60">
        <f t="shared" si="705"/>
        <v>0</v>
      </c>
      <c r="BU536" s="60">
        <f t="shared" si="706"/>
        <v>0</v>
      </c>
      <c r="BV536" s="60">
        <f t="shared" si="707"/>
        <v>0</v>
      </c>
      <c r="BW536" s="60">
        <f t="shared" si="708"/>
        <v>0</v>
      </c>
      <c r="BX536" s="60">
        <f t="shared" si="709"/>
        <v>0</v>
      </c>
      <c r="BY536" s="60">
        <f t="shared" si="710"/>
        <v>0</v>
      </c>
      <c r="BZ536" s="60">
        <f t="shared" si="711"/>
        <v>0</v>
      </c>
      <c r="CA536" s="60">
        <f t="shared" si="712"/>
        <v>0</v>
      </c>
      <c r="CB536" s="60" t="e">
        <f t="shared" si="662"/>
        <v>#N/A</v>
      </c>
      <c r="CC536" s="60">
        <f t="shared" si="663"/>
        <v>100000</v>
      </c>
      <c r="CD536" s="60" t="e">
        <f t="shared" si="664"/>
        <v>#N/A</v>
      </c>
      <c r="CE536" s="60">
        <f t="shared" si="665"/>
        <v>100000</v>
      </c>
      <c r="CF536" s="83" t="e">
        <f t="shared" si="713"/>
        <v>#N/A</v>
      </c>
      <c r="CG536" s="83">
        <f t="shared" si="714"/>
        <v>0</v>
      </c>
      <c r="CH536" s="83" t="e">
        <f t="shared" si="715"/>
        <v>#N/A</v>
      </c>
      <c r="CI536" s="83">
        <f t="shared" si="716"/>
        <v>0</v>
      </c>
      <c r="CJ536" s="86" t="e">
        <f t="shared" si="666"/>
        <v>#N/A</v>
      </c>
      <c r="CK536" s="82">
        <f t="shared" si="667"/>
        <v>5.3070370403969858E-3</v>
      </c>
      <c r="CL536" s="82" t="e">
        <f t="shared" si="668"/>
        <v>#N/A</v>
      </c>
      <c r="CM536" s="82">
        <f t="shared" si="669"/>
        <v>5.3070370403969858E-3</v>
      </c>
      <c r="CO536" s="149" t="str">
        <f>IF($I536&lt;&gt;"",IF(O536="User Specified",U536,INDEX('Refrigerant GWPs'!$G$2:$G$156,MATCH(O536,'Refrigerant GWPs'!$A$2:$A$156,0))),"")</f>
        <v/>
      </c>
      <c r="CP536" s="138" t="str">
        <f>IF($I536&lt;&gt;"",INDEX('Device Refrigerant Leakage'!$E$2:$E$42,MATCH($M536,'Device Refrigerant Leakage'!$B$2:$B$42,0)),"")</f>
        <v/>
      </c>
      <c r="CQ536" s="138" t="str">
        <f>IF($I536&lt;&gt;"",INDEX('Device Refrigerant Leakage'!$F$2:$F$42,MATCH($M536,'Device Refrigerant Leakage'!$B$2:$B$42,0)),"")</f>
        <v/>
      </c>
      <c r="CR536" s="145" t="str">
        <f>IF($I536&lt;&gt;"",INDEX('Device Refrigerant Leakage'!$G$2:$G$42,MATCH($M536,'Device Refrigerant Leakage'!$B$2:$B$42,0)),"")</f>
        <v/>
      </c>
      <c r="CS536" s="145" t="str">
        <f>IF($I536&lt;&gt;"",INDEX('Device Refrigerant Leakage'!$D$2:$D$42,MATCH($M536,'Device Refrigerant Leakage'!$B$2:$B$42,0))*CP536/2204.62*CO536,"")</f>
        <v/>
      </c>
      <c r="CT536" s="145" t="str">
        <f>IF($I536&lt;&gt;"",J536*(INDEX('Device Refrigerant Leakage'!$D$2:$D$42,MATCH($M536,'Device Refrigerant Leakage'!$B$2:$B$42,0))-(INDEX('Device Refrigerant Leakage'!$D$2:$D$42,MATCH($M536,'Device Refrigerant Leakage'!$B$2:$B$42,0)))*CR536*CP536)*CQ536/2204.62*CO536,"")</f>
        <v/>
      </c>
      <c r="CU536" s="135" t="str">
        <f>IF($I536&lt;&gt;"",J536*IF(W536&lt;&gt;"AR",(CS536*K536)+CT536,(CS536*AB536)+CT536*(AB536/INDEX('Device Refrigerant Leakage'!$C$2:$C$42,MATCH($M536,'Device Refrigerant Leakage'!$B$2:$B$42,0)))),"")</f>
        <v/>
      </c>
      <c r="CW536" s="135" t="str">
        <f>IF($I536&lt;&gt;"",IF(S536="User Specified",V536,INDEX('Refrigerant GWPs'!$G$2:$G$156,MATCH(S536,'Refrigerant GWPs'!$A$2:$A$157,0))),"")</f>
        <v/>
      </c>
      <c r="CX536" s="138" t="str">
        <f>IF($I536&lt;&gt;"",INDEX('Device Refrigerant Leakage'!$E$2:$E$42,MATCH($Q536,'Device Refrigerant Leakage'!$B$2:$B$42,0)),"")</f>
        <v/>
      </c>
      <c r="CY536" s="138" t="str">
        <f>IF($I536&lt;&gt;"",INDEX('Device Refrigerant Leakage'!$F$2:$F$42,MATCH($Q536,'Device Refrigerant Leakage'!$B$2:$B$42,0)),"")</f>
        <v/>
      </c>
      <c r="CZ536" s="145" t="str">
        <f>IF($I536&lt;&gt;"",INDEX('Device Refrigerant Leakage'!$G$2:$G$42,MATCH($Q536,'Device Refrigerant Leakage'!$B$2:$B$42,0)),"")</f>
        <v/>
      </c>
      <c r="DA536" s="145" t="str">
        <f>IF($I536&lt;&gt;"",J536*INDEX('Device Refrigerant Leakage'!$D$2:$D$42,MATCH($Q536,'Device Refrigerant Leakage'!$B$2:$B$42,0))*CX536/2204.62*CW536,"")</f>
        <v/>
      </c>
      <c r="DB536" s="145" t="str">
        <f>IF($I536&lt;&gt;"",J536*(INDEX('Device Refrigerant Leakage'!$D$2:$D$42,MATCH($Q536,'Device Refrigerant Leakage'!$B$2:$B$42,0))-(INDEX('Device Refrigerant Leakage'!$D$2:$D$42,MATCH($Q536,'Device Refrigerant Leakage'!$B$2:$B$42,0)))*CZ536*CX536)*CY536/2204.62*CW536,"")</f>
        <v/>
      </c>
      <c r="DC536" s="135" t="str">
        <f t="shared" si="688"/>
        <v/>
      </c>
      <c r="DE536" s="146" t="str">
        <f>IF(W536&lt;&gt;"AR","",IF(Y536="User Specified", AA536, INDEX('Refrigerant GWPs'!$G$2:$G$154,MATCH(Y536,'Refrigerant GWPs'!$A$2:$A$154,0))))</f>
        <v/>
      </c>
      <c r="DF536" s="146" t="str">
        <f>IF(W536&lt;&gt;"AR","",INDEX('Device Refrigerant Leakage'!$E$2:$E$42,MATCH(X536,'Device Refrigerant Leakage'!$B$2:$B$42,0)))</f>
        <v/>
      </c>
      <c r="DG536" s="146" t="str">
        <f>IF(W536&lt;&gt;"AR","",INDEX('Device Refrigerant Leakage'!$F$2:$F$42,MATCH(X536,'Device Refrigerant Leakage'!$B$2:$B$42,0)))</f>
        <v/>
      </c>
      <c r="DH536" s="146" t="str">
        <f>IF(W536&lt;&gt;"AR","",INDEX('Device Refrigerant Leakage'!$G$2:$G$42,MATCH(X536,'Device Refrigerant Leakage'!$B$2:$B$42,0)))</f>
        <v/>
      </c>
      <c r="DI536" s="146" t="str">
        <f>IF(W536&lt;&gt;"AR","",J536*INDEX('Device Refrigerant Leakage'!$D$2:$D$42,MATCH(X536,'Device Refrigerant Leakage'!$B$2:$B$42,0))*DF536/2204.62*DE536)</f>
        <v/>
      </c>
      <c r="DJ536" s="146" t="str">
        <f>IF(W536&lt;&gt;"AR","",J536*(INDEX('Device Refrigerant Leakage'!$D$2:$D$42,MATCH(X536,'Device Refrigerant Leakage'!$B$2:$B$42,0))-(INDEX('Device Refrigerant Leakage'!$D$2:$D$42,MATCH(X536,'Device Refrigerant Leakage'!$B$2:$B$42,0)))*DH536*DF536)*DG536/2204.62*DE536)</f>
        <v/>
      </c>
      <c r="DK536" s="146" t="str">
        <f>IF(W536&lt;&gt;"AR","",DI536*(K536-AB536)+'Fuel Sub Calcs-Deemed'!DJ536*((K536-AB536)/INDEX('Device Refrigerant Leakage'!$C$2:$C$42,MATCH('Fuel Sub Calcs-Deemed'!X536,'Device Refrigerant Leakage'!$B$2:$B$42,0))))</f>
        <v/>
      </c>
      <c r="DM536" s="56">
        <v>522</v>
      </c>
      <c r="DN536" s="67" t="e">
        <f t="shared" si="670"/>
        <v>#N/A</v>
      </c>
      <c r="DO536" s="45" t="e">
        <f t="shared" si="671"/>
        <v>#N/A</v>
      </c>
      <c r="DP536" s="67" t="e">
        <f t="shared" si="672"/>
        <v>#N/A</v>
      </c>
      <c r="DQ536" s="45" t="e">
        <f t="shared" si="673"/>
        <v>#N/A</v>
      </c>
      <c r="DR536" s="69" t="e">
        <f t="shared" si="674"/>
        <v>#N/A</v>
      </c>
      <c r="DS536" s="34"/>
      <c r="DT536" s="67" t="e">
        <f>((BX536*CJ536)+IF($W536=MAT_AR,(BZ536*CL536),0))*(1+Reference!$E$50+Reference!$E$51)</f>
        <v>#N/A</v>
      </c>
      <c r="DU536" s="67">
        <f>((BY536*CK536)+IF($W536=MAT_AR,(CA536*CM536),0))*(1+Reference!$G$50+Reference!$G$51)</f>
        <v>0</v>
      </c>
      <c r="DV536" s="67" t="e">
        <f t="shared" si="675"/>
        <v>#VALUE!</v>
      </c>
      <c r="DX536" s="56">
        <v>522</v>
      </c>
      <c r="DY536" s="67">
        <f t="shared" si="676"/>
        <v>0</v>
      </c>
      <c r="DZ536" s="45" t="e">
        <f>VLOOKUP($R536,Dropdown!$C$3:$D$4,2,FALSE)</f>
        <v>#N/A</v>
      </c>
      <c r="EA536" s="68">
        <f t="shared" si="677"/>
        <v>0</v>
      </c>
      <c r="EB536" s="68" t="str">
        <f t="shared" si="678"/>
        <v>N/A</v>
      </c>
      <c r="EC536" s="68">
        <f t="shared" si="679"/>
        <v>0</v>
      </c>
      <c r="ED536" s="68" t="str">
        <f t="shared" si="717"/>
        <v>N/A</v>
      </c>
      <c r="EF536" s="56">
        <v>522</v>
      </c>
      <c r="EG536" s="46">
        <f t="shared" si="680"/>
        <v>0</v>
      </c>
      <c r="EH536" s="68" t="e">
        <f t="shared" si="681"/>
        <v>#N/A</v>
      </c>
      <c r="EI536" s="68" t="e">
        <f t="shared" si="682"/>
        <v>#N/A</v>
      </c>
      <c r="EJ536" s="68" t="e">
        <f t="shared" si="683"/>
        <v>#N/A</v>
      </c>
      <c r="EK536" s="68" t="e">
        <f t="shared" si="684"/>
        <v>#N/A</v>
      </c>
      <c r="EL536" s="46">
        <f t="shared" si="685"/>
        <v>0</v>
      </c>
      <c r="EM536" s="46">
        <f t="shared" si="686"/>
        <v>0</v>
      </c>
    </row>
    <row r="537" spans="1:143">
      <c r="A537" s="89"/>
      <c r="B537" s="89"/>
      <c r="C537" s="89"/>
      <c r="D537" s="89"/>
      <c r="E537" s="89"/>
      <c r="F537" s="89"/>
      <c r="G537" s="34"/>
      <c r="H537" s="56">
        <f t="shared" si="687"/>
        <v>523</v>
      </c>
      <c r="I537" s="165"/>
      <c r="J537" s="163"/>
      <c r="K537" s="163"/>
      <c r="L537" s="164"/>
      <c r="M537" s="155"/>
      <c r="N537" s="155"/>
      <c r="O537" s="144"/>
      <c r="P537" s="159" t="str">
        <f>IFERROR(IF(O537&lt;&gt;"User Specified",IF(O537&lt;&gt;"", INDEX('Refrigerant GWPs'!$G$2:$G$154,MATCH(O537,'Refrigerant GWPs'!$A$2:$A$154,0)),""),U537),0)</f>
        <v/>
      </c>
      <c r="Q537" s="155"/>
      <c r="R537" s="155"/>
      <c r="S537" s="144"/>
      <c r="T537" s="159" t="str">
        <f>IF(S537&lt;&gt;"User Specified",IF(AND(S537&lt;&gt;"User Specified",S537&lt;&gt;""), INDEX('Refrigerant GWPs'!$G$2:$G$154,MATCH(S537,'Refrigerant GWPs'!$A$2:$A$154,0)),""),V537)</f>
        <v/>
      </c>
      <c r="U537" s="144"/>
      <c r="V537" s="144"/>
      <c r="W537" s="155"/>
      <c r="X537" s="155"/>
      <c r="Y537" s="144"/>
      <c r="Z537" s="159" t="str">
        <f>IF(AND(Y537&lt;&gt;"User Specified",Y537&lt;&gt;""), INDEX('Refrigerant GWPs'!$G$2:$G$154,MATCH(Y537,'Refrigerant GWPs'!$A$2:$A$154,0)),"")</f>
        <v/>
      </c>
      <c r="AA537" s="155"/>
      <c r="AB537" s="156"/>
      <c r="AC537" s="66"/>
      <c r="AD537" s="66"/>
      <c r="AE537" s="66"/>
      <c r="AF537" s="66"/>
      <c r="AG537" s="66"/>
      <c r="AH537" s="66"/>
      <c r="AI537" s="34"/>
      <c r="AJ537" s="88">
        <f t="shared" si="650"/>
        <v>0</v>
      </c>
      <c r="AK537" s="88">
        <f t="shared" si="651"/>
        <v>0</v>
      </c>
      <c r="AL537" s="88">
        <v>0</v>
      </c>
      <c r="AM537" s="88">
        <v>0</v>
      </c>
      <c r="AN537" s="81" t="str">
        <f t="shared" si="689"/>
        <v/>
      </c>
      <c r="AO537" s="88">
        <f t="shared" si="652"/>
        <v>0</v>
      </c>
      <c r="AP537" s="88">
        <f t="shared" si="653"/>
        <v>0</v>
      </c>
      <c r="AQ537" s="81" t="str">
        <f t="shared" si="654"/>
        <v/>
      </c>
      <c r="AS537" s="41" t="b">
        <f t="shared" si="655"/>
        <v>1</v>
      </c>
      <c r="AT537" s="38">
        <f t="shared" si="656"/>
        <v>0</v>
      </c>
      <c r="AU537" s="60">
        <f t="shared" si="657"/>
        <v>0</v>
      </c>
      <c r="AV537" s="41">
        <f t="shared" si="658"/>
        <v>0</v>
      </c>
      <c r="AW537" s="41" t="b">
        <f t="shared" si="659"/>
        <v>0</v>
      </c>
      <c r="AX537" t="str">
        <f t="shared" si="660"/>
        <v>+00</v>
      </c>
      <c r="AY537" t="str">
        <f t="shared" si="661"/>
        <v>+00</v>
      </c>
      <c r="BA537" s="47" t="b">
        <f t="shared" si="690"/>
        <v>1</v>
      </c>
      <c r="BB537" s="42" t="b">
        <f t="shared" si="691"/>
        <v>1</v>
      </c>
      <c r="BC537" s="42" t="b">
        <f t="shared" si="692"/>
        <v>0</v>
      </c>
      <c r="BD537" s="42" t="b">
        <f t="shared" si="693"/>
        <v>0</v>
      </c>
      <c r="BE537" s="70">
        <f t="shared" si="694"/>
        <v>0</v>
      </c>
      <c r="BF537" s="70">
        <f t="shared" si="695"/>
        <v>0</v>
      </c>
      <c r="BG537" s="34"/>
      <c r="BI537" s="47" t="b">
        <f t="shared" si="696"/>
        <v>1</v>
      </c>
      <c r="BJ537" s="47" t="b">
        <f t="shared" si="697"/>
        <v>1</v>
      </c>
      <c r="BK537" s="42" t="b">
        <f t="shared" si="698"/>
        <v>0</v>
      </c>
      <c r="BL537" s="42" t="b">
        <f t="shared" si="699"/>
        <v>0</v>
      </c>
      <c r="BM537" s="42">
        <f t="shared" si="700"/>
        <v>0</v>
      </c>
      <c r="BN537" s="42">
        <f t="shared" si="701"/>
        <v>0</v>
      </c>
      <c r="BP537" t="e">
        <f t="shared" si="702"/>
        <v>#N/A</v>
      </c>
      <c r="BQ537" t="e">
        <f t="shared" si="703"/>
        <v>#N/A</v>
      </c>
      <c r="BR537" t="e">
        <f t="shared" si="704"/>
        <v>#N/A</v>
      </c>
      <c r="BT537" s="60">
        <f t="shared" si="705"/>
        <v>0</v>
      </c>
      <c r="BU537" s="60">
        <f t="shared" si="706"/>
        <v>0</v>
      </c>
      <c r="BV537" s="60">
        <f t="shared" si="707"/>
        <v>0</v>
      </c>
      <c r="BW537" s="60">
        <f t="shared" si="708"/>
        <v>0</v>
      </c>
      <c r="BX537" s="60">
        <f t="shared" si="709"/>
        <v>0</v>
      </c>
      <c r="BY537" s="60">
        <f t="shared" si="710"/>
        <v>0</v>
      </c>
      <c r="BZ537" s="60">
        <f t="shared" si="711"/>
        <v>0</v>
      </c>
      <c r="CA537" s="60">
        <f t="shared" si="712"/>
        <v>0</v>
      </c>
      <c r="CB537" s="60" t="e">
        <f t="shared" si="662"/>
        <v>#N/A</v>
      </c>
      <c r="CC537" s="60">
        <f t="shared" si="663"/>
        <v>100000</v>
      </c>
      <c r="CD537" s="60" t="e">
        <f t="shared" si="664"/>
        <v>#N/A</v>
      </c>
      <c r="CE537" s="60">
        <f t="shared" si="665"/>
        <v>100000</v>
      </c>
      <c r="CF537" s="83" t="e">
        <f t="shared" si="713"/>
        <v>#N/A</v>
      </c>
      <c r="CG537" s="83">
        <f t="shared" si="714"/>
        <v>0</v>
      </c>
      <c r="CH537" s="83" t="e">
        <f t="shared" si="715"/>
        <v>#N/A</v>
      </c>
      <c r="CI537" s="83">
        <f t="shared" si="716"/>
        <v>0</v>
      </c>
      <c r="CJ537" s="86" t="e">
        <f t="shared" si="666"/>
        <v>#N/A</v>
      </c>
      <c r="CK537" s="82">
        <f t="shared" si="667"/>
        <v>5.3070370403969858E-3</v>
      </c>
      <c r="CL537" s="82" t="e">
        <f t="shared" si="668"/>
        <v>#N/A</v>
      </c>
      <c r="CM537" s="82">
        <f t="shared" si="669"/>
        <v>5.3070370403969858E-3</v>
      </c>
      <c r="CO537" s="149" t="str">
        <f>IF($I537&lt;&gt;"",IF(O537="User Specified",U537,INDEX('Refrigerant GWPs'!$G$2:$G$156,MATCH(O537,'Refrigerant GWPs'!$A$2:$A$156,0))),"")</f>
        <v/>
      </c>
      <c r="CP537" s="138" t="str">
        <f>IF($I537&lt;&gt;"",INDEX('Device Refrigerant Leakage'!$E$2:$E$42,MATCH($M537,'Device Refrigerant Leakage'!$B$2:$B$42,0)),"")</f>
        <v/>
      </c>
      <c r="CQ537" s="138" t="str">
        <f>IF($I537&lt;&gt;"",INDEX('Device Refrigerant Leakage'!$F$2:$F$42,MATCH($M537,'Device Refrigerant Leakage'!$B$2:$B$42,0)),"")</f>
        <v/>
      </c>
      <c r="CR537" s="145" t="str">
        <f>IF($I537&lt;&gt;"",INDEX('Device Refrigerant Leakage'!$G$2:$G$42,MATCH($M537,'Device Refrigerant Leakage'!$B$2:$B$42,0)),"")</f>
        <v/>
      </c>
      <c r="CS537" s="145" t="str">
        <f>IF($I537&lt;&gt;"",INDEX('Device Refrigerant Leakage'!$D$2:$D$42,MATCH($M537,'Device Refrigerant Leakage'!$B$2:$B$42,0))*CP537/2204.62*CO537,"")</f>
        <v/>
      </c>
      <c r="CT537" s="145" t="str">
        <f>IF($I537&lt;&gt;"",J537*(INDEX('Device Refrigerant Leakage'!$D$2:$D$42,MATCH($M537,'Device Refrigerant Leakage'!$B$2:$B$42,0))-(INDEX('Device Refrigerant Leakage'!$D$2:$D$42,MATCH($M537,'Device Refrigerant Leakage'!$B$2:$B$42,0)))*CR537*CP537)*CQ537/2204.62*CO537,"")</f>
        <v/>
      </c>
      <c r="CU537" s="135" t="str">
        <f>IF($I537&lt;&gt;"",J537*IF(W537&lt;&gt;"AR",(CS537*K537)+CT537,(CS537*AB537)+CT537*(AB537/INDEX('Device Refrigerant Leakage'!$C$2:$C$42,MATCH($M537,'Device Refrigerant Leakage'!$B$2:$B$42,0)))),"")</f>
        <v/>
      </c>
      <c r="CW537" s="135" t="str">
        <f>IF($I537&lt;&gt;"",IF(S537="User Specified",V537,INDEX('Refrigerant GWPs'!$G$2:$G$156,MATCH(S537,'Refrigerant GWPs'!$A$2:$A$157,0))),"")</f>
        <v/>
      </c>
      <c r="CX537" s="138" t="str">
        <f>IF($I537&lt;&gt;"",INDEX('Device Refrigerant Leakage'!$E$2:$E$42,MATCH($Q537,'Device Refrigerant Leakage'!$B$2:$B$42,0)),"")</f>
        <v/>
      </c>
      <c r="CY537" s="138" t="str">
        <f>IF($I537&lt;&gt;"",INDEX('Device Refrigerant Leakage'!$F$2:$F$42,MATCH($Q537,'Device Refrigerant Leakage'!$B$2:$B$42,0)),"")</f>
        <v/>
      </c>
      <c r="CZ537" s="145" t="str">
        <f>IF($I537&lt;&gt;"",INDEX('Device Refrigerant Leakage'!$G$2:$G$42,MATCH($Q537,'Device Refrigerant Leakage'!$B$2:$B$42,0)),"")</f>
        <v/>
      </c>
      <c r="DA537" s="145" t="str">
        <f>IF($I537&lt;&gt;"",J537*INDEX('Device Refrigerant Leakage'!$D$2:$D$42,MATCH($Q537,'Device Refrigerant Leakage'!$B$2:$B$42,0))*CX537/2204.62*CW537,"")</f>
        <v/>
      </c>
      <c r="DB537" s="145" t="str">
        <f>IF($I537&lt;&gt;"",J537*(INDEX('Device Refrigerant Leakage'!$D$2:$D$42,MATCH($Q537,'Device Refrigerant Leakage'!$B$2:$B$42,0))-(INDEX('Device Refrigerant Leakage'!$D$2:$D$42,MATCH($Q537,'Device Refrigerant Leakage'!$B$2:$B$42,0)))*CZ537*CX537)*CY537/2204.62*CW537,"")</f>
        <v/>
      </c>
      <c r="DC537" s="135" t="str">
        <f t="shared" si="688"/>
        <v/>
      </c>
      <c r="DE537" s="146" t="str">
        <f>IF(W537&lt;&gt;"AR","",IF(Y537="User Specified", AA537, INDEX('Refrigerant GWPs'!$G$2:$G$154,MATCH(Y537,'Refrigerant GWPs'!$A$2:$A$154,0))))</f>
        <v/>
      </c>
      <c r="DF537" s="146" t="str">
        <f>IF(W537&lt;&gt;"AR","",INDEX('Device Refrigerant Leakage'!$E$2:$E$42,MATCH(X537,'Device Refrigerant Leakage'!$B$2:$B$42,0)))</f>
        <v/>
      </c>
      <c r="DG537" s="146" t="str">
        <f>IF(W537&lt;&gt;"AR","",INDEX('Device Refrigerant Leakage'!$F$2:$F$42,MATCH(X537,'Device Refrigerant Leakage'!$B$2:$B$42,0)))</f>
        <v/>
      </c>
      <c r="DH537" s="146" t="str">
        <f>IF(W537&lt;&gt;"AR","",INDEX('Device Refrigerant Leakage'!$G$2:$G$42,MATCH(X537,'Device Refrigerant Leakage'!$B$2:$B$42,0)))</f>
        <v/>
      </c>
      <c r="DI537" s="146" t="str">
        <f>IF(W537&lt;&gt;"AR","",J537*INDEX('Device Refrigerant Leakage'!$D$2:$D$42,MATCH(X537,'Device Refrigerant Leakage'!$B$2:$B$42,0))*DF537/2204.62*DE537)</f>
        <v/>
      </c>
      <c r="DJ537" s="146" t="str">
        <f>IF(W537&lt;&gt;"AR","",J537*(INDEX('Device Refrigerant Leakage'!$D$2:$D$42,MATCH(X537,'Device Refrigerant Leakage'!$B$2:$B$42,0))-(INDEX('Device Refrigerant Leakage'!$D$2:$D$42,MATCH(X537,'Device Refrigerant Leakage'!$B$2:$B$42,0)))*DH537*DF537)*DG537/2204.62*DE537)</f>
        <v/>
      </c>
      <c r="DK537" s="146" t="str">
        <f>IF(W537&lt;&gt;"AR","",DI537*(K537-AB537)+'Fuel Sub Calcs-Deemed'!DJ537*((K537-AB537)/INDEX('Device Refrigerant Leakage'!$C$2:$C$42,MATCH('Fuel Sub Calcs-Deemed'!X537,'Device Refrigerant Leakage'!$B$2:$B$42,0))))</f>
        <v/>
      </c>
      <c r="DM537" s="56">
        <v>523</v>
      </c>
      <c r="DN537" s="67" t="e">
        <f t="shared" si="670"/>
        <v>#N/A</v>
      </c>
      <c r="DO537" s="45" t="e">
        <f t="shared" si="671"/>
        <v>#N/A</v>
      </c>
      <c r="DP537" s="67" t="e">
        <f t="shared" si="672"/>
        <v>#N/A</v>
      </c>
      <c r="DQ537" s="45" t="e">
        <f t="shared" si="673"/>
        <v>#N/A</v>
      </c>
      <c r="DR537" s="69" t="e">
        <f t="shared" si="674"/>
        <v>#N/A</v>
      </c>
      <c r="DS537" s="34"/>
      <c r="DT537" s="67" t="e">
        <f>((BX537*CJ537)+IF($W537=MAT_AR,(BZ537*CL537),0))*(1+Reference!$E$50+Reference!$E$51)</f>
        <v>#N/A</v>
      </c>
      <c r="DU537" s="67">
        <f>((BY537*CK537)+IF($W537=MAT_AR,(CA537*CM537),0))*(1+Reference!$G$50+Reference!$G$51)</f>
        <v>0</v>
      </c>
      <c r="DV537" s="67" t="e">
        <f t="shared" si="675"/>
        <v>#VALUE!</v>
      </c>
      <c r="DX537" s="56">
        <v>523</v>
      </c>
      <c r="DY537" s="67">
        <f t="shared" si="676"/>
        <v>0</v>
      </c>
      <c r="DZ537" s="45" t="e">
        <f>VLOOKUP($R537,Dropdown!$C$3:$D$4,2,FALSE)</f>
        <v>#N/A</v>
      </c>
      <c r="EA537" s="68">
        <f t="shared" si="677"/>
        <v>0</v>
      </c>
      <c r="EB537" s="68" t="str">
        <f t="shared" si="678"/>
        <v>N/A</v>
      </c>
      <c r="EC537" s="68">
        <f t="shared" si="679"/>
        <v>0</v>
      </c>
      <c r="ED537" s="68" t="str">
        <f t="shared" si="717"/>
        <v>N/A</v>
      </c>
      <c r="EF537" s="56">
        <v>523</v>
      </c>
      <c r="EG537" s="46">
        <f t="shared" si="680"/>
        <v>0</v>
      </c>
      <c r="EH537" s="68" t="e">
        <f t="shared" si="681"/>
        <v>#N/A</v>
      </c>
      <c r="EI537" s="68" t="e">
        <f t="shared" si="682"/>
        <v>#N/A</v>
      </c>
      <c r="EJ537" s="68" t="e">
        <f t="shared" si="683"/>
        <v>#N/A</v>
      </c>
      <c r="EK537" s="68" t="e">
        <f t="shared" si="684"/>
        <v>#N/A</v>
      </c>
      <c r="EL537" s="46">
        <f t="shared" si="685"/>
        <v>0</v>
      </c>
      <c r="EM537" s="46">
        <f t="shared" si="686"/>
        <v>0</v>
      </c>
    </row>
    <row r="538" spans="1:143">
      <c r="A538" s="89"/>
      <c r="B538" s="89"/>
      <c r="C538" s="89"/>
      <c r="D538" s="89"/>
      <c r="E538" s="89"/>
      <c r="F538" s="89"/>
      <c r="G538" s="34"/>
      <c r="H538" s="56">
        <f t="shared" si="687"/>
        <v>524</v>
      </c>
      <c r="I538" s="165"/>
      <c r="J538" s="163"/>
      <c r="K538" s="163"/>
      <c r="L538" s="164"/>
      <c r="M538" s="155"/>
      <c r="N538" s="155"/>
      <c r="O538" s="144"/>
      <c r="P538" s="159" t="str">
        <f>IFERROR(IF(O538&lt;&gt;"User Specified",IF(O538&lt;&gt;"", INDEX('Refrigerant GWPs'!$G$2:$G$154,MATCH(O538,'Refrigerant GWPs'!$A$2:$A$154,0)),""),U538),0)</f>
        <v/>
      </c>
      <c r="Q538" s="155"/>
      <c r="R538" s="155"/>
      <c r="S538" s="144"/>
      <c r="T538" s="159" t="str">
        <f>IF(S538&lt;&gt;"User Specified",IF(AND(S538&lt;&gt;"User Specified",S538&lt;&gt;""), INDEX('Refrigerant GWPs'!$G$2:$G$154,MATCH(S538,'Refrigerant GWPs'!$A$2:$A$154,0)),""),V538)</f>
        <v/>
      </c>
      <c r="U538" s="144"/>
      <c r="V538" s="144"/>
      <c r="W538" s="155"/>
      <c r="X538" s="155"/>
      <c r="Y538" s="144"/>
      <c r="Z538" s="159" t="str">
        <f>IF(AND(Y538&lt;&gt;"User Specified",Y538&lt;&gt;""), INDEX('Refrigerant GWPs'!$G$2:$G$154,MATCH(Y538,'Refrigerant GWPs'!$A$2:$A$154,0)),"")</f>
        <v/>
      </c>
      <c r="AA538" s="155"/>
      <c r="AB538" s="156"/>
      <c r="AC538" s="66"/>
      <c r="AD538" s="66"/>
      <c r="AE538" s="66"/>
      <c r="AF538" s="66"/>
      <c r="AG538" s="66"/>
      <c r="AH538" s="66"/>
      <c r="AI538" s="34"/>
      <c r="AJ538" s="88">
        <f t="shared" si="650"/>
        <v>0</v>
      </c>
      <c r="AK538" s="88">
        <f t="shared" si="651"/>
        <v>0</v>
      </c>
      <c r="AL538" s="88">
        <v>0</v>
      </c>
      <c r="AM538" s="88">
        <v>0</v>
      </c>
      <c r="AN538" s="81" t="str">
        <f t="shared" si="689"/>
        <v/>
      </c>
      <c r="AO538" s="88">
        <f t="shared" si="652"/>
        <v>0</v>
      </c>
      <c r="AP538" s="88">
        <f t="shared" si="653"/>
        <v>0</v>
      </c>
      <c r="AQ538" s="81" t="str">
        <f t="shared" si="654"/>
        <v/>
      </c>
      <c r="AS538" s="41" t="b">
        <f t="shared" si="655"/>
        <v>1</v>
      </c>
      <c r="AT538" s="38">
        <f t="shared" si="656"/>
        <v>0</v>
      </c>
      <c r="AU538" s="60">
        <f t="shared" si="657"/>
        <v>0</v>
      </c>
      <c r="AV538" s="41">
        <f t="shared" si="658"/>
        <v>0</v>
      </c>
      <c r="AW538" s="41" t="b">
        <f t="shared" si="659"/>
        <v>0</v>
      </c>
      <c r="AX538" t="str">
        <f t="shared" si="660"/>
        <v>+00</v>
      </c>
      <c r="AY538" t="str">
        <f t="shared" si="661"/>
        <v>+00</v>
      </c>
      <c r="BA538" s="47" t="b">
        <f t="shared" si="690"/>
        <v>1</v>
      </c>
      <c r="BB538" s="42" t="b">
        <f t="shared" si="691"/>
        <v>1</v>
      </c>
      <c r="BC538" s="42" t="b">
        <f t="shared" si="692"/>
        <v>0</v>
      </c>
      <c r="BD538" s="42" t="b">
        <f t="shared" si="693"/>
        <v>0</v>
      </c>
      <c r="BE538" s="70">
        <f t="shared" si="694"/>
        <v>0</v>
      </c>
      <c r="BF538" s="70">
        <f t="shared" si="695"/>
        <v>0</v>
      </c>
      <c r="BG538" s="34"/>
      <c r="BI538" s="47" t="b">
        <f t="shared" si="696"/>
        <v>1</v>
      </c>
      <c r="BJ538" s="47" t="b">
        <f t="shared" si="697"/>
        <v>1</v>
      </c>
      <c r="BK538" s="42" t="b">
        <f t="shared" si="698"/>
        <v>0</v>
      </c>
      <c r="BL538" s="42" t="b">
        <f t="shared" si="699"/>
        <v>0</v>
      </c>
      <c r="BM538" s="42">
        <f t="shared" si="700"/>
        <v>0</v>
      </c>
      <c r="BN538" s="42">
        <f t="shared" si="701"/>
        <v>0</v>
      </c>
      <c r="BP538" t="e">
        <f t="shared" si="702"/>
        <v>#N/A</v>
      </c>
      <c r="BQ538" t="e">
        <f t="shared" si="703"/>
        <v>#N/A</v>
      </c>
      <c r="BR538" t="e">
        <f t="shared" si="704"/>
        <v>#N/A</v>
      </c>
      <c r="BT538" s="60">
        <f t="shared" si="705"/>
        <v>0</v>
      </c>
      <c r="BU538" s="60">
        <f t="shared" si="706"/>
        <v>0</v>
      </c>
      <c r="BV538" s="60">
        <f t="shared" si="707"/>
        <v>0</v>
      </c>
      <c r="BW538" s="60">
        <f t="shared" si="708"/>
        <v>0</v>
      </c>
      <c r="BX538" s="60">
        <f t="shared" si="709"/>
        <v>0</v>
      </c>
      <c r="BY538" s="60">
        <f t="shared" si="710"/>
        <v>0</v>
      </c>
      <c r="BZ538" s="60">
        <f t="shared" si="711"/>
        <v>0</v>
      </c>
      <c r="CA538" s="60">
        <f t="shared" si="712"/>
        <v>0</v>
      </c>
      <c r="CB538" s="60" t="e">
        <f t="shared" si="662"/>
        <v>#N/A</v>
      </c>
      <c r="CC538" s="60">
        <f t="shared" si="663"/>
        <v>100000</v>
      </c>
      <c r="CD538" s="60" t="e">
        <f t="shared" si="664"/>
        <v>#N/A</v>
      </c>
      <c r="CE538" s="60">
        <f t="shared" si="665"/>
        <v>100000</v>
      </c>
      <c r="CF538" s="83" t="e">
        <f t="shared" si="713"/>
        <v>#N/A</v>
      </c>
      <c r="CG538" s="83">
        <f t="shared" si="714"/>
        <v>0</v>
      </c>
      <c r="CH538" s="83" t="e">
        <f t="shared" si="715"/>
        <v>#N/A</v>
      </c>
      <c r="CI538" s="83">
        <f t="shared" si="716"/>
        <v>0</v>
      </c>
      <c r="CJ538" s="86" t="e">
        <f t="shared" si="666"/>
        <v>#N/A</v>
      </c>
      <c r="CK538" s="82">
        <f t="shared" si="667"/>
        <v>5.3070370403969858E-3</v>
      </c>
      <c r="CL538" s="82" t="e">
        <f t="shared" si="668"/>
        <v>#N/A</v>
      </c>
      <c r="CM538" s="82">
        <f t="shared" si="669"/>
        <v>5.3070370403969858E-3</v>
      </c>
      <c r="CO538" s="149" t="str">
        <f>IF($I538&lt;&gt;"",IF(O538="User Specified",U538,INDEX('Refrigerant GWPs'!$G$2:$G$156,MATCH(O538,'Refrigerant GWPs'!$A$2:$A$156,0))),"")</f>
        <v/>
      </c>
      <c r="CP538" s="138" t="str">
        <f>IF($I538&lt;&gt;"",INDEX('Device Refrigerant Leakage'!$E$2:$E$42,MATCH($M538,'Device Refrigerant Leakage'!$B$2:$B$42,0)),"")</f>
        <v/>
      </c>
      <c r="CQ538" s="138" t="str">
        <f>IF($I538&lt;&gt;"",INDEX('Device Refrigerant Leakage'!$F$2:$F$42,MATCH($M538,'Device Refrigerant Leakage'!$B$2:$B$42,0)),"")</f>
        <v/>
      </c>
      <c r="CR538" s="145" t="str">
        <f>IF($I538&lt;&gt;"",INDEX('Device Refrigerant Leakage'!$G$2:$G$42,MATCH($M538,'Device Refrigerant Leakage'!$B$2:$B$42,0)),"")</f>
        <v/>
      </c>
      <c r="CS538" s="145" t="str">
        <f>IF($I538&lt;&gt;"",INDEX('Device Refrigerant Leakage'!$D$2:$D$42,MATCH($M538,'Device Refrigerant Leakage'!$B$2:$B$42,0))*CP538/2204.62*CO538,"")</f>
        <v/>
      </c>
      <c r="CT538" s="145" t="str">
        <f>IF($I538&lt;&gt;"",J538*(INDEX('Device Refrigerant Leakage'!$D$2:$D$42,MATCH($M538,'Device Refrigerant Leakage'!$B$2:$B$42,0))-(INDEX('Device Refrigerant Leakage'!$D$2:$D$42,MATCH($M538,'Device Refrigerant Leakage'!$B$2:$B$42,0)))*CR538*CP538)*CQ538/2204.62*CO538,"")</f>
        <v/>
      </c>
      <c r="CU538" s="135" t="str">
        <f>IF($I538&lt;&gt;"",J538*IF(W538&lt;&gt;"AR",(CS538*K538)+CT538,(CS538*AB538)+CT538*(AB538/INDEX('Device Refrigerant Leakage'!$C$2:$C$42,MATCH($M538,'Device Refrigerant Leakage'!$B$2:$B$42,0)))),"")</f>
        <v/>
      </c>
      <c r="CW538" s="135" t="str">
        <f>IF($I538&lt;&gt;"",IF(S538="User Specified",V538,INDEX('Refrigerant GWPs'!$G$2:$G$156,MATCH(S538,'Refrigerant GWPs'!$A$2:$A$157,0))),"")</f>
        <v/>
      </c>
      <c r="CX538" s="138" t="str">
        <f>IF($I538&lt;&gt;"",INDEX('Device Refrigerant Leakage'!$E$2:$E$42,MATCH($Q538,'Device Refrigerant Leakage'!$B$2:$B$42,0)),"")</f>
        <v/>
      </c>
      <c r="CY538" s="138" t="str">
        <f>IF($I538&lt;&gt;"",INDEX('Device Refrigerant Leakage'!$F$2:$F$42,MATCH($Q538,'Device Refrigerant Leakage'!$B$2:$B$42,0)),"")</f>
        <v/>
      </c>
      <c r="CZ538" s="145" t="str">
        <f>IF($I538&lt;&gt;"",INDEX('Device Refrigerant Leakage'!$G$2:$G$42,MATCH($Q538,'Device Refrigerant Leakage'!$B$2:$B$42,0)),"")</f>
        <v/>
      </c>
      <c r="DA538" s="145" t="str">
        <f>IF($I538&lt;&gt;"",J538*INDEX('Device Refrigerant Leakage'!$D$2:$D$42,MATCH($Q538,'Device Refrigerant Leakage'!$B$2:$B$42,0))*CX538/2204.62*CW538,"")</f>
        <v/>
      </c>
      <c r="DB538" s="145" t="str">
        <f>IF($I538&lt;&gt;"",J538*(INDEX('Device Refrigerant Leakage'!$D$2:$D$42,MATCH($Q538,'Device Refrigerant Leakage'!$B$2:$B$42,0))-(INDEX('Device Refrigerant Leakage'!$D$2:$D$42,MATCH($Q538,'Device Refrigerant Leakage'!$B$2:$B$42,0)))*CZ538*CX538)*CY538/2204.62*CW538,"")</f>
        <v/>
      </c>
      <c r="DC538" s="135" t="str">
        <f t="shared" si="688"/>
        <v/>
      </c>
      <c r="DE538" s="146" t="str">
        <f>IF(W538&lt;&gt;"AR","",IF(Y538="User Specified", AA538, INDEX('Refrigerant GWPs'!$G$2:$G$154,MATCH(Y538,'Refrigerant GWPs'!$A$2:$A$154,0))))</f>
        <v/>
      </c>
      <c r="DF538" s="146" t="str">
        <f>IF(W538&lt;&gt;"AR","",INDEX('Device Refrigerant Leakage'!$E$2:$E$42,MATCH(X538,'Device Refrigerant Leakage'!$B$2:$B$42,0)))</f>
        <v/>
      </c>
      <c r="DG538" s="146" t="str">
        <f>IF(W538&lt;&gt;"AR","",INDEX('Device Refrigerant Leakage'!$F$2:$F$42,MATCH(X538,'Device Refrigerant Leakage'!$B$2:$B$42,0)))</f>
        <v/>
      </c>
      <c r="DH538" s="146" t="str">
        <f>IF(W538&lt;&gt;"AR","",INDEX('Device Refrigerant Leakage'!$G$2:$G$42,MATCH(X538,'Device Refrigerant Leakage'!$B$2:$B$42,0)))</f>
        <v/>
      </c>
      <c r="DI538" s="146" t="str">
        <f>IF(W538&lt;&gt;"AR","",J538*INDEX('Device Refrigerant Leakage'!$D$2:$D$42,MATCH(X538,'Device Refrigerant Leakage'!$B$2:$B$42,0))*DF538/2204.62*DE538)</f>
        <v/>
      </c>
      <c r="DJ538" s="146" t="str">
        <f>IF(W538&lt;&gt;"AR","",J538*(INDEX('Device Refrigerant Leakage'!$D$2:$D$42,MATCH(X538,'Device Refrigerant Leakage'!$B$2:$B$42,0))-(INDEX('Device Refrigerant Leakage'!$D$2:$D$42,MATCH(X538,'Device Refrigerant Leakage'!$B$2:$B$42,0)))*DH538*DF538)*DG538/2204.62*DE538)</f>
        <v/>
      </c>
      <c r="DK538" s="146" t="str">
        <f>IF(W538&lt;&gt;"AR","",DI538*(K538-AB538)+'Fuel Sub Calcs-Deemed'!DJ538*((K538-AB538)/INDEX('Device Refrigerant Leakage'!$C$2:$C$42,MATCH('Fuel Sub Calcs-Deemed'!X538,'Device Refrigerant Leakage'!$B$2:$B$42,0))))</f>
        <v/>
      </c>
      <c r="DM538" s="56">
        <v>524</v>
      </c>
      <c r="DN538" s="67" t="e">
        <f t="shared" si="670"/>
        <v>#N/A</v>
      </c>
      <c r="DO538" s="45" t="e">
        <f t="shared" si="671"/>
        <v>#N/A</v>
      </c>
      <c r="DP538" s="67" t="e">
        <f t="shared" si="672"/>
        <v>#N/A</v>
      </c>
      <c r="DQ538" s="45" t="e">
        <f t="shared" si="673"/>
        <v>#N/A</v>
      </c>
      <c r="DR538" s="69" t="e">
        <f t="shared" si="674"/>
        <v>#N/A</v>
      </c>
      <c r="DS538" s="34"/>
      <c r="DT538" s="67" t="e">
        <f>((BX538*CJ538)+IF($W538=MAT_AR,(BZ538*CL538),0))*(1+Reference!$E$50+Reference!$E$51)</f>
        <v>#N/A</v>
      </c>
      <c r="DU538" s="67">
        <f>((BY538*CK538)+IF($W538=MAT_AR,(CA538*CM538),0))*(1+Reference!$G$50+Reference!$G$51)</f>
        <v>0</v>
      </c>
      <c r="DV538" s="67" t="e">
        <f t="shared" si="675"/>
        <v>#VALUE!</v>
      </c>
      <c r="DX538" s="56">
        <v>524</v>
      </c>
      <c r="DY538" s="67">
        <f t="shared" si="676"/>
        <v>0</v>
      </c>
      <c r="DZ538" s="45" t="e">
        <f>VLOOKUP($R538,Dropdown!$C$3:$D$4,2,FALSE)</f>
        <v>#N/A</v>
      </c>
      <c r="EA538" s="68">
        <f t="shared" si="677"/>
        <v>0</v>
      </c>
      <c r="EB538" s="68" t="str">
        <f t="shared" si="678"/>
        <v>N/A</v>
      </c>
      <c r="EC538" s="68">
        <f t="shared" si="679"/>
        <v>0</v>
      </c>
      <c r="ED538" s="68" t="str">
        <f t="shared" si="717"/>
        <v>N/A</v>
      </c>
      <c r="EF538" s="56">
        <v>524</v>
      </c>
      <c r="EG538" s="46">
        <f t="shared" si="680"/>
        <v>0</v>
      </c>
      <c r="EH538" s="68" t="e">
        <f t="shared" si="681"/>
        <v>#N/A</v>
      </c>
      <c r="EI538" s="68" t="e">
        <f t="shared" si="682"/>
        <v>#N/A</v>
      </c>
      <c r="EJ538" s="68" t="e">
        <f t="shared" si="683"/>
        <v>#N/A</v>
      </c>
      <c r="EK538" s="68" t="e">
        <f t="shared" si="684"/>
        <v>#N/A</v>
      </c>
      <c r="EL538" s="46">
        <f t="shared" si="685"/>
        <v>0</v>
      </c>
      <c r="EM538" s="46">
        <f t="shared" si="686"/>
        <v>0</v>
      </c>
    </row>
    <row r="539" spans="1:143">
      <c r="A539" s="89"/>
      <c r="B539" s="89"/>
      <c r="C539" s="89"/>
      <c r="D539" s="89"/>
      <c r="E539" s="89"/>
      <c r="F539" s="89"/>
      <c r="G539" s="34"/>
      <c r="H539" s="56">
        <f t="shared" si="687"/>
        <v>525</v>
      </c>
      <c r="I539" s="165"/>
      <c r="J539" s="163"/>
      <c r="K539" s="163"/>
      <c r="L539" s="164"/>
      <c r="M539" s="155"/>
      <c r="N539" s="155"/>
      <c r="O539" s="144"/>
      <c r="P539" s="159" t="str">
        <f>IFERROR(IF(O539&lt;&gt;"User Specified",IF(O539&lt;&gt;"", INDEX('Refrigerant GWPs'!$G$2:$G$154,MATCH(O539,'Refrigerant GWPs'!$A$2:$A$154,0)),""),U539),0)</f>
        <v/>
      </c>
      <c r="Q539" s="155"/>
      <c r="R539" s="155"/>
      <c r="S539" s="144"/>
      <c r="T539" s="159" t="str">
        <f>IF(S539&lt;&gt;"User Specified",IF(AND(S539&lt;&gt;"User Specified",S539&lt;&gt;""), INDEX('Refrigerant GWPs'!$G$2:$G$154,MATCH(S539,'Refrigerant GWPs'!$A$2:$A$154,0)),""),V539)</f>
        <v/>
      </c>
      <c r="U539" s="144"/>
      <c r="V539" s="144"/>
      <c r="W539" s="155"/>
      <c r="X539" s="155"/>
      <c r="Y539" s="144"/>
      <c r="Z539" s="159" t="str">
        <f>IF(AND(Y539&lt;&gt;"User Specified",Y539&lt;&gt;""), INDEX('Refrigerant GWPs'!$G$2:$G$154,MATCH(Y539,'Refrigerant GWPs'!$A$2:$A$154,0)),"")</f>
        <v/>
      </c>
      <c r="AA539" s="155"/>
      <c r="AB539" s="156"/>
      <c r="AC539" s="66"/>
      <c r="AD539" s="66"/>
      <c r="AE539" s="66"/>
      <c r="AF539" s="66"/>
      <c r="AG539" s="66"/>
      <c r="AH539" s="66"/>
      <c r="AI539" s="34"/>
      <c r="AJ539" s="88">
        <f t="shared" si="650"/>
        <v>0</v>
      </c>
      <c r="AK539" s="88">
        <f t="shared" si="651"/>
        <v>0</v>
      </c>
      <c r="AL539" s="88">
        <v>0</v>
      </c>
      <c r="AM539" s="88">
        <v>0</v>
      </c>
      <c r="AN539" s="81" t="str">
        <f t="shared" si="689"/>
        <v/>
      </c>
      <c r="AO539" s="88">
        <f t="shared" si="652"/>
        <v>0</v>
      </c>
      <c r="AP539" s="88">
        <f t="shared" si="653"/>
        <v>0</v>
      </c>
      <c r="AQ539" s="81" t="str">
        <f t="shared" si="654"/>
        <v/>
      </c>
      <c r="AS539" s="41" t="b">
        <f t="shared" si="655"/>
        <v>1</v>
      </c>
      <c r="AT539" s="38">
        <f t="shared" si="656"/>
        <v>0</v>
      </c>
      <c r="AU539" s="60">
        <f t="shared" si="657"/>
        <v>0</v>
      </c>
      <c r="AV539" s="41">
        <f t="shared" si="658"/>
        <v>0</v>
      </c>
      <c r="AW539" s="41" t="b">
        <f t="shared" si="659"/>
        <v>0</v>
      </c>
      <c r="AX539" t="str">
        <f t="shared" si="660"/>
        <v>+00</v>
      </c>
      <c r="AY539" t="str">
        <f t="shared" si="661"/>
        <v>+00</v>
      </c>
      <c r="BA539" s="47" t="b">
        <f t="shared" si="690"/>
        <v>1</v>
      </c>
      <c r="BB539" s="42" t="b">
        <f t="shared" si="691"/>
        <v>1</v>
      </c>
      <c r="BC539" s="42" t="b">
        <f t="shared" si="692"/>
        <v>0</v>
      </c>
      <c r="BD539" s="42" t="b">
        <f t="shared" si="693"/>
        <v>0</v>
      </c>
      <c r="BE539" s="70">
        <f t="shared" si="694"/>
        <v>0</v>
      </c>
      <c r="BF539" s="70">
        <f t="shared" si="695"/>
        <v>0</v>
      </c>
      <c r="BG539" s="34"/>
      <c r="BI539" s="47" t="b">
        <f t="shared" si="696"/>
        <v>1</v>
      </c>
      <c r="BJ539" s="47" t="b">
        <f t="shared" si="697"/>
        <v>1</v>
      </c>
      <c r="BK539" s="42" t="b">
        <f t="shared" si="698"/>
        <v>0</v>
      </c>
      <c r="BL539" s="42" t="b">
        <f t="shared" si="699"/>
        <v>0</v>
      </c>
      <c r="BM539" s="42">
        <f t="shared" si="700"/>
        <v>0</v>
      </c>
      <c r="BN539" s="42">
        <f t="shared" si="701"/>
        <v>0</v>
      </c>
      <c r="BP539" t="e">
        <f t="shared" si="702"/>
        <v>#N/A</v>
      </c>
      <c r="BQ539" t="e">
        <f t="shared" si="703"/>
        <v>#N/A</v>
      </c>
      <c r="BR539" t="e">
        <f t="shared" si="704"/>
        <v>#N/A</v>
      </c>
      <c r="BT539" s="60">
        <f t="shared" si="705"/>
        <v>0</v>
      </c>
      <c r="BU539" s="60">
        <f t="shared" si="706"/>
        <v>0</v>
      </c>
      <c r="BV539" s="60">
        <f t="shared" si="707"/>
        <v>0</v>
      </c>
      <c r="BW539" s="60">
        <f t="shared" si="708"/>
        <v>0</v>
      </c>
      <c r="BX539" s="60">
        <f t="shared" si="709"/>
        <v>0</v>
      </c>
      <c r="BY539" s="60">
        <f t="shared" si="710"/>
        <v>0</v>
      </c>
      <c r="BZ539" s="60">
        <f t="shared" si="711"/>
        <v>0</v>
      </c>
      <c r="CA539" s="60">
        <f t="shared" si="712"/>
        <v>0</v>
      </c>
      <c r="CB539" s="60" t="e">
        <f t="shared" si="662"/>
        <v>#N/A</v>
      </c>
      <c r="CC539" s="60">
        <f t="shared" si="663"/>
        <v>100000</v>
      </c>
      <c r="CD539" s="60" t="e">
        <f t="shared" si="664"/>
        <v>#N/A</v>
      </c>
      <c r="CE539" s="60">
        <f t="shared" si="665"/>
        <v>100000</v>
      </c>
      <c r="CF539" s="83" t="e">
        <f t="shared" si="713"/>
        <v>#N/A</v>
      </c>
      <c r="CG539" s="83">
        <f t="shared" si="714"/>
        <v>0</v>
      </c>
      <c r="CH539" s="83" t="e">
        <f t="shared" si="715"/>
        <v>#N/A</v>
      </c>
      <c r="CI539" s="83">
        <f t="shared" si="716"/>
        <v>0</v>
      </c>
      <c r="CJ539" s="86" t="e">
        <f t="shared" si="666"/>
        <v>#N/A</v>
      </c>
      <c r="CK539" s="82">
        <f t="shared" si="667"/>
        <v>5.3070370403969858E-3</v>
      </c>
      <c r="CL539" s="82" t="e">
        <f t="shared" si="668"/>
        <v>#N/A</v>
      </c>
      <c r="CM539" s="82">
        <f t="shared" si="669"/>
        <v>5.3070370403969858E-3</v>
      </c>
      <c r="CO539" s="149" t="str">
        <f>IF($I539&lt;&gt;"",IF(O539="User Specified",U539,INDEX('Refrigerant GWPs'!$G$2:$G$156,MATCH(O539,'Refrigerant GWPs'!$A$2:$A$156,0))),"")</f>
        <v/>
      </c>
      <c r="CP539" s="138" t="str">
        <f>IF($I539&lt;&gt;"",INDEX('Device Refrigerant Leakage'!$E$2:$E$42,MATCH($M539,'Device Refrigerant Leakage'!$B$2:$B$42,0)),"")</f>
        <v/>
      </c>
      <c r="CQ539" s="138" t="str">
        <f>IF($I539&lt;&gt;"",INDEX('Device Refrigerant Leakage'!$F$2:$F$42,MATCH($M539,'Device Refrigerant Leakage'!$B$2:$B$42,0)),"")</f>
        <v/>
      </c>
      <c r="CR539" s="145" t="str">
        <f>IF($I539&lt;&gt;"",INDEX('Device Refrigerant Leakage'!$G$2:$G$42,MATCH($M539,'Device Refrigerant Leakage'!$B$2:$B$42,0)),"")</f>
        <v/>
      </c>
      <c r="CS539" s="145" t="str">
        <f>IF($I539&lt;&gt;"",INDEX('Device Refrigerant Leakage'!$D$2:$D$42,MATCH($M539,'Device Refrigerant Leakage'!$B$2:$B$42,0))*CP539/2204.62*CO539,"")</f>
        <v/>
      </c>
      <c r="CT539" s="145" t="str">
        <f>IF($I539&lt;&gt;"",J539*(INDEX('Device Refrigerant Leakage'!$D$2:$D$42,MATCH($M539,'Device Refrigerant Leakage'!$B$2:$B$42,0))-(INDEX('Device Refrigerant Leakage'!$D$2:$D$42,MATCH($M539,'Device Refrigerant Leakage'!$B$2:$B$42,0)))*CR539*CP539)*CQ539/2204.62*CO539,"")</f>
        <v/>
      </c>
      <c r="CU539" s="135" t="str">
        <f>IF($I539&lt;&gt;"",J539*IF(W539&lt;&gt;"AR",(CS539*K539)+CT539,(CS539*AB539)+CT539*(AB539/INDEX('Device Refrigerant Leakage'!$C$2:$C$42,MATCH($M539,'Device Refrigerant Leakage'!$B$2:$B$42,0)))),"")</f>
        <v/>
      </c>
      <c r="CW539" s="135" t="str">
        <f>IF($I539&lt;&gt;"",IF(S539="User Specified",V539,INDEX('Refrigerant GWPs'!$G$2:$G$156,MATCH(S539,'Refrigerant GWPs'!$A$2:$A$157,0))),"")</f>
        <v/>
      </c>
      <c r="CX539" s="138" t="str">
        <f>IF($I539&lt;&gt;"",INDEX('Device Refrigerant Leakage'!$E$2:$E$42,MATCH($Q539,'Device Refrigerant Leakage'!$B$2:$B$42,0)),"")</f>
        <v/>
      </c>
      <c r="CY539" s="138" t="str">
        <f>IF($I539&lt;&gt;"",INDEX('Device Refrigerant Leakage'!$F$2:$F$42,MATCH($Q539,'Device Refrigerant Leakage'!$B$2:$B$42,0)),"")</f>
        <v/>
      </c>
      <c r="CZ539" s="145" t="str">
        <f>IF($I539&lt;&gt;"",INDEX('Device Refrigerant Leakage'!$G$2:$G$42,MATCH($Q539,'Device Refrigerant Leakage'!$B$2:$B$42,0)),"")</f>
        <v/>
      </c>
      <c r="DA539" s="145" t="str">
        <f>IF($I539&lt;&gt;"",J539*INDEX('Device Refrigerant Leakage'!$D$2:$D$42,MATCH($Q539,'Device Refrigerant Leakage'!$B$2:$B$42,0))*CX539/2204.62*CW539,"")</f>
        <v/>
      </c>
      <c r="DB539" s="145" t="str">
        <f>IF($I539&lt;&gt;"",J539*(INDEX('Device Refrigerant Leakage'!$D$2:$D$42,MATCH($Q539,'Device Refrigerant Leakage'!$B$2:$B$42,0))-(INDEX('Device Refrigerant Leakage'!$D$2:$D$42,MATCH($Q539,'Device Refrigerant Leakage'!$B$2:$B$42,0)))*CZ539*CX539)*CY539/2204.62*CW539,"")</f>
        <v/>
      </c>
      <c r="DC539" s="135" t="str">
        <f t="shared" si="688"/>
        <v/>
      </c>
      <c r="DE539" s="146" t="str">
        <f>IF(W539&lt;&gt;"AR","",IF(Y539="User Specified", AA539, INDEX('Refrigerant GWPs'!$G$2:$G$154,MATCH(Y539,'Refrigerant GWPs'!$A$2:$A$154,0))))</f>
        <v/>
      </c>
      <c r="DF539" s="146" t="str">
        <f>IF(W539&lt;&gt;"AR","",INDEX('Device Refrigerant Leakage'!$E$2:$E$42,MATCH(X539,'Device Refrigerant Leakage'!$B$2:$B$42,0)))</f>
        <v/>
      </c>
      <c r="DG539" s="146" t="str">
        <f>IF(W539&lt;&gt;"AR","",INDEX('Device Refrigerant Leakage'!$F$2:$F$42,MATCH(X539,'Device Refrigerant Leakage'!$B$2:$B$42,0)))</f>
        <v/>
      </c>
      <c r="DH539" s="146" t="str">
        <f>IF(W539&lt;&gt;"AR","",INDEX('Device Refrigerant Leakage'!$G$2:$G$42,MATCH(X539,'Device Refrigerant Leakage'!$B$2:$B$42,0)))</f>
        <v/>
      </c>
      <c r="DI539" s="146" t="str">
        <f>IF(W539&lt;&gt;"AR","",J539*INDEX('Device Refrigerant Leakage'!$D$2:$D$42,MATCH(X539,'Device Refrigerant Leakage'!$B$2:$B$42,0))*DF539/2204.62*DE539)</f>
        <v/>
      </c>
      <c r="DJ539" s="146" t="str">
        <f>IF(W539&lt;&gt;"AR","",J539*(INDEX('Device Refrigerant Leakage'!$D$2:$D$42,MATCH(X539,'Device Refrigerant Leakage'!$B$2:$B$42,0))-(INDEX('Device Refrigerant Leakage'!$D$2:$D$42,MATCH(X539,'Device Refrigerant Leakage'!$B$2:$B$42,0)))*DH539*DF539)*DG539/2204.62*DE539)</f>
        <v/>
      </c>
      <c r="DK539" s="146" t="str">
        <f>IF(W539&lt;&gt;"AR","",DI539*(K539-AB539)+'Fuel Sub Calcs-Deemed'!DJ539*((K539-AB539)/INDEX('Device Refrigerant Leakage'!$C$2:$C$42,MATCH('Fuel Sub Calcs-Deemed'!X539,'Device Refrigerant Leakage'!$B$2:$B$42,0))))</f>
        <v/>
      </c>
      <c r="DM539" s="56">
        <v>525</v>
      </c>
      <c r="DN539" s="67" t="e">
        <f t="shared" si="670"/>
        <v>#N/A</v>
      </c>
      <c r="DO539" s="45" t="e">
        <f t="shared" si="671"/>
        <v>#N/A</v>
      </c>
      <c r="DP539" s="67" t="e">
        <f t="shared" si="672"/>
        <v>#N/A</v>
      </c>
      <c r="DQ539" s="45" t="e">
        <f t="shared" si="673"/>
        <v>#N/A</v>
      </c>
      <c r="DR539" s="69" t="e">
        <f t="shared" si="674"/>
        <v>#N/A</v>
      </c>
      <c r="DS539" s="34"/>
      <c r="DT539" s="67" t="e">
        <f>((BX539*CJ539)+IF($W539=MAT_AR,(BZ539*CL539),0))*(1+Reference!$E$50+Reference!$E$51)</f>
        <v>#N/A</v>
      </c>
      <c r="DU539" s="67">
        <f>((BY539*CK539)+IF($W539=MAT_AR,(CA539*CM539),0))*(1+Reference!$G$50+Reference!$G$51)</f>
        <v>0</v>
      </c>
      <c r="DV539" s="67" t="e">
        <f t="shared" si="675"/>
        <v>#VALUE!</v>
      </c>
      <c r="DX539" s="56">
        <v>525</v>
      </c>
      <c r="DY539" s="67">
        <f t="shared" si="676"/>
        <v>0</v>
      </c>
      <c r="DZ539" s="45" t="e">
        <f>VLOOKUP($R539,Dropdown!$C$3:$D$4,2,FALSE)</f>
        <v>#N/A</v>
      </c>
      <c r="EA539" s="68">
        <f t="shared" si="677"/>
        <v>0</v>
      </c>
      <c r="EB539" s="68" t="str">
        <f t="shared" si="678"/>
        <v>N/A</v>
      </c>
      <c r="EC539" s="68">
        <f t="shared" si="679"/>
        <v>0</v>
      </c>
      <c r="ED539" s="68" t="str">
        <f t="shared" si="717"/>
        <v>N/A</v>
      </c>
      <c r="EF539" s="56">
        <v>525</v>
      </c>
      <c r="EG539" s="46">
        <f t="shared" si="680"/>
        <v>0</v>
      </c>
      <c r="EH539" s="68" t="e">
        <f t="shared" si="681"/>
        <v>#N/A</v>
      </c>
      <c r="EI539" s="68" t="e">
        <f t="shared" si="682"/>
        <v>#N/A</v>
      </c>
      <c r="EJ539" s="68" t="e">
        <f t="shared" si="683"/>
        <v>#N/A</v>
      </c>
      <c r="EK539" s="68" t="e">
        <f t="shared" si="684"/>
        <v>#N/A</v>
      </c>
      <c r="EL539" s="46">
        <f t="shared" si="685"/>
        <v>0</v>
      </c>
      <c r="EM539" s="46">
        <f t="shared" si="686"/>
        <v>0</v>
      </c>
    </row>
    <row r="540" spans="1:143">
      <c r="A540" s="89"/>
      <c r="B540" s="89"/>
      <c r="C540" s="89"/>
      <c r="D540" s="89"/>
      <c r="E540" s="89"/>
      <c r="F540" s="89"/>
      <c r="G540" s="34"/>
      <c r="H540" s="56">
        <f t="shared" si="687"/>
        <v>526</v>
      </c>
      <c r="I540" s="165"/>
      <c r="J540" s="163"/>
      <c r="K540" s="163"/>
      <c r="L540" s="164"/>
      <c r="M540" s="155"/>
      <c r="N540" s="155"/>
      <c r="O540" s="144"/>
      <c r="P540" s="159" t="str">
        <f>IFERROR(IF(O540&lt;&gt;"User Specified",IF(O540&lt;&gt;"", INDEX('Refrigerant GWPs'!$G$2:$G$154,MATCH(O540,'Refrigerant GWPs'!$A$2:$A$154,0)),""),U540),0)</f>
        <v/>
      </c>
      <c r="Q540" s="155"/>
      <c r="R540" s="155"/>
      <c r="S540" s="144"/>
      <c r="T540" s="159" t="str">
        <f>IF(S540&lt;&gt;"User Specified",IF(AND(S540&lt;&gt;"User Specified",S540&lt;&gt;""), INDEX('Refrigerant GWPs'!$G$2:$G$154,MATCH(S540,'Refrigerant GWPs'!$A$2:$A$154,0)),""),V540)</f>
        <v/>
      </c>
      <c r="U540" s="144"/>
      <c r="V540" s="144"/>
      <c r="W540" s="155"/>
      <c r="X540" s="155"/>
      <c r="Y540" s="144"/>
      <c r="Z540" s="159" t="str">
        <f>IF(AND(Y540&lt;&gt;"User Specified",Y540&lt;&gt;""), INDEX('Refrigerant GWPs'!$G$2:$G$154,MATCH(Y540,'Refrigerant GWPs'!$A$2:$A$154,0)),"")</f>
        <v/>
      </c>
      <c r="AA540" s="155"/>
      <c r="AB540" s="156"/>
      <c r="AC540" s="66"/>
      <c r="AD540" s="66"/>
      <c r="AE540" s="66"/>
      <c r="AF540" s="66"/>
      <c r="AG540" s="66"/>
      <c r="AH540" s="66"/>
      <c r="AI540" s="34"/>
      <c r="AJ540" s="88">
        <f t="shared" si="650"/>
        <v>0</v>
      </c>
      <c r="AK540" s="88">
        <f t="shared" si="651"/>
        <v>0</v>
      </c>
      <c r="AL540" s="88">
        <v>0</v>
      </c>
      <c r="AM540" s="88">
        <v>0</v>
      </c>
      <c r="AN540" s="81" t="str">
        <f t="shared" si="689"/>
        <v/>
      </c>
      <c r="AO540" s="88">
        <f t="shared" si="652"/>
        <v>0</v>
      </c>
      <c r="AP540" s="88">
        <f t="shared" si="653"/>
        <v>0</v>
      </c>
      <c r="AQ540" s="81" t="str">
        <f t="shared" si="654"/>
        <v/>
      </c>
      <c r="AS540" s="41" t="b">
        <f t="shared" si="655"/>
        <v>1</v>
      </c>
      <c r="AT540" s="38">
        <f t="shared" si="656"/>
        <v>0</v>
      </c>
      <c r="AU540" s="60">
        <f t="shared" si="657"/>
        <v>0</v>
      </c>
      <c r="AV540" s="41">
        <f t="shared" si="658"/>
        <v>0</v>
      </c>
      <c r="AW540" s="41" t="b">
        <f t="shared" si="659"/>
        <v>0</v>
      </c>
      <c r="AX540" t="str">
        <f t="shared" si="660"/>
        <v>+00</v>
      </c>
      <c r="AY540" t="str">
        <f t="shared" si="661"/>
        <v>+00</v>
      </c>
      <c r="BA540" s="47" t="b">
        <f t="shared" si="690"/>
        <v>1</v>
      </c>
      <c r="BB540" s="42" t="b">
        <f t="shared" si="691"/>
        <v>1</v>
      </c>
      <c r="BC540" s="42" t="b">
        <f t="shared" si="692"/>
        <v>0</v>
      </c>
      <c r="BD540" s="42" t="b">
        <f t="shared" si="693"/>
        <v>0</v>
      </c>
      <c r="BE540" s="70">
        <f t="shared" si="694"/>
        <v>0</v>
      </c>
      <c r="BF540" s="70">
        <f t="shared" si="695"/>
        <v>0</v>
      </c>
      <c r="BG540" s="34"/>
      <c r="BI540" s="47" t="b">
        <f t="shared" si="696"/>
        <v>1</v>
      </c>
      <c r="BJ540" s="47" t="b">
        <f t="shared" si="697"/>
        <v>1</v>
      </c>
      <c r="BK540" s="42" t="b">
        <f t="shared" si="698"/>
        <v>0</v>
      </c>
      <c r="BL540" s="42" t="b">
        <f t="shared" si="699"/>
        <v>0</v>
      </c>
      <c r="BM540" s="42">
        <f t="shared" si="700"/>
        <v>0</v>
      </c>
      <c r="BN540" s="42">
        <f t="shared" si="701"/>
        <v>0</v>
      </c>
      <c r="BP540" t="e">
        <f t="shared" si="702"/>
        <v>#N/A</v>
      </c>
      <c r="BQ540" t="e">
        <f t="shared" si="703"/>
        <v>#N/A</v>
      </c>
      <c r="BR540" t="e">
        <f t="shared" si="704"/>
        <v>#N/A</v>
      </c>
      <c r="BT540" s="60">
        <f t="shared" si="705"/>
        <v>0</v>
      </c>
      <c r="BU540" s="60">
        <f t="shared" si="706"/>
        <v>0</v>
      </c>
      <c r="BV540" s="60">
        <f t="shared" si="707"/>
        <v>0</v>
      </c>
      <c r="BW540" s="60">
        <f t="shared" si="708"/>
        <v>0</v>
      </c>
      <c r="BX540" s="60">
        <f t="shared" si="709"/>
        <v>0</v>
      </c>
      <c r="BY540" s="60">
        <f t="shared" si="710"/>
        <v>0</v>
      </c>
      <c r="BZ540" s="60">
        <f t="shared" si="711"/>
        <v>0</v>
      </c>
      <c r="CA540" s="60">
        <f t="shared" si="712"/>
        <v>0</v>
      </c>
      <c r="CB540" s="60" t="e">
        <f t="shared" si="662"/>
        <v>#N/A</v>
      </c>
      <c r="CC540" s="60">
        <f t="shared" si="663"/>
        <v>100000</v>
      </c>
      <c r="CD540" s="60" t="e">
        <f t="shared" si="664"/>
        <v>#N/A</v>
      </c>
      <c r="CE540" s="60">
        <f t="shared" si="665"/>
        <v>100000</v>
      </c>
      <c r="CF540" s="83" t="e">
        <f t="shared" si="713"/>
        <v>#N/A</v>
      </c>
      <c r="CG540" s="83">
        <f t="shared" si="714"/>
        <v>0</v>
      </c>
      <c r="CH540" s="83" t="e">
        <f t="shared" si="715"/>
        <v>#N/A</v>
      </c>
      <c r="CI540" s="83">
        <f t="shared" si="716"/>
        <v>0</v>
      </c>
      <c r="CJ540" s="86" t="e">
        <f t="shared" si="666"/>
        <v>#N/A</v>
      </c>
      <c r="CK540" s="82">
        <f t="shared" si="667"/>
        <v>5.3070370403969858E-3</v>
      </c>
      <c r="CL540" s="82" t="e">
        <f t="shared" si="668"/>
        <v>#N/A</v>
      </c>
      <c r="CM540" s="82">
        <f t="shared" si="669"/>
        <v>5.3070370403969858E-3</v>
      </c>
      <c r="CO540" s="149" t="str">
        <f>IF($I540&lt;&gt;"",IF(O540="User Specified",U540,INDEX('Refrigerant GWPs'!$G$2:$G$156,MATCH(O540,'Refrigerant GWPs'!$A$2:$A$156,0))),"")</f>
        <v/>
      </c>
      <c r="CP540" s="138" t="str">
        <f>IF($I540&lt;&gt;"",INDEX('Device Refrigerant Leakage'!$E$2:$E$42,MATCH($M540,'Device Refrigerant Leakage'!$B$2:$B$42,0)),"")</f>
        <v/>
      </c>
      <c r="CQ540" s="138" t="str">
        <f>IF($I540&lt;&gt;"",INDEX('Device Refrigerant Leakage'!$F$2:$F$42,MATCH($M540,'Device Refrigerant Leakage'!$B$2:$B$42,0)),"")</f>
        <v/>
      </c>
      <c r="CR540" s="145" t="str">
        <f>IF($I540&lt;&gt;"",INDEX('Device Refrigerant Leakage'!$G$2:$G$42,MATCH($M540,'Device Refrigerant Leakage'!$B$2:$B$42,0)),"")</f>
        <v/>
      </c>
      <c r="CS540" s="145" t="str">
        <f>IF($I540&lt;&gt;"",INDEX('Device Refrigerant Leakage'!$D$2:$D$42,MATCH($M540,'Device Refrigerant Leakage'!$B$2:$B$42,0))*CP540/2204.62*CO540,"")</f>
        <v/>
      </c>
      <c r="CT540" s="145" t="str">
        <f>IF($I540&lt;&gt;"",J540*(INDEX('Device Refrigerant Leakage'!$D$2:$D$42,MATCH($M540,'Device Refrigerant Leakage'!$B$2:$B$42,0))-(INDEX('Device Refrigerant Leakage'!$D$2:$D$42,MATCH($M540,'Device Refrigerant Leakage'!$B$2:$B$42,0)))*CR540*CP540)*CQ540/2204.62*CO540,"")</f>
        <v/>
      </c>
      <c r="CU540" s="135" t="str">
        <f>IF($I540&lt;&gt;"",J540*IF(W540&lt;&gt;"AR",(CS540*K540)+CT540,(CS540*AB540)+CT540*(AB540/INDEX('Device Refrigerant Leakage'!$C$2:$C$42,MATCH($M540,'Device Refrigerant Leakage'!$B$2:$B$42,0)))),"")</f>
        <v/>
      </c>
      <c r="CW540" s="135" t="str">
        <f>IF($I540&lt;&gt;"",IF(S540="User Specified",V540,INDEX('Refrigerant GWPs'!$G$2:$G$156,MATCH(S540,'Refrigerant GWPs'!$A$2:$A$157,0))),"")</f>
        <v/>
      </c>
      <c r="CX540" s="138" t="str">
        <f>IF($I540&lt;&gt;"",INDEX('Device Refrigerant Leakage'!$E$2:$E$42,MATCH($Q540,'Device Refrigerant Leakage'!$B$2:$B$42,0)),"")</f>
        <v/>
      </c>
      <c r="CY540" s="138" t="str">
        <f>IF($I540&lt;&gt;"",INDEX('Device Refrigerant Leakage'!$F$2:$F$42,MATCH($Q540,'Device Refrigerant Leakage'!$B$2:$B$42,0)),"")</f>
        <v/>
      </c>
      <c r="CZ540" s="145" t="str">
        <f>IF($I540&lt;&gt;"",INDEX('Device Refrigerant Leakage'!$G$2:$G$42,MATCH($Q540,'Device Refrigerant Leakage'!$B$2:$B$42,0)),"")</f>
        <v/>
      </c>
      <c r="DA540" s="145" t="str">
        <f>IF($I540&lt;&gt;"",J540*INDEX('Device Refrigerant Leakage'!$D$2:$D$42,MATCH($Q540,'Device Refrigerant Leakage'!$B$2:$B$42,0))*CX540/2204.62*CW540,"")</f>
        <v/>
      </c>
      <c r="DB540" s="145" t="str">
        <f>IF($I540&lt;&gt;"",J540*(INDEX('Device Refrigerant Leakage'!$D$2:$D$42,MATCH($Q540,'Device Refrigerant Leakage'!$B$2:$B$42,0))-(INDEX('Device Refrigerant Leakage'!$D$2:$D$42,MATCH($Q540,'Device Refrigerant Leakage'!$B$2:$B$42,0)))*CZ540*CX540)*CY540/2204.62*CW540,"")</f>
        <v/>
      </c>
      <c r="DC540" s="135" t="str">
        <f t="shared" si="688"/>
        <v/>
      </c>
      <c r="DE540" s="146" t="str">
        <f>IF(W540&lt;&gt;"AR","",IF(Y540="User Specified", AA540, INDEX('Refrigerant GWPs'!$G$2:$G$154,MATCH(Y540,'Refrigerant GWPs'!$A$2:$A$154,0))))</f>
        <v/>
      </c>
      <c r="DF540" s="146" t="str">
        <f>IF(W540&lt;&gt;"AR","",INDEX('Device Refrigerant Leakage'!$E$2:$E$42,MATCH(X540,'Device Refrigerant Leakage'!$B$2:$B$42,0)))</f>
        <v/>
      </c>
      <c r="DG540" s="146" t="str">
        <f>IF(W540&lt;&gt;"AR","",INDEX('Device Refrigerant Leakage'!$F$2:$F$42,MATCH(X540,'Device Refrigerant Leakage'!$B$2:$B$42,0)))</f>
        <v/>
      </c>
      <c r="DH540" s="146" t="str">
        <f>IF(W540&lt;&gt;"AR","",INDEX('Device Refrigerant Leakage'!$G$2:$G$42,MATCH(X540,'Device Refrigerant Leakage'!$B$2:$B$42,0)))</f>
        <v/>
      </c>
      <c r="DI540" s="146" t="str">
        <f>IF(W540&lt;&gt;"AR","",J540*INDEX('Device Refrigerant Leakage'!$D$2:$D$42,MATCH(X540,'Device Refrigerant Leakage'!$B$2:$B$42,0))*DF540/2204.62*DE540)</f>
        <v/>
      </c>
      <c r="DJ540" s="146" t="str">
        <f>IF(W540&lt;&gt;"AR","",J540*(INDEX('Device Refrigerant Leakage'!$D$2:$D$42,MATCH(X540,'Device Refrigerant Leakage'!$B$2:$B$42,0))-(INDEX('Device Refrigerant Leakage'!$D$2:$D$42,MATCH(X540,'Device Refrigerant Leakage'!$B$2:$B$42,0)))*DH540*DF540)*DG540/2204.62*DE540)</f>
        <v/>
      </c>
      <c r="DK540" s="146" t="str">
        <f>IF(W540&lt;&gt;"AR","",DI540*(K540-AB540)+'Fuel Sub Calcs-Deemed'!DJ540*((K540-AB540)/INDEX('Device Refrigerant Leakage'!$C$2:$C$42,MATCH('Fuel Sub Calcs-Deemed'!X540,'Device Refrigerant Leakage'!$B$2:$B$42,0))))</f>
        <v/>
      </c>
      <c r="DM540" s="56">
        <v>526</v>
      </c>
      <c r="DN540" s="67" t="e">
        <f t="shared" si="670"/>
        <v>#N/A</v>
      </c>
      <c r="DO540" s="45" t="e">
        <f t="shared" si="671"/>
        <v>#N/A</v>
      </c>
      <c r="DP540" s="67" t="e">
        <f t="shared" si="672"/>
        <v>#N/A</v>
      </c>
      <c r="DQ540" s="45" t="e">
        <f t="shared" si="673"/>
        <v>#N/A</v>
      </c>
      <c r="DR540" s="69" t="e">
        <f t="shared" si="674"/>
        <v>#N/A</v>
      </c>
      <c r="DS540" s="34"/>
      <c r="DT540" s="67" t="e">
        <f>((BX540*CJ540)+IF($W540=MAT_AR,(BZ540*CL540),0))*(1+Reference!$E$50+Reference!$E$51)</f>
        <v>#N/A</v>
      </c>
      <c r="DU540" s="67">
        <f>((BY540*CK540)+IF($W540=MAT_AR,(CA540*CM540),0))*(1+Reference!$G$50+Reference!$G$51)</f>
        <v>0</v>
      </c>
      <c r="DV540" s="67" t="e">
        <f t="shared" si="675"/>
        <v>#VALUE!</v>
      </c>
      <c r="DX540" s="56">
        <v>526</v>
      </c>
      <c r="DY540" s="67">
        <f t="shared" si="676"/>
        <v>0</v>
      </c>
      <c r="DZ540" s="45" t="e">
        <f>VLOOKUP($R540,Dropdown!$C$3:$D$4,2,FALSE)</f>
        <v>#N/A</v>
      </c>
      <c r="EA540" s="68">
        <f t="shared" si="677"/>
        <v>0</v>
      </c>
      <c r="EB540" s="68" t="str">
        <f t="shared" si="678"/>
        <v>N/A</v>
      </c>
      <c r="EC540" s="68">
        <f t="shared" si="679"/>
        <v>0</v>
      </c>
      <c r="ED540" s="68" t="str">
        <f t="shared" si="717"/>
        <v>N/A</v>
      </c>
      <c r="EF540" s="56">
        <v>526</v>
      </c>
      <c r="EG540" s="46">
        <f t="shared" si="680"/>
        <v>0</v>
      </c>
      <c r="EH540" s="68" t="e">
        <f t="shared" si="681"/>
        <v>#N/A</v>
      </c>
      <c r="EI540" s="68" t="e">
        <f t="shared" si="682"/>
        <v>#N/A</v>
      </c>
      <c r="EJ540" s="68" t="e">
        <f t="shared" si="683"/>
        <v>#N/A</v>
      </c>
      <c r="EK540" s="68" t="e">
        <f t="shared" si="684"/>
        <v>#N/A</v>
      </c>
      <c r="EL540" s="46">
        <f t="shared" si="685"/>
        <v>0</v>
      </c>
      <c r="EM540" s="46">
        <f t="shared" si="686"/>
        <v>0</v>
      </c>
    </row>
    <row r="541" spans="1:143">
      <c r="A541" s="89"/>
      <c r="B541" s="89"/>
      <c r="C541" s="89"/>
      <c r="D541" s="89"/>
      <c r="E541" s="89"/>
      <c r="F541" s="89"/>
      <c r="G541" s="34"/>
      <c r="H541" s="56">
        <f t="shared" si="687"/>
        <v>527</v>
      </c>
      <c r="I541" s="165"/>
      <c r="J541" s="163"/>
      <c r="K541" s="163"/>
      <c r="L541" s="164"/>
      <c r="M541" s="155"/>
      <c r="N541" s="155"/>
      <c r="O541" s="144"/>
      <c r="P541" s="159" t="str">
        <f>IFERROR(IF(O541&lt;&gt;"User Specified",IF(O541&lt;&gt;"", INDEX('Refrigerant GWPs'!$G$2:$G$154,MATCH(O541,'Refrigerant GWPs'!$A$2:$A$154,0)),""),U541),0)</f>
        <v/>
      </c>
      <c r="Q541" s="155"/>
      <c r="R541" s="155"/>
      <c r="S541" s="144"/>
      <c r="T541" s="159" t="str">
        <f>IF(S541&lt;&gt;"User Specified",IF(AND(S541&lt;&gt;"User Specified",S541&lt;&gt;""), INDEX('Refrigerant GWPs'!$G$2:$G$154,MATCH(S541,'Refrigerant GWPs'!$A$2:$A$154,0)),""),V541)</f>
        <v/>
      </c>
      <c r="U541" s="144"/>
      <c r="V541" s="144"/>
      <c r="W541" s="155"/>
      <c r="X541" s="155"/>
      <c r="Y541" s="144"/>
      <c r="Z541" s="159" t="str">
        <f>IF(AND(Y541&lt;&gt;"User Specified",Y541&lt;&gt;""), INDEX('Refrigerant GWPs'!$G$2:$G$154,MATCH(Y541,'Refrigerant GWPs'!$A$2:$A$154,0)),"")</f>
        <v/>
      </c>
      <c r="AA541" s="155"/>
      <c r="AB541" s="156"/>
      <c r="AC541" s="66"/>
      <c r="AD541" s="66"/>
      <c r="AE541" s="66"/>
      <c r="AF541" s="66"/>
      <c r="AG541" s="66"/>
      <c r="AH541" s="66"/>
      <c r="AI541" s="34"/>
      <c r="AJ541" s="88">
        <f t="shared" si="650"/>
        <v>0</v>
      </c>
      <c r="AK541" s="88">
        <f t="shared" si="651"/>
        <v>0</v>
      </c>
      <c r="AL541" s="88">
        <v>0</v>
      </c>
      <c r="AM541" s="88">
        <v>0</v>
      </c>
      <c r="AN541" s="81" t="str">
        <f t="shared" si="689"/>
        <v/>
      </c>
      <c r="AO541" s="88">
        <f t="shared" si="652"/>
        <v>0</v>
      </c>
      <c r="AP541" s="88">
        <f t="shared" si="653"/>
        <v>0</v>
      </c>
      <c r="AQ541" s="81" t="str">
        <f t="shared" si="654"/>
        <v/>
      </c>
      <c r="AS541" s="41" t="b">
        <f t="shared" si="655"/>
        <v>1</v>
      </c>
      <c r="AT541" s="38">
        <f t="shared" si="656"/>
        <v>0</v>
      </c>
      <c r="AU541" s="60">
        <f t="shared" si="657"/>
        <v>0</v>
      </c>
      <c r="AV541" s="41">
        <f t="shared" si="658"/>
        <v>0</v>
      </c>
      <c r="AW541" s="41" t="b">
        <f t="shared" si="659"/>
        <v>0</v>
      </c>
      <c r="AX541" t="str">
        <f t="shared" si="660"/>
        <v>+00</v>
      </c>
      <c r="AY541" t="str">
        <f t="shared" si="661"/>
        <v>+00</v>
      </c>
      <c r="BA541" s="47" t="b">
        <f t="shared" si="690"/>
        <v>1</v>
      </c>
      <c r="BB541" s="42" t="b">
        <f t="shared" si="691"/>
        <v>1</v>
      </c>
      <c r="BC541" s="42" t="b">
        <f t="shared" si="692"/>
        <v>0</v>
      </c>
      <c r="BD541" s="42" t="b">
        <f t="shared" si="693"/>
        <v>0</v>
      </c>
      <c r="BE541" s="70">
        <f t="shared" si="694"/>
        <v>0</v>
      </c>
      <c r="BF541" s="70">
        <f t="shared" si="695"/>
        <v>0</v>
      </c>
      <c r="BG541" s="34"/>
      <c r="BI541" s="47" t="b">
        <f t="shared" si="696"/>
        <v>1</v>
      </c>
      <c r="BJ541" s="47" t="b">
        <f t="shared" si="697"/>
        <v>1</v>
      </c>
      <c r="BK541" s="42" t="b">
        <f t="shared" si="698"/>
        <v>0</v>
      </c>
      <c r="BL541" s="42" t="b">
        <f t="shared" si="699"/>
        <v>0</v>
      </c>
      <c r="BM541" s="42">
        <f t="shared" si="700"/>
        <v>0</v>
      </c>
      <c r="BN541" s="42">
        <f t="shared" si="701"/>
        <v>0</v>
      </c>
      <c r="BP541" t="e">
        <f t="shared" si="702"/>
        <v>#N/A</v>
      </c>
      <c r="BQ541" t="e">
        <f t="shared" si="703"/>
        <v>#N/A</v>
      </c>
      <c r="BR541" t="e">
        <f t="shared" si="704"/>
        <v>#N/A</v>
      </c>
      <c r="BT541" s="60">
        <f t="shared" si="705"/>
        <v>0</v>
      </c>
      <c r="BU541" s="60">
        <f t="shared" si="706"/>
        <v>0</v>
      </c>
      <c r="BV541" s="60">
        <f t="shared" si="707"/>
        <v>0</v>
      </c>
      <c r="BW541" s="60">
        <f t="shared" si="708"/>
        <v>0</v>
      </c>
      <c r="BX541" s="60">
        <f t="shared" si="709"/>
        <v>0</v>
      </c>
      <c r="BY541" s="60">
        <f t="shared" si="710"/>
        <v>0</v>
      </c>
      <c r="BZ541" s="60">
        <f t="shared" si="711"/>
        <v>0</v>
      </c>
      <c r="CA541" s="60">
        <f t="shared" si="712"/>
        <v>0</v>
      </c>
      <c r="CB541" s="60" t="e">
        <f t="shared" si="662"/>
        <v>#N/A</v>
      </c>
      <c r="CC541" s="60">
        <f t="shared" si="663"/>
        <v>100000</v>
      </c>
      <c r="CD541" s="60" t="e">
        <f t="shared" si="664"/>
        <v>#N/A</v>
      </c>
      <c r="CE541" s="60">
        <f t="shared" si="665"/>
        <v>100000</v>
      </c>
      <c r="CF541" s="83" t="e">
        <f t="shared" si="713"/>
        <v>#N/A</v>
      </c>
      <c r="CG541" s="83">
        <f t="shared" si="714"/>
        <v>0</v>
      </c>
      <c r="CH541" s="83" t="e">
        <f t="shared" si="715"/>
        <v>#N/A</v>
      </c>
      <c r="CI541" s="83">
        <f t="shared" si="716"/>
        <v>0</v>
      </c>
      <c r="CJ541" s="86" t="e">
        <f t="shared" si="666"/>
        <v>#N/A</v>
      </c>
      <c r="CK541" s="82">
        <f t="shared" si="667"/>
        <v>5.3070370403969858E-3</v>
      </c>
      <c r="CL541" s="82" t="e">
        <f t="shared" si="668"/>
        <v>#N/A</v>
      </c>
      <c r="CM541" s="82">
        <f t="shared" si="669"/>
        <v>5.3070370403969858E-3</v>
      </c>
      <c r="CO541" s="149" t="str">
        <f>IF($I541&lt;&gt;"",IF(O541="User Specified",U541,INDEX('Refrigerant GWPs'!$G$2:$G$156,MATCH(O541,'Refrigerant GWPs'!$A$2:$A$156,0))),"")</f>
        <v/>
      </c>
      <c r="CP541" s="138" t="str">
        <f>IF($I541&lt;&gt;"",INDEX('Device Refrigerant Leakage'!$E$2:$E$42,MATCH($M541,'Device Refrigerant Leakage'!$B$2:$B$42,0)),"")</f>
        <v/>
      </c>
      <c r="CQ541" s="138" t="str">
        <f>IF($I541&lt;&gt;"",INDEX('Device Refrigerant Leakage'!$F$2:$F$42,MATCH($M541,'Device Refrigerant Leakage'!$B$2:$B$42,0)),"")</f>
        <v/>
      </c>
      <c r="CR541" s="145" t="str">
        <f>IF($I541&lt;&gt;"",INDEX('Device Refrigerant Leakage'!$G$2:$G$42,MATCH($M541,'Device Refrigerant Leakage'!$B$2:$B$42,0)),"")</f>
        <v/>
      </c>
      <c r="CS541" s="145" t="str">
        <f>IF($I541&lt;&gt;"",INDEX('Device Refrigerant Leakage'!$D$2:$D$42,MATCH($M541,'Device Refrigerant Leakage'!$B$2:$B$42,0))*CP541/2204.62*CO541,"")</f>
        <v/>
      </c>
      <c r="CT541" s="145" t="str">
        <f>IF($I541&lt;&gt;"",J541*(INDEX('Device Refrigerant Leakage'!$D$2:$D$42,MATCH($M541,'Device Refrigerant Leakage'!$B$2:$B$42,0))-(INDEX('Device Refrigerant Leakage'!$D$2:$D$42,MATCH($M541,'Device Refrigerant Leakage'!$B$2:$B$42,0)))*CR541*CP541)*CQ541/2204.62*CO541,"")</f>
        <v/>
      </c>
      <c r="CU541" s="135" t="str">
        <f>IF($I541&lt;&gt;"",J541*IF(W541&lt;&gt;"AR",(CS541*K541)+CT541,(CS541*AB541)+CT541*(AB541/INDEX('Device Refrigerant Leakage'!$C$2:$C$42,MATCH($M541,'Device Refrigerant Leakage'!$B$2:$B$42,0)))),"")</f>
        <v/>
      </c>
      <c r="CW541" s="135" t="str">
        <f>IF($I541&lt;&gt;"",IF(S541="User Specified",V541,INDEX('Refrigerant GWPs'!$G$2:$G$156,MATCH(S541,'Refrigerant GWPs'!$A$2:$A$157,0))),"")</f>
        <v/>
      </c>
      <c r="CX541" s="138" t="str">
        <f>IF($I541&lt;&gt;"",INDEX('Device Refrigerant Leakage'!$E$2:$E$42,MATCH($Q541,'Device Refrigerant Leakage'!$B$2:$B$42,0)),"")</f>
        <v/>
      </c>
      <c r="CY541" s="138" t="str">
        <f>IF($I541&lt;&gt;"",INDEX('Device Refrigerant Leakage'!$F$2:$F$42,MATCH($Q541,'Device Refrigerant Leakage'!$B$2:$B$42,0)),"")</f>
        <v/>
      </c>
      <c r="CZ541" s="145" t="str">
        <f>IF($I541&lt;&gt;"",INDEX('Device Refrigerant Leakage'!$G$2:$G$42,MATCH($Q541,'Device Refrigerant Leakage'!$B$2:$B$42,0)),"")</f>
        <v/>
      </c>
      <c r="DA541" s="145" t="str">
        <f>IF($I541&lt;&gt;"",J541*INDEX('Device Refrigerant Leakage'!$D$2:$D$42,MATCH($Q541,'Device Refrigerant Leakage'!$B$2:$B$42,0))*CX541/2204.62*CW541,"")</f>
        <v/>
      </c>
      <c r="DB541" s="145" t="str">
        <f>IF($I541&lt;&gt;"",J541*(INDEX('Device Refrigerant Leakage'!$D$2:$D$42,MATCH($Q541,'Device Refrigerant Leakage'!$B$2:$B$42,0))-(INDEX('Device Refrigerant Leakage'!$D$2:$D$42,MATCH($Q541,'Device Refrigerant Leakage'!$B$2:$B$42,0)))*CZ541*CX541)*CY541/2204.62*CW541,"")</f>
        <v/>
      </c>
      <c r="DC541" s="135" t="str">
        <f t="shared" si="688"/>
        <v/>
      </c>
      <c r="DE541" s="146" t="str">
        <f>IF(W541&lt;&gt;"AR","",IF(Y541="User Specified", AA541, INDEX('Refrigerant GWPs'!$G$2:$G$154,MATCH(Y541,'Refrigerant GWPs'!$A$2:$A$154,0))))</f>
        <v/>
      </c>
      <c r="DF541" s="146" t="str">
        <f>IF(W541&lt;&gt;"AR","",INDEX('Device Refrigerant Leakage'!$E$2:$E$42,MATCH(X541,'Device Refrigerant Leakage'!$B$2:$B$42,0)))</f>
        <v/>
      </c>
      <c r="DG541" s="146" t="str">
        <f>IF(W541&lt;&gt;"AR","",INDEX('Device Refrigerant Leakage'!$F$2:$F$42,MATCH(X541,'Device Refrigerant Leakage'!$B$2:$B$42,0)))</f>
        <v/>
      </c>
      <c r="DH541" s="146" t="str">
        <f>IF(W541&lt;&gt;"AR","",INDEX('Device Refrigerant Leakage'!$G$2:$G$42,MATCH(X541,'Device Refrigerant Leakage'!$B$2:$B$42,0)))</f>
        <v/>
      </c>
      <c r="DI541" s="146" t="str">
        <f>IF(W541&lt;&gt;"AR","",J541*INDEX('Device Refrigerant Leakage'!$D$2:$D$42,MATCH(X541,'Device Refrigerant Leakage'!$B$2:$B$42,0))*DF541/2204.62*DE541)</f>
        <v/>
      </c>
      <c r="DJ541" s="146" t="str">
        <f>IF(W541&lt;&gt;"AR","",J541*(INDEX('Device Refrigerant Leakage'!$D$2:$D$42,MATCH(X541,'Device Refrigerant Leakage'!$B$2:$B$42,0))-(INDEX('Device Refrigerant Leakage'!$D$2:$D$42,MATCH(X541,'Device Refrigerant Leakage'!$B$2:$B$42,0)))*DH541*DF541)*DG541/2204.62*DE541)</f>
        <v/>
      </c>
      <c r="DK541" s="146" t="str">
        <f>IF(W541&lt;&gt;"AR","",DI541*(K541-AB541)+'Fuel Sub Calcs-Deemed'!DJ541*((K541-AB541)/INDEX('Device Refrigerant Leakage'!$C$2:$C$42,MATCH('Fuel Sub Calcs-Deemed'!X541,'Device Refrigerant Leakage'!$B$2:$B$42,0))))</f>
        <v/>
      </c>
      <c r="DM541" s="56">
        <v>527</v>
      </c>
      <c r="DN541" s="67" t="e">
        <f t="shared" si="670"/>
        <v>#N/A</v>
      </c>
      <c r="DO541" s="45" t="e">
        <f t="shared" si="671"/>
        <v>#N/A</v>
      </c>
      <c r="DP541" s="67" t="e">
        <f t="shared" si="672"/>
        <v>#N/A</v>
      </c>
      <c r="DQ541" s="45" t="e">
        <f t="shared" si="673"/>
        <v>#N/A</v>
      </c>
      <c r="DR541" s="69" t="e">
        <f t="shared" si="674"/>
        <v>#N/A</v>
      </c>
      <c r="DS541" s="34"/>
      <c r="DT541" s="67" t="e">
        <f>((BX541*CJ541)+IF($W541=MAT_AR,(BZ541*CL541),0))*(1+Reference!$E$50+Reference!$E$51)</f>
        <v>#N/A</v>
      </c>
      <c r="DU541" s="67">
        <f>((BY541*CK541)+IF($W541=MAT_AR,(CA541*CM541),0))*(1+Reference!$G$50+Reference!$G$51)</f>
        <v>0</v>
      </c>
      <c r="DV541" s="67" t="e">
        <f t="shared" si="675"/>
        <v>#VALUE!</v>
      </c>
      <c r="DX541" s="56">
        <v>527</v>
      </c>
      <c r="DY541" s="67">
        <f t="shared" si="676"/>
        <v>0</v>
      </c>
      <c r="DZ541" s="45" t="e">
        <f>VLOOKUP($R541,Dropdown!$C$3:$D$4,2,FALSE)</f>
        <v>#N/A</v>
      </c>
      <c r="EA541" s="68">
        <f t="shared" si="677"/>
        <v>0</v>
      </c>
      <c r="EB541" s="68" t="str">
        <f t="shared" si="678"/>
        <v>N/A</v>
      </c>
      <c r="EC541" s="68">
        <f t="shared" si="679"/>
        <v>0</v>
      </c>
      <c r="ED541" s="68" t="str">
        <f t="shared" si="717"/>
        <v>N/A</v>
      </c>
      <c r="EF541" s="56">
        <v>527</v>
      </c>
      <c r="EG541" s="46">
        <f t="shared" si="680"/>
        <v>0</v>
      </c>
      <c r="EH541" s="68" t="e">
        <f t="shared" si="681"/>
        <v>#N/A</v>
      </c>
      <c r="EI541" s="68" t="e">
        <f t="shared" si="682"/>
        <v>#N/A</v>
      </c>
      <c r="EJ541" s="68" t="e">
        <f t="shared" si="683"/>
        <v>#N/A</v>
      </c>
      <c r="EK541" s="68" t="e">
        <f t="shared" si="684"/>
        <v>#N/A</v>
      </c>
      <c r="EL541" s="46">
        <f t="shared" si="685"/>
        <v>0</v>
      </c>
      <c r="EM541" s="46">
        <f t="shared" si="686"/>
        <v>0</v>
      </c>
    </row>
    <row r="542" spans="1:143">
      <c r="A542" s="89"/>
      <c r="B542" s="89"/>
      <c r="C542" s="89"/>
      <c r="D542" s="89"/>
      <c r="E542" s="89"/>
      <c r="F542" s="89"/>
      <c r="G542" s="34"/>
      <c r="H542" s="56">
        <f t="shared" si="687"/>
        <v>528</v>
      </c>
      <c r="I542" s="165"/>
      <c r="J542" s="163"/>
      <c r="K542" s="163"/>
      <c r="L542" s="164"/>
      <c r="M542" s="155"/>
      <c r="N542" s="155"/>
      <c r="O542" s="144"/>
      <c r="P542" s="159" t="str">
        <f>IFERROR(IF(O542&lt;&gt;"User Specified",IF(O542&lt;&gt;"", INDEX('Refrigerant GWPs'!$G$2:$G$154,MATCH(O542,'Refrigerant GWPs'!$A$2:$A$154,0)),""),U542),0)</f>
        <v/>
      </c>
      <c r="Q542" s="155"/>
      <c r="R542" s="155"/>
      <c r="S542" s="144"/>
      <c r="T542" s="159" t="str">
        <f>IF(S542&lt;&gt;"User Specified",IF(AND(S542&lt;&gt;"User Specified",S542&lt;&gt;""), INDEX('Refrigerant GWPs'!$G$2:$G$154,MATCH(S542,'Refrigerant GWPs'!$A$2:$A$154,0)),""),V542)</f>
        <v/>
      </c>
      <c r="U542" s="144"/>
      <c r="V542" s="144"/>
      <c r="W542" s="155"/>
      <c r="X542" s="155"/>
      <c r="Y542" s="144"/>
      <c r="Z542" s="159" t="str">
        <f>IF(AND(Y542&lt;&gt;"User Specified",Y542&lt;&gt;""), INDEX('Refrigerant GWPs'!$G$2:$G$154,MATCH(Y542,'Refrigerant GWPs'!$A$2:$A$154,0)),"")</f>
        <v/>
      </c>
      <c r="AA542" s="155"/>
      <c r="AB542" s="156"/>
      <c r="AC542" s="66"/>
      <c r="AD542" s="66"/>
      <c r="AE542" s="66"/>
      <c r="AF542" s="66"/>
      <c r="AG542" s="66"/>
      <c r="AH542" s="66"/>
      <c r="AI542" s="34"/>
      <c r="AJ542" s="88">
        <f t="shared" si="650"/>
        <v>0</v>
      </c>
      <c r="AK542" s="88">
        <f t="shared" si="651"/>
        <v>0</v>
      </c>
      <c r="AL542" s="88">
        <v>0</v>
      </c>
      <c r="AM542" s="88">
        <v>0</v>
      </c>
      <c r="AN542" s="81" t="str">
        <f t="shared" si="689"/>
        <v/>
      </c>
      <c r="AO542" s="88">
        <f t="shared" si="652"/>
        <v>0</v>
      </c>
      <c r="AP542" s="88">
        <f t="shared" si="653"/>
        <v>0</v>
      </c>
      <c r="AQ542" s="81" t="str">
        <f t="shared" si="654"/>
        <v/>
      </c>
      <c r="AS542" s="41" t="b">
        <f t="shared" si="655"/>
        <v>1</v>
      </c>
      <c r="AT542" s="38">
        <f t="shared" si="656"/>
        <v>0</v>
      </c>
      <c r="AU542" s="60">
        <f t="shared" si="657"/>
        <v>0</v>
      </c>
      <c r="AV542" s="41">
        <f t="shared" si="658"/>
        <v>0</v>
      </c>
      <c r="AW542" s="41" t="b">
        <f t="shared" si="659"/>
        <v>0</v>
      </c>
      <c r="AX542" t="str">
        <f t="shared" si="660"/>
        <v>+00</v>
      </c>
      <c r="AY542" t="str">
        <f t="shared" si="661"/>
        <v>+00</v>
      </c>
      <c r="BA542" s="47" t="b">
        <f t="shared" si="690"/>
        <v>1</v>
      </c>
      <c r="BB542" s="42" t="b">
        <f t="shared" si="691"/>
        <v>1</v>
      </c>
      <c r="BC542" s="42" t="b">
        <f t="shared" si="692"/>
        <v>0</v>
      </c>
      <c r="BD542" s="42" t="b">
        <f t="shared" si="693"/>
        <v>0</v>
      </c>
      <c r="BE542" s="70">
        <f t="shared" si="694"/>
        <v>0</v>
      </c>
      <c r="BF542" s="70">
        <f t="shared" si="695"/>
        <v>0</v>
      </c>
      <c r="BG542" s="34"/>
      <c r="BI542" s="47" t="b">
        <f t="shared" si="696"/>
        <v>1</v>
      </c>
      <c r="BJ542" s="47" t="b">
        <f t="shared" si="697"/>
        <v>1</v>
      </c>
      <c r="BK542" s="42" t="b">
        <f t="shared" si="698"/>
        <v>0</v>
      </c>
      <c r="BL542" s="42" t="b">
        <f t="shared" si="699"/>
        <v>0</v>
      </c>
      <c r="BM542" s="42">
        <f t="shared" si="700"/>
        <v>0</v>
      </c>
      <c r="BN542" s="42">
        <f t="shared" si="701"/>
        <v>0</v>
      </c>
      <c r="BP542" t="e">
        <f t="shared" si="702"/>
        <v>#N/A</v>
      </c>
      <c r="BQ542" t="e">
        <f t="shared" si="703"/>
        <v>#N/A</v>
      </c>
      <c r="BR542" t="e">
        <f t="shared" si="704"/>
        <v>#N/A</v>
      </c>
      <c r="BT542" s="60">
        <f t="shared" si="705"/>
        <v>0</v>
      </c>
      <c r="BU542" s="60">
        <f t="shared" si="706"/>
        <v>0</v>
      </c>
      <c r="BV542" s="60">
        <f t="shared" si="707"/>
        <v>0</v>
      </c>
      <c r="BW542" s="60">
        <f t="shared" si="708"/>
        <v>0</v>
      </c>
      <c r="BX542" s="60">
        <f t="shared" si="709"/>
        <v>0</v>
      </c>
      <c r="BY542" s="60">
        <f t="shared" si="710"/>
        <v>0</v>
      </c>
      <c r="BZ542" s="60">
        <f t="shared" si="711"/>
        <v>0</v>
      </c>
      <c r="CA542" s="60">
        <f t="shared" si="712"/>
        <v>0</v>
      </c>
      <c r="CB542" s="60" t="e">
        <f t="shared" si="662"/>
        <v>#N/A</v>
      </c>
      <c r="CC542" s="60">
        <f t="shared" si="663"/>
        <v>100000</v>
      </c>
      <c r="CD542" s="60" t="e">
        <f t="shared" si="664"/>
        <v>#N/A</v>
      </c>
      <c r="CE542" s="60">
        <f t="shared" si="665"/>
        <v>100000</v>
      </c>
      <c r="CF542" s="83" t="e">
        <f t="shared" si="713"/>
        <v>#N/A</v>
      </c>
      <c r="CG542" s="83">
        <f t="shared" si="714"/>
        <v>0</v>
      </c>
      <c r="CH542" s="83" t="e">
        <f t="shared" si="715"/>
        <v>#N/A</v>
      </c>
      <c r="CI542" s="83">
        <f t="shared" si="716"/>
        <v>0</v>
      </c>
      <c r="CJ542" s="86" t="e">
        <f t="shared" si="666"/>
        <v>#N/A</v>
      </c>
      <c r="CK542" s="82">
        <f t="shared" si="667"/>
        <v>5.3070370403969858E-3</v>
      </c>
      <c r="CL542" s="82" t="e">
        <f t="shared" si="668"/>
        <v>#N/A</v>
      </c>
      <c r="CM542" s="82">
        <f t="shared" si="669"/>
        <v>5.3070370403969858E-3</v>
      </c>
      <c r="CO542" s="149" t="str">
        <f>IF($I542&lt;&gt;"",IF(O542="User Specified",U542,INDEX('Refrigerant GWPs'!$G$2:$G$156,MATCH(O542,'Refrigerant GWPs'!$A$2:$A$156,0))),"")</f>
        <v/>
      </c>
      <c r="CP542" s="138" t="str">
        <f>IF($I542&lt;&gt;"",INDEX('Device Refrigerant Leakage'!$E$2:$E$42,MATCH($M542,'Device Refrigerant Leakage'!$B$2:$B$42,0)),"")</f>
        <v/>
      </c>
      <c r="CQ542" s="138" t="str">
        <f>IF($I542&lt;&gt;"",INDEX('Device Refrigerant Leakage'!$F$2:$F$42,MATCH($M542,'Device Refrigerant Leakage'!$B$2:$B$42,0)),"")</f>
        <v/>
      </c>
      <c r="CR542" s="145" t="str">
        <f>IF($I542&lt;&gt;"",INDEX('Device Refrigerant Leakage'!$G$2:$G$42,MATCH($M542,'Device Refrigerant Leakage'!$B$2:$B$42,0)),"")</f>
        <v/>
      </c>
      <c r="CS542" s="145" t="str">
        <f>IF($I542&lt;&gt;"",INDEX('Device Refrigerant Leakage'!$D$2:$D$42,MATCH($M542,'Device Refrigerant Leakage'!$B$2:$B$42,0))*CP542/2204.62*CO542,"")</f>
        <v/>
      </c>
      <c r="CT542" s="145" t="str">
        <f>IF($I542&lt;&gt;"",J542*(INDEX('Device Refrigerant Leakage'!$D$2:$D$42,MATCH($M542,'Device Refrigerant Leakage'!$B$2:$B$42,0))-(INDEX('Device Refrigerant Leakage'!$D$2:$D$42,MATCH($M542,'Device Refrigerant Leakage'!$B$2:$B$42,0)))*CR542*CP542)*CQ542/2204.62*CO542,"")</f>
        <v/>
      </c>
      <c r="CU542" s="135" t="str">
        <f>IF($I542&lt;&gt;"",J542*IF(W542&lt;&gt;"AR",(CS542*K542)+CT542,(CS542*AB542)+CT542*(AB542/INDEX('Device Refrigerant Leakage'!$C$2:$C$42,MATCH($M542,'Device Refrigerant Leakage'!$B$2:$B$42,0)))),"")</f>
        <v/>
      </c>
      <c r="CW542" s="135" t="str">
        <f>IF($I542&lt;&gt;"",IF(S542="User Specified",V542,INDEX('Refrigerant GWPs'!$G$2:$G$156,MATCH(S542,'Refrigerant GWPs'!$A$2:$A$157,0))),"")</f>
        <v/>
      </c>
      <c r="CX542" s="138" t="str">
        <f>IF($I542&lt;&gt;"",INDEX('Device Refrigerant Leakage'!$E$2:$E$42,MATCH($Q542,'Device Refrigerant Leakage'!$B$2:$B$42,0)),"")</f>
        <v/>
      </c>
      <c r="CY542" s="138" t="str">
        <f>IF($I542&lt;&gt;"",INDEX('Device Refrigerant Leakage'!$F$2:$F$42,MATCH($Q542,'Device Refrigerant Leakage'!$B$2:$B$42,0)),"")</f>
        <v/>
      </c>
      <c r="CZ542" s="145" t="str">
        <f>IF($I542&lt;&gt;"",INDEX('Device Refrigerant Leakage'!$G$2:$G$42,MATCH($Q542,'Device Refrigerant Leakage'!$B$2:$B$42,0)),"")</f>
        <v/>
      </c>
      <c r="DA542" s="145" t="str">
        <f>IF($I542&lt;&gt;"",J542*INDEX('Device Refrigerant Leakage'!$D$2:$D$42,MATCH($Q542,'Device Refrigerant Leakage'!$B$2:$B$42,0))*CX542/2204.62*CW542,"")</f>
        <v/>
      </c>
      <c r="DB542" s="145" t="str">
        <f>IF($I542&lt;&gt;"",J542*(INDEX('Device Refrigerant Leakage'!$D$2:$D$42,MATCH($Q542,'Device Refrigerant Leakage'!$B$2:$B$42,0))-(INDEX('Device Refrigerant Leakage'!$D$2:$D$42,MATCH($Q542,'Device Refrigerant Leakage'!$B$2:$B$42,0)))*CZ542*CX542)*CY542/2204.62*CW542,"")</f>
        <v/>
      </c>
      <c r="DC542" s="135" t="str">
        <f t="shared" si="688"/>
        <v/>
      </c>
      <c r="DE542" s="146" t="str">
        <f>IF(W542&lt;&gt;"AR","",IF(Y542="User Specified", AA542, INDEX('Refrigerant GWPs'!$G$2:$G$154,MATCH(Y542,'Refrigerant GWPs'!$A$2:$A$154,0))))</f>
        <v/>
      </c>
      <c r="DF542" s="146" t="str">
        <f>IF(W542&lt;&gt;"AR","",INDEX('Device Refrigerant Leakage'!$E$2:$E$42,MATCH(X542,'Device Refrigerant Leakage'!$B$2:$B$42,0)))</f>
        <v/>
      </c>
      <c r="DG542" s="146" t="str">
        <f>IF(W542&lt;&gt;"AR","",INDEX('Device Refrigerant Leakage'!$F$2:$F$42,MATCH(X542,'Device Refrigerant Leakage'!$B$2:$B$42,0)))</f>
        <v/>
      </c>
      <c r="DH542" s="146" t="str">
        <f>IF(W542&lt;&gt;"AR","",INDEX('Device Refrigerant Leakage'!$G$2:$G$42,MATCH(X542,'Device Refrigerant Leakage'!$B$2:$B$42,0)))</f>
        <v/>
      </c>
      <c r="DI542" s="146" t="str">
        <f>IF(W542&lt;&gt;"AR","",J542*INDEX('Device Refrigerant Leakage'!$D$2:$D$42,MATCH(X542,'Device Refrigerant Leakage'!$B$2:$B$42,0))*DF542/2204.62*DE542)</f>
        <v/>
      </c>
      <c r="DJ542" s="146" t="str">
        <f>IF(W542&lt;&gt;"AR","",J542*(INDEX('Device Refrigerant Leakage'!$D$2:$D$42,MATCH(X542,'Device Refrigerant Leakage'!$B$2:$B$42,0))-(INDEX('Device Refrigerant Leakage'!$D$2:$D$42,MATCH(X542,'Device Refrigerant Leakage'!$B$2:$B$42,0)))*DH542*DF542)*DG542/2204.62*DE542)</f>
        <v/>
      </c>
      <c r="DK542" s="146" t="str">
        <f>IF(W542&lt;&gt;"AR","",DI542*(K542-AB542)+'Fuel Sub Calcs-Deemed'!DJ542*((K542-AB542)/INDEX('Device Refrigerant Leakage'!$C$2:$C$42,MATCH('Fuel Sub Calcs-Deemed'!X542,'Device Refrigerant Leakage'!$B$2:$B$42,0))))</f>
        <v/>
      </c>
      <c r="DM542" s="56">
        <v>528</v>
      </c>
      <c r="DN542" s="67" t="e">
        <f t="shared" si="670"/>
        <v>#N/A</v>
      </c>
      <c r="DO542" s="45" t="e">
        <f t="shared" si="671"/>
        <v>#N/A</v>
      </c>
      <c r="DP542" s="67" t="e">
        <f t="shared" si="672"/>
        <v>#N/A</v>
      </c>
      <c r="DQ542" s="45" t="e">
        <f t="shared" si="673"/>
        <v>#N/A</v>
      </c>
      <c r="DR542" s="69" t="e">
        <f t="shared" si="674"/>
        <v>#N/A</v>
      </c>
      <c r="DS542" s="34"/>
      <c r="DT542" s="67" t="e">
        <f>((BX542*CJ542)+IF($W542=MAT_AR,(BZ542*CL542),0))*(1+Reference!$E$50+Reference!$E$51)</f>
        <v>#N/A</v>
      </c>
      <c r="DU542" s="67">
        <f>((BY542*CK542)+IF($W542=MAT_AR,(CA542*CM542),0))*(1+Reference!$G$50+Reference!$G$51)</f>
        <v>0</v>
      </c>
      <c r="DV542" s="67" t="e">
        <f t="shared" si="675"/>
        <v>#VALUE!</v>
      </c>
      <c r="DX542" s="56">
        <v>528</v>
      </c>
      <c r="DY542" s="67">
        <f t="shared" si="676"/>
        <v>0</v>
      </c>
      <c r="DZ542" s="45" t="e">
        <f>VLOOKUP($R542,Dropdown!$C$3:$D$4,2,FALSE)</f>
        <v>#N/A</v>
      </c>
      <c r="EA542" s="68">
        <f t="shared" si="677"/>
        <v>0</v>
      </c>
      <c r="EB542" s="68" t="str">
        <f t="shared" si="678"/>
        <v>N/A</v>
      </c>
      <c r="EC542" s="68">
        <f t="shared" si="679"/>
        <v>0</v>
      </c>
      <c r="ED542" s="68" t="str">
        <f t="shared" si="717"/>
        <v>N/A</v>
      </c>
      <c r="EF542" s="56">
        <v>528</v>
      </c>
      <c r="EG542" s="46">
        <f t="shared" si="680"/>
        <v>0</v>
      </c>
      <c r="EH542" s="68" t="e">
        <f t="shared" si="681"/>
        <v>#N/A</v>
      </c>
      <c r="EI542" s="68" t="e">
        <f t="shared" si="682"/>
        <v>#N/A</v>
      </c>
      <c r="EJ542" s="68" t="e">
        <f t="shared" si="683"/>
        <v>#N/A</v>
      </c>
      <c r="EK542" s="68" t="e">
        <f t="shared" si="684"/>
        <v>#N/A</v>
      </c>
      <c r="EL542" s="46">
        <f t="shared" si="685"/>
        <v>0</v>
      </c>
      <c r="EM542" s="46">
        <f t="shared" si="686"/>
        <v>0</v>
      </c>
    </row>
    <row r="543" spans="1:143">
      <c r="A543" s="89"/>
      <c r="B543" s="89"/>
      <c r="C543" s="89"/>
      <c r="D543" s="89"/>
      <c r="E543" s="89"/>
      <c r="F543" s="89"/>
      <c r="G543" s="34"/>
      <c r="H543" s="56">
        <f t="shared" si="687"/>
        <v>529</v>
      </c>
      <c r="I543" s="165"/>
      <c r="J543" s="163"/>
      <c r="K543" s="163"/>
      <c r="L543" s="164"/>
      <c r="M543" s="155"/>
      <c r="N543" s="155"/>
      <c r="O543" s="144"/>
      <c r="P543" s="159" t="str">
        <f>IFERROR(IF(O543&lt;&gt;"User Specified",IF(O543&lt;&gt;"", INDEX('Refrigerant GWPs'!$G$2:$G$154,MATCH(O543,'Refrigerant GWPs'!$A$2:$A$154,0)),""),U543),0)</f>
        <v/>
      </c>
      <c r="Q543" s="155"/>
      <c r="R543" s="155"/>
      <c r="S543" s="144"/>
      <c r="T543" s="159" t="str">
        <f>IF(S543&lt;&gt;"User Specified",IF(AND(S543&lt;&gt;"User Specified",S543&lt;&gt;""), INDEX('Refrigerant GWPs'!$G$2:$G$154,MATCH(S543,'Refrigerant GWPs'!$A$2:$A$154,0)),""),V543)</f>
        <v/>
      </c>
      <c r="U543" s="144"/>
      <c r="V543" s="144"/>
      <c r="W543" s="155"/>
      <c r="X543" s="155"/>
      <c r="Y543" s="144"/>
      <c r="Z543" s="159" t="str">
        <f>IF(AND(Y543&lt;&gt;"User Specified",Y543&lt;&gt;""), INDEX('Refrigerant GWPs'!$G$2:$G$154,MATCH(Y543,'Refrigerant GWPs'!$A$2:$A$154,0)),"")</f>
        <v/>
      </c>
      <c r="AA543" s="155"/>
      <c r="AB543" s="156"/>
      <c r="AC543" s="66"/>
      <c r="AD543" s="66"/>
      <c r="AE543" s="66"/>
      <c r="AF543" s="66"/>
      <c r="AG543" s="66"/>
      <c r="AH543" s="66"/>
      <c r="AI543" s="34"/>
      <c r="AJ543" s="88">
        <f t="shared" si="650"/>
        <v>0</v>
      </c>
      <c r="AK543" s="88">
        <f t="shared" si="651"/>
        <v>0</v>
      </c>
      <c r="AL543" s="88">
        <v>0</v>
      </c>
      <c r="AM543" s="88">
        <v>0</v>
      </c>
      <c r="AN543" s="81" t="str">
        <f t="shared" si="689"/>
        <v/>
      </c>
      <c r="AO543" s="88">
        <f t="shared" si="652"/>
        <v>0</v>
      </c>
      <c r="AP543" s="88">
        <f t="shared" si="653"/>
        <v>0</v>
      </c>
      <c r="AQ543" s="81" t="str">
        <f t="shared" si="654"/>
        <v/>
      </c>
      <c r="AS543" s="41" t="b">
        <f t="shared" si="655"/>
        <v>1</v>
      </c>
      <c r="AT543" s="38">
        <f t="shared" si="656"/>
        <v>0</v>
      </c>
      <c r="AU543" s="60">
        <f t="shared" si="657"/>
        <v>0</v>
      </c>
      <c r="AV543" s="41">
        <f t="shared" si="658"/>
        <v>0</v>
      </c>
      <c r="AW543" s="41" t="b">
        <f t="shared" si="659"/>
        <v>0</v>
      </c>
      <c r="AX543" t="str">
        <f t="shared" si="660"/>
        <v>+00</v>
      </c>
      <c r="AY543" t="str">
        <f t="shared" si="661"/>
        <v>+00</v>
      </c>
      <c r="BA543" s="47" t="b">
        <f t="shared" si="690"/>
        <v>1</v>
      </c>
      <c r="BB543" s="42" t="b">
        <f t="shared" si="691"/>
        <v>1</v>
      </c>
      <c r="BC543" s="42" t="b">
        <f t="shared" si="692"/>
        <v>0</v>
      </c>
      <c r="BD543" s="42" t="b">
        <f t="shared" si="693"/>
        <v>0</v>
      </c>
      <c r="BE543" s="70">
        <f t="shared" si="694"/>
        <v>0</v>
      </c>
      <c r="BF543" s="70">
        <f t="shared" si="695"/>
        <v>0</v>
      </c>
      <c r="BG543" s="34"/>
      <c r="BI543" s="47" t="b">
        <f t="shared" si="696"/>
        <v>1</v>
      </c>
      <c r="BJ543" s="47" t="b">
        <f t="shared" si="697"/>
        <v>1</v>
      </c>
      <c r="BK543" s="42" t="b">
        <f t="shared" si="698"/>
        <v>0</v>
      </c>
      <c r="BL543" s="42" t="b">
        <f t="shared" si="699"/>
        <v>0</v>
      </c>
      <c r="BM543" s="42">
        <f t="shared" si="700"/>
        <v>0</v>
      </c>
      <c r="BN543" s="42">
        <f t="shared" si="701"/>
        <v>0</v>
      </c>
      <c r="BP543" t="e">
        <f t="shared" si="702"/>
        <v>#N/A</v>
      </c>
      <c r="BQ543" t="e">
        <f t="shared" si="703"/>
        <v>#N/A</v>
      </c>
      <c r="BR543" t="e">
        <f t="shared" si="704"/>
        <v>#N/A</v>
      </c>
      <c r="BT543" s="60">
        <f t="shared" si="705"/>
        <v>0</v>
      </c>
      <c r="BU543" s="60">
        <f t="shared" si="706"/>
        <v>0</v>
      </c>
      <c r="BV543" s="60">
        <f t="shared" si="707"/>
        <v>0</v>
      </c>
      <c r="BW543" s="60">
        <f t="shared" si="708"/>
        <v>0</v>
      </c>
      <c r="BX543" s="60">
        <f t="shared" si="709"/>
        <v>0</v>
      </c>
      <c r="BY543" s="60">
        <f t="shared" si="710"/>
        <v>0</v>
      </c>
      <c r="BZ543" s="60">
        <f t="shared" si="711"/>
        <v>0</v>
      </c>
      <c r="CA543" s="60">
        <f t="shared" si="712"/>
        <v>0</v>
      </c>
      <c r="CB543" s="60" t="e">
        <f t="shared" si="662"/>
        <v>#N/A</v>
      </c>
      <c r="CC543" s="60">
        <f t="shared" si="663"/>
        <v>100000</v>
      </c>
      <c r="CD543" s="60" t="e">
        <f t="shared" si="664"/>
        <v>#N/A</v>
      </c>
      <c r="CE543" s="60">
        <f t="shared" si="665"/>
        <v>100000</v>
      </c>
      <c r="CF543" s="83" t="e">
        <f t="shared" si="713"/>
        <v>#N/A</v>
      </c>
      <c r="CG543" s="83">
        <f t="shared" si="714"/>
        <v>0</v>
      </c>
      <c r="CH543" s="83" t="e">
        <f t="shared" si="715"/>
        <v>#N/A</v>
      </c>
      <c r="CI543" s="83">
        <f t="shared" si="716"/>
        <v>0</v>
      </c>
      <c r="CJ543" s="86" t="e">
        <f t="shared" si="666"/>
        <v>#N/A</v>
      </c>
      <c r="CK543" s="82">
        <f t="shared" si="667"/>
        <v>5.3070370403969858E-3</v>
      </c>
      <c r="CL543" s="82" t="e">
        <f t="shared" si="668"/>
        <v>#N/A</v>
      </c>
      <c r="CM543" s="82">
        <f t="shared" si="669"/>
        <v>5.3070370403969858E-3</v>
      </c>
      <c r="CO543" s="149" t="str">
        <f>IF($I543&lt;&gt;"",IF(O543="User Specified",U543,INDEX('Refrigerant GWPs'!$G$2:$G$156,MATCH(O543,'Refrigerant GWPs'!$A$2:$A$156,0))),"")</f>
        <v/>
      </c>
      <c r="CP543" s="138" t="str">
        <f>IF($I543&lt;&gt;"",INDEX('Device Refrigerant Leakage'!$E$2:$E$42,MATCH($M543,'Device Refrigerant Leakage'!$B$2:$B$42,0)),"")</f>
        <v/>
      </c>
      <c r="CQ543" s="138" t="str">
        <f>IF($I543&lt;&gt;"",INDEX('Device Refrigerant Leakage'!$F$2:$F$42,MATCH($M543,'Device Refrigerant Leakage'!$B$2:$B$42,0)),"")</f>
        <v/>
      </c>
      <c r="CR543" s="145" t="str">
        <f>IF($I543&lt;&gt;"",INDEX('Device Refrigerant Leakage'!$G$2:$G$42,MATCH($M543,'Device Refrigerant Leakage'!$B$2:$B$42,0)),"")</f>
        <v/>
      </c>
      <c r="CS543" s="145" t="str">
        <f>IF($I543&lt;&gt;"",INDEX('Device Refrigerant Leakage'!$D$2:$D$42,MATCH($M543,'Device Refrigerant Leakage'!$B$2:$B$42,0))*CP543/2204.62*CO543,"")</f>
        <v/>
      </c>
      <c r="CT543" s="145" t="str">
        <f>IF($I543&lt;&gt;"",J543*(INDEX('Device Refrigerant Leakage'!$D$2:$D$42,MATCH($M543,'Device Refrigerant Leakage'!$B$2:$B$42,0))-(INDEX('Device Refrigerant Leakage'!$D$2:$D$42,MATCH($M543,'Device Refrigerant Leakage'!$B$2:$B$42,0)))*CR543*CP543)*CQ543/2204.62*CO543,"")</f>
        <v/>
      </c>
      <c r="CU543" s="135" t="str">
        <f>IF($I543&lt;&gt;"",J543*IF(W543&lt;&gt;"AR",(CS543*K543)+CT543,(CS543*AB543)+CT543*(AB543/INDEX('Device Refrigerant Leakage'!$C$2:$C$42,MATCH($M543,'Device Refrigerant Leakage'!$B$2:$B$42,0)))),"")</f>
        <v/>
      </c>
      <c r="CW543" s="135" t="str">
        <f>IF($I543&lt;&gt;"",IF(S543="User Specified",V543,INDEX('Refrigerant GWPs'!$G$2:$G$156,MATCH(S543,'Refrigerant GWPs'!$A$2:$A$157,0))),"")</f>
        <v/>
      </c>
      <c r="CX543" s="138" t="str">
        <f>IF($I543&lt;&gt;"",INDEX('Device Refrigerant Leakage'!$E$2:$E$42,MATCH($Q543,'Device Refrigerant Leakage'!$B$2:$B$42,0)),"")</f>
        <v/>
      </c>
      <c r="CY543" s="138" t="str">
        <f>IF($I543&lt;&gt;"",INDEX('Device Refrigerant Leakage'!$F$2:$F$42,MATCH($Q543,'Device Refrigerant Leakage'!$B$2:$B$42,0)),"")</f>
        <v/>
      </c>
      <c r="CZ543" s="145" t="str">
        <f>IF($I543&lt;&gt;"",INDEX('Device Refrigerant Leakage'!$G$2:$G$42,MATCH($Q543,'Device Refrigerant Leakage'!$B$2:$B$42,0)),"")</f>
        <v/>
      </c>
      <c r="DA543" s="145" t="str">
        <f>IF($I543&lt;&gt;"",J543*INDEX('Device Refrigerant Leakage'!$D$2:$D$42,MATCH($Q543,'Device Refrigerant Leakage'!$B$2:$B$42,0))*CX543/2204.62*CW543,"")</f>
        <v/>
      </c>
      <c r="DB543" s="145" t="str">
        <f>IF($I543&lt;&gt;"",J543*(INDEX('Device Refrigerant Leakage'!$D$2:$D$42,MATCH($Q543,'Device Refrigerant Leakage'!$B$2:$B$42,0))-(INDEX('Device Refrigerant Leakage'!$D$2:$D$42,MATCH($Q543,'Device Refrigerant Leakage'!$B$2:$B$42,0)))*CZ543*CX543)*CY543/2204.62*CW543,"")</f>
        <v/>
      </c>
      <c r="DC543" s="135" t="str">
        <f t="shared" si="688"/>
        <v/>
      </c>
      <c r="DE543" s="146" t="str">
        <f>IF(W543&lt;&gt;"AR","",IF(Y543="User Specified", AA543, INDEX('Refrigerant GWPs'!$G$2:$G$154,MATCH(Y543,'Refrigerant GWPs'!$A$2:$A$154,0))))</f>
        <v/>
      </c>
      <c r="DF543" s="146" t="str">
        <f>IF(W543&lt;&gt;"AR","",INDEX('Device Refrigerant Leakage'!$E$2:$E$42,MATCH(X543,'Device Refrigerant Leakage'!$B$2:$B$42,0)))</f>
        <v/>
      </c>
      <c r="DG543" s="146" t="str">
        <f>IF(W543&lt;&gt;"AR","",INDEX('Device Refrigerant Leakage'!$F$2:$F$42,MATCH(X543,'Device Refrigerant Leakage'!$B$2:$B$42,0)))</f>
        <v/>
      </c>
      <c r="DH543" s="146" t="str">
        <f>IF(W543&lt;&gt;"AR","",INDEX('Device Refrigerant Leakage'!$G$2:$G$42,MATCH(X543,'Device Refrigerant Leakage'!$B$2:$B$42,0)))</f>
        <v/>
      </c>
      <c r="DI543" s="146" t="str">
        <f>IF(W543&lt;&gt;"AR","",J543*INDEX('Device Refrigerant Leakage'!$D$2:$D$42,MATCH(X543,'Device Refrigerant Leakage'!$B$2:$B$42,0))*DF543/2204.62*DE543)</f>
        <v/>
      </c>
      <c r="DJ543" s="146" t="str">
        <f>IF(W543&lt;&gt;"AR","",J543*(INDEX('Device Refrigerant Leakage'!$D$2:$D$42,MATCH(X543,'Device Refrigerant Leakage'!$B$2:$B$42,0))-(INDEX('Device Refrigerant Leakage'!$D$2:$D$42,MATCH(X543,'Device Refrigerant Leakage'!$B$2:$B$42,0)))*DH543*DF543)*DG543/2204.62*DE543)</f>
        <v/>
      </c>
      <c r="DK543" s="146" t="str">
        <f>IF(W543&lt;&gt;"AR","",DI543*(K543-AB543)+'Fuel Sub Calcs-Deemed'!DJ543*((K543-AB543)/INDEX('Device Refrigerant Leakage'!$C$2:$C$42,MATCH('Fuel Sub Calcs-Deemed'!X543,'Device Refrigerant Leakage'!$B$2:$B$42,0))))</f>
        <v/>
      </c>
      <c r="DM543" s="56">
        <v>529</v>
      </c>
      <c r="DN543" s="67" t="e">
        <f t="shared" si="670"/>
        <v>#N/A</v>
      </c>
      <c r="DO543" s="45" t="e">
        <f t="shared" si="671"/>
        <v>#N/A</v>
      </c>
      <c r="DP543" s="67" t="e">
        <f t="shared" si="672"/>
        <v>#N/A</v>
      </c>
      <c r="DQ543" s="45" t="e">
        <f t="shared" si="673"/>
        <v>#N/A</v>
      </c>
      <c r="DR543" s="69" t="e">
        <f t="shared" si="674"/>
        <v>#N/A</v>
      </c>
      <c r="DS543" s="34"/>
      <c r="DT543" s="67" t="e">
        <f>((BX543*CJ543)+IF($W543=MAT_AR,(BZ543*CL543),0))*(1+Reference!$E$50+Reference!$E$51)</f>
        <v>#N/A</v>
      </c>
      <c r="DU543" s="67">
        <f>((BY543*CK543)+IF($W543=MAT_AR,(CA543*CM543),0))*(1+Reference!$G$50+Reference!$G$51)</f>
        <v>0</v>
      </c>
      <c r="DV543" s="67" t="e">
        <f t="shared" si="675"/>
        <v>#VALUE!</v>
      </c>
      <c r="DX543" s="56">
        <v>529</v>
      </c>
      <c r="DY543" s="67">
        <f t="shared" si="676"/>
        <v>0</v>
      </c>
      <c r="DZ543" s="45" t="e">
        <f>VLOOKUP($R543,Dropdown!$C$3:$D$4,2,FALSE)</f>
        <v>#N/A</v>
      </c>
      <c r="EA543" s="68">
        <f t="shared" si="677"/>
        <v>0</v>
      </c>
      <c r="EB543" s="68" t="str">
        <f t="shared" si="678"/>
        <v>N/A</v>
      </c>
      <c r="EC543" s="68">
        <f t="shared" si="679"/>
        <v>0</v>
      </c>
      <c r="ED543" s="68" t="str">
        <f t="shared" si="717"/>
        <v>N/A</v>
      </c>
      <c r="EF543" s="56">
        <v>529</v>
      </c>
      <c r="EG543" s="46">
        <f t="shared" si="680"/>
        <v>0</v>
      </c>
      <c r="EH543" s="68" t="e">
        <f t="shared" si="681"/>
        <v>#N/A</v>
      </c>
      <c r="EI543" s="68" t="e">
        <f t="shared" si="682"/>
        <v>#N/A</v>
      </c>
      <c r="EJ543" s="68" t="e">
        <f t="shared" si="683"/>
        <v>#N/A</v>
      </c>
      <c r="EK543" s="68" t="e">
        <f t="shared" si="684"/>
        <v>#N/A</v>
      </c>
      <c r="EL543" s="46">
        <f t="shared" si="685"/>
        <v>0</v>
      </c>
      <c r="EM543" s="46">
        <f t="shared" si="686"/>
        <v>0</v>
      </c>
    </row>
    <row r="544" spans="1:143">
      <c r="A544" s="89"/>
      <c r="B544" s="89"/>
      <c r="C544" s="89"/>
      <c r="D544" s="89"/>
      <c r="E544" s="89"/>
      <c r="F544" s="89"/>
      <c r="G544" s="34"/>
      <c r="H544" s="56">
        <f t="shared" si="687"/>
        <v>530</v>
      </c>
      <c r="I544" s="165"/>
      <c r="J544" s="163"/>
      <c r="K544" s="163"/>
      <c r="L544" s="164"/>
      <c r="M544" s="155"/>
      <c r="N544" s="155"/>
      <c r="O544" s="144"/>
      <c r="P544" s="159" t="str">
        <f>IFERROR(IF(O544&lt;&gt;"User Specified",IF(O544&lt;&gt;"", INDEX('Refrigerant GWPs'!$G$2:$G$154,MATCH(O544,'Refrigerant GWPs'!$A$2:$A$154,0)),""),U544),0)</f>
        <v/>
      </c>
      <c r="Q544" s="155"/>
      <c r="R544" s="155"/>
      <c r="S544" s="144"/>
      <c r="T544" s="159" t="str">
        <f>IF(S544&lt;&gt;"User Specified",IF(AND(S544&lt;&gt;"User Specified",S544&lt;&gt;""), INDEX('Refrigerant GWPs'!$G$2:$G$154,MATCH(S544,'Refrigerant GWPs'!$A$2:$A$154,0)),""),V544)</f>
        <v/>
      </c>
      <c r="U544" s="144"/>
      <c r="V544" s="144"/>
      <c r="W544" s="155"/>
      <c r="X544" s="155"/>
      <c r="Y544" s="144"/>
      <c r="Z544" s="159" t="str">
        <f>IF(AND(Y544&lt;&gt;"User Specified",Y544&lt;&gt;""), INDEX('Refrigerant GWPs'!$G$2:$G$154,MATCH(Y544,'Refrigerant GWPs'!$A$2:$A$154,0)),"")</f>
        <v/>
      </c>
      <c r="AA544" s="155"/>
      <c r="AB544" s="156"/>
      <c r="AC544" s="66"/>
      <c r="AD544" s="66"/>
      <c r="AE544" s="66"/>
      <c r="AF544" s="66"/>
      <c r="AG544" s="66"/>
      <c r="AH544" s="66"/>
      <c r="AI544" s="34"/>
      <c r="AJ544" s="88">
        <f t="shared" si="650"/>
        <v>0</v>
      </c>
      <c r="AK544" s="88">
        <f t="shared" si="651"/>
        <v>0</v>
      </c>
      <c r="AL544" s="88">
        <v>0</v>
      </c>
      <c r="AM544" s="88">
        <v>0</v>
      </c>
      <c r="AN544" s="81" t="str">
        <f t="shared" si="689"/>
        <v/>
      </c>
      <c r="AO544" s="88">
        <f t="shared" si="652"/>
        <v>0</v>
      </c>
      <c r="AP544" s="88">
        <f t="shared" si="653"/>
        <v>0</v>
      </c>
      <c r="AQ544" s="81" t="str">
        <f t="shared" si="654"/>
        <v/>
      </c>
      <c r="AS544" s="41" t="b">
        <f t="shared" si="655"/>
        <v>1</v>
      </c>
      <c r="AT544" s="38">
        <f t="shared" si="656"/>
        <v>0</v>
      </c>
      <c r="AU544" s="60">
        <f t="shared" si="657"/>
        <v>0</v>
      </c>
      <c r="AV544" s="41">
        <f t="shared" si="658"/>
        <v>0</v>
      </c>
      <c r="AW544" s="41" t="b">
        <f t="shared" si="659"/>
        <v>0</v>
      </c>
      <c r="AX544" t="str">
        <f t="shared" si="660"/>
        <v>+00</v>
      </c>
      <c r="AY544" t="str">
        <f t="shared" si="661"/>
        <v>+00</v>
      </c>
      <c r="BA544" s="47" t="b">
        <f t="shared" si="690"/>
        <v>1</v>
      </c>
      <c r="BB544" s="42" t="b">
        <f t="shared" si="691"/>
        <v>1</v>
      </c>
      <c r="BC544" s="42" t="b">
        <f t="shared" si="692"/>
        <v>0</v>
      </c>
      <c r="BD544" s="42" t="b">
        <f t="shared" si="693"/>
        <v>0</v>
      </c>
      <c r="BE544" s="70">
        <f t="shared" si="694"/>
        <v>0</v>
      </c>
      <c r="BF544" s="70">
        <f t="shared" si="695"/>
        <v>0</v>
      </c>
      <c r="BG544" s="34"/>
      <c r="BI544" s="47" t="b">
        <f t="shared" si="696"/>
        <v>1</v>
      </c>
      <c r="BJ544" s="47" t="b">
        <f t="shared" si="697"/>
        <v>1</v>
      </c>
      <c r="BK544" s="42" t="b">
        <f t="shared" si="698"/>
        <v>0</v>
      </c>
      <c r="BL544" s="42" t="b">
        <f t="shared" si="699"/>
        <v>0</v>
      </c>
      <c r="BM544" s="42">
        <f t="shared" si="700"/>
        <v>0</v>
      </c>
      <c r="BN544" s="42">
        <f t="shared" si="701"/>
        <v>0</v>
      </c>
      <c r="BP544" t="e">
        <f t="shared" si="702"/>
        <v>#N/A</v>
      </c>
      <c r="BQ544" t="e">
        <f t="shared" si="703"/>
        <v>#N/A</v>
      </c>
      <c r="BR544" t="e">
        <f t="shared" si="704"/>
        <v>#N/A</v>
      </c>
      <c r="BT544" s="60">
        <f t="shared" si="705"/>
        <v>0</v>
      </c>
      <c r="BU544" s="60">
        <f t="shared" si="706"/>
        <v>0</v>
      </c>
      <c r="BV544" s="60">
        <f t="shared" si="707"/>
        <v>0</v>
      </c>
      <c r="BW544" s="60">
        <f t="shared" si="708"/>
        <v>0</v>
      </c>
      <c r="BX544" s="60">
        <f t="shared" si="709"/>
        <v>0</v>
      </c>
      <c r="BY544" s="60">
        <f t="shared" si="710"/>
        <v>0</v>
      </c>
      <c r="BZ544" s="60">
        <f t="shared" si="711"/>
        <v>0</v>
      </c>
      <c r="CA544" s="60">
        <f t="shared" si="712"/>
        <v>0</v>
      </c>
      <c r="CB544" s="60" t="e">
        <f t="shared" si="662"/>
        <v>#N/A</v>
      </c>
      <c r="CC544" s="60">
        <f t="shared" si="663"/>
        <v>100000</v>
      </c>
      <c r="CD544" s="60" t="e">
        <f t="shared" si="664"/>
        <v>#N/A</v>
      </c>
      <c r="CE544" s="60">
        <f t="shared" si="665"/>
        <v>100000</v>
      </c>
      <c r="CF544" s="83" t="e">
        <f t="shared" si="713"/>
        <v>#N/A</v>
      </c>
      <c r="CG544" s="83">
        <f t="shared" si="714"/>
        <v>0</v>
      </c>
      <c r="CH544" s="83" t="e">
        <f t="shared" si="715"/>
        <v>#N/A</v>
      </c>
      <c r="CI544" s="83">
        <f t="shared" si="716"/>
        <v>0</v>
      </c>
      <c r="CJ544" s="86" t="e">
        <f t="shared" si="666"/>
        <v>#N/A</v>
      </c>
      <c r="CK544" s="82">
        <f t="shared" si="667"/>
        <v>5.3070370403969858E-3</v>
      </c>
      <c r="CL544" s="82" t="e">
        <f t="shared" si="668"/>
        <v>#N/A</v>
      </c>
      <c r="CM544" s="82">
        <f t="shared" si="669"/>
        <v>5.3070370403969858E-3</v>
      </c>
      <c r="CO544" s="149" t="str">
        <f>IF($I544&lt;&gt;"",IF(O544="User Specified",U544,INDEX('Refrigerant GWPs'!$G$2:$G$156,MATCH(O544,'Refrigerant GWPs'!$A$2:$A$156,0))),"")</f>
        <v/>
      </c>
      <c r="CP544" s="138" t="str">
        <f>IF($I544&lt;&gt;"",INDEX('Device Refrigerant Leakage'!$E$2:$E$42,MATCH($M544,'Device Refrigerant Leakage'!$B$2:$B$42,0)),"")</f>
        <v/>
      </c>
      <c r="CQ544" s="138" t="str">
        <f>IF($I544&lt;&gt;"",INDEX('Device Refrigerant Leakage'!$F$2:$F$42,MATCH($M544,'Device Refrigerant Leakage'!$B$2:$B$42,0)),"")</f>
        <v/>
      </c>
      <c r="CR544" s="145" t="str">
        <f>IF($I544&lt;&gt;"",INDEX('Device Refrigerant Leakage'!$G$2:$G$42,MATCH($M544,'Device Refrigerant Leakage'!$B$2:$B$42,0)),"")</f>
        <v/>
      </c>
      <c r="CS544" s="145" t="str">
        <f>IF($I544&lt;&gt;"",INDEX('Device Refrigerant Leakage'!$D$2:$D$42,MATCH($M544,'Device Refrigerant Leakage'!$B$2:$B$42,0))*CP544/2204.62*CO544,"")</f>
        <v/>
      </c>
      <c r="CT544" s="145" t="str">
        <f>IF($I544&lt;&gt;"",J544*(INDEX('Device Refrigerant Leakage'!$D$2:$D$42,MATCH($M544,'Device Refrigerant Leakage'!$B$2:$B$42,0))-(INDEX('Device Refrigerant Leakage'!$D$2:$D$42,MATCH($M544,'Device Refrigerant Leakage'!$B$2:$B$42,0)))*CR544*CP544)*CQ544/2204.62*CO544,"")</f>
        <v/>
      </c>
      <c r="CU544" s="135" t="str">
        <f>IF($I544&lt;&gt;"",J544*IF(W544&lt;&gt;"AR",(CS544*K544)+CT544,(CS544*AB544)+CT544*(AB544/INDEX('Device Refrigerant Leakage'!$C$2:$C$42,MATCH($M544,'Device Refrigerant Leakage'!$B$2:$B$42,0)))),"")</f>
        <v/>
      </c>
      <c r="CW544" s="135" t="str">
        <f>IF($I544&lt;&gt;"",IF(S544="User Specified",V544,INDEX('Refrigerant GWPs'!$G$2:$G$156,MATCH(S544,'Refrigerant GWPs'!$A$2:$A$157,0))),"")</f>
        <v/>
      </c>
      <c r="CX544" s="138" t="str">
        <f>IF($I544&lt;&gt;"",INDEX('Device Refrigerant Leakage'!$E$2:$E$42,MATCH($Q544,'Device Refrigerant Leakage'!$B$2:$B$42,0)),"")</f>
        <v/>
      </c>
      <c r="CY544" s="138" t="str">
        <f>IF($I544&lt;&gt;"",INDEX('Device Refrigerant Leakage'!$F$2:$F$42,MATCH($Q544,'Device Refrigerant Leakage'!$B$2:$B$42,0)),"")</f>
        <v/>
      </c>
      <c r="CZ544" s="145" t="str">
        <f>IF($I544&lt;&gt;"",INDEX('Device Refrigerant Leakage'!$G$2:$G$42,MATCH($Q544,'Device Refrigerant Leakage'!$B$2:$B$42,0)),"")</f>
        <v/>
      </c>
      <c r="DA544" s="145" t="str">
        <f>IF($I544&lt;&gt;"",J544*INDEX('Device Refrigerant Leakage'!$D$2:$D$42,MATCH($Q544,'Device Refrigerant Leakage'!$B$2:$B$42,0))*CX544/2204.62*CW544,"")</f>
        <v/>
      </c>
      <c r="DB544" s="145" t="str">
        <f>IF($I544&lt;&gt;"",J544*(INDEX('Device Refrigerant Leakage'!$D$2:$D$42,MATCH($Q544,'Device Refrigerant Leakage'!$B$2:$B$42,0))-(INDEX('Device Refrigerant Leakage'!$D$2:$D$42,MATCH($Q544,'Device Refrigerant Leakage'!$B$2:$B$42,0)))*CZ544*CX544)*CY544/2204.62*CW544,"")</f>
        <v/>
      </c>
      <c r="DC544" s="135" t="str">
        <f t="shared" si="688"/>
        <v/>
      </c>
      <c r="DE544" s="146" t="str">
        <f>IF(W544&lt;&gt;"AR","",IF(Y544="User Specified", AA544, INDEX('Refrigerant GWPs'!$G$2:$G$154,MATCH(Y544,'Refrigerant GWPs'!$A$2:$A$154,0))))</f>
        <v/>
      </c>
      <c r="DF544" s="146" t="str">
        <f>IF(W544&lt;&gt;"AR","",INDEX('Device Refrigerant Leakage'!$E$2:$E$42,MATCH(X544,'Device Refrigerant Leakage'!$B$2:$B$42,0)))</f>
        <v/>
      </c>
      <c r="DG544" s="146" t="str">
        <f>IF(W544&lt;&gt;"AR","",INDEX('Device Refrigerant Leakage'!$F$2:$F$42,MATCH(X544,'Device Refrigerant Leakage'!$B$2:$B$42,0)))</f>
        <v/>
      </c>
      <c r="DH544" s="146" t="str">
        <f>IF(W544&lt;&gt;"AR","",INDEX('Device Refrigerant Leakage'!$G$2:$G$42,MATCH(X544,'Device Refrigerant Leakage'!$B$2:$B$42,0)))</f>
        <v/>
      </c>
      <c r="DI544" s="146" t="str">
        <f>IF(W544&lt;&gt;"AR","",J544*INDEX('Device Refrigerant Leakage'!$D$2:$D$42,MATCH(X544,'Device Refrigerant Leakage'!$B$2:$B$42,0))*DF544/2204.62*DE544)</f>
        <v/>
      </c>
      <c r="DJ544" s="146" t="str">
        <f>IF(W544&lt;&gt;"AR","",J544*(INDEX('Device Refrigerant Leakage'!$D$2:$D$42,MATCH(X544,'Device Refrigerant Leakage'!$B$2:$B$42,0))-(INDEX('Device Refrigerant Leakage'!$D$2:$D$42,MATCH(X544,'Device Refrigerant Leakage'!$B$2:$B$42,0)))*DH544*DF544)*DG544/2204.62*DE544)</f>
        <v/>
      </c>
      <c r="DK544" s="146" t="str">
        <f>IF(W544&lt;&gt;"AR","",DI544*(K544-AB544)+'Fuel Sub Calcs-Deemed'!DJ544*((K544-AB544)/INDEX('Device Refrigerant Leakage'!$C$2:$C$42,MATCH('Fuel Sub Calcs-Deemed'!X544,'Device Refrigerant Leakage'!$B$2:$B$42,0))))</f>
        <v/>
      </c>
      <c r="DM544" s="56">
        <v>530</v>
      </c>
      <c r="DN544" s="67" t="e">
        <f t="shared" si="670"/>
        <v>#N/A</v>
      </c>
      <c r="DO544" s="45" t="e">
        <f t="shared" si="671"/>
        <v>#N/A</v>
      </c>
      <c r="DP544" s="67" t="e">
        <f t="shared" si="672"/>
        <v>#N/A</v>
      </c>
      <c r="DQ544" s="45" t="e">
        <f t="shared" si="673"/>
        <v>#N/A</v>
      </c>
      <c r="DR544" s="69" t="e">
        <f t="shared" si="674"/>
        <v>#N/A</v>
      </c>
      <c r="DS544" s="34"/>
      <c r="DT544" s="67" t="e">
        <f>((BX544*CJ544)+IF($W544=MAT_AR,(BZ544*CL544),0))*(1+Reference!$E$50+Reference!$E$51)</f>
        <v>#N/A</v>
      </c>
      <c r="DU544" s="67">
        <f>((BY544*CK544)+IF($W544=MAT_AR,(CA544*CM544),0))*(1+Reference!$G$50+Reference!$G$51)</f>
        <v>0</v>
      </c>
      <c r="DV544" s="67" t="e">
        <f t="shared" si="675"/>
        <v>#VALUE!</v>
      </c>
      <c r="DX544" s="56">
        <v>530</v>
      </c>
      <c r="DY544" s="67">
        <f t="shared" si="676"/>
        <v>0</v>
      </c>
      <c r="DZ544" s="45" t="e">
        <f>VLOOKUP($R544,Dropdown!$C$3:$D$4,2,FALSE)</f>
        <v>#N/A</v>
      </c>
      <c r="EA544" s="68">
        <f t="shared" si="677"/>
        <v>0</v>
      </c>
      <c r="EB544" s="68" t="str">
        <f t="shared" si="678"/>
        <v>N/A</v>
      </c>
      <c r="EC544" s="68">
        <f t="shared" si="679"/>
        <v>0</v>
      </c>
      <c r="ED544" s="68" t="str">
        <f t="shared" si="717"/>
        <v>N/A</v>
      </c>
      <c r="EF544" s="56">
        <v>530</v>
      </c>
      <c r="EG544" s="46">
        <f t="shared" si="680"/>
        <v>0</v>
      </c>
      <c r="EH544" s="68" t="e">
        <f t="shared" si="681"/>
        <v>#N/A</v>
      </c>
      <c r="EI544" s="68" t="e">
        <f t="shared" si="682"/>
        <v>#N/A</v>
      </c>
      <c r="EJ544" s="68" t="e">
        <f t="shared" si="683"/>
        <v>#N/A</v>
      </c>
      <c r="EK544" s="68" t="e">
        <f t="shared" si="684"/>
        <v>#N/A</v>
      </c>
      <c r="EL544" s="46">
        <f t="shared" si="685"/>
        <v>0</v>
      </c>
      <c r="EM544" s="46">
        <f t="shared" si="686"/>
        <v>0</v>
      </c>
    </row>
    <row r="545" spans="1:143">
      <c r="A545" s="89"/>
      <c r="B545" s="89"/>
      <c r="C545" s="89"/>
      <c r="D545" s="89"/>
      <c r="E545" s="89"/>
      <c r="F545" s="89"/>
      <c r="G545" s="34"/>
      <c r="H545" s="56">
        <f t="shared" si="687"/>
        <v>531</v>
      </c>
      <c r="I545" s="165"/>
      <c r="J545" s="163"/>
      <c r="K545" s="163"/>
      <c r="L545" s="164"/>
      <c r="M545" s="155"/>
      <c r="N545" s="155"/>
      <c r="O545" s="144"/>
      <c r="P545" s="159" t="str">
        <f>IFERROR(IF(O545&lt;&gt;"User Specified",IF(O545&lt;&gt;"", INDEX('Refrigerant GWPs'!$G$2:$G$154,MATCH(O545,'Refrigerant GWPs'!$A$2:$A$154,0)),""),U545),0)</f>
        <v/>
      </c>
      <c r="Q545" s="155"/>
      <c r="R545" s="155"/>
      <c r="S545" s="144"/>
      <c r="T545" s="159" t="str">
        <f>IF(S545&lt;&gt;"User Specified",IF(AND(S545&lt;&gt;"User Specified",S545&lt;&gt;""), INDEX('Refrigerant GWPs'!$G$2:$G$154,MATCH(S545,'Refrigerant GWPs'!$A$2:$A$154,0)),""),V545)</f>
        <v/>
      </c>
      <c r="U545" s="144"/>
      <c r="V545" s="144"/>
      <c r="W545" s="155"/>
      <c r="X545" s="155"/>
      <c r="Y545" s="144"/>
      <c r="Z545" s="159" t="str">
        <f>IF(AND(Y545&lt;&gt;"User Specified",Y545&lt;&gt;""), INDEX('Refrigerant GWPs'!$G$2:$G$154,MATCH(Y545,'Refrigerant GWPs'!$A$2:$A$154,0)),"")</f>
        <v/>
      </c>
      <c r="AA545" s="155"/>
      <c r="AB545" s="156"/>
      <c r="AC545" s="66"/>
      <c r="AD545" s="66"/>
      <c r="AE545" s="66"/>
      <c r="AF545" s="66"/>
      <c r="AG545" s="66"/>
      <c r="AH545" s="66"/>
      <c r="AI545" s="34"/>
      <c r="AJ545" s="88">
        <f t="shared" si="650"/>
        <v>0</v>
      </c>
      <c r="AK545" s="88">
        <f t="shared" si="651"/>
        <v>0</v>
      </c>
      <c r="AL545" s="88">
        <v>0</v>
      </c>
      <c r="AM545" s="88">
        <v>0</v>
      </c>
      <c r="AN545" s="81" t="str">
        <f t="shared" si="689"/>
        <v/>
      </c>
      <c r="AO545" s="88">
        <f t="shared" si="652"/>
        <v>0</v>
      </c>
      <c r="AP545" s="88">
        <f t="shared" si="653"/>
        <v>0</v>
      </c>
      <c r="AQ545" s="81" t="str">
        <f t="shared" si="654"/>
        <v/>
      </c>
      <c r="AS545" s="41" t="b">
        <f t="shared" si="655"/>
        <v>1</v>
      </c>
      <c r="AT545" s="38">
        <f t="shared" si="656"/>
        <v>0</v>
      </c>
      <c r="AU545" s="60">
        <f t="shared" si="657"/>
        <v>0</v>
      </c>
      <c r="AV545" s="41">
        <f t="shared" si="658"/>
        <v>0</v>
      </c>
      <c r="AW545" s="41" t="b">
        <f t="shared" si="659"/>
        <v>0</v>
      </c>
      <c r="AX545" t="str">
        <f t="shared" si="660"/>
        <v>+00</v>
      </c>
      <c r="AY545" t="str">
        <f t="shared" si="661"/>
        <v>+00</v>
      </c>
      <c r="BA545" s="47" t="b">
        <f t="shared" si="690"/>
        <v>1</v>
      </c>
      <c r="BB545" s="42" t="b">
        <f t="shared" si="691"/>
        <v>1</v>
      </c>
      <c r="BC545" s="42" t="b">
        <f t="shared" si="692"/>
        <v>0</v>
      </c>
      <c r="BD545" s="42" t="b">
        <f t="shared" si="693"/>
        <v>0</v>
      </c>
      <c r="BE545" s="70">
        <f t="shared" si="694"/>
        <v>0</v>
      </c>
      <c r="BF545" s="70">
        <f t="shared" si="695"/>
        <v>0</v>
      </c>
      <c r="BG545" s="34"/>
      <c r="BI545" s="47" t="b">
        <f t="shared" si="696"/>
        <v>1</v>
      </c>
      <c r="BJ545" s="47" t="b">
        <f t="shared" si="697"/>
        <v>1</v>
      </c>
      <c r="BK545" s="42" t="b">
        <f t="shared" si="698"/>
        <v>0</v>
      </c>
      <c r="BL545" s="42" t="b">
        <f t="shared" si="699"/>
        <v>0</v>
      </c>
      <c r="BM545" s="42">
        <f t="shared" si="700"/>
        <v>0</v>
      </c>
      <c r="BN545" s="42">
        <f t="shared" si="701"/>
        <v>0</v>
      </c>
      <c r="BP545" t="e">
        <f t="shared" si="702"/>
        <v>#N/A</v>
      </c>
      <c r="BQ545" t="e">
        <f t="shared" si="703"/>
        <v>#N/A</v>
      </c>
      <c r="BR545" t="e">
        <f t="shared" si="704"/>
        <v>#N/A</v>
      </c>
      <c r="BT545" s="60">
        <f t="shared" si="705"/>
        <v>0</v>
      </c>
      <c r="BU545" s="60">
        <f t="shared" si="706"/>
        <v>0</v>
      </c>
      <c r="BV545" s="60">
        <f t="shared" si="707"/>
        <v>0</v>
      </c>
      <c r="BW545" s="60">
        <f t="shared" si="708"/>
        <v>0</v>
      </c>
      <c r="BX545" s="60">
        <f t="shared" si="709"/>
        <v>0</v>
      </c>
      <c r="BY545" s="60">
        <f t="shared" si="710"/>
        <v>0</v>
      </c>
      <c r="BZ545" s="60">
        <f t="shared" si="711"/>
        <v>0</v>
      </c>
      <c r="CA545" s="60">
        <f t="shared" si="712"/>
        <v>0</v>
      </c>
      <c r="CB545" s="60" t="e">
        <f t="shared" si="662"/>
        <v>#N/A</v>
      </c>
      <c r="CC545" s="60">
        <f t="shared" si="663"/>
        <v>100000</v>
      </c>
      <c r="CD545" s="60" t="e">
        <f t="shared" si="664"/>
        <v>#N/A</v>
      </c>
      <c r="CE545" s="60">
        <f t="shared" si="665"/>
        <v>100000</v>
      </c>
      <c r="CF545" s="83" t="e">
        <f t="shared" si="713"/>
        <v>#N/A</v>
      </c>
      <c r="CG545" s="83">
        <f t="shared" si="714"/>
        <v>0</v>
      </c>
      <c r="CH545" s="83" t="e">
        <f t="shared" si="715"/>
        <v>#N/A</v>
      </c>
      <c r="CI545" s="83">
        <f t="shared" si="716"/>
        <v>0</v>
      </c>
      <c r="CJ545" s="86" t="e">
        <f t="shared" si="666"/>
        <v>#N/A</v>
      </c>
      <c r="CK545" s="82">
        <f t="shared" si="667"/>
        <v>5.3070370403969858E-3</v>
      </c>
      <c r="CL545" s="82" t="e">
        <f t="shared" si="668"/>
        <v>#N/A</v>
      </c>
      <c r="CM545" s="82">
        <f t="shared" si="669"/>
        <v>5.3070370403969858E-3</v>
      </c>
      <c r="CO545" s="149" t="str">
        <f>IF($I545&lt;&gt;"",IF(O545="User Specified",U545,INDEX('Refrigerant GWPs'!$G$2:$G$156,MATCH(O545,'Refrigerant GWPs'!$A$2:$A$156,0))),"")</f>
        <v/>
      </c>
      <c r="CP545" s="138" t="str">
        <f>IF($I545&lt;&gt;"",INDEX('Device Refrigerant Leakage'!$E$2:$E$42,MATCH($M545,'Device Refrigerant Leakage'!$B$2:$B$42,0)),"")</f>
        <v/>
      </c>
      <c r="CQ545" s="138" t="str">
        <f>IF($I545&lt;&gt;"",INDEX('Device Refrigerant Leakage'!$F$2:$F$42,MATCH($M545,'Device Refrigerant Leakage'!$B$2:$B$42,0)),"")</f>
        <v/>
      </c>
      <c r="CR545" s="145" t="str">
        <f>IF($I545&lt;&gt;"",INDEX('Device Refrigerant Leakage'!$G$2:$G$42,MATCH($M545,'Device Refrigerant Leakage'!$B$2:$B$42,0)),"")</f>
        <v/>
      </c>
      <c r="CS545" s="145" t="str">
        <f>IF($I545&lt;&gt;"",INDEX('Device Refrigerant Leakage'!$D$2:$D$42,MATCH($M545,'Device Refrigerant Leakage'!$B$2:$B$42,0))*CP545/2204.62*CO545,"")</f>
        <v/>
      </c>
      <c r="CT545" s="145" t="str">
        <f>IF($I545&lt;&gt;"",J545*(INDEX('Device Refrigerant Leakage'!$D$2:$D$42,MATCH($M545,'Device Refrigerant Leakage'!$B$2:$B$42,0))-(INDEX('Device Refrigerant Leakage'!$D$2:$D$42,MATCH($M545,'Device Refrigerant Leakage'!$B$2:$B$42,0)))*CR545*CP545)*CQ545/2204.62*CO545,"")</f>
        <v/>
      </c>
      <c r="CU545" s="135" t="str">
        <f>IF($I545&lt;&gt;"",J545*IF(W545&lt;&gt;"AR",(CS545*K545)+CT545,(CS545*AB545)+CT545*(AB545/INDEX('Device Refrigerant Leakage'!$C$2:$C$42,MATCH($M545,'Device Refrigerant Leakage'!$B$2:$B$42,0)))),"")</f>
        <v/>
      </c>
      <c r="CW545" s="135" t="str">
        <f>IF($I545&lt;&gt;"",IF(S545="User Specified",V545,INDEX('Refrigerant GWPs'!$G$2:$G$156,MATCH(S545,'Refrigerant GWPs'!$A$2:$A$157,0))),"")</f>
        <v/>
      </c>
      <c r="CX545" s="138" t="str">
        <f>IF($I545&lt;&gt;"",INDEX('Device Refrigerant Leakage'!$E$2:$E$42,MATCH($Q545,'Device Refrigerant Leakage'!$B$2:$B$42,0)),"")</f>
        <v/>
      </c>
      <c r="CY545" s="138" t="str">
        <f>IF($I545&lt;&gt;"",INDEX('Device Refrigerant Leakage'!$F$2:$F$42,MATCH($Q545,'Device Refrigerant Leakage'!$B$2:$B$42,0)),"")</f>
        <v/>
      </c>
      <c r="CZ545" s="145" t="str">
        <f>IF($I545&lt;&gt;"",INDEX('Device Refrigerant Leakage'!$G$2:$G$42,MATCH($Q545,'Device Refrigerant Leakage'!$B$2:$B$42,0)),"")</f>
        <v/>
      </c>
      <c r="DA545" s="145" t="str">
        <f>IF($I545&lt;&gt;"",J545*INDEX('Device Refrigerant Leakage'!$D$2:$D$42,MATCH($Q545,'Device Refrigerant Leakage'!$B$2:$B$42,0))*CX545/2204.62*CW545,"")</f>
        <v/>
      </c>
      <c r="DB545" s="145" t="str">
        <f>IF($I545&lt;&gt;"",J545*(INDEX('Device Refrigerant Leakage'!$D$2:$D$42,MATCH($Q545,'Device Refrigerant Leakage'!$B$2:$B$42,0))-(INDEX('Device Refrigerant Leakage'!$D$2:$D$42,MATCH($Q545,'Device Refrigerant Leakage'!$B$2:$B$42,0)))*CZ545*CX545)*CY545/2204.62*CW545,"")</f>
        <v/>
      </c>
      <c r="DC545" s="135" t="str">
        <f t="shared" si="688"/>
        <v/>
      </c>
      <c r="DE545" s="146" t="str">
        <f>IF(W545&lt;&gt;"AR","",IF(Y545="User Specified", AA545, INDEX('Refrigerant GWPs'!$G$2:$G$154,MATCH(Y545,'Refrigerant GWPs'!$A$2:$A$154,0))))</f>
        <v/>
      </c>
      <c r="DF545" s="146" t="str">
        <f>IF(W545&lt;&gt;"AR","",INDEX('Device Refrigerant Leakage'!$E$2:$E$42,MATCH(X545,'Device Refrigerant Leakage'!$B$2:$B$42,0)))</f>
        <v/>
      </c>
      <c r="DG545" s="146" t="str">
        <f>IF(W545&lt;&gt;"AR","",INDEX('Device Refrigerant Leakage'!$F$2:$F$42,MATCH(X545,'Device Refrigerant Leakage'!$B$2:$B$42,0)))</f>
        <v/>
      </c>
      <c r="DH545" s="146" t="str">
        <f>IF(W545&lt;&gt;"AR","",INDEX('Device Refrigerant Leakage'!$G$2:$G$42,MATCH(X545,'Device Refrigerant Leakage'!$B$2:$B$42,0)))</f>
        <v/>
      </c>
      <c r="DI545" s="146" t="str">
        <f>IF(W545&lt;&gt;"AR","",J545*INDEX('Device Refrigerant Leakage'!$D$2:$D$42,MATCH(X545,'Device Refrigerant Leakage'!$B$2:$B$42,0))*DF545/2204.62*DE545)</f>
        <v/>
      </c>
      <c r="DJ545" s="146" t="str">
        <f>IF(W545&lt;&gt;"AR","",J545*(INDEX('Device Refrigerant Leakage'!$D$2:$D$42,MATCH(X545,'Device Refrigerant Leakage'!$B$2:$B$42,0))-(INDEX('Device Refrigerant Leakage'!$D$2:$D$42,MATCH(X545,'Device Refrigerant Leakage'!$B$2:$B$42,0)))*DH545*DF545)*DG545/2204.62*DE545)</f>
        <v/>
      </c>
      <c r="DK545" s="146" t="str">
        <f>IF(W545&lt;&gt;"AR","",DI545*(K545-AB545)+'Fuel Sub Calcs-Deemed'!DJ545*((K545-AB545)/INDEX('Device Refrigerant Leakage'!$C$2:$C$42,MATCH('Fuel Sub Calcs-Deemed'!X545,'Device Refrigerant Leakage'!$B$2:$B$42,0))))</f>
        <v/>
      </c>
      <c r="DM545" s="56">
        <v>531</v>
      </c>
      <c r="DN545" s="67" t="e">
        <f t="shared" si="670"/>
        <v>#N/A</v>
      </c>
      <c r="DO545" s="45" t="e">
        <f t="shared" si="671"/>
        <v>#N/A</v>
      </c>
      <c r="DP545" s="67" t="e">
        <f t="shared" si="672"/>
        <v>#N/A</v>
      </c>
      <c r="DQ545" s="45" t="e">
        <f t="shared" si="673"/>
        <v>#N/A</v>
      </c>
      <c r="DR545" s="69" t="e">
        <f t="shared" si="674"/>
        <v>#N/A</v>
      </c>
      <c r="DS545" s="34"/>
      <c r="DT545" s="67" t="e">
        <f>((BX545*CJ545)+IF($W545=MAT_AR,(BZ545*CL545),0))*(1+Reference!$E$50+Reference!$E$51)</f>
        <v>#N/A</v>
      </c>
      <c r="DU545" s="67">
        <f>((BY545*CK545)+IF($W545=MAT_AR,(CA545*CM545),0))*(1+Reference!$G$50+Reference!$G$51)</f>
        <v>0</v>
      </c>
      <c r="DV545" s="67" t="e">
        <f t="shared" si="675"/>
        <v>#VALUE!</v>
      </c>
      <c r="DX545" s="56">
        <v>531</v>
      </c>
      <c r="DY545" s="67">
        <f t="shared" si="676"/>
        <v>0</v>
      </c>
      <c r="DZ545" s="45" t="e">
        <f>VLOOKUP($R545,Dropdown!$C$3:$D$4,2,FALSE)</f>
        <v>#N/A</v>
      </c>
      <c r="EA545" s="68">
        <f t="shared" si="677"/>
        <v>0</v>
      </c>
      <c r="EB545" s="68" t="str">
        <f t="shared" si="678"/>
        <v>N/A</v>
      </c>
      <c r="EC545" s="68">
        <f t="shared" si="679"/>
        <v>0</v>
      </c>
      <c r="ED545" s="68" t="str">
        <f t="shared" si="717"/>
        <v>N/A</v>
      </c>
      <c r="EF545" s="56">
        <v>531</v>
      </c>
      <c r="EG545" s="46">
        <f t="shared" si="680"/>
        <v>0</v>
      </c>
      <c r="EH545" s="68" t="e">
        <f t="shared" si="681"/>
        <v>#N/A</v>
      </c>
      <c r="EI545" s="68" t="e">
        <f t="shared" si="682"/>
        <v>#N/A</v>
      </c>
      <c r="EJ545" s="68" t="e">
        <f t="shared" si="683"/>
        <v>#N/A</v>
      </c>
      <c r="EK545" s="68" t="e">
        <f t="shared" si="684"/>
        <v>#N/A</v>
      </c>
      <c r="EL545" s="46">
        <f t="shared" si="685"/>
        <v>0</v>
      </c>
      <c r="EM545" s="46">
        <f t="shared" si="686"/>
        <v>0</v>
      </c>
    </row>
    <row r="546" spans="1:143">
      <c r="A546" s="89"/>
      <c r="B546" s="89"/>
      <c r="C546" s="89"/>
      <c r="D546" s="89"/>
      <c r="E546" s="89"/>
      <c r="F546" s="89"/>
      <c r="G546" s="34"/>
      <c r="H546" s="56">
        <f t="shared" si="687"/>
        <v>532</v>
      </c>
      <c r="I546" s="165"/>
      <c r="J546" s="163"/>
      <c r="K546" s="163"/>
      <c r="L546" s="164"/>
      <c r="M546" s="155"/>
      <c r="N546" s="155"/>
      <c r="O546" s="144"/>
      <c r="P546" s="159" t="str">
        <f>IFERROR(IF(O546&lt;&gt;"User Specified",IF(O546&lt;&gt;"", INDEX('Refrigerant GWPs'!$G$2:$G$154,MATCH(O546,'Refrigerant GWPs'!$A$2:$A$154,0)),""),U546),0)</f>
        <v/>
      </c>
      <c r="Q546" s="155"/>
      <c r="R546" s="155"/>
      <c r="S546" s="144"/>
      <c r="T546" s="159" t="str">
        <f>IF(S546&lt;&gt;"User Specified",IF(AND(S546&lt;&gt;"User Specified",S546&lt;&gt;""), INDEX('Refrigerant GWPs'!$G$2:$G$154,MATCH(S546,'Refrigerant GWPs'!$A$2:$A$154,0)),""),V546)</f>
        <v/>
      </c>
      <c r="U546" s="144"/>
      <c r="V546" s="144"/>
      <c r="W546" s="155"/>
      <c r="X546" s="155"/>
      <c r="Y546" s="144"/>
      <c r="Z546" s="159" t="str">
        <f>IF(AND(Y546&lt;&gt;"User Specified",Y546&lt;&gt;""), INDEX('Refrigerant GWPs'!$G$2:$G$154,MATCH(Y546,'Refrigerant GWPs'!$A$2:$A$154,0)),"")</f>
        <v/>
      </c>
      <c r="AA546" s="155"/>
      <c r="AB546" s="156"/>
      <c r="AC546" s="66"/>
      <c r="AD546" s="66"/>
      <c r="AE546" s="66"/>
      <c r="AF546" s="66"/>
      <c r="AG546" s="66"/>
      <c r="AH546" s="66"/>
      <c r="AI546" s="34"/>
      <c r="AJ546" s="88">
        <f t="shared" si="650"/>
        <v>0</v>
      </c>
      <c r="AK546" s="88">
        <f t="shared" si="651"/>
        <v>0</v>
      </c>
      <c r="AL546" s="88">
        <v>0</v>
      </c>
      <c r="AM546" s="88">
        <v>0</v>
      </c>
      <c r="AN546" s="81" t="str">
        <f t="shared" si="689"/>
        <v/>
      </c>
      <c r="AO546" s="88">
        <f t="shared" si="652"/>
        <v>0</v>
      </c>
      <c r="AP546" s="88">
        <f t="shared" si="653"/>
        <v>0</v>
      </c>
      <c r="AQ546" s="81" t="str">
        <f t="shared" si="654"/>
        <v/>
      </c>
      <c r="AS546" s="41" t="b">
        <f t="shared" si="655"/>
        <v>1</v>
      </c>
      <c r="AT546" s="38">
        <f t="shared" si="656"/>
        <v>0</v>
      </c>
      <c r="AU546" s="60">
        <f t="shared" si="657"/>
        <v>0</v>
      </c>
      <c r="AV546" s="41">
        <f t="shared" si="658"/>
        <v>0</v>
      </c>
      <c r="AW546" s="41" t="b">
        <f t="shared" si="659"/>
        <v>0</v>
      </c>
      <c r="AX546" t="str">
        <f t="shared" si="660"/>
        <v>+00</v>
      </c>
      <c r="AY546" t="str">
        <f t="shared" si="661"/>
        <v>+00</v>
      </c>
      <c r="BA546" s="47" t="b">
        <f t="shared" si="690"/>
        <v>1</v>
      </c>
      <c r="BB546" s="42" t="b">
        <f t="shared" si="691"/>
        <v>1</v>
      </c>
      <c r="BC546" s="42" t="b">
        <f t="shared" si="692"/>
        <v>0</v>
      </c>
      <c r="BD546" s="42" t="b">
        <f t="shared" si="693"/>
        <v>0</v>
      </c>
      <c r="BE546" s="70">
        <f t="shared" si="694"/>
        <v>0</v>
      </c>
      <c r="BF546" s="70">
        <f t="shared" si="695"/>
        <v>0</v>
      </c>
      <c r="BG546" s="34"/>
      <c r="BI546" s="47" t="b">
        <f t="shared" si="696"/>
        <v>1</v>
      </c>
      <c r="BJ546" s="47" t="b">
        <f t="shared" si="697"/>
        <v>1</v>
      </c>
      <c r="BK546" s="42" t="b">
        <f t="shared" si="698"/>
        <v>0</v>
      </c>
      <c r="BL546" s="42" t="b">
        <f t="shared" si="699"/>
        <v>0</v>
      </c>
      <c r="BM546" s="42">
        <f t="shared" si="700"/>
        <v>0</v>
      </c>
      <c r="BN546" s="42">
        <f t="shared" si="701"/>
        <v>0</v>
      </c>
      <c r="BP546" t="e">
        <f t="shared" si="702"/>
        <v>#N/A</v>
      </c>
      <c r="BQ546" t="e">
        <f t="shared" si="703"/>
        <v>#N/A</v>
      </c>
      <c r="BR546" t="e">
        <f t="shared" si="704"/>
        <v>#N/A</v>
      </c>
      <c r="BT546" s="60">
        <f t="shared" si="705"/>
        <v>0</v>
      </c>
      <c r="BU546" s="60">
        <f t="shared" si="706"/>
        <v>0</v>
      </c>
      <c r="BV546" s="60">
        <f t="shared" si="707"/>
        <v>0</v>
      </c>
      <c r="BW546" s="60">
        <f t="shared" si="708"/>
        <v>0</v>
      </c>
      <c r="BX546" s="60">
        <f t="shared" si="709"/>
        <v>0</v>
      </c>
      <c r="BY546" s="60">
        <f t="shared" si="710"/>
        <v>0</v>
      </c>
      <c r="BZ546" s="60">
        <f t="shared" si="711"/>
        <v>0</v>
      </c>
      <c r="CA546" s="60">
        <f t="shared" si="712"/>
        <v>0</v>
      </c>
      <c r="CB546" s="60" t="e">
        <f t="shared" si="662"/>
        <v>#N/A</v>
      </c>
      <c r="CC546" s="60">
        <f t="shared" si="663"/>
        <v>100000</v>
      </c>
      <c r="CD546" s="60" t="e">
        <f t="shared" si="664"/>
        <v>#N/A</v>
      </c>
      <c r="CE546" s="60">
        <f t="shared" si="665"/>
        <v>100000</v>
      </c>
      <c r="CF546" s="83" t="e">
        <f t="shared" si="713"/>
        <v>#N/A</v>
      </c>
      <c r="CG546" s="83">
        <f t="shared" si="714"/>
        <v>0</v>
      </c>
      <c r="CH546" s="83" t="e">
        <f t="shared" si="715"/>
        <v>#N/A</v>
      </c>
      <c r="CI546" s="83">
        <f t="shared" si="716"/>
        <v>0</v>
      </c>
      <c r="CJ546" s="86" t="e">
        <f t="shared" si="666"/>
        <v>#N/A</v>
      </c>
      <c r="CK546" s="82">
        <f t="shared" si="667"/>
        <v>5.3070370403969858E-3</v>
      </c>
      <c r="CL546" s="82" t="e">
        <f t="shared" si="668"/>
        <v>#N/A</v>
      </c>
      <c r="CM546" s="82">
        <f t="shared" si="669"/>
        <v>5.3070370403969858E-3</v>
      </c>
      <c r="CO546" s="149" t="str">
        <f>IF($I546&lt;&gt;"",IF(O546="User Specified",U546,INDEX('Refrigerant GWPs'!$G$2:$G$156,MATCH(O546,'Refrigerant GWPs'!$A$2:$A$156,0))),"")</f>
        <v/>
      </c>
      <c r="CP546" s="138" t="str">
        <f>IF($I546&lt;&gt;"",INDEX('Device Refrigerant Leakage'!$E$2:$E$42,MATCH($M546,'Device Refrigerant Leakage'!$B$2:$B$42,0)),"")</f>
        <v/>
      </c>
      <c r="CQ546" s="138" t="str">
        <f>IF($I546&lt;&gt;"",INDEX('Device Refrigerant Leakage'!$F$2:$F$42,MATCH($M546,'Device Refrigerant Leakage'!$B$2:$B$42,0)),"")</f>
        <v/>
      </c>
      <c r="CR546" s="145" t="str">
        <f>IF($I546&lt;&gt;"",INDEX('Device Refrigerant Leakage'!$G$2:$G$42,MATCH($M546,'Device Refrigerant Leakage'!$B$2:$B$42,0)),"")</f>
        <v/>
      </c>
      <c r="CS546" s="145" t="str">
        <f>IF($I546&lt;&gt;"",INDEX('Device Refrigerant Leakage'!$D$2:$D$42,MATCH($M546,'Device Refrigerant Leakage'!$B$2:$B$42,0))*CP546/2204.62*CO546,"")</f>
        <v/>
      </c>
      <c r="CT546" s="145" t="str">
        <f>IF($I546&lt;&gt;"",J546*(INDEX('Device Refrigerant Leakage'!$D$2:$D$42,MATCH($M546,'Device Refrigerant Leakage'!$B$2:$B$42,0))-(INDEX('Device Refrigerant Leakage'!$D$2:$D$42,MATCH($M546,'Device Refrigerant Leakage'!$B$2:$B$42,0)))*CR546*CP546)*CQ546/2204.62*CO546,"")</f>
        <v/>
      </c>
      <c r="CU546" s="135" t="str">
        <f>IF($I546&lt;&gt;"",J546*IF(W546&lt;&gt;"AR",(CS546*K546)+CT546,(CS546*AB546)+CT546*(AB546/INDEX('Device Refrigerant Leakage'!$C$2:$C$42,MATCH($M546,'Device Refrigerant Leakage'!$B$2:$B$42,0)))),"")</f>
        <v/>
      </c>
      <c r="CW546" s="135" t="str">
        <f>IF($I546&lt;&gt;"",IF(S546="User Specified",V546,INDEX('Refrigerant GWPs'!$G$2:$G$156,MATCH(S546,'Refrigerant GWPs'!$A$2:$A$157,0))),"")</f>
        <v/>
      </c>
      <c r="CX546" s="138" t="str">
        <f>IF($I546&lt;&gt;"",INDEX('Device Refrigerant Leakage'!$E$2:$E$42,MATCH($Q546,'Device Refrigerant Leakage'!$B$2:$B$42,0)),"")</f>
        <v/>
      </c>
      <c r="CY546" s="138" t="str">
        <f>IF($I546&lt;&gt;"",INDEX('Device Refrigerant Leakage'!$F$2:$F$42,MATCH($Q546,'Device Refrigerant Leakage'!$B$2:$B$42,0)),"")</f>
        <v/>
      </c>
      <c r="CZ546" s="145" t="str">
        <f>IF($I546&lt;&gt;"",INDEX('Device Refrigerant Leakage'!$G$2:$G$42,MATCH($Q546,'Device Refrigerant Leakage'!$B$2:$B$42,0)),"")</f>
        <v/>
      </c>
      <c r="DA546" s="145" t="str">
        <f>IF($I546&lt;&gt;"",J546*INDEX('Device Refrigerant Leakage'!$D$2:$D$42,MATCH($Q546,'Device Refrigerant Leakage'!$B$2:$B$42,0))*CX546/2204.62*CW546,"")</f>
        <v/>
      </c>
      <c r="DB546" s="145" t="str">
        <f>IF($I546&lt;&gt;"",J546*(INDEX('Device Refrigerant Leakage'!$D$2:$D$42,MATCH($Q546,'Device Refrigerant Leakage'!$B$2:$B$42,0))-(INDEX('Device Refrigerant Leakage'!$D$2:$D$42,MATCH($Q546,'Device Refrigerant Leakage'!$B$2:$B$42,0)))*CZ546*CX546)*CY546/2204.62*CW546,"")</f>
        <v/>
      </c>
      <c r="DC546" s="135" t="str">
        <f t="shared" si="688"/>
        <v/>
      </c>
      <c r="DE546" s="146" t="str">
        <f>IF(W546&lt;&gt;"AR","",IF(Y546="User Specified", AA546, INDEX('Refrigerant GWPs'!$G$2:$G$154,MATCH(Y546,'Refrigerant GWPs'!$A$2:$A$154,0))))</f>
        <v/>
      </c>
      <c r="DF546" s="146" t="str">
        <f>IF(W546&lt;&gt;"AR","",INDEX('Device Refrigerant Leakage'!$E$2:$E$42,MATCH(X546,'Device Refrigerant Leakage'!$B$2:$B$42,0)))</f>
        <v/>
      </c>
      <c r="DG546" s="146" t="str">
        <f>IF(W546&lt;&gt;"AR","",INDEX('Device Refrigerant Leakage'!$F$2:$F$42,MATCH(X546,'Device Refrigerant Leakage'!$B$2:$B$42,0)))</f>
        <v/>
      </c>
      <c r="DH546" s="146" t="str">
        <f>IF(W546&lt;&gt;"AR","",INDEX('Device Refrigerant Leakage'!$G$2:$G$42,MATCH(X546,'Device Refrigerant Leakage'!$B$2:$B$42,0)))</f>
        <v/>
      </c>
      <c r="DI546" s="146" t="str">
        <f>IF(W546&lt;&gt;"AR","",J546*INDEX('Device Refrigerant Leakage'!$D$2:$D$42,MATCH(X546,'Device Refrigerant Leakage'!$B$2:$B$42,0))*DF546/2204.62*DE546)</f>
        <v/>
      </c>
      <c r="DJ546" s="146" t="str">
        <f>IF(W546&lt;&gt;"AR","",J546*(INDEX('Device Refrigerant Leakage'!$D$2:$D$42,MATCH(X546,'Device Refrigerant Leakage'!$B$2:$B$42,0))-(INDEX('Device Refrigerant Leakage'!$D$2:$D$42,MATCH(X546,'Device Refrigerant Leakage'!$B$2:$B$42,0)))*DH546*DF546)*DG546/2204.62*DE546)</f>
        <v/>
      </c>
      <c r="DK546" s="146" t="str">
        <f>IF(W546&lt;&gt;"AR","",DI546*(K546-AB546)+'Fuel Sub Calcs-Deemed'!DJ546*((K546-AB546)/INDEX('Device Refrigerant Leakage'!$C$2:$C$42,MATCH('Fuel Sub Calcs-Deemed'!X546,'Device Refrigerant Leakage'!$B$2:$B$42,0))))</f>
        <v/>
      </c>
      <c r="DM546" s="56">
        <v>532</v>
      </c>
      <c r="DN546" s="67" t="e">
        <f t="shared" si="670"/>
        <v>#N/A</v>
      </c>
      <c r="DO546" s="45" t="e">
        <f t="shared" si="671"/>
        <v>#N/A</v>
      </c>
      <c r="DP546" s="67" t="e">
        <f t="shared" si="672"/>
        <v>#N/A</v>
      </c>
      <c r="DQ546" s="45" t="e">
        <f t="shared" si="673"/>
        <v>#N/A</v>
      </c>
      <c r="DR546" s="69" t="e">
        <f t="shared" si="674"/>
        <v>#N/A</v>
      </c>
      <c r="DS546" s="34"/>
      <c r="DT546" s="67" t="e">
        <f>((BX546*CJ546)+IF($W546=MAT_AR,(BZ546*CL546),0))*(1+Reference!$E$50+Reference!$E$51)</f>
        <v>#N/A</v>
      </c>
      <c r="DU546" s="67">
        <f>((BY546*CK546)+IF($W546=MAT_AR,(CA546*CM546),0))*(1+Reference!$G$50+Reference!$G$51)</f>
        <v>0</v>
      </c>
      <c r="DV546" s="67" t="e">
        <f t="shared" si="675"/>
        <v>#VALUE!</v>
      </c>
      <c r="DX546" s="56">
        <v>532</v>
      </c>
      <c r="DY546" s="67">
        <f t="shared" si="676"/>
        <v>0</v>
      </c>
      <c r="DZ546" s="45" t="e">
        <f>VLOOKUP($R546,Dropdown!$C$3:$D$4,2,FALSE)</f>
        <v>#N/A</v>
      </c>
      <c r="EA546" s="68">
        <f t="shared" si="677"/>
        <v>0</v>
      </c>
      <c r="EB546" s="68" t="str">
        <f t="shared" si="678"/>
        <v>N/A</v>
      </c>
      <c r="EC546" s="68">
        <f t="shared" si="679"/>
        <v>0</v>
      </c>
      <c r="ED546" s="68" t="str">
        <f t="shared" si="717"/>
        <v>N/A</v>
      </c>
      <c r="EF546" s="56">
        <v>532</v>
      </c>
      <c r="EG546" s="46">
        <f t="shared" si="680"/>
        <v>0</v>
      </c>
      <c r="EH546" s="68" t="e">
        <f t="shared" si="681"/>
        <v>#N/A</v>
      </c>
      <c r="EI546" s="68" t="e">
        <f t="shared" si="682"/>
        <v>#N/A</v>
      </c>
      <c r="EJ546" s="68" t="e">
        <f t="shared" si="683"/>
        <v>#N/A</v>
      </c>
      <c r="EK546" s="68" t="e">
        <f t="shared" si="684"/>
        <v>#N/A</v>
      </c>
      <c r="EL546" s="46">
        <f t="shared" si="685"/>
        <v>0</v>
      </c>
      <c r="EM546" s="46">
        <f t="shared" si="686"/>
        <v>0</v>
      </c>
    </row>
    <row r="547" spans="1:143">
      <c r="A547" s="89"/>
      <c r="B547" s="89"/>
      <c r="C547" s="89"/>
      <c r="D547" s="89"/>
      <c r="E547" s="89"/>
      <c r="F547" s="89"/>
      <c r="G547" s="34"/>
      <c r="H547" s="56">
        <f t="shared" si="687"/>
        <v>533</v>
      </c>
      <c r="I547" s="165"/>
      <c r="J547" s="163"/>
      <c r="K547" s="163"/>
      <c r="L547" s="164"/>
      <c r="M547" s="155"/>
      <c r="N547" s="155"/>
      <c r="O547" s="144"/>
      <c r="P547" s="159" t="str">
        <f>IFERROR(IF(O547&lt;&gt;"User Specified",IF(O547&lt;&gt;"", INDEX('Refrigerant GWPs'!$G$2:$G$154,MATCH(O547,'Refrigerant GWPs'!$A$2:$A$154,0)),""),U547),0)</f>
        <v/>
      </c>
      <c r="Q547" s="155"/>
      <c r="R547" s="155"/>
      <c r="S547" s="144"/>
      <c r="T547" s="159" t="str">
        <f>IF(S547&lt;&gt;"User Specified",IF(AND(S547&lt;&gt;"User Specified",S547&lt;&gt;""), INDEX('Refrigerant GWPs'!$G$2:$G$154,MATCH(S547,'Refrigerant GWPs'!$A$2:$A$154,0)),""),V547)</f>
        <v/>
      </c>
      <c r="U547" s="144"/>
      <c r="V547" s="144"/>
      <c r="W547" s="155"/>
      <c r="X547" s="155"/>
      <c r="Y547" s="144"/>
      <c r="Z547" s="159" t="str">
        <f>IF(AND(Y547&lt;&gt;"User Specified",Y547&lt;&gt;""), INDEX('Refrigerant GWPs'!$G$2:$G$154,MATCH(Y547,'Refrigerant GWPs'!$A$2:$A$154,0)),"")</f>
        <v/>
      </c>
      <c r="AA547" s="155"/>
      <c r="AB547" s="156"/>
      <c r="AC547" s="66"/>
      <c r="AD547" s="66"/>
      <c r="AE547" s="66"/>
      <c r="AF547" s="66"/>
      <c r="AG547" s="66"/>
      <c r="AH547" s="66"/>
      <c r="AI547" s="34"/>
      <c r="AJ547" s="88">
        <f t="shared" si="650"/>
        <v>0</v>
      </c>
      <c r="AK547" s="88">
        <f t="shared" si="651"/>
        <v>0</v>
      </c>
      <c r="AL547" s="88">
        <v>0</v>
      </c>
      <c r="AM547" s="88">
        <v>0</v>
      </c>
      <c r="AN547" s="81" t="str">
        <f t="shared" si="689"/>
        <v/>
      </c>
      <c r="AO547" s="88">
        <f t="shared" si="652"/>
        <v>0</v>
      </c>
      <c r="AP547" s="88">
        <f t="shared" si="653"/>
        <v>0</v>
      </c>
      <c r="AQ547" s="81" t="str">
        <f t="shared" si="654"/>
        <v/>
      </c>
      <c r="AS547" s="41" t="b">
        <f t="shared" si="655"/>
        <v>1</v>
      </c>
      <c r="AT547" s="38">
        <f t="shared" si="656"/>
        <v>0</v>
      </c>
      <c r="AU547" s="60">
        <f t="shared" si="657"/>
        <v>0</v>
      </c>
      <c r="AV547" s="41">
        <f t="shared" si="658"/>
        <v>0</v>
      </c>
      <c r="AW547" s="41" t="b">
        <f t="shared" si="659"/>
        <v>0</v>
      </c>
      <c r="AX547" t="str">
        <f t="shared" si="660"/>
        <v>+00</v>
      </c>
      <c r="AY547" t="str">
        <f t="shared" si="661"/>
        <v>+00</v>
      </c>
      <c r="BA547" s="47" t="b">
        <f t="shared" si="690"/>
        <v>1</v>
      </c>
      <c r="BB547" s="42" t="b">
        <f t="shared" si="691"/>
        <v>1</v>
      </c>
      <c r="BC547" s="42" t="b">
        <f t="shared" si="692"/>
        <v>0</v>
      </c>
      <c r="BD547" s="42" t="b">
        <f t="shared" si="693"/>
        <v>0</v>
      </c>
      <c r="BE547" s="70">
        <f t="shared" si="694"/>
        <v>0</v>
      </c>
      <c r="BF547" s="70">
        <f t="shared" si="695"/>
        <v>0</v>
      </c>
      <c r="BG547" s="34"/>
      <c r="BI547" s="47" t="b">
        <f t="shared" si="696"/>
        <v>1</v>
      </c>
      <c r="BJ547" s="47" t="b">
        <f t="shared" si="697"/>
        <v>1</v>
      </c>
      <c r="BK547" s="42" t="b">
        <f t="shared" si="698"/>
        <v>0</v>
      </c>
      <c r="BL547" s="42" t="b">
        <f t="shared" si="699"/>
        <v>0</v>
      </c>
      <c r="BM547" s="42">
        <f t="shared" si="700"/>
        <v>0</v>
      </c>
      <c r="BN547" s="42">
        <f t="shared" si="701"/>
        <v>0</v>
      </c>
      <c r="BP547" t="e">
        <f t="shared" si="702"/>
        <v>#N/A</v>
      </c>
      <c r="BQ547" t="e">
        <f t="shared" si="703"/>
        <v>#N/A</v>
      </c>
      <c r="BR547" t="e">
        <f t="shared" si="704"/>
        <v>#N/A</v>
      </c>
      <c r="BT547" s="60">
        <f t="shared" si="705"/>
        <v>0</v>
      </c>
      <c r="BU547" s="60">
        <f t="shared" si="706"/>
        <v>0</v>
      </c>
      <c r="BV547" s="60">
        <f t="shared" si="707"/>
        <v>0</v>
      </c>
      <c r="BW547" s="60">
        <f t="shared" si="708"/>
        <v>0</v>
      </c>
      <c r="BX547" s="60">
        <f t="shared" si="709"/>
        <v>0</v>
      </c>
      <c r="BY547" s="60">
        <f t="shared" si="710"/>
        <v>0</v>
      </c>
      <c r="BZ547" s="60">
        <f t="shared" si="711"/>
        <v>0</v>
      </c>
      <c r="CA547" s="60">
        <f t="shared" si="712"/>
        <v>0</v>
      </c>
      <c r="CB547" s="60" t="e">
        <f t="shared" si="662"/>
        <v>#N/A</v>
      </c>
      <c r="CC547" s="60">
        <f t="shared" si="663"/>
        <v>100000</v>
      </c>
      <c r="CD547" s="60" t="e">
        <f t="shared" si="664"/>
        <v>#N/A</v>
      </c>
      <c r="CE547" s="60">
        <f t="shared" si="665"/>
        <v>100000</v>
      </c>
      <c r="CF547" s="83" t="e">
        <f t="shared" si="713"/>
        <v>#N/A</v>
      </c>
      <c r="CG547" s="83">
        <f t="shared" si="714"/>
        <v>0</v>
      </c>
      <c r="CH547" s="83" t="e">
        <f t="shared" si="715"/>
        <v>#N/A</v>
      </c>
      <c r="CI547" s="83">
        <f t="shared" si="716"/>
        <v>0</v>
      </c>
      <c r="CJ547" s="86" t="e">
        <f t="shared" si="666"/>
        <v>#N/A</v>
      </c>
      <c r="CK547" s="82">
        <f t="shared" si="667"/>
        <v>5.3070370403969858E-3</v>
      </c>
      <c r="CL547" s="82" t="e">
        <f t="shared" si="668"/>
        <v>#N/A</v>
      </c>
      <c r="CM547" s="82">
        <f t="shared" si="669"/>
        <v>5.3070370403969858E-3</v>
      </c>
      <c r="CO547" s="149" t="str">
        <f>IF($I547&lt;&gt;"",IF(O547="User Specified",U547,INDEX('Refrigerant GWPs'!$G$2:$G$156,MATCH(O547,'Refrigerant GWPs'!$A$2:$A$156,0))),"")</f>
        <v/>
      </c>
      <c r="CP547" s="138" t="str">
        <f>IF($I547&lt;&gt;"",INDEX('Device Refrigerant Leakage'!$E$2:$E$42,MATCH($M547,'Device Refrigerant Leakage'!$B$2:$B$42,0)),"")</f>
        <v/>
      </c>
      <c r="CQ547" s="138" t="str">
        <f>IF($I547&lt;&gt;"",INDEX('Device Refrigerant Leakage'!$F$2:$F$42,MATCH($M547,'Device Refrigerant Leakage'!$B$2:$B$42,0)),"")</f>
        <v/>
      </c>
      <c r="CR547" s="145" t="str">
        <f>IF($I547&lt;&gt;"",INDEX('Device Refrigerant Leakage'!$G$2:$G$42,MATCH($M547,'Device Refrigerant Leakage'!$B$2:$B$42,0)),"")</f>
        <v/>
      </c>
      <c r="CS547" s="145" t="str">
        <f>IF($I547&lt;&gt;"",INDEX('Device Refrigerant Leakage'!$D$2:$D$42,MATCH($M547,'Device Refrigerant Leakage'!$B$2:$B$42,0))*CP547/2204.62*CO547,"")</f>
        <v/>
      </c>
      <c r="CT547" s="145" t="str">
        <f>IF($I547&lt;&gt;"",J547*(INDEX('Device Refrigerant Leakage'!$D$2:$D$42,MATCH($M547,'Device Refrigerant Leakage'!$B$2:$B$42,0))-(INDEX('Device Refrigerant Leakage'!$D$2:$D$42,MATCH($M547,'Device Refrigerant Leakage'!$B$2:$B$42,0)))*CR547*CP547)*CQ547/2204.62*CO547,"")</f>
        <v/>
      </c>
      <c r="CU547" s="135" t="str">
        <f>IF($I547&lt;&gt;"",J547*IF(W547&lt;&gt;"AR",(CS547*K547)+CT547,(CS547*AB547)+CT547*(AB547/INDEX('Device Refrigerant Leakage'!$C$2:$C$42,MATCH($M547,'Device Refrigerant Leakage'!$B$2:$B$42,0)))),"")</f>
        <v/>
      </c>
      <c r="CW547" s="135" t="str">
        <f>IF($I547&lt;&gt;"",IF(S547="User Specified",V547,INDEX('Refrigerant GWPs'!$G$2:$G$156,MATCH(S547,'Refrigerant GWPs'!$A$2:$A$157,0))),"")</f>
        <v/>
      </c>
      <c r="CX547" s="138" t="str">
        <f>IF($I547&lt;&gt;"",INDEX('Device Refrigerant Leakage'!$E$2:$E$42,MATCH($Q547,'Device Refrigerant Leakage'!$B$2:$B$42,0)),"")</f>
        <v/>
      </c>
      <c r="CY547" s="138" t="str">
        <f>IF($I547&lt;&gt;"",INDEX('Device Refrigerant Leakage'!$F$2:$F$42,MATCH($Q547,'Device Refrigerant Leakage'!$B$2:$B$42,0)),"")</f>
        <v/>
      </c>
      <c r="CZ547" s="145" t="str">
        <f>IF($I547&lt;&gt;"",INDEX('Device Refrigerant Leakage'!$G$2:$G$42,MATCH($Q547,'Device Refrigerant Leakage'!$B$2:$B$42,0)),"")</f>
        <v/>
      </c>
      <c r="DA547" s="145" t="str">
        <f>IF($I547&lt;&gt;"",J547*INDEX('Device Refrigerant Leakage'!$D$2:$D$42,MATCH($Q547,'Device Refrigerant Leakage'!$B$2:$B$42,0))*CX547/2204.62*CW547,"")</f>
        <v/>
      </c>
      <c r="DB547" s="145" t="str">
        <f>IF($I547&lt;&gt;"",J547*(INDEX('Device Refrigerant Leakage'!$D$2:$D$42,MATCH($Q547,'Device Refrigerant Leakage'!$B$2:$B$42,0))-(INDEX('Device Refrigerant Leakage'!$D$2:$D$42,MATCH($Q547,'Device Refrigerant Leakage'!$B$2:$B$42,0)))*CZ547*CX547)*CY547/2204.62*CW547,"")</f>
        <v/>
      </c>
      <c r="DC547" s="135" t="str">
        <f t="shared" si="688"/>
        <v/>
      </c>
      <c r="DE547" s="146" t="str">
        <f>IF(W547&lt;&gt;"AR","",IF(Y547="User Specified", AA547, INDEX('Refrigerant GWPs'!$G$2:$G$154,MATCH(Y547,'Refrigerant GWPs'!$A$2:$A$154,0))))</f>
        <v/>
      </c>
      <c r="DF547" s="146" t="str">
        <f>IF(W547&lt;&gt;"AR","",INDEX('Device Refrigerant Leakage'!$E$2:$E$42,MATCH(X547,'Device Refrigerant Leakage'!$B$2:$B$42,0)))</f>
        <v/>
      </c>
      <c r="DG547" s="146" t="str">
        <f>IF(W547&lt;&gt;"AR","",INDEX('Device Refrigerant Leakage'!$F$2:$F$42,MATCH(X547,'Device Refrigerant Leakage'!$B$2:$B$42,0)))</f>
        <v/>
      </c>
      <c r="DH547" s="146" t="str">
        <f>IF(W547&lt;&gt;"AR","",INDEX('Device Refrigerant Leakage'!$G$2:$G$42,MATCH(X547,'Device Refrigerant Leakage'!$B$2:$B$42,0)))</f>
        <v/>
      </c>
      <c r="DI547" s="146" t="str">
        <f>IF(W547&lt;&gt;"AR","",J547*INDEX('Device Refrigerant Leakage'!$D$2:$D$42,MATCH(X547,'Device Refrigerant Leakage'!$B$2:$B$42,0))*DF547/2204.62*DE547)</f>
        <v/>
      </c>
      <c r="DJ547" s="146" t="str">
        <f>IF(W547&lt;&gt;"AR","",J547*(INDEX('Device Refrigerant Leakage'!$D$2:$D$42,MATCH(X547,'Device Refrigerant Leakage'!$B$2:$B$42,0))-(INDEX('Device Refrigerant Leakage'!$D$2:$D$42,MATCH(X547,'Device Refrigerant Leakage'!$B$2:$B$42,0)))*DH547*DF547)*DG547/2204.62*DE547)</f>
        <v/>
      </c>
      <c r="DK547" s="146" t="str">
        <f>IF(W547&lt;&gt;"AR","",DI547*(K547-AB547)+'Fuel Sub Calcs-Deemed'!DJ547*((K547-AB547)/INDEX('Device Refrigerant Leakage'!$C$2:$C$42,MATCH('Fuel Sub Calcs-Deemed'!X547,'Device Refrigerant Leakage'!$B$2:$B$42,0))))</f>
        <v/>
      </c>
      <c r="DM547" s="56">
        <v>533</v>
      </c>
      <c r="DN547" s="67" t="e">
        <f t="shared" si="670"/>
        <v>#N/A</v>
      </c>
      <c r="DO547" s="45" t="e">
        <f t="shared" si="671"/>
        <v>#N/A</v>
      </c>
      <c r="DP547" s="67" t="e">
        <f t="shared" si="672"/>
        <v>#N/A</v>
      </c>
      <c r="DQ547" s="45" t="e">
        <f t="shared" si="673"/>
        <v>#N/A</v>
      </c>
      <c r="DR547" s="69" t="e">
        <f t="shared" si="674"/>
        <v>#N/A</v>
      </c>
      <c r="DS547" s="34"/>
      <c r="DT547" s="67" t="e">
        <f>((BX547*CJ547)+IF($W547=MAT_AR,(BZ547*CL547),0))*(1+Reference!$E$50+Reference!$E$51)</f>
        <v>#N/A</v>
      </c>
      <c r="DU547" s="67">
        <f>((BY547*CK547)+IF($W547=MAT_AR,(CA547*CM547),0))*(1+Reference!$G$50+Reference!$G$51)</f>
        <v>0</v>
      </c>
      <c r="DV547" s="67" t="e">
        <f t="shared" si="675"/>
        <v>#VALUE!</v>
      </c>
      <c r="DX547" s="56">
        <v>533</v>
      </c>
      <c r="DY547" s="67">
        <f t="shared" si="676"/>
        <v>0</v>
      </c>
      <c r="DZ547" s="45" t="e">
        <f>VLOOKUP($R547,Dropdown!$C$3:$D$4,2,FALSE)</f>
        <v>#N/A</v>
      </c>
      <c r="EA547" s="68">
        <f t="shared" si="677"/>
        <v>0</v>
      </c>
      <c r="EB547" s="68" t="str">
        <f t="shared" si="678"/>
        <v>N/A</v>
      </c>
      <c r="EC547" s="68">
        <f t="shared" si="679"/>
        <v>0</v>
      </c>
      <c r="ED547" s="68" t="str">
        <f t="shared" si="717"/>
        <v>N/A</v>
      </c>
      <c r="EF547" s="56">
        <v>533</v>
      </c>
      <c r="EG547" s="46">
        <f t="shared" si="680"/>
        <v>0</v>
      </c>
      <c r="EH547" s="68" t="e">
        <f t="shared" si="681"/>
        <v>#N/A</v>
      </c>
      <c r="EI547" s="68" t="e">
        <f t="shared" si="682"/>
        <v>#N/A</v>
      </c>
      <c r="EJ547" s="68" t="e">
        <f t="shared" si="683"/>
        <v>#N/A</v>
      </c>
      <c r="EK547" s="68" t="e">
        <f t="shared" si="684"/>
        <v>#N/A</v>
      </c>
      <c r="EL547" s="46">
        <f t="shared" si="685"/>
        <v>0</v>
      </c>
      <c r="EM547" s="46">
        <f t="shared" si="686"/>
        <v>0</v>
      </c>
    </row>
    <row r="548" spans="1:143">
      <c r="A548" s="89"/>
      <c r="B548" s="89"/>
      <c r="C548" s="89"/>
      <c r="D548" s="89"/>
      <c r="E548" s="89"/>
      <c r="F548" s="89"/>
      <c r="G548" s="34"/>
      <c r="H548" s="56">
        <f t="shared" si="687"/>
        <v>534</v>
      </c>
      <c r="I548" s="165"/>
      <c r="J548" s="163"/>
      <c r="K548" s="163"/>
      <c r="L548" s="164"/>
      <c r="M548" s="155"/>
      <c r="N548" s="155"/>
      <c r="O548" s="144"/>
      <c r="P548" s="159" t="str">
        <f>IFERROR(IF(O548&lt;&gt;"User Specified",IF(O548&lt;&gt;"", INDEX('Refrigerant GWPs'!$G$2:$G$154,MATCH(O548,'Refrigerant GWPs'!$A$2:$A$154,0)),""),U548),0)</f>
        <v/>
      </c>
      <c r="Q548" s="155"/>
      <c r="R548" s="155"/>
      <c r="S548" s="144"/>
      <c r="T548" s="159" t="str">
        <f>IF(S548&lt;&gt;"User Specified",IF(AND(S548&lt;&gt;"User Specified",S548&lt;&gt;""), INDEX('Refrigerant GWPs'!$G$2:$G$154,MATCH(S548,'Refrigerant GWPs'!$A$2:$A$154,0)),""),V548)</f>
        <v/>
      </c>
      <c r="U548" s="144"/>
      <c r="V548" s="144"/>
      <c r="W548" s="155"/>
      <c r="X548" s="155"/>
      <c r="Y548" s="144"/>
      <c r="Z548" s="159" t="str">
        <f>IF(AND(Y548&lt;&gt;"User Specified",Y548&lt;&gt;""), INDEX('Refrigerant GWPs'!$G$2:$G$154,MATCH(Y548,'Refrigerant GWPs'!$A$2:$A$154,0)),"")</f>
        <v/>
      </c>
      <c r="AA548" s="155"/>
      <c r="AB548" s="156"/>
      <c r="AC548" s="66"/>
      <c r="AD548" s="66"/>
      <c r="AE548" s="66"/>
      <c r="AF548" s="66"/>
      <c r="AG548" s="66"/>
      <c r="AH548" s="66"/>
      <c r="AI548" s="34"/>
      <c r="AJ548" s="88">
        <f t="shared" si="650"/>
        <v>0</v>
      </c>
      <c r="AK548" s="88">
        <f t="shared" si="651"/>
        <v>0</v>
      </c>
      <c r="AL548" s="88">
        <v>0</v>
      </c>
      <c r="AM548" s="88">
        <v>0</v>
      </c>
      <c r="AN548" s="81" t="str">
        <f t="shared" si="689"/>
        <v/>
      </c>
      <c r="AO548" s="88">
        <f t="shared" si="652"/>
        <v>0</v>
      </c>
      <c r="AP548" s="88">
        <f t="shared" si="653"/>
        <v>0</v>
      </c>
      <c r="AQ548" s="81" t="str">
        <f t="shared" si="654"/>
        <v/>
      </c>
      <c r="AS548" s="41" t="b">
        <f t="shared" si="655"/>
        <v>1</v>
      </c>
      <c r="AT548" s="38">
        <f t="shared" si="656"/>
        <v>0</v>
      </c>
      <c r="AU548" s="60">
        <f t="shared" si="657"/>
        <v>0</v>
      </c>
      <c r="AV548" s="41">
        <f t="shared" si="658"/>
        <v>0</v>
      </c>
      <c r="AW548" s="41" t="b">
        <f t="shared" si="659"/>
        <v>0</v>
      </c>
      <c r="AX548" t="str">
        <f t="shared" si="660"/>
        <v>+00</v>
      </c>
      <c r="AY548" t="str">
        <f t="shared" si="661"/>
        <v>+00</v>
      </c>
      <c r="BA548" s="47" t="b">
        <f t="shared" si="690"/>
        <v>1</v>
      </c>
      <c r="BB548" s="42" t="b">
        <f t="shared" si="691"/>
        <v>1</v>
      </c>
      <c r="BC548" s="42" t="b">
        <f t="shared" si="692"/>
        <v>0</v>
      </c>
      <c r="BD548" s="42" t="b">
        <f t="shared" si="693"/>
        <v>0</v>
      </c>
      <c r="BE548" s="70">
        <f t="shared" si="694"/>
        <v>0</v>
      </c>
      <c r="BF548" s="70">
        <f t="shared" si="695"/>
        <v>0</v>
      </c>
      <c r="BG548" s="34"/>
      <c r="BI548" s="47" t="b">
        <f t="shared" si="696"/>
        <v>1</v>
      </c>
      <c r="BJ548" s="47" t="b">
        <f t="shared" si="697"/>
        <v>1</v>
      </c>
      <c r="BK548" s="42" t="b">
        <f t="shared" si="698"/>
        <v>0</v>
      </c>
      <c r="BL548" s="42" t="b">
        <f t="shared" si="699"/>
        <v>0</v>
      </c>
      <c r="BM548" s="42">
        <f t="shared" si="700"/>
        <v>0</v>
      </c>
      <c r="BN548" s="42">
        <f t="shared" si="701"/>
        <v>0</v>
      </c>
      <c r="BP548" t="e">
        <f t="shared" si="702"/>
        <v>#N/A</v>
      </c>
      <c r="BQ548" t="e">
        <f t="shared" si="703"/>
        <v>#N/A</v>
      </c>
      <c r="BR548" t="e">
        <f t="shared" si="704"/>
        <v>#N/A</v>
      </c>
      <c r="BT548" s="60">
        <f t="shared" si="705"/>
        <v>0</v>
      </c>
      <c r="BU548" s="60">
        <f t="shared" si="706"/>
        <v>0</v>
      </c>
      <c r="BV548" s="60">
        <f t="shared" si="707"/>
        <v>0</v>
      </c>
      <c r="BW548" s="60">
        <f t="shared" si="708"/>
        <v>0</v>
      </c>
      <c r="BX548" s="60">
        <f t="shared" si="709"/>
        <v>0</v>
      </c>
      <c r="BY548" s="60">
        <f t="shared" si="710"/>
        <v>0</v>
      </c>
      <c r="BZ548" s="60">
        <f t="shared" si="711"/>
        <v>0</v>
      </c>
      <c r="CA548" s="60">
        <f t="shared" si="712"/>
        <v>0</v>
      </c>
      <c r="CB548" s="60" t="e">
        <f t="shared" si="662"/>
        <v>#N/A</v>
      </c>
      <c r="CC548" s="60">
        <f t="shared" si="663"/>
        <v>100000</v>
      </c>
      <c r="CD548" s="60" t="e">
        <f t="shared" si="664"/>
        <v>#N/A</v>
      </c>
      <c r="CE548" s="60">
        <f t="shared" si="665"/>
        <v>100000</v>
      </c>
      <c r="CF548" s="83" t="e">
        <f t="shared" si="713"/>
        <v>#N/A</v>
      </c>
      <c r="CG548" s="83">
        <f t="shared" si="714"/>
        <v>0</v>
      </c>
      <c r="CH548" s="83" t="e">
        <f t="shared" si="715"/>
        <v>#N/A</v>
      </c>
      <c r="CI548" s="83">
        <f t="shared" si="716"/>
        <v>0</v>
      </c>
      <c r="CJ548" s="86" t="e">
        <f t="shared" si="666"/>
        <v>#N/A</v>
      </c>
      <c r="CK548" s="82">
        <f t="shared" si="667"/>
        <v>5.3070370403969858E-3</v>
      </c>
      <c r="CL548" s="82" t="e">
        <f t="shared" si="668"/>
        <v>#N/A</v>
      </c>
      <c r="CM548" s="82">
        <f t="shared" si="669"/>
        <v>5.3070370403969858E-3</v>
      </c>
      <c r="CO548" s="149" t="str">
        <f>IF($I548&lt;&gt;"",IF(O548="User Specified",U548,INDEX('Refrigerant GWPs'!$G$2:$G$156,MATCH(O548,'Refrigerant GWPs'!$A$2:$A$156,0))),"")</f>
        <v/>
      </c>
      <c r="CP548" s="138" t="str">
        <f>IF($I548&lt;&gt;"",INDEX('Device Refrigerant Leakage'!$E$2:$E$42,MATCH($M548,'Device Refrigerant Leakage'!$B$2:$B$42,0)),"")</f>
        <v/>
      </c>
      <c r="CQ548" s="138" t="str">
        <f>IF($I548&lt;&gt;"",INDEX('Device Refrigerant Leakage'!$F$2:$F$42,MATCH($M548,'Device Refrigerant Leakage'!$B$2:$B$42,0)),"")</f>
        <v/>
      </c>
      <c r="CR548" s="145" t="str">
        <f>IF($I548&lt;&gt;"",INDEX('Device Refrigerant Leakage'!$G$2:$G$42,MATCH($M548,'Device Refrigerant Leakage'!$B$2:$B$42,0)),"")</f>
        <v/>
      </c>
      <c r="CS548" s="145" t="str">
        <f>IF($I548&lt;&gt;"",INDEX('Device Refrigerant Leakage'!$D$2:$D$42,MATCH($M548,'Device Refrigerant Leakage'!$B$2:$B$42,0))*CP548/2204.62*CO548,"")</f>
        <v/>
      </c>
      <c r="CT548" s="145" t="str">
        <f>IF($I548&lt;&gt;"",J548*(INDEX('Device Refrigerant Leakage'!$D$2:$D$42,MATCH($M548,'Device Refrigerant Leakage'!$B$2:$B$42,0))-(INDEX('Device Refrigerant Leakage'!$D$2:$D$42,MATCH($M548,'Device Refrigerant Leakage'!$B$2:$B$42,0)))*CR548*CP548)*CQ548/2204.62*CO548,"")</f>
        <v/>
      </c>
      <c r="CU548" s="135" t="str">
        <f>IF($I548&lt;&gt;"",J548*IF(W548&lt;&gt;"AR",(CS548*K548)+CT548,(CS548*AB548)+CT548*(AB548/INDEX('Device Refrigerant Leakage'!$C$2:$C$42,MATCH($M548,'Device Refrigerant Leakage'!$B$2:$B$42,0)))),"")</f>
        <v/>
      </c>
      <c r="CW548" s="135" t="str">
        <f>IF($I548&lt;&gt;"",IF(S548="User Specified",V548,INDEX('Refrigerant GWPs'!$G$2:$G$156,MATCH(S548,'Refrigerant GWPs'!$A$2:$A$157,0))),"")</f>
        <v/>
      </c>
      <c r="CX548" s="138" t="str">
        <f>IF($I548&lt;&gt;"",INDEX('Device Refrigerant Leakage'!$E$2:$E$42,MATCH($Q548,'Device Refrigerant Leakage'!$B$2:$B$42,0)),"")</f>
        <v/>
      </c>
      <c r="CY548" s="138" t="str">
        <f>IF($I548&lt;&gt;"",INDEX('Device Refrigerant Leakage'!$F$2:$F$42,MATCH($Q548,'Device Refrigerant Leakage'!$B$2:$B$42,0)),"")</f>
        <v/>
      </c>
      <c r="CZ548" s="145" t="str">
        <f>IF($I548&lt;&gt;"",INDEX('Device Refrigerant Leakage'!$G$2:$G$42,MATCH($Q548,'Device Refrigerant Leakage'!$B$2:$B$42,0)),"")</f>
        <v/>
      </c>
      <c r="DA548" s="145" t="str">
        <f>IF($I548&lt;&gt;"",J548*INDEX('Device Refrigerant Leakage'!$D$2:$D$42,MATCH($Q548,'Device Refrigerant Leakage'!$B$2:$B$42,0))*CX548/2204.62*CW548,"")</f>
        <v/>
      </c>
      <c r="DB548" s="145" t="str">
        <f>IF($I548&lt;&gt;"",J548*(INDEX('Device Refrigerant Leakage'!$D$2:$D$42,MATCH($Q548,'Device Refrigerant Leakage'!$B$2:$B$42,0))-(INDEX('Device Refrigerant Leakage'!$D$2:$D$42,MATCH($Q548,'Device Refrigerant Leakage'!$B$2:$B$42,0)))*CZ548*CX548)*CY548/2204.62*CW548,"")</f>
        <v/>
      </c>
      <c r="DC548" s="135" t="str">
        <f t="shared" si="688"/>
        <v/>
      </c>
      <c r="DE548" s="146" t="str">
        <f>IF(W548&lt;&gt;"AR","",IF(Y548="User Specified", AA548, INDEX('Refrigerant GWPs'!$G$2:$G$154,MATCH(Y548,'Refrigerant GWPs'!$A$2:$A$154,0))))</f>
        <v/>
      </c>
      <c r="DF548" s="146" t="str">
        <f>IF(W548&lt;&gt;"AR","",INDEX('Device Refrigerant Leakage'!$E$2:$E$42,MATCH(X548,'Device Refrigerant Leakage'!$B$2:$B$42,0)))</f>
        <v/>
      </c>
      <c r="DG548" s="146" t="str">
        <f>IF(W548&lt;&gt;"AR","",INDEX('Device Refrigerant Leakage'!$F$2:$F$42,MATCH(X548,'Device Refrigerant Leakage'!$B$2:$B$42,0)))</f>
        <v/>
      </c>
      <c r="DH548" s="146" t="str">
        <f>IF(W548&lt;&gt;"AR","",INDEX('Device Refrigerant Leakage'!$G$2:$G$42,MATCH(X548,'Device Refrigerant Leakage'!$B$2:$B$42,0)))</f>
        <v/>
      </c>
      <c r="DI548" s="146" t="str">
        <f>IF(W548&lt;&gt;"AR","",J548*INDEX('Device Refrigerant Leakage'!$D$2:$D$42,MATCH(X548,'Device Refrigerant Leakage'!$B$2:$B$42,0))*DF548/2204.62*DE548)</f>
        <v/>
      </c>
      <c r="DJ548" s="146" t="str">
        <f>IF(W548&lt;&gt;"AR","",J548*(INDEX('Device Refrigerant Leakage'!$D$2:$D$42,MATCH(X548,'Device Refrigerant Leakage'!$B$2:$B$42,0))-(INDEX('Device Refrigerant Leakage'!$D$2:$D$42,MATCH(X548,'Device Refrigerant Leakage'!$B$2:$B$42,0)))*DH548*DF548)*DG548/2204.62*DE548)</f>
        <v/>
      </c>
      <c r="DK548" s="146" t="str">
        <f>IF(W548&lt;&gt;"AR","",DI548*(K548-AB548)+'Fuel Sub Calcs-Deemed'!DJ548*((K548-AB548)/INDEX('Device Refrigerant Leakage'!$C$2:$C$42,MATCH('Fuel Sub Calcs-Deemed'!X548,'Device Refrigerant Leakage'!$B$2:$B$42,0))))</f>
        <v/>
      </c>
      <c r="DM548" s="56">
        <v>534</v>
      </c>
      <c r="DN548" s="67" t="e">
        <f t="shared" si="670"/>
        <v>#N/A</v>
      </c>
      <c r="DO548" s="45" t="e">
        <f t="shared" si="671"/>
        <v>#N/A</v>
      </c>
      <c r="DP548" s="67" t="e">
        <f t="shared" si="672"/>
        <v>#N/A</v>
      </c>
      <c r="DQ548" s="45" t="e">
        <f t="shared" si="673"/>
        <v>#N/A</v>
      </c>
      <c r="DR548" s="69" t="e">
        <f t="shared" si="674"/>
        <v>#N/A</v>
      </c>
      <c r="DS548" s="34"/>
      <c r="DT548" s="67" t="e">
        <f>((BX548*CJ548)+IF($W548=MAT_AR,(BZ548*CL548),0))*(1+Reference!$E$50+Reference!$E$51)</f>
        <v>#N/A</v>
      </c>
      <c r="DU548" s="67">
        <f>((BY548*CK548)+IF($W548=MAT_AR,(CA548*CM548),0))*(1+Reference!$G$50+Reference!$G$51)</f>
        <v>0</v>
      </c>
      <c r="DV548" s="67" t="e">
        <f t="shared" si="675"/>
        <v>#VALUE!</v>
      </c>
      <c r="DX548" s="56">
        <v>534</v>
      </c>
      <c r="DY548" s="67">
        <f t="shared" si="676"/>
        <v>0</v>
      </c>
      <c r="DZ548" s="45" t="e">
        <f>VLOOKUP($R548,Dropdown!$C$3:$D$4,2,FALSE)</f>
        <v>#N/A</v>
      </c>
      <c r="EA548" s="68">
        <f t="shared" si="677"/>
        <v>0</v>
      </c>
      <c r="EB548" s="68" t="str">
        <f t="shared" si="678"/>
        <v>N/A</v>
      </c>
      <c r="EC548" s="68">
        <f t="shared" si="679"/>
        <v>0</v>
      </c>
      <c r="ED548" s="68" t="str">
        <f t="shared" si="717"/>
        <v>N/A</v>
      </c>
      <c r="EF548" s="56">
        <v>534</v>
      </c>
      <c r="EG548" s="46">
        <f t="shared" si="680"/>
        <v>0</v>
      </c>
      <c r="EH548" s="68" t="e">
        <f t="shared" si="681"/>
        <v>#N/A</v>
      </c>
      <c r="EI548" s="68" t="e">
        <f t="shared" si="682"/>
        <v>#N/A</v>
      </c>
      <c r="EJ548" s="68" t="e">
        <f t="shared" si="683"/>
        <v>#N/A</v>
      </c>
      <c r="EK548" s="68" t="e">
        <f t="shared" si="684"/>
        <v>#N/A</v>
      </c>
      <c r="EL548" s="46">
        <f t="shared" si="685"/>
        <v>0</v>
      </c>
      <c r="EM548" s="46">
        <f t="shared" si="686"/>
        <v>0</v>
      </c>
    </row>
    <row r="549" spans="1:143">
      <c r="A549" s="89"/>
      <c r="B549" s="89"/>
      <c r="C549" s="89"/>
      <c r="D549" s="89"/>
      <c r="E549" s="89"/>
      <c r="F549" s="89"/>
      <c r="G549" s="34"/>
      <c r="H549" s="56">
        <f t="shared" si="687"/>
        <v>535</v>
      </c>
      <c r="I549" s="165"/>
      <c r="J549" s="163"/>
      <c r="K549" s="163"/>
      <c r="L549" s="164"/>
      <c r="M549" s="155"/>
      <c r="N549" s="155"/>
      <c r="O549" s="144"/>
      <c r="P549" s="159" t="str">
        <f>IFERROR(IF(O549&lt;&gt;"User Specified",IF(O549&lt;&gt;"", INDEX('Refrigerant GWPs'!$G$2:$G$154,MATCH(O549,'Refrigerant GWPs'!$A$2:$A$154,0)),""),U549),0)</f>
        <v/>
      </c>
      <c r="Q549" s="155"/>
      <c r="R549" s="155"/>
      <c r="S549" s="144"/>
      <c r="T549" s="159" t="str">
        <f>IF(S549&lt;&gt;"User Specified",IF(AND(S549&lt;&gt;"User Specified",S549&lt;&gt;""), INDEX('Refrigerant GWPs'!$G$2:$G$154,MATCH(S549,'Refrigerant GWPs'!$A$2:$A$154,0)),""),V549)</f>
        <v/>
      </c>
      <c r="U549" s="144"/>
      <c r="V549" s="144"/>
      <c r="W549" s="155"/>
      <c r="X549" s="155"/>
      <c r="Y549" s="144"/>
      <c r="Z549" s="159" t="str">
        <f>IF(AND(Y549&lt;&gt;"User Specified",Y549&lt;&gt;""), INDEX('Refrigerant GWPs'!$G$2:$G$154,MATCH(Y549,'Refrigerant GWPs'!$A$2:$A$154,0)),"")</f>
        <v/>
      </c>
      <c r="AA549" s="155"/>
      <c r="AB549" s="156"/>
      <c r="AC549" s="66"/>
      <c r="AD549" s="66"/>
      <c r="AE549" s="66"/>
      <c r="AF549" s="66"/>
      <c r="AG549" s="66"/>
      <c r="AH549" s="66"/>
      <c r="AI549" s="34"/>
      <c r="AJ549" s="88">
        <f t="shared" si="650"/>
        <v>0</v>
      </c>
      <c r="AK549" s="88">
        <f t="shared" si="651"/>
        <v>0</v>
      </c>
      <c r="AL549" s="88">
        <v>0</v>
      </c>
      <c r="AM549" s="88">
        <v>0</v>
      </c>
      <c r="AN549" s="81" t="str">
        <f t="shared" si="689"/>
        <v/>
      </c>
      <c r="AO549" s="88">
        <f t="shared" si="652"/>
        <v>0</v>
      </c>
      <c r="AP549" s="88">
        <f t="shared" si="653"/>
        <v>0</v>
      </c>
      <c r="AQ549" s="81" t="str">
        <f t="shared" si="654"/>
        <v/>
      </c>
      <c r="AS549" s="41" t="b">
        <f t="shared" si="655"/>
        <v>1</v>
      </c>
      <c r="AT549" s="38">
        <f t="shared" si="656"/>
        <v>0</v>
      </c>
      <c r="AU549" s="60">
        <f t="shared" si="657"/>
        <v>0</v>
      </c>
      <c r="AV549" s="41">
        <f t="shared" si="658"/>
        <v>0</v>
      </c>
      <c r="AW549" s="41" t="b">
        <f t="shared" si="659"/>
        <v>0</v>
      </c>
      <c r="AX549" t="str">
        <f t="shared" si="660"/>
        <v>+00</v>
      </c>
      <c r="AY549" t="str">
        <f t="shared" si="661"/>
        <v>+00</v>
      </c>
      <c r="BA549" s="47" t="b">
        <f t="shared" si="690"/>
        <v>1</v>
      </c>
      <c r="BB549" s="42" t="b">
        <f t="shared" si="691"/>
        <v>1</v>
      </c>
      <c r="BC549" s="42" t="b">
        <f t="shared" si="692"/>
        <v>0</v>
      </c>
      <c r="BD549" s="42" t="b">
        <f t="shared" si="693"/>
        <v>0</v>
      </c>
      <c r="BE549" s="70">
        <f t="shared" si="694"/>
        <v>0</v>
      </c>
      <c r="BF549" s="70">
        <f t="shared" si="695"/>
        <v>0</v>
      </c>
      <c r="BG549" s="34"/>
      <c r="BI549" s="47" t="b">
        <f t="shared" si="696"/>
        <v>1</v>
      </c>
      <c r="BJ549" s="47" t="b">
        <f t="shared" si="697"/>
        <v>1</v>
      </c>
      <c r="BK549" s="42" t="b">
        <f t="shared" si="698"/>
        <v>0</v>
      </c>
      <c r="BL549" s="42" t="b">
        <f t="shared" si="699"/>
        <v>0</v>
      </c>
      <c r="BM549" s="42">
        <f t="shared" si="700"/>
        <v>0</v>
      </c>
      <c r="BN549" s="42">
        <f t="shared" si="701"/>
        <v>0</v>
      </c>
      <c r="BP549" t="e">
        <f t="shared" si="702"/>
        <v>#N/A</v>
      </c>
      <c r="BQ549" t="e">
        <f t="shared" si="703"/>
        <v>#N/A</v>
      </c>
      <c r="BR549" t="e">
        <f t="shared" si="704"/>
        <v>#N/A</v>
      </c>
      <c r="BT549" s="60">
        <f t="shared" si="705"/>
        <v>0</v>
      </c>
      <c r="BU549" s="60">
        <f t="shared" si="706"/>
        <v>0</v>
      </c>
      <c r="BV549" s="60">
        <f t="shared" si="707"/>
        <v>0</v>
      </c>
      <c r="BW549" s="60">
        <f t="shared" si="708"/>
        <v>0</v>
      </c>
      <c r="BX549" s="60">
        <f t="shared" si="709"/>
        <v>0</v>
      </c>
      <c r="BY549" s="60">
        <f t="shared" si="710"/>
        <v>0</v>
      </c>
      <c r="BZ549" s="60">
        <f t="shared" si="711"/>
        <v>0</v>
      </c>
      <c r="CA549" s="60">
        <f t="shared" si="712"/>
        <v>0</v>
      </c>
      <c r="CB549" s="60" t="e">
        <f t="shared" si="662"/>
        <v>#N/A</v>
      </c>
      <c r="CC549" s="60">
        <f t="shared" si="663"/>
        <v>100000</v>
      </c>
      <c r="CD549" s="60" t="e">
        <f t="shared" si="664"/>
        <v>#N/A</v>
      </c>
      <c r="CE549" s="60">
        <f t="shared" si="665"/>
        <v>100000</v>
      </c>
      <c r="CF549" s="83" t="e">
        <f t="shared" si="713"/>
        <v>#N/A</v>
      </c>
      <c r="CG549" s="83">
        <f t="shared" si="714"/>
        <v>0</v>
      </c>
      <c r="CH549" s="83" t="e">
        <f t="shared" si="715"/>
        <v>#N/A</v>
      </c>
      <c r="CI549" s="83">
        <f t="shared" si="716"/>
        <v>0</v>
      </c>
      <c r="CJ549" s="86" t="e">
        <f t="shared" si="666"/>
        <v>#N/A</v>
      </c>
      <c r="CK549" s="82">
        <f t="shared" si="667"/>
        <v>5.3070370403969858E-3</v>
      </c>
      <c r="CL549" s="82" t="e">
        <f t="shared" si="668"/>
        <v>#N/A</v>
      </c>
      <c r="CM549" s="82">
        <f t="shared" si="669"/>
        <v>5.3070370403969858E-3</v>
      </c>
      <c r="CO549" s="149" t="str">
        <f>IF($I549&lt;&gt;"",IF(O549="User Specified",U549,INDEX('Refrigerant GWPs'!$G$2:$G$156,MATCH(O549,'Refrigerant GWPs'!$A$2:$A$156,0))),"")</f>
        <v/>
      </c>
      <c r="CP549" s="138" t="str">
        <f>IF($I549&lt;&gt;"",INDEX('Device Refrigerant Leakage'!$E$2:$E$42,MATCH($M549,'Device Refrigerant Leakage'!$B$2:$B$42,0)),"")</f>
        <v/>
      </c>
      <c r="CQ549" s="138" t="str">
        <f>IF($I549&lt;&gt;"",INDEX('Device Refrigerant Leakage'!$F$2:$F$42,MATCH($M549,'Device Refrigerant Leakage'!$B$2:$B$42,0)),"")</f>
        <v/>
      </c>
      <c r="CR549" s="145" t="str">
        <f>IF($I549&lt;&gt;"",INDEX('Device Refrigerant Leakage'!$G$2:$G$42,MATCH($M549,'Device Refrigerant Leakage'!$B$2:$B$42,0)),"")</f>
        <v/>
      </c>
      <c r="CS549" s="145" t="str">
        <f>IF($I549&lt;&gt;"",INDEX('Device Refrigerant Leakage'!$D$2:$D$42,MATCH($M549,'Device Refrigerant Leakage'!$B$2:$B$42,0))*CP549/2204.62*CO549,"")</f>
        <v/>
      </c>
      <c r="CT549" s="145" t="str">
        <f>IF($I549&lt;&gt;"",J549*(INDEX('Device Refrigerant Leakage'!$D$2:$D$42,MATCH($M549,'Device Refrigerant Leakage'!$B$2:$B$42,0))-(INDEX('Device Refrigerant Leakage'!$D$2:$D$42,MATCH($M549,'Device Refrigerant Leakage'!$B$2:$B$42,0)))*CR549*CP549)*CQ549/2204.62*CO549,"")</f>
        <v/>
      </c>
      <c r="CU549" s="135" t="str">
        <f>IF($I549&lt;&gt;"",J549*IF(W549&lt;&gt;"AR",(CS549*K549)+CT549,(CS549*AB549)+CT549*(AB549/INDEX('Device Refrigerant Leakage'!$C$2:$C$42,MATCH($M549,'Device Refrigerant Leakage'!$B$2:$B$42,0)))),"")</f>
        <v/>
      </c>
      <c r="CW549" s="135" t="str">
        <f>IF($I549&lt;&gt;"",IF(S549="User Specified",V549,INDEX('Refrigerant GWPs'!$G$2:$G$156,MATCH(S549,'Refrigerant GWPs'!$A$2:$A$157,0))),"")</f>
        <v/>
      </c>
      <c r="CX549" s="138" t="str">
        <f>IF($I549&lt;&gt;"",INDEX('Device Refrigerant Leakage'!$E$2:$E$42,MATCH($Q549,'Device Refrigerant Leakage'!$B$2:$B$42,0)),"")</f>
        <v/>
      </c>
      <c r="CY549" s="138" t="str">
        <f>IF($I549&lt;&gt;"",INDEX('Device Refrigerant Leakage'!$F$2:$F$42,MATCH($Q549,'Device Refrigerant Leakage'!$B$2:$B$42,0)),"")</f>
        <v/>
      </c>
      <c r="CZ549" s="145" t="str">
        <f>IF($I549&lt;&gt;"",INDEX('Device Refrigerant Leakage'!$G$2:$G$42,MATCH($Q549,'Device Refrigerant Leakage'!$B$2:$B$42,0)),"")</f>
        <v/>
      </c>
      <c r="DA549" s="145" t="str">
        <f>IF($I549&lt;&gt;"",J549*INDEX('Device Refrigerant Leakage'!$D$2:$D$42,MATCH($Q549,'Device Refrigerant Leakage'!$B$2:$B$42,0))*CX549/2204.62*CW549,"")</f>
        <v/>
      </c>
      <c r="DB549" s="145" t="str">
        <f>IF($I549&lt;&gt;"",J549*(INDEX('Device Refrigerant Leakage'!$D$2:$D$42,MATCH($Q549,'Device Refrigerant Leakage'!$B$2:$B$42,0))-(INDEX('Device Refrigerant Leakage'!$D$2:$D$42,MATCH($Q549,'Device Refrigerant Leakage'!$B$2:$B$42,0)))*CZ549*CX549)*CY549/2204.62*CW549,"")</f>
        <v/>
      </c>
      <c r="DC549" s="135" t="str">
        <f t="shared" si="688"/>
        <v/>
      </c>
      <c r="DE549" s="146" t="str">
        <f>IF(W549&lt;&gt;"AR","",IF(Y549="User Specified", AA549, INDEX('Refrigerant GWPs'!$G$2:$G$154,MATCH(Y549,'Refrigerant GWPs'!$A$2:$A$154,0))))</f>
        <v/>
      </c>
      <c r="DF549" s="146" t="str">
        <f>IF(W549&lt;&gt;"AR","",INDEX('Device Refrigerant Leakage'!$E$2:$E$42,MATCH(X549,'Device Refrigerant Leakage'!$B$2:$B$42,0)))</f>
        <v/>
      </c>
      <c r="DG549" s="146" t="str">
        <f>IF(W549&lt;&gt;"AR","",INDEX('Device Refrigerant Leakage'!$F$2:$F$42,MATCH(X549,'Device Refrigerant Leakage'!$B$2:$B$42,0)))</f>
        <v/>
      </c>
      <c r="DH549" s="146" t="str">
        <f>IF(W549&lt;&gt;"AR","",INDEX('Device Refrigerant Leakage'!$G$2:$G$42,MATCH(X549,'Device Refrigerant Leakage'!$B$2:$B$42,0)))</f>
        <v/>
      </c>
      <c r="DI549" s="146" t="str">
        <f>IF(W549&lt;&gt;"AR","",J549*INDEX('Device Refrigerant Leakage'!$D$2:$D$42,MATCH(X549,'Device Refrigerant Leakage'!$B$2:$B$42,0))*DF549/2204.62*DE549)</f>
        <v/>
      </c>
      <c r="DJ549" s="146" t="str">
        <f>IF(W549&lt;&gt;"AR","",J549*(INDEX('Device Refrigerant Leakage'!$D$2:$D$42,MATCH(X549,'Device Refrigerant Leakage'!$B$2:$B$42,0))-(INDEX('Device Refrigerant Leakage'!$D$2:$D$42,MATCH(X549,'Device Refrigerant Leakage'!$B$2:$B$42,0)))*DH549*DF549)*DG549/2204.62*DE549)</f>
        <v/>
      </c>
      <c r="DK549" s="146" t="str">
        <f>IF(W549&lt;&gt;"AR","",DI549*(K549-AB549)+'Fuel Sub Calcs-Deemed'!DJ549*((K549-AB549)/INDEX('Device Refrigerant Leakage'!$C$2:$C$42,MATCH('Fuel Sub Calcs-Deemed'!X549,'Device Refrigerant Leakage'!$B$2:$B$42,0))))</f>
        <v/>
      </c>
      <c r="DM549" s="56">
        <v>535</v>
      </c>
      <c r="DN549" s="67" t="e">
        <f t="shared" si="670"/>
        <v>#N/A</v>
      </c>
      <c r="DO549" s="45" t="e">
        <f t="shared" si="671"/>
        <v>#N/A</v>
      </c>
      <c r="DP549" s="67" t="e">
        <f t="shared" si="672"/>
        <v>#N/A</v>
      </c>
      <c r="DQ549" s="45" t="e">
        <f t="shared" si="673"/>
        <v>#N/A</v>
      </c>
      <c r="DR549" s="69" t="e">
        <f t="shared" si="674"/>
        <v>#N/A</v>
      </c>
      <c r="DS549" s="34"/>
      <c r="DT549" s="67" t="e">
        <f>((BX549*CJ549)+IF($W549=MAT_AR,(BZ549*CL549),0))*(1+Reference!$E$50+Reference!$E$51)</f>
        <v>#N/A</v>
      </c>
      <c r="DU549" s="67">
        <f>((BY549*CK549)+IF($W549=MAT_AR,(CA549*CM549),0))*(1+Reference!$G$50+Reference!$G$51)</f>
        <v>0</v>
      </c>
      <c r="DV549" s="67" t="e">
        <f t="shared" si="675"/>
        <v>#VALUE!</v>
      </c>
      <c r="DX549" s="56">
        <v>535</v>
      </c>
      <c r="DY549" s="67">
        <f t="shared" si="676"/>
        <v>0</v>
      </c>
      <c r="DZ549" s="45" t="e">
        <f>VLOOKUP($R549,Dropdown!$C$3:$D$4,2,FALSE)</f>
        <v>#N/A</v>
      </c>
      <c r="EA549" s="68">
        <f t="shared" si="677"/>
        <v>0</v>
      </c>
      <c r="EB549" s="68" t="str">
        <f t="shared" si="678"/>
        <v>N/A</v>
      </c>
      <c r="EC549" s="68">
        <f t="shared" si="679"/>
        <v>0</v>
      </c>
      <c r="ED549" s="68" t="str">
        <f t="shared" si="717"/>
        <v>N/A</v>
      </c>
      <c r="EF549" s="56">
        <v>535</v>
      </c>
      <c r="EG549" s="46">
        <f t="shared" si="680"/>
        <v>0</v>
      </c>
      <c r="EH549" s="68" t="e">
        <f t="shared" si="681"/>
        <v>#N/A</v>
      </c>
      <c r="EI549" s="68" t="e">
        <f t="shared" si="682"/>
        <v>#N/A</v>
      </c>
      <c r="EJ549" s="68" t="e">
        <f t="shared" si="683"/>
        <v>#N/A</v>
      </c>
      <c r="EK549" s="68" t="e">
        <f t="shared" si="684"/>
        <v>#N/A</v>
      </c>
      <c r="EL549" s="46">
        <f t="shared" si="685"/>
        <v>0</v>
      </c>
      <c r="EM549" s="46">
        <f t="shared" si="686"/>
        <v>0</v>
      </c>
    </row>
    <row r="550" spans="1:143">
      <c r="A550" s="89"/>
      <c r="B550" s="89"/>
      <c r="C550" s="89"/>
      <c r="D550" s="89"/>
      <c r="E550" s="89"/>
      <c r="F550" s="89"/>
      <c r="G550" s="34"/>
      <c r="H550" s="56">
        <f t="shared" si="687"/>
        <v>536</v>
      </c>
      <c r="I550" s="165"/>
      <c r="J550" s="163"/>
      <c r="K550" s="163"/>
      <c r="L550" s="164"/>
      <c r="M550" s="155"/>
      <c r="N550" s="155"/>
      <c r="O550" s="144"/>
      <c r="P550" s="159" t="str">
        <f>IFERROR(IF(O550&lt;&gt;"User Specified",IF(O550&lt;&gt;"", INDEX('Refrigerant GWPs'!$G$2:$G$154,MATCH(O550,'Refrigerant GWPs'!$A$2:$A$154,0)),""),U550),0)</f>
        <v/>
      </c>
      <c r="Q550" s="155"/>
      <c r="R550" s="155"/>
      <c r="S550" s="144"/>
      <c r="T550" s="159" t="str">
        <f>IF(S550&lt;&gt;"User Specified",IF(AND(S550&lt;&gt;"User Specified",S550&lt;&gt;""), INDEX('Refrigerant GWPs'!$G$2:$G$154,MATCH(S550,'Refrigerant GWPs'!$A$2:$A$154,0)),""),V550)</f>
        <v/>
      </c>
      <c r="U550" s="144"/>
      <c r="V550" s="144"/>
      <c r="W550" s="155"/>
      <c r="X550" s="155"/>
      <c r="Y550" s="144"/>
      <c r="Z550" s="159" t="str">
        <f>IF(AND(Y550&lt;&gt;"User Specified",Y550&lt;&gt;""), INDEX('Refrigerant GWPs'!$G$2:$G$154,MATCH(Y550,'Refrigerant GWPs'!$A$2:$A$154,0)),"")</f>
        <v/>
      </c>
      <c r="AA550" s="155"/>
      <c r="AB550" s="156"/>
      <c r="AC550" s="66"/>
      <c r="AD550" s="66"/>
      <c r="AE550" s="66"/>
      <c r="AF550" s="66"/>
      <c r="AG550" s="66"/>
      <c r="AH550" s="66"/>
      <c r="AI550" s="34"/>
      <c r="AJ550" s="88">
        <f t="shared" si="650"/>
        <v>0</v>
      </c>
      <c r="AK550" s="88">
        <f t="shared" si="651"/>
        <v>0</v>
      </c>
      <c r="AL550" s="88">
        <v>0</v>
      </c>
      <c r="AM550" s="88">
        <v>0</v>
      </c>
      <c r="AN550" s="81" t="str">
        <f t="shared" si="689"/>
        <v/>
      </c>
      <c r="AO550" s="88">
        <f t="shared" si="652"/>
        <v>0</v>
      </c>
      <c r="AP550" s="88">
        <f t="shared" si="653"/>
        <v>0</v>
      </c>
      <c r="AQ550" s="81" t="str">
        <f t="shared" si="654"/>
        <v/>
      </c>
      <c r="AS550" s="41" t="b">
        <f t="shared" si="655"/>
        <v>1</v>
      </c>
      <c r="AT550" s="38">
        <f t="shared" si="656"/>
        <v>0</v>
      </c>
      <c r="AU550" s="60">
        <f t="shared" si="657"/>
        <v>0</v>
      </c>
      <c r="AV550" s="41">
        <f t="shared" si="658"/>
        <v>0</v>
      </c>
      <c r="AW550" s="41" t="b">
        <f t="shared" si="659"/>
        <v>0</v>
      </c>
      <c r="AX550" t="str">
        <f t="shared" si="660"/>
        <v>+00</v>
      </c>
      <c r="AY550" t="str">
        <f t="shared" si="661"/>
        <v>+00</v>
      </c>
      <c r="BA550" s="47" t="b">
        <f t="shared" si="690"/>
        <v>1</v>
      </c>
      <c r="BB550" s="42" t="b">
        <f t="shared" si="691"/>
        <v>1</v>
      </c>
      <c r="BC550" s="42" t="b">
        <f t="shared" si="692"/>
        <v>0</v>
      </c>
      <c r="BD550" s="42" t="b">
        <f t="shared" si="693"/>
        <v>0</v>
      </c>
      <c r="BE550" s="70">
        <f t="shared" si="694"/>
        <v>0</v>
      </c>
      <c r="BF550" s="70">
        <f t="shared" si="695"/>
        <v>0</v>
      </c>
      <c r="BG550" s="34"/>
      <c r="BI550" s="47" t="b">
        <f t="shared" si="696"/>
        <v>1</v>
      </c>
      <c r="BJ550" s="47" t="b">
        <f t="shared" si="697"/>
        <v>1</v>
      </c>
      <c r="BK550" s="42" t="b">
        <f t="shared" si="698"/>
        <v>0</v>
      </c>
      <c r="BL550" s="42" t="b">
        <f t="shared" si="699"/>
        <v>0</v>
      </c>
      <c r="BM550" s="42">
        <f t="shared" si="700"/>
        <v>0</v>
      </c>
      <c r="BN550" s="42">
        <f t="shared" si="701"/>
        <v>0</v>
      </c>
      <c r="BP550" t="e">
        <f t="shared" si="702"/>
        <v>#N/A</v>
      </c>
      <c r="BQ550" t="e">
        <f t="shared" si="703"/>
        <v>#N/A</v>
      </c>
      <c r="BR550" t="e">
        <f t="shared" si="704"/>
        <v>#N/A</v>
      </c>
      <c r="BT550" s="60">
        <f t="shared" si="705"/>
        <v>0</v>
      </c>
      <c r="BU550" s="60">
        <f t="shared" si="706"/>
        <v>0</v>
      </c>
      <c r="BV550" s="60">
        <f t="shared" si="707"/>
        <v>0</v>
      </c>
      <c r="BW550" s="60">
        <f t="shared" si="708"/>
        <v>0</v>
      </c>
      <c r="BX550" s="60">
        <f t="shared" si="709"/>
        <v>0</v>
      </c>
      <c r="BY550" s="60">
        <f t="shared" si="710"/>
        <v>0</v>
      </c>
      <c r="BZ550" s="60">
        <f t="shared" si="711"/>
        <v>0</v>
      </c>
      <c r="CA550" s="60">
        <f t="shared" si="712"/>
        <v>0</v>
      </c>
      <c r="CB550" s="60" t="e">
        <f t="shared" si="662"/>
        <v>#N/A</v>
      </c>
      <c r="CC550" s="60">
        <f t="shared" si="663"/>
        <v>100000</v>
      </c>
      <c r="CD550" s="60" t="e">
        <f t="shared" si="664"/>
        <v>#N/A</v>
      </c>
      <c r="CE550" s="60">
        <f t="shared" si="665"/>
        <v>100000</v>
      </c>
      <c r="CF550" s="83" t="e">
        <f t="shared" si="713"/>
        <v>#N/A</v>
      </c>
      <c r="CG550" s="83">
        <f t="shared" si="714"/>
        <v>0</v>
      </c>
      <c r="CH550" s="83" t="e">
        <f t="shared" si="715"/>
        <v>#N/A</v>
      </c>
      <c r="CI550" s="83">
        <f t="shared" si="716"/>
        <v>0</v>
      </c>
      <c r="CJ550" s="86" t="e">
        <f t="shared" si="666"/>
        <v>#N/A</v>
      </c>
      <c r="CK550" s="82">
        <f t="shared" si="667"/>
        <v>5.3070370403969858E-3</v>
      </c>
      <c r="CL550" s="82" t="e">
        <f t="shared" si="668"/>
        <v>#N/A</v>
      </c>
      <c r="CM550" s="82">
        <f t="shared" si="669"/>
        <v>5.3070370403969858E-3</v>
      </c>
      <c r="CO550" s="149" t="str">
        <f>IF($I550&lt;&gt;"",IF(O550="User Specified",U550,INDEX('Refrigerant GWPs'!$G$2:$G$156,MATCH(O550,'Refrigerant GWPs'!$A$2:$A$156,0))),"")</f>
        <v/>
      </c>
      <c r="CP550" s="138" t="str">
        <f>IF($I550&lt;&gt;"",INDEX('Device Refrigerant Leakage'!$E$2:$E$42,MATCH($M550,'Device Refrigerant Leakage'!$B$2:$B$42,0)),"")</f>
        <v/>
      </c>
      <c r="CQ550" s="138" t="str">
        <f>IF($I550&lt;&gt;"",INDEX('Device Refrigerant Leakage'!$F$2:$F$42,MATCH($M550,'Device Refrigerant Leakage'!$B$2:$B$42,0)),"")</f>
        <v/>
      </c>
      <c r="CR550" s="145" t="str">
        <f>IF($I550&lt;&gt;"",INDEX('Device Refrigerant Leakage'!$G$2:$G$42,MATCH($M550,'Device Refrigerant Leakage'!$B$2:$B$42,0)),"")</f>
        <v/>
      </c>
      <c r="CS550" s="145" t="str">
        <f>IF($I550&lt;&gt;"",INDEX('Device Refrigerant Leakage'!$D$2:$D$42,MATCH($M550,'Device Refrigerant Leakage'!$B$2:$B$42,0))*CP550/2204.62*CO550,"")</f>
        <v/>
      </c>
      <c r="CT550" s="145" t="str">
        <f>IF($I550&lt;&gt;"",J550*(INDEX('Device Refrigerant Leakage'!$D$2:$D$42,MATCH($M550,'Device Refrigerant Leakage'!$B$2:$B$42,0))-(INDEX('Device Refrigerant Leakage'!$D$2:$D$42,MATCH($M550,'Device Refrigerant Leakage'!$B$2:$B$42,0)))*CR550*CP550)*CQ550/2204.62*CO550,"")</f>
        <v/>
      </c>
      <c r="CU550" s="135" t="str">
        <f>IF($I550&lt;&gt;"",J550*IF(W550&lt;&gt;"AR",(CS550*K550)+CT550,(CS550*AB550)+CT550*(AB550/INDEX('Device Refrigerant Leakage'!$C$2:$C$42,MATCH($M550,'Device Refrigerant Leakage'!$B$2:$B$42,0)))),"")</f>
        <v/>
      </c>
      <c r="CW550" s="135" t="str">
        <f>IF($I550&lt;&gt;"",IF(S550="User Specified",V550,INDEX('Refrigerant GWPs'!$G$2:$G$156,MATCH(S550,'Refrigerant GWPs'!$A$2:$A$157,0))),"")</f>
        <v/>
      </c>
      <c r="CX550" s="138" t="str">
        <f>IF($I550&lt;&gt;"",INDEX('Device Refrigerant Leakage'!$E$2:$E$42,MATCH($Q550,'Device Refrigerant Leakage'!$B$2:$B$42,0)),"")</f>
        <v/>
      </c>
      <c r="CY550" s="138" t="str">
        <f>IF($I550&lt;&gt;"",INDEX('Device Refrigerant Leakage'!$F$2:$F$42,MATCH($Q550,'Device Refrigerant Leakage'!$B$2:$B$42,0)),"")</f>
        <v/>
      </c>
      <c r="CZ550" s="145" t="str">
        <f>IF($I550&lt;&gt;"",INDEX('Device Refrigerant Leakage'!$G$2:$G$42,MATCH($Q550,'Device Refrigerant Leakage'!$B$2:$B$42,0)),"")</f>
        <v/>
      </c>
      <c r="DA550" s="145" t="str">
        <f>IF($I550&lt;&gt;"",J550*INDEX('Device Refrigerant Leakage'!$D$2:$D$42,MATCH($Q550,'Device Refrigerant Leakage'!$B$2:$B$42,0))*CX550/2204.62*CW550,"")</f>
        <v/>
      </c>
      <c r="DB550" s="145" t="str">
        <f>IF($I550&lt;&gt;"",J550*(INDEX('Device Refrigerant Leakage'!$D$2:$D$42,MATCH($Q550,'Device Refrigerant Leakage'!$B$2:$B$42,0))-(INDEX('Device Refrigerant Leakage'!$D$2:$D$42,MATCH($Q550,'Device Refrigerant Leakage'!$B$2:$B$42,0)))*CZ550*CX550)*CY550/2204.62*CW550,"")</f>
        <v/>
      </c>
      <c r="DC550" s="135" t="str">
        <f t="shared" si="688"/>
        <v/>
      </c>
      <c r="DE550" s="146" t="str">
        <f>IF(W550&lt;&gt;"AR","",IF(Y550="User Specified", AA550, INDEX('Refrigerant GWPs'!$G$2:$G$154,MATCH(Y550,'Refrigerant GWPs'!$A$2:$A$154,0))))</f>
        <v/>
      </c>
      <c r="DF550" s="146" t="str">
        <f>IF(W550&lt;&gt;"AR","",INDEX('Device Refrigerant Leakage'!$E$2:$E$42,MATCH(X550,'Device Refrigerant Leakage'!$B$2:$B$42,0)))</f>
        <v/>
      </c>
      <c r="DG550" s="146" t="str">
        <f>IF(W550&lt;&gt;"AR","",INDEX('Device Refrigerant Leakage'!$F$2:$F$42,MATCH(X550,'Device Refrigerant Leakage'!$B$2:$B$42,0)))</f>
        <v/>
      </c>
      <c r="DH550" s="146" t="str">
        <f>IF(W550&lt;&gt;"AR","",INDEX('Device Refrigerant Leakage'!$G$2:$G$42,MATCH(X550,'Device Refrigerant Leakage'!$B$2:$B$42,0)))</f>
        <v/>
      </c>
      <c r="DI550" s="146" t="str">
        <f>IF(W550&lt;&gt;"AR","",J550*INDEX('Device Refrigerant Leakage'!$D$2:$D$42,MATCH(X550,'Device Refrigerant Leakage'!$B$2:$B$42,0))*DF550/2204.62*DE550)</f>
        <v/>
      </c>
      <c r="DJ550" s="146" t="str">
        <f>IF(W550&lt;&gt;"AR","",J550*(INDEX('Device Refrigerant Leakage'!$D$2:$D$42,MATCH(X550,'Device Refrigerant Leakage'!$B$2:$B$42,0))-(INDEX('Device Refrigerant Leakage'!$D$2:$D$42,MATCH(X550,'Device Refrigerant Leakage'!$B$2:$B$42,0)))*DH550*DF550)*DG550/2204.62*DE550)</f>
        <v/>
      </c>
      <c r="DK550" s="146" t="str">
        <f>IF(W550&lt;&gt;"AR","",DI550*(K550-AB550)+'Fuel Sub Calcs-Deemed'!DJ550*((K550-AB550)/INDEX('Device Refrigerant Leakage'!$C$2:$C$42,MATCH('Fuel Sub Calcs-Deemed'!X550,'Device Refrigerant Leakage'!$B$2:$B$42,0))))</f>
        <v/>
      </c>
      <c r="DM550" s="56">
        <v>536</v>
      </c>
      <c r="DN550" s="67" t="e">
        <f t="shared" si="670"/>
        <v>#N/A</v>
      </c>
      <c r="DO550" s="45" t="e">
        <f t="shared" si="671"/>
        <v>#N/A</v>
      </c>
      <c r="DP550" s="67" t="e">
        <f t="shared" si="672"/>
        <v>#N/A</v>
      </c>
      <c r="DQ550" s="45" t="e">
        <f t="shared" si="673"/>
        <v>#N/A</v>
      </c>
      <c r="DR550" s="69" t="e">
        <f t="shared" si="674"/>
        <v>#N/A</v>
      </c>
      <c r="DS550" s="34"/>
      <c r="DT550" s="67" t="e">
        <f>((BX550*CJ550)+IF($W550=MAT_AR,(BZ550*CL550),0))*(1+Reference!$E$50+Reference!$E$51)</f>
        <v>#N/A</v>
      </c>
      <c r="DU550" s="67">
        <f>((BY550*CK550)+IF($W550=MAT_AR,(CA550*CM550),0))*(1+Reference!$G$50+Reference!$G$51)</f>
        <v>0</v>
      </c>
      <c r="DV550" s="67" t="e">
        <f t="shared" si="675"/>
        <v>#VALUE!</v>
      </c>
      <c r="DX550" s="56">
        <v>536</v>
      </c>
      <c r="DY550" s="67">
        <f t="shared" si="676"/>
        <v>0</v>
      </c>
      <c r="DZ550" s="45" t="e">
        <f>VLOOKUP($R550,Dropdown!$C$3:$D$4,2,FALSE)</f>
        <v>#N/A</v>
      </c>
      <c r="EA550" s="68">
        <f t="shared" si="677"/>
        <v>0</v>
      </c>
      <c r="EB550" s="68" t="str">
        <f t="shared" si="678"/>
        <v>N/A</v>
      </c>
      <c r="EC550" s="68">
        <f t="shared" si="679"/>
        <v>0</v>
      </c>
      <c r="ED550" s="68" t="str">
        <f t="shared" si="717"/>
        <v>N/A</v>
      </c>
      <c r="EF550" s="56">
        <v>536</v>
      </c>
      <c r="EG550" s="46">
        <f t="shared" si="680"/>
        <v>0</v>
      </c>
      <c r="EH550" s="68" t="e">
        <f t="shared" si="681"/>
        <v>#N/A</v>
      </c>
      <c r="EI550" s="68" t="e">
        <f t="shared" si="682"/>
        <v>#N/A</v>
      </c>
      <c r="EJ550" s="68" t="e">
        <f t="shared" si="683"/>
        <v>#N/A</v>
      </c>
      <c r="EK550" s="68" t="e">
        <f t="shared" si="684"/>
        <v>#N/A</v>
      </c>
      <c r="EL550" s="46">
        <f t="shared" si="685"/>
        <v>0</v>
      </c>
      <c r="EM550" s="46">
        <f t="shared" si="686"/>
        <v>0</v>
      </c>
    </row>
    <row r="551" spans="1:143">
      <c r="A551" s="89"/>
      <c r="B551" s="89"/>
      <c r="C551" s="89"/>
      <c r="D551" s="89"/>
      <c r="E551" s="89"/>
      <c r="F551" s="89"/>
      <c r="G551" s="34"/>
      <c r="H551" s="56">
        <f t="shared" si="687"/>
        <v>537</v>
      </c>
      <c r="I551" s="165"/>
      <c r="J551" s="163"/>
      <c r="K551" s="163"/>
      <c r="L551" s="164"/>
      <c r="M551" s="155"/>
      <c r="N551" s="155"/>
      <c r="O551" s="144"/>
      <c r="P551" s="159" t="str">
        <f>IFERROR(IF(O551&lt;&gt;"User Specified",IF(O551&lt;&gt;"", INDEX('Refrigerant GWPs'!$G$2:$G$154,MATCH(O551,'Refrigerant GWPs'!$A$2:$A$154,0)),""),U551),0)</f>
        <v/>
      </c>
      <c r="Q551" s="155"/>
      <c r="R551" s="155"/>
      <c r="S551" s="144"/>
      <c r="T551" s="159" t="str">
        <f>IF(S551&lt;&gt;"User Specified",IF(AND(S551&lt;&gt;"User Specified",S551&lt;&gt;""), INDEX('Refrigerant GWPs'!$G$2:$G$154,MATCH(S551,'Refrigerant GWPs'!$A$2:$A$154,0)),""),V551)</f>
        <v/>
      </c>
      <c r="U551" s="144"/>
      <c r="V551" s="144"/>
      <c r="W551" s="155"/>
      <c r="X551" s="155"/>
      <c r="Y551" s="144"/>
      <c r="Z551" s="159" t="str">
        <f>IF(AND(Y551&lt;&gt;"User Specified",Y551&lt;&gt;""), INDEX('Refrigerant GWPs'!$G$2:$G$154,MATCH(Y551,'Refrigerant GWPs'!$A$2:$A$154,0)),"")</f>
        <v/>
      </c>
      <c r="AA551" s="155"/>
      <c r="AB551" s="156"/>
      <c r="AC551" s="66"/>
      <c r="AD551" s="66"/>
      <c r="AE551" s="66"/>
      <c r="AF551" s="66"/>
      <c r="AG551" s="66"/>
      <c r="AH551" s="66"/>
      <c r="AI551" s="34"/>
      <c r="AJ551" s="88">
        <f t="shared" si="650"/>
        <v>0</v>
      </c>
      <c r="AK551" s="88">
        <f t="shared" si="651"/>
        <v>0</v>
      </c>
      <c r="AL551" s="88">
        <v>0</v>
      </c>
      <c r="AM551" s="88">
        <v>0</v>
      </c>
      <c r="AN551" s="81" t="str">
        <f t="shared" si="689"/>
        <v/>
      </c>
      <c r="AO551" s="88">
        <f t="shared" si="652"/>
        <v>0</v>
      </c>
      <c r="AP551" s="88">
        <f t="shared" si="653"/>
        <v>0</v>
      </c>
      <c r="AQ551" s="81" t="str">
        <f t="shared" si="654"/>
        <v/>
      </c>
      <c r="AS551" s="41" t="b">
        <f t="shared" si="655"/>
        <v>1</v>
      </c>
      <c r="AT551" s="38">
        <f t="shared" si="656"/>
        <v>0</v>
      </c>
      <c r="AU551" s="60">
        <f t="shared" si="657"/>
        <v>0</v>
      </c>
      <c r="AV551" s="41">
        <f t="shared" si="658"/>
        <v>0</v>
      </c>
      <c r="AW551" s="41" t="b">
        <f t="shared" si="659"/>
        <v>0</v>
      </c>
      <c r="AX551" t="str">
        <f t="shared" si="660"/>
        <v>+00</v>
      </c>
      <c r="AY551" t="str">
        <f t="shared" si="661"/>
        <v>+00</v>
      </c>
      <c r="BA551" s="47" t="b">
        <f t="shared" si="690"/>
        <v>1</v>
      </c>
      <c r="BB551" s="42" t="b">
        <f t="shared" si="691"/>
        <v>1</v>
      </c>
      <c r="BC551" s="42" t="b">
        <f t="shared" si="692"/>
        <v>0</v>
      </c>
      <c r="BD551" s="42" t="b">
        <f t="shared" si="693"/>
        <v>0</v>
      </c>
      <c r="BE551" s="70">
        <f t="shared" si="694"/>
        <v>0</v>
      </c>
      <c r="BF551" s="70">
        <f t="shared" si="695"/>
        <v>0</v>
      </c>
      <c r="BG551" s="34"/>
      <c r="BI551" s="47" t="b">
        <f t="shared" si="696"/>
        <v>1</v>
      </c>
      <c r="BJ551" s="47" t="b">
        <f t="shared" si="697"/>
        <v>1</v>
      </c>
      <c r="BK551" s="42" t="b">
        <f t="shared" si="698"/>
        <v>0</v>
      </c>
      <c r="BL551" s="42" t="b">
        <f t="shared" si="699"/>
        <v>0</v>
      </c>
      <c r="BM551" s="42">
        <f t="shared" si="700"/>
        <v>0</v>
      </c>
      <c r="BN551" s="42">
        <f t="shared" si="701"/>
        <v>0</v>
      </c>
      <c r="BP551" t="e">
        <f t="shared" si="702"/>
        <v>#N/A</v>
      </c>
      <c r="BQ551" t="e">
        <f t="shared" si="703"/>
        <v>#N/A</v>
      </c>
      <c r="BR551" t="e">
        <f t="shared" si="704"/>
        <v>#N/A</v>
      </c>
      <c r="BT551" s="60">
        <f t="shared" si="705"/>
        <v>0</v>
      </c>
      <c r="BU551" s="60">
        <f t="shared" si="706"/>
        <v>0</v>
      </c>
      <c r="BV551" s="60">
        <f t="shared" si="707"/>
        <v>0</v>
      </c>
      <c r="BW551" s="60">
        <f t="shared" si="708"/>
        <v>0</v>
      </c>
      <c r="BX551" s="60">
        <f t="shared" si="709"/>
        <v>0</v>
      </c>
      <c r="BY551" s="60">
        <f t="shared" si="710"/>
        <v>0</v>
      </c>
      <c r="BZ551" s="60">
        <f t="shared" si="711"/>
        <v>0</v>
      </c>
      <c r="CA551" s="60">
        <f t="shared" si="712"/>
        <v>0</v>
      </c>
      <c r="CB551" s="60" t="e">
        <f t="shared" si="662"/>
        <v>#N/A</v>
      </c>
      <c r="CC551" s="60">
        <f t="shared" si="663"/>
        <v>100000</v>
      </c>
      <c r="CD551" s="60" t="e">
        <f t="shared" si="664"/>
        <v>#N/A</v>
      </c>
      <c r="CE551" s="60">
        <f t="shared" si="665"/>
        <v>100000</v>
      </c>
      <c r="CF551" s="83" t="e">
        <f t="shared" si="713"/>
        <v>#N/A</v>
      </c>
      <c r="CG551" s="83">
        <f t="shared" si="714"/>
        <v>0</v>
      </c>
      <c r="CH551" s="83" t="e">
        <f t="shared" si="715"/>
        <v>#N/A</v>
      </c>
      <c r="CI551" s="83">
        <f t="shared" si="716"/>
        <v>0</v>
      </c>
      <c r="CJ551" s="86" t="e">
        <f t="shared" si="666"/>
        <v>#N/A</v>
      </c>
      <c r="CK551" s="82">
        <f t="shared" si="667"/>
        <v>5.3070370403969858E-3</v>
      </c>
      <c r="CL551" s="82" t="e">
        <f t="shared" si="668"/>
        <v>#N/A</v>
      </c>
      <c r="CM551" s="82">
        <f t="shared" si="669"/>
        <v>5.3070370403969858E-3</v>
      </c>
      <c r="CO551" s="149" t="str">
        <f>IF($I551&lt;&gt;"",IF(O551="User Specified",U551,INDEX('Refrigerant GWPs'!$G$2:$G$156,MATCH(O551,'Refrigerant GWPs'!$A$2:$A$156,0))),"")</f>
        <v/>
      </c>
      <c r="CP551" s="138" t="str">
        <f>IF($I551&lt;&gt;"",INDEX('Device Refrigerant Leakage'!$E$2:$E$42,MATCH($M551,'Device Refrigerant Leakage'!$B$2:$B$42,0)),"")</f>
        <v/>
      </c>
      <c r="CQ551" s="138" t="str">
        <f>IF($I551&lt;&gt;"",INDEX('Device Refrigerant Leakage'!$F$2:$F$42,MATCH($M551,'Device Refrigerant Leakage'!$B$2:$B$42,0)),"")</f>
        <v/>
      </c>
      <c r="CR551" s="145" t="str">
        <f>IF($I551&lt;&gt;"",INDEX('Device Refrigerant Leakage'!$G$2:$G$42,MATCH($M551,'Device Refrigerant Leakage'!$B$2:$B$42,0)),"")</f>
        <v/>
      </c>
      <c r="CS551" s="145" t="str">
        <f>IF($I551&lt;&gt;"",INDEX('Device Refrigerant Leakage'!$D$2:$D$42,MATCH($M551,'Device Refrigerant Leakage'!$B$2:$B$42,0))*CP551/2204.62*CO551,"")</f>
        <v/>
      </c>
      <c r="CT551" s="145" t="str">
        <f>IF($I551&lt;&gt;"",J551*(INDEX('Device Refrigerant Leakage'!$D$2:$D$42,MATCH($M551,'Device Refrigerant Leakage'!$B$2:$B$42,0))-(INDEX('Device Refrigerant Leakage'!$D$2:$D$42,MATCH($M551,'Device Refrigerant Leakage'!$B$2:$B$42,0)))*CR551*CP551)*CQ551/2204.62*CO551,"")</f>
        <v/>
      </c>
      <c r="CU551" s="135" t="str">
        <f>IF($I551&lt;&gt;"",J551*IF(W551&lt;&gt;"AR",(CS551*K551)+CT551,(CS551*AB551)+CT551*(AB551/INDEX('Device Refrigerant Leakage'!$C$2:$C$42,MATCH($M551,'Device Refrigerant Leakage'!$B$2:$B$42,0)))),"")</f>
        <v/>
      </c>
      <c r="CW551" s="135" t="str">
        <f>IF($I551&lt;&gt;"",IF(S551="User Specified",V551,INDEX('Refrigerant GWPs'!$G$2:$G$156,MATCH(S551,'Refrigerant GWPs'!$A$2:$A$157,0))),"")</f>
        <v/>
      </c>
      <c r="CX551" s="138" t="str">
        <f>IF($I551&lt;&gt;"",INDEX('Device Refrigerant Leakage'!$E$2:$E$42,MATCH($Q551,'Device Refrigerant Leakage'!$B$2:$B$42,0)),"")</f>
        <v/>
      </c>
      <c r="CY551" s="138" t="str">
        <f>IF($I551&lt;&gt;"",INDEX('Device Refrigerant Leakage'!$F$2:$F$42,MATCH($Q551,'Device Refrigerant Leakage'!$B$2:$B$42,0)),"")</f>
        <v/>
      </c>
      <c r="CZ551" s="145" t="str">
        <f>IF($I551&lt;&gt;"",INDEX('Device Refrigerant Leakage'!$G$2:$G$42,MATCH($Q551,'Device Refrigerant Leakage'!$B$2:$B$42,0)),"")</f>
        <v/>
      </c>
      <c r="DA551" s="145" t="str">
        <f>IF($I551&lt;&gt;"",J551*INDEX('Device Refrigerant Leakage'!$D$2:$D$42,MATCH($Q551,'Device Refrigerant Leakage'!$B$2:$B$42,0))*CX551/2204.62*CW551,"")</f>
        <v/>
      </c>
      <c r="DB551" s="145" t="str">
        <f>IF($I551&lt;&gt;"",J551*(INDEX('Device Refrigerant Leakage'!$D$2:$D$42,MATCH($Q551,'Device Refrigerant Leakage'!$B$2:$B$42,0))-(INDEX('Device Refrigerant Leakage'!$D$2:$D$42,MATCH($Q551,'Device Refrigerant Leakage'!$B$2:$B$42,0)))*CZ551*CX551)*CY551/2204.62*CW551,"")</f>
        <v/>
      </c>
      <c r="DC551" s="135" t="str">
        <f t="shared" si="688"/>
        <v/>
      </c>
      <c r="DE551" s="146" t="str">
        <f>IF(W551&lt;&gt;"AR","",IF(Y551="User Specified", AA551, INDEX('Refrigerant GWPs'!$G$2:$G$154,MATCH(Y551,'Refrigerant GWPs'!$A$2:$A$154,0))))</f>
        <v/>
      </c>
      <c r="DF551" s="146" t="str">
        <f>IF(W551&lt;&gt;"AR","",INDEX('Device Refrigerant Leakage'!$E$2:$E$42,MATCH(X551,'Device Refrigerant Leakage'!$B$2:$B$42,0)))</f>
        <v/>
      </c>
      <c r="DG551" s="146" t="str">
        <f>IF(W551&lt;&gt;"AR","",INDEX('Device Refrigerant Leakage'!$F$2:$F$42,MATCH(X551,'Device Refrigerant Leakage'!$B$2:$B$42,0)))</f>
        <v/>
      </c>
      <c r="DH551" s="146" t="str">
        <f>IF(W551&lt;&gt;"AR","",INDEX('Device Refrigerant Leakage'!$G$2:$G$42,MATCH(X551,'Device Refrigerant Leakage'!$B$2:$B$42,0)))</f>
        <v/>
      </c>
      <c r="DI551" s="146" t="str">
        <f>IF(W551&lt;&gt;"AR","",J551*INDEX('Device Refrigerant Leakage'!$D$2:$D$42,MATCH(X551,'Device Refrigerant Leakage'!$B$2:$B$42,0))*DF551/2204.62*DE551)</f>
        <v/>
      </c>
      <c r="DJ551" s="146" t="str">
        <f>IF(W551&lt;&gt;"AR","",J551*(INDEX('Device Refrigerant Leakage'!$D$2:$D$42,MATCH(X551,'Device Refrigerant Leakage'!$B$2:$B$42,0))-(INDEX('Device Refrigerant Leakage'!$D$2:$D$42,MATCH(X551,'Device Refrigerant Leakage'!$B$2:$B$42,0)))*DH551*DF551)*DG551/2204.62*DE551)</f>
        <v/>
      </c>
      <c r="DK551" s="146" t="str">
        <f>IF(W551&lt;&gt;"AR","",DI551*(K551-AB551)+'Fuel Sub Calcs-Deemed'!DJ551*((K551-AB551)/INDEX('Device Refrigerant Leakage'!$C$2:$C$42,MATCH('Fuel Sub Calcs-Deemed'!X551,'Device Refrigerant Leakage'!$B$2:$B$42,0))))</f>
        <v/>
      </c>
      <c r="DM551" s="56">
        <v>537</v>
      </c>
      <c r="DN551" s="67" t="e">
        <f t="shared" si="670"/>
        <v>#N/A</v>
      </c>
      <c r="DO551" s="45" t="e">
        <f t="shared" si="671"/>
        <v>#N/A</v>
      </c>
      <c r="DP551" s="67" t="e">
        <f t="shared" si="672"/>
        <v>#N/A</v>
      </c>
      <c r="DQ551" s="45" t="e">
        <f t="shared" si="673"/>
        <v>#N/A</v>
      </c>
      <c r="DR551" s="69" t="e">
        <f t="shared" si="674"/>
        <v>#N/A</v>
      </c>
      <c r="DS551" s="34"/>
      <c r="DT551" s="67" t="e">
        <f>((BX551*CJ551)+IF($W551=MAT_AR,(BZ551*CL551),0))*(1+Reference!$E$50+Reference!$E$51)</f>
        <v>#N/A</v>
      </c>
      <c r="DU551" s="67">
        <f>((BY551*CK551)+IF($W551=MAT_AR,(CA551*CM551),0))*(1+Reference!$G$50+Reference!$G$51)</f>
        <v>0</v>
      </c>
      <c r="DV551" s="67" t="e">
        <f t="shared" si="675"/>
        <v>#VALUE!</v>
      </c>
      <c r="DX551" s="56">
        <v>537</v>
      </c>
      <c r="DY551" s="67">
        <f t="shared" si="676"/>
        <v>0</v>
      </c>
      <c r="DZ551" s="45" t="e">
        <f>VLOOKUP($R551,Dropdown!$C$3:$D$4,2,FALSE)</f>
        <v>#N/A</v>
      </c>
      <c r="EA551" s="68">
        <f t="shared" si="677"/>
        <v>0</v>
      </c>
      <c r="EB551" s="68" t="str">
        <f t="shared" si="678"/>
        <v>N/A</v>
      </c>
      <c r="EC551" s="68">
        <f t="shared" si="679"/>
        <v>0</v>
      </c>
      <c r="ED551" s="68" t="str">
        <f t="shared" si="717"/>
        <v>N/A</v>
      </c>
      <c r="EF551" s="56">
        <v>537</v>
      </c>
      <c r="EG551" s="46">
        <f t="shared" si="680"/>
        <v>0</v>
      </c>
      <c r="EH551" s="68" t="e">
        <f t="shared" si="681"/>
        <v>#N/A</v>
      </c>
      <c r="EI551" s="68" t="e">
        <f t="shared" si="682"/>
        <v>#N/A</v>
      </c>
      <c r="EJ551" s="68" t="e">
        <f t="shared" si="683"/>
        <v>#N/A</v>
      </c>
      <c r="EK551" s="68" t="e">
        <f t="shared" si="684"/>
        <v>#N/A</v>
      </c>
      <c r="EL551" s="46">
        <f t="shared" si="685"/>
        <v>0</v>
      </c>
      <c r="EM551" s="46">
        <f t="shared" si="686"/>
        <v>0</v>
      </c>
    </row>
    <row r="552" spans="1:143">
      <c r="A552" s="89"/>
      <c r="B552" s="89"/>
      <c r="C552" s="89"/>
      <c r="D552" s="89"/>
      <c r="E552" s="89"/>
      <c r="F552" s="89"/>
      <c r="G552" s="34"/>
      <c r="H552" s="56">
        <f t="shared" si="687"/>
        <v>538</v>
      </c>
      <c r="I552" s="165"/>
      <c r="J552" s="163"/>
      <c r="K552" s="163"/>
      <c r="L552" s="164"/>
      <c r="M552" s="155"/>
      <c r="N552" s="155"/>
      <c r="O552" s="144"/>
      <c r="P552" s="159" t="str">
        <f>IFERROR(IF(O552&lt;&gt;"User Specified",IF(O552&lt;&gt;"", INDEX('Refrigerant GWPs'!$G$2:$G$154,MATCH(O552,'Refrigerant GWPs'!$A$2:$A$154,0)),""),U552),0)</f>
        <v/>
      </c>
      <c r="Q552" s="155"/>
      <c r="R552" s="155"/>
      <c r="S552" s="144"/>
      <c r="T552" s="159" t="str">
        <f>IF(S552&lt;&gt;"User Specified",IF(AND(S552&lt;&gt;"User Specified",S552&lt;&gt;""), INDEX('Refrigerant GWPs'!$G$2:$G$154,MATCH(S552,'Refrigerant GWPs'!$A$2:$A$154,0)),""),V552)</f>
        <v/>
      </c>
      <c r="U552" s="144"/>
      <c r="V552" s="144"/>
      <c r="W552" s="155"/>
      <c r="X552" s="155"/>
      <c r="Y552" s="144"/>
      <c r="Z552" s="159" t="str">
        <f>IF(AND(Y552&lt;&gt;"User Specified",Y552&lt;&gt;""), INDEX('Refrigerant GWPs'!$G$2:$G$154,MATCH(Y552,'Refrigerant GWPs'!$A$2:$A$154,0)),"")</f>
        <v/>
      </c>
      <c r="AA552" s="155"/>
      <c r="AB552" s="156"/>
      <c r="AC552" s="66"/>
      <c r="AD552" s="66"/>
      <c r="AE552" s="66"/>
      <c r="AF552" s="66"/>
      <c r="AG552" s="66"/>
      <c r="AH552" s="66"/>
      <c r="AI552" s="34"/>
      <c r="AJ552" s="88">
        <f t="shared" si="650"/>
        <v>0</v>
      </c>
      <c r="AK552" s="88">
        <f t="shared" si="651"/>
        <v>0</v>
      </c>
      <c r="AL552" s="88">
        <v>0</v>
      </c>
      <c r="AM552" s="88">
        <v>0</v>
      </c>
      <c r="AN552" s="81" t="str">
        <f t="shared" si="689"/>
        <v/>
      </c>
      <c r="AO552" s="88">
        <f t="shared" si="652"/>
        <v>0</v>
      </c>
      <c r="AP552" s="88">
        <f t="shared" si="653"/>
        <v>0</v>
      </c>
      <c r="AQ552" s="81" t="str">
        <f t="shared" si="654"/>
        <v/>
      </c>
      <c r="AS552" s="41" t="b">
        <f t="shared" si="655"/>
        <v>1</v>
      </c>
      <c r="AT552" s="38">
        <f t="shared" si="656"/>
        <v>0</v>
      </c>
      <c r="AU552" s="60">
        <f t="shared" si="657"/>
        <v>0</v>
      </c>
      <c r="AV552" s="41">
        <f t="shared" si="658"/>
        <v>0</v>
      </c>
      <c r="AW552" s="41" t="b">
        <f t="shared" si="659"/>
        <v>0</v>
      </c>
      <c r="AX552" t="str">
        <f t="shared" si="660"/>
        <v>+00</v>
      </c>
      <c r="AY552" t="str">
        <f t="shared" si="661"/>
        <v>+00</v>
      </c>
      <c r="BA552" s="47" t="b">
        <f t="shared" si="690"/>
        <v>1</v>
      </c>
      <c r="BB552" s="42" t="b">
        <f t="shared" si="691"/>
        <v>1</v>
      </c>
      <c r="BC552" s="42" t="b">
        <f t="shared" si="692"/>
        <v>0</v>
      </c>
      <c r="BD552" s="42" t="b">
        <f t="shared" si="693"/>
        <v>0</v>
      </c>
      <c r="BE552" s="70">
        <f t="shared" si="694"/>
        <v>0</v>
      </c>
      <c r="BF552" s="70">
        <f t="shared" si="695"/>
        <v>0</v>
      </c>
      <c r="BG552" s="34"/>
      <c r="BI552" s="47" t="b">
        <f t="shared" si="696"/>
        <v>1</v>
      </c>
      <c r="BJ552" s="47" t="b">
        <f t="shared" si="697"/>
        <v>1</v>
      </c>
      <c r="BK552" s="42" t="b">
        <f t="shared" si="698"/>
        <v>0</v>
      </c>
      <c r="BL552" s="42" t="b">
        <f t="shared" si="699"/>
        <v>0</v>
      </c>
      <c r="BM552" s="42">
        <f t="shared" si="700"/>
        <v>0</v>
      </c>
      <c r="BN552" s="42">
        <f t="shared" si="701"/>
        <v>0</v>
      </c>
      <c r="BP552" t="e">
        <f t="shared" si="702"/>
        <v>#N/A</v>
      </c>
      <c r="BQ552" t="e">
        <f t="shared" si="703"/>
        <v>#N/A</v>
      </c>
      <c r="BR552" t="e">
        <f t="shared" si="704"/>
        <v>#N/A</v>
      </c>
      <c r="BT552" s="60">
        <f t="shared" si="705"/>
        <v>0</v>
      </c>
      <c r="BU552" s="60">
        <f t="shared" si="706"/>
        <v>0</v>
      </c>
      <c r="BV552" s="60">
        <f t="shared" si="707"/>
        <v>0</v>
      </c>
      <c r="BW552" s="60">
        <f t="shared" si="708"/>
        <v>0</v>
      </c>
      <c r="BX552" s="60">
        <f t="shared" si="709"/>
        <v>0</v>
      </c>
      <c r="BY552" s="60">
        <f t="shared" si="710"/>
        <v>0</v>
      </c>
      <c r="BZ552" s="60">
        <f t="shared" si="711"/>
        <v>0</v>
      </c>
      <c r="CA552" s="60">
        <f t="shared" si="712"/>
        <v>0</v>
      </c>
      <c r="CB552" s="60" t="e">
        <f t="shared" si="662"/>
        <v>#N/A</v>
      </c>
      <c r="CC552" s="60">
        <f t="shared" si="663"/>
        <v>100000</v>
      </c>
      <c r="CD552" s="60" t="e">
        <f t="shared" si="664"/>
        <v>#N/A</v>
      </c>
      <c r="CE552" s="60">
        <f t="shared" si="665"/>
        <v>100000</v>
      </c>
      <c r="CF552" s="83" t="e">
        <f t="shared" si="713"/>
        <v>#N/A</v>
      </c>
      <c r="CG552" s="83">
        <f t="shared" si="714"/>
        <v>0</v>
      </c>
      <c r="CH552" s="83" t="e">
        <f t="shared" si="715"/>
        <v>#N/A</v>
      </c>
      <c r="CI552" s="83">
        <f t="shared" si="716"/>
        <v>0</v>
      </c>
      <c r="CJ552" s="86" t="e">
        <f t="shared" si="666"/>
        <v>#N/A</v>
      </c>
      <c r="CK552" s="82">
        <f t="shared" si="667"/>
        <v>5.3070370403969858E-3</v>
      </c>
      <c r="CL552" s="82" t="e">
        <f t="shared" si="668"/>
        <v>#N/A</v>
      </c>
      <c r="CM552" s="82">
        <f t="shared" si="669"/>
        <v>5.3070370403969858E-3</v>
      </c>
      <c r="CO552" s="149" t="str">
        <f>IF($I552&lt;&gt;"",IF(O552="User Specified",U552,INDEX('Refrigerant GWPs'!$G$2:$G$156,MATCH(O552,'Refrigerant GWPs'!$A$2:$A$156,0))),"")</f>
        <v/>
      </c>
      <c r="CP552" s="138" t="str">
        <f>IF($I552&lt;&gt;"",INDEX('Device Refrigerant Leakage'!$E$2:$E$42,MATCH($M552,'Device Refrigerant Leakage'!$B$2:$B$42,0)),"")</f>
        <v/>
      </c>
      <c r="CQ552" s="138" t="str">
        <f>IF($I552&lt;&gt;"",INDEX('Device Refrigerant Leakage'!$F$2:$F$42,MATCH($M552,'Device Refrigerant Leakage'!$B$2:$B$42,0)),"")</f>
        <v/>
      </c>
      <c r="CR552" s="145" t="str">
        <f>IF($I552&lt;&gt;"",INDEX('Device Refrigerant Leakage'!$G$2:$G$42,MATCH($M552,'Device Refrigerant Leakage'!$B$2:$B$42,0)),"")</f>
        <v/>
      </c>
      <c r="CS552" s="145" t="str">
        <f>IF($I552&lt;&gt;"",INDEX('Device Refrigerant Leakage'!$D$2:$D$42,MATCH($M552,'Device Refrigerant Leakage'!$B$2:$B$42,0))*CP552/2204.62*CO552,"")</f>
        <v/>
      </c>
      <c r="CT552" s="145" t="str">
        <f>IF($I552&lt;&gt;"",J552*(INDEX('Device Refrigerant Leakage'!$D$2:$D$42,MATCH($M552,'Device Refrigerant Leakage'!$B$2:$B$42,0))-(INDEX('Device Refrigerant Leakage'!$D$2:$D$42,MATCH($M552,'Device Refrigerant Leakage'!$B$2:$B$42,0)))*CR552*CP552)*CQ552/2204.62*CO552,"")</f>
        <v/>
      </c>
      <c r="CU552" s="135" t="str">
        <f>IF($I552&lt;&gt;"",J552*IF(W552&lt;&gt;"AR",(CS552*K552)+CT552,(CS552*AB552)+CT552*(AB552/INDEX('Device Refrigerant Leakage'!$C$2:$C$42,MATCH($M552,'Device Refrigerant Leakage'!$B$2:$B$42,0)))),"")</f>
        <v/>
      </c>
      <c r="CW552" s="135" t="str">
        <f>IF($I552&lt;&gt;"",IF(S552="User Specified",V552,INDEX('Refrigerant GWPs'!$G$2:$G$156,MATCH(S552,'Refrigerant GWPs'!$A$2:$A$157,0))),"")</f>
        <v/>
      </c>
      <c r="CX552" s="138" t="str">
        <f>IF($I552&lt;&gt;"",INDEX('Device Refrigerant Leakage'!$E$2:$E$42,MATCH($Q552,'Device Refrigerant Leakage'!$B$2:$B$42,0)),"")</f>
        <v/>
      </c>
      <c r="CY552" s="138" t="str">
        <f>IF($I552&lt;&gt;"",INDEX('Device Refrigerant Leakage'!$F$2:$F$42,MATCH($Q552,'Device Refrigerant Leakage'!$B$2:$B$42,0)),"")</f>
        <v/>
      </c>
      <c r="CZ552" s="145" t="str">
        <f>IF($I552&lt;&gt;"",INDEX('Device Refrigerant Leakage'!$G$2:$G$42,MATCH($Q552,'Device Refrigerant Leakage'!$B$2:$B$42,0)),"")</f>
        <v/>
      </c>
      <c r="DA552" s="145" t="str">
        <f>IF($I552&lt;&gt;"",J552*INDEX('Device Refrigerant Leakage'!$D$2:$D$42,MATCH($Q552,'Device Refrigerant Leakage'!$B$2:$B$42,0))*CX552/2204.62*CW552,"")</f>
        <v/>
      </c>
      <c r="DB552" s="145" t="str">
        <f>IF($I552&lt;&gt;"",J552*(INDEX('Device Refrigerant Leakage'!$D$2:$D$42,MATCH($Q552,'Device Refrigerant Leakage'!$B$2:$B$42,0))-(INDEX('Device Refrigerant Leakage'!$D$2:$D$42,MATCH($Q552,'Device Refrigerant Leakage'!$B$2:$B$42,0)))*CZ552*CX552)*CY552/2204.62*CW552,"")</f>
        <v/>
      </c>
      <c r="DC552" s="135" t="str">
        <f t="shared" si="688"/>
        <v/>
      </c>
      <c r="DE552" s="146" t="str">
        <f>IF(W552&lt;&gt;"AR","",IF(Y552="User Specified", AA552, INDEX('Refrigerant GWPs'!$G$2:$G$154,MATCH(Y552,'Refrigerant GWPs'!$A$2:$A$154,0))))</f>
        <v/>
      </c>
      <c r="DF552" s="146" t="str">
        <f>IF(W552&lt;&gt;"AR","",INDEX('Device Refrigerant Leakage'!$E$2:$E$42,MATCH(X552,'Device Refrigerant Leakage'!$B$2:$B$42,0)))</f>
        <v/>
      </c>
      <c r="DG552" s="146" t="str">
        <f>IF(W552&lt;&gt;"AR","",INDEX('Device Refrigerant Leakage'!$F$2:$F$42,MATCH(X552,'Device Refrigerant Leakage'!$B$2:$B$42,0)))</f>
        <v/>
      </c>
      <c r="DH552" s="146" t="str">
        <f>IF(W552&lt;&gt;"AR","",INDEX('Device Refrigerant Leakage'!$G$2:$G$42,MATCH(X552,'Device Refrigerant Leakage'!$B$2:$B$42,0)))</f>
        <v/>
      </c>
      <c r="DI552" s="146" t="str">
        <f>IF(W552&lt;&gt;"AR","",J552*INDEX('Device Refrigerant Leakage'!$D$2:$D$42,MATCH(X552,'Device Refrigerant Leakage'!$B$2:$B$42,0))*DF552/2204.62*DE552)</f>
        <v/>
      </c>
      <c r="DJ552" s="146" t="str">
        <f>IF(W552&lt;&gt;"AR","",J552*(INDEX('Device Refrigerant Leakage'!$D$2:$D$42,MATCH(X552,'Device Refrigerant Leakage'!$B$2:$B$42,0))-(INDEX('Device Refrigerant Leakage'!$D$2:$D$42,MATCH(X552,'Device Refrigerant Leakage'!$B$2:$B$42,0)))*DH552*DF552)*DG552/2204.62*DE552)</f>
        <v/>
      </c>
      <c r="DK552" s="146" t="str">
        <f>IF(W552&lt;&gt;"AR","",DI552*(K552-AB552)+'Fuel Sub Calcs-Deemed'!DJ552*((K552-AB552)/INDEX('Device Refrigerant Leakage'!$C$2:$C$42,MATCH('Fuel Sub Calcs-Deemed'!X552,'Device Refrigerant Leakage'!$B$2:$B$42,0))))</f>
        <v/>
      </c>
      <c r="DM552" s="56">
        <v>538</v>
      </c>
      <c r="DN552" s="67" t="e">
        <f t="shared" si="670"/>
        <v>#N/A</v>
      </c>
      <c r="DO552" s="45" t="e">
        <f t="shared" si="671"/>
        <v>#N/A</v>
      </c>
      <c r="DP552" s="67" t="e">
        <f t="shared" si="672"/>
        <v>#N/A</v>
      </c>
      <c r="DQ552" s="45" t="e">
        <f t="shared" si="673"/>
        <v>#N/A</v>
      </c>
      <c r="DR552" s="69" t="e">
        <f t="shared" si="674"/>
        <v>#N/A</v>
      </c>
      <c r="DS552" s="34"/>
      <c r="DT552" s="67" t="e">
        <f>((BX552*CJ552)+IF($W552=MAT_AR,(BZ552*CL552),0))*(1+Reference!$E$50+Reference!$E$51)</f>
        <v>#N/A</v>
      </c>
      <c r="DU552" s="67">
        <f>((BY552*CK552)+IF($W552=MAT_AR,(CA552*CM552),0))*(1+Reference!$G$50+Reference!$G$51)</f>
        <v>0</v>
      </c>
      <c r="DV552" s="67" t="e">
        <f t="shared" si="675"/>
        <v>#VALUE!</v>
      </c>
      <c r="DX552" s="56">
        <v>538</v>
      </c>
      <c r="DY552" s="67">
        <f t="shared" si="676"/>
        <v>0</v>
      </c>
      <c r="DZ552" s="45" t="e">
        <f>VLOOKUP($R552,Dropdown!$C$3:$D$4,2,FALSE)</f>
        <v>#N/A</v>
      </c>
      <c r="EA552" s="68">
        <f t="shared" si="677"/>
        <v>0</v>
      </c>
      <c r="EB552" s="68" t="str">
        <f t="shared" si="678"/>
        <v>N/A</v>
      </c>
      <c r="EC552" s="68">
        <f t="shared" si="679"/>
        <v>0</v>
      </c>
      <c r="ED552" s="68" t="str">
        <f t="shared" si="717"/>
        <v>N/A</v>
      </c>
      <c r="EF552" s="56">
        <v>538</v>
      </c>
      <c r="EG552" s="46">
        <f t="shared" si="680"/>
        <v>0</v>
      </c>
      <c r="EH552" s="68" t="e">
        <f t="shared" si="681"/>
        <v>#N/A</v>
      </c>
      <c r="EI552" s="68" t="e">
        <f t="shared" si="682"/>
        <v>#N/A</v>
      </c>
      <c r="EJ552" s="68" t="e">
        <f t="shared" si="683"/>
        <v>#N/A</v>
      </c>
      <c r="EK552" s="68" t="e">
        <f t="shared" si="684"/>
        <v>#N/A</v>
      </c>
      <c r="EL552" s="46">
        <f t="shared" si="685"/>
        <v>0</v>
      </c>
      <c r="EM552" s="46">
        <f t="shared" si="686"/>
        <v>0</v>
      </c>
    </row>
    <row r="553" spans="1:143">
      <c r="A553" s="89"/>
      <c r="B553" s="89"/>
      <c r="C553" s="89"/>
      <c r="D553" s="89"/>
      <c r="E553" s="89"/>
      <c r="F553" s="89"/>
      <c r="G553" s="34"/>
      <c r="H553" s="56">
        <f t="shared" si="687"/>
        <v>539</v>
      </c>
      <c r="I553" s="165"/>
      <c r="J553" s="163"/>
      <c r="K553" s="163"/>
      <c r="L553" s="164"/>
      <c r="M553" s="155"/>
      <c r="N553" s="155"/>
      <c r="O553" s="144"/>
      <c r="P553" s="159" t="str">
        <f>IFERROR(IF(O553&lt;&gt;"User Specified",IF(O553&lt;&gt;"", INDEX('Refrigerant GWPs'!$G$2:$G$154,MATCH(O553,'Refrigerant GWPs'!$A$2:$A$154,0)),""),U553),0)</f>
        <v/>
      </c>
      <c r="Q553" s="155"/>
      <c r="R553" s="155"/>
      <c r="S553" s="144"/>
      <c r="T553" s="159" t="str">
        <f>IF(S553&lt;&gt;"User Specified",IF(AND(S553&lt;&gt;"User Specified",S553&lt;&gt;""), INDEX('Refrigerant GWPs'!$G$2:$G$154,MATCH(S553,'Refrigerant GWPs'!$A$2:$A$154,0)),""),V553)</f>
        <v/>
      </c>
      <c r="U553" s="144"/>
      <c r="V553" s="144"/>
      <c r="W553" s="155"/>
      <c r="X553" s="155"/>
      <c r="Y553" s="144"/>
      <c r="Z553" s="159" t="str">
        <f>IF(AND(Y553&lt;&gt;"User Specified",Y553&lt;&gt;""), INDEX('Refrigerant GWPs'!$G$2:$G$154,MATCH(Y553,'Refrigerant GWPs'!$A$2:$A$154,0)),"")</f>
        <v/>
      </c>
      <c r="AA553" s="155"/>
      <c r="AB553" s="156"/>
      <c r="AC553" s="66"/>
      <c r="AD553" s="66"/>
      <c r="AE553" s="66"/>
      <c r="AF553" s="66"/>
      <c r="AG553" s="66"/>
      <c r="AH553" s="66"/>
      <c r="AI553" s="34"/>
      <c r="AJ553" s="88">
        <f t="shared" si="650"/>
        <v>0</v>
      </c>
      <c r="AK553" s="88">
        <f t="shared" si="651"/>
        <v>0</v>
      </c>
      <c r="AL553" s="88">
        <v>0</v>
      </c>
      <c r="AM553" s="88">
        <v>0</v>
      </c>
      <c r="AN553" s="81" t="str">
        <f t="shared" si="689"/>
        <v/>
      </c>
      <c r="AO553" s="88">
        <f t="shared" si="652"/>
        <v>0</v>
      </c>
      <c r="AP553" s="88">
        <f t="shared" si="653"/>
        <v>0</v>
      </c>
      <c r="AQ553" s="81" t="str">
        <f t="shared" si="654"/>
        <v/>
      </c>
      <c r="AS553" s="41" t="b">
        <f t="shared" si="655"/>
        <v>1</v>
      </c>
      <c r="AT553" s="38">
        <f t="shared" si="656"/>
        <v>0</v>
      </c>
      <c r="AU553" s="60">
        <f t="shared" si="657"/>
        <v>0</v>
      </c>
      <c r="AV553" s="41">
        <f t="shared" si="658"/>
        <v>0</v>
      </c>
      <c r="AW553" s="41" t="b">
        <f t="shared" si="659"/>
        <v>0</v>
      </c>
      <c r="AX553" t="str">
        <f t="shared" si="660"/>
        <v>+00</v>
      </c>
      <c r="AY553" t="str">
        <f t="shared" si="661"/>
        <v>+00</v>
      </c>
      <c r="BA553" s="47" t="b">
        <f t="shared" si="690"/>
        <v>1</v>
      </c>
      <c r="BB553" s="42" t="b">
        <f t="shared" si="691"/>
        <v>1</v>
      </c>
      <c r="BC553" s="42" t="b">
        <f t="shared" si="692"/>
        <v>0</v>
      </c>
      <c r="BD553" s="42" t="b">
        <f t="shared" si="693"/>
        <v>0</v>
      </c>
      <c r="BE553" s="70">
        <f t="shared" si="694"/>
        <v>0</v>
      </c>
      <c r="BF553" s="70">
        <f t="shared" si="695"/>
        <v>0</v>
      </c>
      <c r="BG553" s="34"/>
      <c r="BI553" s="47" t="b">
        <f t="shared" si="696"/>
        <v>1</v>
      </c>
      <c r="BJ553" s="47" t="b">
        <f t="shared" si="697"/>
        <v>1</v>
      </c>
      <c r="BK553" s="42" t="b">
        <f t="shared" si="698"/>
        <v>0</v>
      </c>
      <c r="BL553" s="42" t="b">
        <f t="shared" si="699"/>
        <v>0</v>
      </c>
      <c r="BM553" s="42">
        <f t="shared" si="700"/>
        <v>0</v>
      </c>
      <c r="BN553" s="42">
        <f t="shared" si="701"/>
        <v>0</v>
      </c>
      <c r="BP553" t="e">
        <f t="shared" si="702"/>
        <v>#N/A</v>
      </c>
      <c r="BQ553" t="e">
        <f t="shared" si="703"/>
        <v>#N/A</v>
      </c>
      <c r="BR553" t="e">
        <f t="shared" si="704"/>
        <v>#N/A</v>
      </c>
      <c r="BT553" s="60">
        <f t="shared" si="705"/>
        <v>0</v>
      </c>
      <c r="BU553" s="60">
        <f t="shared" si="706"/>
        <v>0</v>
      </c>
      <c r="BV553" s="60">
        <f t="shared" si="707"/>
        <v>0</v>
      </c>
      <c r="BW553" s="60">
        <f t="shared" si="708"/>
        <v>0</v>
      </c>
      <c r="BX553" s="60">
        <f t="shared" si="709"/>
        <v>0</v>
      </c>
      <c r="BY553" s="60">
        <f t="shared" si="710"/>
        <v>0</v>
      </c>
      <c r="BZ553" s="60">
        <f t="shared" si="711"/>
        <v>0</v>
      </c>
      <c r="CA553" s="60">
        <f t="shared" si="712"/>
        <v>0</v>
      </c>
      <c r="CB553" s="60" t="e">
        <f t="shared" si="662"/>
        <v>#N/A</v>
      </c>
      <c r="CC553" s="60">
        <f t="shared" si="663"/>
        <v>100000</v>
      </c>
      <c r="CD553" s="60" t="e">
        <f t="shared" si="664"/>
        <v>#N/A</v>
      </c>
      <c r="CE553" s="60">
        <f t="shared" si="665"/>
        <v>100000</v>
      </c>
      <c r="CF553" s="83" t="e">
        <f t="shared" si="713"/>
        <v>#N/A</v>
      </c>
      <c r="CG553" s="83">
        <f t="shared" si="714"/>
        <v>0</v>
      </c>
      <c r="CH553" s="83" t="e">
        <f t="shared" si="715"/>
        <v>#N/A</v>
      </c>
      <c r="CI553" s="83">
        <f t="shared" si="716"/>
        <v>0</v>
      </c>
      <c r="CJ553" s="86" t="e">
        <f t="shared" si="666"/>
        <v>#N/A</v>
      </c>
      <c r="CK553" s="82">
        <f t="shared" si="667"/>
        <v>5.3070370403969858E-3</v>
      </c>
      <c r="CL553" s="82" t="e">
        <f t="shared" si="668"/>
        <v>#N/A</v>
      </c>
      <c r="CM553" s="82">
        <f t="shared" si="669"/>
        <v>5.3070370403969858E-3</v>
      </c>
      <c r="CO553" s="149" t="str">
        <f>IF($I553&lt;&gt;"",IF(O553="User Specified",U553,INDEX('Refrigerant GWPs'!$G$2:$G$156,MATCH(O553,'Refrigerant GWPs'!$A$2:$A$156,0))),"")</f>
        <v/>
      </c>
      <c r="CP553" s="138" t="str">
        <f>IF($I553&lt;&gt;"",INDEX('Device Refrigerant Leakage'!$E$2:$E$42,MATCH($M553,'Device Refrigerant Leakage'!$B$2:$B$42,0)),"")</f>
        <v/>
      </c>
      <c r="CQ553" s="138" t="str">
        <f>IF($I553&lt;&gt;"",INDEX('Device Refrigerant Leakage'!$F$2:$F$42,MATCH($M553,'Device Refrigerant Leakage'!$B$2:$B$42,0)),"")</f>
        <v/>
      </c>
      <c r="CR553" s="145" t="str">
        <f>IF($I553&lt;&gt;"",INDEX('Device Refrigerant Leakage'!$G$2:$G$42,MATCH($M553,'Device Refrigerant Leakage'!$B$2:$B$42,0)),"")</f>
        <v/>
      </c>
      <c r="CS553" s="145" t="str">
        <f>IF($I553&lt;&gt;"",INDEX('Device Refrigerant Leakage'!$D$2:$D$42,MATCH($M553,'Device Refrigerant Leakage'!$B$2:$B$42,0))*CP553/2204.62*CO553,"")</f>
        <v/>
      </c>
      <c r="CT553" s="145" t="str">
        <f>IF($I553&lt;&gt;"",J553*(INDEX('Device Refrigerant Leakage'!$D$2:$D$42,MATCH($M553,'Device Refrigerant Leakage'!$B$2:$B$42,0))-(INDEX('Device Refrigerant Leakage'!$D$2:$D$42,MATCH($M553,'Device Refrigerant Leakage'!$B$2:$B$42,0)))*CR553*CP553)*CQ553/2204.62*CO553,"")</f>
        <v/>
      </c>
      <c r="CU553" s="135" t="str">
        <f>IF($I553&lt;&gt;"",J553*IF(W553&lt;&gt;"AR",(CS553*K553)+CT553,(CS553*AB553)+CT553*(AB553/INDEX('Device Refrigerant Leakage'!$C$2:$C$42,MATCH($M553,'Device Refrigerant Leakage'!$B$2:$B$42,0)))),"")</f>
        <v/>
      </c>
      <c r="CW553" s="135" t="str">
        <f>IF($I553&lt;&gt;"",IF(S553="User Specified",V553,INDEX('Refrigerant GWPs'!$G$2:$G$156,MATCH(S553,'Refrigerant GWPs'!$A$2:$A$157,0))),"")</f>
        <v/>
      </c>
      <c r="CX553" s="138" t="str">
        <f>IF($I553&lt;&gt;"",INDEX('Device Refrigerant Leakage'!$E$2:$E$42,MATCH($Q553,'Device Refrigerant Leakage'!$B$2:$B$42,0)),"")</f>
        <v/>
      </c>
      <c r="CY553" s="138" t="str">
        <f>IF($I553&lt;&gt;"",INDEX('Device Refrigerant Leakage'!$F$2:$F$42,MATCH($Q553,'Device Refrigerant Leakage'!$B$2:$B$42,0)),"")</f>
        <v/>
      </c>
      <c r="CZ553" s="145" t="str">
        <f>IF($I553&lt;&gt;"",INDEX('Device Refrigerant Leakage'!$G$2:$G$42,MATCH($Q553,'Device Refrigerant Leakage'!$B$2:$B$42,0)),"")</f>
        <v/>
      </c>
      <c r="DA553" s="145" t="str">
        <f>IF($I553&lt;&gt;"",J553*INDEX('Device Refrigerant Leakage'!$D$2:$D$42,MATCH($Q553,'Device Refrigerant Leakage'!$B$2:$B$42,0))*CX553/2204.62*CW553,"")</f>
        <v/>
      </c>
      <c r="DB553" s="145" t="str">
        <f>IF($I553&lt;&gt;"",J553*(INDEX('Device Refrigerant Leakage'!$D$2:$D$42,MATCH($Q553,'Device Refrigerant Leakage'!$B$2:$B$42,0))-(INDEX('Device Refrigerant Leakage'!$D$2:$D$42,MATCH($Q553,'Device Refrigerant Leakage'!$B$2:$B$42,0)))*CZ553*CX553)*CY553/2204.62*CW553,"")</f>
        <v/>
      </c>
      <c r="DC553" s="135" t="str">
        <f t="shared" si="688"/>
        <v/>
      </c>
      <c r="DE553" s="146" t="str">
        <f>IF(W553&lt;&gt;"AR","",IF(Y553="User Specified", AA553, INDEX('Refrigerant GWPs'!$G$2:$G$154,MATCH(Y553,'Refrigerant GWPs'!$A$2:$A$154,0))))</f>
        <v/>
      </c>
      <c r="DF553" s="146" t="str">
        <f>IF(W553&lt;&gt;"AR","",INDEX('Device Refrigerant Leakage'!$E$2:$E$42,MATCH(X553,'Device Refrigerant Leakage'!$B$2:$B$42,0)))</f>
        <v/>
      </c>
      <c r="DG553" s="146" t="str">
        <f>IF(W553&lt;&gt;"AR","",INDEX('Device Refrigerant Leakage'!$F$2:$F$42,MATCH(X553,'Device Refrigerant Leakage'!$B$2:$B$42,0)))</f>
        <v/>
      </c>
      <c r="DH553" s="146" t="str">
        <f>IF(W553&lt;&gt;"AR","",INDEX('Device Refrigerant Leakage'!$G$2:$G$42,MATCH(X553,'Device Refrigerant Leakage'!$B$2:$B$42,0)))</f>
        <v/>
      </c>
      <c r="DI553" s="146" t="str">
        <f>IF(W553&lt;&gt;"AR","",J553*INDEX('Device Refrigerant Leakage'!$D$2:$D$42,MATCH(X553,'Device Refrigerant Leakage'!$B$2:$B$42,0))*DF553/2204.62*DE553)</f>
        <v/>
      </c>
      <c r="DJ553" s="146" t="str">
        <f>IF(W553&lt;&gt;"AR","",J553*(INDEX('Device Refrigerant Leakage'!$D$2:$D$42,MATCH(X553,'Device Refrigerant Leakage'!$B$2:$B$42,0))-(INDEX('Device Refrigerant Leakage'!$D$2:$D$42,MATCH(X553,'Device Refrigerant Leakage'!$B$2:$B$42,0)))*DH553*DF553)*DG553/2204.62*DE553)</f>
        <v/>
      </c>
      <c r="DK553" s="146" t="str">
        <f>IF(W553&lt;&gt;"AR","",DI553*(K553-AB553)+'Fuel Sub Calcs-Deemed'!DJ553*((K553-AB553)/INDEX('Device Refrigerant Leakage'!$C$2:$C$42,MATCH('Fuel Sub Calcs-Deemed'!X553,'Device Refrigerant Leakage'!$B$2:$B$42,0))))</f>
        <v/>
      </c>
      <c r="DM553" s="56">
        <v>539</v>
      </c>
      <c r="DN553" s="67" t="e">
        <f t="shared" si="670"/>
        <v>#N/A</v>
      </c>
      <c r="DO553" s="45" t="e">
        <f t="shared" si="671"/>
        <v>#N/A</v>
      </c>
      <c r="DP553" s="67" t="e">
        <f t="shared" si="672"/>
        <v>#N/A</v>
      </c>
      <c r="DQ553" s="45" t="e">
        <f t="shared" si="673"/>
        <v>#N/A</v>
      </c>
      <c r="DR553" s="69" t="e">
        <f t="shared" si="674"/>
        <v>#N/A</v>
      </c>
      <c r="DS553" s="34"/>
      <c r="DT553" s="67" t="e">
        <f>((BX553*CJ553)+IF($W553=MAT_AR,(BZ553*CL553),0))*(1+Reference!$E$50+Reference!$E$51)</f>
        <v>#N/A</v>
      </c>
      <c r="DU553" s="67">
        <f>((BY553*CK553)+IF($W553=MAT_AR,(CA553*CM553),0))*(1+Reference!$G$50+Reference!$G$51)</f>
        <v>0</v>
      </c>
      <c r="DV553" s="67" t="e">
        <f t="shared" si="675"/>
        <v>#VALUE!</v>
      </c>
      <c r="DX553" s="56">
        <v>539</v>
      </c>
      <c r="DY553" s="67">
        <f t="shared" si="676"/>
        <v>0</v>
      </c>
      <c r="DZ553" s="45" t="e">
        <f>VLOOKUP($R553,Dropdown!$C$3:$D$4,2,FALSE)</f>
        <v>#N/A</v>
      </c>
      <c r="EA553" s="68">
        <f t="shared" si="677"/>
        <v>0</v>
      </c>
      <c r="EB553" s="68" t="str">
        <f t="shared" si="678"/>
        <v>N/A</v>
      </c>
      <c r="EC553" s="68">
        <f t="shared" si="679"/>
        <v>0</v>
      </c>
      <c r="ED553" s="68" t="str">
        <f t="shared" si="717"/>
        <v>N/A</v>
      </c>
      <c r="EF553" s="56">
        <v>539</v>
      </c>
      <c r="EG553" s="46">
        <f t="shared" si="680"/>
        <v>0</v>
      </c>
      <c r="EH553" s="68" t="e">
        <f t="shared" si="681"/>
        <v>#N/A</v>
      </c>
      <c r="EI553" s="68" t="e">
        <f t="shared" si="682"/>
        <v>#N/A</v>
      </c>
      <c r="EJ553" s="68" t="e">
        <f t="shared" si="683"/>
        <v>#N/A</v>
      </c>
      <c r="EK553" s="68" t="e">
        <f t="shared" si="684"/>
        <v>#N/A</v>
      </c>
      <c r="EL553" s="46">
        <f t="shared" si="685"/>
        <v>0</v>
      </c>
      <c r="EM553" s="46">
        <f t="shared" si="686"/>
        <v>0</v>
      </c>
    </row>
    <row r="554" spans="1:143">
      <c r="A554" s="89"/>
      <c r="B554" s="89"/>
      <c r="C554" s="89"/>
      <c r="D554" s="89"/>
      <c r="E554" s="89"/>
      <c r="F554" s="89"/>
      <c r="G554" s="34"/>
      <c r="H554" s="56">
        <f t="shared" si="687"/>
        <v>540</v>
      </c>
      <c r="I554" s="165"/>
      <c r="J554" s="163"/>
      <c r="K554" s="163"/>
      <c r="L554" s="164"/>
      <c r="M554" s="155"/>
      <c r="N554" s="155"/>
      <c r="O554" s="144"/>
      <c r="P554" s="159" t="str">
        <f>IFERROR(IF(O554&lt;&gt;"User Specified",IF(O554&lt;&gt;"", INDEX('Refrigerant GWPs'!$G$2:$G$154,MATCH(O554,'Refrigerant GWPs'!$A$2:$A$154,0)),""),U554),0)</f>
        <v/>
      </c>
      <c r="Q554" s="155"/>
      <c r="R554" s="155"/>
      <c r="S554" s="144"/>
      <c r="T554" s="159" t="str">
        <f>IF(S554&lt;&gt;"User Specified",IF(AND(S554&lt;&gt;"User Specified",S554&lt;&gt;""), INDEX('Refrigerant GWPs'!$G$2:$G$154,MATCH(S554,'Refrigerant GWPs'!$A$2:$A$154,0)),""),V554)</f>
        <v/>
      </c>
      <c r="U554" s="144"/>
      <c r="V554" s="144"/>
      <c r="W554" s="155"/>
      <c r="X554" s="155"/>
      <c r="Y554" s="144"/>
      <c r="Z554" s="159" t="str">
        <f>IF(AND(Y554&lt;&gt;"User Specified",Y554&lt;&gt;""), INDEX('Refrigerant GWPs'!$G$2:$G$154,MATCH(Y554,'Refrigerant GWPs'!$A$2:$A$154,0)),"")</f>
        <v/>
      </c>
      <c r="AA554" s="155"/>
      <c r="AB554" s="156"/>
      <c r="AC554" s="66"/>
      <c r="AD554" s="66"/>
      <c r="AE554" s="66"/>
      <c r="AF554" s="66"/>
      <c r="AG554" s="66"/>
      <c r="AH554" s="66"/>
      <c r="AI554" s="34"/>
      <c r="AJ554" s="88">
        <f t="shared" si="650"/>
        <v>0</v>
      </c>
      <c r="AK554" s="88">
        <f t="shared" si="651"/>
        <v>0</v>
      </c>
      <c r="AL554" s="88">
        <v>0</v>
      </c>
      <c r="AM554" s="88">
        <v>0</v>
      </c>
      <c r="AN554" s="81" t="str">
        <f t="shared" si="689"/>
        <v/>
      </c>
      <c r="AO554" s="88">
        <f t="shared" si="652"/>
        <v>0</v>
      </c>
      <c r="AP554" s="88">
        <f t="shared" si="653"/>
        <v>0</v>
      </c>
      <c r="AQ554" s="81" t="str">
        <f t="shared" si="654"/>
        <v/>
      </c>
      <c r="AS554" s="41" t="b">
        <f t="shared" si="655"/>
        <v>1</v>
      </c>
      <c r="AT554" s="38">
        <f t="shared" si="656"/>
        <v>0</v>
      </c>
      <c r="AU554" s="60">
        <f t="shared" si="657"/>
        <v>0</v>
      </c>
      <c r="AV554" s="41">
        <f t="shared" si="658"/>
        <v>0</v>
      </c>
      <c r="AW554" s="41" t="b">
        <f t="shared" si="659"/>
        <v>0</v>
      </c>
      <c r="AX554" t="str">
        <f t="shared" si="660"/>
        <v>+00</v>
      </c>
      <c r="AY554" t="str">
        <f t="shared" si="661"/>
        <v>+00</v>
      </c>
      <c r="BA554" s="47" t="b">
        <f t="shared" si="690"/>
        <v>1</v>
      </c>
      <c r="BB554" s="42" t="b">
        <f t="shared" si="691"/>
        <v>1</v>
      </c>
      <c r="BC554" s="42" t="b">
        <f t="shared" si="692"/>
        <v>0</v>
      </c>
      <c r="BD554" s="42" t="b">
        <f t="shared" si="693"/>
        <v>0</v>
      </c>
      <c r="BE554" s="70">
        <f t="shared" si="694"/>
        <v>0</v>
      </c>
      <c r="BF554" s="70">
        <f t="shared" si="695"/>
        <v>0</v>
      </c>
      <c r="BG554" s="34"/>
      <c r="BI554" s="47" t="b">
        <f t="shared" si="696"/>
        <v>1</v>
      </c>
      <c r="BJ554" s="47" t="b">
        <f t="shared" si="697"/>
        <v>1</v>
      </c>
      <c r="BK554" s="42" t="b">
        <f t="shared" si="698"/>
        <v>0</v>
      </c>
      <c r="BL554" s="42" t="b">
        <f t="shared" si="699"/>
        <v>0</v>
      </c>
      <c r="BM554" s="42">
        <f t="shared" si="700"/>
        <v>0</v>
      </c>
      <c r="BN554" s="42">
        <f t="shared" si="701"/>
        <v>0</v>
      </c>
      <c r="BP554" t="e">
        <f t="shared" si="702"/>
        <v>#N/A</v>
      </c>
      <c r="BQ554" t="e">
        <f t="shared" si="703"/>
        <v>#N/A</v>
      </c>
      <c r="BR554" t="e">
        <f t="shared" si="704"/>
        <v>#N/A</v>
      </c>
      <c r="BT554" s="60">
        <f t="shared" si="705"/>
        <v>0</v>
      </c>
      <c r="BU554" s="60">
        <f t="shared" si="706"/>
        <v>0</v>
      </c>
      <c r="BV554" s="60">
        <f t="shared" si="707"/>
        <v>0</v>
      </c>
      <c r="BW554" s="60">
        <f t="shared" si="708"/>
        <v>0</v>
      </c>
      <c r="BX554" s="60">
        <f t="shared" si="709"/>
        <v>0</v>
      </c>
      <c r="BY554" s="60">
        <f t="shared" si="710"/>
        <v>0</v>
      </c>
      <c r="BZ554" s="60">
        <f t="shared" si="711"/>
        <v>0</v>
      </c>
      <c r="CA554" s="60">
        <f t="shared" si="712"/>
        <v>0</v>
      </c>
      <c r="CB554" s="60" t="e">
        <f t="shared" si="662"/>
        <v>#N/A</v>
      </c>
      <c r="CC554" s="60">
        <f t="shared" si="663"/>
        <v>100000</v>
      </c>
      <c r="CD554" s="60" t="e">
        <f t="shared" si="664"/>
        <v>#N/A</v>
      </c>
      <c r="CE554" s="60">
        <f t="shared" si="665"/>
        <v>100000</v>
      </c>
      <c r="CF554" s="83" t="e">
        <f t="shared" si="713"/>
        <v>#N/A</v>
      </c>
      <c r="CG554" s="83">
        <f t="shared" si="714"/>
        <v>0</v>
      </c>
      <c r="CH554" s="83" t="e">
        <f t="shared" si="715"/>
        <v>#N/A</v>
      </c>
      <c r="CI554" s="83">
        <f t="shared" si="716"/>
        <v>0</v>
      </c>
      <c r="CJ554" s="86" t="e">
        <f t="shared" si="666"/>
        <v>#N/A</v>
      </c>
      <c r="CK554" s="82">
        <f t="shared" si="667"/>
        <v>5.3070370403969858E-3</v>
      </c>
      <c r="CL554" s="82" t="e">
        <f t="shared" si="668"/>
        <v>#N/A</v>
      </c>
      <c r="CM554" s="82">
        <f t="shared" si="669"/>
        <v>5.3070370403969858E-3</v>
      </c>
      <c r="CO554" s="149" t="str">
        <f>IF($I554&lt;&gt;"",IF(O554="User Specified",U554,INDEX('Refrigerant GWPs'!$G$2:$G$156,MATCH(O554,'Refrigerant GWPs'!$A$2:$A$156,0))),"")</f>
        <v/>
      </c>
      <c r="CP554" s="138" t="str">
        <f>IF($I554&lt;&gt;"",INDEX('Device Refrigerant Leakage'!$E$2:$E$42,MATCH($M554,'Device Refrigerant Leakage'!$B$2:$B$42,0)),"")</f>
        <v/>
      </c>
      <c r="CQ554" s="138" t="str">
        <f>IF($I554&lt;&gt;"",INDEX('Device Refrigerant Leakage'!$F$2:$F$42,MATCH($M554,'Device Refrigerant Leakage'!$B$2:$B$42,0)),"")</f>
        <v/>
      </c>
      <c r="CR554" s="145" t="str">
        <f>IF($I554&lt;&gt;"",INDEX('Device Refrigerant Leakage'!$G$2:$G$42,MATCH($M554,'Device Refrigerant Leakage'!$B$2:$B$42,0)),"")</f>
        <v/>
      </c>
      <c r="CS554" s="145" t="str">
        <f>IF($I554&lt;&gt;"",INDEX('Device Refrigerant Leakage'!$D$2:$D$42,MATCH($M554,'Device Refrigerant Leakage'!$B$2:$B$42,0))*CP554/2204.62*CO554,"")</f>
        <v/>
      </c>
      <c r="CT554" s="145" t="str">
        <f>IF($I554&lt;&gt;"",J554*(INDEX('Device Refrigerant Leakage'!$D$2:$D$42,MATCH($M554,'Device Refrigerant Leakage'!$B$2:$B$42,0))-(INDEX('Device Refrigerant Leakage'!$D$2:$D$42,MATCH($M554,'Device Refrigerant Leakage'!$B$2:$B$42,0)))*CR554*CP554)*CQ554/2204.62*CO554,"")</f>
        <v/>
      </c>
      <c r="CU554" s="135" t="str">
        <f>IF($I554&lt;&gt;"",J554*IF(W554&lt;&gt;"AR",(CS554*K554)+CT554,(CS554*AB554)+CT554*(AB554/INDEX('Device Refrigerant Leakage'!$C$2:$C$42,MATCH($M554,'Device Refrigerant Leakage'!$B$2:$B$42,0)))),"")</f>
        <v/>
      </c>
      <c r="CW554" s="135" t="str">
        <f>IF($I554&lt;&gt;"",IF(S554="User Specified",V554,INDEX('Refrigerant GWPs'!$G$2:$G$156,MATCH(S554,'Refrigerant GWPs'!$A$2:$A$157,0))),"")</f>
        <v/>
      </c>
      <c r="CX554" s="138" t="str">
        <f>IF($I554&lt;&gt;"",INDEX('Device Refrigerant Leakage'!$E$2:$E$42,MATCH($Q554,'Device Refrigerant Leakage'!$B$2:$B$42,0)),"")</f>
        <v/>
      </c>
      <c r="CY554" s="138" t="str">
        <f>IF($I554&lt;&gt;"",INDEX('Device Refrigerant Leakage'!$F$2:$F$42,MATCH($Q554,'Device Refrigerant Leakage'!$B$2:$B$42,0)),"")</f>
        <v/>
      </c>
      <c r="CZ554" s="145" t="str">
        <f>IF($I554&lt;&gt;"",INDEX('Device Refrigerant Leakage'!$G$2:$G$42,MATCH($Q554,'Device Refrigerant Leakage'!$B$2:$B$42,0)),"")</f>
        <v/>
      </c>
      <c r="DA554" s="145" t="str">
        <f>IF($I554&lt;&gt;"",J554*INDEX('Device Refrigerant Leakage'!$D$2:$D$42,MATCH($Q554,'Device Refrigerant Leakage'!$B$2:$B$42,0))*CX554/2204.62*CW554,"")</f>
        <v/>
      </c>
      <c r="DB554" s="145" t="str">
        <f>IF($I554&lt;&gt;"",J554*(INDEX('Device Refrigerant Leakage'!$D$2:$D$42,MATCH($Q554,'Device Refrigerant Leakage'!$B$2:$B$42,0))-(INDEX('Device Refrigerant Leakage'!$D$2:$D$42,MATCH($Q554,'Device Refrigerant Leakage'!$B$2:$B$42,0)))*CZ554*CX554)*CY554/2204.62*CW554,"")</f>
        <v/>
      </c>
      <c r="DC554" s="135" t="str">
        <f t="shared" si="688"/>
        <v/>
      </c>
      <c r="DE554" s="146" t="str">
        <f>IF(W554&lt;&gt;"AR","",IF(Y554="User Specified", AA554, INDEX('Refrigerant GWPs'!$G$2:$G$154,MATCH(Y554,'Refrigerant GWPs'!$A$2:$A$154,0))))</f>
        <v/>
      </c>
      <c r="DF554" s="146" t="str">
        <f>IF(W554&lt;&gt;"AR","",INDEX('Device Refrigerant Leakage'!$E$2:$E$42,MATCH(X554,'Device Refrigerant Leakage'!$B$2:$B$42,0)))</f>
        <v/>
      </c>
      <c r="DG554" s="146" t="str">
        <f>IF(W554&lt;&gt;"AR","",INDEX('Device Refrigerant Leakage'!$F$2:$F$42,MATCH(X554,'Device Refrigerant Leakage'!$B$2:$B$42,0)))</f>
        <v/>
      </c>
      <c r="DH554" s="146" t="str">
        <f>IF(W554&lt;&gt;"AR","",INDEX('Device Refrigerant Leakage'!$G$2:$G$42,MATCH(X554,'Device Refrigerant Leakage'!$B$2:$B$42,0)))</f>
        <v/>
      </c>
      <c r="DI554" s="146" t="str">
        <f>IF(W554&lt;&gt;"AR","",J554*INDEX('Device Refrigerant Leakage'!$D$2:$D$42,MATCH(X554,'Device Refrigerant Leakage'!$B$2:$B$42,0))*DF554/2204.62*DE554)</f>
        <v/>
      </c>
      <c r="DJ554" s="146" t="str">
        <f>IF(W554&lt;&gt;"AR","",J554*(INDEX('Device Refrigerant Leakage'!$D$2:$D$42,MATCH(X554,'Device Refrigerant Leakage'!$B$2:$B$42,0))-(INDEX('Device Refrigerant Leakage'!$D$2:$D$42,MATCH(X554,'Device Refrigerant Leakage'!$B$2:$B$42,0)))*DH554*DF554)*DG554/2204.62*DE554)</f>
        <v/>
      </c>
      <c r="DK554" s="146" t="str">
        <f>IF(W554&lt;&gt;"AR","",DI554*(K554-AB554)+'Fuel Sub Calcs-Deemed'!DJ554*((K554-AB554)/INDEX('Device Refrigerant Leakage'!$C$2:$C$42,MATCH('Fuel Sub Calcs-Deemed'!X554,'Device Refrigerant Leakage'!$B$2:$B$42,0))))</f>
        <v/>
      </c>
      <c r="DM554" s="56">
        <v>540</v>
      </c>
      <c r="DN554" s="67" t="e">
        <f t="shared" si="670"/>
        <v>#N/A</v>
      </c>
      <c r="DO554" s="45" t="e">
        <f t="shared" si="671"/>
        <v>#N/A</v>
      </c>
      <c r="DP554" s="67" t="e">
        <f t="shared" si="672"/>
        <v>#N/A</v>
      </c>
      <c r="DQ554" s="45" t="e">
        <f t="shared" si="673"/>
        <v>#N/A</v>
      </c>
      <c r="DR554" s="69" t="e">
        <f t="shared" si="674"/>
        <v>#N/A</v>
      </c>
      <c r="DS554" s="34"/>
      <c r="DT554" s="67" t="e">
        <f>((BX554*CJ554)+IF($W554=MAT_AR,(BZ554*CL554),0))*(1+Reference!$E$50+Reference!$E$51)</f>
        <v>#N/A</v>
      </c>
      <c r="DU554" s="67">
        <f>((BY554*CK554)+IF($W554=MAT_AR,(CA554*CM554),0))*(1+Reference!$G$50+Reference!$G$51)</f>
        <v>0</v>
      </c>
      <c r="DV554" s="67" t="e">
        <f t="shared" si="675"/>
        <v>#VALUE!</v>
      </c>
      <c r="DX554" s="56">
        <v>540</v>
      </c>
      <c r="DY554" s="67">
        <f t="shared" si="676"/>
        <v>0</v>
      </c>
      <c r="DZ554" s="45" t="e">
        <f>VLOOKUP($R554,Dropdown!$C$3:$D$4,2,FALSE)</f>
        <v>#N/A</v>
      </c>
      <c r="EA554" s="68">
        <f t="shared" si="677"/>
        <v>0</v>
      </c>
      <c r="EB554" s="68" t="str">
        <f t="shared" si="678"/>
        <v>N/A</v>
      </c>
      <c r="EC554" s="68">
        <f t="shared" si="679"/>
        <v>0</v>
      </c>
      <c r="ED554" s="68" t="str">
        <f t="shared" si="717"/>
        <v>N/A</v>
      </c>
      <c r="EF554" s="56">
        <v>540</v>
      </c>
      <c r="EG554" s="46">
        <f t="shared" si="680"/>
        <v>0</v>
      </c>
      <c r="EH554" s="68" t="e">
        <f t="shared" si="681"/>
        <v>#N/A</v>
      </c>
      <c r="EI554" s="68" t="e">
        <f t="shared" si="682"/>
        <v>#N/A</v>
      </c>
      <c r="EJ554" s="68" t="e">
        <f t="shared" si="683"/>
        <v>#N/A</v>
      </c>
      <c r="EK554" s="68" t="e">
        <f t="shared" si="684"/>
        <v>#N/A</v>
      </c>
      <c r="EL554" s="46">
        <f t="shared" si="685"/>
        <v>0</v>
      </c>
      <c r="EM554" s="46">
        <f t="shared" si="686"/>
        <v>0</v>
      </c>
    </row>
    <row r="555" spans="1:143">
      <c r="A555" s="89"/>
      <c r="B555" s="89"/>
      <c r="C555" s="89"/>
      <c r="D555" s="89"/>
      <c r="E555" s="89"/>
      <c r="F555" s="89"/>
      <c r="G555" s="34"/>
      <c r="H555" s="56">
        <f t="shared" si="687"/>
        <v>541</v>
      </c>
      <c r="I555" s="165"/>
      <c r="J555" s="163"/>
      <c r="K555" s="163"/>
      <c r="L555" s="164"/>
      <c r="M555" s="155"/>
      <c r="N555" s="155"/>
      <c r="O555" s="144"/>
      <c r="P555" s="159" t="str">
        <f>IFERROR(IF(O555&lt;&gt;"User Specified",IF(O555&lt;&gt;"", INDEX('Refrigerant GWPs'!$G$2:$G$154,MATCH(O555,'Refrigerant GWPs'!$A$2:$A$154,0)),""),U555),0)</f>
        <v/>
      </c>
      <c r="Q555" s="155"/>
      <c r="R555" s="155"/>
      <c r="S555" s="144"/>
      <c r="T555" s="159" t="str">
        <f>IF(S555&lt;&gt;"User Specified",IF(AND(S555&lt;&gt;"User Specified",S555&lt;&gt;""), INDEX('Refrigerant GWPs'!$G$2:$G$154,MATCH(S555,'Refrigerant GWPs'!$A$2:$A$154,0)),""),V555)</f>
        <v/>
      </c>
      <c r="U555" s="144"/>
      <c r="V555" s="144"/>
      <c r="W555" s="155"/>
      <c r="X555" s="155"/>
      <c r="Y555" s="144"/>
      <c r="Z555" s="159" t="str">
        <f>IF(AND(Y555&lt;&gt;"User Specified",Y555&lt;&gt;""), INDEX('Refrigerant GWPs'!$G$2:$G$154,MATCH(Y555,'Refrigerant GWPs'!$A$2:$A$154,0)),"")</f>
        <v/>
      </c>
      <c r="AA555" s="155"/>
      <c r="AB555" s="156"/>
      <c r="AC555" s="66"/>
      <c r="AD555" s="66"/>
      <c r="AE555" s="66"/>
      <c r="AF555" s="66"/>
      <c r="AG555" s="66"/>
      <c r="AH555" s="66"/>
      <c r="AI555" s="34"/>
      <c r="AJ555" s="88">
        <f t="shared" si="650"/>
        <v>0</v>
      </c>
      <c r="AK555" s="88">
        <f t="shared" si="651"/>
        <v>0</v>
      </c>
      <c r="AL555" s="88">
        <v>0</v>
      </c>
      <c r="AM555" s="88">
        <v>0</v>
      </c>
      <c r="AN555" s="81" t="str">
        <f t="shared" si="689"/>
        <v/>
      </c>
      <c r="AO555" s="88">
        <f t="shared" si="652"/>
        <v>0</v>
      </c>
      <c r="AP555" s="88">
        <f t="shared" si="653"/>
        <v>0</v>
      </c>
      <c r="AQ555" s="81" t="str">
        <f t="shared" si="654"/>
        <v/>
      </c>
      <c r="AS555" s="41" t="b">
        <f t="shared" si="655"/>
        <v>1</v>
      </c>
      <c r="AT555" s="38">
        <f t="shared" si="656"/>
        <v>0</v>
      </c>
      <c r="AU555" s="60">
        <f t="shared" si="657"/>
        <v>0</v>
      </c>
      <c r="AV555" s="41">
        <f t="shared" si="658"/>
        <v>0</v>
      </c>
      <c r="AW555" s="41" t="b">
        <f t="shared" si="659"/>
        <v>0</v>
      </c>
      <c r="AX555" t="str">
        <f t="shared" si="660"/>
        <v>+00</v>
      </c>
      <c r="AY555" t="str">
        <f t="shared" si="661"/>
        <v>+00</v>
      </c>
      <c r="BA555" s="47" t="b">
        <f t="shared" si="690"/>
        <v>1</v>
      </c>
      <c r="BB555" s="42" t="b">
        <f t="shared" si="691"/>
        <v>1</v>
      </c>
      <c r="BC555" s="42" t="b">
        <f t="shared" si="692"/>
        <v>0</v>
      </c>
      <c r="BD555" s="42" t="b">
        <f t="shared" si="693"/>
        <v>0</v>
      </c>
      <c r="BE555" s="70">
        <f t="shared" si="694"/>
        <v>0</v>
      </c>
      <c r="BF555" s="70">
        <f t="shared" si="695"/>
        <v>0</v>
      </c>
      <c r="BG555" s="34"/>
      <c r="BI555" s="47" t="b">
        <f t="shared" si="696"/>
        <v>1</v>
      </c>
      <c r="BJ555" s="47" t="b">
        <f t="shared" si="697"/>
        <v>1</v>
      </c>
      <c r="BK555" s="42" t="b">
        <f t="shared" si="698"/>
        <v>0</v>
      </c>
      <c r="BL555" s="42" t="b">
        <f t="shared" si="699"/>
        <v>0</v>
      </c>
      <c r="BM555" s="42">
        <f t="shared" si="700"/>
        <v>0</v>
      </c>
      <c r="BN555" s="42">
        <f t="shared" si="701"/>
        <v>0</v>
      </c>
      <c r="BP555" t="e">
        <f t="shared" si="702"/>
        <v>#N/A</v>
      </c>
      <c r="BQ555" t="e">
        <f t="shared" si="703"/>
        <v>#N/A</v>
      </c>
      <c r="BR555" t="e">
        <f t="shared" si="704"/>
        <v>#N/A</v>
      </c>
      <c r="BT555" s="60">
        <f t="shared" si="705"/>
        <v>0</v>
      </c>
      <c r="BU555" s="60">
        <f t="shared" si="706"/>
        <v>0</v>
      </c>
      <c r="BV555" s="60">
        <f t="shared" si="707"/>
        <v>0</v>
      </c>
      <c r="BW555" s="60">
        <f t="shared" si="708"/>
        <v>0</v>
      </c>
      <c r="BX555" s="60">
        <f t="shared" si="709"/>
        <v>0</v>
      </c>
      <c r="BY555" s="60">
        <f t="shared" si="710"/>
        <v>0</v>
      </c>
      <c r="BZ555" s="60">
        <f t="shared" si="711"/>
        <v>0</v>
      </c>
      <c r="CA555" s="60">
        <f t="shared" si="712"/>
        <v>0</v>
      </c>
      <c r="CB555" s="60" t="e">
        <f t="shared" si="662"/>
        <v>#N/A</v>
      </c>
      <c r="CC555" s="60">
        <f t="shared" si="663"/>
        <v>100000</v>
      </c>
      <c r="CD555" s="60" t="e">
        <f t="shared" si="664"/>
        <v>#N/A</v>
      </c>
      <c r="CE555" s="60">
        <f t="shared" si="665"/>
        <v>100000</v>
      </c>
      <c r="CF555" s="83" t="e">
        <f t="shared" si="713"/>
        <v>#N/A</v>
      </c>
      <c r="CG555" s="83">
        <f t="shared" si="714"/>
        <v>0</v>
      </c>
      <c r="CH555" s="83" t="e">
        <f t="shared" si="715"/>
        <v>#N/A</v>
      </c>
      <c r="CI555" s="83">
        <f t="shared" si="716"/>
        <v>0</v>
      </c>
      <c r="CJ555" s="86" t="e">
        <f t="shared" si="666"/>
        <v>#N/A</v>
      </c>
      <c r="CK555" s="82">
        <f t="shared" si="667"/>
        <v>5.3070370403969858E-3</v>
      </c>
      <c r="CL555" s="82" t="e">
        <f t="shared" si="668"/>
        <v>#N/A</v>
      </c>
      <c r="CM555" s="82">
        <f t="shared" si="669"/>
        <v>5.3070370403969858E-3</v>
      </c>
      <c r="CO555" s="149" t="str">
        <f>IF($I555&lt;&gt;"",IF(O555="User Specified",U555,INDEX('Refrigerant GWPs'!$G$2:$G$156,MATCH(O555,'Refrigerant GWPs'!$A$2:$A$156,0))),"")</f>
        <v/>
      </c>
      <c r="CP555" s="138" t="str">
        <f>IF($I555&lt;&gt;"",INDEX('Device Refrigerant Leakage'!$E$2:$E$42,MATCH($M555,'Device Refrigerant Leakage'!$B$2:$B$42,0)),"")</f>
        <v/>
      </c>
      <c r="CQ555" s="138" t="str">
        <f>IF($I555&lt;&gt;"",INDEX('Device Refrigerant Leakage'!$F$2:$F$42,MATCH($M555,'Device Refrigerant Leakage'!$B$2:$B$42,0)),"")</f>
        <v/>
      </c>
      <c r="CR555" s="145" t="str">
        <f>IF($I555&lt;&gt;"",INDEX('Device Refrigerant Leakage'!$G$2:$G$42,MATCH($M555,'Device Refrigerant Leakage'!$B$2:$B$42,0)),"")</f>
        <v/>
      </c>
      <c r="CS555" s="145" t="str">
        <f>IF($I555&lt;&gt;"",INDEX('Device Refrigerant Leakage'!$D$2:$D$42,MATCH($M555,'Device Refrigerant Leakage'!$B$2:$B$42,0))*CP555/2204.62*CO555,"")</f>
        <v/>
      </c>
      <c r="CT555" s="145" t="str">
        <f>IF($I555&lt;&gt;"",J555*(INDEX('Device Refrigerant Leakage'!$D$2:$D$42,MATCH($M555,'Device Refrigerant Leakage'!$B$2:$B$42,0))-(INDEX('Device Refrigerant Leakage'!$D$2:$D$42,MATCH($M555,'Device Refrigerant Leakage'!$B$2:$B$42,0)))*CR555*CP555)*CQ555/2204.62*CO555,"")</f>
        <v/>
      </c>
      <c r="CU555" s="135" t="str">
        <f>IF($I555&lt;&gt;"",J555*IF(W555&lt;&gt;"AR",(CS555*K555)+CT555,(CS555*AB555)+CT555*(AB555/INDEX('Device Refrigerant Leakage'!$C$2:$C$42,MATCH($M555,'Device Refrigerant Leakage'!$B$2:$B$42,0)))),"")</f>
        <v/>
      </c>
      <c r="CW555" s="135" t="str">
        <f>IF($I555&lt;&gt;"",IF(S555="User Specified",V555,INDEX('Refrigerant GWPs'!$G$2:$G$156,MATCH(S555,'Refrigerant GWPs'!$A$2:$A$157,0))),"")</f>
        <v/>
      </c>
      <c r="CX555" s="138" t="str">
        <f>IF($I555&lt;&gt;"",INDEX('Device Refrigerant Leakage'!$E$2:$E$42,MATCH($Q555,'Device Refrigerant Leakage'!$B$2:$B$42,0)),"")</f>
        <v/>
      </c>
      <c r="CY555" s="138" t="str">
        <f>IF($I555&lt;&gt;"",INDEX('Device Refrigerant Leakage'!$F$2:$F$42,MATCH($Q555,'Device Refrigerant Leakage'!$B$2:$B$42,0)),"")</f>
        <v/>
      </c>
      <c r="CZ555" s="145" t="str">
        <f>IF($I555&lt;&gt;"",INDEX('Device Refrigerant Leakage'!$G$2:$G$42,MATCH($Q555,'Device Refrigerant Leakage'!$B$2:$B$42,0)),"")</f>
        <v/>
      </c>
      <c r="DA555" s="145" t="str">
        <f>IF($I555&lt;&gt;"",J555*INDEX('Device Refrigerant Leakage'!$D$2:$D$42,MATCH($Q555,'Device Refrigerant Leakage'!$B$2:$B$42,0))*CX555/2204.62*CW555,"")</f>
        <v/>
      </c>
      <c r="DB555" s="145" t="str">
        <f>IF($I555&lt;&gt;"",J555*(INDEX('Device Refrigerant Leakage'!$D$2:$D$42,MATCH($Q555,'Device Refrigerant Leakage'!$B$2:$B$42,0))-(INDEX('Device Refrigerant Leakage'!$D$2:$D$42,MATCH($Q555,'Device Refrigerant Leakage'!$B$2:$B$42,0)))*CZ555*CX555)*CY555/2204.62*CW555,"")</f>
        <v/>
      </c>
      <c r="DC555" s="135" t="str">
        <f t="shared" si="688"/>
        <v/>
      </c>
      <c r="DE555" s="146" t="str">
        <f>IF(W555&lt;&gt;"AR","",IF(Y555="User Specified", AA555, INDEX('Refrigerant GWPs'!$G$2:$G$154,MATCH(Y555,'Refrigerant GWPs'!$A$2:$A$154,0))))</f>
        <v/>
      </c>
      <c r="DF555" s="146" t="str">
        <f>IF(W555&lt;&gt;"AR","",INDEX('Device Refrigerant Leakage'!$E$2:$E$42,MATCH(X555,'Device Refrigerant Leakage'!$B$2:$B$42,0)))</f>
        <v/>
      </c>
      <c r="DG555" s="146" t="str">
        <f>IF(W555&lt;&gt;"AR","",INDEX('Device Refrigerant Leakage'!$F$2:$F$42,MATCH(X555,'Device Refrigerant Leakage'!$B$2:$B$42,0)))</f>
        <v/>
      </c>
      <c r="DH555" s="146" t="str">
        <f>IF(W555&lt;&gt;"AR","",INDEX('Device Refrigerant Leakage'!$G$2:$G$42,MATCH(X555,'Device Refrigerant Leakage'!$B$2:$B$42,0)))</f>
        <v/>
      </c>
      <c r="DI555" s="146" t="str">
        <f>IF(W555&lt;&gt;"AR","",J555*INDEX('Device Refrigerant Leakage'!$D$2:$D$42,MATCH(X555,'Device Refrigerant Leakage'!$B$2:$B$42,0))*DF555/2204.62*DE555)</f>
        <v/>
      </c>
      <c r="DJ555" s="146" t="str">
        <f>IF(W555&lt;&gt;"AR","",J555*(INDEX('Device Refrigerant Leakage'!$D$2:$D$42,MATCH(X555,'Device Refrigerant Leakage'!$B$2:$B$42,0))-(INDEX('Device Refrigerant Leakage'!$D$2:$D$42,MATCH(X555,'Device Refrigerant Leakage'!$B$2:$B$42,0)))*DH555*DF555)*DG555/2204.62*DE555)</f>
        <v/>
      </c>
      <c r="DK555" s="146" t="str">
        <f>IF(W555&lt;&gt;"AR","",DI555*(K555-AB555)+'Fuel Sub Calcs-Deemed'!DJ555*((K555-AB555)/INDEX('Device Refrigerant Leakage'!$C$2:$C$42,MATCH('Fuel Sub Calcs-Deemed'!X555,'Device Refrigerant Leakage'!$B$2:$B$42,0))))</f>
        <v/>
      </c>
      <c r="DM555" s="56">
        <v>541</v>
      </c>
      <c r="DN555" s="67" t="e">
        <f t="shared" si="670"/>
        <v>#N/A</v>
      </c>
      <c r="DO555" s="45" t="e">
        <f t="shared" si="671"/>
        <v>#N/A</v>
      </c>
      <c r="DP555" s="67" t="e">
        <f t="shared" si="672"/>
        <v>#N/A</v>
      </c>
      <c r="DQ555" s="45" t="e">
        <f t="shared" si="673"/>
        <v>#N/A</v>
      </c>
      <c r="DR555" s="69" t="e">
        <f t="shared" si="674"/>
        <v>#N/A</v>
      </c>
      <c r="DS555" s="34"/>
      <c r="DT555" s="67" t="e">
        <f>((BX555*CJ555)+IF($W555=MAT_AR,(BZ555*CL555),0))*(1+Reference!$E$50+Reference!$E$51)</f>
        <v>#N/A</v>
      </c>
      <c r="DU555" s="67">
        <f>((BY555*CK555)+IF($W555=MAT_AR,(CA555*CM555),0))*(1+Reference!$G$50+Reference!$G$51)</f>
        <v>0</v>
      </c>
      <c r="DV555" s="67" t="e">
        <f t="shared" si="675"/>
        <v>#VALUE!</v>
      </c>
      <c r="DX555" s="56">
        <v>541</v>
      </c>
      <c r="DY555" s="67">
        <f t="shared" si="676"/>
        <v>0</v>
      </c>
      <c r="DZ555" s="45" t="e">
        <f>VLOOKUP($R555,Dropdown!$C$3:$D$4,2,FALSE)</f>
        <v>#N/A</v>
      </c>
      <c r="EA555" s="68">
        <f t="shared" si="677"/>
        <v>0</v>
      </c>
      <c r="EB555" s="68" t="str">
        <f t="shared" si="678"/>
        <v>N/A</v>
      </c>
      <c r="EC555" s="68">
        <f t="shared" si="679"/>
        <v>0</v>
      </c>
      <c r="ED555" s="68" t="str">
        <f t="shared" si="717"/>
        <v>N/A</v>
      </c>
      <c r="EF555" s="56">
        <v>541</v>
      </c>
      <c r="EG555" s="46">
        <f t="shared" si="680"/>
        <v>0</v>
      </c>
      <c r="EH555" s="68" t="e">
        <f t="shared" si="681"/>
        <v>#N/A</v>
      </c>
      <c r="EI555" s="68" t="e">
        <f t="shared" si="682"/>
        <v>#N/A</v>
      </c>
      <c r="EJ555" s="68" t="e">
        <f t="shared" si="683"/>
        <v>#N/A</v>
      </c>
      <c r="EK555" s="68" t="e">
        <f t="shared" si="684"/>
        <v>#N/A</v>
      </c>
      <c r="EL555" s="46">
        <f t="shared" si="685"/>
        <v>0</v>
      </c>
      <c r="EM555" s="46">
        <f t="shared" si="686"/>
        <v>0</v>
      </c>
    </row>
    <row r="556" spans="1:143">
      <c r="A556" s="89"/>
      <c r="B556" s="89"/>
      <c r="C556" s="89"/>
      <c r="D556" s="89"/>
      <c r="E556" s="89"/>
      <c r="F556" s="89"/>
      <c r="G556" s="34"/>
      <c r="H556" s="56">
        <f t="shared" si="687"/>
        <v>542</v>
      </c>
      <c r="I556" s="165"/>
      <c r="J556" s="163"/>
      <c r="K556" s="163"/>
      <c r="L556" s="164"/>
      <c r="M556" s="155"/>
      <c r="N556" s="155"/>
      <c r="O556" s="144"/>
      <c r="P556" s="159" t="str">
        <f>IFERROR(IF(O556&lt;&gt;"User Specified",IF(O556&lt;&gt;"", INDEX('Refrigerant GWPs'!$G$2:$G$154,MATCH(O556,'Refrigerant GWPs'!$A$2:$A$154,0)),""),U556),0)</f>
        <v/>
      </c>
      <c r="Q556" s="155"/>
      <c r="R556" s="155"/>
      <c r="S556" s="144"/>
      <c r="T556" s="159" t="str">
        <f>IF(S556&lt;&gt;"User Specified",IF(AND(S556&lt;&gt;"User Specified",S556&lt;&gt;""), INDEX('Refrigerant GWPs'!$G$2:$G$154,MATCH(S556,'Refrigerant GWPs'!$A$2:$A$154,0)),""),V556)</f>
        <v/>
      </c>
      <c r="U556" s="144"/>
      <c r="V556" s="144"/>
      <c r="W556" s="155"/>
      <c r="X556" s="155"/>
      <c r="Y556" s="144"/>
      <c r="Z556" s="159" t="str">
        <f>IF(AND(Y556&lt;&gt;"User Specified",Y556&lt;&gt;""), INDEX('Refrigerant GWPs'!$G$2:$G$154,MATCH(Y556,'Refrigerant GWPs'!$A$2:$A$154,0)),"")</f>
        <v/>
      </c>
      <c r="AA556" s="155"/>
      <c r="AB556" s="156"/>
      <c r="AC556" s="66"/>
      <c r="AD556" s="66"/>
      <c r="AE556" s="66"/>
      <c r="AF556" s="66"/>
      <c r="AG556" s="66"/>
      <c r="AH556" s="66"/>
      <c r="AI556" s="34"/>
      <c r="AJ556" s="88">
        <f t="shared" si="650"/>
        <v>0</v>
      </c>
      <c r="AK556" s="88">
        <f t="shared" si="651"/>
        <v>0</v>
      </c>
      <c r="AL556" s="88">
        <v>0</v>
      </c>
      <c r="AM556" s="88">
        <v>0</v>
      </c>
      <c r="AN556" s="81" t="str">
        <f t="shared" si="689"/>
        <v/>
      </c>
      <c r="AO556" s="88">
        <f t="shared" si="652"/>
        <v>0</v>
      </c>
      <c r="AP556" s="88">
        <f t="shared" si="653"/>
        <v>0</v>
      </c>
      <c r="AQ556" s="81" t="str">
        <f t="shared" si="654"/>
        <v/>
      </c>
      <c r="AS556" s="41" t="b">
        <f t="shared" si="655"/>
        <v>1</v>
      </c>
      <c r="AT556" s="38">
        <f t="shared" si="656"/>
        <v>0</v>
      </c>
      <c r="AU556" s="60">
        <f t="shared" si="657"/>
        <v>0</v>
      </c>
      <c r="AV556" s="41">
        <f t="shared" si="658"/>
        <v>0</v>
      </c>
      <c r="AW556" s="41" t="b">
        <f t="shared" si="659"/>
        <v>0</v>
      </c>
      <c r="AX556" t="str">
        <f t="shared" si="660"/>
        <v>+00</v>
      </c>
      <c r="AY556" t="str">
        <f t="shared" si="661"/>
        <v>+00</v>
      </c>
      <c r="BA556" s="47" t="b">
        <f t="shared" si="690"/>
        <v>1</v>
      </c>
      <c r="BB556" s="42" t="b">
        <f t="shared" si="691"/>
        <v>1</v>
      </c>
      <c r="BC556" s="42" t="b">
        <f t="shared" si="692"/>
        <v>0</v>
      </c>
      <c r="BD556" s="42" t="b">
        <f t="shared" si="693"/>
        <v>0</v>
      </c>
      <c r="BE556" s="70">
        <f t="shared" si="694"/>
        <v>0</v>
      </c>
      <c r="BF556" s="70">
        <f t="shared" si="695"/>
        <v>0</v>
      </c>
      <c r="BG556" s="34"/>
      <c r="BI556" s="47" t="b">
        <f t="shared" si="696"/>
        <v>1</v>
      </c>
      <c r="BJ556" s="47" t="b">
        <f t="shared" si="697"/>
        <v>1</v>
      </c>
      <c r="BK556" s="42" t="b">
        <f t="shared" si="698"/>
        <v>0</v>
      </c>
      <c r="BL556" s="42" t="b">
        <f t="shared" si="699"/>
        <v>0</v>
      </c>
      <c r="BM556" s="42">
        <f t="shared" si="700"/>
        <v>0</v>
      </c>
      <c r="BN556" s="42">
        <f t="shared" si="701"/>
        <v>0</v>
      </c>
      <c r="BP556" t="e">
        <f t="shared" si="702"/>
        <v>#N/A</v>
      </c>
      <c r="BQ556" t="e">
        <f t="shared" si="703"/>
        <v>#N/A</v>
      </c>
      <c r="BR556" t="e">
        <f t="shared" si="704"/>
        <v>#N/A</v>
      </c>
      <c r="BT556" s="60">
        <f t="shared" si="705"/>
        <v>0</v>
      </c>
      <c r="BU556" s="60">
        <f t="shared" si="706"/>
        <v>0</v>
      </c>
      <c r="BV556" s="60">
        <f t="shared" si="707"/>
        <v>0</v>
      </c>
      <c r="BW556" s="60">
        <f t="shared" si="708"/>
        <v>0</v>
      </c>
      <c r="BX556" s="60">
        <f t="shared" si="709"/>
        <v>0</v>
      </c>
      <c r="BY556" s="60">
        <f t="shared" si="710"/>
        <v>0</v>
      </c>
      <c r="BZ556" s="60">
        <f t="shared" si="711"/>
        <v>0</v>
      </c>
      <c r="CA556" s="60">
        <f t="shared" si="712"/>
        <v>0</v>
      </c>
      <c r="CB556" s="60" t="e">
        <f t="shared" si="662"/>
        <v>#N/A</v>
      </c>
      <c r="CC556" s="60">
        <f t="shared" si="663"/>
        <v>100000</v>
      </c>
      <c r="CD556" s="60" t="e">
        <f t="shared" si="664"/>
        <v>#N/A</v>
      </c>
      <c r="CE556" s="60">
        <f t="shared" si="665"/>
        <v>100000</v>
      </c>
      <c r="CF556" s="83" t="e">
        <f t="shared" si="713"/>
        <v>#N/A</v>
      </c>
      <c r="CG556" s="83">
        <f t="shared" si="714"/>
        <v>0</v>
      </c>
      <c r="CH556" s="83" t="e">
        <f t="shared" si="715"/>
        <v>#N/A</v>
      </c>
      <c r="CI556" s="83">
        <f t="shared" si="716"/>
        <v>0</v>
      </c>
      <c r="CJ556" s="86" t="e">
        <f t="shared" si="666"/>
        <v>#N/A</v>
      </c>
      <c r="CK556" s="82">
        <f t="shared" si="667"/>
        <v>5.3070370403969858E-3</v>
      </c>
      <c r="CL556" s="82" t="e">
        <f t="shared" si="668"/>
        <v>#N/A</v>
      </c>
      <c r="CM556" s="82">
        <f t="shared" si="669"/>
        <v>5.3070370403969858E-3</v>
      </c>
      <c r="CO556" s="149" t="str">
        <f>IF($I556&lt;&gt;"",IF(O556="User Specified",U556,INDEX('Refrigerant GWPs'!$G$2:$G$156,MATCH(O556,'Refrigerant GWPs'!$A$2:$A$156,0))),"")</f>
        <v/>
      </c>
      <c r="CP556" s="138" t="str">
        <f>IF($I556&lt;&gt;"",INDEX('Device Refrigerant Leakage'!$E$2:$E$42,MATCH($M556,'Device Refrigerant Leakage'!$B$2:$B$42,0)),"")</f>
        <v/>
      </c>
      <c r="CQ556" s="138" t="str">
        <f>IF($I556&lt;&gt;"",INDEX('Device Refrigerant Leakage'!$F$2:$F$42,MATCH($M556,'Device Refrigerant Leakage'!$B$2:$B$42,0)),"")</f>
        <v/>
      </c>
      <c r="CR556" s="145" t="str">
        <f>IF($I556&lt;&gt;"",INDEX('Device Refrigerant Leakage'!$G$2:$G$42,MATCH($M556,'Device Refrigerant Leakage'!$B$2:$B$42,0)),"")</f>
        <v/>
      </c>
      <c r="CS556" s="145" t="str">
        <f>IF($I556&lt;&gt;"",INDEX('Device Refrigerant Leakage'!$D$2:$D$42,MATCH($M556,'Device Refrigerant Leakage'!$B$2:$B$42,0))*CP556/2204.62*CO556,"")</f>
        <v/>
      </c>
      <c r="CT556" s="145" t="str">
        <f>IF($I556&lt;&gt;"",J556*(INDEX('Device Refrigerant Leakage'!$D$2:$D$42,MATCH($M556,'Device Refrigerant Leakage'!$B$2:$B$42,0))-(INDEX('Device Refrigerant Leakage'!$D$2:$D$42,MATCH($M556,'Device Refrigerant Leakage'!$B$2:$B$42,0)))*CR556*CP556)*CQ556/2204.62*CO556,"")</f>
        <v/>
      </c>
      <c r="CU556" s="135" t="str">
        <f>IF($I556&lt;&gt;"",J556*IF(W556&lt;&gt;"AR",(CS556*K556)+CT556,(CS556*AB556)+CT556*(AB556/INDEX('Device Refrigerant Leakage'!$C$2:$C$42,MATCH($M556,'Device Refrigerant Leakage'!$B$2:$B$42,0)))),"")</f>
        <v/>
      </c>
      <c r="CW556" s="135" t="str">
        <f>IF($I556&lt;&gt;"",IF(S556="User Specified",V556,INDEX('Refrigerant GWPs'!$G$2:$G$156,MATCH(S556,'Refrigerant GWPs'!$A$2:$A$157,0))),"")</f>
        <v/>
      </c>
      <c r="CX556" s="138" t="str">
        <f>IF($I556&lt;&gt;"",INDEX('Device Refrigerant Leakage'!$E$2:$E$42,MATCH($Q556,'Device Refrigerant Leakage'!$B$2:$B$42,0)),"")</f>
        <v/>
      </c>
      <c r="CY556" s="138" t="str">
        <f>IF($I556&lt;&gt;"",INDEX('Device Refrigerant Leakage'!$F$2:$F$42,MATCH($Q556,'Device Refrigerant Leakage'!$B$2:$B$42,0)),"")</f>
        <v/>
      </c>
      <c r="CZ556" s="145" t="str">
        <f>IF($I556&lt;&gt;"",INDEX('Device Refrigerant Leakage'!$G$2:$G$42,MATCH($Q556,'Device Refrigerant Leakage'!$B$2:$B$42,0)),"")</f>
        <v/>
      </c>
      <c r="DA556" s="145" t="str">
        <f>IF($I556&lt;&gt;"",J556*INDEX('Device Refrigerant Leakage'!$D$2:$D$42,MATCH($Q556,'Device Refrigerant Leakage'!$B$2:$B$42,0))*CX556/2204.62*CW556,"")</f>
        <v/>
      </c>
      <c r="DB556" s="145" t="str">
        <f>IF($I556&lt;&gt;"",J556*(INDEX('Device Refrigerant Leakage'!$D$2:$D$42,MATCH($Q556,'Device Refrigerant Leakage'!$B$2:$B$42,0))-(INDEX('Device Refrigerant Leakage'!$D$2:$D$42,MATCH($Q556,'Device Refrigerant Leakage'!$B$2:$B$42,0)))*CZ556*CX556)*CY556/2204.62*CW556,"")</f>
        <v/>
      </c>
      <c r="DC556" s="135" t="str">
        <f t="shared" si="688"/>
        <v/>
      </c>
      <c r="DE556" s="146" t="str">
        <f>IF(W556&lt;&gt;"AR","",IF(Y556="User Specified", AA556, INDEX('Refrigerant GWPs'!$G$2:$G$154,MATCH(Y556,'Refrigerant GWPs'!$A$2:$A$154,0))))</f>
        <v/>
      </c>
      <c r="DF556" s="146" t="str">
        <f>IF(W556&lt;&gt;"AR","",INDEX('Device Refrigerant Leakage'!$E$2:$E$42,MATCH(X556,'Device Refrigerant Leakage'!$B$2:$B$42,0)))</f>
        <v/>
      </c>
      <c r="DG556" s="146" t="str">
        <f>IF(W556&lt;&gt;"AR","",INDEX('Device Refrigerant Leakage'!$F$2:$F$42,MATCH(X556,'Device Refrigerant Leakage'!$B$2:$B$42,0)))</f>
        <v/>
      </c>
      <c r="DH556" s="146" t="str">
        <f>IF(W556&lt;&gt;"AR","",INDEX('Device Refrigerant Leakage'!$G$2:$G$42,MATCH(X556,'Device Refrigerant Leakage'!$B$2:$B$42,0)))</f>
        <v/>
      </c>
      <c r="DI556" s="146" t="str">
        <f>IF(W556&lt;&gt;"AR","",J556*INDEX('Device Refrigerant Leakage'!$D$2:$D$42,MATCH(X556,'Device Refrigerant Leakage'!$B$2:$B$42,0))*DF556/2204.62*DE556)</f>
        <v/>
      </c>
      <c r="DJ556" s="146" t="str">
        <f>IF(W556&lt;&gt;"AR","",J556*(INDEX('Device Refrigerant Leakage'!$D$2:$D$42,MATCH(X556,'Device Refrigerant Leakage'!$B$2:$B$42,0))-(INDEX('Device Refrigerant Leakage'!$D$2:$D$42,MATCH(X556,'Device Refrigerant Leakage'!$B$2:$B$42,0)))*DH556*DF556)*DG556/2204.62*DE556)</f>
        <v/>
      </c>
      <c r="DK556" s="146" t="str">
        <f>IF(W556&lt;&gt;"AR","",DI556*(K556-AB556)+'Fuel Sub Calcs-Deemed'!DJ556*((K556-AB556)/INDEX('Device Refrigerant Leakage'!$C$2:$C$42,MATCH('Fuel Sub Calcs-Deemed'!X556,'Device Refrigerant Leakage'!$B$2:$B$42,0))))</f>
        <v/>
      </c>
      <c r="DM556" s="56">
        <v>542</v>
      </c>
      <c r="DN556" s="67" t="e">
        <f t="shared" si="670"/>
        <v>#N/A</v>
      </c>
      <c r="DO556" s="45" t="e">
        <f t="shared" si="671"/>
        <v>#N/A</v>
      </c>
      <c r="DP556" s="67" t="e">
        <f t="shared" si="672"/>
        <v>#N/A</v>
      </c>
      <c r="DQ556" s="45" t="e">
        <f t="shared" si="673"/>
        <v>#N/A</v>
      </c>
      <c r="DR556" s="69" t="e">
        <f t="shared" si="674"/>
        <v>#N/A</v>
      </c>
      <c r="DS556" s="34"/>
      <c r="DT556" s="67" t="e">
        <f>((BX556*CJ556)+IF($W556=MAT_AR,(BZ556*CL556),0))*(1+Reference!$E$50+Reference!$E$51)</f>
        <v>#N/A</v>
      </c>
      <c r="DU556" s="67">
        <f>((BY556*CK556)+IF($W556=MAT_AR,(CA556*CM556),0))*(1+Reference!$G$50+Reference!$G$51)</f>
        <v>0</v>
      </c>
      <c r="DV556" s="67" t="e">
        <f t="shared" si="675"/>
        <v>#VALUE!</v>
      </c>
      <c r="DX556" s="56">
        <v>542</v>
      </c>
      <c r="DY556" s="67">
        <f t="shared" si="676"/>
        <v>0</v>
      </c>
      <c r="DZ556" s="45" t="e">
        <f>VLOOKUP($R556,Dropdown!$C$3:$D$4,2,FALSE)</f>
        <v>#N/A</v>
      </c>
      <c r="EA556" s="68">
        <f t="shared" si="677"/>
        <v>0</v>
      </c>
      <c r="EB556" s="68" t="str">
        <f t="shared" si="678"/>
        <v>N/A</v>
      </c>
      <c r="EC556" s="68">
        <f t="shared" si="679"/>
        <v>0</v>
      </c>
      <c r="ED556" s="68" t="str">
        <f t="shared" si="717"/>
        <v>N/A</v>
      </c>
      <c r="EF556" s="56">
        <v>542</v>
      </c>
      <c r="EG556" s="46">
        <f t="shared" si="680"/>
        <v>0</v>
      </c>
      <c r="EH556" s="68" t="e">
        <f t="shared" si="681"/>
        <v>#N/A</v>
      </c>
      <c r="EI556" s="68" t="e">
        <f t="shared" si="682"/>
        <v>#N/A</v>
      </c>
      <c r="EJ556" s="68" t="e">
        <f t="shared" si="683"/>
        <v>#N/A</v>
      </c>
      <c r="EK556" s="68" t="e">
        <f t="shared" si="684"/>
        <v>#N/A</v>
      </c>
      <c r="EL556" s="46">
        <f t="shared" si="685"/>
        <v>0</v>
      </c>
      <c r="EM556" s="46">
        <f t="shared" si="686"/>
        <v>0</v>
      </c>
    </row>
    <row r="557" spans="1:143">
      <c r="A557" s="89"/>
      <c r="B557" s="89"/>
      <c r="C557" s="89"/>
      <c r="D557" s="89"/>
      <c r="E557" s="89"/>
      <c r="F557" s="89"/>
      <c r="G557" s="34"/>
      <c r="H557" s="56">
        <f t="shared" si="687"/>
        <v>543</v>
      </c>
      <c r="I557" s="165"/>
      <c r="J557" s="163"/>
      <c r="K557" s="163"/>
      <c r="L557" s="164"/>
      <c r="M557" s="155"/>
      <c r="N557" s="155"/>
      <c r="O557" s="144"/>
      <c r="P557" s="159" t="str">
        <f>IFERROR(IF(O557&lt;&gt;"User Specified",IF(O557&lt;&gt;"", INDEX('Refrigerant GWPs'!$G$2:$G$154,MATCH(O557,'Refrigerant GWPs'!$A$2:$A$154,0)),""),U557),0)</f>
        <v/>
      </c>
      <c r="Q557" s="155"/>
      <c r="R557" s="155"/>
      <c r="S557" s="144"/>
      <c r="T557" s="159" t="str">
        <f>IF(S557&lt;&gt;"User Specified",IF(AND(S557&lt;&gt;"User Specified",S557&lt;&gt;""), INDEX('Refrigerant GWPs'!$G$2:$G$154,MATCH(S557,'Refrigerant GWPs'!$A$2:$A$154,0)),""),V557)</f>
        <v/>
      </c>
      <c r="U557" s="144"/>
      <c r="V557" s="144"/>
      <c r="W557" s="155"/>
      <c r="X557" s="155"/>
      <c r="Y557" s="144"/>
      <c r="Z557" s="159" t="str">
        <f>IF(AND(Y557&lt;&gt;"User Specified",Y557&lt;&gt;""), INDEX('Refrigerant GWPs'!$G$2:$G$154,MATCH(Y557,'Refrigerant GWPs'!$A$2:$A$154,0)),"")</f>
        <v/>
      </c>
      <c r="AA557" s="155"/>
      <c r="AB557" s="156"/>
      <c r="AC557" s="66"/>
      <c r="AD557" s="66"/>
      <c r="AE557" s="66"/>
      <c r="AF557" s="66"/>
      <c r="AG557" s="66"/>
      <c r="AH557" s="66"/>
      <c r="AI557" s="34"/>
      <c r="AJ557" s="88">
        <f t="shared" si="650"/>
        <v>0</v>
      </c>
      <c r="AK557" s="88">
        <f t="shared" si="651"/>
        <v>0</v>
      </c>
      <c r="AL557" s="88">
        <v>0</v>
      </c>
      <c r="AM557" s="88">
        <v>0</v>
      </c>
      <c r="AN557" s="81" t="str">
        <f t="shared" si="689"/>
        <v/>
      </c>
      <c r="AO557" s="88">
        <f t="shared" si="652"/>
        <v>0</v>
      </c>
      <c r="AP557" s="88">
        <f t="shared" si="653"/>
        <v>0</v>
      </c>
      <c r="AQ557" s="81" t="str">
        <f t="shared" si="654"/>
        <v/>
      </c>
      <c r="AS557" s="41" t="b">
        <f t="shared" si="655"/>
        <v>1</v>
      </c>
      <c r="AT557" s="38">
        <f t="shared" si="656"/>
        <v>0</v>
      </c>
      <c r="AU557" s="60">
        <f t="shared" si="657"/>
        <v>0</v>
      </c>
      <c r="AV557" s="41">
        <f t="shared" si="658"/>
        <v>0</v>
      </c>
      <c r="AW557" s="41" t="b">
        <f t="shared" si="659"/>
        <v>0</v>
      </c>
      <c r="AX557" t="str">
        <f t="shared" si="660"/>
        <v>+00</v>
      </c>
      <c r="AY557" t="str">
        <f t="shared" si="661"/>
        <v>+00</v>
      </c>
      <c r="BA557" s="47" t="b">
        <f t="shared" si="690"/>
        <v>1</v>
      </c>
      <c r="BB557" s="42" t="b">
        <f t="shared" si="691"/>
        <v>1</v>
      </c>
      <c r="BC557" s="42" t="b">
        <f t="shared" si="692"/>
        <v>0</v>
      </c>
      <c r="BD557" s="42" t="b">
        <f t="shared" si="693"/>
        <v>0</v>
      </c>
      <c r="BE557" s="70">
        <f t="shared" si="694"/>
        <v>0</v>
      </c>
      <c r="BF557" s="70">
        <f t="shared" si="695"/>
        <v>0</v>
      </c>
      <c r="BG557" s="34"/>
      <c r="BI557" s="47" t="b">
        <f t="shared" si="696"/>
        <v>1</v>
      </c>
      <c r="BJ557" s="47" t="b">
        <f t="shared" si="697"/>
        <v>1</v>
      </c>
      <c r="BK557" s="42" t="b">
        <f t="shared" si="698"/>
        <v>0</v>
      </c>
      <c r="BL557" s="42" t="b">
        <f t="shared" si="699"/>
        <v>0</v>
      </c>
      <c r="BM557" s="42">
        <f t="shared" si="700"/>
        <v>0</v>
      </c>
      <c r="BN557" s="42">
        <f t="shared" si="701"/>
        <v>0</v>
      </c>
      <c r="BP557" t="e">
        <f t="shared" si="702"/>
        <v>#N/A</v>
      </c>
      <c r="BQ557" t="e">
        <f t="shared" si="703"/>
        <v>#N/A</v>
      </c>
      <c r="BR557" t="e">
        <f t="shared" si="704"/>
        <v>#N/A</v>
      </c>
      <c r="BT557" s="60">
        <f t="shared" si="705"/>
        <v>0</v>
      </c>
      <c r="BU557" s="60">
        <f t="shared" si="706"/>
        <v>0</v>
      </c>
      <c r="BV557" s="60">
        <f t="shared" si="707"/>
        <v>0</v>
      </c>
      <c r="BW557" s="60">
        <f t="shared" si="708"/>
        <v>0</v>
      </c>
      <c r="BX557" s="60">
        <f t="shared" si="709"/>
        <v>0</v>
      </c>
      <c r="BY557" s="60">
        <f t="shared" si="710"/>
        <v>0</v>
      </c>
      <c r="BZ557" s="60">
        <f t="shared" si="711"/>
        <v>0</v>
      </c>
      <c r="CA557" s="60">
        <f t="shared" si="712"/>
        <v>0</v>
      </c>
      <c r="CB557" s="60" t="e">
        <f t="shared" si="662"/>
        <v>#N/A</v>
      </c>
      <c r="CC557" s="60">
        <f t="shared" si="663"/>
        <v>100000</v>
      </c>
      <c r="CD557" s="60" t="e">
        <f t="shared" si="664"/>
        <v>#N/A</v>
      </c>
      <c r="CE557" s="60">
        <f t="shared" si="665"/>
        <v>100000</v>
      </c>
      <c r="CF557" s="83" t="e">
        <f t="shared" si="713"/>
        <v>#N/A</v>
      </c>
      <c r="CG557" s="83">
        <f t="shared" si="714"/>
        <v>0</v>
      </c>
      <c r="CH557" s="83" t="e">
        <f t="shared" si="715"/>
        <v>#N/A</v>
      </c>
      <c r="CI557" s="83">
        <f t="shared" si="716"/>
        <v>0</v>
      </c>
      <c r="CJ557" s="86" t="e">
        <f t="shared" si="666"/>
        <v>#N/A</v>
      </c>
      <c r="CK557" s="82">
        <f t="shared" si="667"/>
        <v>5.3070370403969858E-3</v>
      </c>
      <c r="CL557" s="82" t="e">
        <f t="shared" si="668"/>
        <v>#N/A</v>
      </c>
      <c r="CM557" s="82">
        <f t="shared" si="669"/>
        <v>5.3070370403969858E-3</v>
      </c>
      <c r="CO557" s="149" t="str">
        <f>IF($I557&lt;&gt;"",IF(O557="User Specified",U557,INDEX('Refrigerant GWPs'!$G$2:$G$156,MATCH(O557,'Refrigerant GWPs'!$A$2:$A$156,0))),"")</f>
        <v/>
      </c>
      <c r="CP557" s="138" t="str">
        <f>IF($I557&lt;&gt;"",INDEX('Device Refrigerant Leakage'!$E$2:$E$42,MATCH($M557,'Device Refrigerant Leakage'!$B$2:$B$42,0)),"")</f>
        <v/>
      </c>
      <c r="CQ557" s="138" t="str">
        <f>IF($I557&lt;&gt;"",INDEX('Device Refrigerant Leakage'!$F$2:$F$42,MATCH($M557,'Device Refrigerant Leakage'!$B$2:$B$42,0)),"")</f>
        <v/>
      </c>
      <c r="CR557" s="145" t="str">
        <f>IF($I557&lt;&gt;"",INDEX('Device Refrigerant Leakage'!$G$2:$G$42,MATCH($M557,'Device Refrigerant Leakage'!$B$2:$B$42,0)),"")</f>
        <v/>
      </c>
      <c r="CS557" s="145" t="str">
        <f>IF($I557&lt;&gt;"",INDEX('Device Refrigerant Leakage'!$D$2:$D$42,MATCH($M557,'Device Refrigerant Leakage'!$B$2:$B$42,0))*CP557/2204.62*CO557,"")</f>
        <v/>
      </c>
      <c r="CT557" s="145" t="str">
        <f>IF($I557&lt;&gt;"",J557*(INDEX('Device Refrigerant Leakage'!$D$2:$D$42,MATCH($M557,'Device Refrigerant Leakage'!$B$2:$B$42,0))-(INDEX('Device Refrigerant Leakage'!$D$2:$D$42,MATCH($M557,'Device Refrigerant Leakage'!$B$2:$B$42,0)))*CR557*CP557)*CQ557/2204.62*CO557,"")</f>
        <v/>
      </c>
      <c r="CU557" s="135" t="str">
        <f>IF($I557&lt;&gt;"",J557*IF(W557&lt;&gt;"AR",(CS557*K557)+CT557,(CS557*AB557)+CT557*(AB557/INDEX('Device Refrigerant Leakage'!$C$2:$C$42,MATCH($M557,'Device Refrigerant Leakage'!$B$2:$B$42,0)))),"")</f>
        <v/>
      </c>
      <c r="CW557" s="135" t="str">
        <f>IF($I557&lt;&gt;"",IF(S557="User Specified",V557,INDEX('Refrigerant GWPs'!$G$2:$G$156,MATCH(S557,'Refrigerant GWPs'!$A$2:$A$157,0))),"")</f>
        <v/>
      </c>
      <c r="CX557" s="138" t="str">
        <f>IF($I557&lt;&gt;"",INDEX('Device Refrigerant Leakage'!$E$2:$E$42,MATCH($Q557,'Device Refrigerant Leakage'!$B$2:$B$42,0)),"")</f>
        <v/>
      </c>
      <c r="CY557" s="138" t="str">
        <f>IF($I557&lt;&gt;"",INDEX('Device Refrigerant Leakage'!$F$2:$F$42,MATCH($Q557,'Device Refrigerant Leakage'!$B$2:$B$42,0)),"")</f>
        <v/>
      </c>
      <c r="CZ557" s="145" t="str">
        <f>IF($I557&lt;&gt;"",INDEX('Device Refrigerant Leakage'!$G$2:$G$42,MATCH($Q557,'Device Refrigerant Leakage'!$B$2:$B$42,0)),"")</f>
        <v/>
      </c>
      <c r="DA557" s="145" t="str">
        <f>IF($I557&lt;&gt;"",J557*INDEX('Device Refrigerant Leakage'!$D$2:$D$42,MATCH($Q557,'Device Refrigerant Leakage'!$B$2:$B$42,0))*CX557/2204.62*CW557,"")</f>
        <v/>
      </c>
      <c r="DB557" s="145" t="str">
        <f>IF($I557&lt;&gt;"",J557*(INDEX('Device Refrigerant Leakage'!$D$2:$D$42,MATCH($Q557,'Device Refrigerant Leakage'!$B$2:$B$42,0))-(INDEX('Device Refrigerant Leakage'!$D$2:$D$42,MATCH($Q557,'Device Refrigerant Leakage'!$B$2:$B$42,0)))*CZ557*CX557)*CY557/2204.62*CW557,"")</f>
        <v/>
      </c>
      <c r="DC557" s="135" t="str">
        <f t="shared" si="688"/>
        <v/>
      </c>
      <c r="DE557" s="146" t="str">
        <f>IF(W557&lt;&gt;"AR","",IF(Y557="User Specified", AA557, INDEX('Refrigerant GWPs'!$G$2:$G$154,MATCH(Y557,'Refrigerant GWPs'!$A$2:$A$154,0))))</f>
        <v/>
      </c>
      <c r="DF557" s="146" t="str">
        <f>IF(W557&lt;&gt;"AR","",INDEX('Device Refrigerant Leakage'!$E$2:$E$42,MATCH(X557,'Device Refrigerant Leakage'!$B$2:$B$42,0)))</f>
        <v/>
      </c>
      <c r="DG557" s="146" t="str">
        <f>IF(W557&lt;&gt;"AR","",INDEX('Device Refrigerant Leakage'!$F$2:$F$42,MATCH(X557,'Device Refrigerant Leakage'!$B$2:$B$42,0)))</f>
        <v/>
      </c>
      <c r="DH557" s="146" t="str">
        <f>IF(W557&lt;&gt;"AR","",INDEX('Device Refrigerant Leakage'!$G$2:$G$42,MATCH(X557,'Device Refrigerant Leakage'!$B$2:$B$42,0)))</f>
        <v/>
      </c>
      <c r="DI557" s="146" t="str">
        <f>IF(W557&lt;&gt;"AR","",J557*INDEX('Device Refrigerant Leakage'!$D$2:$D$42,MATCH(X557,'Device Refrigerant Leakage'!$B$2:$B$42,0))*DF557/2204.62*DE557)</f>
        <v/>
      </c>
      <c r="DJ557" s="146" t="str">
        <f>IF(W557&lt;&gt;"AR","",J557*(INDEX('Device Refrigerant Leakage'!$D$2:$D$42,MATCH(X557,'Device Refrigerant Leakage'!$B$2:$B$42,0))-(INDEX('Device Refrigerant Leakage'!$D$2:$D$42,MATCH(X557,'Device Refrigerant Leakage'!$B$2:$B$42,0)))*DH557*DF557)*DG557/2204.62*DE557)</f>
        <v/>
      </c>
      <c r="DK557" s="146" t="str">
        <f>IF(W557&lt;&gt;"AR","",DI557*(K557-AB557)+'Fuel Sub Calcs-Deemed'!DJ557*((K557-AB557)/INDEX('Device Refrigerant Leakage'!$C$2:$C$42,MATCH('Fuel Sub Calcs-Deemed'!X557,'Device Refrigerant Leakage'!$B$2:$B$42,0))))</f>
        <v/>
      </c>
      <c r="DM557" s="56">
        <v>543</v>
      </c>
      <c r="DN557" s="67" t="e">
        <f t="shared" si="670"/>
        <v>#N/A</v>
      </c>
      <c r="DO557" s="45" t="e">
        <f t="shared" si="671"/>
        <v>#N/A</v>
      </c>
      <c r="DP557" s="67" t="e">
        <f t="shared" si="672"/>
        <v>#N/A</v>
      </c>
      <c r="DQ557" s="45" t="e">
        <f t="shared" si="673"/>
        <v>#N/A</v>
      </c>
      <c r="DR557" s="69" t="e">
        <f t="shared" si="674"/>
        <v>#N/A</v>
      </c>
      <c r="DS557" s="34"/>
      <c r="DT557" s="67" t="e">
        <f>((BX557*CJ557)+IF($W557=MAT_AR,(BZ557*CL557),0))*(1+Reference!$E$50+Reference!$E$51)</f>
        <v>#N/A</v>
      </c>
      <c r="DU557" s="67">
        <f>((BY557*CK557)+IF($W557=MAT_AR,(CA557*CM557),0))*(1+Reference!$G$50+Reference!$G$51)</f>
        <v>0</v>
      </c>
      <c r="DV557" s="67" t="e">
        <f t="shared" si="675"/>
        <v>#VALUE!</v>
      </c>
      <c r="DX557" s="56">
        <v>543</v>
      </c>
      <c r="DY557" s="67">
        <f t="shared" si="676"/>
        <v>0</v>
      </c>
      <c r="DZ557" s="45" t="e">
        <f>VLOOKUP($R557,Dropdown!$C$3:$D$4,2,FALSE)</f>
        <v>#N/A</v>
      </c>
      <c r="EA557" s="68">
        <f t="shared" si="677"/>
        <v>0</v>
      </c>
      <c r="EB557" s="68" t="str">
        <f t="shared" si="678"/>
        <v>N/A</v>
      </c>
      <c r="EC557" s="68">
        <f t="shared" si="679"/>
        <v>0</v>
      </c>
      <c r="ED557" s="68" t="str">
        <f t="shared" si="717"/>
        <v>N/A</v>
      </c>
      <c r="EF557" s="56">
        <v>543</v>
      </c>
      <c r="EG557" s="46">
        <f t="shared" si="680"/>
        <v>0</v>
      </c>
      <c r="EH557" s="68" t="e">
        <f t="shared" si="681"/>
        <v>#N/A</v>
      </c>
      <c r="EI557" s="68" t="e">
        <f t="shared" si="682"/>
        <v>#N/A</v>
      </c>
      <c r="EJ557" s="68" t="e">
        <f t="shared" si="683"/>
        <v>#N/A</v>
      </c>
      <c r="EK557" s="68" t="e">
        <f t="shared" si="684"/>
        <v>#N/A</v>
      </c>
      <c r="EL557" s="46">
        <f t="shared" si="685"/>
        <v>0</v>
      </c>
      <c r="EM557" s="46">
        <f t="shared" si="686"/>
        <v>0</v>
      </c>
    </row>
    <row r="558" spans="1:143">
      <c r="A558" s="89"/>
      <c r="B558" s="89"/>
      <c r="C558" s="89"/>
      <c r="D558" s="89"/>
      <c r="E558" s="89"/>
      <c r="F558" s="89"/>
      <c r="G558" s="34"/>
      <c r="H558" s="56">
        <f t="shared" si="687"/>
        <v>544</v>
      </c>
      <c r="I558" s="165"/>
      <c r="J558" s="163"/>
      <c r="K558" s="163"/>
      <c r="L558" s="164"/>
      <c r="M558" s="155"/>
      <c r="N558" s="155"/>
      <c r="O558" s="144"/>
      <c r="P558" s="159" t="str">
        <f>IFERROR(IF(O558&lt;&gt;"User Specified",IF(O558&lt;&gt;"", INDEX('Refrigerant GWPs'!$G$2:$G$154,MATCH(O558,'Refrigerant GWPs'!$A$2:$A$154,0)),""),U558),0)</f>
        <v/>
      </c>
      <c r="Q558" s="155"/>
      <c r="R558" s="155"/>
      <c r="S558" s="144"/>
      <c r="T558" s="159" t="str">
        <f>IF(S558&lt;&gt;"User Specified",IF(AND(S558&lt;&gt;"User Specified",S558&lt;&gt;""), INDEX('Refrigerant GWPs'!$G$2:$G$154,MATCH(S558,'Refrigerant GWPs'!$A$2:$A$154,0)),""),V558)</f>
        <v/>
      </c>
      <c r="U558" s="144"/>
      <c r="V558" s="144"/>
      <c r="W558" s="155"/>
      <c r="X558" s="155"/>
      <c r="Y558" s="144"/>
      <c r="Z558" s="159" t="str">
        <f>IF(AND(Y558&lt;&gt;"User Specified",Y558&lt;&gt;""), INDEX('Refrigerant GWPs'!$G$2:$G$154,MATCH(Y558,'Refrigerant GWPs'!$A$2:$A$154,0)),"")</f>
        <v/>
      </c>
      <c r="AA558" s="155"/>
      <c r="AB558" s="156"/>
      <c r="AC558" s="66"/>
      <c r="AD558" s="66"/>
      <c r="AE558" s="66"/>
      <c r="AF558" s="66"/>
      <c r="AG558" s="66"/>
      <c r="AH558" s="66"/>
      <c r="AI558" s="34"/>
      <c r="AJ558" s="88">
        <f t="shared" si="650"/>
        <v>0</v>
      </c>
      <c r="AK558" s="88">
        <f t="shared" si="651"/>
        <v>0</v>
      </c>
      <c r="AL558" s="88">
        <v>0</v>
      </c>
      <c r="AM558" s="88">
        <v>0</v>
      </c>
      <c r="AN558" s="81" t="str">
        <f t="shared" si="689"/>
        <v/>
      </c>
      <c r="AO558" s="88">
        <f t="shared" si="652"/>
        <v>0</v>
      </c>
      <c r="AP558" s="88">
        <f t="shared" si="653"/>
        <v>0</v>
      </c>
      <c r="AQ558" s="81" t="str">
        <f t="shared" si="654"/>
        <v/>
      </c>
      <c r="AS558" s="41" t="b">
        <f t="shared" si="655"/>
        <v>1</v>
      </c>
      <c r="AT558" s="38">
        <f t="shared" si="656"/>
        <v>0</v>
      </c>
      <c r="AU558" s="60">
        <f t="shared" si="657"/>
        <v>0</v>
      </c>
      <c r="AV558" s="41">
        <f t="shared" si="658"/>
        <v>0</v>
      </c>
      <c r="AW558" s="41" t="b">
        <f t="shared" si="659"/>
        <v>0</v>
      </c>
      <c r="AX558" t="str">
        <f t="shared" si="660"/>
        <v>+00</v>
      </c>
      <c r="AY558" t="str">
        <f t="shared" si="661"/>
        <v>+00</v>
      </c>
      <c r="BA558" s="47" t="b">
        <f t="shared" si="690"/>
        <v>1</v>
      </c>
      <c r="BB558" s="42" t="b">
        <f t="shared" si="691"/>
        <v>1</v>
      </c>
      <c r="BC558" s="42" t="b">
        <f t="shared" si="692"/>
        <v>0</v>
      </c>
      <c r="BD558" s="42" t="b">
        <f t="shared" si="693"/>
        <v>0</v>
      </c>
      <c r="BE558" s="70">
        <f t="shared" si="694"/>
        <v>0</v>
      </c>
      <c r="BF558" s="70">
        <f t="shared" si="695"/>
        <v>0</v>
      </c>
      <c r="BG558" s="34"/>
      <c r="BI558" s="47" t="b">
        <f t="shared" si="696"/>
        <v>1</v>
      </c>
      <c r="BJ558" s="47" t="b">
        <f t="shared" si="697"/>
        <v>1</v>
      </c>
      <c r="BK558" s="42" t="b">
        <f t="shared" si="698"/>
        <v>0</v>
      </c>
      <c r="BL558" s="42" t="b">
        <f t="shared" si="699"/>
        <v>0</v>
      </c>
      <c r="BM558" s="42">
        <f t="shared" si="700"/>
        <v>0</v>
      </c>
      <c r="BN558" s="42">
        <f t="shared" si="701"/>
        <v>0</v>
      </c>
      <c r="BP558" t="e">
        <f t="shared" si="702"/>
        <v>#N/A</v>
      </c>
      <c r="BQ558" t="e">
        <f t="shared" si="703"/>
        <v>#N/A</v>
      </c>
      <c r="BR558" t="e">
        <f t="shared" si="704"/>
        <v>#N/A</v>
      </c>
      <c r="BT558" s="60">
        <f t="shared" si="705"/>
        <v>0</v>
      </c>
      <c r="BU558" s="60">
        <f t="shared" si="706"/>
        <v>0</v>
      </c>
      <c r="BV558" s="60">
        <f t="shared" si="707"/>
        <v>0</v>
      </c>
      <c r="BW558" s="60">
        <f t="shared" si="708"/>
        <v>0</v>
      </c>
      <c r="BX558" s="60">
        <f t="shared" si="709"/>
        <v>0</v>
      </c>
      <c r="BY558" s="60">
        <f t="shared" si="710"/>
        <v>0</v>
      </c>
      <c r="BZ558" s="60">
        <f t="shared" si="711"/>
        <v>0</v>
      </c>
      <c r="CA558" s="60">
        <f t="shared" si="712"/>
        <v>0</v>
      </c>
      <c r="CB558" s="60" t="e">
        <f t="shared" si="662"/>
        <v>#N/A</v>
      </c>
      <c r="CC558" s="60">
        <f t="shared" si="663"/>
        <v>100000</v>
      </c>
      <c r="CD558" s="60" t="e">
        <f t="shared" si="664"/>
        <v>#N/A</v>
      </c>
      <c r="CE558" s="60">
        <f t="shared" si="665"/>
        <v>100000</v>
      </c>
      <c r="CF558" s="83" t="e">
        <f t="shared" si="713"/>
        <v>#N/A</v>
      </c>
      <c r="CG558" s="83">
        <f t="shared" si="714"/>
        <v>0</v>
      </c>
      <c r="CH558" s="83" t="e">
        <f t="shared" si="715"/>
        <v>#N/A</v>
      </c>
      <c r="CI558" s="83">
        <f t="shared" si="716"/>
        <v>0</v>
      </c>
      <c r="CJ558" s="86" t="e">
        <f t="shared" si="666"/>
        <v>#N/A</v>
      </c>
      <c r="CK558" s="82">
        <f t="shared" si="667"/>
        <v>5.3070370403969858E-3</v>
      </c>
      <c r="CL558" s="82" t="e">
        <f t="shared" si="668"/>
        <v>#N/A</v>
      </c>
      <c r="CM558" s="82">
        <f t="shared" si="669"/>
        <v>5.3070370403969858E-3</v>
      </c>
      <c r="CO558" s="149" t="str">
        <f>IF($I558&lt;&gt;"",IF(O558="User Specified",U558,INDEX('Refrigerant GWPs'!$G$2:$G$156,MATCH(O558,'Refrigerant GWPs'!$A$2:$A$156,0))),"")</f>
        <v/>
      </c>
      <c r="CP558" s="138" t="str">
        <f>IF($I558&lt;&gt;"",INDEX('Device Refrigerant Leakage'!$E$2:$E$42,MATCH($M558,'Device Refrigerant Leakage'!$B$2:$B$42,0)),"")</f>
        <v/>
      </c>
      <c r="CQ558" s="138" t="str">
        <f>IF($I558&lt;&gt;"",INDEX('Device Refrigerant Leakage'!$F$2:$F$42,MATCH($M558,'Device Refrigerant Leakage'!$B$2:$B$42,0)),"")</f>
        <v/>
      </c>
      <c r="CR558" s="145" t="str">
        <f>IF($I558&lt;&gt;"",INDEX('Device Refrigerant Leakage'!$G$2:$G$42,MATCH($M558,'Device Refrigerant Leakage'!$B$2:$B$42,0)),"")</f>
        <v/>
      </c>
      <c r="CS558" s="145" t="str">
        <f>IF($I558&lt;&gt;"",INDEX('Device Refrigerant Leakage'!$D$2:$D$42,MATCH($M558,'Device Refrigerant Leakage'!$B$2:$B$42,0))*CP558/2204.62*CO558,"")</f>
        <v/>
      </c>
      <c r="CT558" s="145" t="str">
        <f>IF($I558&lt;&gt;"",J558*(INDEX('Device Refrigerant Leakage'!$D$2:$D$42,MATCH($M558,'Device Refrigerant Leakage'!$B$2:$B$42,0))-(INDEX('Device Refrigerant Leakage'!$D$2:$D$42,MATCH($M558,'Device Refrigerant Leakage'!$B$2:$B$42,0)))*CR558*CP558)*CQ558/2204.62*CO558,"")</f>
        <v/>
      </c>
      <c r="CU558" s="135" t="str">
        <f>IF($I558&lt;&gt;"",J558*IF(W558&lt;&gt;"AR",(CS558*K558)+CT558,(CS558*AB558)+CT558*(AB558/INDEX('Device Refrigerant Leakage'!$C$2:$C$42,MATCH($M558,'Device Refrigerant Leakage'!$B$2:$B$42,0)))),"")</f>
        <v/>
      </c>
      <c r="CW558" s="135" t="str">
        <f>IF($I558&lt;&gt;"",IF(S558="User Specified",V558,INDEX('Refrigerant GWPs'!$G$2:$G$156,MATCH(S558,'Refrigerant GWPs'!$A$2:$A$157,0))),"")</f>
        <v/>
      </c>
      <c r="CX558" s="138" t="str">
        <f>IF($I558&lt;&gt;"",INDEX('Device Refrigerant Leakage'!$E$2:$E$42,MATCH($Q558,'Device Refrigerant Leakage'!$B$2:$B$42,0)),"")</f>
        <v/>
      </c>
      <c r="CY558" s="138" t="str">
        <f>IF($I558&lt;&gt;"",INDEX('Device Refrigerant Leakage'!$F$2:$F$42,MATCH($Q558,'Device Refrigerant Leakage'!$B$2:$B$42,0)),"")</f>
        <v/>
      </c>
      <c r="CZ558" s="145" t="str">
        <f>IF($I558&lt;&gt;"",INDEX('Device Refrigerant Leakage'!$G$2:$G$42,MATCH($Q558,'Device Refrigerant Leakage'!$B$2:$B$42,0)),"")</f>
        <v/>
      </c>
      <c r="DA558" s="145" t="str">
        <f>IF($I558&lt;&gt;"",J558*INDEX('Device Refrigerant Leakage'!$D$2:$D$42,MATCH($Q558,'Device Refrigerant Leakage'!$B$2:$B$42,0))*CX558/2204.62*CW558,"")</f>
        <v/>
      </c>
      <c r="DB558" s="145" t="str">
        <f>IF($I558&lt;&gt;"",J558*(INDEX('Device Refrigerant Leakage'!$D$2:$D$42,MATCH($Q558,'Device Refrigerant Leakage'!$B$2:$B$42,0))-(INDEX('Device Refrigerant Leakage'!$D$2:$D$42,MATCH($Q558,'Device Refrigerant Leakage'!$B$2:$B$42,0)))*CZ558*CX558)*CY558/2204.62*CW558,"")</f>
        <v/>
      </c>
      <c r="DC558" s="135" t="str">
        <f t="shared" si="688"/>
        <v/>
      </c>
      <c r="DE558" s="146" t="str">
        <f>IF(W558&lt;&gt;"AR","",IF(Y558="User Specified", AA558, INDEX('Refrigerant GWPs'!$G$2:$G$154,MATCH(Y558,'Refrigerant GWPs'!$A$2:$A$154,0))))</f>
        <v/>
      </c>
      <c r="DF558" s="146" t="str">
        <f>IF(W558&lt;&gt;"AR","",INDEX('Device Refrigerant Leakage'!$E$2:$E$42,MATCH(X558,'Device Refrigerant Leakage'!$B$2:$B$42,0)))</f>
        <v/>
      </c>
      <c r="DG558" s="146" t="str">
        <f>IF(W558&lt;&gt;"AR","",INDEX('Device Refrigerant Leakage'!$F$2:$F$42,MATCH(X558,'Device Refrigerant Leakage'!$B$2:$B$42,0)))</f>
        <v/>
      </c>
      <c r="DH558" s="146" t="str">
        <f>IF(W558&lt;&gt;"AR","",INDEX('Device Refrigerant Leakage'!$G$2:$G$42,MATCH(X558,'Device Refrigerant Leakage'!$B$2:$B$42,0)))</f>
        <v/>
      </c>
      <c r="DI558" s="146" t="str">
        <f>IF(W558&lt;&gt;"AR","",J558*INDEX('Device Refrigerant Leakage'!$D$2:$D$42,MATCH(X558,'Device Refrigerant Leakage'!$B$2:$B$42,0))*DF558/2204.62*DE558)</f>
        <v/>
      </c>
      <c r="DJ558" s="146" t="str">
        <f>IF(W558&lt;&gt;"AR","",J558*(INDEX('Device Refrigerant Leakage'!$D$2:$D$42,MATCH(X558,'Device Refrigerant Leakage'!$B$2:$B$42,0))-(INDEX('Device Refrigerant Leakage'!$D$2:$D$42,MATCH(X558,'Device Refrigerant Leakage'!$B$2:$B$42,0)))*DH558*DF558)*DG558/2204.62*DE558)</f>
        <v/>
      </c>
      <c r="DK558" s="146" t="str">
        <f>IF(W558&lt;&gt;"AR","",DI558*(K558-AB558)+'Fuel Sub Calcs-Deemed'!DJ558*((K558-AB558)/INDEX('Device Refrigerant Leakage'!$C$2:$C$42,MATCH('Fuel Sub Calcs-Deemed'!X558,'Device Refrigerant Leakage'!$B$2:$B$42,0))))</f>
        <v/>
      </c>
      <c r="DM558" s="56">
        <v>544</v>
      </c>
      <c r="DN558" s="67" t="e">
        <f t="shared" si="670"/>
        <v>#N/A</v>
      </c>
      <c r="DO558" s="45" t="e">
        <f t="shared" si="671"/>
        <v>#N/A</v>
      </c>
      <c r="DP558" s="67" t="e">
        <f t="shared" si="672"/>
        <v>#N/A</v>
      </c>
      <c r="DQ558" s="45" t="e">
        <f t="shared" si="673"/>
        <v>#N/A</v>
      </c>
      <c r="DR558" s="69" t="e">
        <f t="shared" si="674"/>
        <v>#N/A</v>
      </c>
      <c r="DS558" s="34"/>
      <c r="DT558" s="67" t="e">
        <f>((BX558*CJ558)+IF($W558=MAT_AR,(BZ558*CL558),0))*(1+Reference!$E$50+Reference!$E$51)</f>
        <v>#N/A</v>
      </c>
      <c r="DU558" s="67">
        <f>((BY558*CK558)+IF($W558=MAT_AR,(CA558*CM558),0))*(1+Reference!$G$50+Reference!$G$51)</f>
        <v>0</v>
      </c>
      <c r="DV558" s="67" t="e">
        <f t="shared" si="675"/>
        <v>#VALUE!</v>
      </c>
      <c r="DX558" s="56">
        <v>544</v>
      </c>
      <c r="DY558" s="67">
        <f t="shared" si="676"/>
        <v>0</v>
      </c>
      <c r="DZ558" s="45" t="e">
        <f>VLOOKUP($R558,Dropdown!$C$3:$D$4,2,FALSE)</f>
        <v>#N/A</v>
      </c>
      <c r="EA558" s="68">
        <f t="shared" si="677"/>
        <v>0</v>
      </c>
      <c r="EB558" s="68" t="str">
        <f t="shared" si="678"/>
        <v>N/A</v>
      </c>
      <c r="EC558" s="68">
        <f t="shared" si="679"/>
        <v>0</v>
      </c>
      <c r="ED558" s="68" t="str">
        <f t="shared" si="717"/>
        <v>N/A</v>
      </c>
      <c r="EF558" s="56">
        <v>544</v>
      </c>
      <c r="EG558" s="46">
        <f t="shared" si="680"/>
        <v>0</v>
      </c>
      <c r="EH558" s="68" t="e">
        <f t="shared" si="681"/>
        <v>#N/A</v>
      </c>
      <c r="EI558" s="68" t="e">
        <f t="shared" si="682"/>
        <v>#N/A</v>
      </c>
      <c r="EJ558" s="68" t="e">
        <f t="shared" si="683"/>
        <v>#N/A</v>
      </c>
      <c r="EK558" s="68" t="e">
        <f t="shared" si="684"/>
        <v>#N/A</v>
      </c>
      <c r="EL558" s="46">
        <f t="shared" si="685"/>
        <v>0</v>
      </c>
      <c r="EM558" s="46">
        <f t="shared" si="686"/>
        <v>0</v>
      </c>
    </row>
    <row r="559" spans="1:143">
      <c r="A559" s="89"/>
      <c r="B559" s="89"/>
      <c r="C559" s="89"/>
      <c r="D559" s="89"/>
      <c r="E559" s="89"/>
      <c r="F559" s="89"/>
      <c r="G559" s="34"/>
      <c r="H559" s="56">
        <f t="shared" si="687"/>
        <v>545</v>
      </c>
      <c r="I559" s="165"/>
      <c r="J559" s="163"/>
      <c r="K559" s="163"/>
      <c r="L559" s="164"/>
      <c r="M559" s="155"/>
      <c r="N559" s="155"/>
      <c r="O559" s="144"/>
      <c r="P559" s="159" t="str">
        <f>IFERROR(IF(O559&lt;&gt;"User Specified",IF(O559&lt;&gt;"", INDEX('Refrigerant GWPs'!$G$2:$G$154,MATCH(O559,'Refrigerant GWPs'!$A$2:$A$154,0)),""),U559),0)</f>
        <v/>
      </c>
      <c r="Q559" s="155"/>
      <c r="R559" s="155"/>
      <c r="S559" s="144"/>
      <c r="T559" s="159" t="str">
        <f>IF(S559&lt;&gt;"User Specified",IF(AND(S559&lt;&gt;"User Specified",S559&lt;&gt;""), INDEX('Refrigerant GWPs'!$G$2:$G$154,MATCH(S559,'Refrigerant GWPs'!$A$2:$A$154,0)),""),V559)</f>
        <v/>
      </c>
      <c r="U559" s="144"/>
      <c r="V559" s="144"/>
      <c r="W559" s="155"/>
      <c r="X559" s="155"/>
      <c r="Y559" s="144"/>
      <c r="Z559" s="159" t="str">
        <f>IF(AND(Y559&lt;&gt;"User Specified",Y559&lt;&gt;""), INDEX('Refrigerant GWPs'!$G$2:$G$154,MATCH(Y559,'Refrigerant GWPs'!$A$2:$A$154,0)),"")</f>
        <v/>
      </c>
      <c r="AA559" s="155"/>
      <c r="AB559" s="156"/>
      <c r="AC559" s="66"/>
      <c r="AD559" s="66"/>
      <c r="AE559" s="66"/>
      <c r="AF559" s="66"/>
      <c r="AG559" s="66"/>
      <c r="AH559" s="66"/>
      <c r="AI559" s="34"/>
      <c r="AJ559" s="88">
        <f t="shared" si="650"/>
        <v>0</v>
      </c>
      <c r="AK559" s="88">
        <f t="shared" si="651"/>
        <v>0</v>
      </c>
      <c r="AL559" s="88">
        <v>0</v>
      </c>
      <c r="AM559" s="88">
        <v>0</v>
      </c>
      <c r="AN559" s="81" t="str">
        <f t="shared" si="689"/>
        <v/>
      </c>
      <c r="AO559" s="88">
        <f t="shared" si="652"/>
        <v>0</v>
      </c>
      <c r="AP559" s="88">
        <f t="shared" si="653"/>
        <v>0</v>
      </c>
      <c r="AQ559" s="81" t="str">
        <f t="shared" si="654"/>
        <v/>
      </c>
      <c r="AS559" s="41" t="b">
        <f t="shared" si="655"/>
        <v>1</v>
      </c>
      <c r="AT559" s="38">
        <f t="shared" si="656"/>
        <v>0</v>
      </c>
      <c r="AU559" s="60">
        <f t="shared" si="657"/>
        <v>0</v>
      </c>
      <c r="AV559" s="41">
        <f t="shared" si="658"/>
        <v>0</v>
      </c>
      <c r="AW559" s="41" t="b">
        <f t="shared" si="659"/>
        <v>0</v>
      </c>
      <c r="AX559" t="str">
        <f t="shared" si="660"/>
        <v>+00</v>
      </c>
      <c r="AY559" t="str">
        <f t="shared" si="661"/>
        <v>+00</v>
      </c>
      <c r="BA559" s="47" t="b">
        <f t="shared" si="690"/>
        <v>1</v>
      </c>
      <c r="BB559" s="42" t="b">
        <f t="shared" si="691"/>
        <v>1</v>
      </c>
      <c r="BC559" s="42" t="b">
        <f t="shared" si="692"/>
        <v>0</v>
      </c>
      <c r="BD559" s="42" t="b">
        <f t="shared" si="693"/>
        <v>0</v>
      </c>
      <c r="BE559" s="70">
        <f t="shared" si="694"/>
        <v>0</v>
      </c>
      <c r="BF559" s="70">
        <f t="shared" si="695"/>
        <v>0</v>
      </c>
      <c r="BG559" s="34"/>
      <c r="BI559" s="47" t="b">
        <f t="shared" si="696"/>
        <v>1</v>
      </c>
      <c r="BJ559" s="47" t="b">
        <f t="shared" si="697"/>
        <v>1</v>
      </c>
      <c r="BK559" s="42" t="b">
        <f t="shared" si="698"/>
        <v>0</v>
      </c>
      <c r="BL559" s="42" t="b">
        <f t="shared" si="699"/>
        <v>0</v>
      </c>
      <c r="BM559" s="42">
        <f t="shared" si="700"/>
        <v>0</v>
      </c>
      <c r="BN559" s="42">
        <f t="shared" si="701"/>
        <v>0</v>
      </c>
      <c r="BP559" t="e">
        <f t="shared" si="702"/>
        <v>#N/A</v>
      </c>
      <c r="BQ559" t="e">
        <f t="shared" si="703"/>
        <v>#N/A</v>
      </c>
      <c r="BR559" t="e">
        <f t="shared" si="704"/>
        <v>#N/A</v>
      </c>
      <c r="BT559" s="60">
        <f t="shared" si="705"/>
        <v>0</v>
      </c>
      <c r="BU559" s="60">
        <f t="shared" si="706"/>
        <v>0</v>
      </c>
      <c r="BV559" s="60">
        <f t="shared" si="707"/>
        <v>0</v>
      </c>
      <c r="BW559" s="60">
        <f t="shared" si="708"/>
        <v>0</v>
      </c>
      <c r="BX559" s="60">
        <f t="shared" si="709"/>
        <v>0</v>
      </c>
      <c r="BY559" s="60">
        <f t="shared" si="710"/>
        <v>0</v>
      </c>
      <c r="BZ559" s="60">
        <f t="shared" si="711"/>
        <v>0</v>
      </c>
      <c r="CA559" s="60">
        <f t="shared" si="712"/>
        <v>0</v>
      </c>
      <c r="CB559" s="60" t="e">
        <f t="shared" si="662"/>
        <v>#N/A</v>
      </c>
      <c r="CC559" s="60">
        <f t="shared" si="663"/>
        <v>100000</v>
      </c>
      <c r="CD559" s="60" t="e">
        <f t="shared" si="664"/>
        <v>#N/A</v>
      </c>
      <c r="CE559" s="60">
        <f t="shared" si="665"/>
        <v>100000</v>
      </c>
      <c r="CF559" s="83" t="e">
        <f t="shared" si="713"/>
        <v>#N/A</v>
      </c>
      <c r="CG559" s="83">
        <f t="shared" si="714"/>
        <v>0</v>
      </c>
      <c r="CH559" s="83" t="e">
        <f t="shared" si="715"/>
        <v>#N/A</v>
      </c>
      <c r="CI559" s="83">
        <f t="shared" si="716"/>
        <v>0</v>
      </c>
      <c r="CJ559" s="86" t="e">
        <f t="shared" si="666"/>
        <v>#N/A</v>
      </c>
      <c r="CK559" s="82">
        <f t="shared" si="667"/>
        <v>5.3070370403969858E-3</v>
      </c>
      <c r="CL559" s="82" t="e">
        <f t="shared" si="668"/>
        <v>#N/A</v>
      </c>
      <c r="CM559" s="82">
        <f t="shared" si="669"/>
        <v>5.3070370403969858E-3</v>
      </c>
      <c r="CO559" s="149" t="str">
        <f>IF($I559&lt;&gt;"",IF(O559="User Specified",U559,INDEX('Refrigerant GWPs'!$G$2:$G$156,MATCH(O559,'Refrigerant GWPs'!$A$2:$A$156,0))),"")</f>
        <v/>
      </c>
      <c r="CP559" s="138" t="str">
        <f>IF($I559&lt;&gt;"",INDEX('Device Refrigerant Leakage'!$E$2:$E$42,MATCH($M559,'Device Refrigerant Leakage'!$B$2:$B$42,0)),"")</f>
        <v/>
      </c>
      <c r="CQ559" s="138" t="str">
        <f>IF($I559&lt;&gt;"",INDEX('Device Refrigerant Leakage'!$F$2:$F$42,MATCH($M559,'Device Refrigerant Leakage'!$B$2:$B$42,0)),"")</f>
        <v/>
      </c>
      <c r="CR559" s="145" t="str">
        <f>IF($I559&lt;&gt;"",INDEX('Device Refrigerant Leakage'!$G$2:$G$42,MATCH($M559,'Device Refrigerant Leakage'!$B$2:$B$42,0)),"")</f>
        <v/>
      </c>
      <c r="CS559" s="145" t="str">
        <f>IF($I559&lt;&gt;"",INDEX('Device Refrigerant Leakage'!$D$2:$D$42,MATCH($M559,'Device Refrigerant Leakage'!$B$2:$B$42,0))*CP559/2204.62*CO559,"")</f>
        <v/>
      </c>
      <c r="CT559" s="145" t="str">
        <f>IF($I559&lt;&gt;"",J559*(INDEX('Device Refrigerant Leakage'!$D$2:$D$42,MATCH($M559,'Device Refrigerant Leakage'!$B$2:$B$42,0))-(INDEX('Device Refrigerant Leakage'!$D$2:$D$42,MATCH($M559,'Device Refrigerant Leakage'!$B$2:$B$42,0)))*CR559*CP559)*CQ559/2204.62*CO559,"")</f>
        <v/>
      </c>
      <c r="CU559" s="135" t="str">
        <f>IF($I559&lt;&gt;"",J559*IF(W559&lt;&gt;"AR",(CS559*K559)+CT559,(CS559*AB559)+CT559*(AB559/INDEX('Device Refrigerant Leakage'!$C$2:$C$42,MATCH($M559,'Device Refrigerant Leakage'!$B$2:$B$42,0)))),"")</f>
        <v/>
      </c>
      <c r="CW559" s="135" t="str">
        <f>IF($I559&lt;&gt;"",IF(S559="User Specified",V559,INDEX('Refrigerant GWPs'!$G$2:$G$156,MATCH(S559,'Refrigerant GWPs'!$A$2:$A$157,0))),"")</f>
        <v/>
      </c>
      <c r="CX559" s="138" t="str">
        <f>IF($I559&lt;&gt;"",INDEX('Device Refrigerant Leakage'!$E$2:$E$42,MATCH($Q559,'Device Refrigerant Leakage'!$B$2:$B$42,0)),"")</f>
        <v/>
      </c>
      <c r="CY559" s="138" t="str">
        <f>IF($I559&lt;&gt;"",INDEX('Device Refrigerant Leakage'!$F$2:$F$42,MATCH($Q559,'Device Refrigerant Leakage'!$B$2:$B$42,0)),"")</f>
        <v/>
      </c>
      <c r="CZ559" s="145" t="str">
        <f>IF($I559&lt;&gt;"",INDEX('Device Refrigerant Leakage'!$G$2:$G$42,MATCH($Q559,'Device Refrigerant Leakage'!$B$2:$B$42,0)),"")</f>
        <v/>
      </c>
      <c r="DA559" s="145" t="str">
        <f>IF($I559&lt;&gt;"",J559*INDEX('Device Refrigerant Leakage'!$D$2:$D$42,MATCH($Q559,'Device Refrigerant Leakage'!$B$2:$B$42,0))*CX559/2204.62*CW559,"")</f>
        <v/>
      </c>
      <c r="DB559" s="145" t="str">
        <f>IF($I559&lt;&gt;"",J559*(INDEX('Device Refrigerant Leakage'!$D$2:$D$42,MATCH($Q559,'Device Refrigerant Leakage'!$B$2:$B$42,0))-(INDEX('Device Refrigerant Leakage'!$D$2:$D$42,MATCH($Q559,'Device Refrigerant Leakage'!$B$2:$B$42,0)))*CZ559*CX559)*CY559/2204.62*CW559,"")</f>
        <v/>
      </c>
      <c r="DC559" s="135" t="str">
        <f t="shared" si="688"/>
        <v/>
      </c>
      <c r="DE559" s="146" t="str">
        <f>IF(W559&lt;&gt;"AR","",IF(Y559="User Specified", AA559, INDEX('Refrigerant GWPs'!$G$2:$G$154,MATCH(Y559,'Refrigerant GWPs'!$A$2:$A$154,0))))</f>
        <v/>
      </c>
      <c r="DF559" s="146" t="str">
        <f>IF(W559&lt;&gt;"AR","",INDEX('Device Refrigerant Leakage'!$E$2:$E$42,MATCH(X559,'Device Refrigerant Leakage'!$B$2:$B$42,0)))</f>
        <v/>
      </c>
      <c r="DG559" s="146" t="str">
        <f>IF(W559&lt;&gt;"AR","",INDEX('Device Refrigerant Leakage'!$F$2:$F$42,MATCH(X559,'Device Refrigerant Leakage'!$B$2:$B$42,0)))</f>
        <v/>
      </c>
      <c r="DH559" s="146" t="str">
        <f>IF(W559&lt;&gt;"AR","",INDEX('Device Refrigerant Leakage'!$G$2:$G$42,MATCH(X559,'Device Refrigerant Leakage'!$B$2:$B$42,0)))</f>
        <v/>
      </c>
      <c r="DI559" s="146" t="str">
        <f>IF(W559&lt;&gt;"AR","",J559*INDEX('Device Refrigerant Leakage'!$D$2:$D$42,MATCH(X559,'Device Refrigerant Leakage'!$B$2:$B$42,0))*DF559/2204.62*DE559)</f>
        <v/>
      </c>
      <c r="DJ559" s="146" t="str">
        <f>IF(W559&lt;&gt;"AR","",J559*(INDEX('Device Refrigerant Leakage'!$D$2:$D$42,MATCH(X559,'Device Refrigerant Leakage'!$B$2:$B$42,0))-(INDEX('Device Refrigerant Leakage'!$D$2:$D$42,MATCH(X559,'Device Refrigerant Leakage'!$B$2:$B$42,0)))*DH559*DF559)*DG559/2204.62*DE559)</f>
        <v/>
      </c>
      <c r="DK559" s="146" t="str">
        <f>IF(W559&lt;&gt;"AR","",DI559*(K559-AB559)+'Fuel Sub Calcs-Deemed'!DJ559*((K559-AB559)/INDEX('Device Refrigerant Leakage'!$C$2:$C$42,MATCH('Fuel Sub Calcs-Deemed'!X559,'Device Refrigerant Leakage'!$B$2:$B$42,0))))</f>
        <v/>
      </c>
      <c r="DM559" s="56">
        <v>545</v>
      </c>
      <c r="DN559" s="67" t="e">
        <f t="shared" si="670"/>
        <v>#N/A</v>
      </c>
      <c r="DO559" s="45" t="e">
        <f t="shared" si="671"/>
        <v>#N/A</v>
      </c>
      <c r="DP559" s="67" t="e">
        <f t="shared" si="672"/>
        <v>#N/A</v>
      </c>
      <c r="DQ559" s="45" t="e">
        <f t="shared" si="673"/>
        <v>#N/A</v>
      </c>
      <c r="DR559" s="69" t="e">
        <f t="shared" si="674"/>
        <v>#N/A</v>
      </c>
      <c r="DS559" s="34"/>
      <c r="DT559" s="67" t="e">
        <f>((BX559*CJ559)+IF($W559=MAT_AR,(BZ559*CL559),0))*(1+Reference!$E$50+Reference!$E$51)</f>
        <v>#N/A</v>
      </c>
      <c r="DU559" s="67">
        <f>((BY559*CK559)+IF($W559=MAT_AR,(CA559*CM559),0))*(1+Reference!$G$50+Reference!$G$51)</f>
        <v>0</v>
      </c>
      <c r="DV559" s="67" t="e">
        <f t="shared" si="675"/>
        <v>#VALUE!</v>
      </c>
      <c r="DX559" s="56">
        <v>545</v>
      </c>
      <c r="DY559" s="67">
        <f t="shared" si="676"/>
        <v>0</v>
      </c>
      <c r="DZ559" s="45" t="e">
        <f>VLOOKUP($R559,Dropdown!$C$3:$D$4,2,FALSE)</f>
        <v>#N/A</v>
      </c>
      <c r="EA559" s="68">
        <f t="shared" si="677"/>
        <v>0</v>
      </c>
      <c r="EB559" s="68" t="str">
        <f t="shared" si="678"/>
        <v>N/A</v>
      </c>
      <c r="EC559" s="68">
        <f t="shared" si="679"/>
        <v>0</v>
      </c>
      <c r="ED559" s="68" t="str">
        <f t="shared" si="717"/>
        <v>N/A</v>
      </c>
      <c r="EF559" s="56">
        <v>545</v>
      </c>
      <c r="EG559" s="46">
        <f t="shared" si="680"/>
        <v>0</v>
      </c>
      <c r="EH559" s="68" t="e">
        <f t="shared" si="681"/>
        <v>#N/A</v>
      </c>
      <c r="EI559" s="68" t="e">
        <f t="shared" si="682"/>
        <v>#N/A</v>
      </c>
      <c r="EJ559" s="68" t="e">
        <f t="shared" si="683"/>
        <v>#N/A</v>
      </c>
      <c r="EK559" s="68" t="e">
        <f t="shared" si="684"/>
        <v>#N/A</v>
      </c>
      <c r="EL559" s="46">
        <f t="shared" si="685"/>
        <v>0</v>
      </c>
      <c r="EM559" s="46">
        <f t="shared" si="686"/>
        <v>0</v>
      </c>
    </row>
    <row r="560" spans="1:143">
      <c r="A560" s="89"/>
      <c r="B560" s="89"/>
      <c r="C560" s="89"/>
      <c r="D560" s="89"/>
      <c r="E560" s="89"/>
      <c r="F560" s="89"/>
      <c r="G560" s="34"/>
      <c r="H560" s="56">
        <f t="shared" si="687"/>
        <v>546</v>
      </c>
      <c r="I560" s="165"/>
      <c r="J560" s="163"/>
      <c r="K560" s="163"/>
      <c r="L560" s="164"/>
      <c r="M560" s="155"/>
      <c r="N560" s="155"/>
      <c r="O560" s="144"/>
      <c r="P560" s="159" t="str">
        <f>IFERROR(IF(O560&lt;&gt;"User Specified",IF(O560&lt;&gt;"", INDEX('Refrigerant GWPs'!$G$2:$G$154,MATCH(O560,'Refrigerant GWPs'!$A$2:$A$154,0)),""),U560),0)</f>
        <v/>
      </c>
      <c r="Q560" s="155"/>
      <c r="R560" s="155"/>
      <c r="S560" s="144"/>
      <c r="T560" s="159" t="str">
        <f>IF(S560&lt;&gt;"User Specified",IF(AND(S560&lt;&gt;"User Specified",S560&lt;&gt;""), INDEX('Refrigerant GWPs'!$G$2:$G$154,MATCH(S560,'Refrigerant GWPs'!$A$2:$A$154,0)),""),V560)</f>
        <v/>
      </c>
      <c r="U560" s="144"/>
      <c r="V560" s="144"/>
      <c r="W560" s="155"/>
      <c r="X560" s="155"/>
      <c r="Y560" s="144"/>
      <c r="Z560" s="159" t="str">
        <f>IF(AND(Y560&lt;&gt;"User Specified",Y560&lt;&gt;""), INDEX('Refrigerant GWPs'!$G$2:$G$154,MATCH(Y560,'Refrigerant GWPs'!$A$2:$A$154,0)),"")</f>
        <v/>
      </c>
      <c r="AA560" s="155"/>
      <c r="AB560" s="156"/>
      <c r="AC560" s="66"/>
      <c r="AD560" s="66"/>
      <c r="AE560" s="66"/>
      <c r="AF560" s="66"/>
      <c r="AG560" s="66"/>
      <c r="AH560" s="66"/>
      <c r="AI560" s="34"/>
      <c r="AJ560" s="88">
        <f t="shared" si="650"/>
        <v>0</v>
      </c>
      <c r="AK560" s="88">
        <f t="shared" si="651"/>
        <v>0</v>
      </c>
      <c r="AL560" s="88">
        <v>0</v>
      </c>
      <c r="AM560" s="88">
        <v>0</v>
      </c>
      <c r="AN560" s="81" t="str">
        <f t="shared" si="689"/>
        <v/>
      </c>
      <c r="AO560" s="88">
        <f t="shared" si="652"/>
        <v>0</v>
      </c>
      <c r="AP560" s="88">
        <f t="shared" si="653"/>
        <v>0</v>
      </c>
      <c r="AQ560" s="81" t="str">
        <f t="shared" si="654"/>
        <v/>
      </c>
      <c r="AS560" s="41" t="b">
        <f t="shared" si="655"/>
        <v>1</v>
      </c>
      <c r="AT560" s="38">
        <f t="shared" si="656"/>
        <v>0</v>
      </c>
      <c r="AU560" s="60">
        <f t="shared" si="657"/>
        <v>0</v>
      </c>
      <c r="AV560" s="41">
        <f t="shared" si="658"/>
        <v>0</v>
      </c>
      <c r="AW560" s="41" t="b">
        <f t="shared" si="659"/>
        <v>0</v>
      </c>
      <c r="AX560" t="str">
        <f t="shared" si="660"/>
        <v>+00</v>
      </c>
      <c r="AY560" t="str">
        <f t="shared" si="661"/>
        <v>+00</v>
      </c>
      <c r="BA560" s="47" t="b">
        <f t="shared" si="690"/>
        <v>1</v>
      </c>
      <c r="BB560" s="42" t="b">
        <f t="shared" si="691"/>
        <v>1</v>
      </c>
      <c r="BC560" s="42" t="b">
        <f t="shared" si="692"/>
        <v>0</v>
      </c>
      <c r="BD560" s="42" t="b">
        <f t="shared" si="693"/>
        <v>0</v>
      </c>
      <c r="BE560" s="70">
        <f t="shared" si="694"/>
        <v>0</v>
      </c>
      <c r="BF560" s="70">
        <f t="shared" si="695"/>
        <v>0</v>
      </c>
      <c r="BG560" s="34"/>
      <c r="BI560" s="47" t="b">
        <f t="shared" si="696"/>
        <v>1</v>
      </c>
      <c r="BJ560" s="47" t="b">
        <f t="shared" si="697"/>
        <v>1</v>
      </c>
      <c r="BK560" s="42" t="b">
        <f t="shared" si="698"/>
        <v>0</v>
      </c>
      <c r="BL560" s="42" t="b">
        <f t="shared" si="699"/>
        <v>0</v>
      </c>
      <c r="BM560" s="42">
        <f t="shared" si="700"/>
        <v>0</v>
      </c>
      <c r="BN560" s="42">
        <f t="shared" si="701"/>
        <v>0</v>
      </c>
      <c r="BP560" t="e">
        <f t="shared" si="702"/>
        <v>#N/A</v>
      </c>
      <c r="BQ560" t="e">
        <f t="shared" si="703"/>
        <v>#N/A</v>
      </c>
      <c r="BR560" t="e">
        <f t="shared" si="704"/>
        <v>#N/A</v>
      </c>
      <c r="BT560" s="60">
        <f t="shared" si="705"/>
        <v>0</v>
      </c>
      <c r="BU560" s="60">
        <f t="shared" si="706"/>
        <v>0</v>
      </c>
      <c r="BV560" s="60">
        <f t="shared" si="707"/>
        <v>0</v>
      </c>
      <c r="BW560" s="60">
        <f t="shared" si="708"/>
        <v>0</v>
      </c>
      <c r="BX560" s="60">
        <f t="shared" si="709"/>
        <v>0</v>
      </c>
      <c r="BY560" s="60">
        <f t="shared" si="710"/>
        <v>0</v>
      </c>
      <c r="BZ560" s="60">
        <f t="shared" si="711"/>
        <v>0</v>
      </c>
      <c r="CA560" s="60">
        <f t="shared" si="712"/>
        <v>0</v>
      </c>
      <c r="CB560" s="60" t="e">
        <f t="shared" si="662"/>
        <v>#N/A</v>
      </c>
      <c r="CC560" s="60">
        <f t="shared" si="663"/>
        <v>100000</v>
      </c>
      <c r="CD560" s="60" t="e">
        <f t="shared" si="664"/>
        <v>#N/A</v>
      </c>
      <c r="CE560" s="60">
        <f t="shared" si="665"/>
        <v>100000</v>
      </c>
      <c r="CF560" s="83" t="e">
        <f t="shared" si="713"/>
        <v>#N/A</v>
      </c>
      <c r="CG560" s="83">
        <f t="shared" si="714"/>
        <v>0</v>
      </c>
      <c r="CH560" s="83" t="e">
        <f t="shared" si="715"/>
        <v>#N/A</v>
      </c>
      <c r="CI560" s="83">
        <f t="shared" si="716"/>
        <v>0</v>
      </c>
      <c r="CJ560" s="86" t="e">
        <f t="shared" si="666"/>
        <v>#N/A</v>
      </c>
      <c r="CK560" s="82">
        <f t="shared" si="667"/>
        <v>5.3070370403969858E-3</v>
      </c>
      <c r="CL560" s="82" t="e">
        <f t="shared" si="668"/>
        <v>#N/A</v>
      </c>
      <c r="CM560" s="82">
        <f t="shared" si="669"/>
        <v>5.3070370403969858E-3</v>
      </c>
      <c r="CO560" s="149" t="str">
        <f>IF($I560&lt;&gt;"",IF(O560="User Specified",U560,INDEX('Refrigerant GWPs'!$G$2:$G$156,MATCH(O560,'Refrigerant GWPs'!$A$2:$A$156,0))),"")</f>
        <v/>
      </c>
      <c r="CP560" s="138" t="str">
        <f>IF($I560&lt;&gt;"",INDEX('Device Refrigerant Leakage'!$E$2:$E$42,MATCH($M560,'Device Refrigerant Leakage'!$B$2:$B$42,0)),"")</f>
        <v/>
      </c>
      <c r="CQ560" s="138" t="str">
        <f>IF($I560&lt;&gt;"",INDEX('Device Refrigerant Leakage'!$F$2:$F$42,MATCH($M560,'Device Refrigerant Leakage'!$B$2:$B$42,0)),"")</f>
        <v/>
      </c>
      <c r="CR560" s="145" t="str">
        <f>IF($I560&lt;&gt;"",INDEX('Device Refrigerant Leakage'!$G$2:$G$42,MATCH($M560,'Device Refrigerant Leakage'!$B$2:$B$42,0)),"")</f>
        <v/>
      </c>
      <c r="CS560" s="145" t="str">
        <f>IF($I560&lt;&gt;"",INDEX('Device Refrigerant Leakage'!$D$2:$D$42,MATCH($M560,'Device Refrigerant Leakage'!$B$2:$B$42,0))*CP560/2204.62*CO560,"")</f>
        <v/>
      </c>
      <c r="CT560" s="145" t="str">
        <f>IF($I560&lt;&gt;"",J560*(INDEX('Device Refrigerant Leakage'!$D$2:$D$42,MATCH($M560,'Device Refrigerant Leakage'!$B$2:$B$42,0))-(INDEX('Device Refrigerant Leakage'!$D$2:$D$42,MATCH($M560,'Device Refrigerant Leakage'!$B$2:$B$42,0)))*CR560*CP560)*CQ560/2204.62*CO560,"")</f>
        <v/>
      </c>
      <c r="CU560" s="135" t="str">
        <f>IF($I560&lt;&gt;"",J560*IF(W560&lt;&gt;"AR",(CS560*K560)+CT560,(CS560*AB560)+CT560*(AB560/INDEX('Device Refrigerant Leakage'!$C$2:$C$42,MATCH($M560,'Device Refrigerant Leakage'!$B$2:$B$42,0)))),"")</f>
        <v/>
      </c>
      <c r="CW560" s="135" t="str">
        <f>IF($I560&lt;&gt;"",IF(S560="User Specified",V560,INDEX('Refrigerant GWPs'!$G$2:$G$156,MATCH(S560,'Refrigerant GWPs'!$A$2:$A$157,0))),"")</f>
        <v/>
      </c>
      <c r="CX560" s="138" t="str">
        <f>IF($I560&lt;&gt;"",INDEX('Device Refrigerant Leakage'!$E$2:$E$42,MATCH($Q560,'Device Refrigerant Leakage'!$B$2:$B$42,0)),"")</f>
        <v/>
      </c>
      <c r="CY560" s="138" t="str">
        <f>IF($I560&lt;&gt;"",INDEX('Device Refrigerant Leakage'!$F$2:$F$42,MATCH($Q560,'Device Refrigerant Leakage'!$B$2:$B$42,0)),"")</f>
        <v/>
      </c>
      <c r="CZ560" s="145" t="str">
        <f>IF($I560&lt;&gt;"",INDEX('Device Refrigerant Leakage'!$G$2:$G$42,MATCH($Q560,'Device Refrigerant Leakage'!$B$2:$B$42,0)),"")</f>
        <v/>
      </c>
      <c r="DA560" s="145" t="str">
        <f>IF($I560&lt;&gt;"",J560*INDEX('Device Refrigerant Leakage'!$D$2:$D$42,MATCH($Q560,'Device Refrigerant Leakage'!$B$2:$B$42,0))*CX560/2204.62*CW560,"")</f>
        <v/>
      </c>
      <c r="DB560" s="145" t="str">
        <f>IF($I560&lt;&gt;"",J560*(INDEX('Device Refrigerant Leakage'!$D$2:$D$42,MATCH($Q560,'Device Refrigerant Leakage'!$B$2:$B$42,0))-(INDEX('Device Refrigerant Leakage'!$D$2:$D$42,MATCH($Q560,'Device Refrigerant Leakage'!$B$2:$B$42,0)))*CZ560*CX560)*CY560/2204.62*CW560,"")</f>
        <v/>
      </c>
      <c r="DC560" s="135" t="str">
        <f t="shared" si="688"/>
        <v/>
      </c>
      <c r="DE560" s="146" t="str">
        <f>IF(W560&lt;&gt;"AR","",IF(Y560="User Specified", AA560, INDEX('Refrigerant GWPs'!$G$2:$G$154,MATCH(Y560,'Refrigerant GWPs'!$A$2:$A$154,0))))</f>
        <v/>
      </c>
      <c r="DF560" s="146" t="str">
        <f>IF(W560&lt;&gt;"AR","",INDEX('Device Refrigerant Leakage'!$E$2:$E$42,MATCH(X560,'Device Refrigerant Leakage'!$B$2:$B$42,0)))</f>
        <v/>
      </c>
      <c r="DG560" s="146" t="str">
        <f>IF(W560&lt;&gt;"AR","",INDEX('Device Refrigerant Leakage'!$F$2:$F$42,MATCH(X560,'Device Refrigerant Leakage'!$B$2:$B$42,0)))</f>
        <v/>
      </c>
      <c r="DH560" s="146" t="str">
        <f>IF(W560&lt;&gt;"AR","",INDEX('Device Refrigerant Leakage'!$G$2:$G$42,MATCH(X560,'Device Refrigerant Leakage'!$B$2:$B$42,0)))</f>
        <v/>
      </c>
      <c r="DI560" s="146" t="str">
        <f>IF(W560&lt;&gt;"AR","",J560*INDEX('Device Refrigerant Leakage'!$D$2:$D$42,MATCH(X560,'Device Refrigerant Leakage'!$B$2:$B$42,0))*DF560/2204.62*DE560)</f>
        <v/>
      </c>
      <c r="DJ560" s="146" t="str">
        <f>IF(W560&lt;&gt;"AR","",J560*(INDEX('Device Refrigerant Leakage'!$D$2:$D$42,MATCH(X560,'Device Refrigerant Leakage'!$B$2:$B$42,0))-(INDEX('Device Refrigerant Leakage'!$D$2:$D$42,MATCH(X560,'Device Refrigerant Leakage'!$B$2:$B$42,0)))*DH560*DF560)*DG560/2204.62*DE560)</f>
        <v/>
      </c>
      <c r="DK560" s="146" t="str">
        <f>IF(W560&lt;&gt;"AR","",DI560*(K560-AB560)+'Fuel Sub Calcs-Deemed'!DJ560*((K560-AB560)/INDEX('Device Refrigerant Leakage'!$C$2:$C$42,MATCH('Fuel Sub Calcs-Deemed'!X560,'Device Refrigerant Leakage'!$B$2:$B$42,0))))</f>
        <v/>
      </c>
      <c r="DM560" s="56">
        <v>546</v>
      </c>
      <c r="DN560" s="67" t="e">
        <f t="shared" si="670"/>
        <v>#N/A</v>
      </c>
      <c r="DO560" s="45" t="e">
        <f t="shared" si="671"/>
        <v>#N/A</v>
      </c>
      <c r="DP560" s="67" t="e">
        <f t="shared" si="672"/>
        <v>#N/A</v>
      </c>
      <c r="DQ560" s="45" t="e">
        <f t="shared" si="673"/>
        <v>#N/A</v>
      </c>
      <c r="DR560" s="69" t="e">
        <f t="shared" si="674"/>
        <v>#N/A</v>
      </c>
      <c r="DS560" s="34"/>
      <c r="DT560" s="67" t="e">
        <f>((BX560*CJ560)+IF($W560=MAT_AR,(BZ560*CL560),0))*(1+Reference!$E$50+Reference!$E$51)</f>
        <v>#N/A</v>
      </c>
      <c r="DU560" s="67">
        <f>((BY560*CK560)+IF($W560=MAT_AR,(CA560*CM560),0))*(1+Reference!$G$50+Reference!$G$51)</f>
        <v>0</v>
      </c>
      <c r="DV560" s="67" t="e">
        <f t="shared" si="675"/>
        <v>#VALUE!</v>
      </c>
      <c r="DX560" s="56">
        <v>546</v>
      </c>
      <c r="DY560" s="67">
        <f t="shared" si="676"/>
        <v>0</v>
      </c>
      <c r="DZ560" s="45" t="e">
        <f>VLOOKUP($R560,Dropdown!$C$3:$D$4,2,FALSE)</f>
        <v>#N/A</v>
      </c>
      <c r="EA560" s="68">
        <f t="shared" si="677"/>
        <v>0</v>
      </c>
      <c r="EB560" s="68" t="str">
        <f t="shared" si="678"/>
        <v>N/A</v>
      </c>
      <c r="EC560" s="68">
        <f t="shared" si="679"/>
        <v>0</v>
      </c>
      <c r="ED560" s="68" t="str">
        <f t="shared" si="717"/>
        <v>N/A</v>
      </c>
      <c r="EF560" s="56">
        <v>546</v>
      </c>
      <c r="EG560" s="46">
        <f t="shared" si="680"/>
        <v>0</v>
      </c>
      <c r="EH560" s="68" t="e">
        <f t="shared" si="681"/>
        <v>#N/A</v>
      </c>
      <c r="EI560" s="68" t="e">
        <f t="shared" si="682"/>
        <v>#N/A</v>
      </c>
      <c r="EJ560" s="68" t="e">
        <f t="shared" si="683"/>
        <v>#N/A</v>
      </c>
      <c r="EK560" s="68" t="e">
        <f t="shared" si="684"/>
        <v>#N/A</v>
      </c>
      <c r="EL560" s="46">
        <f t="shared" si="685"/>
        <v>0</v>
      </c>
      <c r="EM560" s="46">
        <f t="shared" si="686"/>
        <v>0</v>
      </c>
    </row>
    <row r="561" spans="1:143">
      <c r="A561" s="89"/>
      <c r="B561" s="89"/>
      <c r="C561" s="89"/>
      <c r="D561" s="89"/>
      <c r="E561" s="89"/>
      <c r="F561" s="89"/>
      <c r="G561" s="34"/>
      <c r="H561" s="56">
        <f t="shared" si="687"/>
        <v>547</v>
      </c>
      <c r="I561" s="165"/>
      <c r="J561" s="163"/>
      <c r="K561" s="163"/>
      <c r="L561" s="164"/>
      <c r="M561" s="155"/>
      <c r="N561" s="155"/>
      <c r="O561" s="144"/>
      <c r="P561" s="159" t="str">
        <f>IFERROR(IF(O561&lt;&gt;"User Specified",IF(O561&lt;&gt;"", INDEX('Refrigerant GWPs'!$G$2:$G$154,MATCH(O561,'Refrigerant GWPs'!$A$2:$A$154,0)),""),U561),0)</f>
        <v/>
      </c>
      <c r="Q561" s="155"/>
      <c r="R561" s="155"/>
      <c r="S561" s="144"/>
      <c r="T561" s="159" t="str">
        <f>IF(S561&lt;&gt;"User Specified",IF(AND(S561&lt;&gt;"User Specified",S561&lt;&gt;""), INDEX('Refrigerant GWPs'!$G$2:$G$154,MATCH(S561,'Refrigerant GWPs'!$A$2:$A$154,0)),""),V561)</f>
        <v/>
      </c>
      <c r="U561" s="144"/>
      <c r="V561" s="144"/>
      <c r="W561" s="155"/>
      <c r="X561" s="155"/>
      <c r="Y561" s="144"/>
      <c r="Z561" s="159" t="str">
        <f>IF(AND(Y561&lt;&gt;"User Specified",Y561&lt;&gt;""), INDEX('Refrigerant GWPs'!$G$2:$G$154,MATCH(Y561,'Refrigerant GWPs'!$A$2:$A$154,0)),"")</f>
        <v/>
      </c>
      <c r="AA561" s="155"/>
      <c r="AB561" s="156"/>
      <c r="AC561" s="66"/>
      <c r="AD561" s="66"/>
      <c r="AE561" s="66"/>
      <c r="AF561" s="66"/>
      <c r="AG561" s="66"/>
      <c r="AH561" s="66"/>
      <c r="AI561" s="34"/>
      <c r="AJ561" s="88">
        <f t="shared" si="650"/>
        <v>0</v>
      </c>
      <c r="AK561" s="88">
        <f t="shared" si="651"/>
        <v>0</v>
      </c>
      <c r="AL561" s="88">
        <v>0</v>
      </c>
      <c r="AM561" s="88">
        <v>0</v>
      </c>
      <c r="AN561" s="81" t="str">
        <f t="shared" si="689"/>
        <v/>
      </c>
      <c r="AO561" s="88">
        <f t="shared" si="652"/>
        <v>0</v>
      </c>
      <c r="AP561" s="88">
        <f t="shared" si="653"/>
        <v>0</v>
      </c>
      <c r="AQ561" s="81" t="str">
        <f t="shared" si="654"/>
        <v/>
      </c>
      <c r="AS561" s="41" t="b">
        <f t="shared" si="655"/>
        <v>1</v>
      </c>
      <c r="AT561" s="38">
        <f t="shared" si="656"/>
        <v>0</v>
      </c>
      <c r="AU561" s="60">
        <f t="shared" si="657"/>
        <v>0</v>
      </c>
      <c r="AV561" s="41">
        <f t="shared" si="658"/>
        <v>0</v>
      </c>
      <c r="AW561" s="41" t="b">
        <f t="shared" si="659"/>
        <v>0</v>
      </c>
      <c r="AX561" t="str">
        <f t="shared" si="660"/>
        <v>+00</v>
      </c>
      <c r="AY561" t="str">
        <f t="shared" si="661"/>
        <v>+00</v>
      </c>
      <c r="BA561" s="47" t="b">
        <f t="shared" si="690"/>
        <v>1</v>
      </c>
      <c r="BB561" s="42" t="b">
        <f t="shared" si="691"/>
        <v>1</v>
      </c>
      <c r="BC561" s="42" t="b">
        <f t="shared" si="692"/>
        <v>0</v>
      </c>
      <c r="BD561" s="42" t="b">
        <f t="shared" si="693"/>
        <v>0</v>
      </c>
      <c r="BE561" s="70">
        <f t="shared" si="694"/>
        <v>0</v>
      </c>
      <c r="BF561" s="70">
        <f t="shared" si="695"/>
        <v>0</v>
      </c>
      <c r="BG561" s="34"/>
      <c r="BI561" s="47" t="b">
        <f t="shared" si="696"/>
        <v>1</v>
      </c>
      <c r="BJ561" s="47" t="b">
        <f t="shared" si="697"/>
        <v>1</v>
      </c>
      <c r="BK561" s="42" t="b">
        <f t="shared" si="698"/>
        <v>0</v>
      </c>
      <c r="BL561" s="42" t="b">
        <f t="shared" si="699"/>
        <v>0</v>
      </c>
      <c r="BM561" s="42">
        <f t="shared" si="700"/>
        <v>0</v>
      </c>
      <c r="BN561" s="42">
        <f t="shared" si="701"/>
        <v>0</v>
      </c>
      <c r="BP561" t="e">
        <f t="shared" si="702"/>
        <v>#N/A</v>
      </c>
      <c r="BQ561" t="e">
        <f t="shared" si="703"/>
        <v>#N/A</v>
      </c>
      <c r="BR561" t="e">
        <f t="shared" si="704"/>
        <v>#N/A</v>
      </c>
      <c r="BT561" s="60">
        <f t="shared" si="705"/>
        <v>0</v>
      </c>
      <c r="BU561" s="60">
        <f t="shared" si="706"/>
        <v>0</v>
      </c>
      <c r="BV561" s="60">
        <f t="shared" si="707"/>
        <v>0</v>
      </c>
      <c r="BW561" s="60">
        <f t="shared" si="708"/>
        <v>0</v>
      </c>
      <c r="BX561" s="60">
        <f t="shared" si="709"/>
        <v>0</v>
      </c>
      <c r="BY561" s="60">
        <f t="shared" si="710"/>
        <v>0</v>
      </c>
      <c r="BZ561" s="60">
        <f t="shared" si="711"/>
        <v>0</v>
      </c>
      <c r="CA561" s="60">
        <f t="shared" si="712"/>
        <v>0</v>
      </c>
      <c r="CB561" s="60" t="e">
        <f t="shared" si="662"/>
        <v>#N/A</v>
      </c>
      <c r="CC561" s="60">
        <f t="shared" si="663"/>
        <v>100000</v>
      </c>
      <c r="CD561" s="60" t="e">
        <f t="shared" si="664"/>
        <v>#N/A</v>
      </c>
      <c r="CE561" s="60">
        <f t="shared" si="665"/>
        <v>100000</v>
      </c>
      <c r="CF561" s="83" t="e">
        <f t="shared" si="713"/>
        <v>#N/A</v>
      </c>
      <c r="CG561" s="83">
        <f t="shared" si="714"/>
        <v>0</v>
      </c>
      <c r="CH561" s="83" t="e">
        <f t="shared" si="715"/>
        <v>#N/A</v>
      </c>
      <c r="CI561" s="83">
        <f t="shared" si="716"/>
        <v>0</v>
      </c>
      <c r="CJ561" s="86" t="e">
        <f t="shared" si="666"/>
        <v>#N/A</v>
      </c>
      <c r="CK561" s="82">
        <f t="shared" si="667"/>
        <v>5.3070370403969858E-3</v>
      </c>
      <c r="CL561" s="82" t="e">
        <f t="shared" si="668"/>
        <v>#N/A</v>
      </c>
      <c r="CM561" s="82">
        <f t="shared" si="669"/>
        <v>5.3070370403969858E-3</v>
      </c>
      <c r="CO561" s="149" t="str">
        <f>IF($I561&lt;&gt;"",IF(O561="User Specified",U561,INDEX('Refrigerant GWPs'!$G$2:$G$156,MATCH(O561,'Refrigerant GWPs'!$A$2:$A$156,0))),"")</f>
        <v/>
      </c>
      <c r="CP561" s="138" t="str">
        <f>IF($I561&lt;&gt;"",INDEX('Device Refrigerant Leakage'!$E$2:$E$42,MATCH($M561,'Device Refrigerant Leakage'!$B$2:$B$42,0)),"")</f>
        <v/>
      </c>
      <c r="CQ561" s="138" t="str">
        <f>IF($I561&lt;&gt;"",INDEX('Device Refrigerant Leakage'!$F$2:$F$42,MATCH($M561,'Device Refrigerant Leakage'!$B$2:$B$42,0)),"")</f>
        <v/>
      </c>
      <c r="CR561" s="145" t="str">
        <f>IF($I561&lt;&gt;"",INDEX('Device Refrigerant Leakage'!$G$2:$G$42,MATCH($M561,'Device Refrigerant Leakage'!$B$2:$B$42,0)),"")</f>
        <v/>
      </c>
      <c r="CS561" s="145" t="str">
        <f>IF($I561&lt;&gt;"",INDEX('Device Refrigerant Leakage'!$D$2:$D$42,MATCH($M561,'Device Refrigerant Leakage'!$B$2:$B$42,0))*CP561/2204.62*CO561,"")</f>
        <v/>
      </c>
      <c r="CT561" s="145" t="str">
        <f>IF($I561&lt;&gt;"",J561*(INDEX('Device Refrigerant Leakage'!$D$2:$D$42,MATCH($M561,'Device Refrigerant Leakage'!$B$2:$B$42,0))-(INDEX('Device Refrigerant Leakage'!$D$2:$D$42,MATCH($M561,'Device Refrigerant Leakage'!$B$2:$B$42,0)))*CR561*CP561)*CQ561/2204.62*CO561,"")</f>
        <v/>
      </c>
      <c r="CU561" s="135" t="str">
        <f>IF($I561&lt;&gt;"",J561*IF(W561&lt;&gt;"AR",(CS561*K561)+CT561,(CS561*AB561)+CT561*(AB561/INDEX('Device Refrigerant Leakage'!$C$2:$C$42,MATCH($M561,'Device Refrigerant Leakage'!$B$2:$B$42,0)))),"")</f>
        <v/>
      </c>
      <c r="CW561" s="135" t="str">
        <f>IF($I561&lt;&gt;"",IF(S561="User Specified",V561,INDEX('Refrigerant GWPs'!$G$2:$G$156,MATCH(S561,'Refrigerant GWPs'!$A$2:$A$157,0))),"")</f>
        <v/>
      </c>
      <c r="CX561" s="138" t="str">
        <f>IF($I561&lt;&gt;"",INDEX('Device Refrigerant Leakage'!$E$2:$E$42,MATCH($Q561,'Device Refrigerant Leakage'!$B$2:$B$42,0)),"")</f>
        <v/>
      </c>
      <c r="CY561" s="138" t="str">
        <f>IF($I561&lt;&gt;"",INDEX('Device Refrigerant Leakage'!$F$2:$F$42,MATCH($Q561,'Device Refrigerant Leakage'!$B$2:$B$42,0)),"")</f>
        <v/>
      </c>
      <c r="CZ561" s="145" t="str">
        <f>IF($I561&lt;&gt;"",INDEX('Device Refrigerant Leakage'!$G$2:$G$42,MATCH($Q561,'Device Refrigerant Leakage'!$B$2:$B$42,0)),"")</f>
        <v/>
      </c>
      <c r="DA561" s="145" t="str">
        <f>IF($I561&lt;&gt;"",J561*INDEX('Device Refrigerant Leakage'!$D$2:$D$42,MATCH($Q561,'Device Refrigerant Leakage'!$B$2:$B$42,0))*CX561/2204.62*CW561,"")</f>
        <v/>
      </c>
      <c r="DB561" s="145" t="str">
        <f>IF($I561&lt;&gt;"",J561*(INDEX('Device Refrigerant Leakage'!$D$2:$D$42,MATCH($Q561,'Device Refrigerant Leakage'!$B$2:$B$42,0))-(INDEX('Device Refrigerant Leakage'!$D$2:$D$42,MATCH($Q561,'Device Refrigerant Leakage'!$B$2:$B$42,0)))*CZ561*CX561)*CY561/2204.62*CW561,"")</f>
        <v/>
      </c>
      <c r="DC561" s="135" t="str">
        <f t="shared" si="688"/>
        <v/>
      </c>
      <c r="DE561" s="146" t="str">
        <f>IF(W561&lt;&gt;"AR","",IF(Y561="User Specified", AA561, INDEX('Refrigerant GWPs'!$G$2:$G$154,MATCH(Y561,'Refrigerant GWPs'!$A$2:$A$154,0))))</f>
        <v/>
      </c>
      <c r="DF561" s="146" t="str">
        <f>IF(W561&lt;&gt;"AR","",INDEX('Device Refrigerant Leakage'!$E$2:$E$42,MATCH(X561,'Device Refrigerant Leakage'!$B$2:$B$42,0)))</f>
        <v/>
      </c>
      <c r="DG561" s="146" t="str">
        <f>IF(W561&lt;&gt;"AR","",INDEX('Device Refrigerant Leakage'!$F$2:$F$42,MATCH(X561,'Device Refrigerant Leakage'!$B$2:$B$42,0)))</f>
        <v/>
      </c>
      <c r="DH561" s="146" t="str">
        <f>IF(W561&lt;&gt;"AR","",INDEX('Device Refrigerant Leakage'!$G$2:$G$42,MATCH(X561,'Device Refrigerant Leakage'!$B$2:$B$42,0)))</f>
        <v/>
      </c>
      <c r="DI561" s="146" t="str">
        <f>IF(W561&lt;&gt;"AR","",J561*INDEX('Device Refrigerant Leakage'!$D$2:$D$42,MATCH(X561,'Device Refrigerant Leakage'!$B$2:$B$42,0))*DF561/2204.62*DE561)</f>
        <v/>
      </c>
      <c r="DJ561" s="146" t="str">
        <f>IF(W561&lt;&gt;"AR","",J561*(INDEX('Device Refrigerant Leakage'!$D$2:$D$42,MATCH(X561,'Device Refrigerant Leakage'!$B$2:$B$42,0))-(INDEX('Device Refrigerant Leakage'!$D$2:$D$42,MATCH(X561,'Device Refrigerant Leakage'!$B$2:$B$42,0)))*DH561*DF561)*DG561/2204.62*DE561)</f>
        <v/>
      </c>
      <c r="DK561" s="146" t="str">
        <f>IF(W561&lt;&gt;"AR","",DI561*(K561-AB561)+'Fuel Sub Calcs-Deemed'!DJ561*((K561-AB561)/INDEX('Device Refrigerant Leakage'!$C$2:$C$42,MATCH('Fuel Sub Calcs-Deemed'!X561,'Device Refrigerant Leakage'!$B$2:$B$42,0))))</f>
        <v/>
      </c>
      <c r="DM561" s="56">
        <v>547</v>
      </c>
      <c r="DN561" s="67" t="e">
        <f t="shared" si="670"/>
        <v>#N/A</v>
      </c>
      <c r="DO561" s="45" t="e">
        <f t="shared" si="671"/>
        <v>#N/A</v>
      </c>
      <c r="DP561" s="67" t="e">
        <f t="shared" si="672"/>
        <v>#N/A</v>
      </c>
      <c r="DQ561" s="45" t="e">
        <f t="shared" si="673"/>
        <v>#N/A</v>
      </c>
      <c r="DR561" s="69" t="e">
        <f t="shared" si="674"/>
        <v>#N/A</v>
      </c>
      <c r="DS561" s="34"/>
      <c r="DT561" s="67" t="e">
        <f>((BX561*CJ561)+IF($W561=MAT_AR,(BZ561*CL561),0))*(1+Reference!$E$50+Reference!$E$51)</f>
        <v>#N/A</v>
      </c>
      <c r="DU561" s="67">
        <f>((BY561*CK561)+IF($W561=MAT_AR,(CA561*CM561),0))*(1+Reference!$G$50+Reference!$G$51)</f>
        <v>0</v>
      </c>
      <c r="DV561" s="67" t="e">
        <f t="shared" si="675"/>
        <v>#VALUE!</v>
      </c>
      <c r="DX561" s="56">
        <v>547</v>
      </c>
      <c r="DY561" s="67">
        <f t="shared" si="676"/>
        <v>0</v>
      </c>
      <c r="DZ561" s="45" t="e">
        <f>VLOOKUP($R561,Dropdown!$C$3:$D$4,2,FALSE)</f>
        <v>#N/A</v>
      </c>
      <c r="EA561" s="68">
        <f t="shared" si="677"/>
        <v>0</v>
      </c>
      <c r="EB561" s="68" t="str">
        <f t="shared" si="678"/>
        <v>N/A</v>
      </c>
      <c r="EC561" s="68">
        <f t="shared" si="679"/>
        <v>0</v>
      </c>
      <c r="ED561" s="68" t="str">
        <f t="shared" si="717"/>
        <v>N/A</v>
      </c>
      <c r="EF561" s="56">
        <v>547</v>
      </c>
      <c r="EG561" s="46">
        <f t="shared" si="680"/>
        <v>0</v>
      </c>
      <c r="EH561" s="68" t="e">
        <f t="shared" si="681"/>
        <v>#N/A</v>
      </c>
      <c r="EI561" s="68" t="e">
        <f t="shared" si="682"/>
        <v>#N/A</v>
      </c>
      <c r="EJ561" s="68" t="e">
        <f t="shared" si="683"/>
        <v>#N/A</v>
      </c>
      <c r="EK561" s="68" t="e">
        <f t="shared" si="684"/>
        <v>#N/A</v>
      </c>
      <c r="EL561" s="46">
        <f t="shared" si="685"/>
        <v>0</v>
      </c>
      <c r="EM561" s="46">
        <f t="shared" si="686"/>
        <v>0</v>
      </c>
    </row>
    <row r="562" spans="1:143">
      <c r="A562" s="89"/>
      <c r="B562" s="89"/>
      <c r="C562" s="89"/>
      <c r="D562" s="89"/>
      <c r="E562" s="89"/>
      <c r="F562" s="89"/>
      <c r="G562" s="34"/>
      <c r="H562" s="56">
        <f t="shared" si="687"/>
        <v>548</v>
      </c>
      <c r="I562" s="165"/>
      <c r="J562" s="163"/>
      <c r="K562" s="163"/>
      <c r="L562" s="164"/>
      <c r="M562" s="155"/>
      <c r="N562" s="155"/>
      <c r="O562" s="144"/>
      <c r="P562" s="159" t="str">
        <f>IFERROR(IF(O562&lt;&gt;"User Specified",IF(O562&lt;&gt;"", INDEX('Refrigerant GWPs'!$G$2:$G$154,MATCH(O562,'Refrigerant GWPs'!$A$2:$A$154,0)),""),U562),0)</f>
        <v/>
      </c>
      <c r="Q562" s="155"/>
      <c r="R562" s="155"/>
      <c r="S562" s="144"/>
      <c r="T562" s="159" t="str">
        <f>IF(S562&lt;&gt;"User Specified",IF(AND(S562&lt;&gt;"User Specified",S562&lt;&gt;""), INDEX('Refrigerant GWPs'!$G$2:$G$154,MATCH(S562,'Refrigerant GWPs'!$A$2:$A$154,0)),""),V562)</f>
        <v/>
      </c>
      <c r="U562" s="144"/>
      <c r="V562" s="144"/>
      <c r="W562" s="155"/>
      <c r="X562" s="155"/>
      <c r="Y562" s="144"/>
      <c r="Z562" s="159" t="str">
        <f>IF(AND(Y562&lt;&gt;"User Specified",Y562&lt;&gt;""), INDEX('Refrigerant GWPs'!$G$2:$G$154,MATCH(Y562,'Refrigerant GWPs'!$A$2:$A$154,0)),"")</f>
        <v/>
      </c>
      <c r="AA562" s="155"/>
      <c r="AB562" s="156"/>
      <c r="AC562" s="66"/>
      <c r="AD562" s="66"/>
      <c r="AE562" s="66"/>
      <c r="AF562" s="66"/>
      <c r="AG562" s="66"/>
      <c r="AH562" s="66"/>
      <c r="AI562" s="34"/>
      <c r="AJ562" s="88">
        <f t="shared" si="650"/>
        <v>0</v>
      </c>
      <c r="AK562" s="88">
        <f t="shared" si="651"/>
        <v>0</v>
      </c>
      <c r="AL562" s="88">
        <v>0</v>
      </c>
      <c r="AM562" s="88">
        <v>0</v>
      </c>
      <c r="AN562" s="81" t="str">
        <f t="shared" si="689"/>
        <v/>
      </c>
      <c r="AO562" s="88">
        <f t="shared" si="652"/>
        <v>0</v>
      </c>
      <c r="AP562" s="88">
        <f t="shared" si="653"/>
        <v>0</v>
      </c>
      <c r="AQ562" s="81" t="str">
        <f t="shared" si="654"/>
        <v/>
      </c>
      <c r="AS562" s="41" t="b">
        <f t="shared" si="655"/>
        <v>1</v>
      </c>
      <c r="AT562" s="38">
        <f t="shared" si="656"/>
        <v>0</v>
      </c>
      <c r="AU562" s="60">
        <f t="shared" si="657"/>
        <v>0</v>
      </c>
      <c r="AV562" s="41">
        <f t="shared" si="658"/>
        <v>0</v>
      </c>
      <c r="AW562" s="41" t="b">
        <f t="shared" si="659"/>
        <v>0</v>
      </c>
      <c r="AX562" t="str">
        <f t="shared" si="660"/>
        <v>+00</v>
      </c>
      <c r="AY562" t="str">
        <f t="shared" si="661"/>
        <v>+00</v>
      </c>
      <c r="BA562" s="47" t="b">
        <f t="shared" si="690"/>
        <v>1</v>
      </c>
      <c r="BB562" s="42" t="b">
        <f t="shared" si="691"/>
        <v>1</v>
      </c>
      <c r="BC562" s="42" t="b">
        <f t="shared" si="692"/>
        <v>0</v>
      </c>
      <c r="BD562" s="42" t="b">
        <f t="shared" si="693"/>
        <v>0</v>
      </c>
      <c r="BE562" s="70">
        <f t="shared" si="694"/>
        <v>0</v>
      </c>
      <c r="BF562" s="70">
        <f t="shared" si="695"/>
        <v>0</v>
      </c>
      <c r="BG562" s="34"/>
      <c r="BI562" s="47" t="b">
        <f t="shared" si="696"/>
        <v>1</v>
      </c>
      <c r="BJ562" s="47" t="b">
        <f t="shared" si="697"/>
        <v>1</v>
      </c>
      <c r="BK562" s="42" t="b">
        <f t="shared" si="698"/>
        <v>0</v>
      </c>
      <c r="BL562" s="42" t="b">
        <f t="shared" si="699"/>
        <v>0</v>
      </c>
      <c r="BM562" s="42">
        <f t="shared" si="700"/>
        <v>0</v>
      </c>
      <c r="BN562" s="42">
        <f t="shared" si="701"/>
        <v>0</v>
      </c>
      <c r="BP562" t="e">
        <f t="shared" si="702"/>
        <v>#N/A</v>
      </c>
      <c r="BQ562" t="e">
        <f t="shared" si="703"/>
        <v>#N/A</v>
      </c>
      <c r="BR562" t="e">
        <f t="shared" si="704"/>
        <v>#N/A</v>
      </c>
      <c r="BT562" s="60">
        <f t="shared" si="705"/>
        <v>0</v>
      </c>
      <c r="BU562" s="60">
        <f t="shared" si="706"/>
        <v>0</v>
      </c>
      <c r="BV562" s="60">
        <f t="shared" si="707"/>
        <v>0</v>
      </c>
      <c r="BW562" s="60">
        <f t="shared" si="708"/>
        <v>0</v>
      </c>
      <c r="BX562" s="60">
        <f t="shared" si="709"/>
        <v>0</v>
      </c>
      <c r="BY562" s="60">
        <f t="shared" si="710"/>
        <v>0</v>
      </c>
      <c r="BZ562" s="60">
        <f t="shared" si="711"/>
        <v>0</v>
      </c>
      <c r="CA562" s="60">
        <f t="shared" si="712"/>
        <v>0</v>
      </c>
      <c r="CB562" s="60" t="e">
        <f t="shared" si="662"/>
        <v>#N/A</v>
      </c>
      <c r="CC562" s="60">
        <f t="shared" si="663"/>
        <v>100000</v>
      </c>
      <c r="CD562" s="60" t="e">
        <f t="shared" si="664"/>
        <v>#N/A</v>
      </c>
      <c r="CE562" s="60">
        <f t="shared" si="665"/>
        <v>100000</v>
      </c>
      <c r="CF562" s="83" t="e">
        <f t="shared" si="713"/>
        <v>#N/A</v>
      </c>
      <c r="CG562" s="83">
        <f t="shared" si="714"/>
        <v>0</v>
      </c>
      <c r="CH562" s="83" t="e">
        <f t="shared" si="715"/>
        <v>#N/A</v>
      </c>
      <c r="CI562" s="83">
        <f t="shared" si="716"/>
        <v>0</v>
      </c>
      <c r="CJ562" s="86" t="e">
        <f t="shared" si="666"/>
        <v>#N/A</v>
      </c>
      <c r="CK562" s="82">
        <f t="shared" si="667"/>
        <v>5.3070370403969858E-3</v>
      </c>
      <c r="CL562" s="82" t="e">
        <f t="shared" si="668"/>
        <v>#N/A</v>
      </c>
      <c r="CM562" s="82">
        <f t="shared" si="669"/>
        <v>5.3070370403969858E-3</v>
      </c>
      <c r="CO562" s="149" t="str">
        <f>IF($I562&lt;&gt;"",IF(O562="User Specified",U562,INDEX('Refrigerant GWPs'!$G$2:$G$156,MATCH(O562,'Refrigerant GWPs'!$A$2:$A$156,0))),"")</f>
        <v/>
      </c>
      <c r="CP562" s="138" t="str">
        <f>IF($I562&lt;&gt;"",INDEX('Device Refrigerant Leakage'!$E$2:$E$42,MATCH($M562,'Device Refrigerant Leakage'!$B$2:$B$42,0)),"")</f>
        <v/>
      </c>
      <c r="CQ562" s="138" t="str">
        <f>IF($I562&lt;&gt;"",INDEX('Device Refrigerant Leakage'!$F$2:$F$42,MATCH($M562,'Device Refrigerant Leakage'!$B$2:$B$42,0)),"")</f>
        <v/>
      </c>
      <c r="CR562" s="145" t="str">
        <f>IF($I562&lt;&gt;"",INDEX('Device Refrigerant Leakage'!$G$2:$G$42,MATCH($M562,'Device Refrigerant Leakage'!$B$2:$B$42,0)),"")</f>
        <v/>
      </c>
      <c r="CS562" s="145" t="str">
        <f>IF($I562&lt;&gt;"",INDEX('Device Refrigerant Leakage'!$D$2:$D$42,MATCH($M562,'Device Refrigerant Leakage'!$B$2:$B$42,0))*CP562/2204.62*CO562,"")</f>
        <v/>
      </c>
      <c r="CT562" s="145" t="str">
        <f>IF($I562&lt;&gt;"",J562*(INDEX('Device Refrigerant Leakage'!$D$2:$D$42,MATCH($M562,'Device Refrigerant Leakage'!$B$2:$B$42,0))-(INDEX('Device Refrigerant Leakage'!$D$2:$D$42,MATCH($M562,'Device Refrigerant Leakage'!$B$2:$B$42,0)))*CR562*CP562)*CQ562/2204.62*CO562,"")</f>
        <v/>
      </c>
      <c r="CU562" s="135" t="str">
        <f>IF($I562&lt;&gt;"",J562*IF(W562&lt;&gt;"AR",(CS562*K562)+CT562,(CS562*AB562)+CT562*(AB562/INDEX('Device Refrigerant Leakage'!$C$2:$C$42,MATCH($M562,'Device Refrigerant Leakage'!$B$2:$B$42,0)))),"")</f>
        <v/>
      </c>
      <c r="CW562" s="135" t="str">
        <f>IF($I562&lt;&gt;"",IF(S562="User Specified",V562,INDEX('Refrigerant GWPs'!$G$2:$G$156,MATCH(S562,'Refrigerant GWPs'!$A$2:$A$157,0))),"")</f>
        <v/>
      </c>
      <c r="CX562" s="138" t="str">
        <f>IF($I562&lt;&gt;"",INDEX('Device Refrigerant Leakage'!$E$2:$E$42,MATCH($Q562,'Device Refrigerant Leakage'!$B$2:$B$42,0)),"")</f>
        <v/>
      </c>
      <c r="CY562" s="138" t="str">
        <f>IF($I562&lt;&gt;"",INDEX('Device Refrigerant Leakage'!$F$2:$F$42,MATCH($Q562,'Device Refrigerant Leakage'!$B$2:$B$42,0)),"")</f>
        <v/>
      </c>
      <c r="CZ562" s="145" t="str">
        <f>IF($I562&lt;&gt;"",INDEX('Device Refrigerant Leakage'!$G$2:$G$42,MATCH($Q562,'Device Refrigerant Leakage'!$B$2:$B$42,0)),"")</f>
        <v/>
      </c>
      <c r="DA562" s="145" t="str">
        <f>IF($I562&lt;&gt;"",J562*INDEX('Device Refrigerant Leakage'!$D$2:$D$42,MATCH($Q562,'Device Refrigerant Leakage'!$B$2:$B$42,0))*CX562/2204.62*CW562,"")</f>
        <v/>
      </c>
      <c r="DB562" s="145" t="str">
        <f>IF($I562&lt;&gt;"",J562*(INDEX('Device Refrigerant Leakage'!$D$2:$D$42,MATCH($Q562,'Device Refrigerant Leakage'!$B$2:$B$42,0))-(INDEX('Device Refrigerant Leakage'!$D$2:$D$42,MATCH($Q562,'Device Refrigerant Leakage'!$B$2:$B$42,0)))*CZ562*CX562)*CY562/2204.62*CW562,"")</f>
        <v/>
      </c>
      <c r="DC562" s="135" t="str">
        <f t="shared" si="688"/>
        <v/>
      </c>
      <c r="DE562" s="146" t="str">
        <f>IF(W562&lt;&gt;"AR","",IF(Y562="User Specified", AA562, INDEX('Refrigerant GWPs'!$G$2:$G$154,MATCH(Y562,'Refrigerant GWPs'!$A$2:$A$154,0))))</f>
        <v/>
      </c>
      <c r="DF562" s="146" t="str">
        <f>IF(W562&lt;&gt;"AR","",INDEX('Device Refrigerant Leakage'!$E$2:$E$42,MATCH(X562,'Device Refrigerant Leakage'!$B$2:$B$42,0)))</f>
        <v/>
      </c>
      <c r="DG562" s="146" t="str">
        <f>IF(W562&lt;&gt;"AR","",INDEX('Device Refrigerant Leakage'!$F$2:$F$42,MATCH(X562,'Device Refrigerant Leakage'!$B$2:$B$42,0)))</f>
        <v/>
      </c>
      <c r="DH562" s="146" t="str">
        <f>IF(W562&lt;&gt;"AR","",INDEX('Device Refrigerant Leakage'!$G$2:$G$42,MATCH(X562,'Device Refrigerant Leakage'!$B$2:$B$42,0)))</f>
        <v/>
      </c>
      <c r="DI562" s="146" t="str">
        <f>IF(W562&lt;&gt;"AR","",J562*INDEX('Device Refrigerant Leakage'!$D$2:$D$42,MATCH(X562,'Device Refrigerant Leakage'!$B$2:$B$42,0))*DF562/2204.62*DE562)</f>
        <v/>
      </c>
      <c r="DJ562" s="146" t="str">
        <f>IF(W562&lt;&gt;"AR","",J562*(INDEX('Device Refrigerant Leakage'!$D$2:$D$42,MATCH(X562,'Device Refrigerant Leakage'!$B$2:$B$42,0))-(INDEX('Device Refrigerant Leakage'!$D$2:$D$42,MATCH(X562,'Device Refrigerant Leakage'!$B$2:$B$42,0)))*DH562*DF562)*DG562/2204.62*DE562)</f>
        <v/>
      </c>
      <c r="DK562" s="146" t="str">
        <f>IF(W562&lt;&gt;"AR","",DI562*(K562-AB562)+'Fuel Sub Calcs-Deemed'!DJ562*((K562-AB562)/INDEX('Device Refrigerant Leakage'!$C$2:$C$42,MATCH('Fuel Sub Calcs-Deemed'!X562,'Device Refrigerant Leakage'!$B$2:$B$42,0))))</f>
        <v/>
      </c>
      <c r="DM562" s="56">
        <v>548</v>
      </c>
      <c r="DN562" s="67" t="e">
        <f t="shared" si="670"/>
        <v>#N/A</v>
      </c>
      <c r="DO562" s="45" t="e">
        <f t="shared" si="671"/>
        <v>#N/A</v>
      </c>
      <c r="DP562" s="67" t="e">
        <f t="shared" si="672"/>
        <v>#N/A</v>
      </c>
      <c r="DQ562" s="45" t="e">
        <f t="shared" si="673"/>
        <v>#N/A</v>
      </c>
      <c r="DR562" s="69" t="e">
        <f t="shared" si="674"/>
        <v>#N/A</v>
      </c>
      <c r="DS562" s="34"/>
      <c r="DT562" s="67" t="e">
        <f>((BX562*CJ562)+IF($W562=MAT_AR,(BZ562*CL562),0))*(1+Reference!$E$50+Reference!$E$51)</f>
        <v>#N/A</v>
      </c>
      <c r="DU562" s="67">
        <f>((BY562*CK562)+IF($W562=MAT_AR,(CA562*CM562),0))*(1+Reference!$G$50+Reference!$G$51)</f>
        <v>0</v>
      </c>
      <c r="DV562" s="67" t="e">
        <f t="shared" si="675"/>
        <v>#VALUE!</v>
      </c>
      <c r="DX562" s="56">
        <v>548</v>
      </c>
      <c r="DY562" s="67">
        <f t="shared" si="676"/>
        <v>0</v>
      </c>
      <c r="DZ562" s="45" t="e">
        <f>VLOOKUP($R562,Dropdown!$C$3:$D$4,2,FALSE)</f>
        <v>#N/A</v>
      </c>
      <c r="EA562" s="68">
        <f t="shared" si="677"/>
        <v>0</v>
      </c>
      <c r="EB562" s="68" t="str">
        <f t="shared" si="678"/>
        <v>N/A</v>
      </c>
      <c r="EC562" s="68">
        <f t="shared" si="679"/>
        <v>0</v>
      </c>
      <c r="ED562" s="68" t="str">
        <f t="shared" si="717"/>
        <v>N/A</v>
      </c>
      <c r="EF562" s="56">
        <v>548</v>
      </c>
      <c r="EG562" s="46">
        <f t="shared" si="680"/>
        <v>0</v>
      </c>
      <c r="EH562" s="68" t="e">
        <f t="shared" si="681"/>
        <v>#N/A</v>
      </c>
      <c r="EI562" s="68" t="e">
        <f t="shared" si="682"/>
        <v>#N/A</v>
      </c>
      <c r="EJ562" s="68" t="e">
        <f t="shared" si="683"/>
        <v>#N/A</v>
      </c>
      <c r="EK562" s="68" t="e">
        <f t="shared" si="684"/>
        <v>#N/A</v>
      </c>
      <c r="EL562" s="46">
        <f t="shared" si="685"/>
        <v>0</v>
      </c>
      <c r="EM562" s="46">
        <f t="shared" si="686"/>
        <v>0</v>
      </c>
    </row>
    <row r="563" spans="1:143">
      <c r="A563" s="89"/>
      <c r="B563" s="89"/>
      <c r="C563" s="89"/>
      <c r="D563" s="89"/>
      <c r="E563" s="89"/>
      <c r="F563" s="89"/>
      <c r="G563" s="34"/>
      <c r="H563" s="56">
        <f t="shared" si="687"/>
        <v>549</v>
      </c>
      <c r="I563" s="165"/>
      <c r="J563" s="163"/>
      <c r="K563" s="163"/>
      <c r="L563" s="164"/>
      <c r="M563" s="155"/>
      <c r="N563" s="155"/>
      <c r="O563" s="144"/>
      <c r="P563" s="159" t="str">
        <f>IFERROR(IF(O563&lt;&gt;"User Specified",IF(O563&lt;&gt;"", INDEX('Refrigerant GWPs'!$G$2:$G$154,MATCH(O563,'Refrigerant GWPs'!$A$2:$A$154,0)),""),U563),0)</f>
        <v/>
      </c>
      <c r="Q563" s="155"/>
      <c r="R563" s="155"/>
      <c r="S563" s="144"/>
      <c r="T563" s="159" t="str">
        <f>IF(S563&lt;&gt;"User Specified",IF(AND(S563&lt;&gt;"User Specified",S563&lt;&gt;""), INDEX('Refrigerant GWPs'!$G$2:$G$154,MATCH(S563,'Refrigerant GWPs'!$A$2:$A$154,0)),""),V563)</f>
        <v/>
      </c>
      <c r="U563" s="144"/>
      <c r="V563" s="144"/>
      <c r="W563" s="155"/>
      <c r="X563" s="155"/>
      <c r="Y563" s="144"/>
      <c r="Z563" s="159" t="str">
        <f>IF(AND(Y563&lt;&gt;"User Specified",Y563&lt;&gt;""), INDEX('Refrigerant GWPs'!$G$2:$G$154,MATCH(Y563,'Refrigerant GWPs'!$A$2:$A$154,0)),"")</f>
        <v/>
      </c>
      <c r="AA563" s="155"/>
      <c r="AB563" s="156"/>
      <c r="AC563" s="66"/>
      <c r="AD563" s="66"/>
      <c r="AE563" s="66"/>
      <c r="AF563" s="66"/>
      <c r="AG563" s="66"/>
      <c r="AH563" s="66"/>
      <c r="AI563" s="34"/>
      <c r="AJ563" s="88">
        <f t="shared" si="650"/>
        <v>0</v>
      </c>
      <c r="AK563" s="88">
        <f t="shared" si="651"/>
        <v>0</v>
      </c>
      <c r="AL563" s="88">
        <v>0</v>
      </c>
      <c r="AM563" s="88">
        <v>0</v>
      </c>
      <c r="AN563" s="81" t="str">
        <f t="shared" si="689"/>
        <v/>
      </c>
      <c r="AO563" s="88">
        <f t="shared" si="652"/>
        <v>0</v>
      </c>
      <c r="AP563" s="88">
        <f t="shared" si="653"/>
        <v>0</v>
      </c>
      <c r="AQ563" s="81" t="str">
        <f t="shared" si="654"/>
        <v/>
      </c>
      <c r="AS563" s="41" t="b">
        <f t="shared" si="655"/>
        <v>1</v>
      </c>
      <c r="AT563" s="38">
        <f t="shared" si="656"/>
        <v>0</v>
      </c>
      <c r="AU563" s="60">
        <f t="shared" si="657"/>
        <v>0</v>
      </c>
      <c r="AV563" s="41">
        <f t="shared" si="658"/>
        <v>0</v>
      </c>
      <c r="AW563" s="41" t="b">
        <f t="shared" si="659"/>
        <v>0</v>
      </c>
      <c r="AX563" t="str">
        <f t="shared" si="660"/>
        <v>+00</v>
      </c>
      <c r="AY563" t="str">
        <f t="shared" si="661"/>
        <v>+00</v>
      </c>
      <c r="BA563" s="47" t="b">
        <f t="shared" si="690"/>
        <v>1</v>
      </c>
      <c r="BB563" s="42" t="b">
        <f t="shared" si="691"/>
        <v>1</v>
      </c>
      <c r="BC563" s="42" t="b">
        <f t="shared" si="692"/>
        <v>0</v>
      </c>
      <c r="BD563" s="42" t="b">
        <f t="shared" si="693"/>
        <v>0</v>
      </c>
      <c r="BE563" s="70">
        <f t="shared" si="694"/>
        <v>0</v>
      </c>
      <c r="BF563" s="70">
        <f t="shared" si="695"/>
        <v>0</v>
      </c>
      <c r="BG563" s="34"/>
      <c r="BI563" s="47" t="b">
        <f t="shared" si="696"/>
        <v>1</v>
      </c>
      <c r="BJ563" s="47" t="b">
        <f t="shared" si="697"/>
        <v>1</v>
      </c>
      <c r="BK563" s="42" t="b">
        <f t="shared" si="698"/>
        <v>0</v>
      </c>
      <c r="BL563" s="42" t="b">
        <f t="shared" si="699"/>
        <v>0</v>
      </c>
      <c r="BM563" s="42">
        <f t="shared" si="700"/>
        <v>0</v>
      </c>
      <c r="BN563" s="42">
        <f t="shared" si="701"/>
        <v>0</v>
      </c>
      <c r="BP563" t="e">
        <f t="shared" si="702"/>
        <v>#N/A</v>
      </c>
      <c r="BQ563" t="e">
        <f t="shared" si="703"/>
        <v>#N/A</v>
      </c>
      <c r="BR563" t="e">
        <f t="shared" si="704"/>
        <v>#N/A</v>
      </c>
      <c r="BT563" s="60">
        <f t="shared" si="705"/>
        <v>0</v>
      </c>
      <c r="BU563" s="60">
        <f t="shared" si="706"/>
        <v>0</v>
      </c>
      <c r="BV563" s="60">
        <f t="shared" si="707"/>
        <v>0</v>
      </c>
      <c r="BW563" s="60">
        <f t="shared" si="708"/>
        <v>0</v>
      </c>
      <c r="BX563" s="60">
        <f t="shared" si="709"/>
        <v>0</v>
      </c>
      <c r="BY563" s="60">
        <f t="shared" si="710"/>
        <v>0</v>
      </c>
      <c r="BZ563" s="60">
        <f t="shared" si="711"/>
        <v>0</v>
      </c>
      <c r="CA563" s="60">
        <f t="shared" si="712"/>
        <v>0</v>
      </c>
      <c r="CB563" s="60" t="e">
        <f t="shared" si="662"/>
        <v>#N/A</v>
      </c>
      <c r="CC563" s="60">
        <f t="shared" si="663"/>
        <v>100000</v>
      </c>
      <c r="CD563" s="60" t="e">
        <f t="shared" si="664"/>
        <v>#N/A</v>
      </c>
      <c r="CE563" s="60">
        <f t="shared" si="665"/>
        <v>100000</v>
      </c>
      <c r="CF563" s="83" t="e">
        <f t="shared" si="713"/>
        <v>#N/A</v>
      </c>
      <c r="CG563" s="83">
        <f t="shared" si="714"/>
        <v>0</v>
      </c>
      <c r="CH563" s="83" t="e">
        <f t="shared" si="715"/>
        <v>#N/A</v>
      </c>
      <c r="CI563" s="83">
        <f t="shared" si="716"/>
        <v>0</v>
      </c>
      <c r="CJ563" s="86" t="e">
        <f t="shared" si="666"/>
        <v>#N/A</v>
      </c>
      <c r="CK563" s="82">
        <f t="shared" si="667"/>
        <v>5.3070370403969858E-3</v>
      </c>
      <c r="CL563" s="82" t="e">
        <f t="shared" si="668"/>
        <v>#N/A</v>
      </c>
      <c r="CM563" s="82">
        <f t="shared" si="669"/>
        <v>5.3070370403969858E-3</v>
      </c>
      <c r="CO563" s="149" t="str">
        <f>IF($I563&lt;&gt;"",IF(O563="User Specified",U563,INDEX('Refrigerant GWPs'!$G$2:$G$156,MATCH(O563,'Refrigerant GWPs'!$A$2:$A$156,0))),"")</f>
        <v/>
      </c>
      <c r="CP563" s="138" t="str">
        <f>IF($I563&lt;&gt;"",INDEX('Device Refrigerant Leakage'!$E$2:$E$42,MATCH($M563,'Device Refrigerant Leakage'!$B$2:$B$42,0)),"")</f>
        <v/>
      </c>
      <c r="CQ563" s="138" t="str">
        <f>IF($I563&lt;&gt;"",INDEX('Device Refrigerant Leakage'!$F$2:$F$42,MATCH($M563,'Device Refrigerant Leakage'!$B$2:$B$42,0)),"")</f>
        <v/>
      </c>
      <c r="CR563" s="145" t="str">
        <f>IF($I563&lt;&gt;"",INDEX('Device Refrigerant Leakage'!$G$2:$G$42,MATCH($M563,'Device Refrigerant Leakage'!$B$2:$B$42,0)),"")</f>
        <v/>
      </c>
      <c r="CS563" s="145" t="str">
        <f>IF($I563&lt;&gt;"",INDEX('Device Refrigerant Leakage'!$D$2:$D$42,MATCH($M563,'Device Refrigerant Leakage'!$B$2:$B$42,0))*CP563/2204.62*CO563,"")</f>
        <v/>
      </c>
      <c r="CT563" s="145" t="str">
        <f>IF($I563&lt;&gt;"",J563*(INDEX('Device Refrigerant Leakage'!$D$2:$D$42,MATCH($M563,'Device Refrigerant Leakage'!$B$2:$B$42,0))-(INDEX('Device Refrigerant Leakage'!$D$2:$D$42,MATCH($M563,'Device Refrigerant Leakage'!$B$2:$B$42,0)))*CR563*CP563)*CQ563/2204.62*CO563,"")</f>
        <v/>
      </c>
      <c r="CU563" s="135" t="str">
        <f>IF($I563&lt;&gt;"",J563*IF(W563&lt;&gt;"AR",(CS563*K563)+CT563,(CS563*AB563)+CT563*(AB563/INDEX('Device Refrigerant Leakage'!$C$2:$C$42,MATCH($M563,'Device Refrigerant Leakage'!$B$2:$B$42,0)))),"")</f>
        <v/>
      </c>
      <c r="CW563" s="135" t="str">
        <f>IF($I563&lt;&gt;"",IF(S563="User Specified",V563,INDEX('Refrigerant GWPs'!$G$2:$G$156,MATCH(S563,'Refrigerant GWPs'!$A$2:$A$157,0))),"")</f>
        <v/>
      </c>
      <c r="CX563" s="138" t="str">
        <f>IF($I563&lt;&gt;"",INDEX('Device Refrigerant Leakage'!$E$2:$E$42,MATCH($Q563,'Device Refrigerant Leakage'!$B$2:$B$42,0)),"")</f>
        <v/>
      </c>
      <c r="CY563" s="138" t="str">
        <f>IF($I563&lt;&gt;"",INDEX('Device Refrigerant Leakage'!$F$2:$F$42,MATCH($Q563,'Device Refrigerant Leakage'!$B$2:$B$42,0)),"")</f>
        <v/>
      </c>
      <c r="CZ563" s="145" t="str">
        <f>IF($I563&lt;&gt;"",INDEX('Device Refrigerant Leakage'!$G$2:$G$42,MATCH($Q563,'Device Refrigerant Leakage'!$B$2:$B$42,0)),"")</f>
        <v/>
      </c>
      <c r="DA563" s="145" t="str">
        <f>IF($I563&lt;&gt;"",J563*INDEX('Device Refrigerant Leakage'!$D$2:$D$42,MATCH($Q563,'Device Refrigerant Leakage'!$B$2:$B$42,0))*CX563/2204.62*CW563,"")</f>
        <v/>
      </c>
      <c r="DB563" s="145" t="str">
        <f>IF($I563&lt;&gt;"",J563*(INDEX('Device Refrigerant Leakage'!$D$2:$D$42,MATCH($Q563,'Device Refrigerant Leakage'!$B$2:$B$42,0))-(INDEX('Device Refrigerant Leakage'!$D$2:$D$42,MATCH($Q563,'Device Refrigerant Leakage'!$B$2:$B$42,0)))*CZ563*CX563)*CY563/2204.62*CW563,"")</f>
        <v/>
      </c>
      <c r="DC563" s="135" t="str">
        <f t="shared" si="688"/>
        <v/>
      </c>
      <c r="DE563" s="146" t="str">
        <f>IF(W563&lt;&gt;"AR","",IF(Y563="User Specified", AA563, INDEX('Refrigerant GWPs'!$G$2:$G$154,MATCH(Y563,'Refrigerant GWPs'!$A$2:$A$154,0))))</f>
        <v/>
      </c>
      <c r="DF563" s="146" t="str">
        <f>IF(W563&lt;&gt;"AR","",INDEX('Device Refrigerant Leakage'!$E$2:$E$42,MATCH(X563,'Device Refrigerant Leakage'!$B$2:$B$42,0)))</f>
        <v/>
      </c>
      <c r="DG563" s="146" t="str">
        <f>IF(W563&lt;&gt;"AR","",INDEX('Device Refrigerant Leakage'!$F$2:$F$42,MATCH(X563,'Device Refrigerant Leakage'!$B$2:$B$42,0)))</f>
        <v/>
      </c>
      <c r="DH563" s="146" t="str">
        <f>IF(W563&lt;&gt;"AR","",INDEX('Device Refrigerant Leakage'!$G$2:$G$42,MATCH(X563,'Device Refrigerant Leakage'!$B$2:$B$42,0)))</f>
        <v/>
      </c>
      <c r="DI563" s="146" t="str">
        <f>IF(W563&lt;&gt;"AR","",J563*INDEX('Device Refrigerant Leakage'!$D$2:$D$42,MATCH(X563,'Device Refrigerant Leakage'!$B$2:$B$42,0))*DF563/2204.62*DE563)</f>
        <v/>
      </c>
      <c r="DJ563" s="146" t="str">
        <f>IF(W563&lt;&gt;"AR","",J563*(INDEX('Device Refrigerant Leakage'!$D$2:$D$42,MATCH(X563,'Device Refrigerant Leakage'!$B$2:$B$42,0))-(INDEX('Device Refrigerant Leakage'!$D$2:$D$42,MATCH(X563,'Device Refrigerant Leakage'!$B$2:$B$42,0)))*DH563*DF563)*DG563/2204.62*DE563)</f>
        <v/>
      </c>
      <c r="DK563" s="146" t="str">
        <f>IF(W563&lt;&gt;"AR","",DI563*(K563-AB563)+'Fuel Sub Calcs-Deemed'!DJ563*((K563-AB563)/INDEX('Device Refrigerant Leakage'!$C$2:$C$42,MATCH('Fuel Sub Calcs-Deemed'!X563,'Device Refrigerant Leakage'!$B$2:$B$42,0))))</f>
        <v/>
      </c>
      <c r="DM563" s="56">
        <v>549</v>
      </c>
      <c r="DN563" s="67" t="e">
        <f t="shared" si="670"/>
        <v>#N/A</v>
      </c>
      <c r="DO563" s="45" t="e">
        <f t="shared" si="671"/>
        <v>#N/A</v>
      </c>
      <c r="DP563" s="67" t="e">
        <f t="shared" si="672"/>
        <v>#N/A</v>
      </c>
      <c r="DQ563" s="45" t="e">
        <f t="shared" si="673"/>
        <v>#N/A</v>
      </c>
      <c r="DR563" s="69" t="e">
        <f t="shared" si="674"/>
        <v>#N/A</v>
      </c>
      <c r="DS563" s="34"/>
      <c r="DT563" s="67" t="e">
        <f>((BX563*CJ563)+IF($W563=MAT_AR,(BZ563*CL563),0))*(1+Reference!$E$50+Reference!$E$51)</f>
        <v>#N/A</v>
      </c>
      <c r="DU563" s="67">
        <f>((BY563*CK563)+IF($W563=MAT_AR,(CA563*CM563),0))*(1+Reference!$G$50+Reference!$G$51)</f>
        <v>0</v>
      </c>
      <c r="DV563" s="67" t="e">
        <f t="shared" si="675"/>
        <v>#VALUE!</v>
      </c>
      <c r="DX563" s="56">
        <v>549</v>
      </c>
      <c r="DY563" s="67">
        <f t="shared" si="676"/>
        <v>0</v>
      </c>
      <c r="DZ563" s="45" t="e">
        <f>VLOOKUP($R563,Dropdown!$C$3:$D$4,2,FALSE)</f>
        <v>#N/A</v>
      </c>
      <c r="EA563" s="68">
        <f t="shared" si="677"/>
        <v>0</v>
      </c>
      <c r="EB563" s="68" t="str">
        <f t="shared" si="678"/>
        <v>N/A</v>
      </c>
      <c r="EC563" s="68">
        <f t="shared" si="679"/>
        <v>0</v>
      </c>
      <c r="ED563" s="68" t="str">
        <f t="shared" si="717"/>
        <v>N/A</v>
      </c>
      <c r="EF563" s="56">
        <v>549</v>
      </c>
      <c r="EG563" s="46">
        <f t="shared" si="680"/>
        <v>0</v>
      </c>
      <c r="EH563" s="68" t="e">
        <f t="shared" si="681"/>
        <v>#N/A</v>
      </c>
      <c r="EI563" s="68" t="e">
        <f t="shared" si="682"/>
        <v>#N/A</v>
      </c>
      <c r="EJ563" s="68" t="e">
        <f t="shared" si="683"/>
        <v>#N/A</v>
      </c>
      <c r="EK563" s="68" t="e">
        <f t="shared" si="684"/>
        <v>#N/A</v>
      </c>
      <c r="EL563" s="46">
        <f t="shared" si="685"/>
        <v>0</v>
      </c>
      <c r="EM563" s="46">
        <f t="shared" si="686"/>
        <v>0</v>
      </c>
    </row>
    <row r="564" spans="1:143">
      <c r="A564" s="89"/>
      <c r="B564" s="89"/>
      <c r="C564" s="89"/>
      <c r="D564" s="89"/>
      <c r="E564" s="89"/>
      <c r="F564" s="89"/>
      <c r="G564" s="34"/>
      <c r="H564" s="56">
        <f t="shared" si="687"/>
        <v>550</v>
      </c>
      <c r="I564" s="165"/>
      <c r="J564" s="163"/>
      <c r="K564" s="163"/>
      <c r="L564" s="164"/>
      <c r="M564" s="155"/>
      <c r="N564" s="155"/>
      <c r="O564" s="144"/>
      <c r="P564" s="159" t="str">
        <f>IFERROR(IF(O564&lt;&gt;"User Specified",IF(O564&lt;&gt;"", INDEX('Refrigerant GWPs'!$G$2:$G$154,MATCH(O564,'Refrigerant GWPs'!$A$2:$A$154,0)),""),U564),0)</f>
        <v/>
      </c>
      <c r="Q564" s="155"/>
      <c r="R564" s="155"/>
      <c r="S564" s="144"/>
      <c r="T564" s="159" t="str">
        <f>IF(S564&lt;&gt;"User Specified",IF(AND(S564&lt;&gt;"User Specified",S564&lt;&gt;""), INDEX('Refrigerant GWPs'!$G$2:$G$154,MATCH(S564,'Refrigerant GWPs'!$A$2:$A$154,0)),""),V564)</f>
        <v/>
      </c>
      <c r="U564" s="144"/>
      <c r="V564" s="144"/>
      <c r="W564" s="155"/>
      <c r="X564" s="155"/>
      <c r="Y564" s="144"/>
      <c r="Z564" s="159" t="str">
        <f>IF(AND(Y564&lt;&gt;"User Specified",Y564&lt;&gt;""), INDEX('Refrigerant GWPs'!$G$2:$G$154,MATCH(Y564,'Refrigerant GWPs'!$A$2:$A$154,0)),"")</f>
        <v/>
      </c>
      <c r="AA564" s="155"/>
      <c r="AB564" s="156"/>
      <c r="AC564" s="66"/>
      <c r="AD564" s="66"/>
      <c r="AE564" s="66"/>
      <c r="AF564" s="66"/>
      <c r="AG564" s="66"/>
      <c r="AH564" s="66"/>
      <c r="AI564" s="34"/>
      <c r="AJ564" s="88">
        <f t="shared" si="650"/>
        <v>0</v>
      </c>
      <c r="AK564" s="88">
        <f t="shared" si="651"/>
        <v>0</v>
      </c>
      <c r="AL564" s="88">
        <v>0</v>
      </c>
      <c r="AM564" s="88">
        <v>0</v>
      </c>
      <c r="AN564" s="81" t="str">
        <f t="shared" si="689"/>
        <v/>
      </c>
      <c r="AO564" s="88">
        <f t="shared" si="652"/>
        <v>0</v>
      </c>
      <c r="AP564" s="88">
        <f t="shared" si="653"/>
        <v>0</v>
      </c>
      <c r="AQ564" s="81" t="str">
        <f t="shared" si="654"/>
        <v/>
      </c>
      <c r="AS564" s="41" t="b">
        <f t="shared" si="655"/>
        <v>1</v>
      </c>
      <c r="AT564" s="38">
        <f t="shared" si="656"/>
        <v>0</v>
      </c>
      <c r="AU564" s="60">
        <f t="shared" si="657"/>
        <v>0</v>
      </c>
      <c r="AV564" s="41">
        <f t="shared" si="658"/>
        <v>0</v>
      </c>
      <c r="AW564" s="41" t="b">
        <f t="shared" si="659"/>
        <v>0</v>
      </c>
      <c r="AX564" t="str">
        <f t="shared" si="660"/>
        <v>+00</v>
      </c>
      <c r="AY564" t="str">
        <f t="shared" si="661"/>
        <v>+00</v>
      </c>
      <c r="BA564" s="47" t="b">
        <f t="shared" si="690"/>
        <v>1</v>
      </c>
      <c r="BB564" s="42" t="b">
        <f t="shared" si="691"/>
        <v>1</v>
      </c>
      <c r="BC564" s="42" t="b">
        <f t="shared" si="692"/>
        <v>0</v>
      </c>
      <c r="BD564" s="42" t="b">
        <f t="shared" si="693"/>
        <v>0</v>
      </c>
      <c r="BE564" s="70">
        <f t="shared" si="694"/>
        <v>0</v>
      </c>
      <c r="BF564" s="70">
        <f t="shared" si="695"/>
        <v>0</v>
      </c>
      <c r="BG564" s="34"/>
      <c r="BI564" s="47" t="b">
        <f t="shared" si="696"/>
        <v>1</v>
      </c>
      <c r="BJ564" s="47" t="b">
        <f t="shared" si="697"/>
        <v>1</v>
      </c>
      <c r="BK564" s="42" t="b">
        <f t="shared" si="698"/>
        <v>0</v>
      </c>
      <c r="BL564" s="42" t="b">
        <f t="shared" si="699"/>
        <v>0</v>
      </c>
      <c r="BM564" s="42">
        <f t="shared" si="700"/>
        <v>0</v>
      </c>
      <c r="BN564" s="42">
        <f t="shared" si="701"/>
        <v>0</v>
      </c>
      <c r="BP564" t="e">
        <f t="shared" si="702"/>
        <v>#N/A</v>
      </c>
      <c r="BQ564" t="e">
        <f t="shared" si="703"/>
        <v>#N/A</v>
      </c>
      <c r="BR564" t="e">
        <f t="shared" si="704"/>
        <v>#N/A</v>
      </c>
      <c r="BT564" s="60">
        <f t="shared" si="705"/>
        <v>0</v>
      </c>
      <c r="BU564" s="60">
        <f t="shared" si="706"/>
        <v>0</v>
      </c>
      <c r="BV564" s="60">
        <f t="shared" si="707"/>
        <v>0</v>
      </c>
      <c r="BW564" s="60">
        <f t="shared" si="708"/>
        <v>0</v>
      </c>
      <c r="BX564" s="60">
        <f t="shared" si="709"/>
        <v>0</v>
      </c>
      <c r="BY564" s="60">
        <f t="shared" si="710"/>
        <v>0</v>
      </c>
      <c r="BZ564" s="60">
        <f t="shared" si="711"/>
        <v>0</v>
      </c>
      <c r="CA564" s="60">
        <f t="shared" si="712"/>
        <v>0</v>
      </c>
      <c r="CB564" s="60" t="e">
        <f t="shared" si="662"/>
        <v>#N/A</v>
      </c>
      <c r="CC564" s="60">
        <f t="shared" si="663"/>
        <v>100000</v>
      </c>
      <c r="CD564" s="60" t="e">
        <f t="shared" si="664"/>
        <v>#N/A</v>
      </c>
      <c r="CE564" s="60">
        <f t="shared" si="665"/>
        <v>100000</v>
      </c>
      <c r="CF564" s="83" t="e">
        <f t="shared" si="713"/>
        <v>#N/A</v>
      </c>
      <c r="CG564" s="83">
        <f t="shared" si="714"/>
        <v>0</v>
      </c>
      <c r="CH564" s="83" t="e">
        <f t="shared" si="715"/>
        <v>#N/A</v>
      </c>
      <c r="CI564" s="83">
        <f t="shared" si="716"/>
        <v>0</v>
      </c>
      <c r="CJ564" s="86" t="e">
        <f t="shared" si="666"/>
        <v>#N/A</v>
      </c>
      <c r="CK564" s="82">
        <f t="shared" si="667"/>
        <v>5.3070370403969858E-3</v>
      </c>
      <c r="CL564" s="82" t="e">
        <f t="shared" si="668"/>
        <v>#N/A</v>
      </c>
      <c r="CM564" s="82">
        <f t="shared" si="669"/>
        <v>5.3070370403969858E-3</v>
      </c>
      <c r="CO564" s="149" t="str">
        <f>IF($I564&lt;&gt;"",IF(O564="User Specified",U564,INDEX('Refrigerant GWPs'!$G$2:$G$156,MATCH(O564,'Refrigerant GWPs'!$A$2:$A$156,0))),"")</f>
        <v/>
      </c>
      <c r="CP564" s="138" t="str">
        <f>IF($I564&lt;&gt;"",INDEX('Device Refrigerant Leakage'!$E$2:$E$42,MATCH($M564,'Device Refrigerant Leakage'!$B$2:$B$42,0)),"")</f>
        <v/>
      </c>
      <c r="CQ564" s="138" t="str">
        <f>IF($I564&lt;&gt;"",INDEX('Device Refrigerant Leakage'!$F$2:$F$42,MATCH($M564,'Device Refrigerant Leakage'!$B$2:$B$42,0)),"")</f>
        <v/>
      </c>
      <c r="CR564" s="145" t="str">
        <f>IF($I564&lt;&gt;"",INDEX('Device Refrigerant Leakage'!$G$2:$G$42,MATCH($M564,'Device Refrigerant Leakage'!$B$2:$B$42,0)),"")</f>
        <v/>
      </c>
      <c r="CS564" s="145" t="str">
        <f>IF($I564&lt;&gt;"",INDEX('Device Refrigerant Leakage'!$D$2:$D$42,MATCH($M564,'Device Refrigerant Leakage'!$B$2:$B$42,0))*CP564/2204.62*CO564,"")</f>
        <v/>
      </c>
      <c r="CT564" s="145" t="str">
        <f>IF($I564&lt;&gt;"",J564*(INDEX('Device Refrigerant Leakage'!$D$2:$D$42,MATCH($M564,'Device Refrigerant Leakage'!$B$2:$B$42,0))-(INDEX('Device Refrigerant Leakage'!$D$2:$D$42,MATCH($M564,'Device Refrigerant Leakage'!$B$2:$B$42,0)))*CR564*CP564)*CQ564/2204.62*CO564,"")</f>
        <v/>
      </c>
      <c r="CU564" s="135" t="str">
        <f>IF($I564&lt;&gt;"",J564*IF(W564&lt;&gt;"AR",(CS564*K564)+CT564,(CS564*AB564)+CT564*(AB564/INDEX('Device Refrigerant Leakage'!$C$2:$C$42,MATCH($M564,'Device Refrigerant Leakage'!$B$2:$B$42,0)))),"")</f>
        <v/>
      </c>
      <c r="CW564" s="135" t="str">
        <f>IF($I564&lt;&gt;"",IF(S564="User Specified",V564,INDEX('Refrigerant GWPs'!$G$2:$G$156,MATCH(S564,'Refrigerant GWPs'!$A$2:$A$157,0))),"")</f>
        <v/>
      </c>
      <c r="CX564" s="138" t="str">
        <f>IF($I564&lt;&gt;"",INDEX('Device Refrigerant Leakage'!$E$2:$E$42,MATCH($Q564,'Device Refrigerant Leakage'!$B$2:$B$42,0)),"")</f>
        <v/>
      </c>
      <c r="CY564" s="138" t="str">
        <f>IF($I564&lt;&gt;"",INDEX('Device Refrigerant Leakage'!$F$2:$F$42,MATCH($Q564,'Device Refrigerant Leakage'!$B$2:$B$42,0)),"")</f>
        <v/>
      </c>
      <c r="CZ564" s="145" t="str">
        <f>IF($I564&lt;&gt;"",INDEX('Device Refrigerant Leakage'!$G$2:$G$42,MATCH($Q564,'Device Refrigerant Leakage'!$B$2:$B$42,0)),"")</f>
        <v/>
      </c>
      <c r="DA564" s="145" t="str">
        <f>IF($I564&lt;&gt;"",J564*INDEX('Device Refrigerant Leakage'!$D$2:$D$42,MATCH($Q564,'Device Refrigerant Leakage'!$B$2:$B$42,0))*CX564/2204.62*CW564,"")</f>
        <v/>
      </c>
      <c r="DB564" s="145" t="str">
        <f>IF($I564&lt;&gt;"",J564*(INDEX('Device Refrigerant Leakage'!$D$2:$D$42,MATCH($Q564,'Device Refrigerant Leakage'!$B$2:$B$42,0))-(INDEX('Device Refrigerant Leakage'!$D$2:$D$42,MATCH($Q564,'Device Refrigerant Leakage'!$B$2:$B$42,0)))*CZ564*CX564)*CY564/2204.62*CW564,"")</f>
        <v/>
      </c>
      <c r="DC564" s="135" t="str">
        <f t="shared" si="688"/>
        <v/>
      </c>
      <c r="DE564" s="146" t="str">
        <f>IF(W564&lt;&gt;"AR","",IF(Y564="User Specified", AA564, INDEX('Refrigerant GWPs'!$G$2:$G$154,MATCH(Y564,'Refrigerant GWPs'!$A$2:$A$154,0))))</f>
        <v/>
      </c>
      <c r="DF564" s="146" t="str">
        <f>IF(W564&lt;&gt;"AR","",INDEX('Device Refrigerant Leakage'!$E$2:$E$42,MATCH(X564,'Device Refrigerant Leakage'!$B$2:$B$42,0)))</f>
        <v/>
      </c>
      <c r="DG564" s="146" t="str">
        <f>IF(W564&lt;&gt;"AR","",INDEX('Device Refrigerant Leakage'!$F$2:$F$42,MATCH(X564,'Device Refrigerant Leakage'!$B$2:$B$42,0)))</f>
        <v/>
      </c>
      <c r="DH564" s="146" t="str">
        <f>IF(W564&lt;&gt;"AR","",INDEX('Device Refrigerant Leakage'!$G$2:$G$42,MATCH(X564,'Device Refrigerant Leakage'!$B$2:$B$42,0)))</f>
        <v/>
      </c>
      <c r="DI564" s="146" t="str">
        <f>IF(W564&lt;&gt;"AR","",J564*INDEX('Device Refrigerant Leakage'!$D$2:$D$42,MATCH(X564,'Device Refrigerant Leakage'!$B$2:$B$42,0))*DF564/2204.62*DE564)</f>
        <v/>
      </c>
      <c r="DJ564" s="146" t="str">
        <f>IF(W564&lt;&gt;"AR","",J564*(INDEX('Device Refrigerant Leakage'!$D$2:$D$42,MATCH(X564,'Device Refrigerant Leakage'!$B$2:$B$42,0))-(INDEX('Device Refrigerant Leakage'!$D$2:$D$42,MATCH(X564,'Device Refrigerant Leakage'!$B$2:$B$42,0)))*DH564*DF564)*DG564/2204.62*DE564)</f>
        <v/>
      </c>
      <c r="DK564" s="146" t="str">
        <f>IF(W564&lt;&gt;"AR","",DI564*(K564-AB564)+'Fuel Sub Calcs-Deemed'!DJ564*((K564-AB564)/INDEX('Device Refrigerant Leakage'!$C$2:$C$42,MATCH('Fuel Sub Calcs-Deemed'!X564,'Device Refrigerant Leakage'!$B$2:$B$42,0))))</f>
        <v/>
      </c>
      <c r="DM564" s="56">
        <v>550</v>
      </c>
      <c r="DN564" s="67" t="e">
        <f t="shared" si="670"/>
        <v>#N/A</v>
      </c>
      <c r="DO564" s="45" t="e">
        <f t="shared" si="671"/>
        <v>#N/A</v>
      </c>
      <c r="DP564" s="67" t="e">
        <f t="shared" si="672"/>
        <v>#N/A</v>
      </c>
      <c r="DQ564" s="45" t="e">
        <f t="shared" si="673"/>
        <v>#N/A</v>
      </c>
      <c r="DR564" s="69" t="e">
        <f t="shared" si="674"/>
        <v>#N/A</v>
      </c>
      <c r="DS564" s="34"/>
      <c r="DT564" s="67" t="e">
        <f>((BX564*CJ564)+IF($W564=MAT_AR,(BZ564*CL564),0))*(1+Reference!$E$50+Reference!$E$51)</f>
        <v>#N/A</v>
      </c>
      <c r="DU564" s="67">
        <f>((BY564*CK564)+IF($W564=MAT_AR,(CA564*CM564),0))*(1+Reference!$G$50+Reference!$G$51)</f>
        <v>0</v>
      </c>
      <c r="DV564" s="67" t="e">
        <f t="shared" si="675"/>
        <v>#VALUE!</v>
      </c>
      <c r="DX564" s="56">
        <v>550</v>
      </c>
      <c r="DY564" s="67">
        <f t="shared" si="676"/>
        <v>0</v>
      </c>
      <c r="DZ564" s="45" t="e">
        <f>VLOOKUP($R564,Dropdown!$C$3:$D$4,2,FALSE)</f>
        <v>#N/A</v>
      </c>
      <c r="EA564" s="68">
        <f t="shared" si="677"/>
        <v>0</v>
      </c>
      <c r="EB564" s="68" t="str">
        <f t="shared" si="678"/>
        <v>N/A</v>
      </c>
      <c r="EC564" s="68">
        <f t="shared" si="679"/>
        <v>0</v>
      </c>
      <c r="ED564" s="68" t="str">
        <f t="shared" si="717"/>
        <v>N/A</v>
      </c>
      <c r="EF564" s="56">
        <v>550</v>
      </c>
      <c r="EG564" s="46">
        <f t="shared" si="680"/>
        <v>0</v>
      </c>
      <c r="EH564" s="68" t="e">
        <f t="shared" si="681"/>
        <v>#N/A</v>
      </c>
      <c r="EI564" s="68" t="e">
        <f t="shared" si="682"/>
        <v>#N/A</v>
      </c>
      <c r="EJ564" s="68" t="e">
        <f t="shared" si="683"/>
        <v>#N/A</v>
      </c>
      <c r="EK564" s="68" t="e">
        <f t="shared" si="684"/>
        <v>#N/A</v>
      </c>
      <c r="EL564" s="46">
        <f t="shared" si="685"/>
        <v>0</v>
      </c>
      <c r="EM564" s="46">
        <f t="shared" si="686"/>
        <v>0</v>
      </c>
    </row>
    <row r="565" spans="1:143">
      <c r="A565" s="89"/>
      <c r="B565" s="89"/>
      <c r="C565" s="89"/>
      <c r="D565" s="89"/>
      <c r="E565" s="89"/>
      <c r="F565" s="89"/>
      <c r="G565" s="34"/>
      <c r="H565" s="56">
        <f t="shared" si="687"/>
        <v>551</v>
      </c>
      <c r="I565" s="165"/>
      <c r="J565" s="163"/>
      <c r="K565" s="163"/>
      <c r="L565" s="164"/>
      <c r="M565" s="155"/>
      <c r="N565" s="155"/>
      <c r="O565" s="144"/>
      <c r="P565" s="159" t="str">
        <f>IFERROR(IF(O565&lt;&gt;"User Specified",IF(O565&lt;&gt;"", INDEX('Refrigerant GWPs'!$G$2:$G$154,MATCH(O565,'Refrigerant GWPs'!$A$2:$A$154,0)),""),U565),0)</f>
        <v/>
      </c>
      <c r="Q565" s="155"/>
      <c r="R565" s="155"/>
      <c r="S565" s="144"/>
      <c r="T565" s="159" t="str">
        <f>IF(S565&lt;&gt;"User Specified",IF(AND(S565&lt;&gt;"User Specified",S565&lt;&gt;""), INDEX('Refrigerant GWPs'!$G$2:$G$154,MATCH(S565,'Refrigerant GWPs'!$A$2:$A$154,0)),""),V565)</f>
        <v/>
      </c>
      <c r="U565" s="144"/>
      <c r="V565" s="144"/>
      <c r="W565" s="155"/>
      <c r="X565" s="155"/>
      <c r="Y565" s="144"/>
      <c r="Z565" s="159" t="str">
        <f>IF(AND(Y565&lt;&gt;"User Specified",Y565&lt;&gt;""), INDEX('Refrigerant GWPs'!$G$2:$G$154,MATCH(Y565,'Refrigerant GWPs'!$A$2:$A$154,0)),"")</f>
        <v/>
      </c>
      <c r="AA565" s="155"/>
      <c r="AB565" s="156"/>
      <c r="AC565" s="66"/>
      <c r="AD565" s="66"/>
      <c r="AE565" s="66"/>
      <c r="AF565" s="66"/>
      <c r="AG565" s="66"/>
      <c r="AH565" s="66"/>
      <c r="AI565" s="34"/>
      <c r="AJ565" s="88">
        <f t="shared" si="650"/>
        <v>0</v>
      </c>
      <c r="AK565" s="88">
        <f t="shared" si="651"/>
        <v>0</v>
      </c>
      <c r="AL565" s="88">
        <v>0</v>
      </c>
      <c r="AM565" s="88">
        <v>0</v>
      </c>
      <c r="AN565" s="81" t="str">
        <f t="shared" si="689"/>
        <v/>
      </c>
      <c r="AO565" s="88">
        <f t="shared" si="652"/>
        <v>0</v>
      </c>
      <c r="AP565" s="88">
        <f t="shared" si="653"/>
        <v>0</v>
      </c>
      <c r="AQ565" s="81" t="str">
        <f t="shared" si="654"/>
        <v/>
      </c>
      <c r="AS565" s="41" t="b">
        <f t="shared" si="655"/>
        <v>1</v>
      </c>
      <c r="AT565" s="38">
        <f t="shared" si="656"/>
        <v>0</v>
      </c>
      <c r="AU565" s="60">
        <f t="shared" si="657"/>
        <v>0</v>
      </c>
      <c r="AV565" s="41">
        <f t="shared" si="658"/>
        <v>0</v>
      </c>
      <c r="AW565" s="41" t="b">
        <f t="shared" si="659"/>
        <v>0</v>
      </c>
      <c r="AX565" t="str">
        <f t="shared" si="660"/>
        <v>+00</v>
      </c>
      <c r="AY565" t="str">
        <f t="shared" si="661"/>
        <v>+00</v>
      </c>
      <c r="BA565" s="47" t="b">
        <f t="shared" si="690"/>
        <v>1</v>
      </c>
      <c r="BB565" s="42" t="b">
        <f t="shared" si="691"/>
        <v>1</v>
      </c>
      <c r="BC565" s="42" t="b">
        <f t="shared" si="692"/>
        <v>0</v>
      </c>
      <c r="BD565" s="42" t="b">
        <f t="shared" si="693"/>
        <v>0</v>
      </c>
      <c r="BE565" s="70">
        <f t="shared" si="694"/>
        <v>0</v>
      </c>
      <c r="BF565" s="70">
        <f t="shared" si="695"/>
        <v>0</v>
      </c>
      <c r="BG565" s="34"/>
      <c r="BI565" s="47" t="b">
        <f t="shared" si="696"/>
        <v>1</v>
      </c>
      <c r="BJ565" s="47" t="b">
        <f t="shared" si="697"/>
        <v>1</v>
      </c>
      <c r="BK565" s="42" t="b">
        <f t="shared" si="698"/>
        <v>0</v>
      </c>
      <c r="BL565" s="42" t="b">
        <f t="shared" si="699"/>
        <v>0</v>
      </c>
      <c r="BM565" s="42">
        <f t="shared" si="700"/>
        <v>0</v>
      </c>
      <c r="BN565" s="42">
        <f t="shared" si="701"/>
        <v>0</v>
      </c>
      <c r="BP565" t="e">
        <f t="shared" si="702"/>
        <v>#N/A</v>
      </c>
      <c r="BQ565" t="e">
        <f t="shared" si="703"/>
        <v>#N/A</v>
      </c>
      <c r="BR565" t="e">
        <f t="shared" si="704"/>
        <v>#N/A</v>
      </c>
      <c r="BT565" s="60">
        <f t="shared" si="705"/>
        <v>0</v>
      </c>
      <c r="BU565" s="60">
        <f t="shared" si="706"/>
        <v>0</v>
      </c>
      <c r="BV565" s="60">
        <f t="shared" si="707"/>
        <v>0</v>
      </c>
      <c r="BW565" s="60">
        <f t="shared" si="708"/>
        <v>0</v>
      </c>
      <c r="BX565" s="60">
        <f t="shared" si="709"/>
        <v>0</v>
      </c>
      <c r="BY565" s="60">
        <f t="shared" si="710"/>
        <v>0</v>
      </c>
      <c r="BZ565" s="60">
        <f t="shared" si="711"/>
        <v>0</v>
      </c>
      <c r="CA565" s="60">
        <f t="shared" si="712"/>
        <v>0</v>
      </c>
      <c r="CB565" s="60" t="e">
        <f t="shared" si="662"/>
        <v>#N/A</v>
      </c>
      <c r="CC565" s="60">
        <f t="shared" si="663"/>
        <v>100000</v>
      </c>
      <c r="CD565" s="60" t="e">
        <f t="shared" si="664"/>
        <v>#N/A</v>
      </c>
      <c r="CE565" s="60">
        <f t="shared" si="665"/>
        <v>100000</v>
      </c>
      <c r="CF565" s="83" t="e">
        <f t="shared" si="713"/>
        <v>#N/A</v>
      </c>
      <c r="CG565" s="83">
        <f t="shared" si="714"/>
        <v>0</v>
      </c>
      <c r="CH565" s="83" t="e">
        <f t="shared" si="715"/>
        <v>#N/A</v>
      </c>
      <c r="CI565" s="83">
        <f t="shared" si="716"/>
        <v>0</v>
      </c>
      <c r="CJ565" s="86" t="e">
        <f t="shared" si="666"/>
        <v>#N/A</v>
      </c>
      <c r="CK565" s="82">
        <f t="shared" si="667"/>
        <v>5.3070370403969858E-3</v>
      </c>
      <c r="CL565" s="82" t="e">
        <f t="shared" si="668"/>
        <v>#N/A</v>
      </c>
      <c r="CM565" s="82">
        <f t="shared" si="669"/>
        <v>5.3070370403969858E-3</v>
      </c>
      <c r="CO565" s="149" t="str">
        <f>IF($I565&lt;&gt;"",IF(O565="User Specified",U565,INDEX('Refrigerant GWPs'!$G$2:$G$156,MATCH(O565,'Refrigerant GWPs'!$A$2:$A$156,0))),"")</f>
        <v/>
      </c>
      <c r="CP565" s="138" t="str">
        <f>IF($I565&lt;&gt;"",INDEX('Device Refrigerant Leakage'!$E$2:$E$42,MATCH($M565,'Device Refrigerant Leakage'!$B$2:$B$42,0)),"")</f>
        <v/>
      </c>
      <c r="CQ565" s="138" t="str">
        <f>IF($I565&lt;&gt;"",INDEX('Device Refrigerant Leakage'!$F$2:$F$42,MATCH($M565,'Device Refrigerant Leakage'!$B$2:$B$42,0)),"")</f>
        <v/>
      </c>
      <c r="CR565" s="145" t="str">
        <f>IF($I565&lt;&gt;"",INDEX('Device Refrigerant Leakage'!$G$2:$G$42,MATCH($M565,'Device Refrigerant Leakage'!$B$2:$B$42,0)),"")</f>
        <v/>
      </c>
      <c r="CS565" s="145" t="str">
        <f>IF($I565&lt;&gt;"",INDEX('Device Refrigerant Leakage'!$D$2:$D$42,MATCH($M565,'Device Refrigerant Leakage'!$B$2:$B$42,0))*CP565/2204.62*CO565,"")</f>
        <v/>
      </c>
      <c r="CT565" s="145" t="str">
        <f>IF($I565&lt;&gt;"",J565*(INDEX('Device Refrigerant Leakage'!$D$2:$D$42,MATCH($M565,'Device Refrigerant Leakage'!$B$2:$B$42,0))-(INDEX('Device Refrigerant Leakage'!$D$2:$D$42,MATCH($M565,'Device Refrigerant Leakage'!$B$2:$B$42,0)))*CR565*CP565)*CQ565/2204.62*CO565,"")</f>
        <v/>
      </c>
      <c r="CU565" s="135" t="str">
        <f>IF($I565&lt;&gt;"",J565*IF(W565&lt;&gt;"AR",(CS565*K565)+CT565,(CS565*AB565)+CT565*(AB565/INDEX('Device Refrigerant Leakage'!$C$2:$C$42,MATCH($M565,'Device Refrigerant Leakage'!$B$2:$B$42,0)))),"")</f>
        <v/>
      </c>
      <c r="CW565" s="135" t="str">
        <f>IF($I565&lt;&gt;"",IF(S565="User Specified",V565,INDEX('Refrigerant GWPs'!$G$2:$G$156,MATCH(S565,'Refrigerant GWPs'!$A$2:$A$157,0))),"")</f>
        <v/>
      </c>
      <c r="CX565" s="138" t="str">
        <f>IF($I565&lt;&gt;"",INDEX('Device Refrigerant Leakage'!$E$2:$E$42,MATCH($Q565,'Device Refrigerant Leakage'!$B$2:$B$42,0)),"")</f>
        <v/>
      </c>
      <c r="CY565" s="138" t="str">
        <f>IF($I565&lt;&gt;"",INDEX('Device Refrigerant Leakage'!$F$2:$F$42,MATCH($Q565,'Device Refrigerant Leakage'!$B$2:$B$42,0)),"")</f>
        <v/>
      </c>
      <c r="CZ565" s="145" t="str">
        <f>IF($I565&lt;&gt;"",INDEX('Device Refrigerant Leakage'!$G$2:$G$42,MATCH($Q565,'Device Refrigerant Leakage'!$B$2:$B$42,0)),"")</f>
        <v/>
      </c>
      <c r="DA565" s="145" t="str">
        <f>IF($I565&lt;&gt;"",J565*INDEX('Device Refrigerant Leakage'!$D$2:$D$42,MATCH($Q565,'Device Refrigerant Leakage'!$B$2:$B$42,0))*CX565/2204.62*CW565,"")</f>
        <v/>
      </c>
      <c r="DB565" s="145" t="str">
        <f>IF($I565&lt;&gt;"",J565*(INDEX('Device Refrigerant Leakage'!$D$2:$D$42,MATCH($Q565,'Device Refrigerant Leakage'!$B$2:$B$42,0))-(INDEX('Device Refrigerant Leakage'!$D$2:$D$42,MATCH($Q565,'Device Refrigerant Leakage'!$B$2:$B$42,0)))*CZ565*CX565)*CY565/2204.62*CW565,"")</f>
        <v/>
      </c>
      <c r="DC565" s="135" t="str">
        <f t="shared" si="688"/>
        <v/>
      </c>
      <c r="DE565" s="146" t="str">
        <f>IF(W565&lt;&gt;"AR","",IF(Y565="User Specified", AA565, INDEX('Refrigerant GWPs'!$G$2:$G$154,MATCH(Y565,'Refrigerant GWPs'!$A$2:$A$154,0))))</f>
        <v/>
      </c>
      <c r="DF565" s="146" t="str">
        <f>IF(W565&lt;&gt;"AR","",INDEX('Device Refrigerant Leakage'!$E$2:$E$42,MATCH(X565,'Device Refrigerant Leakage'!$B$2:$B$42,0)))</f>
        <v/>
      </c>
      <c r="DG565" s="146" t="str">
        <f>IF(W565&lt;&gt;"AR","",INDEX('Device Refrigerant Leakage'!$F$2:$F$42,MATCH(X565,'Device Refrigerant Leakage'!$B$2:$B$42,0)))</f>
        <v/>
      </c>
      <c r="DH565" s="146" t="str">
        <f>IF(W565&lt;&gt;"AR","",INDEX('Device Refrigerant Leakage'!$G$2:$G$42,MATCH(X565,'Device Refrigerant Leakage'!$B$2:$B$42,0)))</f>
        <v/>
      </c>
      <c r="DI565" s="146" t="str">
        <f>IF(W565&lt;&gt;"AR","",J565*INDEX('Device Refrigerant Leakage'!$D$2:$D$42,MATCH(X565,'Device Refrigerant Leakage'!$B$2:$B$42,0))*DF565/2204.62*DE565)</f>
        <v/>
      </c>
      <c r="DJ565" s="146" t="str">
        <f>IF(W565&lt;&gt;"AR","",J565*(INDEX('Device Refrigerant Leakage'!$D$2:$D$42,MATCH(X565,'Device Refrigerant Leakage'!$B$2:$B$42,0))-(INDEX('Device Refrigerant Leakage'!$D$2:$D$42,MATCH(X565,'Device Refrigerant Leakage'!$B$2:$B$42,0)))*DH565*DF565)*DG565/2204.62*DE565)</f>
        <v/>
      </c>
      <c r="DK565" s="146" t="str">
        <f>IF(W565&lt;&gt;"AR","",DI565*(K565-AB565)+'Fuel Sub Calcs-Deemed'!DJ565*((K565-AB565)/INDEX('Device Refrigerant Leakage'!$C$2:$C$42,MATCH('Fuel Sub Calcs-Deemed'!X565,'Device Refrigerant Leakage'!$B$2:$B$42,0))))</f>
        <v/>
      </c>
      <c r="DM565" s="56">
        <v>551</v>
      </c>
      <c r="DN565" s="67" t="e">
        <f t="shared" si="670"/>
        <v>#N/A</v>
      </c>
      <c r="DO565" s="45" t="e">
        <f t="shared" si="671"/>
        <v>#N/A</v>
      </c>
      <c r="DP565" s="67" t="e">
        <f t="shared" si="672"/>
        <v>#N/A</v>
      </c>
      <c r="DQ565" s="45" t="e">
        <f t="shared" si="673"/>
        <v>#N/A</v>
      </c>
      <c r="DR565" s="69" t="e">
        <f t="shared" si="674"/>
        <v>#N/A</v>
      </c>
      <c r="DS565" s="34"/>
      <c r="DT565" s="67" t="e">
        <f>((BX565*CJ565)+IF($W565=MAT_AR,(BZ565*CL565),0))*(1+Reference!$E$50+Reference!$E$51)</f>
        <v>#N/A</v>
      </c>
      <c r="DU565" s="67">
        <f>((BY565*CK565)+IF($W565=MAT_AR,(CA565*CM565),0))*(1+Reference!$G$50+Reference!$G$51)</f>
        <v>0</v>
      </c>
      <c r="DV565" s="67" t="e">
        <f t="shared" si="675"/>
        <v>#VALUE!</v>
      </c>
      <c r="DX565" s="56">
        <v>551</v>
      </c>
      <c r="DY565" s="67">
        <f t="shared" si="676"/>
        <v>0</v>
      </c>
      <c r="DZ565" s="45" t="e">
        <f>VLOOKUP($R565,Dropdown!$C$3:$D$4,2,FALSE)</f>
        <v>#N/A</v>
      </c>
      <c r="EA565" s="68">
        <f t="shared" si="677"/>
        <v>0</v>
      </c>
      <c r="EB565" s="68" t="str">
        <f t="shared" si="678"/>
        <v>N/A</v>
      </c>
      <c r="EC565" s="68">
        <f t="shared" si="679"/>
        <v>0</v>
      </c>
      <c r="ED565" s="68" t="str">
        <f t="shared" si="717"/>
        <v>N/A</v>
      </c>
      <c r="EF565" s="56">
        <v>551</v>
      </c>
      <c r="EG565" s="46">
        <f t="shared" si="680"/>
        <v>0</v>
      </c>
      <c r="EH565" s="68" t="e">
        <f t="shared" si="681"/>
        <v>#N/A</v>
      </c>
      <c r="EI565" s="68" t="e">
        <f t="shared" si="682"/>
        <v>#N/A</v>
      </c>
      <c r="EJ565" s="68" t="e">
        <f t="shared" si="683"/>
        <v>#N/A</v>
      </c>
      <c r="EK565" s="68" t="e">
        <f t="shared" si="684"/>
        <v>#N/A</v>
      </c>
      <c r="EL565" s="46">
        <f t="shared" si="685"/>
        <v>0</v>
      </c>
      <c r="EM565" s="46">
        <f t="shared" si="686"/>
        <v>0</v>
      </c>
    </row>
    <row r="566" spans="1:143">
      <c r="A566" s="89"/>
      <c r="B566" s="89"/>
      <c r="C566" s="89"/>
      <c r="D566" s="89"/>
      <c r="E566" s="89"/>
      <c r="F566" s="89"/>
      <c r="G566" s="34"/>
      <c r="H566" s="56">
        <f t="shared" si="687"/>
        <v>552</v>
      </c>
      <c r="I566" s="165"/>
      <c r="J566" s="163"/>
      <c r="K566" s="163"/>
      <c r="L566" s="164"/>
      <c r="M566" s="155"/>
      <c r="N566" s="155"/>
      <c r="O566" s="144"/>
      <c r="P566" s="159" t="str">
        <f>IFERROR(IF(O566&lt;&gt;"User Specified",IF(O566&lt;&gt;"", INDEX('Refrigerant GWPs'!$G$2:$G$154,MATCH(O566,'Refrigerant GWPs'!$A$2:$A$154,0)),""),U566),0)</f>
        <v/>
      </c>
      <c r="Q566" s="155"/>
      <c r="R566" s="155"/>
      <c r="S566" s="144"/>
      <c r="T566" s="159" t="str">
        <f>IF(S566&lt;&gt;"User Specified",IF(AND(S566&lt;&gt;"User Specified",S566&lt;&gt;""), INDEX('Refrigerant GWPs'!$G$2:$G$154,MATCH(S566,'Refrigerant GWPs'!$A$2:$A$154,0)),""),V566)</f>
        <v/>
      </c>
      <c r="U566" s="144"/>
      <c r="V566" s="144"/>
      <c r="W566" s="155"/>
      <c r="X566" s="155"/>
      <c r="Y566" s="144"/>
      <c r="Z566" s="159" t="str">
        <f>IF(AND(Y566&lt;&gt;"User Specified",Y566&lt;&gt;""), INDEX('Refrigerant GWPs'!$G$2:$G$154,MATCH(Y566,'Refrigerant GWPs'!$A$2:$A$154,0)),"")</f>
        <v/>
      </c>
      <c r="AA566" s="155"/>
      <c r="AB566" s="156"/>
      <c r="AC566" s="66"/>
      <c r="AD566" s="66"/>
      <c r="AE566" s="66"/>
      <c r="AF566" s="66"/>
      <c r="AG566" s="66"/>
      <c r="AH566" s="66"/>
      <c r="AI566" s="34"/>
      <c r="AJ566" s="88">
        <f t="shared" si="650"/>
        <v>0</v>
      </c>
      <c r="AK566" s="88">
        <f t="shared" si="651"/>
        <v>0</v>
      </c>
      <c r="AL566" s="88">
        <v>0</v>
      </c>
      <c r="AM566" s="88">
        <v>0</v>
      </c>
      <c r="AN566" s="81" t="str">
        <f t="shared" si="689"/>
        <v/>
      </c>
      <c r="AO566" s="88">
        <f t="shared" si="652"/>
        <v>0</v>
      </c>
      <c r="AP566" s="88">
        <f t="shared" si="653"/>
        <v>0</v>
      </c>
      <c r="AQ566" s="81" t="str">
        <f t="shared" si="654"/>
        <v/>
      </c>
      <c r="AS566" s="41" t="b">
        <f t="shared" si="655"/>
        <v>1</v>
      </c>
      <c r="AT566" s="38">
        <f t="shared" si="656"/>
        <v>0</v>
      </c>
      <c r="AU566" s="60">
        <f t="shared" si="657"/>
        <v>0</v>
      </c>
      <c r="AV566" s="41">
        <f t="shared" si="658"/>
        <v>0</v>
      </c>
      <c r="AW566" s="41" t="b">
        <f t="shared" si="659"/>
        <v>0</v>
      </c>
      <c r="AX566" t="str">
        <f t="shared" si="660"/>
        <v>+00</v>
      </c>
      <c r="AY566" t="str">
        <f t="shared" si="661"/>
        <v>+00</v>
      </c>
      <c r="BA566" s="47" t="b">
        <f t="shared" si="690"/>
        <v>1</v>
      </c>
      <c r="BB566" s="42" t="b">
        <f t="shared" si="691"/>
        <v>1</v>
      </c>
      <c r="BC566" s="42" t="b">
        <f t="shared" si="692"/>
        <v>0</v>
      </c>
      <c r="BD566" s="42" t="b">
        <f t="shared" si="693"/>
        <v>0</v>
      </c>
      <c r="BE566" s="70">
        <f t="shared" si="694"/>
        <v>0</v>
      </c>
      <c r="BF566" s="70">
        <f t="shared" si="695"/>
        <v>0</v>
      </c>
      <c r="BG566" s="34"/>
      <c r="BI566" s="47" t="b">
        <f t="shared" si="696"/>
        <v>1</v>
      </c>
      <c r="BJ566" s="47" t="b">
        <f t="shared" si="697"/>
        <v>1</v>
      </c>
      <c r="BK566" s="42" t="b">
        <f t="shared" si="698"/>
        <v>0</v>
      </c>
      <c r="BL566" s="42" t="b">
        <f t="shared" si="699"/>
        <v>0</v>
      </c>
      <c r="BM566" s="42">
        <f t="shared" si="700"/>
        <v>0</v>
      </c>
      <c r="BN566" s="42">
        <f t="shared" si="701"/>
        <v>0</v>
      </c>
      <c r="BP566" t="e">
        <f t="shared" si="702"/>
        <v>#N/A</v>
      </c>
      <c r="BQ566" t="e">
        <f t="shared" si="703"/>
        <v>#N/A</v>
      </c>
      <c r="BR566" t="e">
        <f t="shared" si="704"/>
        <v>#N/A</v>
      </c>
      <c r="BT566" s="60">
        <f t="shared" si="705"/>
        <v>0</v>
      </c>
      <c r="BU566" s="60">
        <f t="shared" si="706"/>
        <v>0</v>
      </c>
      <c r="BV566" s="60">
        <f t="shared" si="707"/>
        <v>0</v>
      </c>
      <c r="BW566" s="60">
        <f t="shared" si="708"/>
        <v>0</v>
      </c>
      <c r="BX566" s="60">
        <f t="shared" si="709"/>
        <v>0</v>
      </c>
      <c r="BY566" s="60">
        <f t="shared" si="710"/>
        <v>0</v>
      </c>
      <c r="BZ566" s="60">
        <f t="shared" si="711"/>
        <v>0</v>
      </c>
      <c r="CA566" s="60">
        <f t="shared" si="712"/>
        <v>0</v>
      </c>
      <c r="CB566" s="60" t="e">
        <f t="shared" si="662"/>
        <v>#N/A</v>
      </c>
      <c r="CC566" s="60">
        <f t="shared" si="663"/>
        <v>100000</v>
      </c>
      <c r="CD566" s="60" t="e">
        <f t="shared" si="664"/>
        <v>#N/A</v>
      </c>
      <c r="CE566" s="60">
        <f t="shared" si="665"/>
        <v>100000</v>
      </c>
      <c r="CF566" s="83" t="e">
        <f t="shared" si="713"/>
        <v>#N/A</v>
      </c>
      <c r="CG566" s="83">
        <f t="shared" si="714"/>
        <v>0</v>
      </c>
      <c r="CH566" s="83" t="e">
        <f t="shared" si="715"/>
        <v>#N/A</v>
      </c>
      <c r="CI566" s="83">
        <f t="shared" si="716"/>
        <v>0</v>
      </c>
      <c r="CJ566" s="86" t="e">
        <f t="shared" si="666"/>
        <v>#N/A</v>
      </c>
      <c r="CK566" s="82">
        <f t="shared" si="667"/>
        <v>5.3070370403969858E-3</v>
      </c>
      <c r="CL566" s="82" t="e">
        <f t="shared" si="668"/>
        <v>#N/A</v>
      </c>
      <c r="CM566" s="82">
        <f t="shared" si="669"/>
        <v>5.3070370403969858E-3</v>
      </c>
      <c r="CO566" s="149" t="str">
        <f>IF($I566&lt;&gt;"",IF(O566="User Specified",U566,INDEX('Refrigerant GWPs'!$G$2:$G$156,MATCH(O566,'Refrigerant GWPs'!$A$2:$A$156,0))),"")</f>
        <v/>
      </c>
      <c r="CP566" s="138" t="str">
        <f>IF($I566&lt;&gt;"",INDEX('Device Refrigerant Leakage'!$E$2:$E$42,MATCH($M566,'Device Refrigerant Leakage'!$B$2:$B$42,0)),"")</f>
        <v/>
      </c>
      <c r="CQ566" s="138" t="str">
        <f>IF($I566&lt;&gt;"",INDEX('Device Refrigerant Leakage'!$F$2:$F$42,MATCH($M566,'Device Refrigerant Leakage'!$B$2:$B$42,0)),"")</f>
        <v/>
      </c>
      <c r="CR566" s="145" t="str">
        <f>IF($I566&lt;&gt;"",INDEX('Device Refrigerant Leakage'!$G$2:$G$42,MATCH($M566,'Device Refrigerant Leakage'!$B$2:$B$42,0)),"")</f>
        <v/>
      </c>
      <c r="CS566" s="145" t="str">
        <f>IF($I566&lt;&gt;"",INDEX('Device Refrigerant Leakage'!$D$2:$D$42,MATCH($M566,'Device Refrigerant Leakage'!$B$2:$B$42,0))*CP566/2204.62*CO566,"")</f>
        <v/>
      </c>
      <c r="CT566" s="145" t="str">
        <f>IF($I566&lt;&gt;"",J566*(INDEX('Device Refrigerant Leakage'!$D$2:$D$42,MATCH($M566,'Device Refrigerant Leakage'!$B$2:$B$42,0))-(INDEX('Device Refrigerant Leakage'!$D$2:$D$42,MATCH($M566,'Device Refrigerant Leakage'!$B$2:$B$42,0)))*CR566*CP566)*CQ566/2204.62*CO566,"")</f>
        <v/>
      </c>
      <c r="CU566" s="135" t="str">
        <f>IF($I566&lt;&gt;"",J566*IF(W566&lt;&gt;"AR",(CS566*K566)+CT566,(CS566*AB566)+CT566*(AB566/INDEX('Device Refrigerant Leakage'!$C$2:$C$42,MATCH($M566,'Device Refrigerant Leakage'!$B$2:$B$42,0)))),"")</f>
        <v/>
      </c>
      <c r="CW566" s="135" t="str">
        <f>IF($I566&lt;&gt;"",IF(S566="User Specified",V566,INDEX('Refrigerant GWPs'!$G$2:$G$156,MATCH(S566,'Refrigerant GWPs'!$A$2:$A$157,0))),"")</f>
        <v/>
      </c>
      <c r="CX566" s="138" t="str">
        <f>IF($I566&lt;&gt;"",INDEX('Device Refrigerant Leakage'!$E$2:$E$42,MATCH($Q566,'Device Refrigerant Leakage'!$B$2:$B$42,0)),"")</f>
        <v/>
      </c>
      <c r="CY566" s="138" t="str">
        <f>IF($I566&lt;&gt;"",INDEX('Device Refrigerant Leakage'!$F$2:$F$42,MATCH($Q566,'Device Refrigerant Leakage'!$B$2:$B$42,0)),"")</f>
        <v/>
      </c>
      <c r="CZ566" s="145" t="str">
        <f>IF($I566&lt;&gt;"",INDEX('Device Refrigerant Leakage'!$G$2:$G$42,MATCH($Q566,'Device Refrigerant Leakage'!$B$2:$B$42,0)),"")</f>
        <v/>
      </c>
      <c r="DA566" s="145" t="str">
        <f>IF($I566&lt;&gt;"",J566*INDEX('Device Refrigerant Leakage'!$D$2:$D$42,MATCH($Q566,'Device Refrigerant Leakage'!$B$2:$B$42,0))*CX566/2204.62*CW566,"")</f>
        <v/>
      </c>
      <c r="DB566" s="145" t="str">
        <f>IF($I566&lt;&gt;"",J566*(INDEX('Device Refrigerant Leakage'!$D$2:$D$42,MATCH($Q566,'Device Refrigerant Leakage'!$B$2:$B$42,0))-(INDEX('Device Refrigerant Leakage'!$D$2:$D$42,MATCH($Q566,'Device Refrigerant Leakage'!$B$2:$B$42,0)))*CZ566*CX566)*CY566/2204.62*CW566,"")</f>
        <v/>
      </c>
      <c r="DC566" s="135" t="str">
        <f t="shared" si="688"/>
        <v/>
      </c>
      <c r="DE566" s="146" t="str">
        <f>IF(W566&lt;&gt;"AR","",IF(Y566="User Specified", AA566, INDEX('Refrigerant GWPs'!$G$2:$G$154,MATCH(Y566,'Refrigerant GWPs'!$A$2:$A$154,0))))</f>
        <v/>
      </c>
      <c r="DF566" s="146" t="str">
        <f>IF(W566&lt;&gt;"AR","",INDEX('Device Refrigerant Leakage'!$E$2:$E$42,MATCH(X566,'Device Refrigerant Leakage'!$B$2:$B$42,0)))</f>
        <v/>
      </c>
      <c r="DG566" s="146" t="str">
        <f>IF(W566&lt;&gt;"AR","",INDEX('Device Refrigerant Leakage'!$F$2:$F$42,MATCH(X566,'Device Refrigerant Leakage'!$B$2:$B$42,0)))</f>
        <v/>
      </c>
      <c r="DH566" s="146" t="str">
        <f>IF(W566&lt;&gt;"AR","",INDEX('Device Refrigerant Leakage'!$G$2:$G$42,MATCH(X566,'Device Refrigerant Leakage'!$B$2:$B$42,0)))</f>
        <v/>
      </c>
      <c r="DI566" s="146" t="str">
        <f>IF(W566&lt;&gt;"AR","",J566*INDEX('Device Refrigerant Leakage'!$D$2:$D$42,MATCH(X566,'Device Refrigerant Leakage'!$B$2:$B$42,0))*DF566/2204.62*DE566)</f>
        <v/>
      </c>
      <c r="DJ566" s="146" t="str">
        <f>IF(W566&lt;&gt;"AR","",J566*(INDEX('Device Refrigerant Leakage'!$D$2:$D$42,MATCH(X566,'Device Refrigerant Leakage'!$B$2:$B$42,0))-(INDEX('Device Refrigerant Leakage'!$D$2:$D$42,MATCH(X566,'Device Refrigerant Leakage'!$B$2:$B$42,0)))*DH566*DF566)*DG566/2204.62*DE566)</f>
        <v/>
      </c>
      <c r="DK566" s="146" t="str">
        <f>IF(W566&lt;&gt;"AR","",DI566*(K566-AB566)+'Fuel Sub Calcs-Deemed'!DJ566*((K566-AB566)/INDEX('Device Refrigerant Leakage'!$C$2:$C$42,MATCH('Fuel Sub Calcs-Deemed'!X566,'Device Refrigerant Leakage'!$B$2:$B$42,0))))</f>
        <v/>
      </c>
      <c r="DM566" s="56">
        <v>552</v>
      </c>
      <c r="DN566" s="67" t="e">
        <f t="shared" si="670"/>
        <v>#N/A</v>
      </c>
      <c r="DO566" s="45" t="e">
        <f t="shared" si="671"/>
        <v>#N/A</v>
      </c>
      <c r="DP566" s="67" t="e">
        <f t="shared" si="672"/>
        <v>#N/A</v>
      </c>
      <c r="DQ566" s="45" t="e">
        <f t="shared" si="673"/>
        <v>#N/A</v>
      </c>
      <c r="DR566" s="69" t="e">
        <f t="shared" si="674"/>
        <v>#N/A</v>
      </c>
      <c r="DS566" s="34"/>
      <c r="DT566" s="67" t="e">
        <f>((BX566*CJ566)+IF($W566=MAT_AR,(BZ566*CL566),0))*(1+Reference!$E$50+Reference!$E$51)</f>
        <v>#N/A</v>
      </c>
      <c r="DU566" s="67">
        <f>((BY566*CK566)+IF($W566=MAT_AR,(CA566*CM566),0))*(1+Reference!$G$50+Reference!$G$51)</f>
        <v>0</v>
      </c>
      <c r="DV566" s="67" t="e">
        <f t="shared" si="675"/>
        <v>#VALUE!</v>
      </c>
      <c r="DX566" s="56">
        <v>552</v>
      </c>
      <c r="DY566" s="67">
        <f t="shared" si="676"/>
        <v>0</v>
      </c>
      <c r="DZ566" s="45" t="e">
        <f>VLOOKUP($R566,Dropdown!$C$3:$D$4,2,FALSE)</f>
        <v>#N/A</v>
      </c>
      <c r="EA566" s="68">
        <f t="shared" si="677"/>
        <v>0</v>
      </c>
      <c r="EB566" s="68" t="str">
        <f t="shared" si="678"/>
        <v>N/A</v>
      </c>
      <c r="EC566" s="68">
        <f t="shared" si="679"/>
        <v>0</v>
      </c>
      <c r="ED566" s="68" t="str">
        <f t="shared" si="717"/>
        <v>N/A</v>
      </c>
      <c r="EF566" s="56">
        <v>552</v>
      </c>
      <c r="EG566" s="46">
        <f t="shared" si="680"/>
        <v>0</v>
      </c>
      <c r="EH566" s="68" t="e">
        <f t="shared" si="681"/>
        <v>#N/A</v>
      </c>
      <c r="EI566" s="68" t="e">
        <f t="shared" si="682"/>
        <v>#N/A</v>
      </c>
      <c r="EJ566" s="68" t="e">
        <f t="shared" si="683"/>
        <v>#N/A</v>
      </c>
      <c r="EK566" s="68" t="e">
        <f t="shared" si="684"/>
        <v>#N/A</v>
      </c>
      <c r="EL566" s="46">
        <f t="shared" si="685"/>
        <v>0</v>
      </c>
      <c r="EM566" s="46">
        <f t="shared" si="686"/>
        <v>0</v>
      </c>
    </row>
    <row r="567" spans="1:143">
      <c r="A567" s="89"/>
      <c r="B567" s="89"/>
      <c r="C567" s="89"/>
      <c r="D567" s="89"/>
      <c r="E567" s="89"/>
      <c r="F567" s="89"/>
      <c r="G567" s="34"/>
      <c r="H567" s="56">
        <f t="shared" si="687"/>
        <v>553</v>
      </c>
      <c r="I567" s="165"/>
      <c r="J567" s="163"/>
      <c r="K567" s="163"/>
      <c r="L567" s="164"/>
      <c r="M567" s="155"/>
      <c r="N567" s="155"/>
      <c r="O567" s="144"/>
      <c r="P567" s="159" t="str">
        <f>IFERROR(IF(O567&lt;&gt;"User Specified",IF(O567&lt;&gt;"", INDEX('Refrigerant GWPs'!$G$2:$G$154,MATCH(O567,'Refrigerant GWPs'!$A$2:$A$154,0)),""),U567),0)</f>
        <v/>
      </c>
      <c r="Q567" s="155"/>
      <c r="R567" s="155"/>
      <c r="S567" s="144"/>
      <c r="T567" s="159" t="str">
        <f>IF(S567&lt;&gt;"User Specified",IF(AND(S567&lt;&gt;"User Specified",S567&lt;&gt;""), INDEX('Refrigerant GWPs'!$G$2:$G$154,MATCH(S567,'Refrigerant GWPs'!$A$2:$A$154,0)),""),V567)</f>
        <v/>
      </c>
      <c r="U567" s="144"/>
      <c r="V567" s="144"/>
      <c r="W567" s="155"/>
      <c r="X567" s="155"/>
      <c r="Y567" s="144"/>
      <c r="Z567" s="159" t="str">
        <f>IF(AND(Y567&lt;&gt;"User Specified",Y567&lt;&gt;""), INDEX('Refrigerant GWPs'!$G$2:$G$154,MATCH(Y567,'Refrigerant GWPs'!$A$2:$A$154,0)),"")</f>
        <v/>
      </c>
      <c r="AA567" s="155"/>
      <c r="AB567" s="156"/>
      <c r="AC567" s="66"/>
      <c r="AD567" s="66"/>
      <c r="AE567" s="66"/>
      <c r="AF567" s="66"/>
      <c r="AG567" s="66"/>
      <c r="AH567" s="66"/>
      <c r="AI567" s="34"/>
      <c r="AJ567" s="88">
        <f t="shared" si="650"/>
        <v>0</v>
      </c>
      <c r="AK567" s="88">
        <f t="shared" si="651"/>
        <v>0</v>
      </c>
      <c r="AL567" s="88">
        <v>0</v>
      </c>
      <c r="AM567" s="88">
        <v>0</v>
      </c>
      <c r="AN567" s="81" t="str">
        <f t="shared" si="689"/>
        <v/>
      </c>
      <c r="AO567" s="88">
        <f t="shared" si="652"/>
        <v>0</v>
      </c>
      <c r="AP567" s="88">
        <f t="shared" si="653"/>
        <v>0</v>
      </c>
      <c r="AQ567" s="81" t="str">
        <f t="shared" si="654"/>
        <v/>
      </c>
      <c r="AS567" s="41" t="b">
        <f t="shared" si="655"/>
        <v>1</v>
      </c>
      <c r="AT567" s="38">
        <f t="shared" si="656"/>
        <v>0</v>
      </c>
      <c r="AU567" s="60">
        <f t="shared" si="657"/>
        <v>0</v>
      </c>
      <c r="AV567" s="41">
        <f t="shared" si="658"/>
        <v>0</v>
      </c>
      <c r="AW567" s="41" t="b">
        <f t="shared" si="659"/>
        <v>0</v>
      </c>
      <c r="AX567" t="str">
        <f t="shared" si="660"/>
        <v>+00</v>
      </c>
      <c r="AY567" t="str">
        <f t="shared" si="661"/>
        <v>+00</v>
      </c>
      <c r="BA567" s="47" t="b">
        <f t="shared" si="690"/>
        <v>1</v>
      </c>
      <c r="BB567" s="42" t="b">
        <f t="shared" si="691"/>
        <v>1</v>
      </c>
      <c r="BC567" s="42" t="b">
        <f t="shared" si="692"/>
        <v>0</v>
      </c>
      <c r="BD567" s="42" t="b">
        <f t="shared" si="693"/>
        <v>0</v>
      </c>
      <c r="BE567" s="70">
        <f t="shared" si="694"/>
        <v>0</v>
      </c>
      <c r="BF567" s="70">
        <f t="shared" si="695"/>
        <v>0</v>
      </c>
      <c r="BG567" s="34"/>
      <c r="BI567" s="47" t="b">
        <f t="shared" si="696"/>
        <v>1</v>
      </c>
      <c r="BJ567" s="47" t="b">
        <f t="shared" si="697"/>
        <v>1</v>
      </c>
      <c r="BK567" s="42" t="b">
        <f t="shared" si="698"/>
        <v>0</v>
      </c>
      <c r="BL567" s="42" t="b">
        <f t="shared" si="699"/>
        <v>0</v>
      </c>
      <c r="BM567" s="42">
        <f t="shared" si="700"/>
        <v>0</v>
      </c>
      <c r="BN567" s="42">
        <f t="shared" si="701"/>
        <v>0</v>
      </c>
      <c r="BP567" t="e">
        <f t="shared" si="702"/>
        <v>#N/A</v>
      </c>
      <c r="BQ567" t="e">
        <f t="shared" si="703"/>
        <v>#N/A</v>
      </c>
      <c r="BR567" t="e">
        <f t="shared" si="704"/>
        <v>#N/A</v>
      </c>
      <c r="BT567" s="60">
        <f t="shared" si="705"/>
        <v>0</v>
      </c>
      <c r="BU567" s="60">
        <f t="shared" si="706"/>
        <v>0</v>
      </c>
      <c r="BV567" s="60">
        <f t="shared" si="707"/>
        <v>0</v>
      </c>
      <c r="BW567" s="60">
        <f t="shared" si="708"/>
        <v>0</v>
      </c>
      <c r="BX567" s="60">
        <f t="shared" si="709"/>
        <v>0</v>
      </c>
      <c r="BY567" s="60">
        <f t="shared" si="710"/>
        <v>0</v>
      </c>
      <c r="BZ567" s="60">
        <f t="shared" si="711"/>
        <v>0</v>
      </c>
      <c r="CA567" s="60">
        <f t="shared" si="712"/>
        <v>0</v>
      </c>
      <c r="CB567" s="60" t="e">
        <f t="shared" si="662"/>
        <v>#N/A</v>
      </c>
      <c r="CC567" s="60">
        <f t="shared" si="663"/>
        <v>100000</v>
      </c>
      <c r="CD567" s="60" t="e">
        <f t="shared" si="664"/>
        <v>#N/A</v>
      </c>
      <c r="CE567" s="60">
        <f t="shared" si="665"/>
        <v>100000</v>
      </c>
      <c r="CF567" s="83" t="e">
        <f t="shared" si="713"/>
        <v>#N/A</v>
      </c>
      <c r="CG567" s="83">
        <f t="shared" si="714"/>
        <v>0</v>
      </c>
      <c r="CH567" s="83" t="e">
        <f t="shared" si="715"/>
        <v>#N/A</v>
      </c>
      <c r="CI567" s="83">
        <f t="shared" si="716"/>
        <v>0</v>
      </c>
      <c r="CJ567" s="86" t="e">
        <f t="shared" si="666"/>
        <v>#N/A</v>
      </c>
      <c r="CK567" s="82">
        <f t="shared" si="667"/>
        <v>5.3070370403969858E-3</v>
      </c>
      <c r="CL567" s="82" t="e">
        <f t="shared" si="668"/>
        <v>#N/A</v>
      </c>
      <c r="CM567" s="82">
        <f t="shared" si="669"/>
        <v>5.3070370403969858E-3</v>
      </c>
      <c r="CO567" s="149" t="str">
        <f>IF($I567&lt;&gt;"",IF(O567="User Specified",U567,INDEX('Refrigerant GWPs'!$G$2:$G$156,MATCH(O567,'Refrigerant GWPs'!$A$2:$A$156,0))),"")</f>
        <v/>
      </c>
      <c r="CP567" s="138" t="str">
        <f>IF($I567&lt;&gt;"",INDEX('Device Refrigerant Leakage'!$E$2:$E$42,MATCH($M567,'Device Refrigerant Leakage'!$B$2:$B$42,0)),"")</f>
        <v/>
      </c>
      <c r="CQ567" s="138" t="str">
        <f>IF($I567&lt;&gt;"",INDEX('Device Refrigerant Leakage'!$F$2:$F$42,MATCH($M567,'Device Refrigerant Leakage'!$B$2:$B$42,0)),"")</f>
        <v/>
      </c>
      <c r="CR567" s="145" t="str">
        <f>IF($I567&lt;&gt;"",INDEX('Device Refrigerant Leakage'!$G$2:$G$42,MATCH($M567,'Device Refrigerant Leakage'!$B$2:$B$42,0)),"")</f>
        <v/>
      </c>
      <c r="CS567" s="145" t="str">
        <f>IF($I567&lt;&gt;"",INDEX('Device Refrigerant Leakage'!$D$2:$D$42,MATCH($M567,'Device Refrigerant Leakage'!$B$2:$B$42,0))*CP567/2204.62*CO567,"")</f>
        <v/>
      </c>
      <c r="CT567" s="145" t="str">
        <f>IF($I567&lt;&gt;"",J567*(INDEX('Device Refrigerant Leakage'!$D$2:$D$42,MATCH($M567,'Device Refrigerant Leakage'!$B$2:$B$42,0))-(INDEX('Device Refrigerant Leakage'!$D$2:$D$42,MATCH($M567,'Device Refrigerant Leakage'!$B$2:$B$42,0)))*CR567*CP567)*CQ567/2204.62*CO567,"")</f>
        <v/>
      </c>
      <c r="CU567" s="135" t="str">
        <f>IF($I567&lt;&gt;"",J567*IF(W567&lt;&gt;"AR",(CS567*K567)+CT567,(CS567*AB567)+CT567*(AB567/INDEX('Device Refrigerant Leakage'!$C$2:$C$42,MATCH($M567,'Device Refrigerant Leakage'!$B$2:$B$42,0)))),"")</f>
        <v/>
      </c>
      <c r="CW567" s="135" t="str">
        <f>IF($I567&lt;&gt;"",IF(S567="User Specified",V567,INDEX('Refrigerant GWPs'!$G$2:$G$156,MATCH(S567,'Refrigerant GWPs'!$A$2:$A$157,0))),"")</f>
        <v/>
      </c>
      <c r="CX567" s="138" t="str">
        <f>IF($I567&lt;&gt;"",INDEX('Device Refrigerant Leakage'!$E$2:$E$42,MATCH($Q567,'Device Refrigerant Leakage'!$B$2:$B$42,0)),"")</f>
        <v/>
      </c>
      <c r="CY567" s="138" t="str">
        <f>IF($I567&lt;&gt;"",INDEX('Device Refrigerant Leakage'!$F$2:$F$42,MATCH($Q567,'Device Refrigerant Leakage'!$B$2:$B$42,0)),"")</f>
        <v/>
      </c>
      <c r="CZ567" s="145" t="str">
        <f>IF($I567&lt;&gt;"",INDEX('Device Refrigerant Leakage'!$G$2:$G$42,MATCH($Q567,'Device Refrigerant Leakage'!$B$2:$B$42,0)),"")</f>
        <v/>
      </c>
      <c r="DA567" s="145" t="str">
        <f>IF($I567&lt;&gt;"",J567*INDEX('Device Refrigerant Leakage'!$D$2:$D$42,MATCH($Q567,'Device Refrigerant Leakage'!$B$2:$B$42,0))*CX567/2204.62*CW567,"")</f>
        <v/>
      </c>
      <c r="DB567" s="145" t="str">
        <f>IF($I567&lt;&gt;"",J567*(INDEX('Device Refrigerant Leakage'!$D$2:$D$42,MATCH($Q567,'Device Refrigerant Leakage'!$B$2:$B$42,0))-(INDEX('Device Refrigerant Leakage'!$D$2:$D$42,MATCH($Q567,'Device Refrigerant Leakage'!$B$2:$B$42,0)))*CZ567*CX567)*CY567/2204.62*CW567,"")</f>
        <v/>
      </c>
      <c r="DC567" s="135" t="str">
        <f t="shared" si="688"/>
        <v/>
      </c>
      <c r="DE567" s="146" t="str">
        <f>IF(W567&lt;&gt;"AR","",IF(Y567="User Specified", AA567, INDEX('Refrigerant GWPs'!$G$2:$G$154,MATCH(Y567,'Refrigerant GWPs'!$A$2:$A$154,0))))</f>
        <v/>
      </c>
      <c r="DF567" s="146" t="str">
        <f>IF(W567&lt;&gt;"AR","",INDEX('Device Refrigerant Leakage'!$E$2:$E$42,MATCH(X567,'Device Refrigerant Leakage'!$B$2:$B$42,0)))</f>
        <v/>
      </c>
      <c r="DG567" s="146" t="str">
        <f>IF(W567&lt;&gt;"AR","",INDEX('Device Refrigerant Leakage'!$F$2:$F$42,MATCH(X567,'Device Refrigerant Leakage'!$B$2:$B$42,0)))</f>
        <v/>
      </c>
      <c r="DH567" s="146" t="str">
        <f>IF(W567&lt;&gt;"AR","",INDEX('Device Refrigerant Leakage'!$G$2:$G$42,MATCH(X567,'Device Refrigerant Leakage'!$B$2:$B$42,0)))</f>
        <v/>
      </c>
      <c r="DI567" s="146" t="str">
        <f>IF(W567&lt;&gt;"AR","",J567*INDEX('Device Refrigerant Leakage'!$D$2:$D$42,MATCH(X567,'Device Refrigerant Leakage'!$B$2:$B$42,0))*DF567/2204.62*DE567)</f>
        <v/>
      </c>
      <c r="DJ567" s="146" t="str">
        <f>IF(W567&lt;&gt;"AR","",J567*(INDEX('Device Refrigerant Leakage'!$D$2:$D$42,MATCH(X567,'Device Refrigerant Leakage'!$B$2:$B$42,0))-(INDEX('Device Refrigerant Leakage'!$D$2:$D$42,MATCH(X567,'Device Refrigerant Leakage'!$B$2:$B$42,0)))*DH567*DF567)*DG567/2204.62*DE567)</f>
        <v/>
      </c>
      <c r="DK567" s="146" t="str">
        <f>IF(W567&lt;&gt;"AR","",DI567*(K567-AB567)+'Fuel Sub Calcs-Deemed'!DJ567*((K567-AB567)/INDEX('Device Refrigerant Leakage'!$C$2:$C$42,MATCH('Fuel Sub Calcs-Deemed'!X567,'Device Refrigerant Leakage'!$B$2:$B$42,0))))</f>
        <v/>
      </c>
      <c r="DM567" s="56">
        <v>553</v>
      </c>
      <c r="DN567" s="67" t="e">
        <f t="shared" si="670"/>
        <v>#N/A</v>
      </c>
      <c r="DO567" s="45" t="e">
        <f t="shared" si="671"/>
        <v>#N/A</v>
      </c>
      <c r="DP567" s="67" t="e">
        <f t="shared" si="672"/>
        <v>#N/A</v>
      </c>
      <c r="DQ567" s="45" t="e">
        <f t="shared" si="673"/>
        <v>#N/A</v>
      </c>
      <c r="DR567" s="69" t="e">
        <f t="shared" si="674"/>
        <v>#N/A</v>
      </c>
      <c r="DS567" s="34"/>
      <c r="DT567" s="67" t="e">
        <f>((BX567*CJ567)+IF($W567=MAT_AR,(BZ567*CL567),0))*(1+Reference!$E$50+Reference!$E$51)</f>
        <v>#N/A</v>
      </c>
      <c r="DU567" s="67">
        <f>((BY567*CK567)+IF($W567=MAT_AR,(CA567*CM567),0))*(1+Reference!$G$50+Reference!$G$51)</f>
        <v>0</v>
      </c>
      <c r="DV567" s="67" t="e">
        <f t="shared" si="675"/>
        <v>#VALUE!</v>
      </c>
      <c r="DX567" s="56">
        <v>553</v>
      </c>
      <c r="DY567" s="67">
        <f t="shared" si="676"/>
        <v>0</v>
      </c>
      <c r="DZ567" s="45" t="e">
        <f>VLOOKUP($R567,Dropdown!$C$3:$D$4,2,FALSE)</f>
        <v>#N/A</v>
      </c>
      <c r="EA567" s="68">
        <f t="shared" si="677"/>
        <v>0</v>
      </c>
      <c r="EB567" s="68" t="str">
        <f t="shared" si="678"/>
        <v>N/A</v>
      </c>
      <c r="EC567" s="68">
        <f t="shared" si="679"/>
        <v>0</v>
      </c>
      <c r="ED567" s="68" t="str">
        <f t="shared" si="717"/>
        <v>N/A</v>
      </c>
      <c r="EF567" s="56">
        <v>553</v>
      </c>
      <c r="EG567" s="46">
        <f t="shared" si="680"/>
        <v>0</v>
      </c>
      <c r="EH567" s="68" t="e">
        <f t="shared" si="681"/>
        <v>#N/A</v>
      </c>
      <c r="EI567" s="68" t="e">
        <f t="shared" si="682"/>
        <v>#N/A</v>
      </c>
      <c r="EJ567" s="68" t="e">
        <f t="shared" si="683"/>
        <v>#N/A</v>
      </c>
      <c r="EK567" s="68" t="e">
        <f t="shared" si="684"/>
        <v>#N/A</v>
      </c>
      <c r="EL567" s="46">
        <f t="shared" si="685"/>
        <v>0</v>
      </c>
      <c r="EM567" s="46">
        <f t="shared" si="686"/>
        <v>0</v>
      </c>
    </row>
    <row r="568" spans="1:143">
      <c r="A568" s="89"/>
      <c r="B568" s="89"/>
      <c r="C568" s="89"/>
      <c r="D568" s="89"/>
      <c r="E568" s="89"/>
      <c r="F568" s="89"/>
      <c r="G568" s="34"/>
      <c r="H568" s="56">
        <f t="shared" si="687"/>
        <v>554</v>
      </c>
      <c r="I568" s="165"/>
      <c r="J568" s="163"/>
      <c r="K568" s="163"/>
      <c r="L568" s="164"/>
      <c r="M568" s="155"/>
      <c r="N568" s="155"/>
      <c r="O568" s="144"/>
      <c r="P568" s="159" t="str">
        <f>IFERROR(IF(O568&lt;&gt;"User Specified",IF(O568&lt;&gt;"", INDEX('Refrigerant GWPs'!$G$2:$G$154,MATCH(O568,'Refrigerant GWPs'!$A$2:$A$154,0)),""),U568),0)</f>
        <v/>
      </c>
      <c r="Q568" s="155"/>
      <c r="R568" s="155"/>
      <c r="S568" s="144"/>
      <c r="T568" s="159" t="str">
        <f>IF(S568&lt;&gt;"User Specified",IF(AND(S568&lt;&gt;"User Specified",S568&lt;&gt;""), INDEX('Refrigerant GWPs'!$G$2:$G$154,MATCH(S568,'Refrigerant GWPs'!$A$2:$A$154,0)),""),V568)</f>
        <v/>
      </c>
      <c r="U568" s="144"/>
      <c r="V568" s="144"/>
      <c r="W568" s="155"/>
      <c r="X568" s="155"/>
      <c r="Y568" s="144"/>
      <c r="Z568" s="159" t="str">
        <f>IF(AND(Y568&lt;&gt;"User Specified",Y568&lt;&gt;""), INDEX('Refrigerant GWPs'!$G$2:$G$154,MATCH(Y568,'Refrigerant GWPs'!$A$2:$A$154,0)),"")</f>
        <v/>
      </c>
      <c r="AA568" s="155"/>
      <c r="AB568" s="156"/>
      <c r="AC568" s="66"/>
      <c r="AD568" s="66"/>
      <c r="AE568" s="66"/>
      <c r="AF568" s="66"/>
      <c r="AG568" s="66"/>
      <c r="AH568" s="66"/>
      <c r="AI568" s="34"/>
      <c r="AJ568" s="88">
        <f t="shared" si="650"/>
        <v>0</v>
      </c>
      <c r="AK568" s="88">
        <f t="shared" si="651"/>
        <v>0</v>
      </c>
      <c r="AL568" s="88">
        <v>0</v>
      </c>
      <c r="AM568" s="88">
        <v>0</v>
      </c>
      <c r="AN568" s="81" t="str">
        <f t="shared" si="689"/>
        <v/>
      </c>
      <c r="AO568" s="88">
        <f t="shared" si="652"/>
        <v>0</v>
      </c>
      <c r="AP568" s="88">
        <f t="shared" si="653"/>
        <v>0</v>
      </c>
      <c r="AQ568" s="81" t="str">
        <f t="shared" si="654"/>
        <v/>
      </c>
      <c r="AS568" s="41" t="b">
        <f t="shared" si="655"/>
        <v>1</v>
      </c>
      <c r="AT568" s="38">
        <f t="shared" si="656"/>
        <v>0</v>
      </c>
      <c r="AU568" s="60">
        <f t="shared" si="657"/>
        <v>0</v>
      </c>
      <c r="AV568" s="41">
        <f t="shared" si="658"/>
        <v>0</v>
      </c>
      <c r="AW568" s="41" t="b">
        <f t="shared" si="659"/>
        <v>0</v>
      </c>
      <c r="AX568" t="str">
        <f t="shared" si="660"/>
        <v>+00</v>
      </c>
      <c r="AY568" t="str">
        <f t="shared" si="661"/>
        <v>+00</v>
      </c>
      <c r="BA568" s="47" t="b">
        <f t="shared" si="690"/>
        <v>1</v>
      </c>
      <c r="BB568" s="42" t="b">
        <f t="shared" si="691"/>
        <v>1</v>
      </c>
      <c r="BC568" s="42" t="b">
        <f t="shared" si="692"/>
        <v>0</v>
      </c>
      <c r="BD568" s="42" t="b">
        <f t="shared" si="693"/>
        <v>0</v>
      </c>
      <c r="BE568" s="70">
        <f t="shared" si="694"/>
        <v>0</v>
      </c>
      <c r="BF568" s="70">
        <f t="shared" si="695"/>
        <v>0</v>
      </c>
      <c r="BG568" s="34"/>
      <c r="BI568" s="47" t="b">
        <f t="shared" si="696"/>
        <v>1</v>
      </c>
      <c r="BJ568" s="47" t="b">
        <f t="shared" si="697"/>
        <v>1</v>
      </c>
      <c r="BK568" s="42" t="b">
        <f t="shared" si="698"/>
        <v>0</v>
      </c>
      <c r="BL568" s="42" t="b">
        <f t="shared" si="699"/>
        <v>0</v>
      </c>
      <c r="BM568" s="42">
        <f t="shared" si="700"/>
        <v>0</v>
      </c>
      <c r="BN568" s="42">
        <f t="shared" si="701"/>
        <v>0</v>
      </c>
      <c r="BP568" t="e">
        <f t="shared" si="702"/>
        <v>#N/A</v>
      </c>
      <c r="BQ568" t="e">
        <f t="shared" si="703"/>
        <v>#N/A</v>
      </c>
      <c r="BR568" t="e">
        <f t="shared" si="704"/>
        <v>#N/A</v>
      </c>
      <c r="BT568" s="60">
        <f t="shared" si="705"/>
        <v>0</v>
      </c>
      <c r="BU568" s="60">
        <f t="shared" si="706"/>
        <v>0</v>
      </c>
      <c r="BV568" s="60">
        <f t="shared" si="707"/>
        <v>0</v>
      </c>
      <c r="BW568" s="60">
        <f t="shared" si="708"/>
        <v>0</v>
      </c>
      <c r="BX568" s="60">
        <f t="shared" si="709"/>
        <v>0</v>
      </c>
      <c r="BY568" s="60">
        <f t="shared" si="710"/>
        <v>0</v>
      </c>
      <c r="BZ568" s="60">
        <f t="shared" si="711"/>
        <v>0</v>
      </c>
      <c r="CA568" s="60">
        <f t="shared" si="712"/>
        <v>0</v>
      </c>
      <c r="CB568" s="60" t="e">
        <f t="shared" si="662"/>
        <v>#N/A</v>
      </c>
      <c r="CC568" s="60">
        <f t="shared" si="663"/>
        <v>100000</v>
      </c>
      <c r="CD568" s="60" t="e">
        <f t="shared" si="664"/>
        <v>#N/A</v>
      </c>
      <c r="CE568" s="60">
        <f t="shared" si="665"/>
        <v>100000</v>
      </c>
      <c r="CF568" s="83" t="e">
        <f t="shared" si="713"/>
        <v>#N/A</v>
      </c>
      <c r="CG568" s="83">
        <f t="shared" si="714"/>
        <v>0</v>
      </c>
      <c r="CH568" s="83" t="e">
        <f t="shared" si="715"/>
        <v>#N/A</v>
      </c>
      <c r="CI568" s="83">
        <f t="shared" si="716"/>
        <v>0</v>
      </c>
      <c r="CJ568" s="86" t="e">
        <f t="shared" si="666"/>
        <v>#N/A</v>
      </c>
      <c r="CK568" s="82">
        <f t="shared" si="667"/>
        <v>5.3070370403969858E-3</v>
      </c>
      <c r="CL568" s="82" t="e">
        <f t="shared" si="668"/>
        <v>#N/A</v>
      </c>
      <c r="CM568" s="82">
        <f t="shared" si="669"/>
        <v>5.3070370403969858E-3</v>
      </c>
      <c r="CO568" s="149" t="str">
        <f>IF($I568&lt;&gt;"",IF(O568="User Specified",U568,INDEX('Refrigerant GWPs'!$G$2:$G$156,MATCH(O568,'Refrigerant GWPs'!$A$2:$A$156,0))),"")</f>
        <v/>
      </c>
      <c r="CP568" s="138" t="str">
        <f>IF($I568&lt;&gt;"",INDEX('Device Refrigerant Leakage'!$E$2:$E$42,MATCH($M568,'Device Refrigerant Leakage'!$B$2:$B$42,0)),"")</f>
        <v/>
      </c>
      <c r="CQ568" s="138" t="str">
        <f>IF($I568&lt;&gt;"",INDEX('Device Refrigerant Leakage'!$F$2:$F$42,MATCH($M568,'Device Refrigerant Leakage'!$B$2:$B$42,0)),"")</f>
        <v/>
      </c>
      <c r="CR568" s="145" t="str">
        <f>IF($I568&lt;&gt;"",INDEX('Device Refrigerant Leakage'!$G$2:$G$42,MATCH($M568,'Device Refrigerant Leakage'!$B$2:$B$42,0)),"")</f>
        <v/>
      </c>
      <c r="CS568" s="145" t="str">
        <f>IF($I568&lt;&gt;"",INDEX('Device Refrigerant Leakage'!$D$2:$D$42,MATCH($M568,'Device Refrigerant Leakage'!$B$2:$B$42,0))*CP568/2204.62*CO568,"")</f>
        <v/>
      </c>
      <c r="CT568" s="145" t="str">
        <f>IF($I568&lt;&gt;"",J568*(INDEX('Device Refrigerant Leakage'!$D$2:$D$42,MATCH($M568,'Device Refrigerant Leakage'!$B$2:$B$42,0))-(INDEX('Device Refrigerant Leakage'!$D$2:$D$42,MATCH($M568,'Device Refrigerant Leakage'!$B$2:$B$42,0)))*CR568*CP568)*CQ568/2204.62*CO568,"")</f>
        <v/>
      </c>
      <c r="CU568" s="135" t="str">
        <f>IF($I568&lt;&gt;"",J568*IF(W568&lt;&gt;"AR",(CS568*K568)+CT568,(CS568*AB568)+CT568*(AB568/INDEX('Device Refrigerant Leakage'!$C$2:$C$42,MATCH($M568,'Device Refrigerant Leakage'!$B$2:$B$42,0)))),"")</f>
        <v/>
      </c>
      <c r="CW568" s="135" t="str">
        <f>IF($I568&lt;&gt;"",IF(S568="User Specified",V568,INDEX('Refrigerant GWPs'!$G$2:$G$156,MATCH(S568,'Refrigerant GWPs'!$A$2:$A$157,0))),"")</f>
        <v/>
      </c>
      <c r="CX568" s="138" t="str">
        <f>IF($I568&lt;&gt;"",INDEX('Device Refrigerant Leakage'!$E$2:$E$42,MATCH($Q568,'Device Refrigerant Leakage'!$B$2:$B$42,0)),"")</f>
        <v/>
      </c>
      <c r="CY568" s="138" t="str">
        <f>IF($I568&lt;&gt;"",INDEX('Device Refrigerant Leakage'!$F$2:$F$42,MATCH($Q568,'Device Refrigerant Leakage'!$B$2:$B$42,0)),"")</f>
        <v/>
      </c>
      <c r="CZ568" s="145" t="str">
        <f>IF($I568&lt;&gt;"",INDEX('Device Refrigerant Leakage'!$G$2:$G$42,MATCH($Q568,'Device Refrigerant Leakage'!$B$2:$B$42,0)),"")</f>
        <v/>
      </c>
      <c r="DA568" s="145" t="str">
        <f>IF($I568&lt;&gt;"",J568*INDEX('Device Refrigerant Leakage'!$D$2:$D$42,MATCH($Q568,'Device Refrigerant Leakage'!$B$2:$B$42,0))*CX568/2204.62*CW568,"")</f>
        <v/>
      </c>
      <c r="DB568" s="145" t="str">
        <f>IF($I568&lt;&gt;"",J568*(INDEX('Device Refrigerant Leakage'!$D$2:$D$42,MATCH($Q568,'Device Refrigerant Leakage'!$B$2:$B$42,0))-(INDEX('Device Refrigerant Leakage'!$D$2:$D$42,MATCH($Q568,'Device Refrigerant Leakage'!$B$2:$B$42,0)))*CZ568*CX568)*CY568/2204.62*CW568,"")</f>
        <v/>
      </c>
      <c r="DC568" s="135" t="str">
        <f t="shared" si="688"/>
        <v/>
      </c>
      <c r="DE568" s="146" t="str">
        <f>IF(W568&lt;&gt;"AR","",IF(Y568="User Specified", AA568, INDEX('Refrigerant GWPs'!$G$2:$G$154,MATCH(Y568,'Refrigerant GWPs'!$A$2:$A$154,0))))</f>
        <v/>
      </c>
      <c r="DF568" s="146" t="str">
        <f>IF(W568&lt;&gt;"AR","",INDEX('Device Refrigerant Leakage'!$E$2:$E$42,MATCH(X568,'Device Refrigerant Leakage'!$B$2:$B$42,0)))</f>
        <v/>
      </c>
      <c r="DG568" s="146" t="str">
        <f>IF(W568&lt;&gt;"AR","",INDEX('Device Refrigerant Leakage'!$F$2:$F$42,MATCH(X568,'Device Refrigerant Leakage'!$B$2:$B$42,0)))</f>
        <v/>
      </c>
      <c r="DH568" s="146" t="str">
        <f>IF(W568&lt;&gt;"AR","",INDEX('Device Refrigerant Leakage'!$G$2:$G$42,MATCH(X568,'Device Refrigerant Leakage'!$B$2:$B$42,0)))</f>
        <v/>
      </c>
      <c r="DI568" s="146" t="str">
        <f>IF(W568&lt;&gt;"AR","",J568*INDEX('Device Refrigerant Leakage'!$D$2:$D$42,MATCH(X568,'Device Refrigerant Leakage'!$B$2:$B$42,0))*DF568/2204.62*DE568)</f>
        <v/>
      </c>
      <c r="DJ568" s="146" t="str">
        <f>IF(W568&lt;&gt;"AR","",J568*(INDEX('Device Refrigerant Leakage'!$D$2:$D$42,MATCH(X568,'Device Refrigerant Leakage'!$B$2:$B$42,0))-(INDEX('Device Refrigerant Leakage'!$D$2:$D$42,MATCH(X568,'Device Refrigerant Leakage'!$B$2:$B$42,0)))*DH568*DF568)*DG568/2204.62*DE568)</f>
        <v/>
      </c>
      <c r="DK568" s="146" t="str">
        <f>IF(W568&lt;&gt;"AR","",DI568*(K568-AB568)+'Fuel Sub Calcs-Deemed'!DJ568*((K568-AB568)/INDEX('Device Refrigerant Leakage'!$C$2:$C$42,MATCH('Fuel Sub Calcs-Deemed'!X568,'Device Refrigerant Leakage'!$B$2:$B$42,0))))</f>
        <v/>
      </c>
      <c r="DM568" s="56">
        <v>554</v>
      </c>
      <c r="DN568" s="67" t="e">
        <f t="shared" si="670"/>
        <v>#N/A</v>
      </c>
      <c r="DO568" s="45" t="e">
        <f t="shared" si="671"/>
        <v>#N/A</v>
      </c>
      <c r="DP568" s="67" t="e">
        <f t="shared" si="672"/>
        <v>#N/A</v>
      </c>
      <c r="DQ568" s="45" t="e">
        <f t="shared" si="673"/>
        <v>#N/A</v>
      </c>
      <c r="DR568" s="69" t="e">
        <f t="shared" si="674"/>
        <v>#N/A</v>
      </c>
      <c r="DS568" s="34"/>
      <c r="DT568" s="67" t="e">
        <f>((BX568*CJ568)+IF($W568=MAT_AR,(BZ568*CL568),0))*(1+Reference!$E$50+Reference!$E$51)</f>
        <v>#N/A</v>
      </c>
      <c r="DU568" s="67">
        <f>((BY568*CK568)+IF($W568=MAT_AR,(CA568*CM568),0))*(1+Reference!$G$50+Reference!$G$51)</f>
        <v>0</v>
      </c>
      <c r="DV568" s="67" t="e">
        <f t="shared" si="675"/>
        <v>#VALUE!</v>
      </c>
      <c r="DX568" s="56">
        <v>554</v>
      </c>
      <c r="DY568" s="67">
        <f t="shared" si="676"/>
        <v>0</v>
      </c>
      <c r="DZ568" s="45" t="e">
        <f>VLOOKUP($R568,Dropdown!$C$3:$D$4,2,FALSE)</f>
        <v>#N/A</v>
      </c>
      <c r="EA568" s="68">
        <f t="shared" si="677"/>
        <v>0</v>
      </c>
      <c r="EB568" s="68" t="str">
        <f t="shared" si="678"/>
        <v>N/A</v>
      </c>
      <c r="EC568" s="68">
        <f t="shared" si="679"/>
        <v>0</v>
      </c>
      <c r="ED568" s="68" t="str">
        <f t="shared" si="717"/>
        <v>N/A</v>
      </c>
      <c r="EF568" s="56">
        <v>554</v>
      </c>
      <c r="EG568" s="46">
        <f t="shared" si="680"/>
        <v>0</v>
      </c>
      <c r="EH568" s="68" t="e">
        <f t="shared" si="681"/>
        <v>#N/A</v>
      </c>
      <c r="EI568" s="68" t="e">
        <f t="shared" si="682"/>
        <v>#N/A</v>
      </c>
      <c r="EJ568" s="68" t="e">
        <f t="shared" si="683"/>
        <v>#N/A</v>
      </c>
      <c r="EK568" s="68" t="e">
        <f t="shared" si="684"/>
        <v>#N/A</v>
      </c>
      <c r="EL568" s="46">
        <f t="shared" si="685"/>
        <v>0</v>
      </c>
      <c r="EM568" s="46">
        <f t="shared" si="686"/>
        <v>0</v>
      </c>
    </row>
    <row r="569" spans="1:143">
      <c r="A569" s="89"/>
      <c r="B569" s="89"/>
      <c r="C569" s="89"/>
      <c r="D569" s="89"/>
      <c r="E569" s="89"/>
      <c r="F569" s="89"/>
      <c r="G569" s="34"/>
      <c r="H569" s="56">
        <f t="shared" si="687"/>
        <v>555</v>
      </c>
      <c r="I569" s="165"/>
      <c r="J569" s="163"/>
      <c r="K569" s="163"/>
      <c r="L569" s="164"/>
      <c r="M569" s="155"/>
      <c r="N569" s="155"/>
      <c r="O569" s="144"/>
      <c r="P569" s="159" t="str">
        <f>IFERROR(IF(O569&lt;&gt;"User Specified",IF(O569&lt;&gt;"", INDEX('Refrigerant GWPs'!$G$2:$G$154,MATCH(O569,'Refrigerant GWPs'!$A$2:$A$154,0)),""),U569),0)</f>
        <v/>
      </c>
      <c r="Q569" s="155"/>
      <c r="R569" s="155"/>
      <c r="S569" s="144"/>
      <c r="T569" s="159" t="str">
        <f>IF(S569&lt;&gt;"User Specified",IF(AND(S569&lt;&gt;"User Specified",S569&lt;&gt;""), INDEX('Refrigerant GWPs'!$G$2:$G$154,MATCH(S569,'Refrigerant GWPs'!$A$2:$A$154,0)),""),V569)</f>
        <v/>
      </c>
      <c r="U569" s="144"/>
      <c r="V569" s="144"/>
      <c r="W569" s="155"/>
      <c r="X569" s="155"/>
      <c r="Y569" s="144"/>
      <c r="Z569" s="159" t="str">
        <f>IF(AND(Y569&lt;&gt;"User Specified",Y569&lt;&gt;""), INDEX('Refrigerant GWPs'!$G$2:$G$154,MATCH(Y569,'Refrigerant GWPs'!$A$2:$A$154,0)),"")</f>
        <v/>
      </c>
      <c r="AA569" s="155"/>
      <c r="AB569" s="156"/>
      <c r="AC569" s="66"/>
      <c r="AD569" s="66"/>
      <c r="AE569" s="66"/>
      <c r="AF569" s="66"/>
      <c r="AG569" s="66"/>
      <c r="AH569" s="66"/>
      <c r="AI569" s="34"/>
      <c r="AJ569" s="88">
        <f t="shared" si="650"/>
        <v>0</v>
      </c>
      <c r="AK569" s="88">
        <f t="shared" si="651"/>
        <v>0</v>
      </c>
      <c r="AL569" s="88">
        <v>0</v>
      </c>
      <c r="AM569" s="88">
        <v>0</v>
      </c>
      <c r="AN569" s="81" t="str">
        <f t="shared" si="689"/>
        <v/>
      </c>
      <c r="AO569" s="88">
        <f t="shared" si="652"/>
        <v>0</v>
      </c>
      <c r="AP569" s="88">
        <f t="shared" si="653"/>
        <v>0</v>
      </c>
      <c r="AQ569" s="81" t="str">
        <f t="shared" si="654"/>
        <v/>
      </c>
      <c r="AS569" s="41" t="b">
        <f t="shared" si="655"/>
        <v>1</v>
      </c>
      <c r="AT569" s="38">
        <f t="shared" si="656"/>
        <v>0</v>
      </c>
      <c r="AU569" s="60">
        <f t="shared" si="657"/>
        <v>0</v>
      </c>
      <c r="AV569" s="41">
        <f t="shared" si="658"/>
        <v>0</v>
      </c>
      <c r="AW569" s="41" t="b">
        <f t="shared" si="659"/>
        <v>0</v>
      </c>
      <c r="AX569" t="str">
        <f t="shared" si="660"/>
        <v>+00</v>
      </c>
      <c r="AY569" t="str">
        <f t="shared" si="661"/>
        <v>+00</v>
      </c>
      <c r="BA569" s="47" t="b">
        <f t="shared" si="690"/>
        <v>1</v>
      </c>
      <c r="BB569" s="42" t="b">
        <f t="shared" si="691"/>
        <v>1</v>
      </c>
      <c r="BC569" s="42" t="b">
        <f t="shared" si="692"/>
        <v>0</v>
      </c>
      <c r="BD569" s="42" t="b">
        <f t="shared" si="693"/>
        <v>0</v>
      </c>
      <c r="BE569" s="70">
        <f t="shared" si="694"/>
        <v>0</v>
      </c>
      <c r="BF569" s="70">
        <f t="shared" si="695"/>
        <v>0</v>
      </c>
      <c r="BG569" s="34"/>
      <c r="BI569" s="47" t="b">
        <f t="shared" si="696"/>
        <v>1</v>
      </c>
      <c r="BJ569" s="47" t="b">
        <f t="shared" si="697"/>
        <v>1</v>
      </c>
      <c r="BK569" s="42" t="b">
        <f t="shared" si="698"/>
        <v>0</v>
      </c>
      <c r="BL569" s="42" t="b">
        <f t="shared" si="699"/>
        <v>0</v>
      </c>
      <c r="BM569" s="42">
        <f t="shared" si="700"/>
        <v>0</v>
      </c>
      <c r="BN569" s="42">
        <f t="shared" si="701"/>
        <v>0</v>
      </c>
      <c r="BP569" t="e">
        <f t="shared" si="702"/>
        <v>#N/A</v>
      </c>
      <c r="BQ569" t="e">
        <f t="shared" si="703"/>
        <v>#N/A</v>
      </c>
      <c r="BR569" t="e">
        <f t="shared" si="704"/>
        <v>#N/A</v>
      </c>
      <c r="BT569" s="60">
        <f t="shared" si="705"/>
        <v>0</v>
      </c>
      <c r="BU569" s="60">
        <f t="shared" si="706"/>
        <v>0</v>
      </c>
      <c r="BV569" s="60">
        <f t="shared" si="707"/>
        <v>0</v>
      </c>
      <c r="BW569" s="60">
        <f t="shared" si="708"/>
        <v>0</v>
      </c>
      <c r="BX569" s="60">
        <f t="shared" si="709"/>
        <v>0</v>
      </c>
      <c r="BY569" s="60">
        <f t="shared" si="710"/>
        <v>0</v>
      </c>
      <c r="BZ569" s="60">
        <f t="shared" si="711"/>
        <v>0</v>
      </c>
      <c r="CA569" s="60">
        <f t="shared" si="712"/>
        <v>0</v>
      </c>
      <c r="CB569" s="60" t="e">
        <f t="shared" si="662"/>
        <v>#N/A</v>
      </c>
      <c r="CC569" s="60">
        <f t="shared" si="663"/>
        <v>100000</v>
      </c>
      <c r="CD569" s="60" t="e">
        <f t="shared" si="664"/>
        <v>#N/A</v>
      </c>
      <c r="CE569" s="60">
        <f t="shared" si="665"/>
        <v>100000</v>
      </c>
      <c r="CF569" s="83" t="e">
        <f t="shared" si="713"/>
        <v>#N/A</v>
      </c>
      <c r="CG569" s="83">
        <f t="shared" si="714"/>
        <v>0</v>
      </c>
      <c r="CH569" s="83" t="e">
        <f t="shared" si="715"/>
        <v>#N/A</v>
      </c>
      <c r="CI569" s="83">
        <f t="shared" si="716"/>
        <v>0</v>
      </c>
      <c r="CJ569" s="86" t="e">
        <f t="shared" si="666"/>
        <v>#N/A</v>
      </c>
      <c r="CK569" s="82">
        <f t="shared" si="667"/>
        <v>5.3070370403969858E-3</v>
      </c>
      <c r="CL569" s="82" t="e">
        <f t="shared" si="668"/>
        <v>#N/A</v>
      </c>
      <c r="CM569" s="82">
        <f t="shared" si="669"/>
        <v>5.3070370403969858E-3</v>
      </c>
      <c r="CO569" s="149" t="str">
        <f>IF($I569&lt;&gt;"",IF(O569="User Specified",U569,INDEX('Refrigerant GWPs'!$G$2:$G$156,MATCH(O569,'Refrigerant GWPs'!$A$2:$A$156,0))),"")</f>
        <v/>
      </c>
      <c r="CP569" s="138" t="str">
        <f>IF($I569&lt;&gt;"",INDEX('Device Refrigerant Leakage'!$E$2:$E$42,MATCH($M569,'Device Refrigerant Leakage'!$B$2:$B$42,0)),"")</f>
        <v/>
      </c>
      <c r="CQ569" s="138" t="str">
        <f>IF($I569&lt;&gt;"",INDEX('Device Refrigerant Leakage'!$F$2:$F$42,MATCH($M569,'Device Refrigerant Leakage'!$B$2:$B$42,0)),"")</f>
        <v/>
      </c>
      <c r="CR569" s="145" t="str">
        <f>IF($I569&lt;&gt;"",INDEX('Device Refrigerant Leakage'!$G$2:$G$42,MATCH($M569,'Device Refrigerant Leakage'!$B$2:$B$42,0)),"")</f>
        <v/>
      </c>
      <c r="CS569" s="145" t="str">
        <f>IF($I569&lt;&gt;"",INDEX('Device Refrigerant Leakage'!$D$2:$D$42,MATCH($M569,'Device Refrigerant Leakage'!$B$2:$B$42,0))*CP569/2204.62*CO569,"")</f>
        <v/>
      </c>
      <c r="CT569" s="145" t="str">
        <f>IF($I569&lt;&gt;"",J569*(INDEX('Device Refrigerant Leakage'!$D$2:$D$42,MATCH($M569,'Device Refrigerant Leakage'!$B$2:$B$42,0))-(INDEX('Device Refrigerant Leakage'!$D$2:$D$42,MATCH($M569,'Device Refrigerant Leakage'!$B$2:$B$42,0)))*CR569*CP569)*CQ569/2204.62*CO569,"")</f>
        <v/>
      </c>
      <c r="CU569" s="135" t="str">
        <f>IF($I569&lt;&gt;"",J569*IF(W569&lt;&gt;"AR",(CS569*K569)+CT569,(CS569*AB569)+CT569*(AB569/INDEX('Device Refrigerant Leakage'!$C$2:$C$42,MATCH($M569,'Device Refrigerant Leakage'!$B$2:$B$42,0)))),"")</f>
        <v/>
      </c>
      <c r="CW569" s="135" t="str">
        <f>IF($I569&lt;&gt;"",IF(S569="User Specified",V569,INDEX('Refrigerant GWPs'!$G$2:$G$156,MATCH(S569,'Refrigerant GWPs'!$A$2:$A$157,0))),"")</f>
        <v/>
      </c>
      <c r="CX569" s="138" t="str">
        <f>IF($I569&lt;&gt;"",INDEX('Device Refrigerant Leakage'!$E$2:$E$42,MATCH($Q569,'Device Refrigerant Leakage'!$B$2:$B$42,0)),"")</f>
        <v/>
      </c>
      <c r="CY569" s="138" t="str">
        <f>IF($I569&lt;&gt;"",INDEX('Device Refrigerant Leakage'!$F$2:$F$42,MATCH($Q569,'Device Refrigerant Leakage'!$B$2:$B$42,0)),"")</f>
        <v/>
      </c>
      <c r="CZ569" s="145" t="str">
        <f>IF($I569&lt;&gt;"",INDEX('Device Refrigerant Leakage'!$G$2:$G$42,MATCH($Q569,'Device Refrigerant Leakage'!$B$2:$B$42,0)),"")</f>
        <v/>
      </c>
      <c r="DA569" s="145" t="str">
        <f>IF($I569&lt;&gt;"",J569*INDEX('Device Refrigerant Leakage'!$D$2:$D$42,MATCH($Q569,'Device Refrigerant Leakage'!$B$2:$B$42,0))*CX569/2204.62*CW569,"")</f>
        <v/>
      </c>
      <c r="DB569" s="145" t="str">
        <f>IF($I569&lt;&gt;"",J569*(INDEX('Device Refrigerant Leakage'!$D$2:$D$42,MATCH($Q569,'Device Refrigerant Leakage'!$B$2:$B$42,0))-(INDEX('Device Refrigerant Leakage'!$D$2:$D$42,MATCH($Q569,'Device Refrigerant Leakage'!$B$2:$B$42,0)))*CZ569*CX569)*CY569/2204.62*CW569,"")</f>
        <v/>
      </c>
      <c r="DC569" s="135" t="str">
        <f t="shared" si="688"/>
        <v/>
      </c>
      <c r="DE569" s="146" t="str">
        <f>IF(W569&lt;&gt;"AR","",IF(Y569="User Specified", AA569, INDEX('Refrigerant GWPs'!$G$2:$G$154,MATCH(Y569,'Refrigerant GWPs'!$A$2:$A$154,0))))</f>
        <v/>
      </c>
      <c r="DF569" s="146" t="str">
        <f>IF(W569&lt;&gt;"AR","",INDEX('Device Refrigerant Leakage'!$E$2:$E$42,MATCH(X569,'Device Refrigerant Leakage'!$B$2:$B$42,0)))</f>
        <v/>
      </c>
      <c r="DG569" s="146" t="str">
        <f>IF(W569&lt;&gt;"AR","",INDEX('Device Refrigerant Leakage'!$F$2:$F$42,MATCH(X569,'Device Refrigerant Leakage'!$B$2:$B$42,0)))</f>
        <v/>
      </c>
      <c r="DH569" s="146" t="str">
        <f>IF(W569&lt;&gt;"AR","",INDEX('Device Refrigerant Leakage'!$G$2:$G$42,MATCH(X569,'Device Refrigerant Leakage'!$B$2:$B$42,0)))</f>
        <v/>
      </c>
      <c r="DI569" s="146" t="str">
        <f>IF(W569&lt;&gt;"AR","",J569*INDEX('Device Refrigerant Leakage'!$D$2:$D$42,MATCH(X569,'Device Refrigerant Leakage'!$B$2:$B$42,0))*DF569/2204.62*DE569)</f>
        <v/>
      </c>
      <c r="DJ569" s="146" t="str">
        <f>IF(W569&lt;&gt;"AR","",J569*(INDEX('Device Refrigerant Leakage'!$D$2:$D$42,MATCH(X569,'Device Refrigerant Leakage'!$B$2:$B$42,0))-(INDEX('Device Refrigerant Leakage'!$D$2:$D$42,MATCH(X569,'Device Refrigerant Leakage'!$B$2:$B$42,0)))*DH569*DF569)*DG569/2204.62*DE569)</f>
        <v/>
      </c>
      <c r="DK569" s="146" t="str">
        <f>IF(W569&lt;&gt;"AR","",DI569*(K569-AB569)+'Fuel Sub Calcs-Deemed'!DJ569*((K569-AB569)/INDEX('Device Refrigerant Leakage'!$C$2:$C$42,MATCH('Fuel Sub Calcs-Deemed'!X569,'Device Refrigerant Leakage'!$B$2:$B$42,0))))</f>
        <v/>
      </c>
      <c r="DM569" s="56">
        <v>555</v>
      </c>
      <c r="DN569" s="67" t="e">
        <f t="shared" si="670"/>
        <v>#N/A</v>
      </c>
      <c r="DO569" s="45" t="e">
        <f t="shared" si="671"/>
        <v>#N/A</v>
      </c>
      <c r="DP569" s="67" t="e">
        <f t="shared" si="672"/>
        <v>#N/A</v>
      </c>
      <c r="DQ569" s="45" t="e">
        <f t="shared" si="673"/>
        <v>#N/A</v>
      </c>
      <c r="DR569" s="69" t="e">
        <f t="shared" si="674"/>
        <v>#N/A</v>
      </c>
      <c r="DS569" s="34"/>
      <c r="DT569" s="67" t="e">
        <f>((BX569*CJ569)+IF($W569=MAT_AR,(BZ569*CL569),0))*(1+Reference!$E$50+Reference!$E$51)</f>
        <v>#N/A</v>
      </c>
      <c r="DU569" s="67">
        <f>((BY569*CK569)+IF($W569=MAT_AR,(CA569*CM569),0))*(1+Reference!$G$50+Reference!$G$51)</f>
        <v>0</v>
      </c>
      <c r="DV569" s="67" t="e">
        <f t="shared" si="675"/>
        <v>#VALUE!</v>
      </c>
      <c r="DX569" s="56">
        <v>555</v>
      </c>
      <c r="DY569" s="67">
        <f t="shared" si="676"/>
        <v>0</v>
      </c>
      <c r="DZ569" s="45" t="e">
        <f>VLOOKUP($R569,Dropdown!$C$3:$D$4,2,FALSE)</f>
        <v>#N/A</v>
      </c>
      <c r="EA569" s="68">
        <f t="shared" si="677"/>
        <v>0</v>
      </c>
      <c r="EB569" s="68" t="str">
        <f t="shared" si="678"/>
        <v>N/A</v>
      </c>
      <c r="EC569" s="68">
        <f t="shared" si="679"/>
        <v>0</v>
      </c>
      <c r="ED569" s="68" t="str">
        <f t="shared" si="717"/>
        <v>N/A</v>
      </c>
      <c r="EF569" s="56">
        <v>555</v>
      </c>
      <c r="EG569" s="46">
        <f t="shared" si="680"/>
        <v>0</v>
      </c>
      <c r="EH569" s="68" t="e">
        <f t="shared" si="681"/>
        <v>#N/A</v>
      </c>
      <c r="EI569" s="68" t="e">
        <f t="shared" si="682"/>
        <v>#N/A</v>
      </c>
      <c r="EJ569" s="68" t="e">
        <f t="shared" si="683"/>
        <v>#N/A</v>
      </c>
      <c r="EK569" s="68" t="e">
        <f t="shared" si="684"/>
        <v>#N/A</v>
      </c>
      <c r="EL569" s="46">
        <f t="shared" si="685"/>
        <v>0</v>
      </c>
      <c r="EM569" s="46">
        <f t="shared" si="686"/>
        <v>0</v>
      </c>
    </row>
    <row r="570" spans="1:143">
      <c r="A570" s="89"/>
      <c r="B570" s="89"/>
      <c r="C570" s="89"/>
      <c r="D570" s="89"/>
      <c r="E570" s="89"/>
      <c r="F570" s="89"/>
      <c r="G570" s="34"/>
      <c r="H570" s="56">
        <f t="shared" si="687"/>
        <v>556</v>
      </c>
      <c r="I570" s="165"/>
      <c r="J570" s="163"/>
      <c r="K570" s="163"/>
      <c r="L570" s="164"/>
      <c r="M570" s="155"/>
      <c r="N570" s="155"/>
      <c r="O570" s="144"/>
      <c r="P570" s="159" t="str">
        <f>IFERROR(IF(O570&lt;&gt;"User Specified",IF(O570&lt;&gt;"", INDEX('Refrigerant GWPs'!$G$2:$G$154,MATCH(O570,'Refrigerant GWPs'!$A$2:$A$154,0)),""),U570),0)</f>
        <v/>
      </c>
      <c r="Q570" s="155"/>
      <c r="R570" s="155"/>
      <c r="S570" s="144"/>
      <c r="T570" s="159" t="str">
        <f>IF(S570&lt;&gt;"User Specified",IF(AND(S570&lt;&gt;"User Specified",S570&lt;&gt;""), INDEX('Refrigerant GWPs'!$G$2:$G$154,MATCH(S570,'Refrigerant GWPs'!$A$2:$A$154,0)),""),V570)</f>
        <v/>
      </c>
      <c r="U570" s="144"/>
      <c r="V570" s="144"/>
      <c r="W570" s="155"/>
      <c r="X570" s="155"/>
      <c r="Y570" s="144"/>
      <c r="Z570" s="159" t="str">
        <f>IF(AND(Y570&lt;&gt;"User Specified",Y570&lt;&gt;""), INDEX('Refrigerant GWPs'!$G$2:$G$154,MATCH(Y570,'Refrigerant GWPs'!$A$2:$A$154,0)),"")</f>
        <v/>
      </c>
      <c r="AA570" s="155"/>
      <c r="AB570" s="156"/>
      <c r="AC570" s="66"/>
      <c r="AD570" s="66"/>
      <c r="AE570" s="66"/>
      <c r="AF570" s="66"/>
      <c r="AG570" s="66"/>
      <c r="AH570" s="66"/>
      <c r="AI570" s="34"/>
      <c r="AJ570" s="88">
        <f t="shared" si="650"/>
        <v>0</v>
      </c>
      <c r="AK570" s="88">
        <f t="shared" si="651"/>
        <v>0</v>
      </c>
      <c r="AL570" s="88">
        <v>0</v>
      </c>
      <c r="AM570" s="88">
        <v>0</v>
      </c>
      <c r="AN570" s="81" t="str">
        <f t="shared" si="689"/>
        <v/>
      </c>
      <c r="AO570" s="88">
        <f t="shared" si="652"/>
        <v>0</v>
      </c>
      <c r="AP570" s="88">
        <f t="shared" si="653"/>
        <v>0</v>
      </c>
      <c r="AQ570" s="81" t="str">
        <f t="shared" si="654"/>
        <v/>
      </c>
      <c r="AS570" s="41" t="b">
        <f t="shared" si="655"/>
        <v>1</v>
      </c>
      <c r="AT570" s="38">
        <f t="shared" si="656"/>
        <v>0</v>
      </c>
      <c r="AU570" s="60">
        <f t="shared" si="657"/>
        <v>0</v>
      </c>
      <c r="AV570" s="41">
        <f t="shared" si="658"/>
        <v>0</v>
      </c>
      <c r="AW570" s="41" t="b">
        <f t="shared" si="659"/>
        <v>0</v>
      </c>
      <c r="AX570" t="str">
        <f t="shared" si="660"/>
        <v>+00</v>
      </c>
      <c r="AY570" t="str">
        <f t="shared" si="661"/>
        <v>+00</v>
      </c>
      <c r="BA570" s="47" t="b">
        <f t="shared" si="690"/>
        <v>1</v>
      </c>
      <c r="BB570" s="42" t="b">
        <f t="shared" si="691"/>
        <v>1</v>
      </c>
      <c r="BC570" s="42" t="b">
        <f t="shared" si="692"/>
        <v>0</v>
      </c>
      <c r="BD570" s="42" t="b">
        <f t="shared" si="693"/>
        <v>0</v>
      </c>
      <c r="BE570" s="70">
        <f t="shared" si="694"/>
        <v>0</v>
      </c>
      <c r="BF570" s="70">
        <f t="shared" si="695"/>
        <v>0</v>
      </c>
      <c r="BG570" s="34"/>
      <c r="BI570" s="47" t="b">
        <f t="shared" si="696"/>
        <v>1</v>
      </c>
      <c r="BJ570" s="47" t="b">
        <f t="shared" si="697"/>
        <v>1</v>
      </c>
      <c r="BK570" s="42" t="b">
        <f t="shared" si="698"/>
        <v>0</v>
      </c>
      <c r="BL570" s="42" t="b">
        <f t="shared" si="699"/>
        <v>0</v>
      </c>
      <c r="BM570" s="42">
        <f t="shared" si="700"/>
        <v>0</v>
      </c>
      <c r="BN570" s="42">
        <f t="shared" si="701"/>
        <v>0</v>
      </c>
      <c r="BP570" t="e">
        <f t="shared" si="702"/>
        <v>#N/A</v>
      </c>
      <c r="BQ570" t="e">
        <f t="shared" si="703"/>
        <v>#N/A</v>
      </c>
      <c r="BR570" t="e">
        <f t="shared" si="704"/>
        <v>#N/A</v>
      </c>
      <c r="BT570" s="60">
        <f t="shared" si="705"/>
        <v>0</v>
      </c>
      <c r="BU570" s="60">
        <f t="shared" si="706"/>
        <v>0</v>
      </c>
      <c r="BV570" s="60">
        <f t="shared" si="707"/>
        <v>0</v>
      </c>
      <c r="BW570" s="60">
        <f t="shared" si="708"/>
        <v>0</v>
      </c>
      <c r="BX570" s="60">
        <f t="shared" si="709"/>
        <v>0</v>
      </c>
      <c r="BY570" s="60">
        <f t="shared" si="710"/>
        <v>0</v>
      </c>
      <c r="BZ570" s="60">
        <f t="shared" si="711"/>
        <v>0</v>
      </c>
      <c r="CA570" s="60">
        <f t="shared" si="712"/>
        <v>0</v>
      </c>
      <c r="CB570" s="60" t="e">
        <f t="shared" si="662"/>
        <v>#N/A</v>
      </c>
      <c r="CC570" s="60">
        <f t="shared" si="663"/>
        <v>100000</v>
      </c>
      <c r="CD570" s="60" t="e">
        <f t="shared" si="664"/>
        <v>#N/A</v>
      </c>
      <c r="CE570" s="60">
        <f t="shared" si="665"/>
        <v>100000</v>
      </c>
      <c r="CF570" s="83" t="e">
        <f t="shared" si="713"/>
        <v>#N/A</v>
      </c>
      <c r="CG570" s="83">
        <f t="shared" si="714"/>
        <v>0</v>
      </c>
      <c r="CH570" s="83" t="e">
        <f t="shared" si="715"/>
        <v>#N/A</v>
      </c>
      <c r="CI570" s="83">
        <f t="shared" si="716"/>
        <v>0</v>
      </c>
      <c r="CJ570" s="86" t="e">
        <f t="shared" si="666"/>
        <v>#N/A</v>
      </c>
      <c r="CK570" s="82">
        <f t="shared" si="667"/>
        <v>5.3070370403969858E-3</v>
      </c>
      <c r="CL570" s="82" t="e">
        <f t="shared" si="668"/>
        <v>#N/A</v>
      </c>
      <c r="CM570" s="82">
        <f t="shared" si="669"/>
        <v>5.3070370403969858E-3</v>
      </c>
      <c r="CO570" s="149" t="str">
        <f>IF($I570&lt;&gt;"",IF(O570="User Specified",U570,INDEX('Refrigerant GWPs'!$G$2:$G$156,MATCH(O570,'Refrigerant GWPs'!$A$2:$A$156,0))),"")</f>
        <v/>
      </c>
      <c r="CP570" s="138" t="str">
        <f>IF($I570&lt;&gt;"",INDEX('Device Refrigerant Leakage'!$E$2:$E$42,MATCH($M570,'Device Refrigerant Leakage'!$B$2:$B$42,0)),"")</f>
        <v/>
      </c>
      <c r="CQ570" s="138" t="str">
        <f>IF($I570&lt;&gt;"",INDEX('Device Refrigerant Leakage'!$F$2:$F$42,MATCH($M570,'Device Refrigerant Leakage'!$B$2:$B$42,0)),"")</f>
        <v/>
      </c>
      <c r="CR570" s="145" t="str">
        <f>IF($I570&lt;&gt;"",INDEX('Device Refrigerant Leakage'!$G$2:$G$42,MATCH($M570,'Device Refrigerant Leakage'!$B$2:$B$42,0)),"")</f>
        <v/>
      </c>
      <c r="CS570" s="145" t="str">
        <f>IF($I570&lt;&gt;"",INDEX('Device Refrigerant Leakage'!$D$2:$D$42,MATCH($M570,'Device Refrigerant Leakage'!$B$2:$B$42,0))*CP570/2204.62*CO570,"")</f>
        <v/>
      </c>
      <c r="CT570" s="145" t="str">
        <f>IF($I570&lt;&gt;"",J570*(INDEX('Device Refrigerant Leakage'!$D$2:$D$42,MATCH($M570,'Device Refrigerant Leakage'!$B$2:$B$42,0))-(INDEX('Device Refrigerant Leakage'!$D$2:$D$42,MATCH($M570,'Device Refrigerant Leakage'!$B$2:$B$42,0)))*CR570*CP570)*CQ570/2204.62*CO570,"")</f>
        <v/>
      </c>
      <c r="CU570" s="135" t="str">
        <f>IF($I570&lt;&gt;"",J570*IF(W570&lt;&gt;"AR",(CS570*K570)+CT570,(CS570*AB570)+CT570*(AB570/INDEX('Device Refrigerant Leakage'!$C$2:$C$42,MATCH($M570,'Device Refrigerant Leakage'!$B$2:$B$42,0)))),"")</f>
        <v/>
      </c>
      <c r="CW570" s="135" t="str">
        <f>IF($I570&lt;&gt;"",IF(S570="User Specified",V570,INDEX('Refrigerant GWPs'!$G$2:$G$156,MATCH(S570,'Refrigerant GWPs'!$A$2:$A$157,0))),"")</f>
        <v/>
      </c>
      <c r="CX570" s="138" t="str">
        <f>IF($I570&lt;&gt;"",INDEX('Device Refrigerant Leakage'!$E$2:$E$42,MATCH($Q570,'Device Refrigerant Leakage'!$B$2:$B$42,0)),"")</f>
        <v/>
      </c>
      <c r="CY570" s="138" t="str">
        <f>IF($I570&lt;&gt;"",INDEX('Device Refrigerant Leakage'!$F$2:$F$42,MATCH($Q570,'Device Refrigerant Leakage'!$B$2:$B$42,0)),"")</f>
        <v/>
      </c>
      <c r="CZ570" s="145" t="str">
        <f>IF($I570&lt;&gt;"",INDEX('Device Refrigerant Leakage'!$G$2:$G$42,MATCH($Q570,'Device Refrigerant Leakage'!$B$2:$B$42,0)),"")</f>
        <v/>
      </c>
      <c r="DA570" s="145" t="str">
        <f>IF($I570&lt;&gt;"",J570*INDEX('Device Refrigerant Leakage'!$D$2:$D$42,MATCH($Q570,'Device Refrigerant Leakage'!$B$2:$B$42,0))*CX570/2204.62*CW570,"")</f>
        <v/>
      </c>
      <c r="DB570" s="145" t="str">
        <f>IF($I570&lt;&gt;"",J570*(INDEX('Device Refrigerant Leakage'!$D$2:$D$42,MATCH($Q570,'Device Refrigerant Leakage'!$B$2:$B$42,0))-(INDEX('Device Refrigerant Leakage'!$D$2:$D$42,MATCH($Q570,'Device Refrigerant Leakage'!$B$2:$B$42,0)))*CZ570*CX570)*CY570/2204.62*CW570,"")</f>
        <v/>
      </c>
      <c r="DC570" s="135" t="str">
        <f t="shared" si="688"/>
        <v/>
      </c>
      <c r="DE570" s="146" t="str">
        <f>IF(W570&lt;&gt;"AR","",IF(Y570="User Specified", AA570, INDEX('Refrigerant GWPs'!$G$2:$G$154,MATCH(Y570,'Refrigerant GWPs'!$A$2:$A$154,0))))</f>
        <v/>
      </c>
      <c r="DF570" s="146" t="str">
        <f>IF(W570&lt;&gt;"AR","",INDEX('Device Refrigerant Leakage'!$E$2:$E$42,MATCH(X570,'Device Refrigerant Leakage'!$B$2:$B$42,0)))</f>
        <v/>
      </c>
      <c r="DG570" s="146" t="str">
        <f>IF(W570&lt;&gt;"AR","",INDEX('Device Refrigerant Leakage'!$F$2:$F$42,MATCH(X570,'Device Refrigerant Leakage'!$B$2:$B$42,0)))</f>
        <v/>
      </c>
      <c r="DH570" s="146" t="str">
        <f>IF(W570&lt;&gt;"AR","",INDEX('Device Refrigerant Leakage'!$G$2:$G$42,MATCH(X570,'Device Refrigerant Leakage'!$B$2:$B$42,0)))</f>
        <v/>
      </c>
      <c r="DI570" s="146" t="str">
        <f>IF(W570&lt;&gt;"AR","",J570*INDEX('Device Refrigerant Leakage'!$D$2:$D$42,MATCH(X570,'Device Refrigerant Leakage'!$B$2:$B$42,0))*DF570/2204.62*DE570)</f>
        <v/>
      </c>
      <c r="DJ570" s="146" t="str">
        <f>IF(W570&lt;&gt;"AR","",J570*(INDEX('Device Refrigerant Leakage'!$D$2:$D$42,MATCH(X570,'Device Refrigerant Leakage'!$B$2:$B$42,0))-(INDEX('Device Refrigerant Leakage'!$D$2:$D$42,MATCH(X570,'Device Refrigerant Leakage'!$B$2:$B$42,0)))*DH570*DF570)*DG570/2204.62*DE570)</f>
        <v/>
      </c>
      <c r="DK570" s="146" t="str">
        <f>IF(W570&lt;&gt;"AR","",DI570*(K570-AB570)+'Fuel Sub Calcs-Deemed'!DJ570*((K570-AB570)/INDEX('Device Refrigerant Leakage'!$C$2:$C$42,MATCH('Fuel Sub Calcs-Deemed'!X570,'Device Refrigerant Leakage'!$B$2:$B$42,0))))</f>
        <v/>
      </c>
      <c r="DM570" s="56">
        <v>556</v>
      </c>
      <c r="DN570" s="67" t="e">
        <f t="shared" si="670"/>
        <v>#N/A</v>
      </c>
      <c r="DO570" s="45" t="e">
        <f t="shared" si="671"/>
        <v>#N/A</v>
      </c>
      <c r="DP570" s="67" t="e">
        <f t="shared" si="672"/>
        <v>#N/A</v>
      </c>
      <c r="DQ570" s="45" t="e">
        <f t="shared" si="673"/>
        <v>#N/A</v>
      </c>
      <c r="DR570" s="69" t="e">
        <f t="shared" si="674"/>
        <v>#N/A</v>
      </c>
      <c r="DS570" s="34"/>
      <c r="DT570" s="67" t="e">
        <f>((BX570*CJ570)+IF($W570=MAT_AR,(BZ570*CL570),0))*(1+Reference!$E$50+Reference!$E$51)</f>
        <v>#N/A</v>
      </c>
      <c r="DU570" s="67">
        <f>((BY570*CK570)+IF($W570=MAT_AR,(CA570*CM570),0))*(1+Reference!$G$50+Reference!$G$51)</f>
        <v>0</v>
      </c>
      <c r="DV570" s="67" t="e">
        <f t="shared" si="675"/>
        <v>#VALUE!</v>
      </c>
      <c r="DX570" s="56">
        <v>556</v>
      </c>
      <c r="DY570" s="67">
        <f t="shared" si="676"/>
        <v>0</v>
      </c>
      <c r="DZ570" s="45" t="e">
        <f>VLOOKUP($R570,Dropdown!$C$3:$D$4,2,FALSE)</f>
        <v>#N/A</v>
      </c>
      <c r="EA570" s="68">
        <f t="shared" si="677"/>
        <v>0</v>
      </c>
      <c r="EB570" s="68" t="str">
        <f t="shared" si="678"/>
        <v>N/A</v>
      </c>
      <c r="EC570" s="68">
        <f t="shared" si="679"/>
        <v>0</v>
      </c>
      <c r="ED570" s="68" t="str">
        <f t="shared" si="717"/>
        <v>N/A</v>
      </c>
      <c r="EF570" s="56">
        <v>556</v>
      </c>
      <c r="EG570" s="46">
        <f t="shared" si="680"/>
        <v>0</v>
      </c>
      <c r="EH570" s="68" t="e">
        <f t="shared" si="681"/>
        <v>#N/A</v>
      </c>
      <c r="EI570" s="68" t="e">
        <f t="shared" si="682"/>
        <v>#N/A</v>
      </c>
      <c r="EJ570" s="68" t="e">
        <f t="shared" si="683"/>
        <v>#N/A</v>
      </c>
      <c r="EK570" s="68" t="e">
        <f t="shared" si="684"/>
        <v>#N/A</v>
      </c>
      <c r="EL570" s="46">
        <f t="shared" si="685"/>
        <v>0</v>
      </c>
      <c r="EM570" s="46">
        <f t="shared" si="686"/>
        <v>0</v>
      </c>
    </row>
    <row r="571" spans="1:143">
      <c r="A571" s="89"/>
      <c r="B571" s="89"/>
      <c r="C571" s="89"/>
      <c r="D571" s="89"/>
      <c r="E571" s="89"/>
      <c r="F571" s="89"/>
      <c r="G571" s="34"/>
      <c r="H571" s="56">
        <f t="shared" si="687"/>
        <v>557</v>
      </c>
      <c r="I571" s="165"/>
      <c r="J571" s="163"/>
      <c r="K571" s="163"/>
      <c r="L571" s="164"/>
      <c r="M571" s="155"/>
      <c r="N571" s="155"/>
      <c r="O571" s="144"/>
      <c r="P571" s="159" t="str">
        <f>IFERROR(IF(O571&lt;&gt;"User Specified",IF(O571&lt;&gt;"", INDEX('Refrigerant GWPs'!$G$2:$G$154,MATCH(O571,'Refrigerant GWPs'!$A$2:$A$154,0)),""),U571),0)</f>
        <v/>
      </c>
      <c r="Q571" s="155"/>
      <c r="R571" s="155"/>
      <c r="S571" s="144"/>
      <c r="T571" s="159" t="str">
        <f>IF(S571&lt;&gt;"User Specified",IF(AND(S571&lt;&gt;"User Specified",S571&lt;&gt;""), INDEX('Refrigerant GWPs'!$G$2:$G$154,MATCH(S571,'Refrigerant GWPs'!$A$2:$A$154,0)),""),V571)</f>
        <v/>
      </c>
      <c r="U571" s="144"/>
      <c r="V571" s="144"/>
      <c r="W571" s="155"/>
      <c r="X571" s="155"/>
      <c r="Y571" s="144"/>
      <c r="Z571" s="159" t="str">
        <f>IF(AND(Y571&lt;&gt;"User Specified",Y571&lt;&gt;""), INDEX('Refrigerant GWPs'!$G$2:$G$154,MATCH(Y571,'Refrigerant GWPs'!$A$2:$A$154,0)),"")</f>
        <v/>
      </c>
      <c r="AA571" s="155"/>
      <c r="AB571" s="156"/>
      <c r="AC571" s="66"/>
      <c r="AD571" s="66"/>
      <c r="AE571" s="66"/>
      <c r="AF571" s="66"/>
      <c r="AG571" s="66"/>
      <c r="AH571" s="66"/>
      <c r="AI571" s="34"/>
      <c r="AJ571" s="88">
        <f t="shared" si="650"/>
        <v>0</v>
      </c>
      <c r="AK571" s="88">
        <f t="shared" si="651"/>
        <v>0</v>
      </c>
      <c r="AL571" s="88">
        <v>0</v>
      </c>
      <c r="AM571" s="88">
        <v>0</v>
      </c>
      <c r="AN571" s="81" t="str">
        <f t="shared" si="689"/>
        <v/>
      </c>
      <c r="AO571" s="88">
        <f t="shared" si="652"/>
        <v>0</v>
      </c>
      <c r="AP571" s="88">
        <f t="shared" si="653"/>
        <v>0</v>
      </c>
      <c r="AQ571" s="81" t="str">
        <f t="shared" si="654"/>
        <v/>
      </c>
      <c r="AS571" s="41" t="b">
        <f t="shared" si="655"/>
        <v>1</v>
      </c>
      <c r="AT571" s="38">
        <f t="shared" si="656"/>
        <v>0</v>
      </c>
      <c r="AU571" s="60">
        <f t="shared" si="657"/>
        <v>0</v>
      </c>
      <c r="AV571" s="41">
        <f t="shared" si="658"/>
        <v>0</v>
      </c>
      <c r="AW571" s="41" t="b">
        <f t="shared" si="659"/>
        <v>0</v>
      </c>
      <c r="AX571" t="str">
        <f t="shared" si="660"/>
        <v>+00</v>
      </c>
      <c r="AY571" t="str">
        <f t="shared" si="661"/>
        <v>+00</v>
      </c>
      <c r="BA571" s="47" t="b">
        <f t="shared" si="690"/>
        <v>1</v>
      </c>
      <c r="BB571" s="42" t="b">
        <f t="shared" si="691"/>
        <v>1</v>
      </c>
      <c r="BC571" s="42" t="b">
        <f t="shared" si="692"/>
        <v>0</v>
      </c>
      <c r="BD571" s="42" t="b">
        <f t="shared" si="693"/>
        <v>0</v>
      </c>
      <c r="BE571" s="70">
        <f t="shared" si="694"/>
        <v>0</v>
      </c>
      <c r="BF571" s="70">
        <f t="shared" si="695"/>
        <v>0</v>
      </c>
      <c r="BG571" s="34"/>
      <c r="BI571" s="47" t="b">
        <f t="shared" si="696"/>
        <v>1</v>
      </c>
      <c r="BJ571" s="47" t="b">
        <f t="shared" si="697"/>
        <v>1</v>
      </c>
      <c r="BK571" s="42" t="b">
        <f t="shared" si="698"/>
        <v>0</v>
      </c>
      <c r="BL571" s="42" t="b">
        <f t="shared" si="699"/>
        <v>0</v>
      </c>
      <c r="BM571" s="42">
        <f t="shared" si="700"/>
        <v>0</v>
      </c>
      <c r="BN571" s="42">
        <f t="shared" si="701"/>
        <v>0</v>
      </c>
      <c r="BP571" t="e">
        <f t="shared" si="702"/>
        <v>#N/A</v>
      </c>
      <c r="BQ571" t="e">
        <f t="shared" si="703"/>
        <v>#N/A</v>
      </c>
      <c r="BR571" t="e">
        <f t="shared" si="704"/>
        <v>#N/A</v>
      </c>
      <c r="BT571" s="60">
        <f t="shared" si="705"/>
        <v>0</v>
      </c>
      <c r="BU571" s="60">
        <f t="shared" si="706"/>
        <v>0</v>
      </c>
      <c r="BV571" s="60">
        <f t="shared" si="707"/>
        <v>0</v>
      </c>
      <c r="BW571" s="60">
        <f t="shared" si="708"/>
        <v>0</v>
      </c>
      <c r="BX571" s="60">
        <f t="shared" si="709"/>
        <v>0</v>
      </c>
      <c r="BY571" s="60">
        <f t="shared" si="710"/>
        <v>0</v>
      </c>
      <c r="BZ571" s="60">
        <f t="shared" si="711"/>
        <v>0</v>
      </c>
      <c r="CA571" s="60">
        <f t="shared" si="712"/>
        <v>0</v>
      </c>
      <c r="CB571" s="60" t="e">
        <f t="shared" si="662"/>
        <v>#N/A</v>
      </c>
      <c r="CC571" s="60">
        <f t="shared" si="663"/>
        <v>100000</v>
      </c>
      <c r="CD571" s="60" t="e">
        <f t="shared" si="664"/>
        <v>#N/A</v>
      </c>
      <c r="CE571" s="60">
        <f t="shared" si="665"/>
        <v>100000</v>
      </c>
      <c r="CF571" s="83" t="e">
        <f t="shared" si="713"/>
        <v>#N/A</v>
      </c>
      <c r="CG571" s="83">
        <f t="shared" si="714"/>
        <v>0</v>
      </c>
      <c r="CH571" s="83" t="e">
        <f t="shared" si="715"/>
        <v>#N/A</v>
      </c>
      <c r="CI571" s="83">
        <f t="shared" si="716"/>
        <v>0</v>
      </c>
      <c r="CJ571" s="86" t="e">
        <f t="shared" si="666"/>
        <v>#N/A</v>
      </c>
      <c r="CK571" s="82">
        <f t="shared" si="667"/>
        <v>5.3070370403969858E-3</v>
      </c>
      <c r="CL571" s="82" t="e">
        <f t="shared" si="668"/>
        <v>#N/A</v>
      </c>
      <c r="CM571" s="82">
        <f t="shared" si="669"/>
        <v>5.3070370403969858E-3</v>
      </c>
      <c r="CO571" s="149" t="str">
        <f>IF($I571&lt;&gt;"",IF(O571="User Specified",U571,INDEX('Refrigerant GWPs'!$G$2:$G$156,MATCH(O571,'Refrigerant GWPs'!$A$2:$A$156,0))),"")</f>
        <v/>
      </c>
      <c r="CP571" s="138" t="str">
        <f>IF($I571&lt;&gt;"",INDEX('Device Refrigerant Leakage'!$E$2:$E$42,MATCH($M571,'Device Refrigerant Leakage'!$B$2:$B$42,0)),"")</f>
        <v/>
      </c>
      <c r="CQ571" s="138" t="str">
        <f>IF($I571&lt;&gt;"",INDEX('Device Refrigerant Leakage'!$F$2:$F$42,MATCH($M571,'Device Refrigerant Leakage'!$B$2:$B$42,0)),"")</f>
        <v/>
      </c>
      <c r="CR571" s="145" t="str">
        <f>IF($I571&lt;&gt;"",INDEX('Device Refrigerant Leakage'!$G$2:$G$42,MATCH($M571,'Device Refrigerant Leakage'!$B$2:$B$42,0)),"")</f>
        <v/>
      </c>
      <c r="CS571" s="145" t="str">
        <f>IF($I571&lt;&gt;"",INDEX('Device Refrigerant Leakage'!$D$2:$D$42,MATCH($M571,'Device Refrigerant Leakage'!$B$2:$B$42,0))*CP571/2204.62*CO571,"")</f>
        <v/>
      </c>
      <c r="CT571" s="145" t="str">
        <f>IF($I571&lt;&gt;"",J571*(INDEX('Device Refrigerant Leakage'!$D$2:$D$42,MATCH($M571,'Device Refrigerant Leakage'!$B$2:$B$42,0))-(INDEX('Device Refrigerant Leakage'!$D$2:$D$42,MATCH($M571,'Device Refrigerant Leakage'!$B$2:$B$42,0)))*CR571*CP571)*CQ571/2204.62*CO571,"")</f>
        <v/>
      </c>
      <c r="CU571" s="135" t="str">
        <f>IF($I571&lt;&gt;"",J571*IF(W571&lt;&gt;"AR",(CS571*K571)+CT571,(CS571*AB571)+CT571*(AB571/INDEX('Device Refrigerant Leakage'!$C$2:$C$42,MATCH($M571,'Device Refrigerant Leakage'!$B$2:$B$42,0)))),"")</f>
        <v/>
      </c>
      <c r="CW571" s="135" t="str">
        <f>IF($I571&lt;&gt;"",IF(S571="User Specified",V571,INDEX('Refrigerant GWPs'!$G$2:$G$156,MATCH(S571,'Refrigerant GWPs'!$A$2:$A$157,0))),"")</f>
        <v/>
      </c>
      <c r="CX571" s="138" t="str">
        <f>IF($I571&lt;&gt;"",INDEX('Device Refrigerant Leakage'!$E$2:$E$42,MATCH($Q571,'Device Refrigerant Leakage'!$B$2:$B$42,0)),"")</f>
        <v/>
      </c>
      <c r="CY571" s="138" t="str">
        <f>IF($I571&lt;&gt;"",INDEX('Device Refrigerant Leakage'!$F$2:$F$42,MATCH($Q571,'Device Refrigerant Leakage'!$B$2:$B$42,0)),"")</f>
        <v/>
      </c>
      <c r="CZ571" s="145" t="str">
        <f>IF($I571&lt;&gt;"",INDEX('Device Refrigerant Leakage'!$G$2:$G$42,MATCH($Q571,'Device Refrigerant Leakage'!$B$2:$B$42,0)),"")</f>
        <v/>
      </c>
      <c r="DA571" s="145" t="str">
        <f>IF($I571&lt;&gt;"",J571*INDEX('Device Refrigerant Leakage'!$D$2:$D$42,MATCH($Q571,'Device Refrigerant Leakage'!$B$2:$B$42,0))*CX571/2204.62*CW571,"")</f>
        <v/>
      </c>
      <c r="DB571" s="145" t="str">
        <f>IF($I571&lt;&gt;"",J571*(INDEX('Device Refrigerant Leakage'!$D$2:$D$42,MATCH($Q571,'Device Refrigerant Leakage'!$B$2:$B$42,0))-(INDEX('Device Refrigerant Leakage'!$D$2:$D$42,MATCH($Q571,'Device Refrigerant Leakage'!$B$2:$B$42,0)))*CZ571*CX571)*CY571/2204.62*CW571,"")</f>
        <v/>
      </c>
      <c r="DC571" s="135" t="str">
        <f t="shared" si="688"/>
        <v/>
      </c>
      <c r="DE571" s="146" t="str">
        <f>IF(W571&lt;&gt;"AR","",IF(Y571="User Specified", AA571, INDEX('Refrigerant GWPs'!$G$2:$G$154,MATCH(Y571,'Refrigerant GWPs'!$A$2:$A$154,0))))</f>
        <v/>
      </c>
      <c r="DF571" s="146" t="str">
        <f>IF(W571&lt;&gt;"AR","",INDEX('Device Refrigerant Leakage'!$E$2:$E$42,MATCH(X571,'Device Refrigerant Leakage'!$B$2:$B$42,0)))</f>
        <v/>
      </c>
      <c r="DG571" s="146" t="str">
        <f>IF(W571&lt;&gt;"AR","",INDEX('Device Refrigerant Leakage'!$F$2:$F$42,MATCH(X571,'Device Refrigerant Leakage'!$B$2:$B$42,0)))</f>
        <v/>
      </c>
      <c r="DH571" s="146" t="str">
        <f>IF(W571&lt;&gt;"AR","",INDEX('Device Refrigerant Leakage'!$G$2:$G$42,MATCH(X571,'Device Refrigerant Leakage'!$B$2:$B$42,0)))</f>
        <v/>
      </c>
      <c r="DI571" s="146" t="str">
        <f>IF(W571&lt;&gt;"AR","",J571*INDEX('Device Refrigerant Leakage'!$D$2:$D$42,MATCH(X571,'Device Refrigerant Leakage'!$B$2:$B$42,0))*DF571/2204.62*DE571)</f>
        <v/>
      </c>
      <c r="DJ571" s="146" t="str">
        <f>IF(W571&lt;&gt;"AR","",J571*(INDEX('Device Refrigerant Leakage'!$D$2:$D$42,MATCH(X571,'Device Refrigerant Leakage'!$B$2:$B$42,0))-(INDEX('Device Refrigerant Leakage'!$D$2:$D$42,MATCH(X571,'Device Refrigerant Leakage'!$B$2:$B$42,0)))*DH571*DF571)*DG571/2204.62*DE571)</f>
        <v/>
      </c>
      <c r="DK571" s="146" t="str">
        <f>IF(W571&lt;&gt;"AR","",DI571*(K571-AB571)+'Fuel Sub Calcs-Deemed'!DJ571*((K571-AB571)/INDEX('Device Refrigerant Leakage'!$C$2:$C$42,MATCH('Fuel Sub Calcs-Deemed'!X571,'Device Refrigerant Leakage'!$B$2:$B$42,0))))</f>
        <v/>
      </c>
      <c r="DM571" s="56">
        <v>557</v>
      </c>
      <c r="DN571" s="67" t="e">
        <f t="shared" si="670"/>
        <v>#N/A</v>
      </c>
      <c r="DO571" s="45" t="e">
        <f t="shared" si="671"/>
        <v>#N/A</v>
      </c>
      <c r="DP571" s="67" t="e">
        <f t="shared" si="672"/>
        <v>#N/A</v>
      </c>
      <c r="DQ571" s="45" t="e">
        <f t="shared" si="673"/>
        <v>#N/A</v>
      </c>
      <c r="DR571" s="69" t="e">
        <f t="shared" si="674"/>
        <v>#N/A</v>
      </c>
      <c r="DS571" s="34"/>
      <c r="DT571" s="67" t="e">
        <f>((BX571*CJ571)+IF($W571=MAT_AR,(BZ571*CL571),0))*(1+Reference!$E$50+Reference!$E$51)</f>
        <v>#N/A</v>
      </c>
      <c r="DU571" s="67">
        <f>((BY571*CK571)+IF($W571=MAT_AR,(CA571*CM571),0))*(1+Reference!$G$50+Reference!$G$51)</f>
        <v>0</v>
      </c>
      <c r="DV571" s="67" t="e">
        <f t="shared" si="675"/>
        <v>#VALUE!</v>
      </c>
      <c r="DX571" s="56">
        <v>557</v>
      </c>
      <c r="DY571" s="67">
        <f t="shared" si="676"/>
        <v>0</v>
      </c>
      <c r="DZ571" s="45" t="e">
        <f>VLOOKUP($R571,Dropdown!$C$3:$D$4,2,FALSE)</f>
        <v>#N/A</v>
      </c>
      <c r="EA571" s="68">
        <f t="shared" si="677"/>
        <v>0</v>
      </c>
      <c r="EB571" s="68" t="str">
        <f t="shared" si="678"/>
        <v>N/A</v>
      </c>
      <c r="EC571" s="68">
        <f t="shared" si="679"/>
        <v>0</v>
      </c>
      <c r="ED571" s="68" t="str">
        <f t="shared" si="717"/>
        <v>N/A</v>
      </c>
      <c r="EF571" s="56">
        <v>557</v>
      </c>
      <c r="EG571" s="46">
        <f t="shared" si="680"/>
        <v>0</v>
      </c>
      <c r="EH571" s="68" t="e">
        <f t="shared" si="681"/>
        <v>#N/A</v>
      </c>
      <c r="EI571" s="68" t="e">
        <f t="shared" si="682"/>
        <v>#N/A</v>
      </c>
      <c r="EJ571" s="68" t="e">
        <f t="shared" si="683"/>
        <v>#N/A</v>
      </c>
      <c r="EK571" s="68" t="e">
        <f t="shared" si="684"/>
        <v>#N/A</v>
      </c>
      <c r="EL571" s="46">
        <f t="shared" si="685"/>
        <v>0</v>
      </c>
      <c r="EM571" s="46">
        <f t="shared" si="686"/>
        <v>0</v>
      </c>
    </row>
    <row r="572" spans="1:143">
      <c r="A572" s="89"/>
      <c r="B572" s="89"/>
      <c r="C572" s="89"/>
      <c r="D572" s="89"/>
      <c r="E572" s="89"/>
      <c r="F572" s="89"/>
      <c r="G572" s="34"/>
      <c r="H572" s="56">
        <f t="shared" si="687"/>
        <v>558</v>
      </c>
      <c r="I572" s="165"/>
      <c r="J572" s="163"/>
      <c r="K572" s="163"/>
      <c r="L572" s="164"/>
      <c r="M572" s="155"/>
      <c r="N572" s="155"/>
      <c r="O572" s="144"/>
      <c r="P572" s="159" t="str">
        <f>IFERROR(IF(O572&lt;&gt;"User Specified",IF(O572&lt;&gt;"", INDEX('Refrigerant GWPs'!$G$2:$G$154,MATCH(O572,'Refrigerant GWPs'!$A$2:$A$154,0)),""),U572),0)</f>
        <v/>
      </c>
      <c r="Q572" s="155"/>
      <c r="R572" s="155"/>
      <c r="S572" s="144"/>
      <c r="T572" s="159" t="str">
        <f>IF(S572&lt;&gt;"User Specified",IF(AND(S572&lt;&gt;"User Specified",S572&lt;&gt;""), INDEX('Refrigerant GWPs'!$G$2:$G$154,MATCH(S572,'Refrigerant GWPs'!$A$2:$A$154,0)),""),V572)</f>
        <v/>
      </c>
      <c r="U572" s="144"/>
      <c r="V572" s="144"/>
      <c r="W572" s="155"/>
      <c r="X572" s="155"/>
      <c r="Y572" s="144"/>
      <c r="Z572" s="159" t="str">
        <f>IF(AND(Y572&lt;&gt;"User Specified",Y572&lt;&gt;""), INDEX('Refrigerant GWPs'!$G$2:$G$154,MATCH(Y572,'Refrigerant GWPs'!$A$2:$A$154,0)),"")</f>
        <v/>
      </c>
      <c r="AA572" s="155"/>
      <c r="AB572" s="156"/>
      <c r="AC572" s="66"/>
      <c r="AD572" s="66"/>
      <c r="AE572" s="66"/>
      <c r="AF572" s="66"/>
      <c r="AG572" s="66"/>
      <c r="AH572" s="66"/>
      <c r="AI572" s="34"/>
      <c r="AJ572" s="88">
        <f t="shared" si="650"/>
        <v>0</v>
      </c>
      <c r="AK572" s="88">
        <f t="shared" si="651"/>
        <v>0</v>
      </c>
      <c r="AL572" s="88">
        <v>0</v>
      </c>
      <c r="AM572" s="88">
        <v>0</v>
      </c>
      <c r="AN572" s="81" t="str">
        <f t="shared" si="689"/>
        <v/>
      </c>
      <c r="AO572" s="88">
        <f t="shared" si="652"/>
        <v>0</v>
      </c>
      <c r="AP572" s="88">
        <f t="shared" si="653"/>
        <v>0</v>
      </c>
      <c r="AQ572" s="81" t="str">
        <f t="shared" si="654"/>
        <v/>
      </c>
      <c r="AS572" s="41" t="b">
        <f t="shared" si="655"/>
        <v>1</v>
      </c>
      <c r="AT572" s="38">
        <f t="shared" si="656"/>
        <v>0</v>
      </c>
      <c r="AU572" s="60">
        <f t="shared" si="657"/>
        <v>0</v>
      </c>
      <c r="AV572" s="41">
        <f t="shared" si="658"/>
        <v>0</v>
      </c>
      <c r="AW572" s="41" t="b">
        <f t="shared" si="659"/>
        <v>0</v>
      </c>
      <c r="AX572" t="str">
        <f t="shared" si="660"/>
        <v>+00</v>
      </c>
      <c r="AY572" t="str">
        <f t="shared" si="661"/>
        <v>+00</v>
      </c>
      <c r="BA572" s="47" t="b">
        <f t="shared" si="690"/>
        <v>1</v>
      </c>
      <c r="BB572" s="42" t="b">
        <f t="shared" si="691"/>
        <v>1</v>
      </c>
      <c r="BC572" s="42" t="b">
        <f t="shared" si="692"/>
        <v>0</v>
      </c>
      <c r="BD572" s="42" t="b">
        <f t="shared" si="693"/>
        <v>0</v>
      </c>
      <c r="BE572" s="70">
        <f t="shared" si="694"/>
        <v>0</v>
      </c>
      <c r="BF572" s="70">
        <f t="shared" si="695"/>
        <v>0</v>
      </c>
      <c r="BG572" s="34"/>
      <c r="BI572" s="47" t="b">
        <f t="shared" si="696"/>
        <v>1</v>
      </c>
      <c r="BJ572" s="47" t="b">
        <f t="shared" si="697"/>
        <v>1</v>
      </c>
      <c r="BK572" s="42" t="b">
        <f t="shared" si="698"/>
        <v>0</v>
      </c>
      <c r="BL572" s="42" t="b">
        <f t="shared" si="699"/>
        <v>0</v>
      </c>
      <c r="BM572" s="42">
        <f t="shared" si="700"/>
        <v>0</v>
      </c>
      <c r="BN572" s="42">
        <f t="shared" si="701"/>
        <v>0</v>
      </c>
      <c r="BP572" t="e">
        <f t="shared" si="702"/>
        <v>#N/A</v>
      </c>
      <c r="BQ572" t="e">
        <f t="shared" si="703"/>
        <v>#N/A</v>
      </c>
      <c r="BR572" t="e">
        <f t="shared" si="704"/>
        <v>#N/A</v>
      </c>
      <c r="BT572" s="60">
        <f t="shared" si="705"/>
        <v>0</v>
      </c>
      <c r="BU572" s="60">
        <f t="shared" si="706"/>
        <v>0</v>
      </c>
      <c r="BV572" s="60">
        <f t="shared" si="707"/>
        <v>0</v>
      </c>
      <c r="BW572" s="60">
        <f t="shared" si="708"/>
        <v>0</v>
      </c>
      <c r="BX572" s="60">
        <f t="shared" si="709"/>
        <v>0</v>
      </c>
      <c r="BY572" s="60">
        <f t="shared" si="710"/>
        <v>0</v>
      </c>
      <c r="BZ572" s="60">
        <f t="shared" si="711"/>
        <v>0</v>
      </c>
      <c r="CA572" s="60">
        <f t="shared" si="712"/>
        <v>0</v>
      </c>
      <c r="CB572" s="60" t="e">
        <f t="shared" si="662"/>
        <v>#N/A</v>
      </c>
      <c r="CC572" s="60">
        <f t="shared" si="663"/>
        <v>100000</v>
      </c>
      <c r="CD572" s="60" t="e">
        <f t="shared" si="664"/>
        <v>#N/A</v>
      </c>
      <c r="CE572" s="60">
        <f t="shared" si="665"/>
        <v>100000</v>
      </c>
      <c r="CF572" s="83" t="e">
        <f t="shared" si="713"/>
        <v>#N/A</v>
      </c>
      <c r="CG572" s="83">
        <f t="shared" si="714"/>
        <v>0</v>
      </c>
      <c r="CH572" s="83" t="e">
        <f t="shared" si="715"/>
        <v>#N/A</v>
      </c>
      <c r="CI572" s="83">
        <f t="shared" si="716"/>
        <v>0</v>
      </c>
      <c r="CJ572" s="86" t="e">
        <f t="shared" si="666"/>
        <v>#N/A</v>
      </c>
      <c r="CK572" s="82">
        <f t="shared" si="667"/>
        <v>5.3070370403969858E-3</v>
      </c>
      <c r="CL572" s="82" t="e">
        <f t="shared" si="668"/>
        <v>#N/A</v>
      </c>
      <c r="CM572" s="82">
        <f t="shared" si="669"/>
        <v>5.3070370403969858E-3</v>
      </c>
      <c r="CO572" s="149" t="str">
        <f>IF($I572&lt;&gt;"",IF(O572="User Specified",U572,INDEX('Refrigerant GWPs'!$G$2:$G$156,MATCH(O572,'Refrigerant GWPs'!$A$2:$A$156,0))),"")</f>
        <v/>
      </c>
      <c r="CP572" s="138" t="str">
        <f>IF($I572&lt;&gt;"",INDEX('Device Refrigerant Leakage'!$E$2:$E$42,MATCH($M572,'Device Refrigerant Leakage'!$B$2:$B$42,0)),"")</f>
        <v/>
      </c>
      <c r="CQ572" s="138" t="str">
        <f>IF($I572&lt;&gt;"",INDEX('Device Refrigerant Leakage'!$F$2:$F$42,MATCH($M572,'Device Refrigerant Leakage'!$B$2:$B$42,0)),"")</f>
        <v/>
      </c>
      <c r="CR572" s="145" t="str">
        <f>IF($I572&lt;&gt;"",INDEX('Device Refrigerant Leakage'!$G$2:$G$42,MATCH($M572,'Device Refrigerant Leakage'!$B$2:$B$42,0)),"")</f>
        <v/>
      </c>
      <c r="CS572" s="145" t="str">
        <f>IF($I572&lt;&gt;"",INDEX('Device Refrigerant Leakage'!$D$2:$D$42,MATCH($M572,'Device Refrigerant Leakage'!$B$2:$B$42,0))*CP572/2204.62*CO572,"")</f>
        <v/>
      </c>
      <c r="CT572" s="145" t="str">
        <f>IF($I572&lt;&gt;"",J572*(INDEX('Device Refrigerant Leakage'!$D$2:$D$42,MATCH($M572,'Device Refrigerant Leakage'!$B$2:$B$42,0))-(INDEX('Device Refrigerant Leakage'!$D$2:$D$42,MATCH($M572,'Device Refrigerant Leakage'!$B$2:$B$42,0)))*CR572*CP572)*CQ572/2204.62*CO572,"")</f>
        <v/>
      </c>
      <c r="CU572" s="135" t="str">
        <f>IF($I572&lt;&gt;"",J572*IF(W572&lt;&gt;"AR",(CS572*K572)+CT572,(CS572*AB572)+CT572*(AB572/INDEX('Device Refrigerant Leakage'!$C$2:$C$42,MATCH($M572,'Device Refrigerant Leakage'!$B$2:$B$42,0)))),"")</f>
        <v/>
      </c>
      <c r="CW572" s="135" t="str">
        <f>IF($I572&lt;&gt;"",IF(S572="User Specified",V572,INDEX('Refrigerant GWPs'!$G$2:$G$156,MATCH(S572,'Refrigerant GWPs'!$A$2:$A$157,0))),"")</f>
        <v/>
      </c>
      <c r="CX572" s="138" t="str">
        <f>IF($I572&lt;&gt;"",INDEX('Device Refrigerant Leakage'!$E$2:$E$42,MATCH($Q572,'Device Refrigerant Leakage'!$B$2:$B$42,0)),"")</f>
        <v/>
      </c>
      <c r="CY572" s="138" t="str">
        <f>IF($I572&lt;&gt;"",INDEX('Device Refrigerant Leakage'!$F$2:$F$42,MATCH($Q572,'Device Refrigerant Leakage'!$B$2:$B$42,0)),"")</f>
        <v/>
      </c>
      <c r="CZ572" s="145" t="str">
        <f>IF($I572&lt;&gt;"",INDEX('Device Refrigerant Leakage'!$G$2:$G$42,MATCH($Q572,'Device Refrigerant Leakage'!$B$2:$B$42,0)),"")</f>
        <v/>
      </c>
      <c r="DA572" s="145" t="str">
        <f>IF($I572&lt;&gt;"",J572*INDEX('Device Refrigerant Leakage'!$D$2:$D$42,MATCH($Q572,'Device Refrigerant Leakage'!$B$2:$B$42,0))*CX572/2204.62*CW572,"")</f>
        <v/>
      </c>
      <c r="DB572" s="145" t="str">
        <f>IF($I572&lt;&gt;"",J572*(INDEX('Device Refrigerant Leakage'!$D$2:$D$42,MATCH($Q572,'Device Refrigerant Leakage'!$B$2:$B$42,0))-(INDEX('Device Refrigerant Leakage'!$D$2:$D$42,MATCH($Q572,'Device Refrigerant Leakage'!$B$2:$B$42,0)))*CZ572*CX572)*CY572/2204.62*CW572,"")</f>
        <v/>
      </c>
      <c r="DC572" s="135" t="str">
        <f t="shared" si="688"/>
        <v/>
      </c>
      <c r="DE572" s="146" t="str">
        <f>IF(W572&lt;&gt;"AR","",IF(Y572="User Specified", AA572, INDEX('Refrigerant GWPs'!$G$2:$G$154,MATCH(Y572,'Refrigerant GWPs'!$A$2:$A$154,0))))</f>
        <v/>
      </c>
      <c r="DF572" s="146" t="str">
        <f>IF(W572&lt;&gt;"AR","",INDEX('Device Refrigerant Leakage'!$E$2:$E$42,MATCH(X572,'Device Refrigerant Leakage'!$B$2:$B$42,0)))</f>
        <v/>
      </c>
      <c r="DG572" s="146" t="str">
        <f>IF(W572&lt;&gt;"AR","",INDEX('Device Refrigerant Leakage'!$F$2:$F$42,MATCH(X572,'Device Refrigerant Leakage'!$B$2:$B$42,0)))</f>
        <v/>
      </c>
      <c r="DH572" s="146" t="str">
        <f>IF(W572&lt;&gt;"AR","",INDEX('Device Refrigerant Leakage'!$G$2:$G$42,MATCH(X572,'Device Refrigerant Leakage'!$B$2:$B$42,0)))</f>
        <v/>
      </c>
      <c r="DI572" s="146" t="str">
        <f>IF(W572&lt;&gt;"AR","",J572*INDEX('Device Refrigerant Leakage'!$D$2:$D$42,MATCH(X572,'Device Refrigerant Leakage'!$B$2:$B$42,0))*DF572/2204.62*DE572)</f>
        <v/>
      </c>
      <c r="DJ572" s="146" t="str">
        <f>IF(W572&lt;&gt;"AR","",J572*(INDEX('Device Refrigerant Leakage'!$D$2:$D$42,MATCH(X572,'Device Refrigerant Leakage'!$B$2:$B$42,0))-(INDEX('Device Refrigerant Leakage'!$D$2:$D$42,MATCH(X572,'Device Refrigerant Leakage'!$B$2:$B$42,0)))*DH572*DF572)*DG572/2204.62*DE572)</f>
        <v/>
      </c>
      <c r="DK572" s="146" t="str">
        <f>IF(W572&lt;&gt;"AR","",DI572*(K572-AB572)+'Fuel Sub Calcs-Deemed'!DJ572*((K572-AB572)/INDEX('Device Refrigerant Leakage'!$C$2:$C$42,MATCH('Fuel Sub Calcs-Deemed'!X572,'Device Refrigerant Leakage'!$B$2:$B$42,0))))</f>
        <v/>
      </c>
      <c r="DM572" s="56">
        <v>558</v>
      </c>
      <c r="DN572" s="67" t="e">
        <f t="shared" si="670"/>
        <v>#N/A</v>
      </c>
      <c r="DO572" s="45" t="e">
        <f t="shared" si="671"/>
        <v>#N/A</v>
      </c>
      <c r="DP572" s="67" t="e">
        <f t="shared" si="672"/>
        <v>#N/A</v>
      </c>
      <c r="DQ572" s="45" t="e">
        <f t="shared" si="673"/>
        <v>#N/A</v>
      </c>
      <c r="DR572" s="69" t="e">
        <f t="shared" si="674"/>
        <v>#N/A</v>
      </c>
      <c r="DS572" s="34"/>
      <c r="DT572" s="67" t="e">
        <f>((BX572*CJ572)+IF($W572=MAT_AR,(BZ572*CL572),0))*(1+Reference!$E$50+Reference!$E$51)</f>
        <v>#N/A</v>
      </c>
      <c r="DU572" s="67">
        <f>((BY572*CK572)+IF($W572=MAT_AR,(CA572*CM572),0))*(1+Reference!$G$50+Reference!$G$51)</f>
        <v>0</v>
      </c>
      <c r="DV572" s="67" t="e">
        <f t="shared" si="675"/>
        <v>#VALUE!</v>
      </c>
      <c r="DX572" s="56">
        <v>558</v>
      </c>
      <c r="DY572" s="67">
        <f t="shared" si="676"/>
        <v>0</v>
      </c>
      <c r="DZ572" s="45" t="e">
        <f>VLOOKUP($R572,Dropdown!$C$3:$D$4,2,FALSE)</f>
        <v>#N/A</v>
      </c>
      <c r="EA572" s="68">
        <f t="shared" si="677"/>
        <v>0</v>
      </c>
      <c r="EB572" s="68" t="str">
        <f t="shared" si="678"/>
        <v>N/A</v>
      </c>
      <c r="EC572" s="68">
        <f t="shared" si="679"/>
        <v>0</v>
      </c>
      <c r="ED572" s="68" t="str">
        <f t="shared" si="717"/>
        <v>N/A</v>
      </c>
      <c r="EF572" s="56">
        <v>558</v>
      </c>
      <c r="EG572" s="46">
        <f t="shared" si="680"/>
        <v>0</v>
      </c>
      <c r="EH572" s="68" t="e">
        <f t="shared" si="681"/>
        <v>#N/A</v>
      </c>
      <c r="EI572" s="68" t="e">
        <f t="shared" si="682"/>
        <v>#N/A</v>
      </c>
      <c r="EJ572" s="68" t="e">
        <f t="shared" si="683"/>
        <v>#N/A</v>
      </c>
      <c r="EK572" s="68" t="e">
        <f t="shared" si="684"/>
        <v>#N/A</v>
      </c>
      <c r="EL572" s="46">
        <f t="shared" si="685"/>
        <v>0</v>
      </c>
      <c r="EM572" s="46">
        <f t="shared" si="686"/>
        <v>0</v>
      </c>
    </row>
    <row r="573" spans="1:143">
      <c r="A573" s="89"/>
      <c r="B573" s="89"/>
      <c r="C573" s="89"/>
      <c r="D573" s="89"/>
      <c r="E573" s="89"/>
      <c r="F573" s="89"/>
      <c r="G573" s="34"/>
      <c r="H573" s="56">
        <f t="shared" si="687"/>
        <v>559</v>
      </c>
      <c r="I573" s="165"/>
      <c r="J573" s="163"/>
      <c r="K573" s="163"/>
      <c r="L573" s="164"/>
      <c r="M573" s="155"/>
      <c r="N573" s="155"/>
      <c r="O573" s="144"/>
      <c r="P573" s="159" t="str">
        <f>IFERROR(IF(O573&lt;&gt;"User Specified",IF(O573&lt;&gt;"", INDEX('Refrigerant GWPs'!$G$2:$G$154,MATCH(O573,'Refrigerant GWPs'!$A$2:$A$154,0)),""),U573),0)</f>
        <v/>
      </c>
      <c r="Q573" s="155"/>
      <c r="R573" s="155"/>
      <c r="S573" s="144"/>
      <c r="T573" s="159" t="str">
        <f>IF(S573&lt;&gt;"User Specified",IF(AND(S573&lt;&gt;"User Specified",S573&lt;&gt;""), INDEX('Refrigerant GWPs'!$G$2:$G$154,MATCH(S573,'Refrigerant GWPs'!$A$2:$A$154,0)),""),V573)</f>
        <v/>
      </c>
      <c r="U573" s="144"/>
      <c r="V573" s="144"/>
      <c r="W573" s="155"/>
      <c r="X573" s="155"/>
      <c r="Y573" s="144"/>
      <c r="Z573" s="159" t="str">
        <f>IF(AND(Y573&lt;&gt;"User Specified",Y573&lt;&gt;""), INDEX('Refrigerant GWPs'!$G$2:$G$154,MATCH(Y573,'Refrigerant GWPs'!$A$2:$A$154,0)),"")</f>
        <v/>
      </c>
      <c r="AA573" s="155"/>
      <c r="AB573" s="156"/>
      <c r="AC573" s="66"/>
      <c r="AD573" s="66"/>
      <c r="AE573" s="66"/>
      <c r="AF573" s="66"/>
      <c r="AG573" s="66"/>
      <c r="AH573" s="66"/>
      <c r="AI573" s="34"/>
      <c r="AJ573" s="88">
        <f t="shared" si="650"/>
        <v>0</v>
      </c>
      <c r="AK573" s="88">
        <f t="shared" si="651"/>
        <v>0</v>
      </c>
      <c r="AL573" s="88">
        <v>0</v>
      </c>
      <c r="AM573" s="88">
        <v>0</v>
      </c>
      <c r="AN573" s="81" t="str">
        <f t="shared" si="689"/>
        <v/>
      </c>
      <c r="AO573" s="88">
        <f t="shared" si="652"/>
        <v>0</v>
      </c>
      <c r="AP573" s="88">
        <f t="shared" si="653"/>
        <v>0</v>
      </c>
      <c r="AQ573" s="81" t="str">
        <f t="shared" si="654"/>
        <v/>
      </c>
      <c r="AS573" s="41" t="b">
        <f t="shared" si="655"/>
        <v>1</v>
      </c>
      <c r="AT573" s="38">
        <f t="shared" si="656"/>
        <v>0</v>
      </c>
      <c r="AU573" s="60">
        <f t="shared" si="657"/>
        <v>0</v>
      </c>
      <c r="AV573" s="41">
        <f t="shared" si="658"/>
        <v>0</v>
      </c>
      <c r="AW573" s="41" t="b">
        <f t="shared" si="659"/>
        <v>0</v>
      </c>
      <c r="AX573" t="str">
        <f t="shared" si="660"/>
        <v>+00</v>
      </c>
      <c r="AY573" t="str">
        <f t="shared" si="661"/>
        <v>+00</v>
      </c>
      <c r="BA573" s="47" t="b">
        <f t="shared" si="690"/>
        <v>1</v>
      </c>
      <c r="BB573" s="42" t="b">
        <f t="shared" si="691"/>
        <v>1</v>
      </c>
      <c r="BC573" s="42" t="b">
        <f t="shared" si="692"/>
        <v>0</v>
      </c>
      <c r="BD573" s="42" t="b">
        <f t="shared" si="693"/>
        <v>0</v>
      </c>
      <c r="BE573" s="70">
        <f t="shared" si="694"/>
        <v>0</v>
      </c>
      <c r="BF573" s="70">
        <f t="shared" si="695"/>
        <v>0</v>
      </c>
      <c r="BG573" s="34"/>
      <c r="BI573" s="47" t="b">
        <f t="shared" si="696"/>
        <v>1</v>
      </c>
      <c r="BJ573" s="47" t="b">
        <f t="shared" si="697"/>
        <v>1</v>
      </c>
      <c r="BK573" s="42" t="b">
        <f t="shared" si="698"/>
        <v>0</v>
      </c>
      <c r="BL573" s="42" t="b">
        <f t="shared" si="699"/>
        <v>0</v>
      </c>
      <c r="BM573" s="42">
        <f t="shared" si="700"/>
        <v>0</v>
      </c>
      <c r="BN573" s="42">
        <f t="shared" si="701"/>
        <v>0</v>
      </c>
      <c r="BP573" t="e">
        <f t="shared" si="702"/>
        <v>#N/A</v>
      </c>
      <c r="BQ573" t="e">
        <f t="shared" si="703"/>
        <v>#N/A</v>
      </c>
      <c r="BR573" t="e">
        <f t="shared" si="704"/>
        <v>#N/A</v>
      </c>
      <c r="BT573" s="60">
        <f t="shared" si="705"/>
        <v>0</v>
      </c>
      <c r="BU573" s="60">
        <f t="shared" si="706"/>
        <v>0</v>
      </c>
      <c r="BV573" s="60">
        <f t="shared" si="707"/>
        <v>0</v>
      </c>
      <c r="BW573" s="60">
        <f t="shared" si="708"/>
        <v>0</v>
      </c>
      <c r="BX573" s="60">
        <f t="shared" si="709"/>
        <v>0</v>
      </c>
      <c r="BY573" s="60">
        <f t="shared" si="710"/>
        <v>0</v>
      </c>
      <c r="BZ573" s="60">
        <f t="shared" si="711"/>
        <v>0</v>
      </c>
      <c r="CA573" s="60">
        <f t="shared" si="712"/>
        <v>0</v>
      </c>
      <c r="CB573" s="60" t="e">
        <f t="shared" si="662"/>
        <v>#N/A</v>
      </c>
      <c r="CC573" s="60">
        <f t="shared" si="663"/>
        <v>100000</v>
      </c>
      <c r="CD573" s="60" t="e">
        <f t="shared" si="664"/>
        <v>#N/A</v>
      </c>
      <c r="CE573" s="60">
        <f t="shared" si="665"/>
        <v>100000</v>
      </c>
      <c r="CF573" s="83" t="e">
        <f t="shared" si="713"/>
        <v>#N/A</v>
      </c>
      <c r="CG573" s="83">
        <f t="shared" si="714"/>
        <v>0</v>
      </c>
      <c r="CH573" s="83" t="e">
        <f t="shared" si="715"/>
        <v>#N/A</v>
      </c>
      <c r="CI573" s="83">
        <f t="shared" si="716"/>
        <v>0</v>
      </c>
      <c r="CJ573" s="86" t="e">
        <f t="shared" si="666"/>
        <v>#N/A</v>
      </c>
      <c r="CK573" s="82">
        <f t="shared" si="667"/>
        <v>5.3070370403969858E-3</v>
      </c>
      <c r="CL573" s="82" t="e">
        <f t="shared" si="668"/>
        <v>#N/A</v>
      </c>
      <c r="CM573" s="82">
        <f t="shared" si="669"/>
        <v>5.3070370403969858E-3</v>
      </c>
      <c r="CO573" s="149" t="str">
        <f>IF($I573&lt;&gt;"",IF(O573="User Specified",U573,INDEX('Refrigerant GWPs'!$G$2:$G$156,MATCH(O573,'Refrigerant GWPs'!$A$2:$A$156,0))),"")</f>
        <v/>
      </c>
      <c r="CP573" s="138" t="str">
        <f>IF($I573&lt;&gt;"",INDEX('Device Refrigerant Leakage'!$E$2:$E$42,MATCH($M573,'Device Refrigerant Leakage'!$B$2:$B$42,0)),"")</f>
        <v/>
      </c>
      <c r="CQ573" s="138" t="str">
        <f>IF($I573&lt;&gt;"",INDEX('Device Refrigerant Leakage'!$F$2:$F$42,MATCH($M573,'Device Refrigerant Leakage'!$B$2:$B$42,0)),"")</f>
        <v/>
      </c>
      <c r="CR573" s="145" t="str">
        <f>IF($I573&lt;&gt;"",INDEX('Device Refrigerant Leakage'!$G$2:$G$42,MATCH($M573,'Device Refrigerant Leakage'!$B$2:$B$42,0)),"")</f>
        <v/>
      </c>
      <c r="CS573" s="145" t="str">
        <f>IF($I573&lt;&gt;"",INDEX('Device Refrigerant Leakage'!$D$2:$D$42,MATCH($M573,'Device Refrigerant Leakage'!$B$2:$B$42,0))*CP573/2204.62*CO573,"")</f>
        <v/>
      </c>
      <c r="CT573" s="145" t="str">
        <f>IF($I573&lt;&gt;"",J573*(INDEX('Device Refrigerant Leakage'!$D$2:$D$42,MATCH($M573,'Device Refrigerant Leakage'!$B$2:$B$42,0))-(INDEX('Device Refrigerant Leakage'!$D$2:$D$42,MATCH($M573,'Device Refrigerant Leakage'!$B$2:$B$42,0)))*CR573*CP573)*CQ573/2204.62*CO573,"")</f>
        <v/>
      </c>
      <c r="CU573" s="135" t="str">
        <f>IF($I573&lt;&gt;"",J573*IF(W573&lt;&gt;"AR",(CS573*K573)+CT573,(CS573*AB573)+CT573*(AB573/INDEX('Device Refrigerant Leakage'!$C$2:$C$42,MATCH($M573,'Device Refrigerant Leakage'!$B$2:$B$42,0)))),"")</f>
        <v/>
      </c>
      <c r="CW573" s="135" t="str">
        <f>IF($I573&lt;&gt;"",IF(S573="User Specified",V573,INDEX('Refrigerant GWPs'!$G$2:$G$156,MATCH(S573,'Refrigerant GWPs'!$A$2:$A$157,0))),"")</f>
        <v/>
      </c>
      <c r="CX573" s="138" t="str">
        <f>IF($I573&lt;&gt;"",INDEX('Device Refrigerant Leakage'!$E$2:$E$42,MATCH($Q573,'Device Refrigerant Leakage'!$B$2:$B$42,0)),"")</f>
        <v/>
      </c>
      <c r="CY573" s="138" t="str">
        <f>IF($I573&lt;&gt;"",INDEX('Device Refrigerant Leakage'!$F$2:$F$42,MATCH($Q573,'Device Refrigerant Leakage'!$B$2:$B$42,0)),"")</f>
        <v/>
      </c>
      <c r="CZ573" s="145" t="str">
        <f>IF($I573&lt;&gt;"",INDEX('Device Refrigerant Leakage'!$G$2:$G$42,MATCH($Q573,'Device Refrigerant Leakage'!$B$2:$B$42,0)),"")</f>
        <v/>
      </c>
      <c r="DA573" s="145" t="str">
        <f>IF($I573&lt;&gt;"",J573*INDEX('Device Refrigerant Leakage'!$D$2:$D$42,MATCH($Q573,'Device Refrigerant Leakage'!$B$2:$B$42,0))*CX573/2204.62*CW573,"")</f>
        <v/>
      </c>
      <c r="DB573" s="145" t="str">
        <f>IF($I573&lt;&gt;"",J573*(INDEX('Device Refrigerant Leakage'!$D$2:$D$42,MATCH($Q573,'Device Refrigerant Leakage'!$B$2:$B$42,0))-(INDEX('Device Refrigerant Leakage'!$D$2:$D$42,MATCH($Q573,'Device Refrigerant Leakage'!$B$2:$B$42,0)))*CZ573*CX573)*CY573/2204.62*CW573,"")</f>
        <v/>
      </c>
      <c r="DC573" s="135" t="str">
        <f t="shared" si="688"/>
        <v/>
      </c>
      <c r="DE573" s="146" t="str">
        <f>IF(W573&lt;&gt;"AR","",IF(Y573="User Specified", AA573, INDEX('Refrigerant GWPs'!$G$2:$G$154,MATCH(Y573,'Refrigerant GWPs'!$A$2:$A$154,0))))</f>
        <v/>
      </c>
      <c r="DF573" s="146" t="str">
        <f>IF(W573&lt;&gt;"AR","",INDEX('Device Refrigerant Leakage'!$E$2:$E$42,MATCH(X573,'Device Refrigerant Leakage'!$B$2:$B$42,0)))</f>
        <v/>
      </c>
      <c r="DG573" s="146" t="str">
        <f>IF(W573&lt;&gt;"AR","",INDEX('Device Refrigerant Leakage'!$F$2:$F$42,MATCH(X573,'Device Refrigerant Leakage'!$B$2:$B$42,0)))</f>
        <v/>
      </c>
      <c r="DH573" s="146" t="str">
        <f>IF(W573&lt;&gt;"AR","",INDEX('Device Refrigerant Leakage'!$G$2:$G$42,MATCH(X573,'Device Refrigerant Leakage'!$B$2:$B$42,0)))</f>
        <v/>
      </c>
      <c r="DI573" s="146" t="str">
        <f>IF(W573&lt;&gt;"AR","",J573*INDEX('Device Refrigerant Leakage'!$D$2:$D$42,MATCH(X573,'Device Refrigerant Leakage'!$B$2:$B$42,0))*DF573/2204.62*DE573)</f>
        <v/>
      </c>
      <c r="DJ573" s="146" t="str">
        <f>IF(W573&lt;&gt;"AR","",J573*(INDEX('Device Refrigerant Leakage'!$D$2:$D$42,MATCH(X573,'Device Refrigerant Leakage'!$B$2:$B$42,0))-(INDEX('Device Refrigerant Leakage'!$D$2:$D$42,MATCH(X573,'Device Refrigerant Leakage'!$B$2:$B$42,0)))*DH573*DF573)*DG573/2204.62*DE573)</f>
        <v/>
      </c>
      <c r="DK573" s="146" t="str">
        <f>IF(W573&lt;&gt;"AR","",DI573*(K573-AB573)+'Fuel Sub Calcs-Deemed'!DJ573*((K573-AB573)/INDEX('Device Refrigerant Leakage'!$C$2:$C$42,MATCH('Fuel Sub Calcs-Deemed'!X573,'Device Refrigerant Leakage'!$B$2:$B$42,0))))</f>
        <v/>
      </c>
      <c r="DM573" s="56">
        <v>559</v>
      </c>
      <c r="DN573" s="67" t="e">
        <f t="shared" si="670"/>
        <v>#N/A</v>
      </c>
      <c r="DO573" s="45" t="e">
        <f t="shared" si="671"/>
        <v>#N/A</v>
      </c>
      <c r="DP573" s="67" t="e">
        <f t="shared" si="672"/>
        <v>#N/A</v>
      </c>
      <c r="DQ573" s="45" t="e">
        <f t="shared" si="673"/>
        <v>#N/A</v>
      </c>
      <c r="DR573" s="69" t="e">
        <f t="shared" si="674"/>
        <v>#N/A</v>
      </c>
      <c r="DS573" s="34"/>
      <c r="DT573" s="67" t="e">
        <f>((BX573*CJ573)+IF($W573=MAT_AR,(BZ573*CL573),0))*(1+Reference!$E$50+Reference!$E$51)</f>
        <v>#N/A</v>
      </c>
      <c r="DU573" s="67">
        <f>((BY573*CK573)+IF($W573=MAT_AR,(CA573*CM573),0))*(1+Reference!$G$50+Reference!$G$51)</f>
        <v>0</v>
      </c>
      <c r="DV573" s="67" t="e">
        <f t="shared" si="675"/>
        <v>#VALUE!</v>
      </c>
      <c r="DX573" s="56">
        <v>559</v>
      </c>
      <c r="DY573" s="67">
        <f t="shared" si="676"/>
        <v>0</v>
      </c>
      <c r="DZ573" s="45" t="e">
        <f>VLOOKUP($R573,Dropdown!$C$3:$D$4,2,FALSE)</f>
        <v>#N/A</v>
      </c>
      <c r="EA573" s="68">
        <f t="shared" si="677"/>
        <v>0</v>
      </c>
      <c r="EB573" s="68" t="str">
        <f t="shared" si="678"/>
        <v>N/A</v>
      </c>
      <c r="EC573" s="68">
        <f t="shared" si="679"/>
        <v>0</v>
      </c>
      <c r="ED573" s="68" t="str">
        <f t="shared" si="717"/>
        <v>N/A</v>
      </c>
      <c r="EF573" s="56">
        <v>559</v>
      </c>
      <c r="EG573" s="46">
        <f t="shared" si="680"/>
        <v>0</v>
      </c>
      <c r="EH573" s="68" t="e">
        <f t="shared" si="681"/>
        <v>#N/A</v>
      </c>
      <c r="EI573" s="68" t="e">
        <f t="shared" si="682"/>
        <v>#N/A</v>
      </c>
      <c r="EJ573" s="68" t="e">
        <f t="shared" si="683"/>
        <v>#N/A</v>
      </c>
      <c r="EK573" s="68" t="e">
        <f t="shared" si="684"/>
        <v>#N/A</v>
      </c>
      <c r="EL573" s="46">
        <f t="shared" si="685"/>
        <v>0</v>
      </c>
      <c r="EM573" s="46">
        <f t="shared" si="686"/>
        <v>0</v>
      </c>
    </row>
    <row r="574" spans="1:143">
      <c r="A574" s="89"/>
      <c r="B574" s="89"/>
      <c r="C574" s="89"/>
      <c r="D574" s="89"/>
      <c r="E574" s="89"/>
      <c r="F574" s="89"/>
      <c r="G574" s="34"/>
      <c r="H574" s="56">
        <f t="shared" si="687"/>
        <v>560</v>
      </c>
      <c r="I574" s="165"/>
      <c r="J574" s="163"/>
      <c r="K574" s="163"/>
      <c r="L574" s="164"/>
      <c r="M574" s="155"/>
      <c r="N574" s="155"/>
      <c r="O574" s="144"/>
      <c r="P574" s="159" t="str">
        <f>IFERROR(IF(O574&lt;&gt;"User Specified",IF(O574&lt;&gt;"", INDEX('Refrigerant GWPs'!$G$2:$G$154,MATCH(O574,'Refrigerant GWPs'!$A$2:$A$154,0)),""),U574),0)</f>
        <v/>
      </c>
      <c r="Q574" s="155"/>
      <c r="R574" s="155"/>
      <c r="S574" s="144"/>
      <c r="T574" s="159" t="str">
        <f>IF(S574&lt;&gt;"User Specified",IF(AND(S574&lt;&gt;"User Specified",S574&lt;&gt;""), INDEX('Refrigerant GWPs'!$G$2:$G$154,MATCH(S574,'Refrigerant GWPs'!$A$2:$A$154,0)),""),V574)</f>
        <v/>
      </c>
      <c r="U574" s="144"/>
      <c r="V574" s="144"/>
      <c r="W574" s="155"/>
      <c r="X574" s="155"/>
      <c r="Y574" s="144"/>
      <c r="Z574" s="159" t="str">
        <f>IF(AND(Y574&lt;&gt;"User Specified",Y574&lt;&gt;""), INDEX('Refrigerant GWPs'!$G$2:$G$154,MATCH(Y574,'Refrigerant GWPs'!$A$2:$A$154,0)),"")</f>
        <v/>
      </c>
      <c r="AA574" s="155"/>
      <c r="AB574" s="156"/>
      <c r="AC574" s="66"/>
      <c r="AD574" s="66"/>
      <c r="AE574" s="66"/>
      <c r="AF574" s="66"/>
      <c r="AG574" s="66"/>
      <c r="AH574" s="66"/>
      <c r="AI574" s="34"/>
      <c r="AJ574" s="88">
        <f t="shared" si="650"/>
        <v>0</v>
      </c>
      <c r="AK574" s="88">
        <f t="shared" si="651"/>
        <v>0</v>
      </c>
      <c r="AL574" s="88">
        <v>0</v>
      </c>
      <c r="AM574" s="88">
        <v>0</v>
      </c>
      <c r="AN574" s="81" t="str">
        <f t="shared" si="689"/>
        <v/>
      </c>
      <c r="AO574" s="88">
        <f t="shared" si="652"/>
        <v>0</v>
      </c>
      <c r="AP574" s="88">
        <f t="shared" si="653"/>
        <v>0</v>
      </c>
      <c r="AQ574" s="81" t="str">
        <f t="shared" si="654"/>
        <v/>
      </c>
      <c r="AS574" s="41" t="b">
        <f t="shared" si="655"/>
        <v>1</v>
      </c>
      <c r="AT574" s="38">
        <f t="shared" si="656"/>
        <v>0</v>
      </c>
      <c r="AU574" s="60">
        <f t="shared" si="657"/>
        <v>0</v>
      </c>
      <c r="AV574" s="41">
        <f t="shared" si="658"/>
        <v>0</v>
      </c>
      <c r="AW574" s="41" t="b">
        <f t="shared" si="659"/>
        <v>0</v>
      </c>
      <c r="AX574" t="str">
        <f t="shared" si="660"/>
        <v>+00</v>
      </c>
      <c r="AY574" t="str">
        <f t="shared" si="661"/>
        <v>+00</v>
      </c>
      <c r="BA574" s="47" t="b">
        <f t="shared" si="690"/>
        <v>1</v>
      </c>
      <c r="BB574" s="42" t="b">
        <f t="shared" si="691"/>
        <v>1</v>
      </c>
      <c r="BC574" s="42" t="b">
        <f t="shared" si="692"/>
        <v>0</v>
      </c>
      <c r="BD574" s="42" t="b">
        <f t="shared" si="693"/>
        <v>0</v>
      </c>
      <c r="BE574" s="70">
        <f t="shared" si="694"/>
        <v>0</v>
      </c>
      <c r="BF574" s="70">
        <f t="shared" si="695"/>
        <v>0</v>
      </c>
      <c r="BG574" s="34"/>
      <c r="BI574" s="47" t="b">
        <f t="shared" si="696"/>
        <v>1</v>
      </c>
      <c r="BJ574" s="47" t="b">
        <f t="shared" si="697"/>
        <v>1</v>
      </c>
      <c r="BK574" s="42" t="b">
        <f t="shared" si="698"/>
        <v>0</v>
      </c>
      <c r="BL574" s="42" t="b">
        <f t="shared" si="699"/>
        <v>0</v>
      </c>
      <c r="BM574" s="42">
        <f t="shared" si="700"/>
        <v>0</v>
      </c>
      <c r="BN574" s="42">
        <f t="shared" si="701"/>
        <v>0</v>
      </c>
      <c r="BP574" t="e">
        <f t="shared" si="702"/>
        <v>#N/A</v>
      </c>
      <c r="BQ574" t="e">
        <f t="shared" si="703"/>
        <v>#N/A</v>
      </c>
      <c r="BR574" t="e">
        <f t="shared" si="704"/>
        <v>#N/A</v>
      </c>
      <c r="BT574" s="60">
        <f t="shared" si="705"/>
        <v>0</v>
      </c>
      <c r="BU574" s="60">
        <f t="shared" si="706"/>
        <v>0</v>
      </c>
      <c r="BV574" s="60">
        <f t="shared" si="707"/>
        <v>0</v>
      </c>
      <c r="BW574" s="60">
        <f t="shared" si="708"/>
        <v>0</v>
      </c>
      <c r="BX574" s="60">
        <f t="shared" si="709"/>
        <v>0</v>
      </c>
      <c r="BY574" s="60">
        <f t="shared" si="710"/>
        <v>0</v>
      </c>
      <c r="BZ574" s="60">
        <f t="shared" si="711"/>
        <v>0</v>
      </c>
      <c r="CA574" s="60">
        <f t="shared" si="712"/>
        <v>0</v>
      </c>
      <c r="CB574" s="60" t="e">
        <f t="shared" si="662"/>
        <v>#N/A</v>
      </c>
      <c r="CC574" s="60">
        <f t="shared" si="663"/>
        <v>100000</v>
      </c>
      <c r="CD574" s="60" t="e">
        <f t="shared" si="664"/>
        <v>#N/A</v>
      </c>
      <c r="CE574" s="60">
        <f t="shared" si="665"/>
        <v>100000</v>
      </c>
      <c r="CF574" s="83" t="e">
        <f t="shared" si="713"/>
        <v>#N/A</v>
      </c>
      <c r="CG574" s="83">
        <f t="shared" si="714"/>
        <v>0</v>
      </c>
      <c r="CH574" s="83" t="e">
        <f t="shared" si="715"/>
        <v>#N/A</v>
      </c>
      <c r="CI574" s="83">
        <f t="shared" si="716"/>
        <v>0</v>
      </c>
      <c r="CJ574" s="86" t="e">
        <f t="shared" si="666"/>
        <v>#N/A</v>
      </c>
      <c r="CK574" s="82">
        <f t="shared" si="667"/>
        <v>5.3070370403969858E-3</v>
      </c>
      <c r="CL574" s="82" t="e">
        <f t="shared" si="668"/>
        <v>#N/A</v>
      </c>
      <c r="CM574" s="82">
        <f t="shared" si="669"/>
        <v>5.3070370403969858E-3</v>
      </c>
      <c r="CO574" s="149" t="str">
        <f>IF($I574&lt;&gt;"",IF(O574="User Specified",U574,INDEX('Refrigerant GWPs'!$G$2:$G$156,MATCH(O574,'Refrigerant GWPs'!$A$2:$A$156,0))),"")</f>
        <v/>
      </c>
      <c r="CP574" s="138" t="str">
        <f>IF($I574&lt;&gt;"",INDEX('Device Refrigerant Leakage'!$E$2:$E$42,MATCH($M574,'Device Refrigerant Leakage'!$B$2:$B$42,0)),"")</f>
        <v/>
      </c>
      <c r="CQ574" s="138" t="str">
        <f>IF($I574&lt;&gt;"",INDEX('Device Refrigerant Leakage'!$F$2:$F$42,MATCH($M574,'Device Refrigerant Leakage'!$B$2:$B$42,0)),"")</f>
        <v/>
      </c>
      <c r="CR574" s="145" t="str">
        <f>IF($I574&lt;&gt;"",INDEX('Device Refrigerant Leakage'!$G$2:$G$42,MATCH($M574,'Device Refrigerant Leakage'!$B$2:$B$42,0)),"")</f>
        <v/>
      </c>
      <c r="CS574" s="145" t="str">
        <f>IF($I574&lt;&gt;"",INDEX('Device Refrigerant Leakage'!$D$2:$D$42,MATCH($M574,'Device Refrigerant Leakage'!$B$2:$B$42,0))*CP574/2204.62*CO574,"")</f>
        <v/>
      </c>
      <c r="CT574" s="145" t="str">
        <f>IF($I574&lt;&gt;"",J574*(INDEX('Device Refrigerant Leakage'!$D$2:$D$42,MATCH($M574,'Device Refrigerant Leakage'!$B$2:$B$42,0))-(INDEX('Device Refrigerant Leakage'!$D$2:$D$42,MATCH($M574,'Device Refrigerant Leakage'!$B$2:$B$42,0)))*CR574*CP574)*CQ574/2204.62*CO574,"")</f>
        <v/>
      </c>
      <c r="CU574" s="135" t="str">
        <f>IF($I574&lt;&gt;"",J574*IF(W574&lt;&gt;"AR",(CS574*K574)+CT574,(CS574*AB574)+CT574*(AB574/INDEX('Device Refrigerant Leakage'!$C$2:$C$42,MATCH($M574,'Device Refrigerant Leakage'!$B$2:$B$42,0)))),"")</f>
        <v/>
      </c>
      <c r="CW574" s="135" t="str">
        <f>IF($I574&lt;&gt;"",IF(S574="User Specified",V574,INDEX('Refrigerant GWPs'!$G$2:$G$156,MATCH(S574,'Refrigerant GWPs'!$A$2:$A$157,0))),"")</f>
        <v/>
      </c>
      <c r="CX574" s="138" t="str">
        <f>IF($I574&lt;&gt;"",INDEX('Device Refrigerant Leakage'!$E$2:$E$42,MATCH($Q574,'Device Refrigerant Leakage'!$B$2:$B$42,0)),"")</f>
        <v/>
      </c>
      <c r="CY574" s="138" t="str">
        <f>IF($I574&lt;&gt;"",INDEX('Device Refrigerant Leakage'!$F$2:$F$42,MATCH($Q574,'Device Refrigerant Leakage'!$B$2:$B$42,0)),"")</f>
        <v/>
      </c>
      <c r="CZ574" s="145" t="str">
        <f>IF($I574&lt;&gt;"",INDEX('Device Refrigerant Leakage'!$G$2:$G$42,MATCH($Q574,'Device Refrigerant Leakage'!$B$2:$B$42,0)),"")</f>
        <v/>
      </c>
      <c r="DA574" s="145" t="str">
        <f>IF($I574&lt;&gt;"",J574*INDEX('Device Refrigerant Leakage'!$D$2:$D$42,MATCH($Q574,'Device Refrigerant Leakage'!$B$2:$B$42,0))*CX574/2204.62*CW574,"")</f>
        <v/>
      </c>
      <c r="DB574" s="145" t="str">
        <f>IF($I574&lt;&gt;"",J574*(INDEX('Device Refrigerant Leakage'!$D$2:$D$42,MATCH($Q574,'Device Refrigerant Leakage'!$B$2:$B$42,0))-(INDEX('Device Refrigerant Leakage'!$D$2:$D$42,MATCH($Q574,'Device Refrigerant Leakage'!$B$2:$B$42,0)))*CZ574*CX574)*CY574/2204.62*CW574,"")</f>
        <v/>
      </c>
      <c r="DC574" s="135" t="str">
        <f t="shared" si="688"/>
        <v/>
      </c>
      <c r="DE574" s="146" t="str">
        <f>IF(W574&lt;&gt;"AR","",IF(Y574="User Specified", AA574, INDEX('Refrigerant GWPs'!$G$2:$G$154,MATCH(Y574,'Refrigerant GWPs'!$A$2:$A$154,0))))</f>
        <v/>
      </c>
      <c r="DF574" s="146" t="str">
        <f>IF(W574&lt;&gt;"AR","",INDEX('Device Refrigerant Leakage'!$E$2:$E$42,MATCH(X574,'Device Refrigerant Leakage'!$B$2:$B$42,0)))</f>
        <v/>
      </c>
      <c r="DG574" s="146" t="str">
        <f>IF(W574&lt;&gt;"AR","",INDEX('Device Refrigerant Leakage'!$F$2:$F$42,MATCH(X574,'Device Refrigerant Leakage'!$B$2:$B$42,0)))</f>
        <v/>
      </c>
      <c r="DH574" s="146" t="str">
        <f>IF(W574&lt;&gt;"AR","",INDEX('Device Refrigerant Leakage'!$G$2:$G$42,MATCH(X574,'Device Refrigerant Leakage'!$B$2:$B$42,0)))</f>
        <v/>
      </c>
      <c r="DI574" s="146" t="str">
        <f>IF(W574&lt;&gt;"AR","",J574*INDEX('Device Refrigerant Leakage'!$D$2:$D$42,MATCH(X574,'Device Refrigerant Leakage'!$B$2:$B$42,0))*DF574/2204.62*DE574)</f>
        <v/>
      </c>
      <c r="DJ574" s="146" t="str">
        <f>IF(W574&lt;&gt;"AR","",J574*(INDEX('Device Refrigerant Leakage'!$D$2:$D$42,MATCH(X574,'Device Refrigerant Leakage'!$B$2:$B$42,0))-(INDEX('Device Refrigerant Leakage'!$D$2:$D$42,MATCH(X574,'Device Refrigerant Leakage'!$B$2:$B$42,0)))*DH574*DF574)*DG574/2204.62*DE574)</f>
        <v/>
      </c>
      <c r="DK574" s="146" t="str">
        <f>IF(W574&lt;&gt;"AR","",DI574*(K574-AB574)+'Fuel Sub Calcs-Deemed'!DJ574*((K574-AB574)/INDEX('Device Refrigerant Leakage'!$C$2:$C$42,MATCH('Fuel Sub Calcs-Deemed'!X574,'Device Refrigerant Leakage'!$B$2:$B$42,0))))</f>
        <v/>
      </c>
      <c r="DM574" s="56">
        <v>560</v>
      </c>
      <c r="DN574" s="67" t="e">
        <f t="shared" si="670"/>
        <v>#N/A</v>
      </c>
      <c r="DO574" s="45" t="e">
        <f t="shared" si="671"/>
        <v>#N/A</v>
      </c>
      <c r="DP574" s="67" t="e">
        <f t="shared" si="672"/>
        <v>#N/A</v>
      </c>
      <c r="DQ574" s="45" t="e">
        <f t="shared" si="673"/>
        <v>#N/A</v>
      </c>
      <c r="DR574" s="69" t="e">
        <f t="shared" si="674"/>
        <v>#N/A</v>
      </c>
      <c r="DS574" s="34"/>
      <c r="DT574" s="67" t="e">
        <f>((BX574*CJ574)+IF($W574=MAT_AR,(BZ574*CL574),0))*(1+Reference!$E$50+Reference!$E$51)</f>
        <v>#N/A</v>
      </c>
      <c r="DU574" s="67">
        <f>((BY574*CK574)+IF($W574=MAT_AR,(CA574*CM574),0))*(1+Reference!$G$50+Reference!$G$51)</f>
        <v>0</v>
      </c>
      <c r="DV574" s="67" t="e">
        <f t="shared" si="675"/>
        <v>#VALUE!</v>
      </c>
      <c r="DX574" s="56">
        <v>560</v>
      </c>
      <c r="DY574" s="67">
        <f t="shared" si="676"/>
        <v>0</v>
      </c>
      <c r="DZ574" s="45" t="e">
        <f>VLOOKUP($R574,Dropdown!$C$3:$D$4,2,FALSE)</f>
        <v>#N/A</v>
      </c>
      <c r="EA574" s="68">
        <f t="shared" si="677"/>
        <v>0</v>
      </c>
      <c r="EB574" s="68" t="str">
        <f t="shared" si="678"/>
        <v>N/A</v>
      </c>
      <c r="EC574" s="68">
        <f t="shared" si="679"/>
        <v>0</v>
      </c>
      <c r="ED574" s="68" t="str">
        <f t="shared" si="717"/>
        <v>N/A</v>
      </c>
      <c r="EF574" s="56">
        <v>560</v>
      </c>
      <c r="EG574" s="46">
        <f t="shared" si="680"/>
        <v>0</v>
      </c>
      <c r="EH574" s="68" t="e">
        <f t="shared" si="681"/>
        <v>#N/A</v>
      </c>
      <c r="EI574" s="68" t="e">
        <f t="shared" si="682"/>
        <v>#N/A</v>
      </c>
      <c r="EJ574" s="68" t="e">
        <f t="shared" si="683"/>
        <v>#N/A</v>
      </c>
      <c r="EK574" s="68" t="e">
        <f t="shared" si="684"/>
        <v>#N/A</v>
      </c>
      <c r="EL574" s="46">
        <f t="shared" si="685"/>
        <v>0</v>
      </c>
      <c r="EM574" s="46">
        <f t="shared" si="686"/>
        <v>0</v>
      </c>
    </row>
    <row r="575" spans="1:143">
      <c r="A575" s="89"/>
      <c r="B575" s="89"/>
      <c r="C575" s="89"/>
      <c r="D575" s="89"/>
      <c r="E575" s="89"/>
      <c r="F575" s="89"/>
      <c r="G575" s="34"/>
      <c r="H575" s="56">
        <f t="shared" si="687"/>
        <v>561</v>
      </c>
      <c r="I575" s="165"/>
      <c r="J575" s="163"/>
      <c r="K575" s="163"/>
      <c r="L575" s="164"/>
      <c r="M575" s="155"/>
      <c r="N575" s="155"/>
      <c r="O575" s="144"/>
      <c r="P575" s="159" t="str">
        <f>IFERROR(IF(O575&lt;&gt;"User Specified",IF(O575&lt;&gt;"", INDEX('Refrigerant GWPs'!$G$2:$G$154,MATCH(O575,'Refrigerant GWPs'!$A$2:$A$154,0)),""),U575),0)</f>
        <v/>
      </c>
      <c r="Q575" s="155"/>
      <c r="R575" s="155"/>
      <c r="S575" s="144"/>
      <c r="T575" s="159" t="str">
        <f>IF(S575&lt;&gt;"User Specified",IF(AND(S575&lt;&gt;"User Specified",S575&lt;&gt;""), INDEX('Refrigerant GWPs'!$G$2:$G$154,MATCH(S575,'Refrigerant GWPs'!$A$2:$A$154,0)),""),V575)</f>
        <v/>
      </c>
      <c r="U575" s="144"/>
      <c r="V575" s="144"/>
      <c r="W575" s="155"/>
      <c r="X575" s="155"/>
      <c r="Y575" s="144"/>
      <c r="Z575" s="159" t="str">
        <f>IF(AND(Y575&lt;&gt;"User Specified",Y575&lt;&gt;""), INDEX('Refrigerant GWPs'!$G$2:$G$154,MATCH(Y575,'Refrigerant GWPs'!$A$2:$A$154,0)),"")</f>
        <v/>
      </c>
      <c r="AA575" s="155"/>
      <c r="AB575" s="156"/>
      <c r="AC575" s="66"/>
      <c r="AD575" s="66"/>
      <c r="AE575" s="66"/>
      <c r="AF575" s="66"/>
      <c r="AG575" s="66"/>
      <c r="AH575" s="66"/>
      <c r="AI575" s="34"/>
      <c r="AJ575" s="88">
        <f t="shared" si="650"/>
        <v>0</v>
      </c>
      <c r="AK575" s="88">
        <f t="shared" si="651"/>
        <v>0</v>
      </c>
      <c r="AL575" s="88">
        <v>0</v>
      </c>
      <c r="AM575" s="88">
        <v>0</v>
      </c>
      <c r="AN575" s="81" t="str">
        <f t="shared" si="689"/>
        <v/>
      </c>
      <c r="AO575" s="88">
        <f t="shared" si="652"/>
        <v>0</v>
      </c>
      <c r="AP575" s="88">
        <f t="shared" si="653"/>
        <v>0</v>
      </c>
      <c r="AQ575" s="81" t="str">
        <f t="shared" si="654"/>
        <v/>
      </c>
      <c r="AS575" s="41" t="b">
        <f t="shared" si="655"/>
        <v>1</v>
      </c>
      <c r="AT575" s="38">
        <f t="shared" si="656"/>
        <v>0</v>
      </c>
      <c r="AU575" s="60">
        <f t="shared" si="657"/>
        <v>0</v>
      </c>
      <c r="AV575" s="41">
        <f t="shared" si="658"/>
        <v>0</v>
      </c>
      <c r="AW575" s="41" t="b">
        <f t="shared" si="659"/>
        <v>0</v>
      </c>
      <c r="AX575" t="str">
        <f t="shared" si="660"/>
        <v>+00</v>
      </c>
      <c r="AY575" t="str">
        <f t="shared" si="661"/>
        <v>+00</v>
      </c>
      <c r="BA575" s="47" t="b">
        <f t="shared" si="690"/>
        <v>1</v>
      </c>
      <c r="BB575" s="42" t="b">
        <f t="shared" si="691"/>
        <v>1</v>
      </c>
      <c r="BC575" s="42" t="b">
        <f t="shared" si="692"/>
        <v>0</v>
      </c>
      <c r="BD575" s="42" t="b">
        <f t="shared" si="693"/>
        <v>0</v>
      </c>
      <c r="BE575" s="70">
        <f t="shared" si="694"/>
        <v>0</v>
      </c>
      <c r="BF575" s="70">
        <f t="shared" si="695"/>
        <v>0</v>
      </c>
      <c r="BG575" s="34"/>
      <c r="BI575" s="47" t="b">
        <f t="shared" si="696"/>
        <v>1</v>
      </c>
      <c r="BJ575" s="47" t="b">
        <f t="shared" si="697"/>
        <v>1</v>
      </c>
      <c r="BK575" s="42" t="b">
        <f t="shared" si="698"/>
        <v>0</v>
      </c>
      <c r="BL575" s="42" t="b">
        <f t="shared" si="699"/>
        <v>0</v>
      </c>
      <c r="BM575" s="42">
        <f t="shared" si="700"/>
        <v>0</v>
      </c>
      <c r="BN575" s="42">
        <f t="shared" si="701"/>
        <v>0</v>
      </c>
      <c r="BP575" t="e">
        <f t="shared" si="702"/>
        <v>#N/A</v>
      </c>
      <c r="BQ575" t="e">
        <f t="shared" si="703"/>
        <v>#N/A</v>
      </c>
      <c r="BR575" t="e">
        <f t="shared" si="704"/>
        <v>#N/A</v>
      </c>
      <c r="BT575" s="60">
        <f t="shared" si="705"/>
        <v>0</v>
      </c>
      <c r="BU575" s="60">
        <f t="shared" si="706"/>
        <v>0</v>
      </c>
      <c r="BV575" s="60">
        <f t="shared" si="707"/>
        <v>0</v>
      </c>
      <c r="BW575" s="60">
        <f t="shared" si="708"/>
        <v>0</v>
      </c>
      <c r="BX575" s="60">
        <f t="shared" si="709"/>
        <v>0</v>
      </c>
      <c r="BY575" s="60">
        <f t="shared" si="710"/>
        <v>0</v>
      </c>
      <c r="BZ575" s="60">
        <f t="shared" si="711"/>
        <v>0</v>
      </c>
      <c r="CA575" s="60">
        <f t="shared" si="712"/>
        <v>0</v>
      </c>
      <c r="CB575" s="60" t="e">
        <f t="shared" si="662"/>
        <v>#N/A</v>
      </c>
      <c r="CC575" s="60">
        <f t="shared" si="663"/>
        <v>100000</v>
      </c>
      <c r="CD575" s="60" t="e">
        <f t="shared" si="664"/>
        <v>#N/A</v>
      </c>
      <c r="CE575" s="60">
        <f t="shared" si="665"/>
        <v>100000</v>
      </c>
      <c r="CF575" s="83" t="e">
        <f t="shared" si="713"/>
        <v>#N/A</v>
      </c>
      <c r="CG575" s="83">
        <f t="shared" si="714"/>
        <v>0</v>
      </c>
      <c r="CH575" s="83" t="e">
        <f t="shared" si="715"/>
        <v>#N/A</v>
      </c>
      <c r="CI575" s="83">
        <f t="shared" si="716"/>
        <v>0</v>
      </c>
      <c r="CJ575" s="86" t="e">
        <f t="shared" si="666"/>
        <v>#N/A</v>
      </c>
      <c r="CK575" s="82">
        <f t="shared" si="667"/>
        <v>5.3070370403969858E-3</v>
      </c>
      <c r="CL575" s="82" t="e">
        <f t="shared" si="668"/>
        <v>#N/A</v>
      </c>
      <c r="CM575" s="82">
        <f t="shared" si="669"/>
        <v>5.3070370403969858E-3</v>
      </c>
      <c r="CO575" s="149" t="str">
        <f>IF($I575&lt;&gt;"",IF(O575="User Specified",U575,INDEX('Refrigerant GWPs'!$G$2:$G$156,MATCH(O575,'Refrigerant GWPs'!$A$2:$A$156,0))),"")</f>
        <v/>
      </c>
      <c r="CP575" s="138" t="str">
        <f>IF($I575&lt;&gt;"",INDEX('Device Refrigerant Leakage'!$E$2:$E$42,MATCH($M575,'Device Refrigerant Leakage'!$B$2:$B$42,0)),"")</f>
        <v/>
      </c>
      <c r="CQ575" s="138" t="str">
        <f>IF($I575&lt;&gt;"",INDEX('Device Refrigerant Leakage'!$F$2:$F$42,MATCH($M575,'Device Refrigerant Leakage'!$B$2:$B$42,0)),"")</f>
        <v/>
      </c>
      <c r="CR575" s="145" t="str">
        <f>IF($I575&lt;&gt;"",INDEX('Device Refrigerant Leakage'!$G$2:$G$42,MATCH($M575,'Device Refrigerant Leakage'!$B$2:$B$42,0)),"")</f>
        <v/>
      </c>
      <c r="CS575" s="145" t="str">
        <f>IF($I575&lt;&gt;"",INDEX('Device Refrigerant Leakage'!$D$2:$D$42,MATCH($M575,'Device Refrigerant Leakage'!$B$2:$B$42,0))*CP575/2204.62*CO575,"")</f>
        <v/>
      </c>
      <c r="CT575" s="145" t="str">
        <f>IF($I575&lt;&gt;"",J575*(INDEX('Device Refrigerant Leakage'!$D$2:$D$42,MATCH($M575,'Device Refrigerant Leakage'!$B$2:$B$42,0))-(INDEX('Device Refrigerant Leakage'!$D$2:$D$42,MATCH($M575,'Device Refrigerant Leakage'!$B$2:$B$42,0)))*CR575*CP575)*CQ575/2204.62*CO575,"")</f>
        <v/>
      </c>
      <c r="CU575" s="135" t="str">
        <f>IF($I575&lt;&gt;"",J575*IF(W575&lt;&gt;"AR",(CS575*K575)+CT575,(CS575*AB575)+CT575*(AB575/INDEX('Device Refrigerant Leakage'!$C$2:$C$42,MATCH($M575,'Device Refrigerant Leakage'!$B$2:$B$42,0)))),"")</f>
        <v/>
      </c>
      <c r="CW575" s="135" t="str">
        <f>IF($I575&lt;&gt;"",IF(S575="User Specified",V575,INDEX('Refrigerant GWPs'!$G$2:$G$156,MATCH(S575,'Refrigerant GWPs'!$A$2:$A$157,0))),"")</f>
        <v/>
      </c>
      <c r="CX575" s="138" t="str">
        <f>IF($I575&lt;&gt;"",INDEX('Device Refrigerant Leakage'!$E$2:$E$42,MATCH($Q575,'Device Refrigerant Leakage'!$B$2:$B$42,0)),"")</f>
        <v/>
      </c>
      <c r="CY575" s="138" t="str">
        <f>IF($I575&lt;&gt;"",INDEX('Device Refrigerant Leakage'!$F$2:$F$42,MATCH($Q575,'Device Refrigerant Leakage'!$B$2:$B$42,0)),"")</f>
        <v/>
      </c>
      <c r="CZ575" s="145" t="str">
        <f>IF($I575&lt;&gt;"",INDEX('Device Refrigerant Leakage'!$G$2:$G$42,MATCH($Q575,'Device Refrigerant Leakage'!$B$2:$B$42,0)),"")</f>
        <v/>
      </c>
      <c r="DA575" s="145" t="str">
        <f>IF($I575&lt;&gt;"",J575*INDEX('Device Refrigerant Leakage'!$D$2:$D$42,MATCH($Q575,'Device Refrigerant Leakage'!$B$2:$B$42,0))*CX575/2204.62*CW575,"")</f>
        <v/>
      </c>
      <c r="DB575" s="145" t="str">
        <f>IF($I575&lt;&gt;"",J575*(INDEX('Device Refrigerant Leakage'!$D$2:$D$42,MATCH($Q575,'Device Refrigerant Leakage'!$B$2:$B$42,0))-(INDEX('Device Refrigerant Leakage'!$D$2:$D$42,MATCH($Q575,'Device Refrigerant Leakage'!$B$2:$B$42,0)))*CZ575*CX575)*CY575/2204.62*CW575,"")</f>
        <v/>
      </c>
      <c r="DC575" s="135" t="str">
        <f t="shared" si="688"/>
        <v/>
      </c>
      <c r="DE575" s="146" t="str">
        <f>IF(W575&lt;&gt;"AR","",IF(Y575="User Specified", AA575, INDEX('Refrigerant GWPs'!$G$2:$G$154,MATCH(Y575,'Refrigerant GWPs'!$A$2:$A$154,0))))</f>
        <v/>
      </c>
      <c r="DF575" s="146" t="str">
        <f>IF(W575&lt;&gt;"AR","",INDEX('Device Refrigerant Leakage'!$E$2:$E$42,MATCH(X575,'Device Refrigerant Leakage'!$B$2:$B$42,0)))</f>
        <v/>
      </c>
      <c r="DG575" s="146" t="str">
        <f>IF(W575&lt;&gt;"AR","",INDEX('Device Refrigerant Leakage'!$F$2:$F$42,MATCH(X575,'Device Refrigerant Leakage'!$B$2:$B$42,0)))</f>
        <v/>
      </c>
      <c r="DH575" s="146" t="str">
        <f>IF(W575&lt;&gt;"AR","",INDEX('Device Refrigerant Leakage'!$G$2:$G$42,MATCH(X575,'Device Refrigerant Leakage'!$B$2:$B$42,0)))</f>
        <v/>
      </c>
      <c r="DI575" s="146" t="str">
        <f>IF(W575&lt;&gt;"AR","",J575*INDEX('Device Refrigerant Leakage'!$D$2:$D$42,MATCH(X575,'Device Refrigerant Leakage'!$B$2:$B$42,0))*DF575/2204.62*DE575)</f>
        <v/>
      </c>
      <c r="DJ575" s="146" t="str">
        <f>IF(W575&lt;&gt;"AR","",J575*(INDEX('Device Refrigerant Leakage'!$D$2:$D$42,MATCH(X575,'Device Refrigerant Leakage'!$B$2:$B$42,0))-(INDEX('Device Refrigerant Leakage'!$D$2:$D$42,MATCH(X575,'Device Refrigerant Leakage'!$B$2:$B$42,0)))*DH575*DF575)*DG575/2204.62*DE575)</f>
        <v/>
      </c>
      <c r="DK575" s="146" t="str">
        <f>IF(W575&lt;&gt;"AR","",DI575*(K575-AB575)+'Fuel Sub Calcs-Deemed'!DJ575*((K575-AB575)/INDEX('Device Refrigerant Leakage'!$C$2:$C$42,MATCH('Fuel Sub Calcs-Deemed'!X575,'Device Refrigerant Leakage'!$B$2:$B$42,0))))</f>
        <v/>
      </c>
      <c r="DM575" s="56">
        <v>561</v>
      </c>
      <c r="DN575" s="67" t="e">
        <f t="shared" si="670"/>
        <v>#N/A</v>
      </c>
      <c r="DO575" s="45" t="e">
        <f t="shared" si="671"/>
        <v>#N/A</v>
      </c>
      <c r="DP575" s="67" t="e">
        <f t="shared" si="672"/>
        <v>#N/A</v>
      </c>
      <c r="DQ575" s="45" t="e">
        <f t="shared" si="673"/>
        <v>#N/A</v>
      </c>
      <c r="DR575" s="69" t="e">
        <f t="shared" si="674"/>
        <v>#N/A</v>
      </c>
      <c r="DS575" s="34"/>
      <c r="DT575" s="67" t="e">
        <f>((BX575*CJ575)+IF($W575=MAT_AR,(BZ575*CL575),0))*(1+Reference!$E$50+Reference!$E$51)</f>
        <v>#N/A</v>
      </c>
      <c r="DU575" s="67">
        <f>((BY575*CK575)+IF($W575=MAT_AR,(CA575*CM575),0))*(1+Reference!$G$50+Reference!$G$51)</f>
        <v>0</v>
      </c>
      <c r="DV575" s="67" t="e">
        <f t="shared" si="675"/>
        <v>#VALUE!</v>
      </c>
      <c r="DX575" s="56">
        <v>561</v>
      </c>
      <c r="DY575" s="67">
        <f t="shared" si="676"/>
        <v>0</v>
      </c>
      <c r="DZ575" s="45" t="e">
        <f>VLOOKUP($R575,Dropdown!$C$3:$D$4,2,FALSE)</f>
        <v>#N/A</v>
      </c>
      <c r="EA575" s="68">
        <f t="shared" si="677"/>
        <v>0</v>
      </c>
      <c r="EB575" s="68" t="str">
        <f t="shared" si="678"/>
        <v>N/A</v>
      </c>
      <c r="EC575" s="68">
        <f t="shared" si="679"/>
        <v>0</v>
      </c>
      <c r="ED575" s="68" t="str">
        <f t="shared" si="717"/>
        <v>N/A</v>
      </c>
      <c r="EF575" s="56">
        <v>561</v>
      </c>
      <c r="EG575" s="46">
        <f t="shared" si="680"/>
        <v>0</v>
      </c>
      <c r="EH575" s="68" t="e">
        <f t="shared" si="681"/>
        <v>#N/A</v>
      </c>
      <c r="EI575" s="68" t="e">
        <f t="shared" si="682"/>
        <v>#N/A</v>
      </c>
      <c r="EJ575" s="68" t="e">
        <f t="shared" si="683"/>
        <v>#N/A</v>
      </c>
      <c r="EK575" s="68" t="e">
        <f t="shared" si="684"/>
        <v>#N/A</v>
      </c>
      <c r="EL575" s="46">
        <f t="shared" si="685"/>
        <v>0</v>
      </c>
      <c r="EM575" s="46">
        <f t="shared" si="686"/>
        <v>0</v>
      </c>
    </row>
    <row r="576" spans="1:143">
      <c r="A576" s="89"/>
      <c r="B576" s="89"/>
      <c r="C576" s="89"/>
      <c r="D576" s="89"/>
      <c r="E576" s="89"/>
      <c r="F576" s="89"/>
      <c r="G576" s="34"/>
      <c r="H576" s="56">
        <f t="shared" si="687"/>
        <v>562</v>
      </c>
      <c r="I576" s="165"/>
      <c r="J576" s="163"/>
      <c r="K576" s="163"/>
      <c r="L576" s="164"/>
      <c r="M576" s="155"/>
      <c r="N576" s="155"/>
      <c r="O576" s="144"/>
      <c r="P576" s="159" t="str">
        <f>IFERROR(IF(O576&lt;&gt;"User Specified",IF(O576&lt;&gt;"", INDEX('Refrigerant GWPs'!$G$2:$G$154,MATCH(O576,'Refrigerant GWPs'!$A$2:$A$154,0)),""),U576),0)</f>
        <v/>
      </c>
      <c r="Q576" s="155"/>
      <c r="R576" s="155"/>
      <c r="S576" s="144"/>
      <c r="T576" s="159" t="str">
        <f>IF(S576&lt;&gt;"User Specified",IF(AND(S576&lt;&gt;"User Specified",S576&lt;&gt;""), INDEX('Refrigerant GWPs'!$G$2:$G$154,MATCH(S576,'Refrigerant GWPs'!$A$2:$A$154,0)),""),V576)</f>
        <v/>
      </c>
      <c r="U576" s="144"/>
      <c r="V576" s="144"/>
      <c r="W576" s="155"/>
      <c r="X576" s="155"/>
      <c r="Y576" s="144"/>
      <c r="Z576" s="159" t="str">
        <f>IF(AND(Y576&lt;&gt;"User Specified",Y576&lt;&gt;""), INDEX('Refrigerant GWPs'!$G$2:$G$154,MATCH(Y576,'Refrigerant GWPs'!$A$2:$A$154,0)),"")</f>
        <v/>
      </c>
      <c r="AA576" s="155"/>
      <c r="AB576" s="156"/>
      <c r="AC576" s="66"/>
      <c r="AD576" s="66"/>
      <c r="AE576" s="66"/>
      <c r="AF576" s="66"/>
      <c r="AG576" s="66"/>
      <c r="AH576" s="66"/>
      <c r="AI576" s="34"/>
      <c r="AJ576" s="88">
        <f t="shared" si="650"/>
        <v>0</v>
      </c>
      <c r="AK576" s="88">
        <f t="shared" si="651"/>
        <v>0</v>
      </c>
      <c r="AL576" s="88">
        <v>0</v>
      </c>
      <c r="AM576" s="88">
        <v>0</v>
      </c>
      <c r="AN576" s="81" t="str">
        <f t="shared" si="689"/>
        <v/>
      </c>
      <c r="AO576" s="88">
        <f t="shared" si="652"/>
        <v>0</v>
      </c>
      <c r="AP576" s="88">
        <f t="shared" si="653"/>
        <v>0</v>
      </c>
      <c r="AQ576" s="81" t="str">
        <f t="shared" si="654"/>
        <v/>
      </c>
      <c r="AS576" s="41" t="b">
        <f t="shared" si="655"/>
        <v>1</v>
      </c>
      <c r="AT576" s="38">
        <f t="shared" si="656"/>
        <v>0</v>
      </c>
      <c r="AU576" s="60">
        <f t="shared" si="657"/>
        <v>0</v>
      </c>
      <c r="AV576" s="41">
        <f t="shared" si="658"/>
        <v>0</v>
      </c>
      <c r="AW576" s="41" t="b">
        <f t="shared" si="659"/>
        <v>0</v>
      </c>
      <c r="AX576" t="str">
        <f t="shared" si="660"/>
        <v>+00</v>
      </c>
      <c r="AY576" t="str">
        <f t="shared" si="661"/>
        <v>+00</v>
      </c>
      <c r="BA576" s="47" t="b">
        <f t="shared" si="690"/>
        <v>1</v>
      </c>
      <c r="BB576" s="42" t="b">
        <f t="shared" si="691"/>
        <v>1</v>
      </c>
      <c r="BC576" s="42" t="b">
        <f t="shared" si="692"/>
        <v>0</v>
      </c>
      <c r="BD576" s="42" t="b">
        <f t="shared" si="693"/>
        <v>0</v>
      </c>
      <c r="BE576" s="70">
        <f t="shared" si="694"/>
        <v>0</v>
      </c>
      <c r="BF576" s="70">
        <f t="shared" si="695"/>
        <v>0</v>
      </c>
      <c r="BG576" s="34"/>
      <c r="BI576" s="47" t="b">
        <f t="shared" si="696"/>
        <v>1</v>
      </c>
      <c r="BJ576" s="47" t="b">
        <f t="shared" si="697"/>
        <v>1</v>
      </c>
      <c r="BK576" s="42" t="b">
        <f t="shared" si="698"/>
        <v>0</v>
      </c>
      <c r="BL576" s="42" t="b">
        <f t="shared" si="699"/>
        <v>0</v>
      </c>
      <c r="BM576" s="42">
        <f t="shared" si="700"/>
        <v>0</v>
      </c>
      <c r="BN576" s="42">
        <f t="shared" si="701"/>
        <v>0</v>
      </c>
      <c r="BP576" t="e">
        <f t="shared" si="702"/>
        <v>#N/A</v>
      </c>
      <c r="BQ576" t="e">
        <f t="shared" si="703"/>
        <v>#N/A</v>
      </c>
      <c r="BR576" t="e">
        <f t="shared" si="704"/>
        <v>#N/A</v>
      </c>
      <c r="BT576" s="60">
        <f t="shared" si="705"/>
        <v>0</v>
      </c>
      <c r="BU576" s="60">
        <f t="shared" si="706"/>
        <v>0</v>
      </c>
      <c r="BV576" s="60">
        <f t="shared" si="707"/>
        <v>0</v>
      </c>
      <c r="BW576" s="60">
        <f t="shared" si="708"/>
        <v>0</v>
      </c>
      <c r="BX576" s="60">
        <f t="shared" si="709"/>
        <v>0</v>
      </c>
      <c r="BY576" s="60">
        <f t="shared" si="710"/>
        <v>0</v>
      </c>
      <c r="BZ576" s="60">
        <f t="shared" si="711"/>
        <v>0</v>
      </c>
      <c r="CA576" s="60">
        <f t="shared" si="712"/>
        <v>0</v>
      </c>
      <c r="CB576" s="60" t="e">
        <f t="shared" si="662"/>
        <v>#N/A</v>
      </c>
      <c r="CC576" s="60">
        <f t="shared" si="663"/>
        <v>100000</v>
      </c>
      <c r="CD576" s="60" t="e">
        <f t="shared" si="664"/>
        <v>#N/A</v>
      </c>
      <c r="CE576" s="60">
        <f t="shared" si="665"/>
        <v>100000</v>
      </c>
      <c r="CF576" s="83" t="e">
        <f t="shared" si="713"/>
        <v>#N/A</v>
      </c>
      <c r="CG576" s="83">
        <f t="shared" si="714"/>
        <v>0</v>
      </c>
      <c r="CH576" s="83" t="e">
        <f t="shared" si="715"/>
        <v>#N/A</v>
      </c>
      <c r="CI576" s="83">
        <f t="shared" si="716"/>
        <v>0</v>
      </c>
      <c r="CJ576" s="86" t="e">
        <f t="shared" si="666"/>
        <v>#N/A</v>
      </c>
      <c r="CK576" s="82">
        <f t="shared" si="667"/>
        <v>5.3070370403969858E-3</v>
      </c>
      <c r="CL576" s="82" t="e">
        <f t="shared" si="668"/>
        <v>#N/A</v>
      </c>
      <c r="CM576" s="82">
        <f t="shared" si="669"/>
        <v>5.3070370403969858E-3</v>
      </c>
      <c r="CO576" s="149" t="str">
        <f>IF($I576&lt;&gt;"",IF(O576="User Specified",U576,INDEX('Refrigerant GWPs'!$G$2:$G$156,MATCH(O576,'Refrigerant GWPs'!$A$2:$A$156,0))),"")</f>
        <v/>
      </c>
      <c r="CP576" s="138" t="str">
        <f>IF($I576&lt;&gt;"",INDEX('Device Refrigerant Leakage'!$E$2:$E$42,MATCH($M576,'Device Refrigerant Leakage'!$B$2:$B$42,0)),"")</f>
        <v/>
      </c>
      <c r="CQ576" s="138" t="str">
        <f>IF($I576&lt;&gt;"",INDEX('Device Refrigerant Leakage'!$F$2:$F$42,MATCH($M576,'Device Refrigerant Leakage'!$B$2:$B$42,0)),"")</f>
        <v/>
      </c>
      <c r="CR576" s="145" t="str">
        <f>IF($I576&lt;&gt;"",INDEX('Device Refrigerant Leakage'!$G$2:$G$42,MATCH($M576,'Device Refrigerant Leakage'!$B$2:$B$42,0)),"")</f>
        <v/>
      </c>
      <c r="CS576" s="145" t="str">
        <f>IF($I576&lt;&gt;"",INDEX('Device Refrigerant Leakage'!$D$2:$D$42,MATCH($M576,'Device Refrigerant Leakage'!$B$2:$B$42,0))*CP576/2204.62*CO576,"")</f>
        <v/>
      </c>
      <c r="CT576" s="145" t="str">
        <f>IF($I576&lt;&gt;"",J576*(INDEX('Device Refrigerant Leakage'!$D$2:$D$42,MATCH($M576,'Device Refrigerant Leakage'!$B$2:$B$42,0))-(INDEX('Device Refrigerant Leakage'!$D$2:$D$42,MATCH($M576,'Device Refrigerant Leakage'!$B$2:$B$42,0)))*CR576*CP576)*CQ576/2204.62*CO576,"")</f>
        <v/>
      </c>
      <c r="CU576" s="135" t="str">
        <f>IF($I576&lt;&gt;"",J576*IF(W576&lt;&gt;"AR",(CS576*K576)+CT576,(CS576*AB576)+CT576*(AB576/INDEX('Device Refrigerant Leakage'!$C$2:$C$42,MATCH($M576,'Device Refrigerant Leakage'!$B$2:$B$42,0)))),"")</f>
        <v/>
      </c>
      <c r="CW576" s="135" t="str">
        <f>IF($I576&lt;&gt;"",IF(S576="User Specified",V576,INDEX('Refrigerant GWPs'!$G$2:$G$156,MATCH(S576,'Refrigerant GWPs'!$A$2:$A$157,0))),"")</f>
        <v/>
      </c>
      <c r="CX576" s="138" t="str">
        <f>IF($I576&lt;&gt;"",INDEX('Device Refrigerant Leakage'!$E$2:$E$42,MATCH($Q576,'Device Refrigerant Leakage'!$B$2:$B$42,0)),"")</f>
        <v/>
      </c>
      <c r="CY576" s="138" t="str">
        <f>IF($I576&lt;&gt;"",INDEX('Device Refrigerant Leakage'!$F$2:$F$42,MATCH($Q576,'Device Refrigerant Leakage'!$B$2:$B$42,0)),"")</f>
        <v/>
      </c>
      <c r="CZ576" s="145" t="str">
        <f>IF($I576&lt;&gt;"",INDEX('Device Refrigerant Leakage'!$G$2:$G$42,MATCH($Q576,'Device Refrigerant Leakage'!$B$2:$B$42,0)),"")</f>
        <v/>
      </c>
      <c r="DA576" s="145" t="str">
        <f>IF($I576&lt;&gt;"",J576*INDEX('Device Refrigerant Leakage'!$D$2:$D$42,MATCH($Q576,'Device Refrigerant Leakage'!$B$2:$B$42,0))*CX576/2204.62*CW576,"")</f>
        <v/>
      </c>
      <c r="DB576" s="145" t="str">
        <f>IF($I576&lt;&gt;"",J576*(INDEX('Device Refrigerant Leakage'!$D$2:$D$42,MATCH($Q576,'Device Refrigerant Leakage'!$B$2:$B$42,0))-(INDEX('Device Refrigerant Leakage'!$D$2:$D$42,MATCH($Q576,'Device Refrigerant Leakage'!$B$2:$B$42,0)))*CZ576*CX576)*CY576/2204.62*CW576,"")</f>
        <v/>
      </c>
      <c r="DC576" s="135" t="str">
        <f t="shared" si="688"/>
        <v/>
      </c>
      <c r="DE576" s="146" t="str">
        <f>IF(W576&lt;&gt;"AR","",IF(Y576="User Specified", AA576, INDEX('Refrigerant GWPs'!$G$2:$G$154,MATCH(Y576,'Refrigerant GWPs'!$A$2:$A$154,0))))</f>
        <v/>
      </c>
      <c r="DF576" s="146" t="str">
        <f>IF(W576&lt;&gt;"AR","",INDEX('Device Refrigerant Leakage'!$E$2:$E$42,MATCH(X576,'Device Refrigerant Leakage'!$B$2:$B$42,0)))</f>
        <v/>
      </c>
      <c r="DG576" s="146" t="str">
        <f>IF(W576&lt;&gt;"AR","",INDEX('Device Refrigerant Leakage'!$F$2:$F$42,MATCH(X576,'Device Refrigerant Leakage'!$B$2:$B$42,0)))</f>
        <v/>
      </c>
      <c r="DH576" s="146" t="str">
        <f>IF(W576&lt;&gt;"AR","",INDEX('Device Refrigerant Leakage'!$G$2:$G$42,MATCH(X576,'Device Refrigerant Leakage'!$B$2:$B$42,0)))</f>
        <v/>
      </c>
      <c r="DI576" s="146" t="str">
        <f>IF(W576&lt;&gt;"AR","",J576*INDEX('Device Refrigerant Leakage'!$D$2:$D$42,MATCH(X576,'Device Refrigerant Leakage'!$B$2:$B$42,0))*DF576/2204.62*DE576)</f>
        <v/>
      </c>
      <c r="DJ576" s="146" t="str">
        <f>IF(W576&lt;&gt;"AR","",J576*(INDEX('Device Refrigerant Leakage'!$D$2:$D$42,MATCH(X576,'Device Refrigerant Leakage'!$B$2:$B$42,0))-(INDEX('Device Refrigerant Leakage'!$D$2:$D$42,MATCH(X576,'Device Refrigerant Leakage'!$B$2:$B$42,0)))*DH576*DF576)*DG576/2204.62*DE576)</f>
        <v/>
      </c>
      <c r="DK576" s="146" t="str">
        <f>IF(W576&lt;&gt;"AR","",DI576*(K576-AB576)+'Fuel Sub Calcs-Deemed'!DJ576*((K576-AB576)/INDEX('Device Refrigerant Leakage'!$C$2:$C$42,MATCH('Fuel Sub Calcs-Deemed'!X576,'Device Refrigerant Leakage'!$B$2:$B$42,0))))</f>
        <v/>
      </c>
      <c r="DM576" s="56">
        <v>562</v>
      </c>
      <c r="DN576" s="67" t="e">
        <f t="shared" si="670"/>
        <v>#N/A</v>
      </c>
      <c r="DO576" s="45" t="e">
        <f t="shared" si="671"/>
        <v>#N/A</v>
      </c>
      <c r="DP576" s="67" t="e">
        <f t="shared" si="672"/>
        <v>#N/A</v>
      </c>
      <c r="DQ576" s="45" t="e">
        <f t="shared" si="673"/>
        <v>#N/A</v>
      </c>
      <c r="DR576" s="69" t="e">
        <f t="shared" si="674"/>
        <v>#N/A</v>
      </c>
      <c r="DS576" s="34"/>
      <c r="DT576" s="67" t="e">
        <f>((BX576*CJ576)+IF($W576=MAT_AR,(BZ576*CL576),0))*(1+Reference!$E$50+Reference!$E$51)</f>
        <v>#N/A</v>
      </c>
      <c r="DU576" s="67">
        <f>((BY576*CK576)+IF($W576=MAT_AR,(CA576*CM576),0))*(1+Reference!$G$50+Reference!$G$51)</f>
        <v>0</v>
      </c>
      <c r="DV576" s="67" t="e">
        <f t="shared" si="675"/>
        <v>#VALUE!</v>
      </c>
      <c r="DX576" s="56">
        <v>562</v>
      </c>
      <c r="DY576" s="67">
        <f t="shared" si="676"/>
        <v>0</v>
      </c>
      <c r="DZ576" s="45" t="e">
        <f>VLOOKUP($R576,Dropdown!$C$3:$D$4,2,FALSE)</f>
        <v>#N/A</v>
      </c>
      <c r="EA576" s="68">
        <f t="shared" si="677"/>
        <v>0</v>
      </c>
      <c r="EB576" s="68" t="str">
        <f t="shared" si="678"/>
        <v>N/A</v>
      </c>
      <c r="EC576" s="68">
        <f t="shared" si="679"/>
        <v>0</v>
      </c>
      <c r="ED576" s="68" t="str">
        <f t="shared" si="717"/>
        <v>N/A</v>
      </c>
      <c r="EF576" s="56">
        <v>562</v>
      </c>
      <c r="EG576" s="46">
        <f t="shared" si="680"/>
        <v>0</v>
      </c>
      <c r="EH576" s="68" t="e">
        <f t="shared" si="681"/>
        <v>#N/A</v>
      </c>
      <c r="EI576" s="68" t="e">
        <f t="shared" si="682"/>
        <v>#N/A</v>
      </c>
      <c r="EJ576" s="68" t="e">
        <f t="shared" si="683"/>
        <v>#N/A</v>
      </c>
      <c r="EK576" s="68" t="e">
        <f t="shared" si="684"/>
        <v>#N/A</v>
      </c>
      <c r="EL576" s="46">
        <f t="shared" si="685"/>
        <v>0</v>
      </c>
      <c r="EM576" s="46">
        <f t="shared" si="686"/>
        <v>0</v>
      </c>
    </row>
    <row r="577" spans="1:143">
      <c r="A577" s="89"/>
      <c r="B577" s="89"/>
      <c r="C577" s="89"/>
      <c r="D577" s="89"/>
      <c r="E577" s="89"/>
      <c r="F577" s="89"/>
      <c r="G577" s="34"/>
      <c r="H577" s="56">
        <f t="shared" si="687"/>
        <v>563</v>
      </c>
      <c r="I577" s="165"/>
      <c r="J577" s="163"/>
      <c r="K577" s="163"/>
      <c r="L577" s="164"/>
      <c r="M577" s="155"/>
      <c r="N577" s="155"/>
      <c r="O577" s="144"/>
      <c r="P577" s="159" t="str">
        <f>IFERROR(IF(O577&lt;&gt;"User Specified",IF(O577&lt;&gt;"", INDEX('Refrigerant GWPs'!$G$2:$G$154,MATCH(O577,'Refrigerant GWPs'!$A$2:$A$154,0)),""),U577),0)</f>
        <v/>
      </c>
      <c r="Q577" s="155"/>
      <c r="R577" s="155"/>
      <c r="S577" s="144"/>
      <c r="T577" s="159" t="str">
        <f>IF(S577&lt;&gt;"User Specified",IF(AND(S577&lt;&gt;"User Specified",S577&lt;&gt;""), INDEX('Refrigerant GWPs'!$G$2:$G$154,MATCH(S577,'Refrigerant GWPs'!$A$2:$A$154,0)),""),V577)</f>
        <v/>
      </c>
      <c r="U577" s="144"/>
      <c r="V577" s="144"/>
      <c r="W577" s="155"/>
      <c r="X577" s="155"/>
      <c r="Y577" s="144"/>
      <c r="Z577" s="159" t="str">
        <f>IF(AND(Y577&lt;&gt;"User Specified",Y577&lt;&gt;""), INDEX('Refrigerant GWPs'!$G$2:$G$154,MATCH(Y577,'Refrigerant GWPs'!$A$2:$A$154,0)),"")</f>
        <v/>
      </c>
      <c r="AA577" s="155"/>
      <c r="AB577" s="156"/>
      <c r="AC577" s="66"/>
      <c r="AD577" s="66"/>
      <c r="AE577" s="66"/>
      <c r="AF577" s="66"/>
      <c r="AG577" s="66"/>
      <c r="AH577" s="66"/>
      <c r="AI577" s="34"/>
      <c r="AJ577" s="88">
        <f t="shared" si="650"/>
        <v>0</v>
      </c>
      <c r="AK577" s="88">
        <f t="shared" si="651"/>
        <v>0</v>
      </c>
      <c r="AL577" s="88">
        <v>0</v>
      </c>
      <c r="AM577" s="88">
        <v>0</v>
      </c>
      <c r="AN577" s="81" t="str">
        <f t="shared" si="689"/>
        <v/>
      </c>
      <c r="AO577" s="88">
        <f t="shared" si="652"/>
        <v>0</v>
      </c>
      <c r="AP577" s="88">
        <f t="shared" si="653"/>
        <v>0</v>
      </c>
      <c r="AQ577" s="81" t="str">
        <f t="shared" si="654"/>
        <v/>
      </c>
      <c r="AS577" s="41" t="b">
        <f t="shared" si="655"/>
        <v>1</v>
      </c>
      <c r="AT577" s="38">
        <f t="shared" si="656"/>
        <v>0</v>
      </c>
      <c r="AU577" s="60">
        <f t="shared" si="657"/>
        <v>0</v>
      </c>
      <c r="AV577" s="41">
        <f t="shared" si="658"/>
        <v>0</v>
      </c>
      <c r="AW577" s="41" t="b">
        <f t="shared" si="659"/>
        <v>0</v>
      </c>
      <c r="AX577" t="str">
        <f t="shared" si="660"/>
        <v>+00</v>
      </c>
      <c r="AY577" t="str">
        <f t="shared" si="661"/>
        <v>+00</v>
      </c>
      <c r="BA577" s="47" t="b">
        <f t="shared" si="690"/>
        <v>1</v>
      </c>
      <c r="BB577" s="42" t="b">
        <f t="shared" si="691"/>
        <v>1</v>
      </c>
      <c r="BC577" s="42" t="b">
        <f t="shared" si="692"/>
        <v>0</v>
      </c>
      <c r="BD577" s="42" t="b">
        <f t="shared" si="693"/>
        <v>0</v>
      </c>
      <c r="BE577" s="70">
        <f t="shared" si="694"/>
        <v>0</v>
      </c>
      <c r="BF577" s="70">
        <f t="shared" si="695"/>
        <v>0</v>
      </c>
      <c r="BG577" s="34"/>
      <c r="BI577" s="47" t="b">
        <f t="shared" si="696"/>
        <v>1</v>
      </c>
      <c r="BJ577" s="47" t="b">
        <f t="shared" si="697"/>
        <v>1</v>
      </c>
      <c r="BK577" s="42" t="b">
        <f t="shared" si="698"/>
        <v>0</v>
      </c>
      <c r="BL577" s="42" t="b">
        <f t="shared" si="699"/>
        <v>0</v>
      </c>
      <c r="BM577" s="42">
        <f t="shared" si="700"/>
        <v>0</v>
      </c>
      <c r="BN577" s="42">
        <f t="shared" si="701"/>
        <v>0</v>
      </c>
      <c r="BP577" t="e">
        <f t="shared" si="702"/>
        <v>#N/A</v>
      </c>
      <c r="BQ577" t="e">
        <f t="shared" si="703"/>
        <v>#N/A</v>
      </c>
      <c r="BR577" t="e">
        <f t="shared" si="704"/>
        <v>#N/A</v>
      </c>
      <c r="BT577" s="60">
        <f t="shared" si="705"/>
        <v>0</v>
      </c>
      <c r="BU577" s="60">
        <f t="shared" si="706"/>
        <v>0</v>
      </c>
      <c r="BV577" s="60">
        <f t="shared" si="707"/>
        <v>0</v>
      </c>
      <c r="BW577" s="60">
        <f t="shared" si="708"/>
        <v>0</v>
      </c>
      <c r="BX577" s="60">
        <f t="shared" si="709"/>
        <v>0</v>
      </c>
      <c r="BY577" s="60">
        <f t="shared" si="710"/>
        <v>0</v>
      </c>
      <c r="BZ577" s="60">
        <f t="shared" si="711"/>
        <v>0</v>
      </c>
      <c r="CA577" s="60">
        <f t="shared" si="712"/>
        <v>0</v>
      </c>
      <c r="CB577" s="60" t="e">
        <f t="shared" si="662"/>
        <v>#N/A</v>
      </c>
      <c r="CC577" s="60">
        <f t="shared" si="663"/>
        <v>100000</v>
      </c>
      <c r="CD577" s="60" t="e">
        <f t="shared" si="664"/>
        <v>#N/A</v>
      </c>
      <c r="CE577" s="60">
        <f t="shared" si="665"/>
        <v>100000</v>
      </c>
      <c r="CF577" s="83" t="e">
        <f t="shared" si="713"/>
        <v>#N/A</v>
      </c>
      <c r="CG577" s="83">
        <f t="shared" si="714"/>
        <v>0</v>
      </c>
      <c r="CH577" s="83" t="e">
        <f t="shared" si="715"/>
        <v>#N/A</v>
      </c>
      <c r="CI577" s="83">
        <f t="shared" si="716"/>
        <v>0</v>
      </c>
      <c r="CJ577" s="86" t="e">
        <f t="shared" si="666"/>
        <v>#N/A</v>
      </c>
      <c r="CK577" s="82">
        <f t="shared" si="667"/>
        <v>5.3070370403969858E-3</v>
      </c>
      <c r="CL577" s="82" t="e">
        <f t="shared" si="668"/>
        <v>#N/A</v>
      </c>
      <c r="CM577" s="82">
        <f t="shared" si="669"/>
        <v>5.3070370403969858E-3</v>
      </c>
      <c r="CO577" s="149" t="str">
        <f>IF($I577&lt;&gt;"",IF(O577="User Specified",U577,INDEX('Refrigerant GWPs'!$G$2:$G$156,MATCH(O577,'Refrigerant GWPs'!$A$2:$A$156,0))),"")</f>
        <v/>
      </c>
      <c r="CP577" s="138" t="str">
        <f>IF($I577&lt;&gt;"",INDEX('Device Refrigerant Leakage'!$E$2:$E$42,MATCH($M577,'Device Refrigerant Leakage'!$B$2:$B$42,0)),"")</f>
        <v/>
      </c>
      <c r="CQ577" s="138" t="str">
        <f>IF($I577&lt;&gt;"",INDEX('Device Refrigerant Leakage'!$F$2:$F$42,MATCH($M577,'Device Refrigerant Leakage'!$B$2:$B$42,0)),"")</f>
        <v/>
      </c>
      <c r="CR577" s="145" t="str">
        <f>IF($I577&lt;&gt;"",INDEX('Device Refrigerant Leakage'!$G$2:$G$42,MATCH($M577,'Device Refrigerant Leakage'!$B$2:$B$42,0)),"")</f>
        <v/>
      </c>
      <c r="CS577" s="145" t="str">
        <f>IF($I577&lt;&gt;"",INDEX('Device Refrigerant Leakage'!$D$2:$D$42,MATCH($M577,'Device Refrigerant Leakage'!$B$2:$B$42,0))*CP577/2204.62*CO577,"")</f>
        <v/>
      </c>
      <c r="CT577" s="145" t="str">
        <f>IF($I577&lt;&gt;"",J577*(INDEX('Device Refrigerant Leakage'!$D$2:$D$42,MATCH($M577,'Device Refrigerant Leakage'!$B$2:$B$42,0))-(INDEX('Device Refrigerant Leakage'!$D$2:$D$42,MATCH($M577,'Device Refrigerant Leakage'!$B$2:$B$42,0)))*CR577*CP577)*CQ577/2204.62*CO577,"")</f>
        <v/>
      </c>
      <c r="CU577" s="135" t="str">
        <f>IF($I577&lt;&gt;"",J577*IF(W577&lt;&gt;"AR",(CS577*K577)+CT577,(CS577*AB577)+CT577*(AB577/INDEX('Device Refrigerant Leakage'!$C$2:$C$42,MATCH($M577,'Device Refrigerant Leakage'!$B$2:$B$42,0)))),"")</f>
        <v/>
      </c>
      <c r="CW577" s="135" t="str">
        <f>IF($I577&lt;&gt;"",IF(S577="User Specified",V577,INDEX('Refrigerant GWPs'!$G$2:$G$156,MATCH(S577,'Refrigerant GWPs'!$A$2:$A$157,0))),"")</f>
        <v/>
      </c>
      <c r="CX577" s="138" t="str">
        <f>IF($I577&lt;&gt;"",INDEX('Device Refrigerant Leakage'!$E$2:$E$42,MATCH($Q577,'Device Refrigerant Leakage'!$B$2:$B$42,0)),"")</f>
        <v/>
      </c>
      <c r="CY577" s="138" t="str">
        <f>IF($I577&lt;&gt;"",INDEX('Device Refrigerant Leakage'!$F$2:$F$42,MATCH($Q577,'Device Refrigerant Leakage'!$B$2:$B$42,0)),"")</f>
        <v/>
      </c>
      <c r="CZ577" s="145" t="str">
        <f>IF($I577&lt;&gt;"",INDEX('Device Refrigerant Leakage'!$G$2:$G$42,MATCH($Q577,'Device Refrigerant Leakage'!$B$2:$B$42,0)),"")</f>
        <v/>
      </c>
      <c r="DA577" s="145" t="str">
        <f>IF($I577&lt;&gt;"",J577*INDEX('Device Refrigerant Leakage'!$D$2:$D$42,MATCH($Q577,'Device Refrigerant Leakage'!$B$2:$B$42,0))*CX577/2204.62*CW577,"")</f>
        <v/>
      </c>
      <c r="DB577" s="145" t="str">
        <f>IF($I577&lt;&gt;"",J577*(INDEX('Device Refrigerant Leakage'!$D$2:$D$42,MATCH($Q577,'Device Refrigerant Leakage'!$B$2:$B$42,0))-(INDEX('Device Refrigerant Leakage'!$D$2:$D$42,MATCH($Q577,'Device Refrigerant Leakage'!$B$2:$B$42,0)))*CZ577*CX577)*CY577/2204.62*CW577,"")</f>
        <v/>
      </c>
      <c r="DC577" s="135" t="str">
        <f t="shared" si="688"/>
        <v/>
      </c>
      <c r="DE577" s="146" t="str">
        <f>IF(W577&lt;&gt;"AR","",IF(Y577="User Specified", AA577, INDEX('Refrigerant GWPs'!$G$2:$G$154,MATCH(Y577,'Refrigerant GWPs'!$A$2:$A$154,0))))</f>
        <v/>
      </c>
      <c r="DF577" s="146" t="str">
        <f>IF(W577&lt;&gt;"AR","",INDEX('Device Refrigerant Leakage'!$E$2:$E$42,MATCH(X577,'Device Refrigerant Leakage'!$B$2:$B$42,0)))</f>
        <v/>
      </c>
      <c r="DG577" s="146" t="str">
        <f>IF(W577&lt;&gt;"AR","",INDEX('Device Refrigerant Leakage'!$F$2:$F$42,MATCH(X577,'Device Refrigerant Leakage'!$B$2:$B$42,0)))</f>
        <v/>
      </c>
      <c r="DH577" s="146" t="str">
        <f>IF(W577&lt;&gt;"AR","",INDEX('Device Refrigerant Leakage'!$G$2:$G$42,MATCH(X577,'Device Refrigerant Leakage'!$B$2:$B$42,0)))</f>
        <v/>
      </c>
      <c r="DI577" s="146" t="str">
        <f>IF(W577&lt;&gt;"AR","",J577*INDEX('Device Refrigerant Leakage'!$D$2:$D$42,MATCH(X577,'Device Refrigerant Leakage'!$B$2:$B$42,0))*DF577/2204.62*DE577)</f>
        <v/>
      </c>
      <c r="DJ577" s="146" t="str">
        <f>IF(W577&lt;&gt;"AR","",J577*(INDEX('Device Refrigerant Leakage'!$D$2:$D$42,MATCH(X577,'Device Refrigerant Leakage'!$B$2:$B$42,0))-(INDEX('Device Refrigerant Leakage'!$D$2:$D$42,MATCH(X577,'Device Refrigerant Leakage'!$B$2:$B$42,0)))*DH577*DF577)*DG577/2204.62*DE577)</f>
        <v/>
      </c>
      <c r="DK577" s="146" t="str">
        <f>IF(W577&lt;&gt;"AR","",DI577*(K577-AB577)+'Fuel Sub Calcs-Deemed'!DJ577*((K577-AB577)/INDEX('Device Refrigerant Leakage'!$C$2:$C$42,MATCH('Fuel Sub Calcs-Deemed'!X577,'Device Refrigerant Leakage'!$B$2:$B$42,0))))</f>
        <v/>
      </c>
      <c r="DM577" s="56">
        <v>563</v>
      </c>
      <c r="DN577" s="67" t="e">
        <f t="shared" si="670"/>
        <v>#N/A</v>
      </c>
      <c r="DO577" s="45" t="e">
        <f t="shared" si="671"/>
        <v>#N/A</v>
      </c>
      <c r="DP577" s="67" t="e">
        <f t="shared" si="672"/>
        <v>#N/A</v>
      </c>
      <c r="DQ577" s="45" t="e">
        <f t="shared" si="673"/>
        <v>#N/A</v>
      </c>
      <c r="DR577" s="69" t="e">
        <f t="shared" si="674"/>
        <v>#N/A</v>
      </c>
      <c r="DS577" s="34"/>
      <c r="DT577" s="67" t="e">
        <f>((BX577*CJ577)+IF($W577=MAT_AR,(BZ577*CL577),0))*(1+Reference!$E$50+Reference!$E$51)</f>
        <v>#N/A</v>
      </c>
      <c r="DU577" s="67">
        <f>((BY577*CK577)+IF($W577=MAT_AR,(CA577*CM577),0))*(1+Reference!$G$50+Reference!$G$51)</f>
        <v>0</v>
      </c>
      <c r="DV577" s="67" t="e">
        <f t="shared" si="675"/>
        <v>#VALUE!</v>
      </c>
      <c r="DX577" s="56">
        <v>563</v>
      </c>
      <c r="DY577" s="67">
        <f t="shared" si="676"/>
        <v>0</v>
      </c>
      <c r="DZ577" s="45" t="e">
        <f>VLOOKUP($R577,Dropdown!$C$3:$D$4,2,FALSE)</f>
        <v>#N/A</v>
      </c>
      <c r="EA577" s="68">
        <f t="shared" si="677"/>
        <v>0</v>
      </c>
      <c r="EB577" s="68" t="str">
        <f t="shared" si="678"/>
        <v>N/A</v>
      </c>
      <c r="EC577" s="68">
        <f t="shared" si="679"/>
        <v>0</v>
      </c>
      <c r="ED577" s="68" t="str">
        <f t="shared" si="717"/>
        <v>N/A</v>
      </c>
      <c r="EF577" s="56">
        <v>563</v>
      </c>
      <c r="EG577" s="46">
        <f t="shared" si="680"/>
        <v>0</v>
      </c>
      <c r="EH577" s="68" t="e">
        <f t="shared" si="681"/>
        <v>#N/A</v>
      </c>
      <c r="EI577" s="68" t="e">
        <f t="shared" si="682"/>
        <v>#N/A</v>
      </c>
      <c r="EJ577" s="68" t="e">
        <f t="shared" si="683"/>
        <v>#N/A</v>
      </c>
      <c r="EK577" s="68" t="e">
        <f t="shared" si="684"/>
        <v>#N/A</v>
      </c>
      <c r="EL577" s="46">
        <f t="shared" si="685"/>
        <v>0</v>
      </c>
      <c r="EM577" s="46">
        <f t="shared" si="686"/>
        <v>0</v>
      </c>
    </row>
    <row r="578" spans="1:143">
      <c r="A578" s="89"/>
      <c r="B578" s="89"/>
      <c r="C578" s="89"/>
      <c r="D578" s="89"/>
      <c r="E578" s="89"/>
      <c r="F578" s="89"/>
      <c r="G578" s="34"/>
      <c r="H578" s="56">
        <f t="shared" si="687"/>
        <v>564</v>
      </c>
      <c r="I578" s="165"/>
      <c r="J578" s="163"/>
      <c r="K578" s="163"/>
      <c r="L578" s="164"/>
      <c r="M578" s="155"/>
      <c r="N578" s="155"/>
      <c r="O578" s="144"/>
      <c r="P578" s="159" t="str">
        <f>IFERROR(IF(O578&lt;&gt;"User Specified",IF(O578&lt;&gt;"", INDEX('Refrigerant GWPs'!$G$2:$G$154,MATCH(O578,'Refrigerant GWPs'!$A$2:$A$154,0)),""),U578),0)</f>
        <v/>
      </c>
      <c r="Q578" s="155"/>
      <c r="R578" s="155"/>
      <c r="S578" s="144"/>
      <c r="T578" s="159" t="str">
        <f>IF(S578&lt;&gt;"User Specified",IF(AND(S578&lt;&gt;"User Specified",S578&lt;&gt;""), INDEX('Refrigerant GWPs'!$G$2:$G$154,MATCH(S578,'Refrigerant GWPs'!$A$2:$A$154,0)),""),V578)</f>
        <v/>
      </c>
      <c r="U578" s="144"/>
      <c r="V578" s="144"/>
      <c r="W578" s="155"/>
      <c r="X578" s="155"/>
      <c r="Y578" s="144"/>
      <c r="Z578" s="159" t="str">
        <f>IF(AND(Y578&lt;&gt;"User Specified",Y578&lt;&gt;""), INDEX('Refrigerant GWPs'!$G$2:$G$154,MATCH(Y578,'Refrigerant GWPs'!$A$2:$A$154,0)),"")</f>
        <v/>
      </c>
      <c r="AA578" s="155"/>
      <c r="AB578" s="156"/>
      <c r="AC578" s="66"/>
      <c r="AD578" s="66"/>
      <c r="AE578" s="66"/>
      <c r="AF578" s="66"/>
      <c r="AG578" s="66"/>
      <c r="AH578" s="66"/>
      <c r="AI578" s="34"/>
      <c r="AJ578" s="88">
        <f t="shared" si="650"/>
        <v>0</v>
      </c>
      <c r="AK578" s="88">
        <f t="shared" si="651"/>
        <v>0</v>
      </c>
      <c r="AL578" s="88">
        <v>0</v>
      </c>
      <c r="AM578" s="88">
        <v>0</v>
      </c>
      <c r="AN578" s="81" t="str">
        <f t="shared" si="689"/>
        <v/>
      </c>
      <c r="AO578" s="88">
        <f t="shared" si="652"/>
        <v>0</v>
      </c>
      <c r="AP578" s="88">
        <f t="shared" si="653"/>
        <v>0</v>
      </c>
      <c r="AQ578" s="81" t="str">
        <f t="shared" si="654"/>
        <v/>
      </c>
      <c r="AS578" s="41" t="b">
        <f t="shared" si="655"/>
        <v>1</v>
      </c>
      <c r="AT578" s="38">
        <f t="shared" si="656"/>
        <v>0</v>
      </c>
      <c r="AU578" s="60">
        <f t="shared" si="657"/>
        <v>0</v>
      </c>
      <c r="AV578" s="41">
        <f t="shared" si="658"/>
        <v>0</v>
      </c>
      <c r="AW578" s="41" t="b">
        <f t="shared" si="659"/>
        <v>0</v>
      </c>
      <c r="AX578" t="str">
        <f t="shared" si="660"/>
        <v>+00</v>
      </c>
      <c r="AY578" t="str">
        <f t="shared" si="661"/>
        <v>+00</v>
      </c>
      <c r="BA578" s="47" t="b">
        <f t="shared" si="690"/>
        <v>1</v>
      </c>
      <c r="BB578" s="42" t="b">
        <f t="shared" si="691"/>
        <v>1</v>
      </c>
      <c r="BC578" s="42" t="b">
        <f t="shared" si="692"/>
        <v>0</v>
      </c>
      <c r="BD578" s="42" t="b">
        <f t="shared" si="693"/>
        <v>0</v>
      </c>
      <c r="BE578" s="70">
        <f t="shared" si="694"/>
        <v>0</v>
      </c>
      <c r="BF578" s="70">
        <f t="shared" si="695"/>
        <v>0</v>
      </c>
      <c r="BG578" s="34"/>
      <c r="BI578" s="47" t="b">
        <f t="shared" si="696"/>
        <v>1</v>
      </c>
      <c r="BJ578" s="47" t="b">
        <f t="shared" si="697"/>
        <v>1</v>
      </c>
      <c r="BK578" s="42" t="b">
        <f t="shared" si="698"/>
        <v>0</v>
      </c>
      <c r="BL578" s="42" t="b">
        <f t="shared" si="699"/>
        <v>0</v>
      </c>
      <c r="BM578" s="42">
        <f t="shared" si="700"/>
        <v>0</v>
      </c>
      <c r="BN578" s="42">
        <f t="shared" si="701"/>
        <v>0</v>
      </c>
      <c r="BP578" t="e">
        <f t="shared" si="702"/>
        <v>#N/A</v>
      </c>
      <c r="BQ578" t="e">
        <f t="shared" si="703"/>
        <v>#N/A</v>
      </c>
      <c r="BR578" t="e">
        <f t="shared" si="704"/>
        <v>#N/A</v>
      </c>
      <c r="BT578" s="60">
        <f t="shared" si="705"/>
        <v>0</v>
      </c>
      <c r="BU578" s="60">
        <f t="shared" si="706"/>
        <v>0</v>
      </c>
      <c r="BV578" s="60">
        <f t="shared" si="707"/>
        <v>0</v>
      </c>
      <c r="BW578" s="60">
        <f t="shared" si="708"/>
        <v>0</v>
      </c>
      <c r="BX578" s="60">
        <f t="shared" si="709"/>
        <v>0</v>
      </c>
      <c r="BY578" s="60">
        <f t="shared" si="710"/>
        <v>0</v>
      </c>
      <c r="BZ578" s="60">
        <f t="shared" si="711"/>
        <v>0</v>
      </c>
      <c r="CA578" s="60">
        <f t="shared" si="712"/>
        <v>0</v>
      </c>
      <c r="CB578" s="60" t="e">
        <f t="shared" si="662"/>
        <v>#N/A</v>
      </c>
      <c r="CC578" s="60">
        <f t="shared" si="663"/>
        <v>100000</v>
      </c>
      <c r="CD578" s="60" t="e">
        <f t="shared" si="664"/>
        <v>#N/A</v>
      </c>
      <c r="CE578" s="60">
        <f t="shared" si="665"/>
        <v>100000</v>
      </c>
      <c r="CF578" s="83" t="e">
        <f t="shared" si="713"/>
        <v>#N/A</v>
      </c>
      <c r="CG578" s="83">
        <f t="shared" si="714"/>
        <v>0</v>
      </c>
      <c r="CH578" s="83" t="e">
        <f t="shared" si="715"/>
        <v>#N/A</v>
      </c>
      <c r="CI578" s="83">
        <f t="shared" si="716"/>
        <v>0</v>
      </c>
      <c r="CJ578" s="86" t="e">
        <f t="shared" si="666"/>
        <v>#N/A</v>
      </c>
      <c r="CK578" s="82">
        <f t="shared" si="667"/>
        <v>5.3070370403969858E-3</v>
      </c>
      <c r="CL578" s="82" t="e">
        <f t="shared" si="668"/>
        <v>#N/A</v>
      </c>
      <c r="CM578" s="82">
        <f t="shared" si="669"/>
        <v>5.3070370403969858E-3</v>
      </c>
      <c r="CO578" s="149" t="str">
        <f>IF($I578&lt;&gt;"",IF(O578="User Specified",U578,INDEX('Refrigerant GWPs'!$G$2:$G$156,MATCH(O578,'Refrigerant GWPs'!$A$2:$A$156,0))),"")</f>
        <v/>
      </c>
      <c r="CP578" s="138" t="str">
        <f>IF($I578&lt;&gt;"",INDEX('Device Refrigerant Leakage'!$E$2:$E$42,MATCH($M578,'Device Refrigerant Leakage'!$B$2:$B$42,0)),"")</f>
        <v/>
      </c>
      <c r="CQ578" s="138" t="str">
        <f>IF($I578&lt;&gt;"",INDEX('Device Refrigerant Leakage'!$F$2:$F$42,MATCH($M578,'Device Refrigerant Leakage'!$B$2:$B$42,0)),"")</f>
        <v/>
      </c>
      <c r="CR578" s="145" t="str">
        <f>IF($I578&lt;&gt;"",INDEX('Device Refrigerant Leakage'!$G$2:$G$42,MATCH($M578,'Device Refrigerant Leakage'!$B$2:$B$42,0)),"")</f>
        <v/>
      </c>
      <c r="CS578" s="145" t="str">
        <f>IF($I578&lt;&gt;"",INDEX('Device Refrigerant Leakage'!$D$2:$D$42,MATCH($M578,'Device Refrigerant Leakage'!$B$2:$B$42,0))*CP578/2204.62*CO578,"")</f>
        <v/>
      </c>
      <c r="CT578" s="145" t="str">
        <f>IF($I578&lt;&gt;"",J578*(INDEX('Device Refrigerant Leakage'!$D$2:$D$42,MATCH($M578,'Device Refrigerant Leakage'!$B$2:$B$42,0))-(INDEX('Device Refrigerant Leakage'!$D$2:$D$42,MATCH($M578,'Device Refrigerant Leakage'!$B$2:$B$42,0)))*CR578*CP578)*CQ578/2204.62*CO578,"")</f>
        <v/>
      </c>
      <c r="CU578" s="135" t="str">
        <f>IF($I578&lt;&gt;"",J578*IF(W578&lt;&gt;"AR",(CS578*K578)+CT578,(CS578*AB578)+CT578*(AB578/INDEX('Device Refrigerant Leakage'!$C$2:$C$42,MATCH($M578,'Device Refrigerant Leakage'!$B$2:$B$42,0)))),"")</f>
        <v/>
      </c>
      <c r="CW578" s="135" t="str">
        <f>IF($I578&lt;&gt;"",IF(S578="User Specified",V578,INDEX('Refrigerant GWPs'!$G$2:$G$156,MATCH(S578,'Refrigerant GWPs'!$A$2:$A$157,0))),"")</f>
        <v/>
      </c>
      <c r="CX578" s="138" t="str">
        <f>IF($I578&lt;&gt;"",INDEX('Device Refrigerant Leakage'!$E$2:$E$42,MATCH($Q578,'Device Refrigerant Leakage'!$B$2:$B$42,0)),"")</f>
        <v/>
      </c>
      <c r="CY578" s="138" t="str">
        <f>IF($I578&lt;&gt;"",INDEX('Device Refrigerant Leakage'!$F$2:$F$42,MATCH($Q578,'Device Refrigerant Leakage'!$B$2:$B$42,0)),"")</f>
        <v/>
      </c>
      <c r="CZ578" s="145" t="str">
        <f>IF($I578&lt;&gt;"",INDEX('Device Refrigerant Leakage'!$G$2:$G$42,MATCH($Q578,'Device Refrigerant Leakage'!$B$2:$B$42,0)),"")</f>
        <v/>
      </c>
      <c r="DA578" s="145" t="str">
        <f>IF($I578&lt;&gt;"",J578*INDEX('Device Refrigerant Leakage'!$D$2:$D$42,MATCH($Q578,'Device Refrigerant Leakage'!$B$2:$B$42,0))*CX578/2204.62*CW578,"")</f>
        <v/>
      </c>
      <c r="DB578" s="145" t="str">
        <f>IF($I578&lt;&gt;"",J578*(INDEX('Device Refrigerant Leakage'!$D$2:$D$42,MATCH($Q578,'Device Refrigerant Leakage'!$B$2:$B$42,0))-(INDEX('Device Refrigerant Leakage'!$D$2:$D$42,MATCH($Q578,'Device Refrigerant Leakage'!$B$2:$B$42,0)))*CZ578*CX578)*CY578/2204.62*CW578,"")</f>
        <v/>
      </c>
      <c r="DC578" s="135" t="str">
        <f t="shared" si="688"/>
        <v/>
      </c>
      <c r="DE578" s="146" t="str">
        <f>IF(W578&lt;&gt;"AR","",IF(Y578="User Specified", AA578, INDEX('Refrigerant GWPs'!$G$2:$G$154,MATCH(Y578,'Refrigerant GWPs'!$A$2:$A$154,0))))</f>
        <v/>
      </c>
      <c r="DF578" s="146" t="str">
        <f>IF(W578&lt;&gt;"AR","",INDEX('Device Refrigerant Leakage'!$E$2:$E$42,MATCH(X578,'Device Refrigerant Leakage'!$B$2:$B$42,0)))</f>
        <v/>
      </c>
      <c r="DG578" s="146" t="str">
        <f>IF(W578&lt;&gt;"AR","",INDEX('Device Refrigerant Leakage'!$F$2:$F$42,MATCH(X578,'Device Refrigerant Leakage'!$B$2:$B$42,0)))</f>
        <v/>
      </c>
      <c r="DH578" s="146" t="str">
        <f>IF(W578&lt;&gt;"AR","",INDEX('Device Refrigerant Leakage'!$G$2:$G$42,MATCH(X578,'Device Refrigerant Leakage'!$B$2:$B$42,0)))</f>
        <v/>
      </c>
      <c r="DI578" s="146" t="str">
        <f>IF(W578&lt;&gt;"AR","",J578*INDEX('Device Refrigerant Leakage'!$D$2:$D$42,MATCH(X578,'Device Refrigerant Leakage'!$B$2:$B$42,0))*DF578/2204.62*DE578)</f>
        <v/>
      </c>
      <c r="DJ578" s="146" t="str">
        <f>IF(W578&lt;&gt;"AR","",J578*(INDEX('Device Refrigerant Leakage'!$D$2:$D$42,MATCH(X578,'Device Refrigerant Leakage'!$B$2:$B$42,0))-(INDEX('Device Refrigerant Leakage'!$D$2:$D$42,MATCH(X578,'Device Refrigerant Leakage'!$B$2:$B$42,0)))*DH578*DF578)*DG578/2204.62*DE578)</f>
        <v/>
      </c>
      <c r="DK578" s="146" t="str">
        <f>IF(W578&lt;&gt;"AR","",DI578*(K578-AB578)+'Fuel Sub Calcs-Deemed'!DJ578*((K578-AB578)/INDEX('Device Refrigerant Leakage'!$C$2:$C$42,MATCH('Fuel Sub Calcs-Deemed'!X578,'Device Refrigerant Leakage'!$B$2:$B$42,0))))</f>
        <v/>
      </c>
      <c r="DM578" s="56">
        <v>564</v>
      </c>
      <c r="DN578" s="67" t="e">
        <f t="shared" si="670"/>
        <v>#N/A</v>
      </c>
      <c r="DO578" s="45" t="e">
        <f t="shared" si="671"/>
        <v>#N/A</v>
      </c>
      <c r="DP578" s="67" t="e">
        <f t="shared" si="672"/>
        <v>#N/A</v>
      </c>
      <c r="DQ578" s="45" t="e">
        <f t="shared" si="673"/>
        <v>#N/A</v>
      </c>
      <c r="DR578" s="69" t="e">
        <f t="shared" si="674"/>
        <v>#N/A</v>
      </c>
      <c r="DS578" s="34"/>
      <c r="DT578" s="67" t="e">
        <f>((BX578*CJ578)+IF($W578=MAT_AR,(BZ578*CL578),0))*(1+Reference!$E$50+Reference!$E$51)</f>
        <v>#N/A</v>
      </c>
      <c r="DU578" s="67">
        <f>((BY578*CK578)+IF($W578=MAT_AR,(CA578*CM578),0))*(1+Reference!$G$50+Reference!$G$51)</f>
        <v>0</v>
      </c>
      <c r="DV578" s="67" t="e">
        <f t="shared" si="675"/>
        <v>#VALUE!</v>
      </c>
      <c r="DX578" s="56">
        <v>564</v>
      </c>
      <c r="DY578" s="67">
        <f t="shared" si="676"/>
        <v>0</v>
      </c>
      <c r="DZ578" s="45" t="e">
        <f>VLOOKUP($R578,Dropdown!$C$3:$D$4,2,FALSE)</f>
        <v>#N/A</v>
      </c>
      <c r="EA578" s="68">
        <f t="shared" si="677"/>
        <v>0</v>
      </c>
      <c r="EB578" s="68" t="str">
        <f t="shared" si="678"/>
        <v>N/A</v>
      </c>
      <c r="EC578" s="68">
        <f t="shared" si="679"/>
        <v>0</v>
      </c>
      <c r="ED578" s="68" t="str">
        <f t="shared" si="717"/>
        <v>N/A</v>
      </c>
      <c r="EF578" s="56">
        <v>564</v>
      </c>
      <c r="EG578" s="46">
        <f t="shared" si="680"/>
        <v>0</v>
      </c>
      <c r="EH578" s="68" t="e">
        <f t="shared" si="681"/>
        <v>#N/A</v>
      </c>
      <c r="EI578" s="68" t="e">
        <f t="shared" si="682"/>
        <v>#N/A</v>
      </c>
      <c r="EJ578" s="68" t="e">
        <f t="shared" si="683"/>
        <v>#N/A</v>
      </c>
      <c r="EK578" s="68" t="e">
        <f t="shared" si="684"/>
        <v>#N/A</v>
      </c>
      <c r="EL578" s="46">
        <f t="shared" si="685"/>
        <v>0</v>
      </c>
      <c r="EM578" s="46">
        <f t="shared" si="686"/>
        <v>0</v>
      </c>
    </row>
    <row r="579" spans="1:143">
      <c r="A579" s="89"/>
      <c r="B579" s="89"/>
      <c r="C579" s="89"/>
      <c r="D579" s="89"/>
      <c r="E579" s="89"/>
      <c r="F579" s="89"/>
      <c r="G579" s="34"/>
      <c r="H579" s="56">
        <f t="shared" si="687"/>
        <v>565</v>
      </c>
      <c r="I579" s="165"/>
      <c r="J579" s="163"/>
      <c r="K579" s="163"/>
      <c r="L579" s="164"/>
      <c r="M579" s="155"/>
      <c r="N579" s="155"/>
      <c r="O579" s="144"/>
      <c r="P579" s="159" t="str">
        <f>IFERROR(IF(O579&lt;&gt;"User Specified",IF(O579&lt;&gt;"", INDEX('Refrigerant GWPs'!$G$2:$G$154,MATCH(O579,'Refrigerant GWPs'!$A$2:$A$154,0)),""),U579),0)</f>
        <v/>
      </c>
      <c r="Q579" s="155"/>
      <c r="R579" s="155"/>
      <c r="S579" s="144"/>
      <c r="T579" s="159" t="str">
        <f>IF(S579&lt;&gt;"User Specified",IF(AND(S579&lt;&gt;"User Specified",S579&lt;&gt;""), INDEX('Refrigerant GWPs'!$G$2:$G$154,MATCH(S579,'Refrigerant GWPs'!$A$2:$A$154,0)),""),V579)</f>
        <v/>
      </c>
      <c r="U579" s="144"/>
      <c r="V579" s="144"/>
      <c r="W579" s="155"/>
      <c r="X579" s="155"/>
      <c r="Y579" s="144"/>
      <c r="Z579" s="159" t="str">
        <f>IF(AND(Y579&lt;&gt;"User Specified",Y579&lt;&gt;""), INDEX('Refrigerant GWPs'!$G$2:$G$154,MATCH(Y579,'Refrigerant GWPs'!$A$2:$A$154,0)),"")</f>
        <v/>
      </c>
      <c r="AA579" s="155"/>
      <c r="AB579" s="156"/>
      <c r="AC579" s="66"/>
      <c r="AD579" s="66"/>
      <c r="AE579" s="66"/>
      <c r="AF579" s="66"/>
      <c r="AG579" s="66"/>
      <c r="AH579" s="66"/>
      <c r="AI579" s="34"/>
      <c r="AJ579" s="88">
        <f t="shared" si="650"/>
        <v>0</v>
      </c>
      <c r="AK579" s="88">
        <f t="shared" si="651"/>
        <v>0</v>
      </c>
      <c r="AL579" s="88">
        <v>0</v>
      </c>
      <c r="AM579" s="88">
        <v>0</v>
      </c>
      <c r="AN579" s="81" t="str">
        <f t="shared" si="689"/>
        <v/>
      </c>
      <c r="AO579" s="88">
        <f t="shared" si="652"/>
        <v>0</v>
      </c>
      <c r="AP579" s="88">
        <f t="shared" si="653"/>
        <v>0</v>
      </c>
      <c r="AQ579" s="81" t="str">
        <f t="shared" si="654"/>
        <v/>
      </c>
      <c r="AS579" s="41" t="b">
        <f t="shared" si="655"/>
        <v>1</v>
      </c>
      <c r="AT579" s="38">
        <f t="shared" si="656"/>
        <v>0</v>
      </c>
      <c r="AU579" s="60">
        <f t="shared" si="657"/>
        <v>0</v>
      </c>
      <c r="AV579" s="41">
        <f t="shared" si="658"/>
        <v>0</v>
      </c>
      <c r="AW579" s="41" t="b">
        <f t="shared" si="659"/>
        <v>0</v>
      </c>
      <c r="AX579" t="str">
        <f t="shared" si="660"/>
        <v>+00</v>
      </c>
      <c r="AY579" t="str">
        <f t="shared" si="661"/>
        <v>+00</v>
      </c>
      <c r="BA579" s="47" t="b">
        <f t="shared" si="690"/>
        <v>1</v>
      </c>
      <c r="BB579" s="42" t="b">
        <f t="shared" si="691"/>
        <v>1</v>
      </c>
      <c r="BC579" s="42" t="b">
        <f t="shared" si="692"/>
        <v>0</v>
      </c>
      <c r="BD579" s="42" t="b">
        <f t="shared" si="693"/>
        <v>0</v>
      </c>
      <c r="BE579" s="70">
        <f t="shared" si="694"/>
        <v>0</v>
      </c>
      <c r="BF579" s="70">
        <f t="shared" si="695"/>
        <v>0</v>
      </c>
      <c r="BG579" s="34"/>
      <c r="BI579" s="47" t="b">
        <f t="shared" si="696"/>
        <v>1</v>
      </c>
      <c r="BJ579" s="47" t="b">
        <f t="shared" si="697"/>
        <v>1</v>
      </c>
      <c r="BK579" s="42" t="b">
        <f t="shared" si="698"/>
        <v>0</v>
      </c>
      <c r="BL579" s="42" t="b">
        <f t="shared" si="699"/>
        <v>0</v>
      </c>
      <c r="BM579" s="42">
        <f t="shared" si="700"/>
        <v>0</v>
      </c>
      <c r="BN579" s="42">
        <f t="shared" si="701"/>
        <v>0</v>
      </c>
      <c r="BP579" t="e">
        <f t="shared" si="702"/>
        <v>#N/A</v>
      </c>
      <c r="BQ579" t="e">
        <f t="shared" si="703"/>
        <v>#N/A</v>
      </c>
      <c r="BR579" t="e">
        <f t="shared" si="704"/>
        <v>#N/A</v>
      </c>
      <c r="BT579" s="60">
        <f t="shared" si="705"/>
        <v>0</v>
      </c>
      <c r="BU579" s="60">
        <f t="shared" si="706"/>
        <v>0</v>
      </c>
      <c r="BV579" s="60">
        <f t="shared" si="707"/>
        <v>0</v>
      </c>
      <c r="BW579" s="60">
        <f t="shared" si="708"/>
        <v>0</v>
      </c>
      <c r="BX579" s="60">
        <f t="shared" si="709"/>
        <v>0</v>
      </c>
      <c r="BY579" s="60">
        <f t="shared" si="710"/>
        <v>0</v>
      </c>
      <c r="BZ579" s="60">
        <f t="shared" si="711"/>
        <v>0</v>
      </c>
      <c r="CA579" s="60">
        <f t="shared" si="712"/>
        <v>0</v>
      </c>
      <c r="CB579" s="60" t="e">
        <f t="shared" si="662"/>
        <v>#N/A</v>
      </c>
      <c r="CC579" s="60">
        <f t="shared" si="663"/>
        <v>100000</v>
      </c>
      <c r="CD579" s="60" t="e">
        <f t="shared" si="664"/>
        <v>#N/A</v>
      </c>
      <c r="CE579" s="60">
        <f t="shared" si="665"/>
        <v>100000</v>
      </c>
      <c r="CF579" s="83" t="e">
        <f t="shared" si="713"/>
        <v>#N/A</v>
      </c>
      <c r="CG579" s="83">
        <f t="shared" si="714"/>
        <v>0</v>
      </c>
      <c r="CH579" s="83" t="e">
        <f t="shared" si="715"/>
        <v>#N/A</v>
      </c>
      <c r="CI579" s="83">
        <f t="shared" si="716"/>
        <v>0</v>
      </c>
      <c r="CJ579" s="86" t="e">
        <f t="shared" si="666"/>
        <v>#N/A</v>
      </c>
      <c r="CK579" s="82">
        <f t="shared" si="667"/>
        <v>5.3070370403969858E-3</v>
      </c>
      <c r="CL579" s="82" t="e">
        <f t="shared" si="668"/>
        <v>#N/A</v>
      </c>
      <c r="CM579" s="82">
        <f t="shared" si="669"/>
        <v>5.3070370403969858E-3</v>
      </c>
      <c r="CO579" s="149" t="str">
        <f>IF($I579&lt;&gt;"",IF(O579="User Specified",U579,INDEX('Refrigerant GWPs'!$G$2:$G$156,MATCH(O579,'Refrigerant GWPs'!$A$2:$A$156,0))),"")</f>
        <v/>
      </c>
      <c r="CP579" s="138" t="str">
        <f>IF($I579&lt;&gt;"",INDEX('Device Refrigerant Leakage'!$E$2:$E$42,MATCH($M579,'Device Refrigerant Leakage'!$B$2:$B$42,0)),"")</f>
        <v/>
      </c>
      <c r="CQ579" s="138" t="str">
        <f>IF($I579&lt;&gt;"",INDEX('Device Refrigerant Leakage'!$F$2:$F$42,MATCH($M579,'Device Refrigerant Leakage'!$B$2:$B$42,0)),"")</f>
        <v/>
      </c>
      <c r="CR579" s="145" t="str">
        <f>IF($I579&lt;&gt;"",INDEX('Device Refrigerant Leakage'!$G$2:$G$42,MATCH($M579,'Device Refrigerant Leakage'!$B$2:$B$42,0)),"")</f>
        <v/>
      </c>
      <c r="CS579" s="145" t="str">
        <f>IF($I579&lt;&gt;"",INDEX('Device Refrigerant Leakage'!$D$2:$D$42,MATCH($M579,'Device Refrigerant Leakage'!$B$2:$B$42,0))*CP579/2204.62*CO579,"")</f>
        <v/>
      </c>
      <c r="CT579" s="145" t="str">
        <f>IF($I579&lt;&gt;"",J579*(INDEX('Device Refrigerant Leakage'!$D$2:$D$42,MATCH($M579,'Device Refrigerant Leakage'!$B$2:$B$42,0))-(INDEX('Device Refrigerant Leakage'!$D$2:$D$42,MATCH($M579,'Device Refrigerant Leakage'!$B$2:$B$42,0)))*CR579*CP579)*CQ579/2204.62*CO579,"")</f>
        <v/>
      </c>
      <c r="CU579" s="135" t="str">
        <f>IF($I579&lt;&gt;"",J579*IF(W579&lt;&gt;"AR",(CS579*K579)+CT579,(CS579*AB579)+CT579*(AB579/INDEX('Device Refrigerant Leakage'!$C$2:$C$42,MATCH($M579,'Device Refrigerant Leakage'!$B$2:$B$42,0)))),"")</f>
        <v/>
      </c>
      <c r="CW579" s="135" t="str">
        <f>IF($I579&lt;&gt;"",IF(S579="User Specified",V579,INDEX('Refrigerant GWPs'!$G$2:$G$156,MATCH(S579,'Refrigerant GWPs'!$A$2:$A$157,0))),"")</f>
        <v/>
      </c>
      <c r="CX579" s="138" t="str">
        <f>IF($I579&lt;&gt;"",INDEX('Device Refrigerant Leakage'!$E$2:$E$42,MATCH($Q579,'Device Refrigerant Leakage'!$B$2:$B$42,0)),"")</f>
        <v/>
      </c>
      <c r="CY579" s="138" t="str">
        <f>IF($I579&lt;&gt;"",INDEX('Device Refrigerant Leakage'!$F$2:$F$42,MATCH($Q579,'Device Refrigerant Leakage'!$B$2:$B$42,0)),"")</f>
        <v/>
      </c>
      <c r="CZ579" s="145" t="str">
        <f>IF($I579&lt;&gt;"",INDEX('Device Refrigerant Leakage'!$G$2:$G$42,MATCH($Q579,'Device Refrigerant Leakage'!$B$2:$B$42,0)),"")</f>
        <v/>
      </c>
      <c r="DA579" s="145" t="str">
        <f>IF($I579&lt;&gt;"",J579*INDEX('Device Refrigerant Leakage'!$D$2:$D$42,MATCH($Q579,'Device Refrigerant Leakage'!$B$2:$B$42,0))*CX579/2204.62*CW579,"")</f>
        <v/>
      </c>
      <c r="DB579" s="145" t="str">
        <f>IF($I579&lt;&gt;"",J579*(INDEX('Device Refrigerant Leakage'!$D$2:$D$42,MATCH($Q579,'Device Refrigerant Leakage'!$B$2:$B$42,0))-(INDEX('Device Refrigerant Leakage'!$D$2:$D$42,MATCH($Q579,'Device Refrigerant Leakage'!$B$2:$B$42,0)))*CZ579*CX579)*CY579/2204.62*CW579,"")</f>
        <v/>
      </c>
      <c r="DC579" s="135" t="str">
        <f t="shared" si="688"/>
        <v/>
      </c>
      <c r="DE579" s="146" t="str">
        <f>IF(W579&lt;&gt;"AR","",IF(Y579="User Specified", AA579, INDEX('Refrigerant GWPs'!$G$2:$G$154,MATCH(Y579,'Refrigerant GWPs'!$A$2:$A$154,0))))</f>
        <v/>
      </c>
      <c r="DF579" s="146" t="str">
        <f>IF(W579&lt;&gt;"AR","",INDEX('Device Refrigerant Leakage'!$E$2:$E$42,MATCH(X579,'Device Refrigerant Leakage'!$B$2:$B$42,0)))</f>
        <v/>
      </c>
      <c r="DG579" s="146" t="str">
        <f>IF(W579&lt;&gt;"AR","",INDEX('Device Refrigerant Leakage'!$F$2:$F$42,MATCH(X579,'Device Refrigerant Leakage'!$B$2:$B$42,0)))</f>
        <v/>
      </c>
      <c r="DH579" s="146" t="str">
        <f>IF(W579&lt;&gt;"AR","",INDEX('Device Refrigerant Leakage'!$G$2:$G$42,MATCH(X579,'Device Refrigerant Leakage'!$B$2:$B$42,0)))</f>
        <v/>
      </c>
      <c r="DI579" s="146" t="str">
        <f>IF(W579&lt;&gt;"AR","",J579*INDEX('Device Refrigerant Leakage'!$D$2:$D$42,MATCH(X579,'Device Refrigerant Leakage'!$B$2:$B$42,0))*DF579/2204.62*DE579)</f>
        <v/>
      </c>
      <c r="DJ579" s="146" t="str">
        <f>IF(W579&lt;&gt;"AR","",J579*(INDEX('Device Refrigerant Leakage'!$D$2:$D$42,MATCH(X579,'Device Refrigerant Leakage'!$B$2:$B$42,0))-(INDEX('Device Refrigerant Leakage'!$D$2:$D$42,MATCH(X579,'Device Refrigerant Leakage'!$B$2:$B$42,0)))*DH579*DF579)*DG579/2204.62*DE579)</f>
        <v/>
      </c>
      <c r="DK579" s="146" t="str">
        <f>IF(W579&lt;&gt;"AR","",DI579*(K579-AB579)+'Fuel Sub Calcs-Deemed'!DJ579*((K579-AB579)/INDEX('Device Refrigerant Leakage'!$C$2:$C$42,MATCH('Fuel Sub Calcs-Deemed'!X579,'Device Refrigerant Leakage'!$B$2:$B$42,0))))</f>
        <v/>
      </c>
      <c r="DM579" s="56">
        <v>565</v>
      </c>
      <c r="DN579" s="67" t="e">
        <f t="shared" si="670"/>
        <v>#N/A</v>
      </c>
      <c r="DO579" s="45" t="e">
        <f t="shared" si="671"/>
        <v>#N/A</v>
      </c>
      <c r="DP579" s="67" t="e">
        <f t="shared" si="672"/>
        <v>#N/A</v>
      </c>
      <c r="DQ579" s="45" t="e">
        <f t="shared" si="673"/>
        <v>#N/A</v>
      </c>
      <c r="DR579" s="69" t="e">
        <f t="shared" si="674"/>
        <v>#N/A</v>
      </c>
      <c r="DS579" s="34"/>
      <c r="DT579" s="67" t="e">
        <f>((BX579*CJ579)+IF($W579=MAT_AR,(BZ579*CL579),0))*(1+Reference!$E$50+Reference!$E$51)</f>
        <v>#N/A</v>
      </c>
      <c r="DU579" s="67">
        <f>((BY579*CK579)+IF($W579=MAT_AR,(CA579*CM579),0))*(1+Reference!$G$50+Reference!$G$51)</f>
        <v>0</v>
      </c>
      <c r="DV579" s="67" t="e">
        <f t="shared" si="675"/>
        <v>#VALUE!</v>
      </c>
      <c r="DX579" s="56">
        <v>565</v>
      </c>
      <c r="DY579" s="67">
        <f t="shared" si="676"/>
        <v>0</v>
      </c>
      <c r="DZ579" s="45" t="e">
        <f>VLOOKUP($R579,Dropdown!$C$3:$D$4,2,FALSE)</f>
        <v>#N/A</v>
      </c>
      <c r="EA579" s="68">
        <f t="shared" si="677"/>
        <v>0</v>
      </c>
      <c r="EB579" s="68" t="str">
        <f t="shared" si="678"/>
        <v>N/A</v>
      </c>
      <c r="EC579" s="68">
        <f t="shared" si="679"/>
        <v>0</v>
      </c>
      <c r="ED579" s="68" t="str">
        <f t="shared" si="717"/>
        <v>N/A</v>
      </c>
      <c r="EF579" s="56">
        <v>565</v>
      </c>
      <c r="EG579" s="46">
        <f t="shared" si="680"/>
        <v>0</v>
      </c>
      <c r="EH579" s="68" t="e">
        <f t="shared" si="681"/>
        <v>#N/A</v>
      </c>
      <c r="EI579" s="68" t="e">
        <f t="shared" si="682"/>
        <v>#N/A</v>
      </c>
      <c r="EJ579" s="68" t="e">
        <f t="shared" si="683"/>
        <v>#N/A</v>
      </c>
      <c r="EK579" s="68" t="e">
        <f t="shared" si="684"/>
        <v>#N/A</v>
      </c>
      <c r="EL579" s="46">
        <f t="shared" si="685"/>
        <v>0</v>
      </c>
      <c r="EM579" s="46">
        <f t="shared" si="686"/>
        <v>0</v>
      </c>
    </row>
    <row r="580" spans="1:143">
      <c r="A580" s="89"/>
      <c r="B580" s="89"/>
      <c r="C580" s="89"/>
      <c r="D580" s="89"/>
      <c r="E580" s="89"/>
      <c r="F580" s="89"/>
      <c r="G580" s="34"/>
      <c r="H580" s="56">
        <f t="shared" si="687"/>
        <v>566</v>
      </c>
      <c r="I580" s="165"/>
      <c r="J580" s="163"/>
      <c r="K580" s="163"/>
      <c r="L580" s="164"/>
      <c r="M580" s="155"/>
      <c r="N580" s="155"/>
      <c r="O580" s="144"/>
      <c r="P580" s="159" t="str">
        <f>IFERROR(IF(O580&lt;&gt;"User Specified",IF(O580&lt;&gt;"", INDEX('Refrigerant GWPs'!$G$2:$G$154,MATCH(O580,'Refrigerant GWPs'!$A$2:$A$154,0)),""),U580),0)</f>
        <v/>
      </c>
      <c r="Q580" s="155"/>
      <c r="R580" s="155"/>
      <c r="S580" s="144"/>
      <c r="T580" s="159" t="str">
        <f>IF(S580&lt;&gt;"User Specified",IF(AND(S580&lt;&gt;"User Specified",S580&lt;&gt;""), INDEX('Refrigerant GWPs'!$G$2:$G$154,MATCH(S580,'Refrigerant GWPs'!$A$2:$A$154,0)),""),V580)</f>
        <v/>
      </c>
      <c r="U580" s="144"/>
      <c r="V580" s="144"/>
      <c r="W580" s="155"/>
      <c r="X580" s="155"/>
      <c r="Y580" s="144"/>
      <c r="Z580" s="159" t="str">
        <f>IF(AND(Y580&lt;&gt;"User Specified",Y580&lt;&gt;""), INDEX('Refrigerant GWPs'!$G$2:$G$154,MATCH(Y580,'Refrigerant GWPs'!$A$2:$A$154,0)),"")</f>
        <v/>
      </c>
      <c r="AA580" s="155"/>
      <c r="AB580" s="156"/>
      <c r="AC580" s="66"/>
      <c r="AD580" s="66"/>
      <c r="AE580" s="66"/>
      <c r="AF580" s="66"/>
      <c r="AG580" s="66"/>
      <c r="AH580" s="66"/>
      <c r="AI580" s="34"/>
      <c r="AJ580" s="88">
        <f t="shared" si="650"/>
        <v>0</v>
      </c>
      <c r="AK580" s="88">
        <f t="shared" si="651"/>
        <v>0</v>
      </c>
      <c r="AL580" s="88">
        <v>0</v>
      </c>
      <c r="AM580" s="88">
        <v>0</v>
      </c>
      <c r="AN580" s="81" t="str">
        <f t="shared" si="689"/>
        <v/>
      </c>
      <c r="AO580" s="88">
        <f t="shared" si="652"/>
        <v>0</v>
      </c>
      <c r="AP580" s="88">
        <f t="shared" si="653"/>
        <v>0</v>
      </c>
      <c r="AQ580" s="81" t="str">
        <f t="shared" si="654"/>
        <v/>
      </c>
      <c r="AS580" s="41" t="b">
        <f t="shared" si="655"/>
        <v>1</v>
      </c>
      <c r="AT580" s="38">
        <f t="shared" si="656"/>
        <v>0</v>
      </c>
      <c r="AU580" s="60">
        <f t="shared" si="657"/>
        <v>0</v>
      </c>
      <c r="AV580" s="41">
        <f t="shared" si="658"/>
        <v>0</v>
      </c>
      <c r="AW580" s="41" t="b">
        <f t="shared" si="659"/>
        <v>0</v>
      </c>
      <c r="AX580" t="str">
        <f t="shared" si="660"/>
        <v>+00</v>
      </c>
      <c r="AY580" t="str">
        <f t="shared" si="661"/>
        <v>+00</v>
      </c>
      <c r="BA580" s="47" t="b">
        <f t="shared" si="690"/>
        <v>1</v>
      </c>
      <c r="BB580" s="42" t="b">
        <f t="shared" si="691"/>
        <v>1</v>
      </c>
      <c r="BC580" s="42" t="b">
        <f t="shared" si="692"/>
        <v>0</v>
      </c>
      <c r="BD580" s="42" t="b">
        <f t="shared" si="693"/>
        <v>0</v>
      </c>
      <c r="BE580" s="70">
        <f t="shared" si="694"/>
        <v>0</v>
      </c>
      <c r="BF580" s="70">
        <f t="shared" si="695"/>
        <v>0</v>
      </c>
      <c r="BG580" s="34"/>
      <c r="BI580" s="47" t="b">
        <f t="shared" si="696"/>
        <v>1</v>
      </c>
      <c r="BJ580" s="47" t="b">
        <f t="shared" si="697"/>
        <v>1</v>
      </c>
      <c r="BK580" s="42" t="b">
        <f t="shared" si="698"/>
        <v>0</v>
      </c>
      <c r="BL580" s="42" t="b">
        <f t="shared" si="699"/>
        <v>0</v>
      </c>
      <c r="BM580" s="42">
        <f t="shared" si="700"/>
        <v>0</v>
      </c>
      <c r="BN580" s="42">
        <f t="shared" si="701"/>
        <v>0</v>
      </c>
      <c r="BP580" t="e">
        <f t="shared" si="702"/>
        <v>#N/A</v>
      </c>
      <c r="BQ580" t="e">
        <f t="shared" si="703"/>
        <v>#N/A</v>
      </c>
      <c r="BR580" t="e">
        <f t="shared" si="704"/>
        <v>#N/A</v>
      </c>
      <c r="BT580" s="60">
        <f t="shared" si="705"/>
        <v>0</v>
      </c>
      <c r="BU580" s="60">
        <f t="shared" si="706"/>
        <v>0</v>
      </c>
      <c r="BV580" s="60">
        <f t="shared" si="707"/>
        <v>0</v>
      </c>
      <c r="BW580" s="60">
        <f t="shared" si="708"/>
        <v>0</v>
      </c>
      <c r="BX580" s="60">
        <f t="shared" si="709"/>
        <v>0</v>
      </c>
      <c r="BY580" s="60">
        <f t="shared" si="710"/>
        <v>0</v>
      </c>
      <c r="BZ580" s="60">
        <f t="shared" si="711"/>
        <v>0</v>
      </c>
      <c r="CA580" s="60">
        <f t="shared" si="712"/>
        <v>0</v>
      </c>
      <c r="CB580" s="60" t="e">
        <f t="shared" si="662"/>
        <v>#N/A</v>
      </c>
      <c r="CC580" s="60">
        <f t="shared" si="663"/>
        <v>100000</v>
      </c>
      <c r="CD580" s="60" t="e">
        <f t="shared" si="664"/>
        <v>#N/A</v>
      </c>
      <c r="CE580" s="60">
        <f t="shared" si="665"/>
        <v>100000</v>
      </c>
      <c r="CF580" s="83" t="e">
        <f t="shared" si="713"/>
        <v>#N/A</v>
      </c>
      <c r="CG580" s="83">
        <f t="shared" si="714"/>
        <v>0</v>
      </c>
      <c r="CH580" s="83" t="e">
        <f t="shared" si="715"/>
        <v>#N/A</v>
      </c>
      <c r="CI580" s="83">
        <f t="shared" si="716"/>
        <v>0</v>
      </c>
      <c r="CJ580" s="86" t="e">
        <f t="shared" si="666"/>
        <v>#N/A</v>
      </c>
      <c r="CK580" s="82">
        <f t="shared" si="667"/>
        <v>5.3070370403969858E-3</v>
      </c>
      <c r="CL580" s="82" t="e">
        <f t="shared" si="668"/>
        <v>#N/A</v>
      </c>
      <c r="CM580" s="82">
        <f t="shared" si="669"/>
        <v>5.3070370403969858E-3</v>
      </c>
      <c r="CO580" s="149" t="str">
        <f>IF($I580&lt;&gt;"",IF(O580="User Specified",U580,INDEX('Refrigerant GWPs'!$G$2:$G$156,MATCH(O580,'Refrigerant GWPs'!$A$2:$A$156,0))),"")</f>
        <v/>
      </c>
      <c r="CP580" s="138" t="str">
        <f>IF($I580&lt;&gt;"",INDEX('Device Refrigerant Leakage'!$E$2:$E$42,MATCH($M580,'Device Refrigerant Leakage'!$B$2:$B$42,0)),"")</f>
        <v/>
      </c>
      <c r="CQ580" s="138" t="str">
        <f>IF($I580&lt;&gt;"",INDEX('Device Refrigerant Leakage'!$F$2:$F$42,MATCH($M580,'Device Refrigerant Leakage'!$B$2:$B$42,0)),"")</f>
        <v/>
      </c>
      <c r="CR580" s="145" t="str">
        <f>IF($I580&lt;&gt;"",INDEX('Device Refrigerant Leakage'!$G$2:$G$42,MATCH($M580,'Device Refrigerant Leakage'!$B$2:$B$42,0)),"")</f>
        <v/>
      </c>
      <c r="CS580" s="145" t="str">
        <f>IF($I580&lt;&gt;"",INDEX('Device Refrigerant Leakage'!$D$2:$D$42,MATCH($M580,'Device Refrigerant Leakage'!$B$2:$B$42,0))*CP580/2204.62*CO580,"")</f>
        <v/>
      </c>
      <c r="CT580" s="145" t="str">
        <f>IF($I580&lt;&gt;"",J580*(INDEX('Device Refrigerant Leakage'!$D$2:$D$42,MATCH($M580,'Device Refrigerant Leakage'!$B$2:$B$42,0))-(INDEX('Device Refrigerant Leakage'!$D$2:$D$42,MATCH($M580,'Device Refrigerant Leakage'!$B$2:$B$42,0)))*CR580*CP580)*CQ580/2204.62*CO580,"")</f>
        <v/>
      </c>
      <c r="CU580" s="135" t="str">
        <f>IF($I580&lt;&gt;"",J580*IF(W580&lt;&gt;"AR",(CS580*K580)+CT580,(CS580*AB580)+CT580*(AB580/INDEX('Device Refrigerant Leakage'!$C$2:$C$42,MATCH($M580,'Device Refrigerant Leakage'!$B$2:$B$42,0)))),"")</f>
        <v/>
      </c>
      <c r="CW580" s="135" t="str">
        <f>IF($I580&lt;&gt;"",IF(S580="User Specified",V580,INDEX('Refrigerant GWPs'!$G$2:$G$156,MATCH(S580,'Refrigerant GWPs'!$A$2:$A$157,0))),"")</f>
        <v/>
      </c>
      <c r="CX580" s="138" t="str">
        <f>IF($I580&lt;&gt;"",INDEX('Device Refrigerant Leakage'!$E$2:$E$42,MATCH($Q580,'Device Refrigerant Leakage'!$B$2:$B$42,0)),"")</f>
        <v/>
      </c>
      <c r="CY580" s="138" t="str">
        <f>IF($I580&lt;&gt;"",INDEX('Device Refrigerant Leakage'!$F$2:$F$42,MATCH($Q580,'Device Refrigerant Leakage'!$B$2:$B$42,0)),"")</f>
        <v/>
      </c>
      <c r="CZ580" s="145" t="str">
        <f>IF($I580&lt;&gt;"",INDEX('Device Refrigerant Leakage'!$G$2:$G$42,MATCH($Q580,'Device Refrigerant Leakage'!$B$2:$B$42,0)),"")</f>
        <v/>
      </c>
      <c r="DA580" s="145" t="str">
        <f>IF($I580&lt;&gt;"",J580*INDEX('Device Refrigerant Leakage'!$D$2:$D$42,MATCH($Q580,'Device Refrigerant Leakage'!$B$2:$B$42,0))*CX580/2204.62*CW580,"")</f>
        <v/>
      </c>
      <c r="DB580" s="145" t="str">
        <f>IF($I580&lt;&gt;"",J580*(INDEX('Device Refrigerant Leakage'!$D$2:$D$42,MATCH($Q580,'Device Refrigerant Leakage'!$B$2:$B$42,0))-(INDEX('Device Refrigerant Leakage'!$D$2:$D$42,MATCH($Q580,'Device Refrigerant Leakage'!$B$2:$B$42,0)))*CZ580*CX580)*CY580/2204.62*CW580,"")</f>
        <v/>
      </c>
      <c r="DC580" s="135" t="str">
        <f t="shared" si="688"/>
        <v/>
      </c>
      <c r="DE580" s="146" t="str">
        <f>IF(W580&lt;&gt;"AR","",IF(Y580="User Specified", AA580, INDEX('Refrigerant GWPs'!$G$2:$G$154,MATCH(Y580,'Refrigerant GWPs'!$A$2:$A$154,0))))</f>
        <v/>
      </c>
      <c r="DF580" s="146" t="str">
        <f>IF(W580&lt;&gt;"AR","",INDEX('Device Refrigerant Leakage'!$E$2:$E$42,MATCH(X580,'Device Refrigerant Leakage'!$B$2:$B$42,0)))</f>
        <v/>
      </c>
      <c r="DG580" s="146" t="str">
        <f>IF(W580&lt;&gt;"AR","",INDEX('Device Refrigerant Leakage'!$F$2:$F$42,MATCH(X580,'Device Refrigerant Leakage'!$B$2:$B$42,0)))</f>
        <v/>
      </c>
      <c r="DH580" s="146" t="str">
        <f>IF(W580&lt;&gt;"AR","",INDEX('Device Refrigerant Leakage'!$G$2:$G$42,MATCH(X580,'Device Refrigerant Leakage'!$B$2:$B$42,0)))</f>
        <v/>
      </c>
      <c r="DI580" s="146" t="str">
        <f>IF(W580&lt;&gt;"AR","",J580*INDEX('Device Refrigerant Leakage'!$D$2:$D$42,MATCH(X580,'Device Refrigerant Leakage'!$B$2:$B$42,0))*DF580/2204.62*DE580)</f>
        <v/>
      </c>
      <c r="DJ580" s="146" t="str">
        <f>IF(W580&lt;&gt;"AR","",J580*(INDEX('Device Refrigerant Leakage'!$D$2:$D$42,MATCH(X580,'Device Refrigerant Leakage'!$B$2:$B$42,0))-(INDEX('Device Refrigerant Leakage'!$D$2:$D$42,MATCH(X580,'Device Refrigerant Leakage'!$B$2:$B$42,0)))*DH580*DF580)*DG580/2204.62*DE580)</f>
        <v/>
      </c>
      <c r="DK580" s="146" t="str">
        <f>IF(W580&lt;&gt;"AR","",DI580*(K580-AB580)+'Fuel Sub Calcs-Deemed'!DJ580*((K580-AB580)/INDEX('Device Refrigerant Leakage'!$C$2:$C$42,MATCH('Fuel Sub Calcs-Deemed'!X580,'Device Refrigerant Leakage'!$B$2:$B$42,0))))</f>
        <v/>
      </c>
      <c r="DM580" s="56">
        <v>566</v>
      </c>
      <c r="DN580" s="67" t="e">
        <f t="shared" si="670"/>
        <v>#N/A</v>
      </c>
      <c r="DO580" s="45" t="e">
        <f t="shared" si="671"/>
        <v>#N/A</v>
      </c>
      <c r="DP580" s="67" t="e">
        <f t="shared" si="672"/>
        <v>#N/A</v>
      </c>
      <c r="DQ580" s="45" t="e">
        <f t="shared" si="673"/>
        <v>#N/A</v>
      </c>
      <c r="DR580" s="69" t="e">
        <f t="shared" si="674"/>
        <v>#N/A</v>
      </c>
      <c r="DS580" s="34"/>
      <c r="DT580" s="67" t="e">
        <f>((BX580*CJ580)+IF($W580=MAT_AR,(BZ580*CL580),0))*(1+Reference!$E$50+Reference!$E$51)</f>
        <v>#N/A</v>
      </c>
      <c r="DU580" s="67">
        <f>((BY580*CK580)+IF($W580=MAT_AR,(CA580*CM580),0))*(1+Reference!$G$50+Reference!$G$51)</f>
        <v>0</v>
      </c>
      <c r="DV580" s="67" t="e">
        <f t="shared" si="675"/>
        <v>#VALUE!</v>
      </c>
      <c r="DX580" s="56">
        <v>566</v>
      </c>
      <c r="DY580" s="67">
        <f t="shared" si="676"/>
        <v>0</v>
      </c>
      <c r="DZ580" s="45" t="e">
        <f>VLOOKUP($R580,Dropdown!$C$3:$D$4,2,FALSE)</f>
        <v>#N/A</v>
      </c>
      <c r="EA580" s="68">
        <f t="shared" si="677"/>
        <v>0</v>
      </c>
      <c r="EB580" s="68" t="str">
        <f t="shared" si="678"/>
        <v>N/A</v>
      </c>
      <c r="EC580" s="68">
        <f t="shared" si="679"/>
        <v>0</v>
      </c>
      <c r="ED580" s="68" t="str">
        <f t="shared" si="717"/>
        <v>N/A</v>
      </c>
      <c r="EF580" s="56">
        <v>566</v>
      </c>
      <c r="EG580" s="46">
        <f t="shared" si="680"/>
        <v>0</v>
      </c>
      <c r="EH580" s="68" t="e">
        <f t="shared" si="681"/>
        <v>#N/A</v>
      </c>
      <c r="EI580" s="68" t="e">
        <f t="shared" si="682"/>
        <v>#N/A</v>
      </c>
      <c r="EJ580" s="68" t="e">
        <f t="shared" si="683"/>
        <v>#N/A</v>
      </c>
      <c r="EK580" s="68" t="e">
        <f t="shared" si="684"/>
        <v>#N/A</v>
      </c>
      <c r="EL580" s="46">
        <f t="shared" si="685"/>
        <v>0</v>
      </c>
      <c r="EM580" s="46">
        <f t="shared" si="686"/>
        <v>0</v>
      </c>
    </row>
    <row r="581" spans="1:143">
      <c r="A581" s="89"/>
      <c r="B581" s="89"/>
      <c r="C581" s="89"/>
      <c r="D581" s="89"/>
      <c r="E581" s="89"/>
      <c r="F581" s="89"/>
      <c r="G581" s="34"/>
      <c r="H581" s="56">
        <f t="shared" si="687"/>
        <v>567</v>
      </c>
      <c r="I581" s="165"/>
      <c r="J581" s="163"/>
      <c r="K581" s="163"/>
      <c r="L581" s="164"/>
      <c r="M581" s="155"/>
      <c r="N581" s="155"/>
      <c r="O581" s="144"/>
      <c r="P581" s="159" t="str">
        <f>IFERROR(IF(O581&lt;&gt;"User Specified",IF(O581&lt;&gt;"", INDEX('Refrigerant GWPs'!$G$2:$G$154,MATCH(O581,'Refrigerant GWPs'!$A$2:$A$154,0)),""),U581),0)</f>
        <v/>
      </c>
      <c r="Q581" s="155"/>
      <c r="R581" s="155"/>
      <c r="S581" s="144"/>
      <c r="T581" s="159" t="str">
        <f>IF(S581&lt;&gt;"User Specified",IF(AND(S581&lt;&gt;"User Specified",S581&lt;&gt;""), INDEX('Refrigerant GWPs'!$G$2:$G$154,MATCH(S581,'Refrigerant GWPs'!$A$2:$A$154,0)),""),V581)</f>
        <v/>
      </c>
      <c r="U581" s="144"/>
      <c r="V581" s="144"/>
      <c r="W581" s="155"/>
      <c r="X581" s="155"/>
      <c r="Y581" s="144"/>
      <c r="Z581" s="159" t="str">
        <f>IF(AND(Y581&lt;&gt;"User Specified",Y581&lt;&gt;""), INDEX('Refrigerant GWPs'!$G$2:$G$154,MATCH(Y581,'Refrigerant GWPs'!$A$2:$A$154,0)),"")</f>
        <v/>
      </c>
      <c r="AA581" s="155"/>
      <c r="AB581" s="156"/>
      <c r="AC581" s="66"/>
      <c r="AD581" s="66"/>
      <c r="AE581" s="66"/>
      <c r="AF581" s="66"/>
      <c r="AG581" s="66"/>
      <c r="AH581" s="66"/>
      <c r="AI581" s="34"/>
      <c r="AJ581" s="88">
        <f t="shared" si="650"/>
        <v>0</v>
      </c>
      <c r="AK581" s="88">
        <f t="shared" si="651"/>
        <v>0</v>
      </c>
      <c r="AL581" s="88">
        <v>0</v>
      </c>
      <c r="AM581" s="88">
        <v>0</v>
      </c>
      <c r="AN581" s="81" t="str">
        <f t="shared" si="689"/>
        <v/>
      </c>
      <c r="AO581" s="88">
        <f t="shared" si="652"/>
        <v>0</v>
      </c>
      <c r="AP581" s="88">
        <f t="shared" si="653"/>
        <v>0</v>
      </c>
      <c r="AQ581" s="81" t="str">
        <f t="shared" si="654"/>
        <v/>
      </c>
      <c r="AS581" s="41" t="b">
        <f t="shared" si="655"/>
        <v>1</v>
      </c>
      <c r="AT581" s="38">
        <f t="shared" si="656"/>
        <v>0</v>
      </c>
      <c r="AU581" s="60">
        <f t="shared" si="657"/>
        <v>0</v>
      </c>
      <c r="AV581" s="41">
        <f t="shared" si="658"/>
        <v>0</v>
      </c>
      <c r="AW581" s="41" t="b">
        <f t="shared" si="659"/>
        <v>0</v>
      </c>
      <c r="AX581" t="str">
        <f t="shared" si="660"/>
        <v>+00</v>
      </c>
      <c r="AY581" t="str">
        <f t="shared" si="661"/>
        <v>+00</v>
      </c>
      <c r="BA581" s="47" t="b">
        <f t="shared" si="690"/>
        <v>1</v>
      </c>
      <c r="BB581" s="42" t="b">
        <f t="shared" si="691"/>
        <v>1</v>
      </c>
      <c r="BC581" s="42" t="b">
        <f t="shared" si="692"/>
        <v>0</v>
      </c>
      <c r="BD581" s="42" t="b">
        <f t="shared" si="693"/>
        <v>0</v>
      </c>
      <c r="BE581" s="70">
        <f t="shared" si="694"/>
        <v>0</v>
      </c>
      <c r="BF581" s="70">
        <f t="shared" si="695"/>
        <v>0</v>
      </c>
      <c r="BG581" s="34"/>
      <c r="BI581" s="47" t="b">
        <f t="shared" si="696"/>
        <v>1</v>
      </c>
      <c r="BJ581" s="47" t="b">
        <f t="shared" si="697"/>
        <v>1</v>
      </c>
      <c r="BK581" s="42" t="b">
        <f t="shared" si="698"/>
        <v>0</v>
      </c>
      <c r="BL581" s="42" t="b">
        <f t="shared" si="699"/>
        <v>0</v>
      </c>
      <c r="BM581" s="42">
        <f t="shared" si="700"/>
        <v>0</v>
      </c>
      <c r="BN581" s="42">
        <f t="shared" si="701"/>
        <v>0</v>
      </c>
      <c r="BP581" t="e">
        <f t="shared" si="702"/>
        <v>#N/A</v>
      </c>
      <c r="BQ581" t="e">
        <f t="shared" si="703"/>
        <v>#N/A</v>
      </c>
      <c r="BR581" t="e">
        <f t="shared" si="704"/>
        <v>#N/A</v>
      </c>
      <c r="BT581" s="60">
        <f t="shared" si="705"/>
        <v>0</v>
      </c>
      <c r="BU581" s="60">
        <f t="shared" si="706"/>
        <v>0</v>
      </c>
      <c r="BV581" s="60">
        <f t="shared" si="707"/>
        <v>0</v>
      </c>
      <c r="BW581" s="60">
        <f t="shared" si="708"/>
        <v>0</v>
      </c>
      <c r="BX581" s="60">
        <f t="shared" si="709"/>
        <v>0</v>
      </c>
      <c r="BY581" s="60">
        <f t="shared" si="710"/>
        <v>0</v>
      </c>
      <c r="BZ581" s="60">
        <f t="shared" si="711"/>
        <v>0</v>
      </c>
      <c r="CA581" s="60">
        <f t="shared" si="712"/>
        <v>0</v>
      </c>
      <c r="CB581" s="60" t="e">
        <f t="shared" si="662"/>
        <v>#N/A</v>
      </c>
      <c r="CC581" s="60">
        <f t="shared" si="663"/>
        <v>100000</v>
      </c>
      <c r="CD581" s="60" t="e">
        <f t="shared" si="664"/>
        <v>#N/A</v>
      </c>
      <c r="CE581" s="60">
        <f t="shared" si="665"/>
        <v>100000</v>
      </c>
      <c r="CF581" s="83" t="e">
        <f t="shared" si="713"/>
        <v>#N/A</v>
      </c>
      <c r="CG581" s="83">
        <f t="shared" si="714"/>
        <v>0</v>
      </c>
      <c r="CH581" s="83" t="e">
        <f t="shared" si="715"/>
        <v>#N/A</v>
      </c>
      <c r="CI581" s="83">
        <f t="shared" si="716"/>
        <v>0</v>
      </c>
      <c r="CJ581" s="86" t="e">
        <f t="shared" si="666"/>
        <v>#N/A</v>
      </c>
      <c r="CK581" s="82">
        <f t="shared" si="667"/>
        <v>5.3070370403969858E-3</v>
      </c>
      <c r="CL581" s="82" t="e">
        <f t="shared" si="668"/>
        <v>#N/A</v>
      </c>
      <c r="CM581" s="82">
        <f t="shared" si="669"/>
        <v>5.3070370403969858E-3</v>
      </c>
      <c r="CO581" s="149" t="str">
        <f>IF($I581&lt;&gt;"",IF(O581="User Specified",U581,INDEX('Refrigerant GWPs'!$G$2:$G$156,MATCH(O581,'Refrigerant GWPs'!$A$2:$A$156,0))),"")</f>
        <v/>
      </c>
      <c r="CP581" s="138" t="str">
        <f>IF($I581&lt;&gt;"",INDEX('Device Refrigerant Leakage'!$E$2:$E$42,MATCH($M581,'Device Refrigerant Leakage'!$B$2:$B$42,0)),"")</f>
        <v/>
      </c>
      <c r="CQ581" s="138" t="str">
        <f>IF($I581&lt;&gt;"",INDEX('Device Refrigerant Leakage'!$F$2:$F$42,MATCH($M581,'Device Refrigerant Leakage'!$B$2:$B$42,0)),"")</f>
        <v/>
      </c>
      <c r="CR581" s="145" t="str">
        <f>IF($I581&lt;&gt;"",INDEX('Device Refrigerant Leakage'!$G$2:$G$42,MATCH($M581,'Device Refrigerant Leakage'!$B$2:$B$42,0)),"")</f>
        <v/>
      </c>
      <c r="CS581" s="145" t="str">
        <f>IF($I581&lt;&gt;"",INDEX('Device Refrigerant Leakage'!$D$2:$D$42,MATCH($M581,'Device Refrigerant Leakage'!$B$2:$B$42,0))*CP581/2204.62*CO581,"")</f>
        <v/>
      </c>
      <c r="CT581" s="145" t="str">
        <f>IF($I581&lt;&gt;"",J581*(INDEX('Device Refrigerant Leakage'!$D$2:$D$42,MATCH($M581,'Device Refrigerant Leakage'!$B$2:$B$42,0))-(INDEX('Device Refrigerant Leakage'!$D$2:$D$42,MATCH($M581,'Device Refrigerant Leakage'!$B$2:$B$42,0)))*CR581*CP581)*CQ581/2204.62*CO581,"")</f>
        <v/>
      </c>
      <c r="CU581" s="135" t="str">
        <f>IF($I581&lt;&gt;"",J581*IF(W581&lt;&gt;"AR",(CS581*K581)+CT581,(CS581*AB581)+CT581*(AB581/INDEX('Device Refrigerant Leakage'!$C$2:$C$42,MATCH($M581,'Device Refrigerant Leakage'!$B$2:$B$42,0)))),"")</f>
        <v/>
      </c>
      <c r="CW581" s="135" t="str">
        <f>IF($I581&lt;&gt;"",IF(S581="User Specified",V581,INDEX('Refrigerant GWPs'!$G$2:$G$156,MATCH(S581,'Refrigerant GWPs'!$A$2:$A$157,0))),"")</f>
        <v/>
      </c>
      <c r="CX581" s="138" t="str">
        <f>IF($I581&lt;&gt;"",INDEX('Device Refrigerant Leakage'!$E$2:$E$42,MATCH($Q581,'Device Refrigerant Leakage'!$B$2:$B$42,0)),"")</f>
        <v/>
      </c>
      <c r="CY581" s="138" t="str">
        <f>IF($I581&lt;&gt;"",INDEX('Device Refrigerant Leakage'!$F$2:$F$42,MATCH($Q581,'Device Refrigerant Leakage'!$B$2:$B$42,0)),"")</f>
        <v/>
      </c>
      <c r="CZ581" s="145" t="str">
        <f>IF($I581&lt;&gt;"",INDEX('Device Refrigerant Leakage'!$G$2:$G$42,MATCH($Q581,'Device Refrigerant Leakage'!$B$2:$B$42,0)),"")</f>
        <v/>
      </c>
      <c r="DA581" s="145" t="str">
        <f>IF($I581&lt;&gt;"",J581*INDEX('Device Refrigerant Leakage'!$D$2:$D$42,MATCH($Q581,'Device Refrigerant Leakage'!$B$2:$B$42,0))*CX581/2204.62*CW581,"")</f>
        <v/>
      </c>
      <c r="DB581" s="145" t="str">
        <f>IF($I581&lt;&gt;"",J581*(INDEX('Device Refrigerant Leakage'!$D$2:$D$42,MATCH($Q581,'Device Refrigerant Leakage'!$B$2:$B$42,0))-(INDEX('Device Refrigerant Leakage'!$D$2:$D$42,MATCH($Q581,'Device Refrigerant Leakage'!$B$2:$B$42,0)))*CZ581*CX581)*CY581/2204.62*CW581,"")</f>
        <v/>
      </c>
      <c r="DC581" s="135" t="str">
        <f t="shared" si="688"/>
        <v/>
      </c>
      <c r="DE581" s="146" t="str">
        <f>IF(W581&lt;&gt;"AR","",IF(Y581="User Specified", AA581, INDEX('Refrigerant GWPs'!$G$2:$G$154,MATCH(Y581,'Refrigerant GWPs'!$A$2:$A$154,0))))</f>
        <v/>
      </c>
      <c r="DF581" s="146" t="str">
        <f>IF(W581&lt;&gt;"AR","",INDEX('Device Refrigerant Leakage'!$E$2:$E$42,MATCH(X581,'Device Refrigerant Leakage'!$B$2:$B$42,0)))</f>
        <v/>
      </c>
      <c r="DG581" s="146" t="str">
        <f>IF(W581&lt;&gt;"AR","",INDEX('Device Refrigerant Leakage'!$F$2:$F$42,MATCH(X581,'Device Refrigerant Leakage'!$B$2:$B$42,0)))</f>
        <v/>
      </c>
      <c r="DH581" s="146" t="str">
        <f>IF(W581&lt;&gt;"AR","",INDEX('Device Refrigerant Leakage'!$G$2:$G$42,MATCH(X581,'Device Refrigerant Leakage'!$B$2:$B$42,0)))</f>
        <v/>
      </c>
      <c r="DI581" s="146" t="str">
        <f>IF(W581&lt;&gt;"AR","",J581*INDEX('Device Refrigerant Leakage'!$D$2:$D$42,MATCH(X581,'Device Refrigerant Leakage'!$B$2:$B$42,0))*DF581/2204.62*DE581)</f>
        <v/>
      </c>
      <c r="DJ581" s="146" t="str">
        <f>IF(W581&lt;&gt;"AR","",J581*(INDEX('Device Refrigerant Leakage'!$D$2:$D$42,MATCH(X581,'Device Refrigerant Leakage'!$B$2:$B$42,0))-(INDEX('Device Refrigerant Leakage'!$D$2:$D$42,MATCH(X581,'Device Refrigerant Leakage'!$B$2:$B$42,0)))*DH581*DF581)*DG581/2204.62*DE581)</f>
        <v/>
      </c>
      <c r="DK581" s="146" t="str">
        <f>IF(W581&lt;&gt;"AR","",DI581*(K581-AB581)+'Fuel Sub Calcs-Deemed'!DJ581*((K581-AB581)/INDEX('Device Refrigerant Leakage'!$C$2:$C$42,MATCH('Fuel Sub Calcs-Deemed'!X581,'Device Refrigerant Leakage'!$B$2:$B$42,0))))</f>
        <v/>
      </c>
      <c r="DM581" s="56">
        <v>567</v>
      </c>
      <c r="DN581" s="67" t="e">
        <f t="shared" si="670"/>
        <v>#N/A</v>
      </c>
      <c r="DO581" s="45" t="e">
        <f t="shared" si="671"/>
        <v>#N/A</v>
      </c>
      <c r="DP581" s="67" t="e">
        <f t="shared" si="672"/>
        <v>#N/A</v>
      </c>
      <c r="DQ581" s="45" t="e">
        <f t="shared" si="673"/>
        <v>#N/A</v>
      </c>
      <c r="DR581" s="69" t="e">
        <f t="shared" si="674"/>
        <v>#N/A</v>
      </c>
      <c r="DS581" s="34"/>
      <c r="DT581" s="67" t="e">
        <f>((BX581*CJ581)+IF($W581=MAT_AR,(BZ581*CL581),0))*(1+Reference!$E$50+Reference!$E$51)</f>
        <v>#N/A</v>
      </c>
      <c r="DU581" s="67">
        <f>((BY581*CK581)+IF($W581=MAT_AR,(CA581*CM581),0))*(1+Reference!$G$50+Reference!$G$51)</f>
        <v>0</v>
      </c>
      <c r="DV581" s="67" t="e">
        <f t="shared" si="675"/>
        <v>#VALUE!</v>
      </c>
      <c r="DX581" s="56">
        <v>567</v>
      </c>
      <c r="DY581" s="67">
        <f t="shared" si="676"/>
        <v>0</v>
      </c>
      <c r="DZ581" s="45" t="e">
        <f>VLOOKUP($R581,Dropdown!$C$3:$D$4,2,FALSE)</f>
        <v>#N/A</v>
      </c>
      <c r="EA581" s="68">
        <f t="shared" si="677"/>
        <v>0</v>
      </c>
      <c r="EB581" s="68" t="str">
        <f t="shared" si="678"/>
        <v>N/A</v>
      </c>
      <c r="EC581" s="68">
        <f t="shared" si="679"/>
        <v>0</v>
      </c>
      <c r="ED581" s="68" t="str">
        <f t="shared" si="717"/>
        <v>N/A</v>
      </c>
      <c r="EF581" s="56">
        <v>567</v>
      </c>
      <c r="EG581" s="46">
        <f t="shared" si="680"/>
        <v>0</v>
      </c>
      <c r="EH581" s="68" t="e">
        <f t="shared" si="681"/>
        <v>#N/A</v>
      </c>
      <c r="EI581" s="68" t="e">
        <f t="shared" si="682"/>
        <v>#N/A</v>
      </c>
      <c r="EJ581" s="68" t="e">
        <f t="shared" si="683"/>
        <v>#N/A</v>
      </c>
      <c r="EK581" s="68" t="e">
        <f t="shared" si="684"/>
        <v>#N/A</v>
      </c>
      <c r="EL581" s="46">
        <f t="shared" si="685"/>
        <v>0</v>
      </c>
      <c r="EM581" s="46">
        <f t="shared" si="686"/>
        <v>0</v>
      </c>
    </row>
    <row r="582" spans="1:143">
      <c r="A582" s="89"/>
      <c r="B582" s="89"/>
      <c r="C582" s="89"/>
      <c r="D582" s="89"/>
      <c r="E582" s="89"/>
      <c r="F582" s="89"/>
      <c r="G582" s="34"/>
      <c r="H582" s="56">
        <f t="shared" si="687"/>
        <v>568</v>
      </c>
      <c r="I582" s="165"/>
      <c r="J582" s="163"/>
      <c r="K582" s="163"/>
      <c r="L582" s="164"/>
      <c r="M582" s="155"/>
      <c r="N582" s="155"/>
      <c r="O582" s="144"/>
      <c r="P582" s="159" t="str">
        <f>IFERROR(IF(O582&lt;&gt;"User Specified",IF(O582&lt;&gt;"", INDEX('Refrigerant GWPs'!$G$2:$G$154,MATCH(O582,'Refrigerant GWPs'!$A$2:$A$154,0)),""),U582),0)</f>
        <v/>
      </c>
      <c r="Q582" s="155"/>
      <c r="R582" s="155"/>
      <c r="S582" s="144"/>
      <c r="T582" s="159" t="str">
        <f>IF(S582&lt;&gt;"User Specified",IF(AND(S582&lt;&gt;"User Specified",S582&lt;&gt;""), INDEX('Refrigerant GWPs'!$G$2:$G$154,MATCH(S582,'Refrigerant GWPs'!$A$2:$A$154,0)),""),V582)</f>
        <v/>
      </c>
      <c r="U582" s="144"/>
      <c r="V582" s="144"/>
      <c r="W582" s="155"/>
      <c r="X582" s="155"/>
      <c r="Y582" s="144"/>
      <c r="Z582" s="159" t="str">
        <f>IF(AND(Y582&lt;&gt;"User Specified",Y582&lt;&gt;""), INDEX('Refrigerant GWPs'!$G$2:$G$154,MATCH(Y582,'Refrigerant GWPs'!$A$2:$A$154,0)),"")</f>
        <v/>
      </c>
      <c r="AA582" s="155"/>
      <c r="AB582" s="156"/>
      <c r="AC582" s="66"/>
      <c r="AD582" s="66"/>
      <c r="AE582" s="66"/>
      <c r="AF582" s="66"/>
      <c r="AG582" s="66"/>
      <c r="AH582" s="66"/>
      <c r="AI582" s="34"/>
      <c r="AJ582" s="88">
        <f t="shared" si="650"/>
        <v>0</v>
      </c>
      <c r="AK582" s="88">
        <f t="shared" si="651"/>
        <v>0</v>
      </c>
      <c r="AL582" s="88">
        <v>0</v>
      </c>
      <c r="AM582" s="88">
        <v>0</v>
      </c>
      <c r="AN582" s="81" t="str">
        <f t="shared" si="689"/>
        <v/>
      </c>
      <c r="AO582" s="88">
        <f t="shared" si="652"/>
        <v>0</v>
      </c>
      <c r="AP582" s="88">
        <f t="shared" si="653"/>
        <v>0</v>
      </c>
      <c r="AQ582" s="81" t="str">
        <f t="shared" si="654"/>
        <v/>
      </c>
      <c r="AS582" s="41" t="b">
        <f t="shared" si="655"/>
        <v>1</v>
      </c>
      <c r="AT582" s="38">
        <f t="shared" si="656"/>
        <v>0</v>
      </c>
      <c r="AU582" s="60">
        <f t="shared" si="657"/>
        <v>0</v>
      </c>
      <c r="AV582" s="41">
        <f t="shared" si="658"/>
        <v>0</v>
      </c>
      <c r="AW582" s="41" t="b">
        <f t="shared" si="659"/>
        <v>0</v>
      </c>
      <c r="AX582" t="str">
        <f t="shared" si="660"/>
        <v>+00</v>
      </c>
      <c r="AY582" t="str">
        <f t="shared" si="661"/>
        <v>+00</v>
      </c>
      <c r="BA582" s="47" t="b">
        <f t="shared" si="690"/>
        <v>1</v>
      </c>
      <c r="BB582" s="42" t="b">
        <f t="shared" si="691"/>
        <v>1</v>
      </c>
      <c r="BC582" s="42" t="b">
        <f t="shared" si="692"/>
        <v>0</v>
      </c>
      <c r="BD582" s="42" t="b">
        <f t="shared" si="693"/>
        <v>0</v>
      </c>
      <c r="BE582" s="70">
        <f t="shared" si="694"/>
        <v>0</v>
      </c>
      <c r="BF582" s="70">
        <f t="shared" si="695"/>
        <v>0</v>
      </c>
      <c r="BG582" s="34"/>
      <c r="BI582" s="47" t="b">
        <f t="shared" si="696"/>
        <v>1</v>
      </c>
      <c r="BJ582" s="47" t="b">
        <f t="shared" si="697"/>
        <v>1</v>
      </c>
      <c r="BK582" s="42" t="b">
        <f t="shared" si="698"/>
        <v>0</v>
      </c>
      <c r="BL582" s="42" t="b">
        <f t="shared" si="699"/>
        <v>0</v>
      </c>
      <c r="BM582" s="42">
        <f t="shared" si="700"/>
        <v>0</v>
      </c>
      <c r="BN582" s="42">
        <f t="shared" si="701"/>
        <v>0</v>
      </c>
      <c r="BP582" t="e">
        <f t="shared" si="702"/>
        <v>#N/A</v>
      </c>
      <c r="BQ582" t="e">
        <f t="shared" si="703"/>
        <v>#N/A</v>
      </c>
      <c r="BR582" t="e">
        <f t="shared" si="704"/>
        <v>#N/A</v>
      </c>
      <c r="BT582" s="60">
        <f t="shared" si="705"/>
        <v>0</v>
      </c>
      <c r="BU582" s="60">
        <f t="shared" si="706"/>
        <v>0</v>
      </c>
      <c r="BV582" s="60">
        <f t="shared" si="707"/>
        <v>0</v>
      </c>
      <c r="BW582" s="60">
        <f t="shared" si="708"/>
        <v>0</v>
      </c>
      <c r="BX582" s="60">
        <f t="shared" si="709"/>
        <v>0</v>
      </c>
      <c r="BY582" s="60">
        <f t="shared" si="710"/>
        <v>0</v>
      </c>
      <c r="BZ582" s="60">
        <f t="shared" si="711"/>
        <v>0</v>
      </c>
      <c r="CA582" s="60">
        <f t="shared" si="712"/>
        <v>0</v>
      </c>
      <c r="CB582" s="60" t="e">
        <f t="shared" si="662"/>
        <v>#N/A</v>
      </c>
      <c r="CC582" s="60">
        <f t="shared" si="663"/>
        <v>100000</v>
      </c>
      <c r="CD582" s="60" t="e">
        <f t="shared" si="664"/>
        <v>#N/A</v>
      </c>
      <c r="CE582" s="60">
        <f t="shared" si="665"/>
        <v>100000</v>
      </c>
      <c r="CF582" s="83" t="e">
        <f t="shared" si="713"/>
        <v>#N/A</v>
      </c>
      <c r="CG582" s="83">
        <f t="shared" si="714"/>
        <v>0</v>
      </c>
      <c r="CH582" s="83" t="e">
        <f t="shared" si="715"/>
        <v>#N/A</v>
      </c>
      <c r="CI582" s="83">
        <f t="shared" si="716"/>
        <v>0</v>
      </c>
      <c r="CJ582" s="86" t="e">
        <f t="shared" si="666"/>
        <v>#N/A</v>
      </c>
      <c r="CK582" s="82">
        <f t="shared" si="667"/>
        <v>5.3070370403969858E-3</v>
      </c>
      <c r="CL582" s="82" t="e">
        <f t="shared" si="668"/>
        <v>#N/A</v>
      </c>
      <c r="CM582" s="82">
        <f t="shared" si="669"/>
        <v>5.3070370403969858E-3</v>
      </c>
      <c r="CO582" s="149" t="str">
        <f>IF($I582&lt;&gt;"",IF(O582="User Specified",U582,INDEX('Refrigerant GWPs'!$G$2:$G$156,MATCH(O582,'Refrigerant GWPs'!$A$2:$A$156,0))),"")</f>
        <v/>
      </c>
      <c r="CP582" s="138" t="str">
        <f>IF($I582&lt;&gt;"",INDEX('Device Refrigerant Leakage'!$E$2:$E$42,MATCH($M582,'Device Refrigerant Leakage'!$B$2:$B$42,0)),"")</f>
        <v/>
      </c>
      <c r="CQ582" s="138" t="str">
        <f>IF($I582&lt;&gt;"",INDEX('Device Refrigerant Leakage'!$F$2:$F$42,MATCH($M582,'Device Refrigerant Leakage'!$B$2:$B$42,0)),"")</f>
        <v/>
      </c>
      <c r="CR582" s="145" t="str">
        <f>IF($I582&lt;&gt;"",INDEX('Device Refrigerant Leakage'!$G$2:$G$42,MATCH($M582,'Device Refrigerant Leakage'!$B$2:$B$42,0)),"")</f>
        <v/>
      </c>
      <c r="CS582" s="145" t="str">
        <f>IF($I582&lt;&gt;"",INDEX('Device Refrigerant Leakage'!$D$2:$D$42,MATCH($M582,'Device Refrigerant Leakage'!$B$2:$B$42,0))*CP582/2204.62*CO582,"")</f>
        <v/>
      </c>
      <c r="CT582" s="145" t="str">
        <f>IF($I582&lt;&gt;"",J582*(INDEX('Device Refrigerant Leakage'!$D$2:$D$42,MATCH($M582,'Device Refrigerant Leakage'!$B$2:$B$42,0))-(INDEX('Device Refrigerant Leakage'!$D$2:$D$42,MATCH($M582,'Device Refrigerant Leakage'!$B$2:$B$42,0)))*CR582*CP582)*CQ582/2204.62*CO582,"")</f>
        <v/>
      </c>
      <c r="CU582" s="135" t="str">
        <f>IF($I582&lt;&gt;"",J582*IF(W582&lt;&gt;"AR",(CS582*K582)+CT582,(CS582*AB582)+CT582*(AB582/INDEX('Device Refrigerant Leakage'!$C$2:$C$42,MATCH($M582,'Device Refrigerant Leakage'!$B$2:$B$42,0)))),"")</f>
        <v/>
      </c>
      <c r="CW582" s="135" t="str">
        <f>IF($I582&lt;&gt;"",IF(S582="User Specified",V582,INDEX('Refrigerant GWPs'!$G$2:$G$156,MATCH(S582,'Refrigerant GWPs'!$A$2:$A$157,0))),"")</f>
        <v/>
      </c>
      <c r="CX582" s="138" t="str">
        <f>IF($I582&lt;&gt;"",INDEX('Device Refrigerant Leakage'!$E$2:$E$42,MATCH($Q582,'Device Refrigerant Leakage'!$B$2:$B$42,0)),"")</f>
        <v/>
      </c>
      <c r="CY582" s="138" t="str">
        <f>IF($I582&lt;&gt;"",INDEX('Device Refrigerant Leakage'!$F$2:$F$42,MATCH($Q582,'Device Refrigerant Leakage'!$B$2:$B$42,0)),"")</f>
        <v/>
      </c>
      <c r="CZ582" s="145" t="str">
        <f>IF($I582&lt;&gt;"",INDEX('Device Refrigerant Leakage'!$G$2:$G$42,MATCH($Q582,'Device Refrigerant Leakage'!$B$2:$B$42,0)),"")</f>
        <v/>
      </c>
      <c r="DA582" s="145" t="str">
        <f>IF($I582&lt;&gt;"",J582*INDEX('Device Refrigerant Leakage'!$D$2:$D$42,MATCH($Q582,'Device Refrigerant Leakage'!$B$2:$B$42,0))*CX582/2204.62*CW582,"")</f>
        <v/>
      </c>
      <c r="DB582" s="145" t="str">
        <f>IF($I582&lt;&gt;"",J582*(INDEX('Device Refrigerant Leakage'!$D$2:$D$42,MATCH($Q582,'Device Refrigerant Leakage'!$B$2:$B$42,0))-(INDEX('Device Refrigerant Leakage'!$D$2:$D$42,MATCH($Q582,'Device Refrigerant Leakage'!$B$2:$B$42,0)))*CZ582*CX582)*CY582/2204.62*CW582,"")</f>
        <v/>
      </c>
      <c r="DC582" s="135" t="str">
        <f t="shared" si="688"/>
        <v/>
      </c>
      <c r="DE582" s="146" t="str">
        <f>IF(W582&lt;&gt;"AR","",IF(Y582="User Specified", AA582, INDEX('Refrigerant GWPs'!$G$2:$G$154,MATCH(Y582,'Refrigerant GWPs'!$A$2:$A$154,0))))</f>
        <v/>
      </c>
      <c r="DF582" s="146" t="str">
        <f>IF(W582&lt;&gt;"AR","",INDEX('Device Refrigerant Leakage'!$E$2:$E$42,MATCH(X582,'Device Refrigerant Leakage'!$B$2:$B$42,0)))</f>
        <v/>
      </c>
      <c r="DG582" s="146" t="str">
        <f>IF(W582&lt;&gt;"AR","",INDEX('Device Refrigerant Leakage'!$F$2:$F$42,MATCH(X582,'Device Refrigerant Leakage'!$B$2:$B$42,0)))</f>
        <v/>
      </c>
      <c r="DH582" s="146" t="str">
        <f>IF(W582&lt;&gt;"AR","",INDEX('Device Refrigerant Leakage'!$G$2:$G$42,MATCH(X582,'Device Refrigerant Leakage'!$B$2:$B$42,0)))</f>
        <v/>
      </c>
      <c r="DI582" s="146" t="str">
        <f>IF(W582&lt;&gt;"AR","",J582*INDEX('Device Refrigerant Leakage'!$D$2:$D$42,MATCH(X582,'Device Refrigerant Leakage'!$B$2:$B$42,0))*DF582/2204.62*DE582)</f>
        <v/>
      </c>
      <c r="DJ582" s="146" t="str">
        <f>IF(W582&lt;&gt;"AR","",J582*(INDEX('Device Refrigerant Leakage'!$D$2:$D$42,MATCH(X582,'Device Refrigerant Leakage'!$B$2:$B$42,0))-(INDEX('Device Refrigerant Leakage'!$D$2:$D$42,MATCH(X582,'Device Refrigerant Leakage'!$B$2:$B$42,0)))*DH582*DF582)*DG582/2204.62*DE582)</f>
        <v/>
      </c>
      <c r="DK582" s="146" t="str">
        <f>IF(W582&lt;&gt;"AR","",DI582*(K582-AB582)+'Fuel Sub Calcs-Deemed'!DJ582*((K582-AB582)/INDEX('Device Refrigerant Leakage'!$C$2:$C$42,MATCH('Fuel Sub Calcs-Deemed'!X582,'Device Refrigerant Leakage'!$B$2:$B$42,0))))</f>
        <v/>
      </c>
      <c r="DM582" s="56">
        <v>568</v>
      </c>
      <c r="DN582" s="67" t="e">
        <f t="shared" si="670"/>
        <v>#N/A</v>
      </c>
      <c r="DO582" s="45" t="e">
        <f t="shared" si="671"/>
        <v>#N/A</v>
      </c>
      <c r="DP582" s="67" t="e">
        <f t="shared" si="672"/>
        <v>#N/A</v>
      </c>
      <c r="DQ582" s="45" t="e">
        <f t="shared" si="673"/>
        <v>#N/A</v>
      </c>
      <c r="DR582" s="69" t="e">
        <f t="shared" si="674"/>
        <v>#N/A</v>
      </c>
      <c r="DS582" s="34"/>
      <c r="DT582" s="67" t="e">
        <f>((BX582*CJ582)+IF($W582=MAT_AR,(BZ582*CL582),0))*(1+Reference!$E$50+Reference!$E$51)</f>
        <v>#N/A</v>
      </c>
      <c r="DU582" s="67">
        <f>((BY582*CK582)+IF($W582=MAT_AR,(CA582*CM582),0))*(1+Reference!$G$50+Reference!$G$51)</f>
        <v>0</v>
      </c>
      <c r="DV582" s="67" t="e">
        <f t="shared" si="675"/>
        <v>#VALUE!</v>
      </c>
      <c r="DX582" s="56">
        <v>568</v>
      </c>
      <c r="DY582" s="67">
        <f t="shared" si="676"/>
        <v>0</v>
      </c>
      <c r="DZ582" s="45" t="e">
        <f>VLOOKUP($R582,Dropdown!$C$3:$D$4,2,FALSE)</f>
        <v>#N/A</v>
      </c>
      <c r="EA582" s="68">
        <f t="shared" si="677"/>
        <v>0</v>
      </c>
      <c r="EB582" s="68" t="str">
        <f t="shared" si="678"/>
        <v>N/A</v>
      </c>
      <c r="EC582" s="68">
        <f t="shared" si="679"/>
        <v>0</v>
      </c>
      <c r="ED582" s="68" t="str">
        <f t="shared" si="717"/>
        <v>N/A</v>
      </c>
      <c r="EF582" s="56">
        <v>568</v>
      </c>
      <c r="EG582" s="46">
        <f t="shared" si="680"/>
        <v>0</v>
      </c>
      <c r="EH582" s="68" t="e">
        <f t="shared" si="681"/>
        <v>#N/A</v>
      </c>
      <c r="EI582" s="68" t="e">
        <f t="shared" si="682"/>
        <v>#N/A</v>
      </c>
      <c r="EJ582" s="68" t="e">
        <f t="shared" si="683"/>
        <v>#N/A</v>
      </c>
      <c r="EK582" s="68" t="e">
        <f t="shared" si="684"/>
        <v>#N/A</v>
      </c>
      <c r="EL582" s="46">
        <f t="shared" si="685"/>
        <v>0</v>
      </c>
      <c r="EM582" s="46">
        <f t="shared" si="686"/>
        <v>0</v>
      </c>
    </row>
    <row r="583" spans="1:143">
      <c r="A583" s="89"/>
      <c r="B583" s="89"/>
      <c r="C583" s="89"/>
      <c r="D583" s="89"/>
      <c r="E583" s="89"/>
      <c r="F583" s="89"/>
      <c r="G583" s="34"/>
      <c r="H583" s="56">
        <f t="shared" si="687"/>
        <v>569</v>
      </c>
      <c r="I583" s="165"/>
      <c r="J583" s="163"/>
      <c r="K583" s="163"/>
      <c r="L583" s="164"/>
      <c r="M583" s="155"/>
      <c r="N583" s="155"/>
      <c r="O583" s="144"/>
      <c r="P583" s="159" t="str">
        <f>IFERROR(IF(O583&lt;&gt;"User Specified",IF(O583&lt;&gt;"", INDEX('Refrigerant GWPs'!$G$2:$G$154,MATCH(O583,'Refrigerant GWPs'!$A$2:$A$154,0)),""),U583),0)</f>
        <v/>
      </c>
      <c r="Q583" s="155"/>
      <c r="R583" s="155"/>
      <c r="S583" s="144"/>
      <c r="T583" s="159" t="str">
        <f>IF(S583&lt;&gt;"User Specified",IF(AND(S583&lt;&gt;"User Specified",S583&lt;&gt;""), INDEX('Refrigerant GWPs'!$G$2:$G$154,MATCH(S583,'Refrigerant GWPs'!$A$2:$A$154,0)),""),V583)</f>
        <v/>
      </c>
      <c r="U583" s="144"/>
      <c r="V583" s="144"/>
      <c r="W583" s="155"/>
      <c r="X583" s="155"/>
      <c r="Y583" s="144"/>
      <c r="Z583" s="159" t="str">
        <f>IF(AND(Y583&lt;&gt;"User Specified",Y583&lt;&gt;""), INDEX('Refrigerant GWPs'!$G$2:$G$154,MATCH(Y583,'Refrigerant GWPs'!$A$2:$A$154,0)),"")</f>
        <v/>
      </c>
      <c r="AA583" s="155"/>
      <c r="AB583" s="156"/>
      <c r="AC583" s="66"/>
      <c r="AD583" s="66"/>
      <c r="AE583" s="66"/>
      <c r="AF583" s="66"/>
      <c r="AG583" s="66"/>
      <c r="AH583" s="66"/>
      <c r="AI583" s="34"/>
      <c r="AJ583" s="88">
        <f t="shared" si="650"/>
        <v>0</v>
      </c>
      <c r="AK583" s="88">
        <f t="shared" si="651"/>
        <v>0</v>
      </c>
      <c r="AL583" s="88">
        <v>0</v>
      </c>
      <c r="AM583" s="88">
        <v>0</v>
      </c>
      <c r="AN583" s="81" t="str">
        <f t="shared" si="689"/>
        <v/>
      </c>
      <c r="AO583" s="88">
        <f t="shared" si="652"/>
        <v>0</v>
      </c>
      <c r="AP583" s="88">
        <f t="shared" si="653"/>
        <v>0</v>
      </c>
      <c r="AQ583" s="81" t="str">
        <f t="shared" si="654"/>
        <v/>
      </c>
      <c r="AS583" s="41" t="b">
        <f t="shared" si="655"/>
        <v>1</v>
      </c>
      <c r="AT583" s="38">
        <f t="shared" si="656"/>
        <v>0</v>
      </c>
      <c r="AU583" s="60">
        <f t="shared" si="657"/>
        <v>0</v>
      </c>
      <c r="AV583" s="41">
        <f t="shared" si="658"/>
        <v>0</v>
      </c>
      <c r="AW583" s="41" t="b">
        <f t="shared" si="659"/>
        <v>0</v>
      </c>
      <c r="AX583" t="str">
        <f t="shared" si="660"/>
        <v>+00</v>
      </c>
      <c r="AY583" t="str">
        <f t="shared" si="661"/>
        <v>+00</v>
      </c>
      <c r="BA583" s="47" t="b">
        <f t="shared" si="690"/>
        <v>1</v>
      </c>
      <c r="BB583" s="42" t="b">
        <f t="shared" si="691"/>
        <v>1</v>
      </c>
      <c r="BC583" s="42" t="b">
        <f t="shared" si="692"/>
        <v>0</v>
      </c>
      <c r="BD583" s="42" t="b">
        <f t="shared" si="693"/>
        <v>0</v>
      </c>
      <c r="BE583" s="70">
        <f t="shared" si="694"/>
        <v>0</v>
      </c>
      <c r="BF583" s="70">
        <f t="shared" si="695"/>
        <v>0</v>
      </c>
      <c r="BG583" s="34"/>
      <c r="BI583" s="47" t="b">
        <f t="shared" si="696"/>
        <v>1</v>
      </c>
      <c r="BJ583" s="47" t="b">
        <f t="shared" si="697"/>
        <v>1</v>
      </c>
      <c r="BK583" s="42" t="b">
        <f t="shared" si="698"/>
        <v>0</v>
      </c>
      <c r="BL583" s="42" t="b">
        <f t="shared" si="699"/>
        <v>0</v>
      </c>
      <c r="BM583" s="42">
        <f t="shared" si="700"/>
        <v>0</v>
      </c>
      <c r="BN583" s="42">
        <f t="shared" si="701"/>
        <v>0</v>
      </c>
      <c r="BP583" t="e">
        <f t="shared" si="702"/>
        <v>#N/A</v>
      </c>
      <c r="BQ583" t="e">
        <f t="shared" si="703"/>
        <v>#N/A</v>
      </c>
      <c r="BR583" t="e">
        <f t="shared" si="704"/>
        <v>#N/A</v>
      </c>
      <c r="BT583" s="60">
        <f t="shared" si="705"/>
        <v>0</v>
      </c>
      <c r="BU583" s="60">
        <f t="shared" si="706"/>
        <v>0</v>
      </c>
      <c r="BV583" s="60">
        <f t="shared" si="707"/>
        <v>0</v>
      </c>
      <c r="BW583" s="60">
        <f t="shared" si="708"/>
        <v>0</v>
      </c>
      <c r="BX583" s="60">
        <f t="shared" si="709"/>
        <v>0</v>
      </c>
      <c r="BY583" s="60">
        <f t="shared" si="710"/>
        <v>0</v>
      </c>
      <c r="BZ583" s="60">
        <f t="shared" si="711"/>
        <v>0</v>
      </c>
      <c r="CA583" s="60">
        <f t="shared" si="712"/>
        <v>0</v>
      </c>
      <c r="CB583" s="60" t="e">
        <f t="shared" si="662"/>
        <v>#N/A</v>
      </c>
      <c r="CC583" s="60">
        <f t="shared" si="663"/>
        <v>100000</v>
      </c>
      <c r="CD583" s="60" t="e">
        <f t="shared" si="664"/>
        <v>#N/A</v>
      </c>
      <c r="CE583" s="60">
        <f t="shared" si="665"/>
        <v>100000</v>
      </c>
      <c r="CF583" s="83" t="e">
        <f t="shared" si="713"/>
        <v>#N/A</v>
      </c>
      <c r="CG583" s="83">
        <f t="shared" si="714"/>
        <v>0</v>
      </c>
      <c r="CH583" s="83" t="e">
        <f t="shared" si="715"/>
        <v>#N/A</v>
      </c>
      <c r="CI583" s="83">
        <f t="shared" si="716"/>
        <v>0</v>
      </c>
      <c r="CJ583" s="86" t="e">
        <f t="shared" si="666"/>
        <v>#N/A</v>
      </c>
      <c r="CK583" s="82">
        <f t="shared" si="667"/>
        <v>5.3070370403969858E-3</v>
      </c>
      <c r="CL583" s="82" t="e">
        <f t="shared" si="668"/>
        <v>#N/A</v>
      </c>
      <c r="CM583" s="82">
        <f t="shared" si="669"/>
        <v>5.3070370403969858E-3</v>
      </c>
      <c r="CO583" s="149" t="str">
        <f>IF($I583&lt;&gt;"",IF(O583="User Specified",U583,INDEX('Refrigerant GWPs'!$G$2:$G$156,MATCH(O583,'Refrigerant GWPs'!$A$2:$A$156,0))),"")</f>
        <v/>
      </c>
      <c r="CP583" s="138" t="str">
        <f>IF($I583&lt;&gt;"",INDEX('Device Refrigerant Leakage'!$E$2:$E$42,MATCH($M583,'Device Refrigerant Leakage'!$B$2:$B$42,0)),"")</f>
        <v/>
      </c>
      <c r="CQ583" s="138" t="str">
        <f>IF($I583&lt;&gt;"",INDEX('Device Refrigerant Leakage'!$F$2:$F$42,MATCH($M583,'Device Refrigerant Leakage'!$B$2:$B$42,0)),"")</f>
        <v/>
      </c>
      <c r="CR583" s="145" t="str">
        <f>IF($I583&lt;&gt;"",INDEX('Device Refrigerant Leakage'!$G$2:$G$42,MATCH($M583,'Device Refrigerant Leakage'!$B$2:$B$42,0)),"")</f>
        <v/>
      </c>
      <c r="CS583" s="145" t="str">
        <f>IF($I583&lt;&gt;"",INDEX('Device Refrigerant Leakage'!$D$2:$D$42,MATCH($M583,'Device Refrigerant Leakage'!$B$2:$B$42,0))*CP583/2204.62*CO583,"")</f>
        <v/>
      </c>
      <c r="CT583" s="145" t="str">
        <f>IF($I583&lt;&gt;"",J583*(INDEX('Device Refrigerant Leakage'!$D$2:$D$42,MATCH($M583,'Device Refrigerant Leakage'!$B$2:$B$42,0))-(INDEX('Device Refrigerant Leakage'!$D$2:$D$42,MATCH($M583,'Device Refrigerant Leakage'!$B$2:$B$42,0)))*CR583*CP583)*CQ583/2204.62*CO583,"")</f>
        <v/>
      </c>
      <c r="CU583" s="135" t="str">
        <f>IF($I583&lt;&gt;"",J583*IF(W583&lt;&gt;"AR",(CS583*K583)+CT583,(CS583*AB583)+CT583*(AB583/INDEX('Device Refrigerant Leakage'!$C$2:$C$42,MATCH($M583,'Device Refrigerant Leakage'!$B$2:$B$42,0)))),"")</f>
        <v/>
      </c>
      <c r="CW583" s="135" t="str">
        <f>IF($I583&lt;&gt;"",IF(S583="User Specified",V583,INDEX('Refrigerant GWPs'!$G$2:$G$156,MATCH(S583,'Refrigerant GWPs'!$A$2:$A$157,0))),"")</f>
        <v/>
      </c>
      <c r="CX583" s="138" t="str">
        <f>IF($I583&lt;&gt;"",INDEX('Device Refrigerant Leakage'!$E$2:$E$42,MATCH($Q583,'Device Refrigerant Leakage'!$B$2:$B$42,0)),"")</f>
        <v/>
      </c>
      <c r="CY583" s="138" t="str">
        <f>IF($I583&lt;&gt;"",INDEX('Device Refrigerant Leakage'!$F$2:$F$42,MATCH($Q583,'Device Refrigerant Leakage'!$B$2:$B$42,0)),"")</f>
        <v/>
      </c>
      <c r="CZ583" s="145" t="str">
        <f>IF($I583&lt;&gt;"",INDEX('Device Refrigerant Leakage'!$G$2:$G$42,MATCH($Q583,'Device Refrigerant Leakage'!$B$2:$B$42,0)),"")</f>
        <v/>
      </c>
      <c r="DA583" s="145" t="str">
        <f>IF($I583&lt;&gt;"",J583*INDEX('Device Refrigerant Leakage'!$D$2:$D$42,MATCH($Q583,'Device Refrigerant Leakage'!$B$2:$B$42,0))*CX583/2204.62*CW583,"")</f>
        <v/>
      </c>
      <c r="DB583" s="145" t="str">
        <f>IF($I583&lt;&gt;"",J583*(INDEX('Device Refrigerant Leakage'!$D$2:$D$42,MATCH($Q583,'Device Refrigerant Leakage'!$B$2:$B$42,0))-(INDEX('Device Refrigerant Leakage'!$D$2:$D$42,MATCH($Q583,'Device Refrigerant Leakage'!$B$2:$B$42,0)))*CZ583*CX583)*CY583/2204.62*CW583,"")</f>
        <v/>
      </c>
      <c r="DC583" s="135" t="str">
        <f t="shared" si="688"/>
        <v/>
      </c>
      <c r="DE583" s="146" t="str">
        <f>IF(W583&lt;&gt;"AR","",IF(Y583="User Specified", AA583, INDEX('Refrigerant GWPs'!$G$2:$G$154,MATCH(Y583,'Refrigerant GWPs'!$A$2:$A$154,0))))</f>
        <v/>
      </c>
      <c r="DF583" s="146" t="str">
        <f>IF(W583&lt;&gt;"AR","",INDEX('Device Refrigerant Leakage'!$E$2:$E$42,MATCH(X583,'Device Refrigerant Leakage'!$B$2:$B$42,0)))</f>
        <v/>
      </c>
      <c r="DG583" s="146" t="str">
        <f>IF(W583&lt;&gt;"AR","",INDEX('Device Refrigerant Leakage'!$F$2:$F$42,MATCH(X583,'Device Refrigerant Leakage'!$B$2:$B$42,0)))</f>
        <v/>
      </c>
      <c r="DH583" s="146" t="str">
        <f>IF(W583&lt;&gt;"AR","",INDEX('Device Refrigerant Leakage'!$G$2:$G$42,MATCH(X583,'Device Refrigerant Leakage'!$B$2:$B$42,0)))</f>
        <v/>
      </c>
      <c r="DI583" s="146" t="str">
        <f>IF(W583&lt;&gt;"AR","",J583*INDEX('Device Refrigerant Leakage'!$D$2:$D$42,MATCH(X583,'Device Refrigerant Leakage'!$B$2:$B$42,0))*DF583/2204.62*DE583)</f>
        <v/>
      </c>
      <c r="DJ583" s="146" t="str">
        <f>IF(W583&lt;&gt;"AR","",J583*(INDEX('Device Refrigerant Leakage'!$D$2:$D$42,MATCH(X583,'Device Refrigerant Leakage'!$B$2:$B$42,0))-(INDEX('Device Refrigerant Leakage'!$D$2:$D$42,MATCH(X583,'Device Refrigerant Leakage'!$B$2:$B$42,0)))*DH583*DF583)*DG583/2204.62*DE583)</f>
        <v/>
      </c>
      <c r="DK583" s="146" t="str">
        <f>IF(W583&lt;&gt;"AR","",DI583*(K583-AB583)+'Fuel Sub Calcs-Deemed'!DJ583*((K583-AB583)/INDEX('Device Refrigerant Leakage'!$C$2:$C$42,MATCH('Fuel Sub Calcs-Deemed'!X583,'Device Refrigerant Leakage'!$B$2:$B$42,0))))</f>
        <v/>
      </c>
      <c r="DM583" s="56">
        <v>569</v>
      </c>
      <c r="DN583" s="67" t="e">
        <f t="shared" si="670"/>
        <v>#N/A</v>
      </c>
      <c r="DO583" s="45" t="e">
        <f t="shared" si="671"/>
        <v>#N/A</v>
      </c>
      <c r="DP583" s="67" t="e">
        <f t="shared" si="672"/>
        <v>#N/A</v>
      </c>
      <c r="DQ583" s="45" t="e">
        <f t="shared" si="673"/>
        <v>#N/A</v>
      </c>
      <c r="DR583" s="69" t="e">
        <f t="shared" si="674"/>
        <v>#N/A</v>
      </c>
      <c r="DS583" s="34"/>
      <c r="DT583" s="67" t="e">
        <f>((BX583*CJ583)+IF($W583=MAT_AR,(BZ583*CL583),0))*(1+Reference!$E$50+Reference!$E$51)</f>
        <v>#N/A</v>
      </c>
      <c r="DU583" s="67">
        <f>((BY583*CK583)+IF($W583=MAT_AR,(CA583*CM583),0))*(1+Reference!$G$50+Reference!$G$51)</f>
        <v>0</v>
      </c>
      <c r="DV583" s="67" t="e">
        <f t="shared" si="675"/>
        <v>#VALUE!</v>
      </c>
      <c r="DX583" s="56">
        <v>569</v>
      </c>
      <c r="DY583" s="67">
        <f t="shared" si="676"/>
        <v>0</v>
      </c>
      <c r="DZ583" s="45" t="e">
        <f>VLOOKUP($R583,Dropdown!$C$3:$D$4,2,FALSE)</f>
        <v>#N/A</v>
      </c>
      <c r="EA583" s="68">
        <f t="shared" si="677"/>
        <v>0</v>
      </c>
      <c r="EB583" s="68" t="str">
        <f t="shared" si="678"/>
        <v>N/A</v>
      </c>
      <c r="EC583" s="68">
        <f t="shared" si="679"/>
        <v>0</v>
      </c>
      <c r="ED583" s="68" t="str">
        <f t="shared" si="717"/>
        <v>N/A</v>
      </c>
      <c r="EF583" s="56">
        <v>569</v>
      </c>
      <c r="EG583" s="46">
        <f t="shared" si="680"/>
        <v>0</v>
      </c>
      <c r="EH583" s="68" t="e">
        <f t="shared" si="681"/>
        <v>#N/A</v>
      </c>
      <c r="EI583" s="68" t="e">
        <f t="shared" si="682"/>
        <v>#N/A</v>
      </c>
      <c r="EJ583" s="68" t="e">
        <f t="shared" si="683"/>
        <v>#N/A</v>
      </c>
      <c r="EK583" s="68" t="e">
        <f t="shared" si="684"/>
        <v>#N/A</v>
      </c>
      <c r="EL583" s="46">
        <f t="shared" si="685"/>
        <v>0</v>
      </c>
      <c r="EM583" s="46">
        <f t="shared" si="686"/>
        <v>0</v>
      </c>
    </row>
    <row r="584" spans="1:143">
      <c r="A584" s="89"/>
      <c r="B584" s="89"/>
      <c r="C584" s="89"/>
      <c r="D584" s="89"/>
      <c r="E584" s="89"/>
      <c r="F584" s="89"/>
      <c r="G584" s="34"/>
      <c r="H584" s="56">
        <f t="shared" si="687"/>
        <v>570</v>
      </c>
      <c r="I584" s="165"/>
      <c r="J584" s="163"/>
      <c r="K584" s="163"/>
      <c r="L584" s="164"/>
      <c r="M584" s="155"/>
      <c r="N584" s="155"/>
      <c r="O584" s="144"/>
      <c r="P584" s="159" t="str">
        <f>IFERROR(IF(O584&lt;&gt;"User Specified",IF(O584&lt;&gt;"", INDEX('Refrigerant GWPs'!$G$2:$G$154,MATCH(O584,'Refrigerant GWPs'!$A$2:$A$154,0)),""),U584),0)</f>
        <v/>
      </c>
      <c r="Q584" s="155"/>
      <c r="R584" s="155"/>
      <c r="S584" s="144"/>
      <c r="T584" s="159" t="str">
        <f>IF(S584&lt;&gt;"User Specified",IF(AND(S584&lt;&gt;"User Specified",S584&lt;&gt;""), INDEX('Refrigerant GWPs'!$G$2:$G$154,MATCH(S584,'Refrigerant GWPs'!$A$2:$A$154,0)),""),V584)</f>
        <v/>
      </c>
      <c r="U584" s="144"/>
      <c r="V584" s="144"/>
      <c r="W584" s="155"/>
      <c r="X584" s="155"/>
      <c r="Y584" s="144"/>
      <c r="Z584" s="159" t="str">
        <f>IF(AND(Y584&lt;&gt;"User Specified",Y584&lt;&gt;""), INDEX('Refrigerant GWPs'!$G$2:$G$154,MATCH(Y584,'Refrigerant GWPs'!$A$2:$A$154,0)),"")</f>
        <v/>
      </c>
      <c r="AA584" s="155"/>
      <c r="AB584" s="156"/>
      <c r="AC584" s="66"/>
      <c r="AD584" s="66"/>
      <c r="AE584" s="66"/>
      <c r="AF584" s="66"/>
      <c r="AG584" s="66"/>
      <c r="AH584" s="66"/>
      <c r="AI584" s="34"/>
      <c r="AJ584" s="88">
        <f t="shared" si="650"/>
        <v>0</v>
      </c>
      <c r="AK584" s="88">
        <f t="shared" si="651"/>
        <v>0</v>
      </c>
      <c r="AL584" s="88">
        <v>0</v>
      </c>
      <c r="AM584" s="88">
        <v>0</v>
      </c>
      <c r="AN584" s="81" t="str">
        <f t="shared" si="689"/>
        <v/>
      </c>
      <c r="AO584" s="88">
        <f t="shared" si="652"/>
        <v>0</v>
      </c>
      <c r="AP584" s="88">
        <f t="shared" si="653"/>
        <v>0</v>
      </c>
      <c r="AQ584" s="81" t="str">
        <f t="shared" si="654"/>
        <v/>
      </c>
      <c r="AS584" s="41" t="b">
        <f t="shared" si="655"/>
        <v>1</v>
      </c>
      <c r="AT584" s="38">
        <f t="shared" si="656"/>
        <v>0</v>
      </c>
      <c r="AU584" s="60">
        <f t="shared" si="657"/>
        <v>0</v>
      </c>
      <c r="AV584" s="41">
        <f t="shared" si="658"/>
        <v>0</v>
      </c>
      <c r="AW584" s="41" t="b">
        <f t="shared" si="659"/>
        <v>0</v>
      </c>
      <c r="AX584" t="str">
        <f t="shared" si="660"/>
        <v>+00</v>
      </c>
      <c r="AY584" t="str">
        <f t="shared" si="661"/>
        <v>+00</v>
      </c>
      <c r="BA584" s="47" t="b">
        <f t="shared" si="690"/>
        <v>1</v>
      </c>
      <c r="BB584" s="42" t="b">
        <f t="shared" si="691"/>
        <v>1</v>
      </c>
      <c r="BC584" s="42" t="b">
        <f t="shared" si="692"/>
        <v>0</v>
      </c>
      <c r="BD584" s="42" t="b">
        <f t="shared" si="693"/>
        <v>0</v>
      </c>
      <c r="BE584" s="70">
        <f t="shared" si="694"/>
        <v>0</v>
      </c>
      <c r="BF584" s="70">
        <f t="shared" si="695"/>
        <v>0</v>
      </c>
      <c r="BG584" s="34"/>
      <c r="BI584" s="47" t="b">
        <f t="shared" si="696"/>
        <v>1</v>
      </c>
      <c r="BJ584" s="47" t="b">
        <f t="shared" si="697"/>
        <v>1</v>
      </c>
      <c r="BK584" s="42" t="b">
        <f t="shared" si="698"/>
        <v>0</v>
      </c>
      <c r="BL584" s="42" t="b">
        <f t="shared" si="699"/>
        <v>0</v>
      </c>
      <c r="BM584" s="42">
        <f t="shared" si="700"/>
        <v>0</v>
      </c>
      <c r="BN584" s="42">
        <f t="shared" si="701"/>
        <v>0</v>
      </c>
      <c r="BP584" t="e">
        <f t="shared" si="702"/>
        <v>#N/A</v>
      </c>
      <c r="BQ584" t="e">
        <f t="shared" si="703"/>
        <v>#N/A</v>
      </c>
      <c r="BR584" t="e">
        <f t="shared" si="704"/>
        <v>#N/A</v>
      </c>
      <c r="BT584" s="60">
        <f t="shared" si="705"/>
        <v>0</v>
      </c>
      <c r="BU584" s="60">
        <f t="shared" si="706"/>
        <v>0</v>
      </c>
      <c r="BV584" s="60">
        <f t="shared" si="707"/>
        <v>0</v>
      </c>
      <c r="BW584" s="60">
        <f t="shared" si="708"/>
        <v>0</v>
      </c>
      <c r="BX584" s="60">
        <f t="shared" si="709"/>
        <v>0</v>
      </c>
      <c r="BY584" s="60">
        <f t="shared" si="710"/>
        <v>0</v>
      </c>
      <c r="BZ584" s="60">
        <f t="shared" si="711"/>
        <v>0</v>
      </c>
      <c r="CA584" s="60">
        <f t="shared" si="712"/>
        <v>0</v>
      </c>
      <c r="CB584" s="60" t="e">
        <f t="shared" si="662"/>
        <v>#N/A</v>
      </c>
      <c r="CC584" s="60">
        <f t="shared" si="663"/>
        <v>100000</v>
      </c>
      <c r="CD584" s="60" t="e">
        <f t="shared" si="664"/>
        <v>#N/A</v>
      </c>
      <c r="CE584" s="60">
        <f t="shared" si="665"/>
        <v>100000</v>
      </c>
      <c r="CF584" s="83" t="e">
        <f t="shared" si="713"/>
        <v>#N/A</v>
      </c>
      <c r="CG584" s="83">
        <f t="shared" si="714"/>
        <v>0</v>
      </c>
      <c r="CH584" s="83" t="e">
        <f t="shared" si="715"/>
        <v>#N/A</v>
      </c>
      <c r="CI584" s="83">
        <f t="shared" si="716"/>
        <v>0</v>
      </c>
      <c r="CJ584" s="86" t="e">
        <f t="shared" si="666"/>
        <v>#N/A</v>
      </c>
      <c r="CK584" s="82">
        <f t="shared" si="667"/>
        <v>5.3070370403969858E-3</v>
      </c>
      <c r="CL584" s="82" t="e">
        <f t="shared" si="668"/>
        <v>#N/A</v>
      </c>
      <c r="CM584" s="82">
        <f t="shared" si="669"/>
        <v>5.3070370403969858E-3</v>
      </c>
      <c r="CO584" s="149" t="str">
        <f>IF($I584&lt;&gt;"",IF(O584="User Specified",U584,INDEX('Refrigerant GWPs'!$G$2:$G$156,MATCH(O584,'Refrigerant GWPs'!$A$2:$A$156,0))),"")</f>
        <v/>
      </c>
      <c r="CP584" s="138" t="str">
        <f>IF($I584&lt;&gt;"",INDEX('Device Refrigerant Leakage'!$E$2:$E$42,MATCH($M584,'Device Refrigerant Leakage'!$B$2:$B$42,0)),"")</f>
        <v/>
      </c>
      <c r="CQ584" s="138" t="str">
        <f>IF($I584&lt;&gt;"",INDEX('Device Refrigerant Leakage'!$F$2:$F$42,MATCH($M584,'Device Refrigerant Leakage'!$B$2:$B$42,0)),"")</f>
        <v/>
      </c>
      <c r="CR584" s="145" t="str">
        <f>IF($I584&lt;&gt;"",INDEX('Device Refrigerant Leakage'!$G$2:$G$42,MATCH($M584,'Device Refrigerant Leakage'!$B$2:$B$42,0)),"")</f>
        <v/>
      </c>
      <c r="CS584" s="145" t="str">
        <f>IF($I584&lt;&gt;"",INDEX('Device Refrigerant Leakage'!$D$2:$D$42,MATCH($M584,'Device Refrigerant Leakage'!$B$2:$B$42,0))*CP584/2204.62*CO584,"")</f>
        <v/>
      </c>
      <c r="CT584" s="145" t="str">
        <f>IF($I584&lt;&gt;"",J584*(INDEX('Device Refrigerant Leakage'!$D$2:$D$42,MATCH($M584,'Device Refrigerant Leakage'!$B$2:$B$42,0))-(INDEX('Device Refrigerant Leakage'!$D$2:$D$42,MATCH($M584,'Device Refrigerant Leakage'!$B$2:$B$42,0)))*CR584*CP584)*CQ584/2204.62*CO584,"")</f>
        <v/>
      </c>
      <c r="CU584" s="135" t="str">
        <f>IF($I584&lt;&gt;"",J584*IF(W584&lt;&gt;"AR",(CS584*K584)+CT584,(CS584*AB584)+CT584*(AB584/INDEX('Device Refrigerant Leakage'!$C$2:$C$42,MATCH($M584,'Device Refrigerant Leakage'!$B$2:$B$42,0)))),"")</f>
        <v/>
      </c>
      <c r="CW584" s="135" t="str">
        <f>IF($I584&lt;&gt;"",IF(S584="User Specified",V584,INDEX('Refrigerant GWPs'!$G$2:$G$156,MATCH(S584,'Refrigerant GWPs'!$A$2:$A$157,0))),"")</f>
        <v/>
      </c>
      <c r="CX584" s="138" t="str">
        <f>IF($I584&lt;&gt;"",INDEX('Device Refrigerant Leakage'!$E$2:$E$42,MATCH($Q584,'Device Refrigerant Leakage'!$B$2:$B$42,0)),"")</f>
        <v/>
      </c>
      <c r="CY584" s="138" t="str">
        <f>IF($I584&lt;&gt;"",INDEX('Device Refrigerant Leakage'!$F$2:$F$42,MATCH($Q584,'Device Refrigerant Leakage'!$B$2:$B$42,0)),"")</f>
        <v/>
      </c>
      <c r="CZ584" s="145" t="str">
        <f>IF($I584&lt;&gt;"",INDEX('Device Refrigerant Leakage'!$G$2:$G$42,MATCH($Q584,'Device Refrigerant Leakage'!$B$2:$B$42,0)),"")</f>
        <v/>
      </c>
      <c r="DA584" s="145" t="str">
        <f>IF($I584&lt;&gt;"",J584*INDEX('Device Refrigerant Leakage'!$D$2:$D$42,MATCH($Q584,'Device Refrigerant Leakage'!$B$2:$B$42,0))*CX584/2204.62*CW584,"")</f>
        <v/>
      </c>
      <c r="DB584" s="145" t="str">
        <f>IF($I584&lt;&gt;"",J584*(INDEX('Device Refrigerant Leakage'!$D$2:$D$42,MATCH($Q584,'Device Refrigerant Leakage'!$B$2:$B$42,0))-(INDEX('Device Refrigerant Leakage'!$D$2:$D$42,MATCH($Q584,'Device Refrigerant Leakage'!$B$2:$B$42,0)))*CZ584*CX584)*CY584/2204.62*CW584,"")</f>
        <v/>
      </c>
      <c r="DC584" s="135" t="str">
        <f t="shared" si="688"/>
        <v/>
      </c>
      <c r="DE584" s="146" t="str">
        <f>IF(W584&lt;&gt;"AR","",IF(Y584="User Specified", AA584, INDEX('Refrigerant GWPs'!$G$2:$G$154,MATCH(Y584,'Refrigerant GWPs'!$A$2:$A$154,0))))</f>
        <v/>
      </c>
      <c r="DF584" s="146" t="str">
        <f>IF(W584&lt;&gt;"AR","",INDEX('Device Refrigerant Leakage'!$E$2:$E$42,MATCH(X584,'Device Refrigerant Leakage'!$B$2:$B$42,0)))</f>
        <v/>
      </c>
      <c r="DG584" s="146" t="str">
        <f>IF(W584&lt;&gt;"AR","",INDEX('Device Refrigerant Leakage'!$F$2:$F$42,MATCH(X584,'Device Refrigerant Leakage'!$B$2:$B$42,0)))</f>
        <v/>
      </c>
      <c r="DH584" s="146" t="str">
        <f>IF(W584&lt;&gt;"AR","",INDEX('Device Refrigerant Leakage'!$G$2:$G$42,MATCH(X584,'Device Refrigerant Leakage'!$B$2:$B$42,0)))</f>
        <v/>
      </c>
      <c r="DI584" s="146" t="str">
        <f>IF(W584&lt;&gt;"AR","",J584*INDEX('Device Refrigerant Leakage'!$D$2:$D$42,MATCH(X584,'Device Refrigerant Leakage'!$B$2:$B$42,0))*DF584/2204.62*DE584)</f>
        <v/>
      </c>
      <c r="DJ584" s="146" t="str">
        <f>IF(W584&lt;&gt;"AR","",J584*(INDEX('Device Refrigerant Leakage'!$D$2:$D$42,MATCH(X584,'Device Refrigerant Leakage'!$B$2:$B$42,0))-(INDEX('Device Refrigerant Leakage'!$D$2:$D$42,MATCH(X584,'Device Refrigerant Leakage'!$B$2:$B$42,0)))*DH584*DF584)*DG584/2204.62*DE584)</f>
        <v/>
      </c>
      <c r="DK584" s="146" t="str">
        <f>IF(W584&lt;&gt;"AR","",DI584*(K584-AB584)+'Fuel Sub Calcs-Deemed'!DJ584*((K584-AB584)/INDEX('Device Refrigerant Leakage'!$C$2:$C$42,MATCH('Fuel Sub Calcs-Deemed'!X584,'Device Refrigerant Leakage'!$B$2:$B$42,0))))</f>
        <v/>
      </c>
      <c r="DM584" s="56">
        <v>570</v>
      </c>
      <c r="DN584" s="67" t="e">
        <f t="shared" si="670"/>
        <v>#N/A</v>
      </c>
      <c r="DO584" s="45" t="e">
        <f t="shared" si="671"/>
        <v>#N/A</v>
      </c>
      <c r="DP584" s="67" t="e">
        <f t="shared" si="672"/>
        <v>#N/A</v>
      </c>
      <c r="DQ584" s="45" t="e">
        <f t="shared" si="673"/>
        <v>#N/A</v>
      </c>
      <c r="DR584" s="69" t="e">
        <f t="shared" si="674"/>
        <v>#N/A</v>
      </c>
      <c r="DS584" s="34"/>
      <c r="DT584" s="67" t="e">
        <f>((BX584*CJ584)+IF($W584=MAT_AR,(BZ584*CL584),0))*(1+Reference!$E$50+Reference!$E$51)</f>
        <v>#N/A</v>
      </c>
      <c r="DU584" s="67">
        <f>((BY584*CK584)+IF($W584=MAT_AR,(CA584*CM584),0))*(1+Reference!$G$50+Reference!$G$51)</f>
        <v>0</v>
      </c>
      <c r="DV584" s="67" t="e">
        <f t="shared" si="675"/>
        <v>#VALUE!</v>
      </c>
      <c r="DX584" s="56">
        <v>570</v>
      </c>
      <c r="DY584" s="67">
        <f t="shared" si="676"/>
        <v>0</v>
      </c>
      <c r="DZ584" s="45" t="e">
        <f>VLOOKUP($R584,Dropdown!$C$3:$D$4,2,FALSE)</f>
        <v>#N/A</v>
      </c>
      <c r="EA584" s="68">
        <f t="shared" si="677"/>
        <v>0</v>
      </c>
      <c r="EB584" s="68" t="str">
        <f t="shared" si="678"/>
        <v>N/A</v>
      </c>
      <c r="EC584" s="68">
        <f t="shared" si="679"/>
        <v>0</v>
      </c>
      <c r="ED584" s="68" t="str">
        <f t="shared" si="717"/>
        <v>N/A</v>
      </c>
      <c r="EF584" s="56">
        <v>570</v>
      </c>
      <c r="EG584" s="46">
        <f t="shared" si="680"/>
        <v>0</v>
      </c>
      <c r="EH584" s="68" t="e">
        <f t="shared" si="681"/>
        <v>#N/A</v>
      </c>
      <c r="EI584" s="68" t="e">
        <f t="shared" si="682"/>
        <v>#N/A</v>
      </c>
      <c r="EJ584" s="68" t="e">
        <f t="shared" si="683"/>
        <v>#N/A</v>
      </c>
      <c r="EK584" s="68" t="e">
        <f t="shared" si="684"/>
        <v>#N/A</v>
      </c>
      <c r="EL584" s="46">
        <f t="shared" si="685"/>
        <v>0</v>
      </c>
      <c r="EM584" s="46">
        <f t="shared" si="686"/>
        <v>0</v>
      </c>
    </row>
    <row r="585" spans="1:143">
      <c r="A585" s="89"/>
      <c r="B585" s="89"/>
      <c r="C585" s="89"/>
      <c r="D585" s="89"/>
      <c r="E585" s="89"/>
      <c r="F585" s="89"/>
      <c r="G585" s="34"/>
      <c r="H585" s="56">
        <f t="shared" si="687"/>
        <v>571</v>
      </c>
      <c r="I585" s="165"/>
      <c r="J585" s="163"/>
      <c r="K585" s="163"/>
      <c r="L585" s="164"/>
      <c r="M585" s="155"/>
      <c r="N585" s="155"/>
      <c r="O585" s="144"/>
      <c r="P585" s="159" t="str">
        <f>IFERROR(IF(O585&lt;&gt;"User Specified",IF(O585&lt;&gt;"", INDEX('Refrigerant GWPs'!$G$2:$G$154,MATCH(O585,'Refrigerant GWPs'!$A$2:$A$154,0)),""),U585),0)</f>
        <v/>
      </c>
      <c r="Q585" s="155"/>
      <c r="R585" s="155"/>
      <c r="S585" s="144"/>
      <c r="T585" s="159" t="str">
        <f>IF(S585&lt;&gt;"User Specified",IF(AND(S585&lt;&gt;"User Specified",S585&lt;&gt;""), INDEX('Refrigerant GWPs'!$G$2:$G$154,MATCH(S585,'Refrigerant GWPs'!$A$2:$A$154,0)),""),V585)</f>
        <v/>
      </c>
      <c r="U585" s="144"/>
      <c r="V585" s="144"/>
      <c r="W585" s="155"/>
      <c r="X585" s="155"/>
      <c r="Y585" s="144"/>
      <c r="Z585" s="159" t="str">
        <f>IF(AND(Y585&lt;&gt;"User Specified",Y585&lt;&gt;""), INDEX('Refrigerant GWPs'!$G$2:$G$154,MATCH(Y585,'Refrigerant GWPs'!$A$2:$A$154,0)),"")</f>
        <v/>
      </c>
      <c r="AA585" s="155"/>
      <c r="AB585" s="156"/>
      <c r="AC585" s="66"/>
      <c r="AD585" s="66"/>
      <c r="AE585" s="66"/>
      <c r="AF585" s="66"/>
      <c r="AG585" s="66"/>
      <c r="AH585" s="66"/>
      <c r="AI585" s="34"/>
      <c r="AJ585" s="88">
        <f t="shared" si="650"/>
        <v>0</v>
      </c>
      <c r="AK585" s="88">
        <f t="shared" si="651"/>
        <v>0</v>
      </c>
      <c r="AL585" s="88">
        <v>0</v>
      </c>
      <c r="AM585" s="88">
        <v>0</v>
      </c>
      <c r="AN585" s="81" t="str">
        <f t="shared" si="689"/>
        <v/>
      </c>
      <c r="AO585" s="88">
        <f t="shared" si="652"/>
        <v>0</v>
      </c>
      <c r="AP585" s="88">
        <f t="shared" si="653"/>
        <v>0</v>
      </c>
      <c r="AQ585" s="81" t="str">
        <f t="shared" si="654"/>
        <v/>
      </c>
      <c r="AS585" s="41" t="b">
        <f t="shared" si="655"/>
        <v>1</v>
      </c>
      <c r="AT585" s="38">
        <f t="shared" si="656"/>
        <v>0</v>
      </c>
      <c r="AU585" s="60">
        <f t="shared" si="657"/>
        <v>0</v>
      </c>
      <c r="AV585" s="41">
        <f t="shared" si="658"/>
        <v>0</v>
      </c>
      <c r="AW585" s="41" t="b">
        <f t="shared" si="659"/>
        <v>0</v>
      </c>
      <c r="AX585" t="str">
        <f t="shared" si="660"/>
        <v>+00</v>
      </c>
      <c r="AY585" t="str">
        <f t="shared" si="661"/>
        <v>+00</v>
      </c>
      <c r="BA585" s="47" t="b">
        <f t="shared" si="690"/>
        <v>1</v>
      </c>
      <c r="BB585" s="42" t="b">
        <f t="shared" si="691"/>
        <v>1</v>
      </c>
      <c r="BC585" s="42" t="b">
        <f t="shared" si="692"/>
        <v>0</v>
      </c>
      <c r="BD585" s="42" t="b">
        <f t="shared" si="693"/>
        <v>0</v>
      </c>
      <c r="BE585" s="70">
        <f t="shared" si="694"/>
        <v>0</v>
      </c>
      <c r="BF585" s="70">
        <f t="shared" si="695"/>
        <v>0</v>
      </c>
      <c r="BG585" s="34"/>
      <c r="BI585" s="47" t="b">
        <f t="shared" si="696"/>
        <v>1</v>
      </c>
      <c r="BJ585" s="47" t="b">
        <f t="shared" si="697"/>
        <v>1</v>
      </c>
      <c r="BK585" s="42" t="b">
        <f t="shared" si="698"/>
        <v>0</v>
      </c>
      <c r="BL585" s="42" t="b">
        <f t="shared" si="699"/>
        <v>0</v>
      </c>
      <c r="BM585" s="42">
        <f t="shared" si="700"/>
        <v>0</v>
      </c>
      <c r="BN585" s="42">
        <f t="shared" si="701"/>
        <v>0</v>
      </c>
      <c r="BP585" t="e">
        <f t="shared" si="702"/>
        <v>#N/A</v>
      </c>
      <c r="BQ585" t="e">
        <f t="shared" si="703"/>
        <v>#N/A</v>
      </c>
      <c r="BR585" t="e">
        <f t="shared" si="704"/>
        <v>#N/A</v>
      </c>
      <c r="BT585" s="60">
        <f t="shared" si="705"/>
        <v>0</v>
      </c>
      <c r="BU585" s="60">
        <f t="shared" si="706"/>
        <v>0</v>
      </c>
      <c r="BV585" s="60">
        <f t="shared" si="707"/>
        <v>0</v>
      </c>
      <c r="BW585" s="60">
        <f t="shared" si="708"/>
        <v>0</v>
      </c>
      <c r="BX585" s="60">
        <f t="shared" si="709"/>
        <v>0</v>
      </c>
      <c r="BY585" s="60">
        <f t="shared" si="710"/>
        <v>0</v>
      </c>
      <c r="BZ585" s="60">
        <f t="shared" si="711"/>
        <v>0</v>
      </c>
      <c r="CA585" s="60">
        <f t="shared" si="712"/>
        <v>0</v>
      </c>
      <c r="CB585" s="60" t="e">
        <f t="shared" si="662"/>
        <v>#N/A</v>
      </c>
      <c r="CC585" s="60">
        <f t="shared" si="663"/>
        <v>100000</v>
      </c>
      <c r="CD585" s="60" t="e">
        <f t="shared" si="664"/>
        <v>#N/A</v>
      </c>
      <c r="CE585" s="60">
        <f t="shared" si="665"/>
        <v>100000</v>
      </c>
      <c r="CF585" s="83" t="e">
        <f t="shared" si="713"/>
        <v>#N/A</v>
      </c>
      <c r="CG585" s="83">
        <f t="shared" si="714"/>
        <v>0</v>
      </c>
      <c r="CH585" s="83" t="e">
        <f t="shared" si="715"/>
        <v>#N/A</v>
      </c>
      <c r="CI585" s="83">
        <f t="shared" si="716"/>
        <v>0</v>
      </c>
      <c r="CJ585" s="86" t="e">
        <f t="shared" si="666"/>
        <v>#N/A</v>
      </c>
      <c r="CK585" s="82">
        <f t="shared" si="667"/>
        <v>5.3070370403969858E-3</v>
      </c>
      <c r="CL585" s="82" t="e">
        <f t="shared" si="668"/>
        <v>#N/A</v>
      </c>
      <c r="CM585" s="82">
        <f t="shared" si="669"/>
        <v>5.3070370403969858E-3</v>
      </c>
      <c r="CO585" s="149" t="str">
        <f>IF($I585&lt;&gt;"",IF(O585="User Specified",U585,INDEX('Refrigerant GWPs'!$G$2:$G$156,MATCH(O585,'Refrigerant GWPs'!$A$2:$A$156,0))),"")</f>
        <v/>
      </c>
      <c r="CP585" s="138" t="str">
        <f>IF($I585&lt;&gt;"",INDEX('Device Refrigerant Leakage'!$E$2:$E$42,MATCH($M585,'Device Refrigerant Leakage'!$B$2:$B$42,0)),"")</f>
        <v/>
      </c>
      <c r="CQ585" s="138" t="str">
        <f>IF($I585&lt;&gt;"",INDEX('Device Refrigerant Leakage'!$F$2:$F$42,MATCH($M585,'Device Refrigerant Leakage'!$B$2:$B$42,0)),"")</f>
        <v/>
      </c>
      <c r="CR585" s="145" t="str">
        <f>IF($I585&lt;&gt;"",INDEX('Device Refrigerant Leakage'!$G$2:$G$42,MATCH($M585,'Device Refrigerant Leakage'!$B$2:$B$42,0)),"")</f>
        <v/>
      </c>
      <c r="CS585" s="145" t="str">
        <f>IF($I585&lt;&gt;"",INDEX('Device Refrigerant Leakage'!$D$2:$D$42,MATCH($M585,'Device Refrigerant Leakage'!$B$2:$B$42,0))*CP585/2204.62*CO585,"")</f>
        <v/>
      </c>
      <c r="CT585" s="145" t="str">
        <f>IF($I585&lt;&gt;"",J585*(INDEX('Device Refrigerant Leakage'!$D$2:$D$42,MATCH($M585,'Device Refrigerant Leakage'!$B$2:$B$42,0))-(INDEX('Device Refrigerant Leakage'!$D$2:$D$42,MATCH($M585,'Device Refrigerant Leakage'!$B$2:$B$42,0)))*CR585*CP585)*CQ585/2204.62*CO585,"")</f>
        <v/>
      </c>
      <c r="CU585" s="135" t="str">
        <f>IF($I585&lt;&gt;"",J585*IF(W585&lt;&gt;"AR",(CS585*K585)+CT585,(CS585*AB585)+CT585*(AB585/INDEX('Device Refrigerant Leakage'!$C$2:$C$42,MATCH($M585,'Device Refrigerant Leakage'!$B$2:$B$42,0)))),"")</f>
        <v/>
      </c>
      <c r="CW585" s="135" t="str">
        <f>IF($I585&lt;&gt;"",IF(S585="User Specified",V585,INDEX('Refrigerant GWPs'!$G$2:$G$156,MATCH(S585,'Refrigerant GWPs'!$A$2:$A$157,0))),"")</f>
        <v/>
      </c>
      <c r="CX585" s="138" t="str">
        <f>IF($I585&lt;&gt;"",INDEX('Device Refrigerant Leakage'!$E$2:$E$42,MATCH($Q585,'Device Refrigerant Leakage'!$B$2:$B$42,0)),"")</f>
        <v/>
      </c>
      <c r="CY585" s="138" t="str">
        <f>IF($I585&lt;&gt;"",INDEX('Device Refrigerant Leakage'!$F$2:$F$42,MATCH($Q585,'Device Refrigerant Leakage'!$B$2:$B$42,0)),"")</f>
        <v/>
      </c>
      <c r="CZ585" s="145" t="str">
        <f>IF($I585&lt;&gt;"",INDEX('Device Refrigerant Leakage'!$G$2:$G$42,MATCH($Q585,'Device Refrigerant Leakage'!$B$2:$B$42,0)),"")</f>
        <v/>
      </c>
      <c r="DA585" s="145" t="str">
        <f>IF($I585&lt;&gt;"",J585*INDEX('Device Refrigerant Leakage'!$D$2:$D$42,MATCH($Q585,'Device Refrigerant Leakage'!$B$2:$B$42,0))*CX585/2204.62*CW585,"")</f>
        <v/>
      </c>
      <c r="DB585" s="145" t="str">
        <f>IF($I585&lt;&gt;"",J585*(INDEX('Device Refrigerant Leakage'!$D$2:$D$42,MATCH($Q585,'Device Refrigerant Leakage'!$B$2:$B$42,0))-(INDEX('Device Refrigerant Leakage'!$D$2:$D$42,MATCH($Q585,'Device Refrigerant Leakage'!$B$2:$B$42,0)))*CZ585*CX585)*CY585/2204.62*CW585,"")</f>
        <v/>
      </c>
      <c r="DC585" s="135" t="str">
        <f t="shared" si="688"/>
        <v/>
      </c>
      <c r="DE585" s="146" t="str">
        <f>IF(W585&lt;&gt;"AR","",IF(Y585="User Specified", AA585, INDEX('Refrigerant GWPs'!$G$2:$G$154,MATCH(Y585,'Refrigerant GWPs'!$A$2:$A$154,0))))</f>
        <v/>
      </c>
      <c r="DF585" s="146" t="str">
        <f>IF(W585&lt;&gt;"AR","",INDEX('Device Refrigerant Leakage'!$E$2:$E$42,MATCH(X585,'Device Refrigerant Leakage'!$B$2:$B$42,0)))</f>
        <v/>
      </c>
      <c r="DG585" s="146" t="str">
        <f>IF(W585&lt;&gt;"AR","",INDEX('Device Refrigerant Leakage'!$F$2:$F$42,MATCH(X585,'Device Refrigerant Leakage'!$B$2:$B$42,0)))</f>
        <v/>
      </c>
      <c r="DH585" s="146" t="str">
        <f>IF(W585&lt;&gt;"AR","",INDEX('Device Refrigerant Leakage'!$G$2:$G$42,MATCH(X585,'Device Refrigerant Leakage'!$B$2:$B$42,0)))</f>
        <v/>
      </c>
      <c r="DI585" s="146" t="str">
        <f>IF(W585&lt;&gt;"AR","",J585*INDEX('Device Refrigerant Leakage'!$D$2:$D$42,MATCH(X585,'Device Refrigerant Leakage'!$B$2:$B$42,0))*DF585/2204.62*DE585)</f>
        <v/>
      </c>
      <c r="DJ585" s="146" t="str">
        <f>IF(W585&lt;&gt;"AR","",J585*(INDEX('Device Refrigerant Leakage'!$D$2:$D$42,MATCH(X585,'Device Refrigerant Leakage'!$B$2:$B$42,0))-(INDEX('Device Refrigerant Leakage'!$D$2:$D$42,MATCH(X585,'Device Refrigerant Leakage'!$B$2:$B$42,0)))*DH585*DF585)*DG585/2204.62*DE585)</f>
        <v/>
      </c>
      <c r="DK585" s="146" t="str">
        <f>IF(W585&lt;&gt;"AR","",DI585*(K585-AB585)+'Fuel Sub Calcs-Deemed'!DJ585*((K585-AB585)/INDEX('Device Refrigerant Leakage'!$C$2:$C$42,MATCH('Fuel Sub Calcs-Deemed'!X585,'Device Refrigerant Leakage'!$B$2:$B$42,0))))</f>
        <v/>
      </c>
      <c r="DM585" s="56">
        <v>571</v>
      </c>
      <c r="DN585" s="67" t="e">
        <f t="shared" si="670"/>
        <v>#N/A</v>
      </c>
      <c r="DO585" s="45" t="e">
        <f t="shared" si="671"/>
        <v>#N/A</v>
      </c>
      <c r="DP585" s="67" t="e">
        <f t="shared" si="672"/>
        <v>#N/A</v>
      </c>
      <c r="DQ585" s="45" t="e">
        <f t="shared" si="673"/>
        <v>#N/A</v>
      </c>
      <c r="DR585" s="69" t="e">
        <f t="shared" si="674"/>
        <v>#N/A</v>
      </c>
      <c r="DS585" s="34"/>
      <c r="DT585" s="67" t="e">
        <f>((BX585*CJ585)+IF($W585=MAT_AR,(BZ585*CL585),0))*(1+Reference!$E$50+Reference!$E$51)</f>
        <v>#N/A</v>
      </c>
      <c r="DU585" s="67">
        <f>((BY585*CK585)+IF($W585=MAT_AR,(CA585*CM585),0))*(1+Reference!$G$50+Reference!$G$51)</f>
        <v>0</v>
      </c>
      <c r="DV585" s="67" t="e">
        <f t="shared" si="675"/>
        <v>#VALUE!</v>
      </c>
      <c r="DX585" s="56">
        <v>571</v>
      </c>
      <c r="DY585" s="67">
        <f t="shared" si="676"/>
        <v>0</v>
      </c>
      <c r="DZ585" s="45" t="e">
        <f>VLOOKUP($R585,Dropdown!$C$3:$D$4,2,FALSE)</f>
        <v>#N/A</v>
      </c>
      <c r="EA585" s="68">
        <f t="shared" si="677"/>
        <v>0</v>
      </c>
      <c r="EB585" s="68" t="str">
        <f t="shared" si="678"/>
        <v>N/A</v>
      </c>
      <c r="EC585" s="68">
        <f t="shared" si="679"/>
        <v>0</v>
      </c>
      <c r="ED585" s="68" t="str">
        <f t="shared" si="717"/>
        <v>N/A</v>
      </c>
      <c r="EF585" s="56">
        <v>571</v>
      </c>
      <c r="EG585" s="46">
        <f t="shared" si="680"/>
        <v>0</v>
      </c>
      <c r="EH585" s="68" t="e">
        <f t="shared" si="681"/>
        <v>#N/A</v>
      </c>
      <c r="EI585" s="68" t="e">
        <f t="shared" si="682"/>
        <v>#N/A</v>
      </c>
      <c r="EJ585" s="68" t="e">
        <f t="shared" si="683"/>
        <v>#N/A</v>
      </c>
      <c r="EK585" s="68" t="e">
        <f t="shared" si="684"/>
        <v>#N/A</v>
      </c>
      <c r="EL585" s="46">
        <f t="shared" si="685"/>
        <v>0</v>
      </c>
      <c r="EM585" s="46">
        <f t="shared" si="686"/>
        <v>0</v>
      </c>
    </row>
    <row r="586" spans="1:143">
      <c r="A586" s="89"/>
      <c r="B586" s="89"/>
      <c r="C586" s="89"/>
      <c r="D586" s="89"/>
      <c r="E586" s="89"/>
      <c r="F586" s="89"/>
      <c r="G586" s="34"/>
      <c r="H586" s="56">
        <f t="shared" si="687"/>
        <v>572</v>
      </c>
      <c r="I586" s="165"/>
      <c r="J586" s="163"/>
      <c r="K586" s="163"/>
      <c r="L586" s="164"/>
      <c r="M586" s="155"/>
      <c r="N586" s="155"/>
      <c r="O586" s="144"/>
      <c r="P586" s="159" t="str">
        <f>IFERROR(IF(O586&lt;&gt;"User Specified",IF(O586&lt;&gt;"", INDEX('Refrigerant GWPs'!$G$2:$G$154,MATCH(O586,'Refrigerant GWPs'!$A$2:$A$154,0)),""),U586),0)</f>
        <v/>
      </c>
      <c r="Q586" s="155"/>
      <c r="R586" s="155"/>
      <c r="S586" s="144"/>
      <c r="T586" s="159" t="str">
        <f>IF(S586&lt;&gt;"User Specified",IF(AND(S586&lt;&gt;"User Specified",S586&lt;&gt;""), INDEX('Refrigerant GWPs'!$G$2:$G$154,MATCH(S586,'Refrigerant GWPs'!$A$2:$A$154,0)),""),V586)</f>
        <v/>
      </c>
      <c r="U586" s="144"/>
      <c r="V586" s="144"/>
      <c r="W586" s="155"/>
      <c r="X586" s="155"/>
      <c r="Y586" s="144"/>
      <c r="Z586" s="159" t="str">
        <f>IF(AND(Y586&lt;&gt;"User Specified",Y586&lt;&gt;""), INDEX('Refrigerant GWPs'!$G$2:$G$154,MATCH(Y586,'Refrigerant GWPs'!$A$2:$A$154,0)),"")</f>
        <v/>
      </c>
      <c r="AA586" s="155"/>
      <c r="AB586" s="156"/>
      <c r="AC586" s="66"/>
      <c r="AD586" s="66"/>
      <c r="AE586" s="66"/>
      <c r="AF586" s="66"/>
      <c r="AG586" s="66"/>
      <c r="AH586" s="66"/>
      <c r="AI586" s="34"/>
      <c r="AJ586" s="88">
        <f t="shared" si="650"/>
        <v>0</v>
      </c>
      <c r="AK586" s="88">
        <f t="shared" si="651"/>
        <v>0</v>
      </c>
      <c r="AL586" s="88">
        <v>0</v>
      </c>
      <c r="AM586" s="88">
        <v>0</v>
      </c>
      <c r="AN586" s="81" t="str">
        <f t="shared" si="689"/>
        <v/>
      </c>
      <c r="AO586" s="88">
        <f t="shared" si="652"/>
        <v>0</v>
      </c>
      <c r="AP586" s="88">
        <f t="shared" si="653"/>
        <v>0</v>
      </c>
      <c r="AQ586" s="81" t="str">
        <f t="shared" si="654"/>
        <v/>
      </c>
      <c r="AS586" s="41" t="b">
        <f t="shared" si="655"/>
        <v>1</v>
      </c>
      <c r="AT586" s="38">
        <f t="shared" si="656"/>
        <v>0</v>
      </c>
      <c r="AU586" s="60">
        <f t="shared" si="657"/>
        <v>0</v>
      </c>
      <c r="AV586" s="41">
        <f t="shared" si="658"/>
        <v>0</v>
      </c>
      <c r="AW586" s="41" t="b">
        <f t="shared" si="659"/>
        <v>0</v>
      </c>
      <c r="AX586" t="str">
        <f t="shared" si="660"/>
        <v>+00</v>
      </c>
      <c r="AY586" t="str">
        <f t="shared" si="661"/>
        <v>+00</v>
      </c>
      <c r="BA586" s="47" t="b">
        <f t="shared" si="690"/>
        <v>1</v>
      </c>
      <c r="BB586" s="42" t="b">
        <f t="shared" si="691"/>
        <v>1</v>
      </c>
      <c r="BC586" s="42" t="b">
        <f t="shared" si="692"/>
        <v>0</v>
      </c>
      <c r="BD586" s="42" t="b">
        <f t="shared" si="693"/>
        <v>0</v>
      </c>
      <c r="BE586" s="70">
        <f t="shared" si="694"/>
        <v>0</v>
      </c>
      <c r="BF586" s="70">
        <f t="shared" si="695"/>
        <v>0</v>
      </c>
      <c r="BG586" s="34"/>
      <c r="BI586" s="47" t="b">
        <f t="shared" si="696"/>
        <v>1</v>
      </c>
      <c r="BJ586" s="47" t="b">
        <f t="shared" si="697"/>
        <v>1</v>
      </c>
      <c r="BK586" s="42" t="b">
        <f t="shared" si="698"/>
        <v>0</v>
      </c>
      <c r="BL586" s="42" t="b">
        <f t="shared" si="699"/>
        <v>0</v>
      </c>
      <c r="BM586" s="42">
        <f t="shared" si="700"/>
        <v>0</v>
      </c>
      <c r="BN586" s="42">
        <f t="shared" si="701"/>
        <v>0</v>
      </c>
      <c r="BP586" t="e">
        <f t="shared" si="702"/>
        <v>#N/A</v>
      </c>
      <c r="BQ586" t="e">
        <f t="shared" si="703"/>
        <v>#N/A</v>
      </c>
      <c r="BR586" t="e">
        <f t="shared" si="704"/>
        <v>#N/A</v>
      </c>
      <c r="BT586" s="60">
        <f t="shared" si="705"/>
        <v>0</v>
      </c>
      <c r="BU586" s="60">
        <f t="shared" si="706"/>
        <v>0</v>
      </c>
      <c r="BV586" s="60">
        <f t="shared" si="707"/>
        <v>0</v>
      </c>
      <c r="BW586" s="60">
        <f t="shared" si="708"/>
        <v>0</v>
      </c>
      <c r="BX586" s="60">
        <f t="shared" si="709"/>
        <v>0</v>
      </c>
      <c r="BY586" s="60">
        <f t="shared" si="710"/>
        <v>0</v>
      </c>
      <c r="BZ586" s="60">
        <f t="shared" si="711"/>
        <v>0</v>
      </c>
      <c r="CA586" s="60">
        <f t="shared" si="712"/>
        <v>0</v>
      </c>
      <c r="CB586" s="60" t="e">
        <f t="shared" si="662"/>
        <v>#N/A</v>
      </c>
      <c r="CC586" s="60">
        <f t="shared" si="663"/>
        <v>100000</v>
      </c>
      <c r="CD586" s="60" t="e">
        <f t="shared" si="664"/>
        <v>#N/A</v>
      </c>
      <c r="CE586" s="60">
        <f t="shared" si="665"/>
        <v>100000</v>
      </c>
      <c r="CF586" s="83" t="e">
        <f t="shared" si="713"/>
        <v>#N/A</v>
      </c>
      <c r="CG586" s="83">
        <f t="shared" si="714"/>
        <v>0</v>
      </c>
      <c r="CH586" s="83" t="e">
        <f t="shared" si="715"/>
        <v>#N/A</v>
      </c>
      <c r="CI586" s="83">
        <f t="shared" si="716"/>
        <v>0</v>
      </c>
      <c r="CJ586" s="86" t="e">
        <f t="shared" si="666"/>
        <v>#N/A</v>
      </c>
      <c r="CK586" s="82">
        <f t="shared" si="667"/>
        <v>5.3070370403969858E-3</v>
      </c>
      <c r="CL586" s="82" t="e">
        <f t="shared" si="668"/>
        <v>#N/A</v>
      </c>
      <c r="CM586" s="82">
        <f t="shared" si="669"/>
        <v>5.3070370403969858E-3</v>
      </c>
      <c r="CO586" s="149" t="str">
        <f>IF($I586&lt;&gt;"",IF(O586="User Specified",U586,INDEX('Refrigerant GWPs'!$G$2:$G$156,MATCH(O586,'Refrigerant GWPs'!$A$2:$A$156,0))),"")</f>
        <v/>
      </c>
      <c r="CP586" s="138" t="str">
        <f>IF($I586&lt;&gt;"",INDEX('Device Refrigerant Leakage'!$E$2:$E$42,MATCH($M586,'Device Refrigerant Leakage'!$B$2:$B$42,0)),"")</f>
        <v/>
      </c>
      <c r="CQ586" s="138" t="str">
        <f>IF($I586&lt;&gt;"",INDEX('Device Refrigerant Leakage'!$F$2:$F$42,MATCH($M586,'Device Refrigerant Leakage'!$B$2:$B$42,0)),"")</f>
        <v/>
      </c>
      <c r="CR586" s="145" t="str">
        <f>IF($I586&lt;&gt;"",INDEX('Device Refrigerant Leakage'!$G$2:$G$42,MATCH($M586,'Device Refrigerant Leakage'!$B$2:$B$42,0)),"")</f>
        <v/>
      </c>
      <c r="CS586" s="145" t="str">
        <f>IF($I586&lt;&gt;"",INDEX('Device Refrigerant Leakage'!$D$2:$D$42,MATCH($M586,'Device Refrigerant Leakage'!$B$2:$B$42,0))*CP586/2204.62*CO586,"")</f>
        <v/>
      </c>
      <c r="CT586" s="145" t="str">
        <f>IF($I586&lt;&gt;"",J586*(INDEX('Device Refrigerant Leakage'!$D$2:$D$42,MATCH($M586,'Device Refrigerant Leakage'!$B$2:$B$42,0))-(INDEX('Device Refrigerant Leakage'!$D$2:$D$42,MATCH($M586,'Device Refrigerant Leakage'!$B$2:$B$42,0)))*CR586*CP586)*CQ586/2204.62*CO586,"")</f>
        <v/>
      </c>
      <c r="CU586" s="135" t="str">
        <f>IF($I586&lt;&gt;"",J586*IF(W586&lt;&gt;"AR",(CS586*K586)+CT586,(CS586*AB586)+CT586*(AB586/INDEX('Device Refrigerant Leakage'!$C$2:$C$42,MATCH($M586,'Device Refrigerant Leakage'!$B$2:$B$42,0)))),"")</f>
        <v/>
      </c>
      <c r="CW586" s="135" t="str">
        <f>IF($I586&lt;&gt;"",IF(S586="User Specified",V586,INDEX('Refrigerant GWPs'!$G$2:$G$156,MATCH(S586,'Refrigerant GWPs'!$A$2:$A$157,0))),"")</f>
        <v/>
      </c>
      <c r="CX586" s="138" t="str">
        <f>IF($I586&lt;&gt;"",INDEX('Device Refrigerant Leakage'!$E$2:$E$42,MATCH($Q586,'Device Refrigerant Leakage'!$B$2:$B$42,0)),"")</f>
        <v/>
      </c>
      <c r="CY586" s="138" t="str">
        <f>IF($I586&lt;&gt;"",INDEX('Device Refrigerant Leakage'!$F$2:$F$42,MATCH($Q586,'Device Refrigerant Leakage'!$B$2:$B$42,0)),"")</f>
        <v/>
      </c>
      <c r="CZ586" s="145" t="str">
        <f>IF($I586&lt;&gt;"",INDEX('Device Refrigerant Leakage'!$G$2:$G$42,MATCH($Q586,'Device Refrigerant Leakage'!$B$2:$B$42,0)),"")</f>
        <v/>
      </c>
      <c r="DA586" s="145" t="str">
        <f>IF($I586&lt;&gt;"",J586*INDEX('Device Refrigerant Leakage'!$D$2:$D$42,MATCH($Q586,'Device Refrigerant Leakage'!$B$2:$B$42,0))*CX586/2204.62*CW586,"")</f>
        <v/>
      </c>
      <c r="DB586" s="145" t="str">
        <f>IF($I586&lt;&gt;"",J586*(INDEX('Device Refrigerant Leakage'!$D$2:$D$42,MATCH($Q586,'Device Refrigerant Leakage'!$B$2:$B$42,0))-(INDEX('Device Refrigerant Leakage'!$D$2:$D$42,MATCH($Q586,'Device Refrigerant Leakage'!$B$2:$B$42,0)))*CZ586*CX586)*CY586/2204.62*CW586,"")</f>
        <v/>
      </c>
      <c r="DC586" s="135" t="str">
        <f t="shared" si="688"/>
        <v/>
      </c>
      <c r="DE586" s="146" t="str">
        <f>IF(W586&lt;&gt;"AR","",IF(Y586="User Specified", AA586, INDEX('Refrigerant GWPs'!$G$2:$G$154,MATCH(Y586,'Refrigerant GWPs'!$A$2:$A$154,0))))</f>
        <v/>
      </c>
      <c r="DF586" s="146" t="str">
        <f>IF(W586&lt;&gt;"AR","",INDEX('Device Refrigerant Leakage'!$E$2:$E$42,MATCH(X586,'Device Refrigerant Leakage'!$B$2:$B$42,0)))</f>
        <v/>
      </c>
      <c r="DG586" s="146" t="str">
        <f>IF(W586&lt;&gt;"AR","",INDEX('Device Refrigerant Leakage'!$F$2:$F$42,MATCH(X586,'Device Refrigerant Leakage'!$B$2:$B$42,0)))</f>
        <v/>
      </c>
      <c r="DH586" s="146" t="str">
        <f>IF(W586&lt;&gt;"AR","",INDEX('Device Refrigerant Leakage'!$G$2:$G$42,MATCH(X586,'Device Refrigerant Leakage'!$B$2:$B$42,0)))</f>
        <v/>
      </c>
      <c r="DI586" s="146" t="str">
        <f>IF(W586&lt;&gt;"AR","",J586*INDEX('Device Refrigerant Leakage'!$D$2:$D$42,MATCH(X586,'Device Refrigerant Leakage'!$B$2:$B$42,0))*DF586/2204.62*DE586)</f>
        <v/>
      </c>
      <c r="DJ586" s="146" t="str">
        <f>IF(W586&lt;&gt;"AR","",J586*(INDEX('Device Refrigerant Leakage'!$D$2:$D$42,MATCH(X586,'Device Refrigerant Leakage'!$B$2:$B$42,0))-(INDEX('Device Refrigerant Leakage'!$D$2:$D$42,MATCH(X586,'Device Refrigerant Leakage'!$B$2:$B$42,0)))*DH586*DF586)*DG586/2204.62*DE586)</f>
        <v/>
      </c>
      <c r="DK586" s="146" t="str">
        <f>IF(W586&lt;&gt;"AR","",DI586*(K586-AB586)+'Fuel Sub Calcs-Deemed'!DJ586*((K586-AB586)/INDEX('Device Refrigerant Leakage'!$C$2:$C$42,MATCH('Fuel Sub Calcs-Deemed'!X586,'Device Refrigerant Leakage'!$B$2:$B$42,0))))</f>
        <v/>
      </c>
      <c r="DM586" s="56">
        <v>572</v>
      </c>
      <c r="DN586" s="67" t="e">
        <f t="shared" si="670"/>
        <v>#N/A</v>
      </c>
      <c r="DO586" s="45" t="e">
        <f t="shared" si="671"/>
        <v>#N/A</v>
      </c>
      <c r="DP586" s="67" t="e">
        <f t="shared" si="672"/>
        <v>#N/A</v>
      </c>
      <c r="DQ586" s="45" t="e">
        <f t="shared" si="673"/>
        <v>#N/A</v>
      </c>
      <c r="DR586" s="69" t="e">
        <f t="shared" si="674"/>
        <v>#N/A</v>
      </c>
      <c r="DS586" s="34"/>
      <c r="DT586" s="67" t="e">
        <f>((BX586*CJ586)+IF($W586=MAT_AR,(BZ586*CL586),0))*(1+Reference!$E$50+Reference!$E$51)</f>
        <v>#N/A</v>
      </c>
      <c r="DU586" s="67">
        <f>((BY586*CK586)+IF($W586=MAT_AR,(CA586*CM586),0))*(1+Reference!$G$50+Reference!$G$51)</f>
        <v>0</v>
      </c>
      <c r="DV586" s="67" t="e">
        <f t="shared" si="675"/>
        <v>#VALUE!</v>
      </c>
      <c r="DX586" s="56">
        <v>572</v>
      </c>
      <c r="DY586" s="67">
        <f t="shared" si="676"/>
        <v>0</v>
      </c>
      <c r="DZ586" s="45" t="e">
        <f>VLOOKUP($R586,Dropdown!$C$3:$D$4,2,FALSE)</f>
        <v>#N/A</v>
      </c>
      <c r="EA586" s="68">
        <f t="shared" si="677"/>
        <v>0</v>
      </c>
      <c r="EB586" s="68" t="str">
        <f t="shared" si="678"/>
        <v>N/A</v>
      </c>
      <c r="EC586" s="68">
        <f t="shared" si="679"/>
        <v>0</v>
      </c>
      <c r="ED586" s="68" t="str">
        <f t="shared" si="717"/>
        <v>N/A</v>
      </c>
      <c r="EF586" s="56">
        <v>572</v>
      </c>
      <c r="EG586" s="46">
        <f t="shared" si="680"/>
        <v>0</v>
      </c>
      <c r="EH586" s="68" t="e">
        <f t="shared" si="681"/>
        <v>#N/A</v>
      </c>
      <c r="EI586" s="68" t="e">
        <f t="shared" si="682"/>
        <v>#N/A</v>
      </c>
      <c r="EJ586" s="68" t="e">
        <f t="shared" si="683"/>
        <v>#N/A</v>
      </c>
      <c r="EK586" s="68" t="e">
        <f t="shared" si="684"/>
        <v>#N/A</v>
      </c>
      <c r="EL586" s="46">
        <f t="shared" si="685"/>
        <v>0</v>
      </c>
      <c r="EM586" s="46">
        <f t="shared" si="686"/>
        <v>0</v>
      </c>
    </row>
    <row r="587" spans="1:143">
      <c r="A587" s="89"/>
      <c r="B587" s="89"/>
      <c r="C587" s="89"/>
      <c r="D587" s="89"/>
      <c r="E587" s="89"/>
      <c r="F587" s="89"/>
      <c r="G587" s="34"/>
      <c r="H587" s="56">
        <f t="shared" si="687"/>
        <v>573</v>
      </c>
      <c r="I587" s="165"/>
      <c r="J587" s="163"/>
      <c r="K587" s="163"/>
      <c r="L587" s="164"/>
      <c r="M587" s="155"/>
      <c r="N587" s="155"/>
      <c r="O587" s="144"/>
      <c r="P587" s="159" t="str">
        <f>IFERROR(IF(O587&lt;&gt;"User Specified",IF(O587&lt;&gt;"", INDEX('Refrigerant GWPs'!$G$2:$G$154,MATCH(O587,'Refrigerant GWPs'!$A$2:$A$154,0)),""),U587),0)</f>
        <v/>
      </c>
      <c r="Q587" s="155"/>
      <c r="R587" s="155"/>
      <c r="S587" s="144"/>
      <c r="T587" s="159" t="str">
        <f>IF(S587&lt;&gt;"User Specified",IF(AND(S587&lt;&gt;"User Specified",S587&lt;&gt;""), INDEX('Refrigerant GWPs'!$G$2:$G$154,MATCH(S587,'Refrigerant GWPs'!$A$2:$A$154,0)),""),V587)</f>
        <v/>
      </c>
      <c r="U587" s="144"/>
      <c r="V587" s="144"/>
      <c r="W587" s="155"/>
      <c r="X587" s="155"/>
      <c r="Y587" s="144"/>
      <c r="Z587" s="159" t="str">
        <f>IF(AND(Y587&lt;&gt;"User Specified",Y587&lt;&gt;""), INDEX('Refrigerant GWPs'!$G$2:$G$154,MATCH(Y587,'Refrigerant GWPs'!$A$2:$A$154,0)),"")</f>
        <v/>
      </c>
      <c r="AA587" s="155"/>
      <c r="AB587" s="156"/>
      <c r="AC587" s="66"/>
      <c r="AD587" s="66"/>
      <c r="AE587" s="66"/>
      <c r="AF587" s="66"/>
      <c r="AG587" s="66"/>
      <c r="AH587" s="66"/>
      <c r="AI587" s="34"/>
      <c r="AJ587" s="88">
        <f t="shared" si="650"/>
        <v>0</v>
      </c>
      <c r="AK587" s="88">
        <f t="shared" si="651"/>
        <v>0</v>
      </c>
      <c r="AL587" s="88">
        <v>0</v>
      </c>
      <c r="AM587" s="88">
        <v>0</v>
      </c>
      <c r="AN587" s="81" t="str">
        <f t="shared" si="689"/>
        <v/>
      </c>
      <c r="AO587" s="88">
        <f t="shared" si="652"/>
        <v>0</v>
      </c>
      <c r="AP587" s="88">
        <f t="shared" si="653"/>
        <v>0</v>
      </c>
      <c r="AQ587" s="81" t="str">
        <f t="shared" si="654"/>
        <v/>
      </c>
      <c r="AS587" s="41" t="b">
        <f t="shared" si="655"/>
        <v>1</v>
      </c>
      <c r="AT587" s="38">
        <f t="shared" si="656"/>
        <v>0</v>
      </c>
      <c r="AU587" s="60">
        <f t="shared" si="657"/>
        <v>0</v>
      </c>
      <c r="AV587" s="41">
        <f t="shared" si="658"/>
        <v>0</v>
      </c>
      <c r="AW587" s="41" t="b">
        <f t="shared" si="659"/>
        <v>0</v>
      </c>
      <c r="AX587" t="str">
        <f t="shared" si="660"/>
        <v>+00</v>
      </c>
      <c r="AY587" t="str">
        <f t="shared" si="661"/>
        <v>+00</v>
      </c>
      <c r="BA587" s="47" t="b">
        <f t="shared" si="690"/>
        <v>1</v>
      </c>
      <c r="BB587" s="42" t="b">
        <f t="shared" si="691"/>
        <v>1</v>
      </c>
      <c r="BC587" s="42" t="b">
        <f t="shared" si="692"/>
        <v>0</v>
      </c>
      <c r="BD587" s="42" t="b">
        <f t="shared" si="693"/>
        <v>0</v>
      </c>
      <c r="BE587" s="70">
        <f t="shared" si="694"/>
        <v>0</v>
      </c>
      <c r="BF587" s="70">
        <f t="shared" si="695"/>
        <v>0</v>
      </c>
      <c r="BG587" s="34"/>
      <c r="BI587" s="47" t="b">
        <f t="shared" si="696"/>
        <v>1</v>
      </c>
      <c r="BJ587" s="47" t="b">
        <f t="shared" si="697"/>
        <v>1</v>
      </c>
      <c r="BK587" s="42" t="b">
        <f t="shared" si="698"/>
        <v>0</v>
      </c>
      <c r="BL587" s="42" t="b">
        <f t="shared" si="699"/>
        <v>0</v>
      </c>
      <c r="BM587" s="42">
        <f t="shared" si="700"/>
        <v>0</v>
      </c>
      <c r="BN587" s="42">
        <f t="shared" si="701"/>
        <v>0</v>
      </c>
      <c r="BP587" t="e">
        <f t="shared" si="702"/>
        <v>#N/A</v>
      </c>
      <c r="BQ587" t="e">
        <f t="shared" si="703"/>
        <v>#N/A</v>
      </c>
      <c r="BR587" t="e">
        <f t="shared" si="704"/>
        <v>#N/A</v>
      </c>
      <c r="BT587" s="60">
        <f t="shared" si="705"/>
        <v>0</v>
      </c>
      <c r="BU587" s="60">
        <f t="shared" si="706"/>
        <v>0</v>
      </c>
      <c r="BV587" s="60">
        <f t="shared" si="707"/>
        <v>0</v>
      </c>
      <c r="BW587" s="60">
        <f t="shared" si="708"/>
        <v>0</v>
      </c>
      <c r="BX587" s="60">
        <f t="shared" si="709"/>
        <v>0</v>
      </c>
      <c r="BY587" s="60">
        <f t="shared" si="710"/>
        <v>0</v>
      </c>
      <c r="BZ587" s="60">
        <f t="shared" si="711"/>
        <v>0</v>
      </c>
      <c r="CA587" s="60">
        <f t="shared" si="712"/>
        <v>0</v>
      </c>
      <c r="CB587" s="60" t="e">
        <f t="shared" si="662"/>
        <v>#N/A</v>
      </c>
      <c r="CC587" s="60">
        <f t="shared" si="663"/>
        <v>100000</v>
      </c>
      <c r="CD587" s="60" t="e">
        <f t="shared" si="664"/>
        <v>#N/A</v>
      </c>
      <c r="CE587" s="60">
        <f t="shared" si="665"/>
        <v>100000</v>
      </c>
      <c r="CF587" s="83" t="e">
        <f t="shared" si="713"/>
        <v>#N/A</v>
      </c>
      <c r="CG587" s="83">
        <f t="shared" si="714"/>
        <v>0</v>
      </c>
      <c r="CH587" s="83" t="e">
        <f t="shared" si="715"/>
        <v>#N/A</v>
      </c>
      <c r="CI587" s="83">
        <f t="shared" si="716"/>
        <v>0</v>
      </c>
      <c r="CJ587" s="86" t="e">
        <f t="shared" si="666"/>
        <v>#N/A</v>
      </c>
      <c r="CK587" s="82">
        <f t="shared" si="667"/>
        <v>5.3070370403969858E-3</v>
      </c>
      <c r="CL587" s="82" t="e">
        <f t="shared" si="668"/>
        <v>#N/A</v>
      </c>
      <c r="CM587" s="82">
        <f t="shared" si="669"/>
        <v>5.3070370403969858E-3</v>
      </c>
      <c r="CO587" s="149" t="str">
        <f>IF($I587&lt;&gt;"",IF(O587="User Specified",U587,INDEX('Refrigerant GWPs'!$G$2:$G$156,MATCH(O587,'Refrigerant GWPs'!$A$2:$A$156,0))),"")</f>
        <v/>
      </c>
      <c r="CP587" s="138" t="str">
        <f>IF($I587&lt;&gt;"",INDEX('Device Refrigerant Leakage'!$E$2:$E$42,MATCH($M587,'Device Refrigerant Leakage'!$B$2:$B$42,0)),"")</f>
        <v/>
      </c>
      <c r="CQ587" s="138" t="str">
        <f>IF($I587&lt;&gt;"",INDEX('Device Refrigerant Leakage'!$F$2:$F$42,MATCH($M587,'Device Refrigerant Leakage'!$B$2:$B$42,0)),"")</f>
        <v/>
      </c>
      <c r="CR587" s="145" t="str">
        <f>IF($I587&lt;&gt;"",INDEX('Device Refrigerant Leakage'!$G$2:$G$42,MATCH($M587,'Device Refrigerant Leakage'!$B$2:$B$42,0)),"")</f>
        <v/>
      </c>
      <c r="CS587" s="145" t="str">
        <f>IF($I587&lt;&gt;"",INDEX('Device Refrigerant Leakage'!$D$2:$D$42,MATCH($M587,'Device Refrigerant Leakage'!$B$2:$B$42,0))*CP587/2204.62*CO587,"")</f>
        <v/>
      </c>
      <c r="CT587" s="145" t="str">
        <f>IF($I587&lt;&gt;"",J587*(INDEX('Device Refrigerant Leakage'!$D$2:$D$42,MATCH($M587,'Device Refrigerant Leakage'!$B$2:$B$42,0))-(INDEX('Device Refrigerant Leakage'!$D$2:$D$42,MATCH($M587,'Device Refrigerant Leakage'!$B$2:$B$42,0)))*CR587*CP587)*CQ587/2204.62*CO587,"")</f>
        <v/>
      </c>
      <c r="CU587" s="135" t="str">
        <f>IF($I587&lt;&gt;"",J587*IF(W587&lt;&gt;"AR",(CS587*K587)+CT587,(CS587*AB587)+CT587*(AB587/INDEX('Device Refrigerant Leakage'!$C$2:$C$42,MATCH($M587,'Device Refrigerant Leakage'!$B$2:$B$42,0)))),"")</f>
        <v/>
      </c>
      <c r="CW587" s="135" t="str">
        <f>IF($I587&lt;&gt;"",IF(S587="User Specified",V587,INDEX('Refrigerant GWPs'!$G$2:$G$156,MATCH(S587,'Refrigerant GWPs'!$A$2:$A$157,0))),"")</f>
        <v/>
      </c>
      <c r="CX587" s="138" t="str">
        <f>IF($I587&lt;&gt;"",INDEX('Device Refrigerant Leakage'!$E$2:$E$42,MATCH($Q587,'Device Refrigerant Leakage'!$B$2:$B$42,0)),"")</f>
        <v/>
      </c>
      <c r="CY587" s="138" t="str">
        <f>IF($I587&lt;&gt;"",INDEX('Device Refrigerant Leakage'!$F$2:$F$42,MATCH($Q587,'Device Refrigerant Leakage'!$B$2:$B$42,0)),"")</f>
        <v/>
      </c>
      <c r="CZ587" s="145" t="str">
        <f>IF($I587&lt;&gt;"",INDEX('Device Refrigerant Leakage'!$G$2:$G$42,MATCH($Q587,'Device Refrigerant Leakage'!$B$2:$B$42,0)),"")</f>
        <v/>
      </c>
      <c r="DA587" s="145" t="str">
        <f>IF($I587&lt;&gt;"",J587*INDEX('Device Refrigerant Leakage'!$D$2:$D$42,MATCH($Q587,'Device Refrigerant Leakage'!$B$2:$B$42,0))*CX587/2204.62*CW587,"")</f>
        <v/>
      </c>
      <c r="DB587" s="145" t="str">
        <f>IF($I587&lt;&gt;"",J587*(INDEX('Device Refrigerant Leakage'!$D$2:$D$42,MATCH($Q587,'Device Refrigerant Leakage'!$B$2:$B$42,0))-(INDEX('Device Refrigerant Leakage'!$D$2:$D$42,MATCH($Q587,'Device Refrigerant Leakage'!$B$2:$B$42,0)))*CZ587*CX587)*CY587/2204.62*CW587,"")</f>
        <v/>
      </c>
      <c r="DC587" s="135" t="str">
        <f t="shared" si="688"/>
        <v/>
      </c>
      <c r="DE587" s="146" t="str">
        <f>IF(W587&lt;&gt;"AR","",IF(Y587="User Specified", AA587, INDEX('Refrigerant GWPs'!$G$2:$G$154,MATCH(Y587,'Refrigerant GWPs'!$A$2:$A$154,0))))</f>
        <v/>
      </c>
      <c r="DF587" s="146" t="str">
        <f>IF(W587&lt;&gt;"AR","",INDEX('Device Refrigerant Leakage'!$E$2:$E$42,MATCH(X587,'Device Refrigerant Leakage'!$B$2:$B$42,0)))</f>
        <v/>
      </c>
      <c r="DG587" s="146" t="str">
        <f>IF(W587&lt;&gt;"AR","",INDEX('Device Refrigerant Leakage'!$F$2:$F$42,MATCH(X587,'Device Refrigerant Leakage'!$B$2:$B$42,0)))</f>
        <v/>
      </c>
      <c r="DH587" s="146" t="str">
        <f>IF(W587&lt;&gt;"AR","",INDEX('Device Refrigerant Leakage'!$G$2:$G$42,MATCH(X587,'Device Refrigerant Leakage'!$B$2:$B$42,0)))</f>
        <v/>
      </c>
      <c r="DI587" s="146" t="str">
        <f>IF(W587&lt;&gt;"AR","",J587*INDEX('Device Refrigerant Leakage'!$D$2:$D$42,MATCH(X587,'Device Refrigerant Leakage'!$B$2:$B$42,0))*DF587/2204.62*DE587)</f>
        <v/>
      </c>
      <c r="DJ587" s="146" t="str">
        <f>IF(W587&lt;&gt;"AR","",J587*(INDEX('Device Refrigerant Leakage'!$D$2:$D$42,MATCH(X587,'Device Refrigerant Leakage'!$B$2:$B$42,0))-(INDEX('Device Refrigerant Leakage'!$D$2:$D$42,MATCH(X587,'Device Refrigerant Leakage'!$B$2:$B$42,0)))*DH587*DF587)*DG587/2204.62*DE587)</f>
        <v/>
      </c>
      <c r="DK587" s="146" t="str">
        <f>IF(W587&lt;&gt;"AR","",DI587*(K587-AB587)+'Fuel Sub Calcs-Deemed'!DJ587*((K587-AB587)/INDEX('Device Refrigerant Leakage'!$C$2:$C$42,MATCH('Fuel Sub Calcs-Deemed'!X587,'Device Refrigerant Leakage'!$B$2:$B$42,0))))</f>
        <v/>
      </c>
      <c r="DM587" s="56">
        <v>573</v>
      </c>
      <c r="DN587" s="67" t="e">
        <f t="shared" si="670"/>
        <v>#N/A</v>
      </c>
      <c r="DO587" s="45" t="e">
        <f t="shared" si="671"/>
        <v>#N/A</v>
      </c>
      <c r="DP587" s="67" t="e">
        <f t="shared" si="672"/>
        <v>#N/A</v>
      </c>
      <c r="DQ587" s="45" t="e">
        <f t="shared" si="673"/>
        <v>#N/A</v>
      </c>
      <c r="DR587" s="69" t="e">
        <f t="shared" si="674"/>
        <v>#N/A</v>
      </c>
      <c r="DS587" s="34"/>
      <c r="DT587" s="67" t="e">
        <f>((BX587*CJ587)+IF($W587=MAT_AR,(BZ587*CL587),0))*(1+Reference!$E$50+Reference!$E$51)</f>
        <v>#N/A</v>
      </c>
      <c r="DU587" s="67">
        <f>((BY587*CK587)+IF($W587=MAT_AR,(CA587*CM587),0))*(1+Reference!$G$50+Reference!$G$51)</f>
        <v>0</v>
      </c>
      <c r="DV587" s="67" t="e">
        <f t="shared" si="675"/>
        <v>#VALUE!</v>
      </c>
      <c r="DX587" s="56">
        <v>573</v>
      </c>
      <c r="DY587" s="67">
        <f t="shared" si="676"/>
        <v>0</v>
      </c>
      <c r="DZ587" s="45" t="e">
        <f>VLOOKUP($R587,Dropdown!$C$3:$D$4,2,FALSE)</f>
        <v>#N/A</v>
      </c>
      <c r="EA587" s="68">
        <f t="shared" si="677"/>
        <v>0</v>
      </c>
      <c r="EB587" s="68" t="str">
        <f t="shared" si="678"/>
        <v>N/A</v>
      </c>
      <c r="EC587" s="68">
        <f t="shared" si="679"/>
        <v>0</v>
      </c>
      <c r="ED587" s="68" t="str">
        <f t="shared" si="717"/>
        <v>N/A</v>
      </c>
      <c r="EF587" s="56">
        <v>573</v>
      </c>
      <c r="EG587" s="46">
        <f t="shared" si="680"/>
        <v>0</v>
      </c>
      <c r="EH587" s="68" t="e">
        <f t="shared" si="681"/>
        <v>#N/A</v>
      </c>
      <c r="EI587" s="68" t="e">
        <f t="shared" si="682"/>
        <v>#N/A</v>
      </c>
      <c r="EJ587" s="68" t="e">
        <f t="shared" si="683"/>
        <v>#N/A</v>
      </c>
      <c r="EK587" s="68" t="e">
        <f t="shared" si="684"/>
        <v>#N/A</v>
      </c>
      <c r="EL587" s="46">
        <f t="shared" si="685"/>
        <v>0</v>
      </c>
      <c r="EM587" s="46">
        <f t="shared" si="686"/>
        <v>0</v>
      </c>
    </row>
    <row r="588" spans="1:143">
      <c r="A588" s="89"/>
      <c r="B588" s="89"/>
      <c r="C588" s="89"/>
      <c r="D588" s="89"/>
      <c r="E588" s="89"/>
      <c r="F588" s="89"/>
      <c r="G588" s="34"/>
      <c r="H588" s="56">
        <f t="shared" si="687"/>
        <v>574</v>
      </c>
      <c r="I588" s="165"/>
      <c r="J588" s="163"/>
      <c r="K588" s="163"/>
      <c r="L588" s="164"/>
      <c r="M588" s="155"/>
      <c r="N588" s="155"/>
      <c r="O588" s="144"/>
      <c r="P588" s="159" t="str">
        <f>IFERROR(IF(O588&lt;&gt;"User Specified",IF(O588&lt;&gt;"", INDEX('Refrigerant GWPs'!$G$2:$G$154,MATCH(O588,'Refrigerant GWPs'!$A$2:$A$154,0)),""),U588),0)</f>
        <v/>
      </c>
      <c r="Q588" s="155"/>
      <c r="R588" s="155"/>
      <c r="S588" s="144"/>
      <c r="T588" s="159" t="str">
        <f>IF(S588&lt;&gt;"User Specified",IF(AND(S588&lt;&gt;"User Specified",S588&lt;&gt;""), INDEX('Refrigerant GWPs'!$G$2:$G$154,MATCH(S588,'Refrigerant GWPs'!$A$2:$A$154,0)),""),V588)</f>
        <v/>
      </c>
      <c r="U588" s="144"/>
      <c r="V588" s="144"/>
      <c r="W588" s="155"/>
      <c r="X588" s="155"/>
      <c r="Y588" s="144"/>
      <c r="Z588" s="159" t="str">
        <f>IF(AND(Y588&lt;&gt;"User Specified",Y588&lt;&gt;""), INDEX('Refrigerant GWPs'!$G$2:$G$154,MATCH(Y588,'Refrigerant GWPs'!$A$2:$A$154,0)),"")</f>
        <v/>
      </c>
      <c r="AA588" s="155"/>
      <c r="AB588" s="156"/>
      <c r="AC588" s="66"/>
      <c r="AD588" s="66"/>
      <c r="AE588" s="66"/>
      <c r="AF588" s="66"/>
      <c r="AG588" s="66"/>
      <c r="AH588" s="66"/>
      <c r="AI588" s="34"/>
      <c r="AJ588" s="88">
        <f t="shared" si="650"/>
        <v>0</v>
      </c>
      <c r="AK588" s="88">
        <f t="shared" si="651"/>
        <v>0</v>
      </c>
      <c r="AL588" s="88">
        <v>0</v>
      </c>
      <c r="AM588" s="88">
        <v>0</v>
      </c>
      <c r="AN588" s="81" t="str">
        <f t="shared" si="689"/>
        <v/>
      </c>
      <c r="AO588" s="88">
        <f t="shared" si="652"/>
        <v>0</v>
      </c>
      <c r="AP588" s="88">
        <f t="shared" si="653"/>
        <v>0</v>
      </c>
      <c r="AQ588" s="81" t="str">
        <f t="shared" si="654"/>
        <v/>
      </c>
      <c r="AS588" s="41" t="b">
        <f t="shared" si="655"/>
        <v>1</v>
      </c>
      <c r="AT588" s="38">
        <f t="shared" si="656"/>
        <v>0</v>
      </c>
      <c r="AU588" s="60">
        <f t="shared" si="657"/>
        <v>0</v>
      </c>
      <c r="AV588" s="41">
        <f t="shared" si="658"/>
        <v>0</v>
      </c>
      <c r="AW588" s="41" t="b">
        <f t="shared" si="659"/>
        <v>0</v>
      </c>
      <c r="AX588" t="str">
        <f t="shared" si="660"/>
        <v>+00</v>
      </c>
      <c r="AY588" t="str">
        <f t="shared" si="661"/>
        <v>+00</v>
      </c>
      <c r="BA588" s="47" t="b">
        <f t="shared" si="690"/>
        <v>1</v>
      </c>
      <c r="BB588" s="42" t="b">
        <f t="shared" si="691"/>
        <v>1</v>
      </c>
      <c r="BC588" s="42" t="b">
        <f t="shared" si="692"/>
        <v>0</v>
      </c>
      <c r="BD588" s="42" t="b">
        <f t="shared" si="693"/>
        <v>0</v>
      </c>
      <c r="BE588" s="70">
        <f t="shared" si="694"/>
        <v>0</v>
      </c>
      <c r="BF588" s="70">
        <f t="shared" si="695"/>
        <v>0</v>
      </c>
      <c r="BG588" s="34"/>
      <c r="BI588" s="47" t="b">
        <f t="shared" si="696"/>
        <v>1</v>
      </c>
      <c r="BJ588" s="47" t="b">
        <f t="shared" si="697"/>
        <v>1</v>
      </c>
      <c r="BK588" s="42" t="b">
        <f t="shared" si="698"/>
        <v>0</v>
      </c>
      <c r="BL588" s="42" t="b">
        <f t="shared" si="699"/>
        <v>0</v>
      </c>
      <c r="BM588" s="42">
        <f t="shared" si="700"/>
        <v>0</v>
      </c>
      <c r="BN588" s="42">
        <f t="shared" si="701"/>
        <v>0</v>
      </c>
      <c r="BP588" t="e">
        <f t="shared" si="702"/>
        <v>#N/A</v>
      </c>
      <c r="BQ588" t="e">
        <f t="shared" si="703"/>
        <v>#N/A</v>
      </c>
      <c r="BR588" t="e">
        <f t="shared" si="704"/>
        <v>#N/A</v>
      </c>
      <c r="BT588" s="60">
        <f t="shared" si="705"/>
        <v>0</v>
      </c>
      <c r="BU588" s="60">
        <f t="shared" si="706"/>
        <v>0</v>
      </c>
      <c r="BV588" s="60">
        <f t="shared" si="707"/>
        <v>0</v>
      </c>
      <c r="BW588" s="60">
        <f t="shared" si="708"/>
        <v>0</v>
      </c>
      <c r="BX588" s="60">
        <f t="shared" si="709"/>
        <v>0</v>
      </c>
      <c r="BY588" s="60">
        <f t="shared" si="710"/>
        <v>0</v>
      </c>
      <c r="BZ588" s="60">
        <f t="shared" si="711"/>
        <v>0</v>
      </c>
      <c r="CA588" s="60">
        <f t="shared" si="712"/>
        <v>0</v>
      </c>
      <c r="CB588" s="60" t="e">
        <f t="shared" si="662"/>
        <v>#N/A</v>
      </c>
      <c r="CC588" s="60">
        <f t="shared" si="663"/>
        <v>100000</v>
      </c>
      <c r="CD588" s="60" t="e">
        <f t="shared" si="664"/>
        <v>#N/A</v>
      </c>
      <c r="CE588" s="60">
        <f t="shared" si="665"/>
        <v>100000</v>
      </c>
      <c r="CF588" s="83" t="e">
        <f t="shared" si="713"/>
        <v>#N/A</v>
      </c>
      <c r="CG588" s="83">
        <f t="shared" si="714"/>
        <v>0</v>
      </c>
      <c r="CH588" s="83" t="e">
        <f t="shared" si="715"/>
        <v>#N/A</v>
      </c>
      <c r="CI588" s="83">
        <f t="shared" si="716"/>
        <v>0</v>
      </c>
      <c r="CJ588" s="86" t="e">
        <f t="shared" si="666"/>
        <v>#N/A</v>
      </c>
      <c r="CK588" s="82">
        <f t="shared" si="667"/>
        <v>5.3070370403969858E-3</v>
      </c>
      <c r="CL588" s="82" t="e">
        <f t="shared" si="668"/>
        <v>#N/A</v>
      </c>
      <c r="CM588" s="82">
        <f t="shared" si="669"/>
        <v>5.3070370403969858E-3</v>
      </c>
      <c r="CO588" s="149" t="str">
        <f>IF($I588&lt;&gt;"",IF(O588="User Specified",U588,INDEX('Refrigerant GWPs'!$G$2:$G$156,MATCH(O588,'Refrigerant GWPs'!$A$2:$A$156,0))),"")</f>
        <v/>
      </c>
      <c r="CP588" s="138" t="str">
        <f>IF($I588&lt;&gt;"",INDEX('Device Refrigerant Leakage'!$E$2:$E$42,MATCH($M588,'Device Refrigerant Leakage'!$B$2:$B$42,0)),"")</f>
        <v/>
      </c>
      <c r="CQ588" s="138" t="str">
        <f>IF($I588&lt;&gt;"",INDEX('Device Refrigerant Leakage'!$F$2:$F$42,MATCH($M588,'Device Refrigerant Leakage'!$B$2:$B$42,0)),"")</f>
        <v/>
      </c>
      <c r="CR588" s="145" t="str">
        <f>IF($I588&lt;&gt;"",INDEX('Device Refrigerant Leakage'!$G$2:$G$42,MATCH($M588,'Device Refrigerant Leakage'!$B$2:$B$42,0)),"")</f>
        <v/>
      </c>
      <c r="CS588" s="145" t="str">
        <f>IF($I588&lt;&gt;"",INDEX('Device Refrigerant Leakage'!$D$2:$D$42,MATCH($M588,'Device Refrigerant Leakage'!$B$2:$B$42,0))*CP588/2204.62*CO588,"")</f>
        <v/>
      </c>
      <c r="CT588" s="145" t="str">
        <f>IF($I588&lt;&gt;"",J588*(INDEX('Device Refrigerant Leakage'!$D$2:$D$42,MATCH($M588,'Device Refrigerant Leakage'!$B$2:$B$42,0))-(INDEX('Device Refrigerant Leakage'!$D$2:$D$42,MATCH($M588,'Device Refrigerant Leakage'!$B$2:$B$42,0)))*CR588*CP588)*CQ588/2204.62*CO588,"")</f>
        <v/>
      </c>
      <c r="CU588" s="135" t="str">
        <f>IF($I588&lt;&gt;"",J588*IF(W588&lt;&gt;"AR",(CS588*K588)+CT588,(CS588*AB588)+CT588*(AB588/INDEX('Device Refrigerant Leakage'!$C$2:$C$42,MATCH($M588,'Device Refrigerant Leakage'!$B$2:$B$42,0)))),"")</f>
        <v/>
      </c>
      <c r="CW588" s="135" t="str">
        <f>IF($I588&lt;&gt;"",IF(S588="User Specified",V588,INDEX('Refrigerant GWPs'!$G$2:$G$156,MATCH(S588,'Refrigerant GWPs'!$A$2:$A$157,0))),"")</f>
        <v/>
      </c>
      <c r="CX588" s="138" t="str">
        <f>IF($I588&lt;&gt;"",INDEX('Device Refrigerant Leakage'!$E$2:$E$42,MATCH($Q588,'Device Refrigerant Leakage'!$B$2:$B$42,0)),"")</f>
        <v/>
      </c>
      <c r="CY588" s="138" t="str">
        <f>IF($I588&lt;&gt;"",INDEX('Device Refrigerant Leakage'!$F$2:$F$42,MATCH($Q588,'Device Refrigerant Leakage'!$B$2:$B$42,0)),"")</f>
        <v/>
      </c>
      <c r="CZ588" s="145" t="str">
        <f>IF($I588&lt;&gt;"",INDEX('Device Refrigerant Leakage'!$G$2:$G$42,MATCH($Q588,'Device Refrigerant Leakage'!$B$2:$B$42,0)),"")</f>
        <v/>
      </c>
      <c r="DA588" s="145" t="str">
        <f>IF($I588&lt;&gt;"",J588*INDEX('Device Refrigerant Leakage'!$D$2:$D$42,MATCH($Q588,'Device Refrigerant Leakage'!$B$2:$B$42,0))*CX588/2204.62*CW588,"")</f>
        <v/>
      </c>
      <c r="DB588" s="145" t="str">
        <f>IF($I588&lt;&gt;"",J588*(INDEX('Device Refrigerant Leakage'!$D$2:$D$42,MATCH($Q588,'Device Refrigerant Leakage'!$B$2:$B$42,0))-(INDEX('Device Refrigerant Leakage'!$D$2:$D$42,MATCH($Q588,'Device Refrigerant Leakage'!$B$2:$B$42,0)))*CZ588*CX588)*CY588/2204.62*CW588,"")</f>
        <v/>
      </c>
      <c r="DC588" s="135" t="str">
        <f t="shared" si="688"/>
        <v/>
      </c>
      <c r="DE588" s="146" t="str">
        <f>IF(W588&lt;&gt;"AR","",IF(Y588="User Specified", AA588, INDEX('Refrigerant GWPs'!$G$2:$G$154,MATCH(Y588,'Refrigerant GWPs'!$A$2:$A$154,0))))</f>
        <v/>
      </c>
      <c r="DF588" s="146" t="str">
        <f>IF(W588&lt;&gt;"AR","",INDEX('Device Refrigerant Leakage'!$E$2:$E$42,MATCH(X588,'Device Refrigerant Leakage'!$B$2:$B$42,0)))</f>
        <v/>
      </c>
      <c r="DG588" s="146" t="str">
        <f>IF(W588&lt;&gt;"AR","",INDEX('Device Refrigerant Leakage'!$F$2:$F$42,MATCH(X588,'Device Refrigerant Leakage'!$B$2:$B$42,0)))</f>
        <v/>
      </c>
      <c r="DH588" s="146" t="str">
        <f>IF(W588&lt;&gt;"AR","",INDEX('Device Refrigerant Leakage'!$G$2:$G$42,MATCH(X588,'Device Refrigerant Leakage'!$B$2:$B$42,0)))</f>
        <v/>
      </c>
      <c r="DI588" s="146" t="str">
        <f>IF(W588&lt;&gt;"AR","",J588*INDEX('Device Refrigerant Leakage'!$D$2:$D$42,MATCH(X588,'Device Refrigerant Leakage'!$B$2:$B$42,0))*DF588/2204.62*DE588)</f>
        <v/>
      </c>
      <c r="DJ588" s="146" t="str">
        <f>IF(W588&lt;&gt;"AR","",J588*(INDEX('Device Refrigerant Leakage'!$D$2:$D$42,MATCH(X588,'Device Refrigerant Leakage'!$B$2:$B$42,0))-(INDEX('Device Refrigerant Leakage'!$D$2:$D$42,MATCH(X588,'Device Refrigerant Leakage'!$B$2:$B$42,0)))*DH588*DF588)*DG588/2204.62*DE588)</f>
        <v/>
      </c>
      <c r="DK588" s="146" t="str">
        <f>IF(W588&lt;&gt;"AR","",DI588*(K588-AB588)+'Fuel Sub Calcs-Deemed'!DJ588*((K588-AB588)/INDEX('Device Refrigerant Leakage'!$C$2:$C$42,MATCH('Fuel Sub Calcs-Deemed'!X588,'Device Refrigerant Leakage'!$B$2:$B$42,0))))</f>
        <v/>
      </c>
      <c r="DM588" s="56">
        <v>574</v>
      </c>
      <c r="DN588" s="67" t="e">
        <f t="shared" si="670"/>
        <v>#N/A</v>
      </c>
      <c r="DO588" s="45" t="e">
        <f t="shared" si="671"/>
        <v>#N/A</v>
      </c>
      <c r="DP588" s="67" t="e">
        <f t="shared" si="672"/>
        <v>#N/A</v>
      </c>
      <c r="DQ588" s="45" t="e">
        <f t="shared" si="673"/>
        <v>#N/A</v>
      </c>
      <c r="DR588" s="69" t="e">
        <f t="shared" si="674"/>
        <v>#N/A</v>
      </c>
      <c r="DS588" s="34"/>
      <c r="DT588" s="67" t="e">
        <f>((BX588*CJ588)+IF($W588=MAT_AR,(BZ588*CL588),0))*(1+Reference!$E$50+Reference!$E$51)</f>
        <v>#N/A</v>
      </c>
      <c r="DU588" s="67">
        <f>((BY588*CK588)+IF($W588=MAT_AR,(CA588*CM588),0))*(1+Reference!$G$50+Reference!$G$51)</f>
        <v>0</v>
      </c>
      <c r="DV588" s="67" t="e">
        <f t="shared" si="675"/>
        <v>#VALUE!</v>
      </c>
      <c r="DX588" s="56">
        <v>574</v>
      </c>
      <c r="DY588" s="67">
        <f t="shared" si="676"/>
        <v>0</v>
      </c>
      <c r="DZ588" s="45" t="e">
        <f>VLOOKUP($R588,Dropdown!$C$3:$D$4,2,FALSE)</f>
        <v>#N/A</v>
      </c>
      <c r="EA588" s="68">
        <f t="shared" si="677"/>
        <v>0</v>
      </c>
      <c r="EB588" s="68" t="str">
        <f t="shared" si="678"/>
        <v>N/A</v>
      </c>
      <c r="EC588" s="68">
        <f t="shared" si="679"/>
        <v>0</v>
      </c>
      <c r="ED588" s="68" t="str">
        <f t="shared" si="717"/>
        <v>N/A</v>
      </c>
      <c r="EF588" s="56">
        <v>574</v>
      </c>
      <c r="EG588" s="46">
        <f t="shared" si="680"/>
        <v>0</v>
      </c>
      <c r="EH588" s="68" t="e">
        <f t="shared" si="681"/>
        <v>#N/A</v>
      </c>
      <c r="EI588" s="68" t="e">
        <f t="shared" si="682"/>
        <v>#N/A</v>
      </c>
      <c r="EJ588" s="68" t="e">
        <f t="shared" si="683"/>
        <v>#N/A</v>
      </c>
      <c r="EK588" s="68" t="e">
        <f t="shared" si="684"/>
        <v>#N/A</v>
      </c>
      <c r="EL588" s="46">
        <f t="shared" si="685"/>
        <v>0</v>
      </c>
      <c r="EM588" s="46">
        <f t="shared" si="686"/>
        <v>0</v>
      </c>
    </row>
    <row r="589" spans="1:143">
      <c r="A589" s="89"/>
      <c r="B589" s="89"/>
      <c r="C589" s="89"/>
      <c r="D589" s="89"/>
      <c r="E589" s="89"/>
      <c r="F589" s="89"/>
      <c r="G589" s="34"/>
      <c r="H589" s="56">
        <f t="shared" si="687"/>
        <v>575</v>
      </c>
      <c r="I589" s="165"/>
      <c r="J589" s="163"/>
      <c r="K589" s="163"/>
      <c r="L589" s="164"/>
      <c r="M589" s="155"/>
      <c r="N589" s="155"/>
      <c r="O589" s="144"/>
      <c r="P589" s="159" t="str">
        <f>IFERROR(IF(O589&lt;&gt;"User Specified",IF(O589&lt;&gt;"", INDEX('Refrigerant GWPs'!$G$2:$G$154,MATCH(O589,'Refrigerant GWPs'!$A$2:$A$154,0)),""),U589),0)</f>
        <v/>
      </c>
      <c r="Q589" s="155"/>
      <c r="R589" s="155"/>
      <c r="S589" s="144"/>
      <c r="T589" s="159" t="str">
        <f>IF(S589&lt;&gt;"User Specified",IF(AND(S589&lt;&gt;"User Specified",S589&lt;&gt;""), INDEX('Refrigerant GWPs'!$G$2:$G$154,MATCH(S589,'Refrigerant GWPs'!$A$2:$A$154,0)),""),V589)</f>
        <v/>
      </c>
      <c r="U589" s="144"/>
      <c r="V589" s="144"/>
      <c r="W589" s="155"/>
      <c r="X589" s="155"/>
      <c r="Y589" s="144"/>
      <c r="Z589" s="159" t="str">
        <f>IF(AND(Y589&lt;&gt;"User Specified",Y589&lt;&gt;""), INDEX('Refrigerant GWPs'!$G$2:$G$154,MATCH(Y589,'Refrigerant GWPs'!$A$2:$A$154,0)),"")</f>
        <v/>
      </c>
      <c r="AA589" s="155"/>
      <c r="AB589" s="156"/>
      <c r="AC589" s="66"/>
      <c r="AD589" s="66"/>
      <c r="AE589" s="66"/>
      <c r="AF589" s="66"/>
      <c r="AG589" s="66"/>
      <c r="AH589" s="66"/>
      <c r="AI589" s="34"/>
      <c r="AJ589" s="88">
        <f t="shared" si="650"/>
        <v>0</v>
      </c>
      <c r="AK589" s="88">
        <f t="shared" si="651"/>
        <v>0</v>
      </c>
      <c r="AL589" s="88">
        <v>0</v>
      </c>
      <c r="AM589" s="88">
        <v>0</v>
      </c>
      <c r="AN589" s="81" t="str">
        <f t="shared" si="689"/>
        <v/>
      </c>
      <c r="AO589" s="88">
        <f t="shared" si="652"/>
        <v>0</v>
      </c>
      <c r="AP589" s="88">
        <f t="shared" si="653"/>
        <v>0</v>
      </c>
      <c r="AQ589" s="81" t="str">
        <f t="shared" si="654"/>
        <v/>
      </c>
      <c r="AS589" s="41" t="b">
        <f t="shared" si="655"/>
        <v>1</v>
      </c>
      <c r="AT589" s="38">
        <f t="shared" si="656"/>
        <v>0</v>
      </c>
      <c r="AU589" s="60">
        <f t="shared" si="657"/>
        <v>0</v>
      </c>
      <c r="AV589" s="41">
        <f t="shared" si="658"/>
        <v>0</v>
      </c>
      <c r="AW589" s="41" t="b">
        <f t="shared" si="659"/>
        <v>0</v>
      </c>
      <c r="AX589" t="str">
        <f t="shared" si="660"/>
        <v>+00</v>
      </c>
      <c r="AY589" t="str">
        <f t="shared" si="661"/>
        <v>+00</v>
      </c>
      <c r="BA589" s="47" t="b">
        <f t="shared" si="690"/>
        <v>1</v>
      </c>
      <c r="BB589" s="42" t="b">
        <f t="shared" si="691"/>
        <v>1</v>
      </c>
      <c r="BC589" s="42" t="b">
        <f t="shared" si="692"/>
        <v>0</v>
      </c>
      <c r="BD589" s="42" t="b">
        <f t="shared" si="693"/>
        <v>0</v>
      </c>
      <c r="BE589" s="70">
        <f t="shared" si="694"/>
        <v>0</v>
      </c>
      <c r="BF589" s="70">
        <f t="shared" si="695"/>
        <v>0</v>
      </c>
      <c r="BG589" s="34"/>
      <c r="BI589" s="47" t="b">
        <f t="shared" si="696"/>
        <v>1</v>
      </c>
      <c r="BJ589" s="47" t="b">
        <f t="shared" si="697"/>
        <v>1</v>
      </c>
      <c r="BK589" s="42" t="b">
        <f t="shared" si="698"/>
        <v>0</v>
      </c>
      <c r="BL589" s="42" t="b">
        <f t="shared" si="699"/>
        <v>0</v>
      </c>
      <c r="BM589" s="42">
        <f t="shared" si="700"/>
        <v>0</v>
      </c>
      <c r="BN589" s="42">
        <f t="shared" si="701"/>
        <v>0</v>
      </c>
      <c r="BP589" t="e">
        <f t="shared" si="702"/>
        <v>#N/A</v>
      </c>
      <c r="BQ589" t="e">
        <f t="shared" si="703"/>
        <v>#N/A</v>
      </c>
      <c r="BR589" t="e">
        <f t="shared" si="704"/>
        <v>#N/A</v>
      </c>
      <c r="BT589" s="60">
        <f t="shared" si="705"/>
        <v>0</v>
      </c>
      <c r="BU589" s="60">
        <f t="shared" si="706"/>
        <v>0</v>
      </c>
      <c r="BV589" s="60">
        <f t="shared" si="707"/>
        <v>0</v>
      </c>
      <c r="BW589" s="60">
        <f t="shared" si="708"/>
        <v>0</v>
      </c>
      <c r="BX589" s="60">
        <f t="shared" si="709"/>
        <v>0</v>
      </c>
      <c r="BY589" s="60">
        <f t="shared" si="710"/>
        <v>0</v>
      </c>
      <c r="BZ589" s="60">
        <f t="shared" si="711"/>
        <v>0</v>
      </c>
      <c r="CA589" s="60">
        <f t="shared" si="712"/>
        <v>0</v>
      </c>
      <c r="CB589" s="60" t="e">
        <f t="shared" si="662"/>
        <v>#N/A</v>
      </c>
      <c r="CC589" s="60">
        <f t="shared" si="663"/>
        <v>100000</v>
      </c>
      <c r="CD589" s="60" t="e">
        <f t="shared" si="664"/>
        <v>#N/A</v>
      </c>
      <c r="CE589" s="60">
        <f t="shared" si="665"/>
        <v>100000</v>
      </c>
      <c r="CF589" s="83" t="e">
        <f t="shared" si="713"/>
        <v>#N/A</v>
      </c>
      <c r="CG589" s="83">
        <f t="shared" si="714"/>
        <v>0</v>
      </c>
      <c r="CH589" s="83" t="e">
        <f t="shared" si="715"/>
        <v>#N/A</v>
      </c>
      <c r="CI589" s="83">
        <f t="shared" si="716"/>
        <v>0</v>
      </c>
      <c r="CJ589" s="86" t="e">
        <f t="shared" si="666"/>
        <v>#N/A</v>
      </c>
      <c r="CK589" s="82">
        <f t="shared" si="667"/>
        <v>5.3070370403969858E-3</v>
      </c>
      <c r="CL589" s="82" t="e">
        <f t="shared" si="668"/>
        <v>#N/A</v>
      </c>
      <c r="CM589" s="82">
        <f t="shared" si="669"/>
        <v>5.3070370403969858E-3</v>
      </c>
      <c r="CO589" s="149" t="str">
        <f>IF($I589&lt;&gt;"",IF(O589="User Specified",U589,INDEX('Refrigerant GWPs'!$G$2:$G$156,MATCH(O589,'Refrigerant GWPs'!$A$2:$A$156,0))),"")</f>
        <v/>
      </c>
      <c r="CP589" s="138" t="str">
        <f>IF($I589&lt;&gt;"",INDEX('Device Refrigerant Leakage'!$E$2:$E$42,MATCH($M589,'Device Refrigerant Leakage'!$B$2:$B$42,0)),"")</f>
        <v/>
      </c>
      <c r="CQ589" s="138" t="str">
        <f>IF($I589&lt;&gt;"",INDEX('Device Refrigerant Leakage'!$F$2:$F$42,MATCH($M589,'Device Refrigerant Leakage'!$B$2:$B$42,0)),"")</f>
        <v/>
      </c>
      <c r="CR589" s="145" t="str">
        <f>IF($I589&lt;&gt;"",INDEX('Device Refrigerant Leakage'!$G$2:$G$42,MATCH($M589,'Device Refrigerant Leakage'!$B$2:$B$42,0)),"")</f>
        <v/>
      </c>
      <c r="CS589" s="145" t="str">
        <f>IF($I589&lt;&gt;"",INDEX('Device Refrigerant Leakage'!$D$2:$D$42,MATCH($M589,'Device Refrigerant Leakage'!$B$2:$B$42,0))*CP589/2204.62*CO589,"")</f>
        <v/>
      </c>
      <c r="CT589" s="145" t="str">
        <f>IF($I589&lt;&gt;"",J589*(INDEX('Device Refrigerant Leakage'!$D$2:$D$42,MATCH($M589,'Device Refrigerant Leakage'!$B$2:$B$42,0))-(INDEX('Device Refrigerant Leakage'!$D$2:$D$42,MATCH($M589,'Device Refrigerant Leakage'!$B$2:$B$42,0)))*CR589*CP589)*CQ589/2204.62*CO589,"")</f>
        <v/>
      </c>
      <c r="CU589" s="135" t="str">
        <f>IF($I589&lt;&gt;"",J589*IF(W589&lt;&gt;"AR",(CS589*K589)+CT589,(CS589*AB589)+CT589*(AB589/INDEX('Device Refrigerant Leakage'!$C$2:$C$42,MATCH($M589,'Device Refrigerant Leakage'!$B$2:$B$42,0)))),"")</f>
        <v/>
      </c>
      <c r="CW589" s="135" t="str">
        <f>IF($I589&lt;&gt;"",IF(S589="User Specified",V589,INDEX('Refrigerant GWPs'!$G$2:$G$156,MATCH(S589,'Refrigerant GWPs'!$A$2:$A$157,0))),"")</f>
        <v/>
      </c>
      <c r="CX589" s="138" t="str">
        <f>IF($I589&lt;&gt;"",INDEX('Device Refrigerant Leakage'!$E$2:$E$42,MATCH($Q589,'Device Refrigerant Leakage'!$B$2:$B$42,0)),"")</f>
        <v/>
      </c>
      <c r="CY589" s="138" t="str">
        <f>IF($I589&lt;&gt;"",INDEX('Device Refrigerant Leakage'!$F$2:$F$42,MATCH($Q589,'Device Refrigerant Leakage'!$B$2:$B$42,0)),"")</f>
        <v/>
      </c>
      <c r="CZ589" s="145" t="str">
        <f>IF($I589&lt;&gt;"",INDEX('Device Refrigerant Leakage'!$G$2:$G$42,MATCH($Q589,'Device Refrigerant Leakage'!$B$2:$B$42,0)),"")</f>
        <v/>
      </c>
      <c r="DA589" s="145" t="str">
        <f>IF($I589&lt;&gt;"",J589*INDEX('Device Refrigerant Leakage'!$D$2:$D$42,MATCH($Q589,'Device Refrigerant Leakage'!$B$2:$B$42,0))*CX589/2204.62*CW589,"")</f>
        <v/>
      </c>
      <c r="DB589" s="145" t="str">
        <f>IF($I589&lt;&gt;"",J589*(INDEX('Device Refrigerant Leakage'!$D$2:$D$42,MATCH($Q589,'Device Refrigerant Leakage'!$B$2:$B$42,0))-(INDEX('Device Refrigerant Leakage'!$D$2:$D$42,MATCH($Q589,'Device Refrigerant Leakage'!$B$2:$B$42,0)))*CZ589*CX589)*CY589/2204.62*CW589,"")</f>
        <v/>
      </c>
      <c r="DC589" s="135" t="str">
        <f t="shared" si="688"/>
        <v/>
      </c>
      <c r="DE589" s="146" t="str">
        <f>IF(W589&lt;&gt;"AR","",IF(Y589="User Specified", AA589, INDEX('Refrigerant GWPs'!$G$2:$G$154,MATCH(Y589,'Refrigerant GWPs'!$A$2:$A$154,0))))</f>
        <v/>
      </c>
      <c r="DF589" s="146" t="str">
        <f>IF(W589&lt;&gt;"AR","",INDEX('Device Refrigerant Leakage'!$E$2:$E$42,MATCH(X589,'Device Refrigerant Leakage'!$B$2:$B$42,0)))</f>
        <v/>
      </c>
      <c r="DG589" s="146" t="str">
        <f>IF(W589&lt;&gt;"AR","",INDEX('Device Refrigerant Leakage'!$F$2:$F$42,MATCH(X589,'Device Refrigerant Leakage'!$B$2:$B$42,0)))</f>
        <v/>
      </c>
      <c r="DH589" s="146" t="str">
        <f>IF(W589&lt;&gt;"AR","",INDEX('Device Refrigerant Leakage'!$G$2:$G$42,MATCH(X589,'Device Refrigerant Leakage'!$B$2:$B$42,0)))</f>
        <v/>
      </c>
      <c r="DI589" s="146" t="str">
        <f>IF(W589&lt;&gt;"AR","",J589*INDEX('Device Refrigerant Leakage'!$D$2:$D$42,MATCH(X589,'Device Refrigerant Leakage'!$B$2:$B$42,0))*DF589/2204.62*DE589)</f>
        <v/>
      </c>
      <c r="DJ589" s="146" t="str">
        <f>IF(W589&lt;&gt;"AR","",J589*(INDEX('Device Refrigerant Leakage'!$D$2:$D$42,MATCH(X589,'Device Refrigerant Leakage'!$B$2:$B$42,0))-(INDEX('Device Refrigerant Leakage'!$D$2:$D$42,MATCH(X589,'Device Refrigerant Leakage'!$B$2:$B$42,0)))*DH589*DF589)*DG589/2204.62*DE589)</f>
        <v/>
      </c>
      <c r="DK589" s="146" t="str">
        <f>IF(W589&lt;&gt;"AR","",DI589*(K589-AB589)+'Fuel Sub Calcs-Deemed'!DJ589*((K589-AB589)/INDEX('Device Refrigerant Leakage'!$C$2:$C$42,MATCH('Fuel Sub Calcs-Deemed'!X589,'Device Refrigerant Leakage'!$B$2:$B$42,0))))</f>
        <v/>
      </c>
      <c r="DM589" s="56">
        <v>575</v>
      </c>
      <c r="DN589" s="67" t="e">
        <f t="shared" si="670"/>
        <v>#N/A</v>
      </c>
      <c r="DO589" s="45" t="e">
        <f t="shared" si="671"/>
        <v>#N/A</v>
      </c>
      <c r="DP589" s="67" t="e">
        <f t="shared" si="672"/>
        <v>#N/A</v>
      </c>
      <c r="DQ589" s="45" t="e">
        <f t="shared" si="673"/>
        <v>#N/A</v>
      </c>
      <c r="DR589" s="69" t="e">
        <f t="shared" si="674"/>
        <v>#N/A</v>
      </c>
      <c r="DS589" s="34"/>
      <c r="DT589" s="67" t="e">
        <f>((BX589*CJ589)+IF($W589=MAT_AR,(BZ589*CL589),0))*(1+Reference!$E$50+Reference!$E$51)</f>
        <v>#N/A</v>
      </c>
      <c r="DU589" s="67">
        <f>((BY589*CK589)+IF($W589=MAT_AR,(CA589*CM589),0))*(1+Reference!$G$50+Reference!$G$51)</f>
        <v>0</v>
      </c>
      <c r="DV589" s="67" t="e">
        <f t="shared" si="675"/>
        <v>#VALUE!</v>
      </c>
      <c r="DX589" s="56">
        <v>575</v>
      </c>
      <c r="DY589" s="67">
        <f t="shared" si="676"/>
        <v>0</v>
      </c>
      <c r="DZ589" s="45" t="e">
        <f>VLOOKUP($R589,Dropdown!$C$3:$D$4,2,FALSE)</f>
        <v>#N/A</v>
      </c>
      <c r="EA589" s="68">
        <f t="shared" si="677"/>
        <v>0</v>
      </c>
      <c r="EB589" s="68" t="str">
        <f t="shared" si="678"/>
        <v>N/A</v>
      </c>
      <c r="EC589" s="68">
        <f t="shared" si="679"/>
        <v>0</v>
      </c>
      <c r="ED589" s="68" t="str">
        <f t="shared" si="717"/>
        <v>N/A</v>
      </c>
      <c r="EF589" s="56">
        <v>575</v>
      </c>
      <c r="EG589" s="46">
        <f t="shared" si="680"/>
        <v>0</v>
      </c>
      <c r="EH589" s="68" t="e">
        <f t="shared" si="681"/>
        <v>#N/A</v>
      </c>
      <c r="EI589" s="68" t="e">
        <f t="shared" si="682"/>
        <v>#N/A</v>
      </c>
      <c r="EJ589" s="68" t="e">
        <f t="shared" si="683"/>
        <v>#N/A</v>
      </c>
      <c r="EK589" s="68" t="e">
        <f t="shared" si="684"/>
        <v>#N/A</v>
      </c>
      <c r="EL589" s="46">
        <f t="shared" si="685"/>
        <v>0</v>
      </c>
      <c r="EM589" s="46">
        <f t="shared" si="686"/>
        <v>0</v>
      </c>
    </row>
    <row r="590" spans="1:143">
      <c r="A590" s="89"/>
      <c r="B590" s="89"/>
      <c r="C590" s="89"/>
      <c r="D590" s="89"/>
      <c r="E590" s="89"/>
      <c r="F590" s="89"/>
      <c r="G590" s="34"/>
      <c r="H590" s="56">
        <f t="shared" si="687"/>
        <v>576</v>
      </c>
      <c r="I590" s="165"/>
      <c r="J590" s="163"/>
      <c r="K590" s="163"/>
      <c r="L590" s="164"/>
      <c r="M590" s="155"/>
      <c r="N590" s="155"/>
      <c r="O590" s="144"/>
      <c r="P590" s="159" t="str">
        <f>IFERROR(IF(O590&lt;&gt;"User Specified",IF(O590&lt;&gt;"", INDEX('Refrigerant GWPs'!$G$2:$G$154,MATCH(O590,'Refrigerant GWPs'!$A$2:$A$154,0)),""),U590),0)</f>
        <v/>
      </c>
      <c r="Q590" s="155"/>
      <c r="R590" s="155"/>
      <c r="S590" s="144"/>
      <c r="T590" s="159" t="str">
        <f>IF(S590&lt;&gt;"User Specified",IF(AND(S590&lt;&gt;"User Specified",S590&lt;&gt;""), INDEX('Refrigerant GWPs'!$G$2:$G$154,MATCH(S590,'Refrigerant GWPs'!$A$2:$A$154,0)),""),V590)</f>
        <v/>
      </c>
      <c r="U590" s="144"/>
      <c r="V590" s="144"/>
      <c r="W590" s="155"/>
      <c r="X590" s="155"/>
      <c r="Y590" s="144"/>
      <c r="Z590" s="159" t="str">
        <f>IF(AND(Y590&lt;&gt;"User Specified",Y590&lt;&gt;""), INDEX('Refrigerant GWPs'!$G$2:$G$154,MATCH(Y590,'Refrigerant GWPs'!$A$2:$A$154,0)),"")</f>
        <v/>
      </c>
      <c r="AA590" s="155"/>
      <c r="AB590" s="156"/>
      <c r="AC590" s="66"/>
      <c r="AD590" s="66"/>
      <c r="AE590" s="66"/>
      <c r="AF590" s="66"/>
      <c r="AG590" s="66"/>
      <c r="AH590" s="66"/>
      <c r="AI590" s="34"/>
      <c r="AJ590" s="88">
        <f t="shared" si="650"/>
        <v>0</v>
      </c>
      <c r="AK590" s="88">
        <f t="shared" si="651"/>
        <v>0</v>
      </c>
      <c r="AL590" s="88">
        <v>0</v>
      </c>
      <c r="AM590" s="88">
        <v>0</v>
      </c>
      <c r="AN590" s="81" t="str">
        <f t="shared" si="689"/>
        <v/>
      </c>
      <c r="AO590" s="88">
        <f t="shared" si="652"/>
        <v>0</v>
      </c>
      <c r="AP590" s="88">
        <f t="shared" si="653"/>
        <v>0</v>
      </c>
      <c r="AQ590" s="81" t="str">
        <f t="shared" si="654"/>
        <v/>
      </c>
      <c r="AS590" s="41" t="b">
        <f t="shared" si="655"/>
        <v>1</v>
      </c>
      <c r="AT590" s="38">
        <f t="shared" si="656"/>
        <v>0</v>
      </c>
      <c r="AU590" s="60">
        <f t="shared" si="657"/>
        <v>0</v>
      </c>
      <c r="AV590" s="41">
        <f t="shared" si="658"/>
        <v>0</v>
      </c>
      <c r="AW590" s="41" t="b">
        <f t="shared" si="659"/>
        <v>0</v>
      </c>
      <c r="AX590" t="str">
        <f t="shared" si="660"/>
        <v>+00</v>
      </c>
      <c r="AY590" t="str">
        <f t="shared" si="661"/>
        <v>+00</v>
      </c>
      <c r="BA590" s="47" t="b">
        <f t="shared" si="690"/>
        <v>1</v>
      </c>
      <c r="BB590" s="42" t="b">
        <f t="shared" si="691"/>
        <v>1</v>
      </c>
      <c r="BC590" s="42" t="b">
        <f t="shared" si="692"/>
        <v>0</v>
      </c>
      <c r="BD590" s="42" t="b">
        <f t="shared" si="693"/>
        <v>0</v>
      </c>
      <c r="BE590" s="70">
        <f t="shared" si="694"/>
        <v>0</v>
      </c>
      <c r="BF590" s="70">
        <f t="shared" si="695"/>
        <v>0</v>
      </c>
      <c r="BG590" s="34"/>
      <c r="BI590" s="47" t="b">
        <f t="shared" si="696"/>
        <v>1</v>
      </c>
      <c r="BJ590" s="47" t="b">
        <f t="shared" si="697"/>
        <v>1</v>
      </c>
      <c r="BK590" s="42" t="b">
        <f t="shared" si="698"/>
        <v>0</v>
      </c>
      <c r="BL590" s="42" t="b">
        <f t="shared" si="699"/>
        <v>0</v>
      </c>
      <c r="BM590" s="42">
        <f t="shared" si="700"/>
        <v>0</v>
      </c>
      <c r="BN590" s="42">
        <f t="shared" si="701"/>
        <v>0</v>
      </c>
      <c r="BP590" t="e">
        <f t="shared" si="702"/>
        <v>#N/A</v>
      </c>
      <c r="BQ590" t="e">
        <f t="shared" si="703"/>
        <v>#N/A</v>
      </c>
      <c r="BR590" t="e">
        <f t="shared" si="704"/>
        <v>#N/A</v>
      </c>
      <c r="BT590" s="60">
        <f t="shared" si="705"/>
        <v>0</v>
      </c>
      <c r="BU590" s="60">
        <f t="shared" si="706"/>
        <v>0</v>
      </c>
      <c r="BV590" s="60">
        <f t="shared" si="707"/>
        <v>0</v>
      </c>
      <c r="BW590" s="60">
        <f t="shared" si="708"/>
        <v>0</v>
      </c>
      <c r="BX590" s="60">
        <f t="shared" si="709"/>
        <v>0</v>
      </c>
      <c r="BY590" s="60">
        <f t="shared" si="710"/>
        <v>0</v>
      </c>
      <c r="BZ590" s="60">
        <f t="shared" si="711"/>
        <v>0</v>
      </c>
      <c r="CA590" s="60">
        <f t="shared" si="712"/>
        <v>0</v>
      </c>
      <c r="CB590" s="60" t="e">
        <f t="shared" si="662"/>
        <v>#N/A</v>
      </c>
      <c r="CC590" s="60">
        <f t="shared" si="663"/>
        <v>100000</v>
      </c>
      <c r="CD590" s="60" t="e">
        <f t="shared" si="664"/>
        <v>#N/A</v>
      </c>
      <c r="CE590" s="60">
        <f t="shared" si="665"/>
        <v>100000</v>
      </c>
      <c r="CF590" s="83" t="e">
        <f t="shared" si="713"/>
        <v>#N/A</v>
      </c>
      <c r="CG590" s="83">
        <f t="shared" si="714"/>
        <v>0</v>
      </c>
      <c r="CH590" s="83" t="e">
        <f t="shared" si="715"/>
        <v>#N/A</v>
      </c>
      <c r="CI590" s="83">
        <f t="shared" si="716"/>
        <v>0</v>
      </c>
      <c r="CJ590" s="86" t="e">
        <f t="shared" si="666"/>
        <v>#N/A</v>
      </c>
      <c r="CK590" s="82">
        <f t="shared" si="667"/>
        <v>5.3070370403969858E-3</v>
      </c>
      <c r="CL590" s="82" t="e">
        <f t="shared" si="668"/>
        <v>#N/A</v>
      </c>
      <c r="CM590" s="82">
        <f t="shared" si="669"/>
        <v>5.3070370403969858E-3</v>
      </c>
      <c r="CO590" s="149" t="str">
        <f>IF($I590&lt;&gt;"",IF(O590="User Specified",U590,INDEX('Refrigerant GWPs'!$G$2:$G$156,MATCH(O590,'Refrigerant GWPs'!$A$2:$A$156,0))),"")</f>
        <v/>
      </c>
      <c r="CP590" s="138" t="str">
        <f>IF($I590&lt;&gt;"",INDEX('Device Refrigerant Leakage'!$E$2:$E$42,MATCH($M590,'Device Refrigerant Leakage'!$B$2:$B$42,0)),"")</f>
        <v/>
      </c>
      <c r="CQ590" s="138" t="str">
        <f>IF($I590&lt;&gt;"",INDEX('Device Refrigerant Leakage'!$F$2:$F$42,MATCH($M590,'Device Refrigerant Leakage'!$B$2:$B$42,0)),"")</f>
        <v/>
      </c>
      <c r="CR590" s="145" t="str">
        <f>IF($I590&lt;&gt;"",INDEX('Device Refrigerant Leakage'!$G$2:$G$42,MATCH($M590,'Device Refrigerant Leakage'!$B$2:$B$42,0)),"")</f>
        <v/>
      </c>
      <c r="CS590" s="145" t="str">
        <f>IF($I590&lt;&gt;"",INDEX('Device Refrigerant Leakage'!$D$2:$D$42,MATCH($M590,'Device Refrigerant Leakage'!$B$2:$B$42,0))*CP590/2204.62*CO590,"")</f>
        <v/>
      </c>
      <c r="CT590" s="145" t="str">
        <f>IF($I590&lt;&gt;"",J590*(INDEX('Device Refrigerant Leakage'!$D$2:$D$42,MATCH($M590,'Device Refrigerant Leakage'!$B$2:$B$42,0))-(INDEX('Device Refrigerant Leakage'!$D$2:$D$42,MATCH($M590,'Device Refrigerant Leakage'!$B$2:$B$42,0)))*CR590*CP590)*CQ590/2204.62*CO590,"")</f>
        <v/>
      </c>
      <c r="CU590" s="135" t="str">
        <f>IF($I590&lt;&gt;"",J590*IF(W590&lt;&gt;"AR",(CS590*K590)+CT590,(CS590*AB590)+CT590*(AB590/INDEX('Device Refrigerant Leakage'!$C$2:$C$42,MATCH($M590,'Device Refrigerant Leakage'!$B$2:$B$42,0)))),"")</f>
        <v/>
      </c>
      <c r="CW590" s="135" t="str">
        <f>IF($I590&lt;&gt;"",IF(S590="User Specified",V590,INDEX('Refrigerant GWPs'!$G$2:$G$156,MATCH(S590,'Refrigerant GWPs'!$A$2:$A$157,0))),"")</f>
        <v/>
      </c>
      <c r="CX590" s="138" t="str">
        <f>IF($I590&lt;&gt;"",INDEX('Device Refrigerant Leakage'!$E$2:$E$42,MATCH($Q590,'Device Refrigerant Leakage'!$B$2:$B$42,0)),"")</f>
        <v/>
      </c>
      <c r="CY590" s="138" t="str">
        <f>IF($I590&lt;&gt;"",INDEX('Device Refrigerant Leakage'!$F$2:$F$42,MATCH($Q590,'Device Refrigerant Leakage'!$B$2:$B$42,0)),"")</f>
        <v/>
      </c>
      <c r="CZ590" s="145" t="str">
        <f>IF($I590&lt;&gt;"",INDEX('Device Refrigerant Leakage'!$G$2:$G$42,MATCH($Q590,'Device Refrigerant Leakage'!$B$2:$B$42,0)),"")</f>
        <v/>
      </c>
      <c r="DA590" s="145" t="str">
        <f>IF($I590&lt;&gt;"",J590*INDEX('Device Refrigerant Leakage'!$D$2:$D$42,MATCH($Q590,'Device Refrigerant Leakage'!$B$2:$B$42,0))*CX590/2204.62*CW590,"")</f>
        <v/>
      </c>
      <c r="DB590" s="145" t="str">
        <f>IF($I590&lt;&gt;"",J590*(INDEX('Device Refrigerant Leakage'!$D$2:$D$42,MATCH($Q590,'Device Refrigerant Leakage'!$B$2:$B$42,0))-(INDEX('Device Refrigerant Leakage'!$D$2:$D$42,MATCH($Q590,'Device Refrigerant Leakage'!$B$2:$B$42,0)))*CZ590*CX590)*CY590/2204.62*CW590,"")</f>
        <v/>
      </c>
      <c r="DC590" s="135" t="str">
        <f t="shared" si="688"/>
        <v/>
      </c>
      <c r="DE590" s="146" t="str">
        <f>IF(W590&lt;&gt;"AR","",IF(Y590="User Specified", AA590, INDEX('Refrigerant GWPs'!$G$2:$G$154,MATCH(Y590,'Refrigerant GWPs'!$A$2:$A$154,0))))</f>
        <v/>
      </c>
      <c r="DF590" s="146" t="str">
        <f>IF(W590&lt;&gt;"AR","",INDEX('Device Refrigerant Leakage'!$E$2:$E$42,MATCH(X590,'Device Refrigerant Leakage'!$B$2:$B$42,0)))</f>
        <v/>
      </c>
      <c r="DG590" s="146" t="str">
        <f>IF(W590&lt;&gt;"AR","",INDEX('Device Refrigerant Leakage'!$F$2:$F$42,MATCH(X590,'Device Refrigerant Leakage'!$B$2:$B$42,0)))</f>
        <v/>
      </c>
      <c r="DH590" s="146" t="str">
        <f>IF(W590&lt;&gt;"AR","",INDEX('Device Refrigerant Leakage'!$G$2:$G$42,MATCH(X590,'Device Refrigerant Leakage'!$B$2:$B$42,0)))</f>
        <v/>
      </c>
      <c r="DI590" s="146" t="str">
        <f>IF(W590&lt;&gt;"AR","",J590*INDEX('Device Refrigerant Leakage'!$D$2:$D$42,MATCH(X590,'Device Refrigerant Leakage'!$B$2:$B$42,0))*DF590/2204.62*DE590)</f>
        <v/>
      </c>
      <c r="DJ590" s="146" t="str">
        <f>IF(W590&lt;&gt;"AR","",J590*(INDEX('Device Refrigerant Leakage'!$D$2:$D$42,MATCH(X590,'Device Refrigerant Leakage'!$B$2:$B$42,0))-(INDEX('Device Refrigerant Leakage'!$D$2:$D$42,MATCH(X590,'Device Refrigerant Leakage'!$B$2:$B$42,0)))*DH590*DF590)*DG590/2204.62*DE590)</f>
        <v/>
      </c>
      <c r="DK590" s="146" t="str">
        <f>IF(W590&lt;&gt;"AR","",DI590*(K590-AB590)+'Fuel Sub Calcs-Deemed'!DJ590*((K590-AB590)/INDEX('Device Refrigerant Leakage'!$C$2:$C$42,MATCH('Fuel Sub Calcs-Deemed'!X590,'Device Refrigerant Leakage'!$B$2:$B$42,0))))</f>
        <v/>
      </c>
      <c r="DM590" s="56">
        <v>576</v>
      </c>
      <c r="DN590" s="67" t="e">
        <f t="shared" si="670"/>
        <v>#N/A</v>
      </c>
      <c r="DO590" s="45" t="e">
        <f t="shared" si="671"/>
        <v>#N/A</v>
      </c>
      <c r="DP590" s="67" t="e">
        <f t="shared" si="672"/>
        <v>#N/A</v>
      </c>
      <c r="DQ590" s="45" t="e">
        <f t="shared" si="673"/>
        <v>#N/A</v>
      </c>
      <c r="DR590" s="69" t="e">
        <f t="shared" si="674"/>
        <v>#N/A</v>
      </c>
      <c r="DS590" s="34"/>
      <c r="DT590" s="67" t="e">
        <f>((BX590*CJ590)+IF($W590=MAT_AR,(BZ590*CL590),0))*(1+Reference!$E$50+Reference!$E$51)</f>
        <v>#N/A</v>
      </c>
      <c r="DU590" s="67">
        <f>((BY590*CK590)+IF($W590=MAT_AR,(CA590*CM590),0))*(1+Reference!$G$50+Reference!$G$51)</f>
        <v>0</v>
      </c>
      <c r="DV590" s="67" t="e">
        <f t="shared" si="675"/>
        <v>#VALUE!</v>
      </c>
      <c r="DX590" s="56">
        <v>576</v>
      </c>
      <c r="DY590" s="67">
        <f t="shared" si="676"/>
        <v>0</v>
      </c>
      <c r="DZ590" s="45" t="e">
        <f>VLOOKUP($R590,Dropdown!$C$3:$D$4,2,FALSE)</f>
        <v>#N/A</v>
      </c>
      <c r="EA590" s="68">
        <f t="shared" si="677"/>
        <v>0</v>
      </c>
      <c r="EB590" s="68" t="str">
        <f t="shared" si="678"/>
        <v>N/A</v>
      </c>
      <c r="EC590" s="68">
        <f t="shared" si="679"/>
        <v>0</v>
      </c>
      <c r="ED590" s="68" t="str">
        <f t="shared" si="717"/>
        <v>N/A</v>
      </c>
      <c r="EF590" s="56">
        <v>576</v>
      </c>
      <c r="EG590" s="46">
        <f t="shared" si="680"/>
        <v>0</v>
      </c>
      <c r="EH590" s="68" t="e">
        <f t="shared" si="681"/>
        <v>#N/A</v>
      </c>
      <c r="EI590" s="68" t="e">
        <f t="shared" si="682"/>
        <v>#N/A</v>
      </c>
      <c r="EJ590" s="68" t="e">
        <f t="shared" si="683"/>
        <v>#N/A</v>
      </c>
      <c r="EK590" s="68" t="e">
        <f t="shared" si="684"/>
        <v>#N/A</v>
      </c>
      <c r="EL590" s="46">
        <f t="shared" si="685"/>
        <v>0</v>
      </c>
      <c r="EM590" s="46">
        <f t="shared" si="686"/>
        <v>0</v>
      </c>
    </row>
    <row r="591" spans="1:143">
      <c r="A591" s="89"/>
      <c r="B591" s="89"/>
      <c r="C591" s="89"/>
      <c r="D591" s="89"/>
      <c r="E591" s="89"/>
      <c r="F591" s="89"/>
      <c r="G591" s="34"/>
      <c r="H591" s="56">
        <f t="shared" si="687"/>
        <v>577</v>
      </c>
      <c r="I591" s="165"/>
      <c r="J591" s="163"/>
      <c r="K591" s="163"/>
      <c r="L591" s="164"/>
      <c r="M591" s="155"/>
      <c r="N591" s="155"/>
      <c r="O591" s="144"/>
      <c r="P591" s="159" t="str">
        <f>IFERROR(IF(O591&lt;&gt;"User Specified",IF(O591&lt;&gt;"", INDEX('Refrigerant GWPs'!$G$2:$G$154,MATCH(O591,'Refrigerant GWPs'!$A$2:$A$154,0)),""),U591),0)</f>
        <v/>
      </c>
      <c r="Q591" s="155"/>
      <c r="R591" s="155"/>
      <c r="S591" s="144"/>
      <c r="T591" s="159" t="str">
        <f>IF(S591&lt;&gt;"User Specified",IF(AND(S591&lt;&gt;"User Specified",S591&lt;&gt;""), INDEX('Refrigerant GWPs'!$G$2:$G$154,MATCH(S591,'Refrigerant GWPs'!$A$2:$A$154,0)),""),V591)</f>
        <v/>
      </c>
      <c r="U591" s="144"/>
      <c r="V591" s="144"/>
      <c r="W591" s="155"/>
      <c r="X591" s="155"/>
      <c r="Y591" s="144"/>
      <c r="Z591" s="159" t="str">
        <f>IF(AND(Y591&lt;&gt;"User Specified",Y591&lt;&gt;""), INDEX('Refrigerant GWPs'!$G$2:$G$154,MATCH(Y591,'Refrigerant GWPs'!$A$2:$A$154,0)),"")</f>
        <v/>
      </c>
      <c r="AA591" s="155"/>
      <c r="AB591" s="156"/>
      <c r="AC591" s="66"/>
      <c r="AD591" s="66"/>
      <c r="AE591" s="66"/>
      <c r="AF591" s="66"/>
      <c r="AG591" s="66"/>
      <c r="AH591" s="66"/>
      <c r="AI591" s="34"/>
      <c r="AJ591" s="88">
        <f t="shared" ref="AJ591:AJ654" si="718">IF($W591=MAT_AR,AC591,AF591)</f>
        <v>0</v>
      </c>
      <c r="AK591" s="88">
        <f t="shared" ref="AK591:AK654" si="719">IF($W591=MAT_AR,AE591,AH591)</f>
        <v>0</v>
      </c>
      <c r="AL591" s="88">
        <v>0</v>
      </c>
      <c r="AM591" s="88">
        <v>0</v>
      </c>
      <c r="AN591" s="81" t="str">
        <f t="shared" si="689"/>
        <v/>
      </c>
      <c r="AO591" s="88">
        <f t="shared" ref="AO591:AO654" si="720">IF($W591=MAT_AR,AF591,0)</f>
        <v>0</v>
      </c>
      <c r="AP591" s="88">
        <f t="shared" ref="AP591:AP654" si="721">IF($W591=MAT_AR,AH591,0)</f>
        <v>0</v>
      </c>
      <c r="AQ591" s="81" t="str">
        <f t="shared" ref="AQ591:AQ654" si="722">IF(AND(W591=MAT_AR,OR(BK591:BL591)),"Warning: Need to enter baseline and measure consumption","")</f>
        <v/>
      </c>
      <c r="AS591" s="41" t="b">
        <f t="shared" ref="AS591:AS654" si="723">NOT(W591=MAT_AR)</f>
        <v>1</v>
      </c>
      <c r="AT591" s="38">
        <f t="shared" ref="AT591:AT654" si="724">IF(W591=MAT_AR,AB591,K591)</f>
        <v>0</v>
      </c>
      <c r="AU591" s="60">
        <f t="shared" ref="AU591:AU654" si="725">K591-AT591</f>
        <v>0</v>
      </c>
      <c r="AV591" s="41">
        <f t="shared" ref="AV591:AV654" si="726">IF(W591=MAT_AR,AB591,0)</f>
        <v>0</v>
      </c>
      <c r="AW591" s="41" t="b">
        <f t="shared" ref="AW591:AW654" si="727">AND(NOT(ISBLANK(I591)),NOT(ISBLANK(J591)),NOT(ISBLANK(K591)),NOT(ISBLANK(L591)),NOT(ISBLANK(N591)),NOT(ISBLANK(R591)),NOT(OR(BC591:BD591)),NOT(ISBLANK(W591)))</f>
        <v>0</v>
      </c>
      <c r="AX591" t="str">
        <f t="shared" ref="AX591:AX654" si="728">$L591&amp;"+"&amp;TEXT(ROUND($AT591,0),"00")</f>
        <v>+00</v>
      </c>
      <c r="AY591" t="str">
        <f t="shared" ref="AY591:AY654" si="729">TEXT(ROUND($L591+$AT591,0),"#")&amp;"+"&amp;TEXT(ROUND($AU591,0),"00")</f>
        <v>+00</v>
      </c>
      <c r="BA591" s="47" t="b">
        <f t="shared" si="690"/>
        <v>1</v>
      </c>
      <c r="BB591" s="42" t="b">
        <f t="shared" si="691"/>
        <v>1</v>
      </c>
      <c r="BC591" s="42" t="b">
        <f t="shared" si="692"/>
        <v>0</v>
      </c>
      <c r="BD591" s="42" t="b">
        <f t="shared" si="693"/>
        <v>0</v>
      </c>
      <c r="BE591" s="70">
        <f t="shared" si="694"/>
        <v>0</v>
      </c>
      <c r="BF591" s="70">
        <f t="shared" si="695"/>
        <v>0</v>
      </c>
      <c r="BG591" s="34"/>
      <c r="BI591" s="47" t="b">
        <f t="shared" si="696"/>
        <v>1</v>
      </c>
      <c r="BJ591" s="47" t="b">
        <f t="shared" si="697"/>
        <v>1</v>
      </c>
      <c r="BK591" s="42" t="b">
        <f t="shared" si="698"/>
        <v>0</v>
      </c>
      <c r="BL591" s="42" t="b">
        <f t="shared" si="699"/>
        <v>0</v>
      </c>
      <c r="BM591" s="42">
        <f t="shared" si="700"/>
        <v>0</v>
      </c>
      <c r="BN591" s="42">
        <f t="shared" si="701"/>
        <v>0</v>
      </c>
      <c r="BP591" t="e">
        <f t="shared" si="702"/>
        <v>#N/A</v>
      </c>
      <c r="BQ591" t="e">
        <f t="shared" si="703"/>
        <v>#N/A</v>
      </c>
      <c r="BR591" t="e">
        <f t="shared" si="704"/>
        <v>#N/A</v>
      </c>
      <c r="BT591" s="60">
        <f t="shared" si="705"/>
        <v>0</v>
      </c>
      <c r="BU591" s="60">
        <f t="shared" si="706"/>
        <v>0</v>
      </c>
      <c r="BV591" s="60">
        <f t="shared" si="707"/>
        <v>0</v>
      </c>
      <c r="BW591" s="60">
        <f t="shared" si="708"/>
        <v>0</v>
      </c>
      <c r="BX591" s="60">
        <f t="shared" si="709"/>
        <v>0</v>
      </c>
      <c r="BY591" s="60">
        <f t="shared" si="710"/>
        <v>0</v>
      </c>
      <c r="BZ591" s="60">
        <f t="shared" si="711"/>
        <v>0</v>
      </c>
      <c r="CA591" s="60">
        <f t="shared" si="712"/>
        <v>0</v>
      </c>
      <c r="CB591" s="60" t="e">
        <f t="shared" ref="CB591:CB654" si="730">INDEX(AFL_Source_Energy_Btu_per_kWh,MATCH($AX591,AFL_IndexB,0))</f>
        <v>#N/A</v>
      </c>
      <c r="CC591" s="60">
        <f t="shared" ref="CC591:CC654" si="731">Btu_therm</f>
        <v>100000</v>
      </c>
      <c r="CD591" s="60" t="e">
        <f t="shared" ref="CD591:CD654" si="732">INDEX(AFL_Source_Energy_Btu_per_kWh,MATCH($AY591,AFL_IndexB,0))</f>
        <v>#N/A</v>
      </c>
      <c r="CE591" s="60">
        <f t="shared" ref="CE591:CE654" si="733">Btu_therm</f>
        <v>100000</v>
      </c>
      <c r="CF591" s="83" t="e">
        <f t="shared" si="713"/>
        <v>#N/A</v>
      </c>
      <c r="CG591" s="83">
        <f t="shared" si="714"/>
        <v>0</v>
      </c>
      <c r="CH591" s="83" t="e">
        <f t="shared" si="715"/>
        <v>#N/A</v>
      </c>
      <c r="CI591" s="83">
        <f t="shared" si="716"/>
        <v>0</v>
      </c>
      <c r="CJ591" s="86" t="e">
        <f t="shared" ref="CJ591:CJ654" si="734">INDEX(AFL_Emissions_Intensity_metric_tonnes_per_MWh,MATCH($AX591,AFL_IndexB,0))/1000</f>
        <v>#N/A</v>
      </c>
      <c r="CK591" s="82">
        <f t="shared" ref="CK591:CK654" si="735">NG_metric_tonne_CO2_therm</f>
        <v>5.3070370403969858E-3</v>
      </c>
      <c r="CL591" s="82" t="e">
        <f t="shared" ref="CL591:CL654" si="736">INDEX(AFL_Emissions_Intensity_metric_tonnes_per_MWh,MATCH($AY591,AFL_IndexB,0))/1000</f>
        <v>#N/A</v>
      </c>
      <c r="CM591" s="82">
        <f t="shared" ref="CM591:CM654" si="737">NG_metric_tonne_CO2_therm</f>
        <v>5.3070370403969858E-3</v>
      </c>
      <c r="CO591" s="149" t="str">
        <f>IF($I591&lt;&gt;"",IF(O591="User Specified",U591,INDEX('Refrigerant GWPs'!$G$2:$G$156,MATCH(O591,'Refrigerant GWPs'!$A$2:$A$156,0))),"")</f>
        <v/>
      </c>
      <c r="CP591" s="138" t="str">
        <f>IF($I591&lt;&gt;"",INDEX('Device Refrigerant Leakage'!$E$2:$E$42,MATCH($M591,'Device Refrigerant Leakage'!$B$2:$B$42,0)),"")</f>
        <v/>
      </c>
      <c r="CQ591" s="138" t="str">
        <f>IF($I591&lt;&gt;"",INDEX('Device Refrigerant Leakage'!$F$2:$F$42,MATCH($M591,'Device Refrigerant Leakage'!$B$2:$B$42,0)),"")</f>
        <v/>
      </c>
      <c r="CR591" s="145" t="str">
        <f>IF($I591&lt;&gt;"",INDEX('Device Refrigerant Leakage'!$G$2:$G$42,MATCH($M591,'Device Refrigerant Leakage'!$B$2:$B$42,0)),"")</f>
        <v/>
      </c>
      <c r="CS591" s="145" t="str">
        <f>IF($I591&lt;&gt;"",INDEX('Device Refrigerant Leakage'!$D$2:$D$42,MATCH($M591,'Device Refrigerant Leakage'!$B$2:$B$42,0))*CP591/2204.62*CO591,"")</f>
        <v/>
      </c>
      <c r="CT591" s="145" t="str">
        <f>IF($I591&lt;&gt;"",J591*(INDEX('Device Refrigerant Leakage'!$D$2:$D$42,MATCH($M591,'Device Refrigerant Leakage'!$B$2:$B$42,0))-(INDEX('Device Refrigerant Leakage'!$D$2:$D$42,MATCH($M591,'Device Refrigerant Leakage'!$B$2:$B$42,0)))*CR591*CP591)*CQ591/2204.62*CO591,"")</f>
        <v/>
      </c>
      <c r="CU591" s="135" t="str">
        <f>IF($I591&lt;&gt;"",J591*IF(W591&lt;&gt;"AR",(CS591*K591)+CT591,(CS591*AB591)+CT591*(AB591/INDEX('Device Refrigerant Leakage'!$C$2:$C$42,MATCH($M591,'Device Refrigerant Leakage'!$B$2:$B$42,0)))),"")</f>
        <v/>
      </c>
      <c r="CW591" s="135" t="str">
        <f>IF($I591&lt;&gt;"",IF(S591="User Specified",V591,INDEX('Refrigerant GWPs'!$G$2:$G$156,MATCH(S591,'Refrigerant GWPs'!$A$2:$A$157,0))),"")</f>
        <v/>
      </c>
      <c r="CX591" s="138" t="str">
        <f>IF($I591&lt;&gt;"",INDEX('Device Refrigerant Leakage'!$E$2:$E$42,MATCH($Q591,'Device Refrigerant Leakage'!$B$2:$B$42,0)),"")</f>
        <v/>
      </c>
      <c r="CY591" s="138" t="str">
        <f>IF($I591&lt;&gt;"",INDEX('Device Refrigerant Leakage'!$F$2:$F$42,MATCH($Q591,'Device Refrigerant Leakage'!$B$2:$B$42,0)),"")</f>
        <v/>
      </c>
      <c r="CZ591" s="145" t="str">
        <f>IF($I591&lt;&gt;"",INDEX('Device Refrigerant Leakage'!$G$2:$G$42,MATCH($Q591,'Device Refrigerant Leakage'!$B$2:$B$42,0)),"")</f>
        <v/>
      </c>
      <c r="DA591" s="145" t="str">
        <f>IF($I591&lt;&gt;"",J591*INDEX('Device Refrigerant Leakage'!$D$2:$D$42,MATCH($Q591,'Device Refrigerant Leakage'!$B$2:$B$42,0))*CX591/2204.62*CW591,"")</f>
        <v/>
      </c>
      <c r="DB591" s="145" t="str">
        <f>IF($I591&lt;&gt;"",J591*(INDEX('Device Refrigerant Leakage'!$D$2:$D$42,MATCH($Q591,'Device Refrigerant Leakage'!$B$2:$B$42,0))-(INDEX('Device Refrigerant Leakage'!$D$2:$D$42,MATCH($Q591,'Device Refrigerant Leakage'!$B$2:$B$42,0)))*CZ591*CX591)*CY591/2204.62*CW591,"")</f>
        <v/>
      </c>
      <c r="DC591" s="135" t="str">
        <f t="shared" si="688"/>
        <v/>
      </c>
      <c r="DE591" s="146" t="str">
        <f>IF(W591&lt;&gt;"AR","",IF(Y591="User Specified", AA591, INDEX('Refrigerant GWPs'!$G$2:$G$154,MATCH(Y591,'Refrigerant GWPs'!$A$2:$A$154,0))))</f>
        <v/>
      </c>
      <c r="DF591" s="146" t="str">
        <f>IF(W591&lt;&gt;"AR","",INDEX('Device Refrigerant Leakage'!$E$2:$E$42,MATCH(X591,'Device Refrigerant Leakage'!$B$2:$B$42,0)))</f>
        <v/>
      </c>
      <c r="DG591" s="146" t="str">
        <f>IF(W591&lt;&gt;"AR","",INDEX('Device Refrigerant Leakage'!$F$2:$F$42,MATCH(X591,'Device Refrigerant Leakage'!$B$2:$B$42,0)))</f>
        <v/>
      </c>
      <c r="DH591" s="146" t="str">
        <f>IF(W591&lt;&gt;"AR","",INDEX('Device Refrigerant Leakage'!$G$2:$G$42,MATCH(X591,'Device Refrigerant Leakage'!$B$2:$B$42,0)))</f>
        <v/>
      </c>
      <c r="DI591" s="146" t="str">
        <f>IF(W591&lt;&gt;"AR","",J591*INDEX('Device Refrigerant Leakage'!$D$2:$D$42,MATCH(X591,'Device Refrigerant Leakage'!$B$2:$B$42,0))*DF591/2204.62*DE591)</f>
        <v/>
      </c>
      <c r="DJ591" s="146" t="str">
        <f>IF(W591&lt;&gt;"AR","",J591*(INDEX('Device Refrigerant Leakage'!$D$2:$D$42,MATCH(X591,'Device Refrigerant Leakage'!$B$2:$B$42,0))-(INDEX('Device Refrigerant Leakage'!$D$2:$D$42,MATCH(X591,'Device Refrigerant Leakage'!$B$2:$B$42,0)))*DH591*DF591)*DG591/2204.62*DE591)</f>
        <v/>
      </c>
      <c r="DK591" s="146" t="str">
        <f>IF(W591&lt;&gt;"AR","",DI591*(K591-AB591)+'Fuel Sub Calcs-Deemed'!DJ591*((K591-AB591)/INDEX('Device Refrigerant Leakage'!$C$2:$C$42,MATCH('Fuel Sub Calcs-Deemed'!X591,'Device Refrigerant Leakage'!$B$2:$B$42,0))))</f>
        <v/>
      </c>
      <c r="DM591" s="56">
        <v>577</v>
      </c>
      <c r="DN591" s="67" t="e">
        <f t="shared" ref="DN591:DN654" si="738">(CB591*BX591+BY591*CE591)/10^6+IF($W591=MAT_AR,(BZ591*CD591+CA591*CE591)/10^6,0)</f>
        <v>#N/A</v>
      </c>
      <c r="DO591" s="45" t="e">
        <f t="shared" ref="DO591:DO654" si="739">IF(BP591,"PASS","FAIL")</f>
        <v>#N/A</v>
      </c>
      <c r="DP591" s="67" t="e">
        <f t="shared" ref="DP591:DP654" si="740">(DT591+DU591+DV591)</f>
        <v>#N/A</v>
      </c>
      <c r="DQ591" s="45" t="e">
        <f t="shared" ref="DQ591:DQ654" si="741">IF(BQ591,"PASS","FAIL")</f>
        <v>#N/A</v>
      </c>
      <c r="DR591" s="69" t="e">
        <f t="shared" ref="DR591:DR654" si="742">IF(BR591,"Eligible","Not eligible")</f>
        <v>#N/A</v>
      </c>
      <c r="DS591" s="34"/>
      <c r="DT591" s="67" t="e">
        <f>((BX591*CJ591)+IF($W591=MAT_AR,(BZ591*CL591),0))*(1+Reference!$E$50+Reference!$E$51)</f>
        <v>#N/A</v>
      </c>
      <c r="DU591" s="67">
        <f>((BY591*CK591)+IF($W591=MAT_AR,(CA591*CM591),0))*(1+Reference!$G$50+Reference!$G$51)</f>
        <v>0</v>
      </c>
      <c r="DV591" s="67" t="e">
        <f t="shared" ref="DV591:DV654" si="743">IF(W591="NR",CU591-DC591,(CU591+DK591)-DC591)</f>
        <v>#VALUE!</v>
      </c>
      <c r="DX591" s="56">
        <v>577</v>
      </c>
      <c r="DY591" s="67">
        <f t="shared" ref="DY591:DY654" si="744">(Btu_per_kWh*BT591+Btu_therm*BU591)/10^6</f>
        <v>0</v>
      </c>
      <c r="DZ591" s="45" t="e">
        <f>VLOOKUP($R591,Dropdown!$C$3:$D$4,2,FALSE)</f>
        <v>#N/A</v>
      </c>
      <c r="EA591" s="68">
        <f t="shared" ref="EA591:EA654" si="745">IF($R591=fuel_electricity,$DY591*10^6/Btu_per_kWh,0)</f>
        <v>0</v>
      </c>
      <c r="EB591" s="68" t="str">
        <f t="shared" ref="EB591:EB654" si="746">IF($R591=fuel_natural_gas,$DY591/MMBtu_per_therm,"N/A")</f>
        <v>N/A</v>
      </c>
      <c r="EC591" s="68">
        <f t="shared" ref="EC591:EC654" si="747">IF($R591=fuel_electricity,"N/A",AJ591)</f>
        <v>0</v>
      </c>
      <c r="ED591" s="68" t="str">
        <f t="shared" si="717"/>
        <v>N/A</v>
      </c>
      <c r="EF591" s="56">
        <v>577</v>
      </c>
      <c r="EG591" s="46">
        <f t="shared" ref="EG591:EG654" si="748">J591</f>
        <v>0</v>
      </c>
      <c r="EH591" s="68" t="e">
        <f t="shared" ref="EH591:EH654" si="749">IF($BR591,BE591,0)</f>
        <v>#N/A</v>
      </c>
      <c r="EI591" s="68" t="e">
        <f t="shared" ref="EI591:EI654" si="750">IF($BR591,BF591,0)</f>
        <v>#N/A</v>
      </c>
      <c r="EJ591" s="68" t="e">
        <f t="shared" ref="EJ591:EJ654" si="751">IF($BR591,BM591,0)</f>
        <v>#N/A</v>
      </c>
      <c r="EK591" s="68" t="e">
        <f t="shared" ref="EK591:EK654" si="752">IF($BR591,BN591,0)</f>
        <v>#N/A</v>
      </c>
      <c r="EL591" s="46">
        <f t="shared" ref="EL591:EL654" si="753">K591</f>
        <v>0</v>
      </c>
      <c r="EM591" s="46">
        <f t="shared" ref="EM591:EM654" si="754">AV591</f>
        <v>0</v>
      </c>
    </row>
    <row r="592" spans="1:143">
      <c r="A592" s="89"/>
      <c r="B592" s="89"/>
      <c r="C592" s="89"/>
      <c r="D592" s="89"/>
      <c r="E592" s="89"/>
      <c r="F592" s="89"/>
      <c r="G592" s="34"/>
      <c r="H592" s="56">
        <f t="shared" ref="H592:H655" si="755">ROW($H592)-ROW($H$14)</f>
        <v>578</v>
      </c>
      <c r="I592" s="165"/>
      <c r="J592" s="163"/>
      <c r="K592" s="163"/>
      <c r="L592" s="164"/>
      <c r="M592" s="155"/>
      <c r="N592" s="155"/>
      <c r="O592" s="144"/>
      <c r="P592" s="159" t="str">
        <f>IFERROR(IF(O592&lt;&gt;"User Specified",IF(O592&lt;&gt;"", INDEX('Refrigerant GWPs'!$G$2:$G$154,MATCH(O592,'Refrigerant GWPs'!$A$2:$A$154,0)),""),U592),0)</f>
        <v/>
      </c>
      <c r="Q592" s="155"/>
      <c r="R592" s="155"/>
      <c r="S592" s="144"/>
      <c r="T592" s="159" t="str">
        <f>IF(S592&lt;&gt;"User Specified",IF(AND(S592&lt;&gt;"User Specified",S592&lt;&gt;""), INDEX('Refrigerant GWPs'!$G$2:$G$154,MATCH(S592,'Refrigerant GWPs'!$A$2:$A$154,0)),""),V592)</f>
        <v/>
      </c>
      <c r="U592" s="144"/>
      <c r="V592" s="144"/>
      <c r="W592" s="155"/>
      <c r="X592" s="155"/>
      <c r="Y592" s="144"/>
      <c r="Z592" s="159" t="str">
        <f>IF(AND(Y592&lt;&gt;"User Specified",Y592&lt;&gt;""), INDEX('Refrigerant GWPs'!$G$2:$G$154,MATCH(Y592,'Refrigerant GWPs'!$A$2:$A$154,0)),"")</f>
        <v/>
      </c>
      <c r="AA592" s="155"/>
      <c r="AB592" s="156"/>
      <c r="AC592" s="66"/>
      <c r="AD592" s="66"/>
      <c r="AE592" s="66"/>
      <c r="AF592" s="66"/>
      <c r="AG592" s="66"/>
      <c r="AH592" s="66"/>
      <c r="AI592" s="34"/>
      <c r="AJ592" s="88">
        <f t="shared" si="718"/>
        <v>0</v>
      </c>
      <c r="AK592" s="88">
        <f t="shared" si="719"/>
        <v>0</v>
      </c>
      <c r="AL592" s="88">
        <v>0</v>
      </c>
      <c r="AM592" s="88">
        <v>0</v>
      </c>
      <c r="AN592" s="81" t="str">
        <f t="shared" si="689"/>
        <v/>
      </c>
      <c r="AO592" s="88">
        <f t="shared" si="720"/>
        <v>0</v>
      </c>
      <c r="AP592" s="88">
        <f t="shared" si="721"/>
        <v>0</v>
      </c>
      <c r="AQ592" s="81" t="str">
        <f t="shared" si="722"/>
        <v/>
      </c>
      <c r="AS592" s="41" t="b">
        <f t="shared" si="723"/>
        <v>1</v>
      </c>
      <c r="AT592" s="38">
        <f t="shared" si="724"/>
        <v>0</v>
      </c>
      <c r="AU592" s="60">
        <f t="shared" si="725"/>
        <v>0</v>
      </c>
      <c r="AV592" s="41">
        <f t="shared" si="726"/>
        <v>0</v>
      </c>
      <c r="AW592" s="41" t="b">
        <f t="shared" si="727"/>
        <v>0</v>
      </c>
      <c r="AX592" t="str">
        <f t="shared" si="728"/>
        <v>+00</v>
      </c>
      <c r="AY592" t="str">
        <f t="shared" si="729"/>
        <v>+00</v>
      </c>
      <c r="BA592" s="47" t="b">
        <f t="shared" si="690"/>
        <v>1</v>
      </c>
      <c r="BB592" s="42" t="b">
        <f t="shared" si="691"/>
        <v>1</v>
      </c>
      <c r="BC592" s="42" t="b">
        <f t="shared" si="692"/>
        <v>0</v>
      </c>
      <c r="BD592" s="42" t="b">
        <f t="shared" si="693"/>
        <v>0</v>
      </c>
      <c r="BE592" s="70">
        <f t="shared" si="694"/>
        <v>0</v>
      </c>
      <c r="BF592" s="70">
        <f t="shared" si="695"/>
        <v>0</v>
      </c>
      <c r="BG592" s="34"/>
      <c r="BI592" s="47" t="b">
        <f t="shared" si="696"/>
        <v>1</v>
      </c>
      <c r="BJ592" s="47" t="b">
        <f t="shared" si="697"/>
        <v>1</v>
      </c>
      <c r="BK592" s="42" t="b">
        <f t="shared" si="698"/>
        <v>0</v>
      </c>
      <c r="BL592" s="42" t="b">
        <f t="shared" si="699"/>
        <v>0</v>
      </c>
      <c r="BM592" s="42">
        <f t="shared" si="700"/>
        <v>0</v>
      </c>
      <c r="BN592" s="42">
        <f t="shared" si="701"/>
        <v>0</v>
      </c>
      <c r="BP592" t="e">
        <f t="shared" si="702"/>
        <v>#N/A</v>
      </c>
      <c r="BQ592" t="e">
        <f t="shared" si="703"/>
        <v>#N/A</v>
      </c>
      <c r="BR592" t="e">
        <f t="shared" si="704"/>
        <v>#N/A</v>
      </c>
      <c r="BT592" s="60">
        <f t="shared" si="705"/>
        <v>0</v>
      </c>
      <c r="BU592" s="60">
        <f t="shared" si="706"/>
        <v>0</v>
      </c>
      <c r="BV592" s="60">
        <f t="shared" si="707"/>
        <v>0</v>
      </c>
      <c r="BW592" s="60">
        <f t="shared" si="708"/>
        <v>0</v>
      </c>
      <c r="BX592" s="60">
        <f t="shared" si="709"/>
        <v>0</v>
      </c>
      <c r="BY592" s="60">
        <f t="shared" si="710"/>
        <v>0</v>
      </c>
      <c r="BZ592" s="60">
        <f t="shared" si="711"/>
        <v>0</v>
      </c>
      <c r="CA592" s="60">
        <f t="shared" si="712"/>
        <v>0</v>
      </c>
      <c r="CB592" s="60" t="e">
        <f t="shared" si="730"/>
        <v>#N/A</v>
      </c>
      <c r="CC592" s="60">
        <f t="shared" si="731"/>
        <v>100000</v>
      </c>
      <c r="CD592" s="60" t="e">
        <f t="shared" si="732"/>
        <v>#N/A</v>
      </c>
      <c r="CE592" s="60">
        <f t="shared" si="733"/>
        <v>100000</v>
      </c>
      <c r="CF592" s="83" t="e">
        <f t="shared" si="713"/>
        <v>#N/A</v>
      </c>
      <c r="CG592" s="83">
        <f t="shared" si="714"/>
        <v>0</v>
      </c>
      <c r="CH592" s="83" t="e">
        <f t="shared" si="715"/>
        <v>#N/A</v>
      </c>
      <c r="CI592" s="83">
        <f t="shared" si="716"/>
        <v>0</v>
      </c>
      <c r="CJ592" s="86" t="e">
        <f t="shared" si="734"/>
        <v>#N/A</v>
      </c>
      <c r="CK592" s="82">
        <f t="shared" si="735"/>
        <v>5.3070370403969858E-3</v>
      </c>
      <c r="CL592" s="82" t="e">
        <f t="shared" si="736"/>
        <v>#N/A</v>
      </c>
      <c r="CM592" s="82">
        <f t="shared" si="737"/>
        <v>5.3070370403969858E-3</v>
      </c>
      <c r="CO592" s="149" t="str">
        <f>IF($I592&lt;&gt;"",IF(O592="User Specified",U592,INDEX('Refrigerant GWPs'!$G$2:$G$156,MATCH(O592,'Refrigerant GWPs'!$A$2:$A$156,0))),"")</f>
        <v/>
      </c>
      <c r="CP592" s="138" t="str">
        <f>IF($I592&lt;&gt;"",INDEX('Device Refrigerant Leakage'!$E$2:$E$42,MATCH($M592,'Device Refrigerant Leakage'!$B$2:$B$42,0)),"")</f>
        <v/>
      </c>
      <c r="CQ592" s="138" t="str">
        <f>IF($I592&lt;&gt;"",INDEX('Device Refrigerant Leakage'!$F$2:$F$42,MATCH($M592,'Device Refrigerant Leakage'!$B$2:$B$42,0)),"")</f>
        <v/>
      </c>
      <c r="CR592" s="145" t="str">
        <f>IF($I592&lt;&gt;"",INDEX('Device Refrigerant Leakage'!$G$2:$G$42,MATCH($M592,'Device Refrigerant Leakage'!$B$2:$B$42,0)),"")</f>
        <v/>
      </c>
      <c r="CS592" s="145" t="str">
        <f>IF($I592&lt;&gt;"",INDEX('Device Refrigerant Leakage'!$D$2:$D$42,MATCH($M592,'Device Refrigerant Leakage'!$B$2:$B$42,0))*CP592/2204.62*CO592,"")</f>
        <v/>
      </c>
      <c r="CT592" s="145" t="str">
        <f>IF($I592&lt;&gt;"",J592*(INDEX('Device Refrigerant Leakage'!$D$2:$D$42,MATCH($M592,'Device Refrigerant Leakage'!$B$2:$B$42,0))-(INDEX('Device Refrigerant Leakage'!$D$2:$D$42,MATCH($M592,'Device Refrigerant Leakage'!$B$2:$B$42,0)))*CR592*CP592)*CQ592/2204.62*CO592,"")</f>
        <v/>
      </c>
      <c r="CU592" s="135" t="str">
        <f>IF($I592&lt;&gt;"",J592*IF(W592&lt;&gt;"AR",(CS592*K592)+CT592,(CS592*AB592)+CT592*(AB592/INDEX('Device Refrigerant Leakage'!$C$2:$C$42,MATCH($M592,'Device Refrigerant Leakage'!$B$2:$B$42,0)))),"")</f>
        <v/>
      </c>
      <c r="CW592" s="135" t="str">
        <f>IF($I592&lt;&gt;"",IF(S592="User Specified",V592,INDEX('Refrigerant GWPs'!$G$2:$G$156,MATCH(S592,'Refrigerant GWPs'!$A$2:$A$157,0))),"")</f>
        <v/>
      </c>
      <c r="CX592" s="138" t="str">
        <f>IF($I592&lt;&gt;"",INDEX('Device Refrigerant Leakage'!$E$2:$E$42,MATCH($Q592,'Device Refrigerant Leakage'!$B$2:$B$42,0)),"")</f>
        <v/>
      </c>
      <c r="CY592" s="138" t="str">
        <f>IF($I592&lt;&gt;"",INDEX('Device Refrigerant Leakage'!$F$2:$F$42,MATCH($Q592,'Device Refrigerant Leakage'!$B$2:$B$42,0)),"")</f>
        <v/>
      </c>
      <c r="CZ592" s="145" t="str">
        <f>IF($I592&lt;&gt;"",INDEX('Device Refrigerant Leakage'!$G$2:$G$42,MATCH($Q592,'Device Refrigerant Leakage'!$B$2:$B$42,0)),"")</f>
        <v/>
      </c>
      <c r="DA592" s="145" t="str">
        <f>IF($I592&lt;&gt;"",J592*INDEX('Device Refrigerant Leakage'!$D$2:$D$42,MATCH($Q592,'Device Refrigerant Leakage'!$B$2:$B$42,0))*CX592/2204.62*CW592,"")</f>
        <v/>
      </c>
      <c r="DB592" s="145" t="str">
        <f>IF($I592&lt;&gt;"",J592*(INDEX('Device Refrigerant Leakage'!$D$2:$D$42,MATCH($Q592,'Device Refrigerant Leakage'!$B$2:$B$42,0))-(INDEX('Device Refrigerant Leakage'!$D$2:$D$42,MATCH($Q592,'Device Refrigerant Leakage'!$B$2:$B$42,0)))*CZ592*CX592)*CY592/2204.62*CW592,"")</f>
        <v/>
      </c>
      <c r="DC592" s="135" t="str">
        <f t="shared" ref="DC592:DC655" si="756">IF($I592&lt;&gt;"",(DA592*K592)+DB592,"")</f>
        <v/>
      </c>
      <c r="DE592" s="146" t="str">
        <f>IF(W592&lt;&gt;"AR","",IF(Y592="User Specified", AA592, INDEX('Refrigerant GWPs'!$G$2:$G$154,MATCH(Y592,'Refrigerant GWPs'!$A$2:$A$154,0))))</f>
        <v/>
      </c>
      <c r="DF592" s="146" t="str">
        <f>IF(W592&lt;&gt;"AR","",INDEX('Device Refrigerant Leakage'!$E$2:$E$42,MATCH(X592,'Device Refrigerant Leakage'!$B$2:$B$42,0)))</f>
        <v/>
      </c>
      <c r="DG592" s="146" t="str">
        <f>IF(W592&lt;&gt;"AR","",INDEX('Device Refrigerant Leakage'!$F$2:$F$42,MATCH(X592,'Device Refrigerant Leakage'!$B$2:$B$42,0)))</f>
        <v/>
      </c>
      <c r="DH592" s="146" t="str">
        <f>IF(W592&lt;&gt;"AR","",INDEX('Device Refrigerant Leakage'!$G$2:$G$42,MATCH(X592,'Device Refrigerant Leakage'!$B$2:$B$42,0)))</f>
        <v/>
      </c>
      <c r="DI592" s="146" t="str">
        <f>IF(W592&lt;&gt;"AR","",J592*INDEX('Device Refrigerant Leakage'!$D$2:$D$42,MATCH(X592,'Device Refrigerant Leakage'!$B$2:$B$42,0))*DF592/2204.62*DE592)</f>
        <v/>
      </c>
      <c r="DJ592" s="146" t="str">
        <f>IF(W592&lt;&gt;"AR","",J592*(INDEX('Device Refrigerant Leakage'!$D$2:$D$42,MATCH(X592,'Device Refrigerant Leakage'!$B$2:$B$42,0))-(INDEX('Device Refrigerant Leakage'!$D$2:$D$42,MATCH(X592,'Device Refrigerant Leakage'!$B$2:$B$42,0)))*DH592*DF592)*DG592/2204.62*DE592)</f>
        <v/>
      </c>
      <c r="DK592" s="146" t="str">
        <f>IF(W592&lt;&gt;"AR","",DI592*(K592-AB592)+'Fuel Sub Calcs-Deemed'!DJ592*((K592-AB592)/INDEX('Device Refrigerant Leakage'!$C$2:$C$42,MATCH('Fuel Sub Calcs-Deemed'!X592,'Device Refrigerant Leakage'!$B$2:$B$42,0))))</f>
        <v/>
      </c>
      <c r="DM592" s="56">
        <v>578</v>
      </c>
      <c r="DN592" s="67" t="e">
        <f t="shared" si="738"/>
        <v>#N/A</v>
      </c>
      <c r="DO592" s="45" t="e">
        <f t="shared" si="739"/>
        <v>#N/A</v>
      </c>
      <c r="DP592" s="67" t="e">
        <f t="shared" si="740"/>
        <v>#N/A</v>
      </c>
      <c r="DQ592" s="45" t="e">
        <f t="shared" si="741"/>
        <v>#N/A</v>
      </c>
      <c r="DR592" s="69" t="e">
        <f t="shared" si="742"/>
        <v>#N/A</v>
      </c>
      <c r="DS592" s="34"/>
      <c r="DT592" s="67" t="e">
        <f>((BX592*CJ592)+IF($W592=MAT_AR,(BZ592*CL592),0))*(1+Reference!$E$50+Reference!$E$51)</f>
        <v>#N/A</v>
      </c>
      <c r="DU592" s="67">
        <f>((BY592*CK592)+IF($W592=MAT_AR,(CA592*CM592),0))*(1+Reference!$G$50+Reference!$G$51)</f>
        <v>0</v>
      </c>
      <c r="DV592" s="67" t="e">
        <f t="shared" si="743"/>
        <v>#VALUE!</v>
      </c>
      <c r="DX592" s="56">
        <v>578</v>
      </c>
      <c r="DY592" s="67">
        <f t="shared" si="744"/>
        <v>0</v>
      </c>
      <c r="DZ592" s="45" t="e">
        <f>VLOOKUP($R592,Dropdown!$C$3:$D$4,2,FALSE)</f>
        <v>#N/A</v>
      </c>
      <c r="EA592" s="68">
        <f t="shared" si="745"/>
        <v>0</v>
      </c>
      <c r="EB592" s="68" t="str">
        <f t="shared" si="746"/>
        <v>N/A</v>
      </c>
      <c r="EC592" s="68">
        <f t="shared" si="747"/>
        <v>0</v>
      </c>
      <c r="ED592" s="68" t="str">
        <f t="shared" si="717"/>
        <v>N/A</v>
      </c>
      <c r="EF592" s="56">
        <v>578</v>
      </c>
      <c r="EG592" s="46">
        <f t="shared" si="748"/>
        <v>0</v>
      </c>
      <c r="EH592" s="68" t="e">
        <f t="shared" si="749"/>
        <v>#N/A</v>
      </c>
      <c r="EI592" s="68" t="e">
        <f t="shared" si="750"/>
        <v>#N/A</v>
      </c>
      <c r="EJ592" s="68" t="e">
        <f t="shared" si="751"/>
        <v>#N/A</v>
      </c>
      <c r="EK592" s="68" t="e">
        <f t="shared" si="752"/>
        <v>#N/A</v>
      </c>
      <c r="EL592" s="46">
        <f t="shared" si="753"/>
        <v>0</v>
      </c>
      <c r="EM592" s="46">
        <f t="shared" si="754"/>
        <v>0</v>
      </c>
    </row>
    <row r="593" spans="1:143">
      <c r="A593" s="89"/>
      <c r="B593" s="89"/>
      <c r="C593" s="89"/>
      <c r="D593" s="89"/>
      <c r="E593" s="89"/>
      <c r="F593" s="89"/>
      <c r="G593" s="34"/>
      <c r="H593" s="56">
        <f t="shared" si="755"/>
        <v>579</v>
      </c>
      <c r="I593" s="165"/>
      <c r="J593" s="163"/>
      <c r="K593" s="163"/>
      <c r="L593" s="164"/>
      <c r="M593" s="155"/>
      <c r="N593" s="155"/>
      <c r="O593" s="144"/>
      <c r="P593" s="159" t="str">
        <f>IFERROR(IF(O593&lt;&gt;"User Specified",IF(O593&lt;&gt;"", INDEX('Refrigerant GWPs'!$G$2:$G$154,MATCH(O593,'Refrigerant GWPs'!$A$2:$A$154,0)),""),U593),0)</f>
        <v/>
      </c>
      <c r="Q593" s="155"/>
      <c r="R593" s="155"/>
      <c r="S593" s="144"/>
      <c r="T593" s="159" t="str">
        <f>IF(S593&lt;&gt;"User Specified",IF(AND(S593&lt;&gt;"User Specified",S593&lt;&gt;""), INDEX('Refrigerant GWPs'!$G$2:$G$154,MATCH(S593,'Refrigerant GWPs'!$A$2:$A$154,0)),""),V593)</f>
        <v/>
      </c>
      <c r="U593" s="144"/>
      <c r="V593" s="144"/>
      <c r="W593" s="155"/>
      <c r="X593" s="155"/>
      <c r="Y593" s="144"/>
      <c r="Z593" s="159" t="str">
        <f>IF(AND(Y593&lt;&gt;"User Specified",Y593&lt;&gt;""), INDEX('Refrigerant GWPs'!$G$2:$G$154,MATCH(Y593,'Refrigerant GWPs'!$A$2:$A$154,0)),"")</f>
        <v/>
      </c>
      <c r="AA593" s="155"/>
      <c r="AB593" s="156"/>
      <c r="AC593" s="66"/>
      <c r="AD593" s="66"/>
      <c r="AE593" s="66"/>
      <c r="AF593" s="66"/>
      <c r="AG593" s="66"/>
      <c r="AH593" s="66"/>
      <c r="AI593" s="34"/>
      <c r="AJ593" s="88">
        <f t="shared" si="718"/>
        <v>0</v>
      </c>
      <c r="AK593" s="88">
        <f t="shared" si="719"/>
        <v>0</v>
      </c>
      <c r="AL593" s="88">
        <v>0</v>
      </c>
      <c r="AM593" s="88">
        <v>0</v>
      </c>
      <c r="AN593" s="81" t="str">
        <f t="shared" si="689"/>
        <v/>
      </c>
      <c r="AO593" s="88">
        <f t="shared" si="720"/>
        <v>0</v>
      </c>
      <c r="AP593" s="88">
        <f t="shared" si="721"/>
        <v>0</v>
      </c>
      <c r="AQ593" s="81" t="str">
        <f t="shared" si="722"/>
        <v/>
      </c>
      <c r="AS593" s="41" t="b">
        <f t="shared" si="723"/>
        <v>1</v>
      </c>
      <c r="AT593" s="38">
        <f t="shared" si="724"/>
        <v>0</v>
      </c>
      <c r="AU593" s="60">
        <f t="shared" si="725"/>
        <v>0</v>
      </c>
      <c r="AV593" s="41">
        <f t="shared" si="726"/>
        <v>0</v>
      </c>
      <c r="AW593" s="41" t="b">
        <f t="shared" si="727"/>
        <v>0</v>
      </c>
      <c r="AX593" t="str">
        <f t="shared" si="728"/>
        <v>+00</v>
      </c>
      <c r="AY593" t="str">
        <f t="shared" si="729"/>
        <v>+00</v>
      </c>
      <c r="BA593" s="47" t="b">
        <f t="shared" si="690"/>
        <v>1</v>
      </c>
      <c r="BB593" s="42" t="b">
        <f t="shared" si="691"/>
        <v>1</v>
      </c>
      <c r="BC593" s="42" t="b">
        <f t="shared" si="692"/>
        <v>0</v>
      </c>
      <c r="BD593" s="42" t="b">
        <f t="shared" si="693"/>
        <v>0</v>
      </c>
      <c r="BE593" s="70">
        <f t="shared" si="694"/>
        <v>0</v>
      </c>
      <c r="BF593" s="70">
        <f t="shared" si="695"/>
        <v>0</v>
      </c>
      <c r="BG593" s="34"/>
      <c r="BI593" s="47" t="b">
        <f t="shared" si="696"/>
        <v>1</v>
      </c>
      <c r="BJ593" s="47" t="b">
        <f t="shared" si="697"/>
        <v>1</v>
      </c>
      <c r="BK593" s="42" t="b">
        <f t="shared" si="698"/>
        <v>0</v>
      </c>
      <c r="BL593" s="42" t="b">
        <f t="shared" si="699"/>
        <v>0</v>
      </c>
      <c r="BM593" s="42">
        <f t="shared" si="700"/>
        <v>0</v>
      </c>
      <c r="BN593" s="42">
        <f t="shared" si="701"/>
        <v>0</v>
      </c>
      <c r="BP593" t="e">
        <f t="shared" si="702"/>
        <v>#N/A</v>
      </c>
      <c r="BQ593" t="e">
        <f t="shared" si="703"/>
        <v>#N/A</v>
      </c>
      <c r="BR593" t="e">
        <f t="shared" si="704"/>
        <v>#N/A</v>
      </c>
      <c r="BT593" s="60">
        <f t="shared" si="705"/>
        <v>0</v>
      </c>
      <c r="BU593" s="60">
        <f t="shared" si="706"/>
        <v>0</v>
      </c>
      <c r="BV593" s="60">
        <f t="shared" si="707"/>
        <v>0</v>
      </c>
      <c r="BW593" s="60">
        <f t="shared" si="708"/>
        <v>0</v>
      </c>
      <c r="BX593" s="60">
        <f t="shared" si="709"/>
        <v>0</v>
      </c>
      <c r="BY593" s="60">
        <f t="shared" si="710"/>
        <v>0</v>
      </c>
      <c r="BZ593" s="60">
        <f t="shared" si="711"/>
        <v>0</v>
      </c>
      <c r="CA593" s="60">
        <f t="shared" si="712"/>
        <v>0</v>
      </c>
      <c r="CB593" s="60" t="e">
        <f t="shared" si="730"/>
        <v>#N/A</v>
      </c>
      <c r="CC593" s="60">
        <f t="shared" si="731"/>
        <v>100000</v>
      </c>
      <c r="CD593" s="60" t="e">
        <f t="shared" si="732"/>
        <v>#N/A</v>
      </c>
      <c r="CE593" s="60">
        <f t="shared" si="733"/>
        <v>100000</v>
      </c>
      <c r="CF593" s="83" t="e">
        <f t="shared" si="713"/>
        <v>#N/A</v>
      </c>
      <c r="CG593" s="83">
        <f t="shared" si="714"/>
        <v>0</v>
      </c>
      <c r="CH593" s="83" t="e">
        <f t="shared" si="715"/>
        <v>#N/A</v>
      </c>
      <c r="CI593" s="83">
        <f t="shared" si="716"/>
        <v>0</v>
      </c>
      <c r="CJ593" s="86" t="e">
        <f t="shared" si="734"/>
        <v>#N/A</v>
      </c>
      <c r="CK593" s="82">
        <f t="shared" si="735"/>
        <v>5.3070370403969858E-3</v>
      </c>
      <c r="CL593" s="82" t="e">
        <f t="shared" si="736"/>
        <v>#N/A</v>
      </c>
      <c r="CM593" s="82">
        <f t="shared" si="737"/>
        <v>5.3070370403969858E-3</v>
      </c>
      <c r="CO593" s="149" t="str">
        <f>IF($I593&lt;&gt;"",IF(O593="User Specified",U593,INDEX('Refrigerant GWPs'!$G$2:$G$156,MATCH(O593,'Refrigerant GWPs'!$A$2:$A$156,0))),"")</f>
        <v/>
      </c>
      <c r="CP593" s="138" t="str">
        <f>IF($I593&lt;&gt;"",INDEX('Device Refrigerant Leakage'!$E$2:$E$42,MATCH($M593,'Device Refrigerant Leakage'!$B$2:$B$42,0)),"")</f>
        <v/>
      </c>
      <c r="CQ593" s="138" t="str">
        <f>IF($I593&lt;&gt;"",INDEX('Device Refrigerant Leakage'!$F$2:$F$42,MATCH($M593,'Device Refrigerant Leakage'!$B$2:$B$42,0)),"")</f>
        <v/>
      </c>
      <c r="CR593" s="145" t="str">
        <f>IF($I593&lt;&gt;"",INDEX('Device Refrigerant Leakage'!$G$2:$G$42,MATCH($M593,'Device Refrigerant Leakage'!$B$2:$B$42,0)),"")</f>
        <v/>
      </c>
      <c r="CS593" s="145" t="str">
        <f>IF($I593&lt;&gt;"",INDEX('Device Refrigerant Leakage'!$D$2:$D$42,MATCH($M593,'Device Refrigerant Leakage'!$B$2:$B$42,0))*CP593/2204.62*CO593,"")</f>
        <v/>
      </c>
      <c r="CT593" s="145" t="str">
        <f>IF($I593&lt;&gt;"",J593*(INDEX('Device Refrigerant Leakage'!$D$2:$D$42,MATCH($M593,'Device Refrigerant Leakage'!$B$2:$B$42,0))-(INDEX('Device Refrigerant Leakage'!$D$2:$D$42,MATCH($M593,'Device Refrigerant Leakage'!$B$2:$B$42,0)))*CR593*CP593)*CQ593/2204.62*CO593,"")</f>
        <v/>
      </c>
      <c r="CU593" s="135" t="str">
        <f>IF($I593&lt;&gt;"",J593*IF(W593&lt;&gt;"AR",(CS593*K593)+CT593,(CS593*AB593)+CT593*(AB593/INDEX('Device Refrigerant Leakage'!$C$2:$C$42,MATCH($M593,'Device Refrigerant Leakage'!$B$2:$B$42,0)))),"")</f>
        <v/>
      </c>
      <c r="CW593" s="135" t="str">
        <f>IF($I593&lt;&gt;"",IF(S593="User Specified",V593,INDEX('Refrigerant GWPs'!$G$2:$G$156,MATCH(S593,'Refrigerant GWPs'!$A$2:$A$157,0))),"")</f>
        <v/>
      </c>
      <c r="CX593" s="138" t="str">
        <f>IF($I593&lt;&gt;"",INDEX('Device Refrigerant Leakage'!$E$2:$E$42,MATCH($Q593,'Device Refrigerant Leakage'!$B$2:$B$42,0)),"")</f>
        <v/>
      </c>
      <c r="CY593" s="138" t="str">
        <f>IF($I593&lt;&gt;"",INDEX('Device Refrigerant Leakage'!$F$2:$F$42,MATCH($Q593,'Device Refrigerant Leakage'!$B$2:$B$42,0)),"")</f>
        <v/>
      </c>
      <c r="CZ593" s="145" t="str">
        <f>IF($I593&lt;&gt;"",INDEX('Device Refrigerant Leakage'!$G$2:$G$42,MATCH($Q593,'Device Refrigerant Leakage'!$B$2:$B$42,0)),"")</f>
        <v/>
      </c>
      <c r="DA593" s="145" t="str">
        <f>IF($I593&lt;&gt;"",J593*INDEX('Device Refrigerant Leakage'!$D$2:$D$42,MATCH($Q593,'Device Refrigerant Leakage'!$B$2:$B$42,0))*CX593/2204.62*CW593,"")</f>
        <v/>
      </c>
      <c r="DB593" s="145" t="str">
        <f>IF($I593&lt;&gt;"",J593*(INDEX('Device Refrigerant Leakage'!$D$2:$D$42,MATCH($Q593,'Device Refrigerant Leakage'!$B$2:$B$42,0))-(INDEX('Device Refrigerant Leakage'!$D$2:$D$42,MATCH($Q593,'Device Refrigerant Leakage'!$B$2:$B$42,0)))*CZ593*CX593)*CY593/2204.62*CW593,"")</f>
        <v/>
      </c>
      <c r="DC593" s="135" t="str">
        <f t="shared" si="756"/>
        <v/>
      </c>
      <c r="DE593" s="146" t="str">
        <f>IF(W593&lt;&gt;"AR","",IF(Y593="User Specified", AA593, INDEX('Refrigerant GWPs'!$G$2:$G$154,MATCH(Y593,'Refrigerant GWPs'!$A$2:$A$154,0))))</f>
        <v/>
      </c>
      <c r="DF593" s="146" t="str">
        <f>IF(W593&lt;&gt;"AR","",INDEX('Device Refrigerant Leakage'!$E$2:$E$42,MATCH(X593,'Device Refrigerant Leakage'!$B$2:$B$42,0)))</f>
        <v/>
      </c>
      <c r="DG593" s="146" t="str">
        <f>IF(W593&lt;&gt;"AR","",INDEX('Device Refrigerant Leakage'!$F$2:$F$42,MATCH(X593,'Device Refrigerant Leakage'!$B$2:$B$42,0)))</f>
        <v/>
      </c>
      <c r="DH593" s="146" t="str">
        <f>IF(W593&lt;&gt;"AR","",INDEX('Device Refrigerant Leakage'!$G$2:$G$42,MATCH(X593,'Device Refrigerant Leakage'!$B$2:$B$42,0)))</f>
        <v/>
      </c>
      <c r="DI593" s="146" t="str">
        <f>IF(W593&lt;&gt;"AR","",J593*INDEX('Device Refrigerant Leakage'!$D$2:$D$42,MATCH(X593,'Device Refrigerant Leakage'!$B$2:$B$42,0))*DF593/2204.62*DE593)</f>
        <v/>
      </c>
      <c r="DJ593" s="146" t="str">
        <f>IF(W593&lt;&gt;"AR","",J593*(INDEX('Device Refrigerant Leakage'!$D$2:$D$42,MATCH(X593,'Device Refrigerant Leakage'!$B$2:$B$42,0))-(INDEX('Device Refrigerant Leakage'!$D$2:$D$42,MATCH(X593,'Device Refrigerant Leakage'!$B$2:$B$42,0)))*DH593*DF593)*DG593/2204.62*DE593)</f>
        <v/>
      </c>
      <c r="DK593" s="146" t="str">
        <f>IF(W593&lt;&gt;"AR","",DI593*(K593-AB593)+'Fuel Sub Calcs-Deemed'!DJ593*((K593-AB593)/INDEX('Device Refrigerant Leakage'!$C$2:$C$42,MATCH('Fuel Sub Calcs-Deemed'!X593,'Device Refrigerant Leakage'!$B$2:$B$42,0))))</f>
        <v/>
      </c>
      <c r="DM593" s="56">
        <v>579</v>
      </c>
      <c r="DN593" s="67" t="e">
        <f t="shared" si="738"/>
        <v>#N/A</v>
      </c>
      <c r="DO593" s="45" t="e">
        <f t="shared" si="739"/>
        <v>#N/A</v>
      </c>
      <c r="DP593" s="67" t="e">
        <f t="shared" si="740"/>
        <v>#N/A</v>
      </c>
      <c r="DQ593" s="45" t="e">
        <f t="shared" si="741"/>
        <v>#N/A</v>
      </c>
      <c r="DR593" s="69" t="e">
        <f t="shared" si="742"/>
        <v>#N/A</v>
      </c>
      <c r="DS593" s="34"/>
      <c r="DT593" s="67" t="e">
        <f>((BX593*CJ593)+IF($W593=MAT_AR,(BZ593*CL593),0))*(1+Reference!$E$50+Reference!$E$51)</f>
        <v>#N/A</v>
      </c>
      <c r="DU593" s="67">
        <f>((BY593*CK593)+IF($W593=MAT_AR,(CA593*CM593),0))*(1+Reference!$G$50+Reference!$G$51)</f>
        <v>0</v>
      </c>
      <c r="DV593" s="67" t="e">
        <f t="shared" si="743"/>
        <v>#VALUE!</v>
      </c>
      <c r="DX593" s="56">
        <v>579</v>
      </c>
      <c r="DY593" s="67">
        <f t="shared" si="744"/>
        <v>0</v>
      </c>
      <c r="DZ593" s="45" t="e">
        <f>VLOOKUP($R593,Dropdown!$C$3:$D$4,2,FALSE)</f>
        <v>#N/A</v>
      </c>
      <c r="EA593" s="68">
        <f t="shared" si="745"/>
        <v>0</v>
      </c>
      <c r="EB593" s="68" t="str">
        <f t="shared" si="746"/>
        <v>N/A</v>
      </c>
      <c r="EC593" s="68">
        <f t="shared" si="747"/>
        <v>0</v>
      </c>
      <c r="ED593" s="68" t="str">
        <f t="shared" si="717"/>
        <v>N/A</v>
      </c>
      <c r="EF593" s="56">
        <v>579</v>
      </c>
      <c r="EG593" s="46">
        <f t="shared" si="748"/>
        <v>0</v>
      </c>
      <c r="EH593" s="68" t="e">
        <f t="shared" si="749"/>
        <v>#N/A</v>
      </c>
      <c r="EI593" s="68" t="e">
        <f t="shared" si="750"/>
        <v>#N/A</v>
      </c>
      <c r="EJ593" s="68" t="e">
        <f t="shared" si="751"/>
        <v>#N/A</v>
      </c>
      <c r="EK593" s="68" t="e">
        <f t="shared" si="752"/>
        <v>#N/A</v>
      </c>
      <c r="EL593" s="46">
        <f t="shared" si="753"/>
        <v>0</v>
      </c>
      <c r="EM593" s="46">
        <f t="shared" si="754"/>
        <v>0</v>
      </c>
    </row>
    <row r="594" spans="1:143">
      <c r="A594" s="89"/>
      <c r="B594" s="89"/>
      <c r="C594" s="89"/>
      <c r="D594" s="89"/>
      <c r="E594" s="89"/>
      <c r="F594" s="89"/>
      <c r="G594" s="34"/>
      <c r="H594" s="56">
        <f t="shared" si="755"/>
        <v>580</v>
      </c>
      <c r="I594" s="165"/>
      <c r="J594" s="163"/>
      <c r="K594" s="163"/>
      <c r="L594" s="164"/>
      <c r="M594" s="155"/>
      <c r="N594" s="155"/>
      <c r="O594" s="144"/>
      <c r="P594" s="159" t="str">
        <f>IFERROR(IF(O594&lt;&gt;"User Specified",IF(O594&lt;&gt;"", INDEX('Refrigerant GWPs'!$G$2:$G$154,MATCH(O594,'Refrigerant GWPs'!$A$2:$A$154,0)),""),U594),0)</f>
        <v/>
      </c>
      <c r="Q594" s="155"/>
      <c r="R594" s="155"/>
      <c r="S594" s="144"/>
      <c r="T594" s="159" t="str">
        <f>IF(S594&lt;&gt;"User Specified",IF(AND(S594&lt;&gt;"User Specified",S594&lt;&gt;""), INDEX('Refrigerant GWPs'!$G$2:$G$154,MATCH(S594,'Refrigerant GWPs'!$A$2:$A$154,0)),""),V594)</f>
        <v/>
      </c>
      <c r="U594" s="144"/>
      <c r="V594" s="144"/>
      <c r="W594" s="155"/>
      <c r="X594" s="155"/>
      <c r="Y594" s="144"/>
      <c r="Z594" s="159" t="str">
        <f>IF(AND(Y594&lt;&gt;"User Specified",Y594&lt;&gt;""), INDEX('Refrigerant GWPs'!$G$2:$G$154,MATCH(Y594,'Refrigerant GWPs'!$A$2:$A$154,0)),"")</f>
        <v/>
      </c>
      <c r="AA594" s="155"/>
      <c r="AB594" s="156"/>
      <c r="AC594" s="66"/>
      <c r="AD594" s="66"/>
      <c r="AE594" s="66"/>
      <c r="AF594" s="66"/>
      <c r="AG594" s="66"/>
      <c r="AH594" s="66"/>
      <c r="AI594" s="34"/>
      <c r="AJ594" s="88">
        <f t="shared" si="718"/>
        <v>0</v>
      </c>
      <c r="AK594" s="88">
        <f t="shared" si="719"/>
        <v>0</v>
      </c>
      <c r="AL594" s="88">
        <v>0</v>
      </c>
      <c r="AM594" s="88">
        <v>0</v>
      </c>
      <c r="AN594" s="81" t="str">
        <f t="shared" si="689"/>
        <v/>
      </c>
      <c r="AO594" s="88">
        <f t="shared" si="720"/>
        <v>0</v>
      </c>
      <c r="AP594" s="88">
        <f t="shared" si="721"/>
        <v>0</v>
      </c>
      <c r="AQ594" s="81" t="str">
        <f t="shared" si="722"/>
        <v/>
      </c>
      <c r="AS594" s="41" t="b">
        <f t="shared" si="723"/>
        <v>1</v>
      </c>
      <c r="AT594" s="38">
        <f t="shared" si="724"/>
        <v>0</v>
      </c>
      <c r="AU594" s="60">
        <f t="shared" si="725"/>
        <v>0</v>
      </c>
      <c r="AV594" s="41">
        <f t="shared" si="726"/>
        <v>0</v>
      </c>
      <c r="AW594" s="41" t="b">
        <f t="shared" si="727"/>
        <v>0</v>
      </c>
      <c r="AX594" t="str">
        <f t="shared" si="728"/>
        <v>+00</v>
      </c>
      <c r="AY594" t="str">
        <f t="shared" si="729"/>
        <v>+00</v>
      </c>
      <c r="BA594" s="47" t="b">
        <f t="shared" si="690"/>
        <v>1</v>
      </c>
      <c r="BB594" s="42" t="b">
        <f t="shared" si="691"/>
        <v>1</v>
      </c>
      <c r="BC594" s="42" t="b">
        <f t="shared" si="692"/>
        <v>0</v>
      </c>
      <c r="BD594" s="42" t="b">
        <f t="shared" si="693"/>
        <v>0</v>
      </c>
      <c r="BE594" s="70">
        <f t="shared" si="694"/>
        <v>0</v>
      </c>
      <c r="BF594" s="70">
        <f t="shared" si="695"/>
        <v>0</v>
      </c>
      <c r="BG594" s="34"/>
      <c r="BI594" s="47" t="b">
        <f t="shared" si="696"/>
        <v>1</v>
      </c>
      <c r="BJ594" s="47" t="b">
        <f t="shared" si="697"/>
        <v>1</v>
      </c>
      <c r="BK594" s="42" t="b">
        <f t="shared" si="698"/>
        <v>0</v>
      </c>
      <c r="BL594" s="42" t="b">
        <f t="shared" si="699"/>
        <v>0</v>
      </c>
      <c r="BM594" s="42">
        <f t="shared" si="700"/>
        <v>0</v>
      </c>
      <c r="BN594" s="42">
        <f t="shared" si="701"/>
        <v>0</v>
      </c>
      <c r="BP594" t="e">
        <f t="shared" si="702"/>
        <v>#N/A</v>
      </c>
      <c r="BQ594" t="e">
        <f t="shared" si="703"/>
        <v>#N/A</v>
      </c>
      <c r="BR594" t="e">
        <f t="shared" si="704"/>
        <v>#N/A</v>
      </c>
      <c r="BT594" s="60">
        <f t="shared" si="705"/>
        <v>0</v>
      </c>
      <c r="BU594" s="60">
        <f t="shared" si="706"/>
        <v>0</v>
      </c>
      <c r="BV594" s="60">
        <f t="shared" si="707"/>
        <v>0</v>
      </c>
      <c r="BW594" s="60">
        <f t="shared" si="708"/>
        <v>0</v>
      </c>
      <c r="BX594" s="60">
        <f t="shared" si="709"/>
        <v>0</v>
      </c>
      <c r="BY594" s="60">
        <f t="shared" si="710"/>
        <v>0</v>
      </c>
      <c r="BZ594" s="60">
        <f t="shared" si="711"/>
        <v>0</v>
      </c>
      <c r="CA594" s="60">
        <f t="shared" si="712"/>
        <v>0</v>
      </c>
      <c r="CB594" s="60" t="e">
        <f t="shared" si="730"/>
        <v>#N/A</v>
      </c>
      <c r="CC594" s="60">
        <f t="shared" si="731"/>
        <v>100000</v>
      </c>
      <c r="CD594" s="60" t="e">
        <f t="shared" si="732"/>
        <v>#N/A</v>
      </c>
      <c r="CE594" s="60">
        <f t="shared" si="733"/>
        <v>100000</v>
      </c>
      <c r="CF594" s="83" t="e">
        <f t="shared" si="713"/>
        <v>#N/A</v>
      </c>
      <c r="CG594" s="83">
        <f t="shared" si="714"/>
        <v>0</v>
      </c>
      <c r="CH594" s="83" t="e">
        <f t="shared" si="715"/>
        <v>#N/A</v>
      </c>
      <c r="CI594" s="83">
        <f t="shared" si="716"/>
        <v>0</v>
      </c>
      <c r="CJ594" s="86" t="e">
        <f t="shared" si="734"/>
        <v>#N/A</v>
      </c>
      <c r="CK594" s="82">
        <f t="shared" si="735"/>
        <v>5.3070370403969858E-3</v>
      </c>
      <c r="CL594" s="82" t="e">
        <f t="shared" si="736"/>
        <v>#N/A</v>
      </c>
      <c r="CM594" s="82">
        <f t="shared" si="737"/>
        <v>5.3070370403969858E-3</v>
      </c>
      <c r="CO594" s="149" t="str">
        <f>IF($I594&lt;&gt;"",IF(O594="User Specified",U594,INDEX('Refrigerant GWPs'!$G$2:$G$156,MATCH(O594,'Refrigerant GWPs'!$A$2:$A$156,0))),"")</f>
        <v/>
      </c>
      <c r="CP594" s="138" t="str">
        <f>IF($I594&lt;&gt;"",INDEX('Device Refrigerant Leakage'!$E$2:$E$42,MATCH($M594,'Device Refrigerant Leakage'!$B$2:$B$42,0)),"")</f>
        <v/>
      </c>
      <c r="CQ594" s="138" t="str">
        <f>IF($I594&lt;&gt;"",INDEX('Device Refrigerant Leakage'!$F$2:$F$42,MATCH($M594,'Device Refrigerant Leakage'!$B$2:$B$42,0)),"")</f>
        <v/>
      </c>
      <c r="CR594" s="145" t="str">
        <f>IF($I594&lt;&gt;"",INDEX('Device Refrigerant Leakage'!$G$2:$G$42,MATCH($M594,'Device Refrigerant Leakage'!$B$2:$B$42,0)),"")</f>
        <v/>
      </c>
      <c r="CS594" s="145" t="str">
        <f>IF($I594&lt;&gt;"",INDEX('Device Refrigerant Leakage'!$D$2:$D$42,MATCH($M594,'Device Refrigerant Leakage'!$B$2:$B$42,0))*CP594/2204.62*CO594,"")</f>
        <v/>
      </c>
      <c r="CT594" s="145" t="str">
        <f>IF($I594&lt;&gt;"",J594*(INDEX('Device Refrigerant Leakage'!$D$2:$D$42,MATCH($M594,'Device Refrigerant Leakage'!$B$2:$B$42,0))-(INDEX('Device Refrigerant Leakage'!$D$2:$D$42,MATCH($M594,'Device Refrigerant Leakage'!$B$2:$B$42,0)))*CR594*CP594)*CQ594/2204.62*CO594,"")</f>
        <v/>
      </c>
      <c r="CU594" s="135" t="str">
        <f>IF($I594&lt;&gt;"",J594*IF(W594&lt;&gt;"AR",(CS594*K594)+CT594,(CS594*AB594)+CT594*(AB594/INDEX('Device Refrigerant Leakage'!$C$2:$C$42,MATCH($M594,'Device Refrigerant Leakage'!$B$2:$B$42,0)))),"")</f>
        <v/>
      </c>
      <c r="CW594" s="135" t="str">
        <f>IF($I594&lt;&gt;"",IF(S594="User Specified",V594,INDEX('Refrigerant GWPs'!$G$2:$G$156,MATCH(S594,'Refrigerant GWPs'!$A$2:$A$157,0))),"")</f>
        <v/>
      </c>
      <c r="CX594" s="138" t="str">
        <f>IF($I594&lt;&gt;"",INDEX('Device Refrigerant Leakage'!$E$2:$E$42,MATCH($Q594,'Device Refrigerant Leakage'!$B$2:$B$42,0)),"")</f>
        <v/>
      </c>
      <c r="CY594" s="138" t="str">
        <f>IF($I594&lt;&gt;"",INDEX('Device Refrigerant Leakage'!$F$2:$F$42,MATCH($Q594,'Device Refrigerant Leakage'!$B$2:$B$42,0)),"")</f>
        <v/>
      </c>
      <c r="CZ594" s="145" t="str">
        <f>IF($I594&lt;&gt;"",INDEX('Device Refrigerant Leakage'!$G$2:$G$42,MATCH($Q594,'Device Refrigerant Leakage'!$B$2:$B$42,0)),"")</f>
        <v/>
      </c>
      <c r="DA594" s="145" t="str">
        <f>IF($I594&lt;&gt;"",J594*INDEX('Device Refrigerant Leakage'!$D$2:$D$42,MATCH($Q594,'Device Refrigerant Leakage'!$B$2:$B$42,0))*CX594/2204.62*CW594,"")</f>
        <v/>
      </c>
      <c r="DB594" s="145" t="str">
        <f>IF($I594&lt;&gt;"",J594*(INDEX('Device Refrigerant Leakage'!$D$2:$D$42,MATCH($Q594,'Device Refrigerant Leakage'!$B$2:$B$42,0))-(INDEX('Device Refrigerant Leakage'!$D$2:$D$42,MATCH($Q594,'Device Refrigerant Leakage'!$B$2:$B$42,0)))*CZ594*CX594)*CY594/2204.62*CW594,"")</f>
        <v/>
      </c>
      <c r="DC594" s="135" t="str">
        <f t="shared" si="756"/>
        <v/>
      </c>
      <c r="DE594" s="146" t="str">
        <f>IF(W594&lt;&gt;"AR","",IF(Y594="User Specified", AA594, INDEX('Refrigerant GWPs'!$G$2:$G$154,MATCH(Y594,'Refrigerant GWPs'!$A$2:$A$154,0))))</f>
        <v/>
      </c>
      <c r="DF594" s="146" t="str">
        <f>IF(W594&lt;&gt;"AR","",INDEX('Device Refrigerant Leakage'!$E$2:$E$42,MATCH(X594,'Device Refrigerant Leakage'!$B$2:$B$42,0)))</f>
        <v/>
      </c>
      <c r="DG594" s="146" t="str">
        <f>IF(W594&lt;&gt;"AR","",INDEX('Device Refrigerant Leakage'!$F$2:$F$42,MATCH(X594,'Device Refrigerant Leakage'!$B$2:$B$42,0)))</f>
        <v/>
      </c>
      <c r="DH594" s="146" t="str">
        <f>IF(W594&lt;&gt;"AR","",INDEX('Device Refrigerant Leakage'!$G$2:$G$42,MATCH(X594,'Device Refrigerant Leakage'!$B$2:$B$42,0)))</f>
        <v/>
      </c>
      <c r="DI594" s="146" t="str">
        <f>IF(W594&lt;&gt;"AR","",J594*INDEX('Device Refrigerant Leakage'!$D$2:$D$42,MATCH(X594,'Device Refrigerant Leakage'!$B$2:$B$42,0))*DF594/2204.62*DE594)</f>
        <v/>
      </c>
      <c r="DJ594" s="146" t="str">
        <f>IF(W594&lt;&gt;"AR","",J594*(INDEX('Device Refrigerant Leakage'!$D$2:$D$42,MATCH(X594,'Device Refrigerant Leakage'!$B$2:$B$42,0))-(INDEX('Device Refrigerant Leakage'!$D$2:$D$42,MATCH(X594,'Device Refrigerant Leakage'!$B$2:$B$42,0)))*DH594*DF594)*DG594/2204.62*DE594)</f>
        <v/>
      </c>
      <c r="DK594" s="146" t="str">
        <f>IF(W594&lt;&gt;"AR","",DI594*(K594-AB594)+'Fuel Sub Calcs-Deemed'!DJ594*((K594-AB594)/INDEX('Device Refrigerant Leakage'!$C$2:$C$42,MATCH('Fuel Sub Calcs-Deemed'!X594,'Device Refrigerant Leakage'!$B$2:$B$42,0))))</f>
        <v/>
      </c>
      <c r="DM594" s="56">
        <v>580</v>
      </c>
      <c r="DN594" s="67" t="e">
        <f t="shared" si="738"/>
        <v>#N/A</v>
      </c>
      <c r="DO594" s="45" t="e">
        <f t="shared" si="739"/>
        <v>#N/A</v>
      </c>
      <c r="DP594" s="67" t="e">
        <f t="shared" si="740"/>
        <v>#N/A</v>
      </c>
      <c r="DQ594" s="45" t="e">
        <f t="shared" si="741"/>
        <v>#N/A</v>
      </c>
      <c r="DR594" s="69" t="e">
        <f t="shared" si="742"/>
        <v>#N/A</v>
      </c>
      <c r="DS594" s="34"/>
      <c r="DT594" s="67" t="e">
        <f>((BX594*CJ594)+IF($W594=MAT_AR,(BZ594*CL594),0))*(1+Reference!$E$50+Reference!$E$51)</f>
        <v>#N/A</v>
      </c>
      <c r="DU594" s="67">
        <f>((BY594*CK594)+IF($W594=MAT_AR,(CA594*CM594),0))*(1+Reference!$G$50+Reference!$G$51)</f>
        <v>0</v>
      </c>
      <c r="DV594" s="67" t="e">
        <f t="shared" si="743"/>
        <v>#VALUE!</v>
      </c>
      <c r="DX594" s="56">
        <v>580</v>
      </c>
      <c r="DY594" s="67">
        <f t="shared" si="744"/>
        <v>0</v>
      </c>
      <c r="DZ594" s="45" t="e">
        <f>VLOOKUP($R594,Dropdown!$C$3:$D$4,2,FALSE)</f>
        <v>#N/A</v>
      </c>
      <c r="EA594" s="68">
        <f t="shared" si="745"/>
        <v>0</v>
      </c>
      <c r="EB594" s="68" t="str">
        <f t="shared" si="746"/>
        <v>N/A</v>
      </c>
      <c r="EC594" s="68">
        <f t="shared" si="747"/>
        <v>0</v>
      </c>
      <c r="ED594" s="68" t="str">
        <f t="shared" si="717"/>
        <v>N/A</v>
      </c>
      <c r="EF594" s="56">
        <v>580</v>
      </c>
      <c r="EG594" s="46">
        <f t="shared" si="748"/>
        <v>0</v>
      </c>
      <c r="EH594" s="68" t="e">
        <f t="shared" si="749"/>
        <v>#N/A</v>
      </c>
      <c r="EI594" s="68" t="e">
        <f t="shared" si="750"/>
        <v>#N/A</v>
      </c>
      <c r="EJ594" s="68" t="e">
        <f t="shared" si="751"/>
        <v>#N/A</v>
      </c>
      <c r="EK594" s="68" t="e">
        <f t="shared" si="752"/>
        <v>#N/A</v>
      </c>
      <c r="EL594" s="46">
        <f t="shared" si="753"/>
        <v>0</v>
      </c>
      <c r="EM594" s="46">
        <f t="shared" si="754"/>
        <v>0</v>
      </c>
    </row>
    <row r="595" spans="1:143">
      <c r="A595" s="89"/>
      <c r="B595" s="89"/>
      <c r="C595" s="89"/>
      <c r="D595" s="89"/>
      <c r="E595" s="89"/>
      <c r="F595" s="89"/>
      <c r="G595" s="34"/>
      <c r="H595" s="56">
        <f t="shared" si="755"/>
        <v>581</v>
      </c>
      <c r="I595" s="165"/>
      <c r="J595" s="163"/>
      <c r="K595" s="163"/>
      <c r="L595" s="164"/>
      <c r="M595" s="155"/>
      <c r="N595" s="155"/>
      <c r="O595" s="144"/>
      <c r="P595" s="159" t="str">
        <f>IFERROR(IF(O595&lt;&gt;"User Specified",IF(O595&lt;&gt;"", INDEX('Refrigerant GWPs'!$G$2:$G$154,MATCH(O595,'Refrigerant GWPs'!$A$2:$A$154,0)),""),U595),0)</f>
        <v/>
      </c>
      <c r="Q595" s="155"/>
      <c r="R595" s="155"/>
      <c r="S595" s="144"/>
      <c r="T595" s="159" t="str">
        <f>IF(S595&lt;&gt;"User Specified",IF(AND(S595&lt;&gt;"User Specified",S595&lt;&gt;""), INDEX('Refrigerant GWPs'!$G$2:$G$154,MATCH(S595,'Refrigerant GWPs'!$A$2:$A$154,0)),""),V595)</f>
        <v/>
      </c>
      <c r="U595" s="144"/>
      <c r="V595" s="144"/>
      <c r="W595" s="155"/>
      <c r="X595" s="155"/>
      <c r="Y595" s="144"/>
      <c r="Z595" s="159" t="str">
        <f>IF(AND(Y595&lt;&gt;"User Specified",Y595&lt;&gt;""), INDEX('Refrigerant GWPs'!$G$2:$G$154,MATCH(Y595,'Refrigerant GWPs'!$A$2:$A$154,0)),"")</f>
        <v/>
      </c>
      <c r="AA595" s="155"/>
      <c r="AB595" s="156"/>
      <c r="AC595" s="66"/>
      <c r="AD595" s="66"/>
      <c r="AE595" s="66"/>
      <c r="AF595" s="66"/>
      <c r="AG595" s="66"/>
      <c r="AH595" s="66"/>
      <c r="AI595" s="34"/>
      <c r="AJ595" s="88">
        <f t="shared" si="718"/>
        <v>0</v>
      </c>
      <c r="AK595" s="88">
        <f t="shared" si="719"/>
        <v>0</v>
      </c>
      <c r="AL595" s="88">
        <v>0</v>
      </c>
      <c r="AM595" s="88">
        <v>0</v>
      </c>
      <c r="AN595" s="81" t="str">
        <f t="shared" si="689"/>
        <v/>
      </c>
      <c r="AO595" s="88">
        <f t="shared" si="720"/>
        <v>0</v>
      </c>
      <c r="AP595" s="88">
        <f t="shared" si="721"/>
        <v>0</v>
      </c>
      <c r="AQ595" s="81" t="str">
        <f t="shared" si="722"/>
        <v/>
      </c>
      <c r="AS595" s="41" t="b">
        <f t="shared" si="723"/>
        <v>1</v>
      </c>
      <c r="AT595" s="38">
        <f t="shared" si="724"/>
        <v>0</v>
      </c>
      <c r="AU595" s="60">
        <f t="shared" si="725"/>
        <v>0</v>
      </c>
      <c r="AV595" s="41">
        <f t="shared" si="726"/>
        <v>0</v>
      </c>
      <c r="AW595" s="41" t="b">
        <f t="shared" si="727"/>
        <v>0</v>
      </c>
      <c r="AX595" t="str">
        <f t="shared" si="728"/>
        <v>+00</v>
      </c>
      <c r="AY595" t="str">
        <f t="shared" si="729"/>
        <v>+00</v>
      </c>
      <c r="BA595" s="47" t="b">
        <f t="shared" si="690"/>
        <v>1</v>
      </c>
      <c r="BB595" s="42" t="b">
        <f t="shared" si="691"/>
        <v>1</v>
      </c>
      <c r="BC595" s="42" t="b">
        <f t="shared" si="692"/>
        <v>0</v>
      </c>
      <c r="BD595" s="42" t="b">
        <f t="shared" si="693"/>
        <v>0</v>
      </c>
      <c r="BE595" s="70">
        <f t="shared" si="694"/>
        <v>0</v>
      </c>
      <c r="BF595" s="70">
        <f t="shared" si="695"/>
        <v>0</v>
      </c>
      <c r="BG595" s="34"/>
      <c r="BI595" s="47" t="b">
        <f t="shared" si="696"/>
        <v>1</v>
      </c>
      <c r="BJ595" s="47" t="b">
        <f t="shared" si="697"/>
        <v>1</v>
      </c>
      <c r="BK595" s="42" t="b">
        <f t="shared" si="698"/>
        <v>0</v>
      </c>
      <c r="BL595" s="42" t="b">
        <f t="shared" si="699"/>
        <v>0</v>
      </c>
      <c r="BM595" s="42">
        <f t="shared" si="700"/>
        <v>0</v>
      </c>
      <c r="BN595" s="42">
        <f t="shared" si="701"/>
        <v>0</v>
      </c>
      <c r="BP595" t="e">
        <f t="shared" si="702"/>
        <v>#N/A</v>
      </c>
      <c r="BQ595" t="e">
        <f t="shared" si="703"/>
        <v>#N/A</v>
      </c>
      <c r="BR595" t="e">
        <f t="shared" si="704"/>
        <v>#N/A</v>
      </c>
      <c r="BT595" s="60">
        <f t="shared" si="705"/>
        <v>0</v>
      </c>
      <c r="BU595" s="60">
        <f t="shared" si="706"/>
        <v>0</v>
      </c>
      <c r="BV595" s="60">
        <f t="shared" si="707"/>
        <v>0</v>
      </c>
      <c r="BW595" s="60">
        <f t="shared" si="708"/>
        <v>0</v>
      </c>
      <c r="BX595" s="60">
        <f t="shared" si="709"/>
        <v>0</v>
      </c>
      <c r="BY595" s="60">
        <f t="shared" si="710"/>
        <v>0</v>
      </c>
      <c r="BZ595" s="60">
        <f t="shared" si="711"/>
        <v>0</v>
      </c>
      <c r="CA595" s="60">
        <f t="shared" si="712"/>
        <v>0</v>
      </c>
      <c r="CB595" s="60" t="e">
        <f t="shared" si="730"/>
        <v>#N/A</v>
      </c>
      <c r="CC595" s="60">
        <f t="shared" si="731"/>
        <v>100000</v>
      </c>
      <c r="CD595" s="60" t="e">
        <f t="shared" si="732"/>
        <v>#N/A</v>
      </c>
      <c r="CE595" s="60">
        <f t="shared" si="733"/>
        <v>100000</v>
      </c>
      <c r="CF595" s="83" t="e">
        <f t="shared" si="713"/>
        <v>#N/A</v>
      </c>
      <c r="CG595" s="83">
        <f t="shared" si="714"/>
        <v>0</v>
      </c>
      <c r="CH595" s="83" t="e">
        <f t="shared" si="715"/>
        <v>#N/A</v>
      </c>
      <c r="CI595" s="83">
        <f t="shared" si="716"/>
        <v>0</v>
      </c>
      <c r="CJ595" s="86" t="e">
        <f t="shared" si="734"/>
        <v>#N/A</v>
      </c>
      <c r="CK595" s="82">
        <f t="shared" si="735"/>
        <v>5.3070370403969858E-3</v>
      </c>
      <c r="CL595" s="82" t="e">
        <f t="shared" si="736"/>
        <v>#N/A</v>
      </c>
      <c r="CM595" s="82">
        <f t="shared" si="737"/>
        <v>5.3070370403969858E-3</v>
      </c>
      <c r="CO595" s="149" t="str">
        <f>IF($I595&lt;&gt;"",IF(O595="User Specified",U595,INDEX('Refrigerant GWPs'!$G$2:$G$156,MATCH(O595,'Refrigerant GWPs'!$A$2:$A$156,0))),"")</f>
        <v/>
      </c>
      <c r="CP595" s="138" t="str">
        <f>IF($I595&lt;&gt;"",INDEX('Device Refrigerant Leakage'!$E$2:$E$42,MATCH($M595,'Device Refrigerant Leakage'!$B$2:$B$42,0)),"")</f>
        <v/>
      </c>
      <c r="CQ595" s="138" t="str">
        <f>IF($I595&lt;&gt;"",INDEX('Device Refrigerant Leakage'!$F$2:$F$42,MATCH($M595,'Device Refrigerant Leakage'!$B$2:$B$42,0)),"")</f>
        <v/>
      </c>
      <c r="CR595" s="145" t="str">
        <f>IF($I595&lt;&gt;"",INDEX('Device Refrigerant Leakage'!$G$2:$G$42,MATCH($M595,'Device Refrigerant Leakage'!$B$2:$B$42,0)),"")</f>
        <v/>
      </c>
      <c r="CS595" s="145" t="str">
        <f>IF($I595&lt;&gt;"",INDEX('Device Refrigerant Leakage'!$D$2:$D$42,MATCH($M595,'Device Refrigerant Leakage'!$B$2:$B$42,0))*CP595/2204.62*CO595,"")</f>
        <v/>
      </c>
      <c r="CT595" s="145" t="str">
        <f>IF($I595&lt;&gt;"",J595*(INDEX('Device Refrigerant Leakage'!$D$2:$D$42,MATCH($M595,'Device Refrigerant Leakage'!$B$2:$B$42,0))-(INDEX('Device Refrigerant Leakage'!$D$2:$D$42,MATCH($M595,'Device Refrigerant Leakage'!$B$2:$B$42,0)))*CR595*CP595)*CQ595/2204.62*CO595,"")</f>
        <v/>
      </c>
      <c r="CU595" s="135" t="str">
        <f>IF($I595&lt;&gt;"",J595*IF(W595&lt;&gt;"AR",(CS595*K595)+CT595,(CS595*AB595)+CT595*(AB595/INDEX('Device Refrigerant Leakage'!$C$2:$C$42,MATCH($M595,'Device Refrigerant Leakage'!$B$2:$B$42,0)))),"")</f>
        <v/>
      </c>
      <c r="CW595" s="135" t="str">
        <f>IF($I595&lt;&gt;"",IF(S595="User Specified",V595,INDEX('Refrigerant GWPs'!$G$2:$G$156,MATCH(S595,'Refrigerant GWPs'!$A$2:$A$157,0))),"")</f>
        <v/>
      </c>
      <c r="CX595" s="138" t="str">
        <f>IF($I595&lt;&gt;"",INDEX('Device Refrigerant Leakage'!$E$2:$E$42,MATCH($Q595,'Device Refrigerant Leakage'!$B$2:$B$42,0)),"")</f>
        <v/>
      </c>
      <c r="CY595" s="138" t="str">
        <f>IF($I595&lt;&gt;"",INDEX('Device Refrigerant Leakage'!$F$2:$F$42,MATCH($Q595,'Device Refrigerant Leakage'!$B$2:$B$42,0)),"")</f>
        <v/>
      </c>
      <c r="CZ595" s="145" t="str">
        <f>IF($I595&lt;&gt;"",INDEX('Device Refrigerant Leakage'!$G$2:$G$42,MATCH($Q595,'Device Refrigerant Leakage'!$B$2:$B$42,0)),"")</f>
        <v/>
      </c>
      <c r="DA595" s="145" t="str">
        <f>IF($I595&lt;&gt;"",J595*INDEX('Device Refrigerant Leakage'!$D$2:$D$42,MATCH($Q595,'Device Refrigerant Leakage'!$B$2:$B$42,0))*CX595/2204.62*CW595,"")</f>
        <v/>
      </c>
      <c r="DB595" s="145" t="str">
        <f>IF($I595&lt;&gt;"",J595*(INDEX('Device Refrigerant Leakage'!$D$2:$D$42,MATCH($Q595,'Device Refrigerant Leakage'!$B$2:$B$42,0))-(INDEX('Device Refrigerant Leakage'!$D$2:$D$42,MATCH($Q595,'Device Refrigerant Leakage'!$B$2:$B$42,0)))*CZ595*CX595)*CY595/2204.62*CW595,"")</f>
        <v/>
      </c>
      <c r="DC595" s="135" t="str">
        <f t="shared" si="756"/>
        <v/>
      </c>
      <c r="DE595" s="146" t="str">
        <f>IF(W595&lt;&gt;"AR","",IF(Y595="User Specified", AA595, INDEX('Refrigerant GWPs'!$G$2:$G$154,MATCH(Y595,'Refrigerant GWPs'!$A$2:$A$154,0))))</f>
        <v/>
      </c>
      <c r="DF595" s="146" t="str">
        <f>IF(W595&lt;&gt;"AR","",INDEX('Device Refrigerant Leakage'!$E$2:$E$42,MATCH(X595,'Device Refrigerant Leakage'!$B$2:$B$42,0)))</f>
        <v/>
      </c>
      <c r="DG595" s="146" t="str">
        <f>IF(W595&lt;&gt;"AR","",INDEX('Device Refrigerant Leakage'!$F$2:$F$42,MATCH(X595,'Device Refrigerant Leakage'!$B$2:$B$42,0)))</f>
        <v/>
      </c>
      <c r="DH595" s="146" t="str">
        <f>IF(W595&lt;&gt;"AR","",INDEX('Device Refrigerant Leakage'!$G$2:$G$42,MATCH(X595,'Device Refrigerant Leakage'!$B$2:$B$42,0)))</f>
        <v/>
      </c>
      <c r="DI595" s="146" t="str">
        <f>IF(W595&lt;&gt;"AR","",J595*INDEX('Device Refrigerant Leakage'!$D$2:$D$42,MATCH(X595,'Device Refrigerant Leakage'!$B$2:$B$42,0))*DF595/2204.62*DE595)</f>
        <v/>
      </c>
      <c r="DJ595" s="146" t="str">
        <f>IF(W595&lt;&gt;"AR","",J595*(INDEX('Device Refrigerant Leakage'!$D$2:$D$42,MATCH(X595,'Device Refrigerant Leakage'!$B$2:$B$42,0))-(INDEX('Device Refrigerant Leakage'!$D$2:$D$42,MATCH(X595,'Device Refrigerant Leakage'!$B$2:$B$42,0)))*DH595*DF595)*DG595/2204.62*DE595)</f>
        <v/>
      </c>
      <c r="DK595" s="146" t="str">
        <f>IF(W595&lt;&gt;"AR","",DI595*(K595-AB595)+'Fuel Sub Calcs-Deemed'!DJ595*((K595-AB595)/INDEX('Device Refrigerant Leakage'!$C$2:$C$42,MATCH('Fuel Sub Calcs-Deemed'!X595,'Device Refrigerant Leakage'!$B$2:$B$42,0))))</f>
        <v/>
      </c>
      <c r="DM595" s="56">
        <v>581</v>
      </c>
      <c r="DN595" s="67" t="e">
        <f t="shared" si="738"/>
        <v>#N/A</v>
      </c>
      <c r="DO595" s="45" t="e">
        <f t="shared" si="739"/>
        <v>#N/A</v>
      </c>
      <c r="DP595" s="67" t="e">
        <f t="shared" si="740"/>
        <v>#N/A</v>
      </c>
      <c r="DQ595" s="45" t="e">
        <f t="shared" si="741"/>
        <v>#N/A</v>
      </c>
      <c r="DR595" s="69" t="e">
        <f t="shared" si="742"/>
        <v>#N/A</v>
      </c>
      <c r="DS595" s="34"/>
      <c r="DT595" s="67" t="e">
        <f>((BX595*CJ595)+IF($W595=MAT_AR,(BZ595*CL595),0))*(1+Reference!$E$50+Reference!$E$51)</f>
        <v>#N/A</v>
      </c>
      <c r="DU595" s="67">
        <f>((BY595*CK595)+IF($W595=MAT_AR,(CA595*CM595),0))*(1+Reference!$G$50+Reference!$G$51)</f>
        <v>0</v>
      </c>
      <c r="DV595" s="67" t="e">
        <f t="shared" si="743"/>
        <v>#VALUE!</v>
      </c>
      <c r="DX595" s="56">
        <v>581</v>
      </c>
      <c r="DY595" s="67">
        <f t="shared" si="744"/>
        <v>0</v>
      </c>
      <c r="DZ595" s="45" t="e">
        <f>VLOOKUP($R595,Dropdown!$C$3:$D$4,2,FALSE)</f>
        <v>#N/A</v>
      </c>
      <c r="EA595" s="68">
        <f t="shared" si="745"/>
        <v>0</v>
      </c>
      <c r="EB595" s="68" t="str">
        <f t="shared" si="746"/>
        <v>N/A</v>
      </c>
      <c r="EC595" s="68">
        <f t="shared" si="747"/>
        <v>0</v>
      </c>
      <c r="ED595" s="68" t="str">
        <f t="shared" si="717"/>
        <v>N/A</v>
      </c>
      <c r="EF595" s="56">
        <v>581</v>
      </c>
      <c r="EG595" s="46">
        <f t="shared" si="748"/>
        <v>0</v>
      </c>
      <c r="EH595" s="68" t="e">
        <f t="shared" si="749"/>
        <v>#N/A</v>
      </c>
      <c r="EI595" s="68" t="e">
        <f t="shared" si="750"/>
        <v>#N/A</v>
      </c>
      <c r="EJ595" s="68" t="e">
        <f t="shared" si="751"/>
        <v>#N/A</v>
      </c>
      <c r="EK595" s="68" t="e">
        <f t="shared" si="752"/>
        <v>#N/A</v>
      </c>
      <c r="EL595" s="46">
        <f t="shared" si="753"/>
        <v>0</v>
      </c>
      <c r="EM595" s="46">
        <f t="shared" si="754"/>
        <v>0</v>
      </c>
    </row>
    <row r="596" spans="1:143">
      <c r="A596" s="89"/>
      <c r="B596" s="89"/>
      <c r="C596" s="89"/>
      <c r="D596" s="89"/>
      <c r="E596" s="89"/>
      <c r="F596" s="89"/>
      <c r="G596" s="34"/>
      <c r="H596" s="56">
        <f t="shared" si="755"/>
        <v>582</v>
      </c>
      <c r="I596" s="165"/>
      <c r="J596" s="163"/>
      <c r="K596" s="163"/>
      <c r="L596" s="164"/>
      <c r="M596" s="155"/>
      <c r="N596" s="155"/>
      <c r="O596" s="144"/>
      <c r="P596" s="159" t="str">
        <f>IFERROR(IF(O596&lt;&gt;"User Specified",IF(O596&lt;&gt;"", INDEX('Refrigerant GWPs'!$G$2:$G$154,MATCH(O596,'Refrigerant GWPs'!$A$2:$A$154,0)),""),U596),0)</f>
        <v/>
      </c>
      <c r="Q596" s="155"/>
      <c r="R596" s="155"/>
      <c r="S596" s="144"/>
      <c r="T596" s="159" t="str">
        <f>IF(S596&lt;&gt;"User Specified",IF(AND(S596&lt;&gt;"User Specified",S596&lt;&gt;""), INDEX('Refrigerant GWPs'!$G$2:$G$154,MATCH(S596,'Refrigerant GWPs'!$A$2:$A$154,0)),""),V596)</f>
        <v/>
      </c>
      <c r="U596" s="144"/>
      <c r="V596" s="144"/>
      <c r="W596" s="155"/>
      <c r="X596" s="155"/>
      <c r="Y596" s="144"/>
      <c r="Z596" s="159" t="str">
        <f>IF(AND(Y596&lt;&gt;"User Specified",Y596&lt;&gt;""), INDEX('Refrigerant GWPs'!$G$2:$G$154,MATCH(Y596,'Refrigerant GWPs'!$A$2:$A$154,0)),"")</f>
        <v/>
      </c>
      <c r="AA596" s="155"/>
      <c r="AB596" s="156"/>
      <c r="AC596" s="66"/>
      <c r="AD596" s="66"/>
      <c r="AE596" s="66"/>
      <c r="AF596" s="66"/>
      <c r="AG596" s="66"/>
      <c r="AH596" s="66"/>
      <c r="AI596" s="34"/>
      <c r="AJ596" s="88">
        <f t="shared" si="718"/>
        <v>0</v>
      </c>
      <c r="AK596" s="88">
        <f t="shared" si="719"/>
        <v>0</v>
      </c>
      <c r="AL596" s="88">
        <v>0</v>
      </c>
      <c r="AM596" s="88">
        <v>0</v>
      </c>
      <c r="AN596" s="81" t="str">
        <f t="shared" si="689"/>
        <v/>
      </c>
      <c r="AO596" s="88">
        <f t="shared" si="720"/>
        <v>0</v>
      </c>
      <c r="AP596" s="88">
        <f t="shared" si="721"/>
        <v>0</v>
      </c>
      <c r="AQ596" s="81" t="str">
        <f t="shared" si="722"/>
        <v/>
      </c>
      <c r="AS596" s="41" t="b">
        <f t="shared" si="723"/>
        <v>1</v>
      </c>
      <c r="AT596" s="38">
        <f t="shared" si="724"/>
        <v>0</v>
      </c>
      <c r="AU596" s="60">
        <f t="shared" si="725"/>
        <v>0</v>
      </c>
      <c r="AV596" s="41">
        <f t="shared" si="726"/>
        <v>0</v>
      </c>
      <c r="AW596" s="41" t="b">
        <f t="shared" si="727"/>
        <v>0</v>
      </c>
      <c r="AX596" t="str">
        <f t="shared" si="728"/>
        <v>+00</v>
      </c>
      <c r="AY596" t="str">
        <f t="shared" si="729"/>
        <v>+00</v>
      </c>
      <c r="BA596" s="47" t="b">
        <f t="shared" si="690"/>
        <v>1</v>
      </c>
      <c r="BB596" s="42" t="b">
        <f t="shared" si="691"/>
        <v>1</v>
      </c>
      <c r="BC596" s="42" t="b">
        <f t="shared" si="692"/>
        <v>0</v>
      </c>
      <c r="BD596" s="42" t="b">
        <f t="shared" si="693"/>
        <v>0</v>
      </c>
      <c r="BE596" s="70">
        <f t="shared" si="694"/>
        <v>0</v>
      </c>
      <c r="BF596" s="70">
        <f t="shared" si="695"/>
        <v>0</v>
      </c>
      <c r="BG596" s="34"/>
      <c r="BI596" s="47" t="b">
        <f t="shared" si="696"/>
        <v>1</v>
      </c>
      <c r="BJ596" s="47" t="b">
        <f t="shared" si="697"/>
        <v>1</v>
      </c>
      <c r="BK596" s="42" t="b">
        <f t="shared" si="698"/>
        <v>0</v>
      </c>
      <c r="BL596" s="42" t="b">
        <f t="shared" si="699"/>
        <v>0</v>
      </c>
      <c r="BM596" s="42">
        <f t="shared" si="700"/>
        <v>0</v>
      </c>
      <c r="BN596" s="42">
        <f t="shared" si="701"/>
        <v>0</v>
      </c>
      <c r="BP596" t="e">
        <f t="shared" si="702"/>
        <v>#N/A</v>
      </c>
      <c r="BQ596" t="e">
        <f t="shared" si="703"/>
        <v>#N/A</v>
      </c>
      <c r="BR596" t="e">
        <f t="shared" si="704"/>
        <v>#N/A</v>
      </c>
      <c r="BT596" s="60">
        <f t="shared" si="705"/>
        <v>0</v>
      </c>
      <c r="BU596" s="60">
        <f t="shared" si="706"/>
        <v>0</v>
      </c>
      <c r="BV596" s="60">
        <f t="shared" si="707"/>
        <v>0</v>
      </c>
      <c r="BW596" s="60">
        <f t="shared" si="708"/>
        <v>0</v>
      </c>
      <c r="BX596" s="60">
        <f t="shared" si="709"/>
        <v>0</v>
      </c>
      <c r="BY596" s="60">
        <f t="shared" si="710"/>
        <v>0</v>
      </c>
      <c r="BZ596" s="60">
        <f t="shared" si="711"/>
        <v>0</v>
      </c>
      <c r="CA596" s="60">
        <f t="shared" si="712"/>
        <v>0</v>
      </c>
      <c r="CB596" s="60" t="e">
        <f t="shared" si="730"/>
        <v>#N/A</v>
      </c>
      <c r="CC596" s="60">
        <f t="shared" si="731"/>
        <v>100000</v>
      </c>
      <c r="CD596" s="60" t="e">
        <f t="shared" si="732"/>
        <v>#N/A</v>
      </c>
      <c r="CE596" s="60">
        <f t="shared" si="733"/>
        <v>100000</v>
      </c>
      <c r="CF596" s="83" t="e">
        <f t="shared" si="713"/>
        <v>#N/A</v>
      </c>
      <c r="CG596" s="83">
        <f t="shared" si="714"/>
        <v>0</v>
      </c>
      <c r="CH596" s="83" t="e">
        <f t="shared" si="715"/>
        <v>#N/A</v>
      </c>
      <c r="CI596" s="83">
        <f t="shared" si="716"/>
        <v>0</v>
      </c>
      <c r="CJ596" s="86" t="e">
        <f t="shared" si="734"/>
        <v>#N/A</v>
      </c>
      <c r="CK596" s="82">
        <f t="shared" si="735"/>
        <v>5.3070370403969858E-3</v>
      </c>
      <c r="CL596" s="82" t="e">
        <f t="shared" si="736"/>
        <v>#N/A</v>
      </c>
      <c r="CM596" s="82">
        <f t="shared" si="737"/>
        <v>5.3070370403969858E-3</v>
      </c>
      <c r="CO596" s="149" t="str">
        <f>IF($I596&lt;&gt;"",IF(O596="User Specified",U596,INDEX('Refrigerant GWPs'!$G$2:$G$156,MATCH(O596,'Refrigerant GWPs'!$A$2:$A$156,0))),"")</f>
        <v/>
      </c>
      <c r="CP596" s="138" t="str">
        <f>IF($I596&lt;&gt;"",INDEX('Device Refrigerant Leakage'!$E$2:$E$42,MATCH($M596,'Device Refrigerant Leakage'!$B$2:$B$42,0)),"")</f>
        <v/>
      </c>
      <c r="CQ596" s="138" t="str">
        <f>IF($I596&lt;&gt;"",INDEX('Device Refrigerant Leakage'!$F$2:$F$42,MATCH($M596,'Device Refrigerant Leakage'!$B$2:$B$42,0)),"")</f>
        <v/>
      </c>
      <c r="CR596" s="145" t="str">
        <f>IF($I596&lt;&gt;"",INDEX('Device Refrigerant Leakage'!$G$2:$G$42,MATCH($M596,'Device Refrigerant Leakage'!$B$2:$B$42,0)),"")</f>
        <v/>
      </c>
      <c r="CS596" s="145" t="str">
        <f>IF($I596&lt;&gt;"",INDEX('Device Refrigerant Leakage'!$D$2:$D$42,MATCH($M596,'Device Refrigerant Leakage'!$B$2:$B$42,0))*CP596/2204.62*CO596,"")</f>
        <v/>
      </c>
      <c r="CT596" s="145" t="str">
        <f>IF($I596&lt;&gt;"",J596*(INDEX('Device Refrigerant Leakage'!$D$2:$D$42,MATCH($M596,'Device Refrigerant Leakage'!$B$2:$B$42,0))-(INDEX('Device Refrigerant Leakage'!$D$2:$D$42,MATCH($M596,'Device Refrigerant Leakage'!$B$2:$B$42,0)))*CR596*CP596)*CQ596/2204.62*CO596,"")</f>
        <v/>
      </c>
      <c r="CU596" s="135" t="str">
        <f>IF($I596&lt;&gt;"",J596*IF(W596&lt;&gt;"AR",(CS596*K596)+CT596,(CS596*AB596)+CT596*(AB596/INDEX('Device Refrigerant Leakage'!$C$2:$C$42,MATCH($M596,'Device Refrigerant Leakage'!$B$2:$B$42,0)))),"")</f>
        <v/>
      </c>
      <c r="CW596" s="135" t="str">
        <f>IF($I596&lt;&gt;"",IF(S596="User Specified",V596,INDEX('Refrigerant GWPs'!$G$2:$G$156,MATCH(S596,'Refrigerant GWPs'!$A$2:$A$157,0))),"")</f>
        <v/>
      </c>
      <c r="CX596" s="138" t="str">
        <f>IF($I596&lt;&gt;"",INDEX('Device Refrigerant Leakage'!$E$2:$E$42,MATCH($Q596,'Device Refrigerant Leakage'!$B$2:$B$42,0)),"")</f>
        <v/>
      </c>
      <c r="CY596" s="138" t="str">
        <f>IF($I596&lt;&gt;"",INDEX('Device Refrigerant Leakage'!$F$2:$F$42,MATCH($Q596,'Device Refrigerant Leakage'!$B$2:$B$42,0)),"")</f>
        <v/>
      </c>
      <c r="CZ596" s="145" t="str">
        <f>IF($I596&lt;&gt;"",INDEX('Device Refrigerant Leakage'!$G$2:$G$42,MATCH($Q596,'Device Refrigerant Leakage'!$B$2:$B$42,0)),"")</f>
        <v/>
      </c>
      <c r="DA596" s="145" t="str">
        <f>IF($I596&lt;&gt;"",J596*INDEX('Device Refrigerant Leakage'!$D$2:$D$42,MATCH($Q596,'Device Refrigerant Leakage'!$B$2:$B$42,0))*CX596/2204.62*CW596,"")</f>
        <v/>
      </c>
      <c r="DB596" s="145" t="str">
        <f>IF($I596&lt;&gt;"",J596*(INDEX('Device Refrigerant Leakage'!$D$2:$D$42,MATCH($Q596,'Device Refrigerant Leakage'!$B$2:$B$42,0))-(INDEX('Device Refrigerant Leakage'!$D$2:$D$42,MATCH($Q596,'Device Refrigerant Leakage'!$B$2:$B$42,0)))*CZ596*CX596)*CY596/2204.62*CW596,"")</f>
        <v/>
      </c>
      <c r="DC596" s="135" t="str">
        <f t="shared" si="756"/>
        <v/>
      </c>
      <c r="DE596" s="146" t="str">
        <f>IF(W596&lt;&gt;"AR","",IF(Y596="User Specified", AA596, INDEX('Refrigerant GWPs'!$G$2:$G$154,MATCH(Y596,'Refrigerant GWPs'!$A$2:$A$154,0))))</f>
        <v/>
      </c>
      <c r="DF596" s="146" t="str">
        <f>IF(W596&lt;&gt;"AR","",INDEX('Device Refrigerant Leakage'!$E$2:$E$42,MATCH(X596,'Device Refrigerant Leakage'!$B$2:$B$42,0)))</f>
        <v/>
      </c>
      <c r="DG596" s="146" t="str">
        <f>IF(W596&lt;&gt;"AR","",INDEX('Device Refrigerant Leakage'!$F$2:$F$42,MATCH(X596,'Device Refrigerant Leakage'!$B$2:$B$42,0)))</f>
        <v/>
      </c>
      <c r="DH596" s="146" t="str">
        <f>IF(W596&lt;&gt;"AR","",INDEX('Device Refrigerant Leakage'!$G$2:$G$42,MATCH(X596,'Device Refrigerant Leakage'!$B$2:$B$42,0)))</f>
        <v/>
      </c>
      <c r="DI596" s="146" t="str">
        <f>IF(W596&lt;&gt;"AR","",J596*INDEX('Device Refrigerant Leakage'!$D$2:$D$42,MATCH(X596,'Device Refrigerant Leakage'!$B$2:$B$42,0))*DF596/2204.62*DE596)</f>
        <v/>
      </c>
      <c r="DJ596" s="146" t="str">
        <f>IF(W596&lt;&gt;"AR","",J596*(INDEX('Device Refrigerant Leakage'!$D$2:$D$42,MATCH(X596,'Device Refrigerant Leakage'!$B$2:$B$42,0))-(INDEX('Device Refrigerant Leakage'!$D$2:$D$42,MATCH(X596,'Device Refrigerant Leakage'!$B$2:$B$42,0)))*DH596*DF596)*DG596/2204.62*DE596)</f>
        <v/>
      </c>
      <c r="DK596" s="146" t="str">
        <f>IF(W596&lt;&gt;"AR","",DI596*(K596-AB596)+'Fuel Sub Calcs-Deemed'!DJ596*((K596-AB596)/INDEX('Device Refrigerant Leakage'!$C$2:$C$42,MATCH('Fuel Sub Calcs-Deemed'!X596,'Device Refrigerant Leakage'!$B$2:$B$42,0))))</f>
        <v/>
      </c>
      <c r="DM596" s="56">
        <v>582</v>
      </c>
      <c r="DN596" s="67" t="e">
        <f t="shared" si="738"/>
        <v>#N/A</v>
      </c>
      <c r="DO596" s="45" t="e">
        <f t="shared" si="739"/>
        <v>#N/A</v>
      </c>
      <c r="DP596" s="67" t="e">
        <f t="shared" si="740"/>
        <v>#N/A</v>
      </c>
      <c r="DQ596" s="45" t="e">
        <f t="shared" si="741"/>
        <v>#N/A</v>
      </c>
      <c r="DR596" s="69" t="e">
        <f t="shared" si="742"/>
        <v>#N/A</v>
      </c>
      <c r="DS596" s="34"/>
      <c r="DT596" s="67" t="e">
        <f>((BX596*CJ596)+IF($W596=MAT_AR,(BZ596*CL596),0))*(1+Reference!$E$50+Reference!$E$51)</f>
        <v>#N/A</v>
      </c>
      <c r="DU596" s="67">
        <f>((BY596*CK596)+IF($W596=MAT_AR,(CA596*CM596),0))*(1+Reference!$G$50+Reference!$G$51)</f>
        <v>0</v>
      </c>
      <c r="DV596" s="67" t="e">
        <f t="shared" si="743"/>
        <v>#VALUE!</v>
      </c>
      <c r="DX596" s="56">
        <v>582</v>
      </c>
      <c r="DY596" s="67">
        <f t="shared" si="744"/>
        <v>0</v>
      </c>
      <c r="DZ596" s="45" t="e">
        <f>VLOOKUP($R596,Dropdown!$C$3:$D$4,2,FALSE)</f>
        <v>#N/A</v>
      </c>
      <c r="EA596" s="68">
        <f t="shared" si="745"/>
        <v>0</v>
      </c>
      <c r="EB596" s="68" t="str">
        <f t="shared" si="746"/>
        <v>N/A</v>
      </c>
      <c r="EC596" s="68">
        <f t="shared" si="747"/>
        <v>0</v>
      </c>
      <c r="ED596" s="68" t="str">
        <f t="shared" si="717"/>
        <v>N/A</v>
      </c>
      <c r="EF596" s="56">
        <v>582</v>
      </c>
      <c r="EG596" s="46">
        <f t="shared" si="748"/>
        <v>0</v>
      </c>
      <c r="EH596" s="68" t="e">
        <f t="shared" si="749"/>
        <v>#N/A</v>
      </c>
      <c r="EI596" s="68" t="e">
        <f t="shared" si="750"/>
        <v>#N/A</v>
      </c>
      <c r="EJ596" s="68" t="e">
        <f t="shared" si="751"/>
        <v>#N/A</v>
      </c>
      <c r="EK596" s="68" t="e">
        <f t="shared" si="752"/>
        <v>#N/A</v>
      </c>
      <c r="EL596" s="46">
        <f t="shared" si="753"/>
        <v>0</v>
      </c>
      <c r="EM596" s="46">
        <f t="shared" si="754"/>
        <v>0</v>
      </c>
    </row>
    <row r="597" spans="1:143">
      <c r="A597" s="89"/>
      <c r="B597" s="89"/>
      <c r="C597" s="89"/>
      <c r="D597" s="89"/>
      <c r="E597" s="89"/>
      <c r="F597" s="89"/>
      <c r="G597" s="34"/>
      <c r="H597" s="56">
        <f t="shared" si="755"/>
        <v>583</v>
      </c>
      <c r="I597" s="165"/>
      <c r="J597" s="163"/>
      <c r="K597" s="163"/>
      <c r="L597" s="164"/>
      <c r="M597" s="155"/>
      <c r="N597" s="155"/>
      <c r="O597" s="144"/>
      <c r="P597" s="159" t="str">
        <f>IFERROR(IF(O597&lt;&gt;"User Specified",IF(O597&lt;&gt;"", INDEX('Refrigerant GWPs'!$G$2:$G$154,MATCH(O597,'Refrigerant GWPs'!$A$2:$A$154,0)),""),U597),0)</f>
        <v/>
      </c>
      <c r="Q597" s="155"/>
      <c r="R597" s="155"/>
      <c r="S597" s="144"/>
      <c r="T597" s="159" t="str">
        <f>IF(S597&lt;&gt;"User Specified",IF(AND(S597&lt;&gt;"User Specified",S597&lt;&gt;""), INDEX('Refrigerant GWPs'!$G$2:$G$154,MATCH(S597,'Refrigerant GWPs'!$A$2:$A$154,0)),""),V597)</f>
        <v/>
      </c>
      <c r="U597" s="144"/>
      <c r="V597" s="144"/>
      <c r="W597" s="155"/>
      <c r="X597" s="155"/>
      <c r="Y597" s="144"/>
      <c r="Z597" s="159" t="str">
        <f>IF(AND(Y597&lt;&gt;"User Specified",Y597&lt;&gt;""), INDEX('Refrigerant GWPs'!$G$2:$G$154,MATCH(Y597,'Refrigerant GWPs'!$A$2:$A$154,0)),"")</f>
        <v/>
      </c>
      <c r="AA597" s="155"/>
      <c r="AB597" s="156"/>
      <c r="AC597" s="66"/>
      <c r="AD597" s="66"/>
      <c r="AE597" s="66"/>
      <c r="AF597" s="66"/>
      <c r="AG597" s="66"/>
      <c r="AH597" s="66"/>
      <c r="AI597" s="34"/>
      <c r="AJ597" s="88">
        <f t="shared" si="718"/>
        <v>0</v>
      </c>
      <c r="AK597" s="88">
        <f t="shared" si="719"/>
        <v>0</v>
      </c>
      <c r="AL597" s="88">
        <v>0</v>
      </c>
      <c r="AM597" s="88">
        <v>0</v>
      </c>
      <c r="AN597" s="81" t="str">
        <f t="shared" si="689"/>
        <v/>
      </c>
      <c r="AO597" s="88">
        <f t="shared" si="720"/>
        <v>0</v>
      </c>
      <c r="AP597" s="88">
        <f t="shared" si="721"/>
        <v>0</v>
      </c>
      <c r="AQ597" s="81" t="str">
        <f t="shared" si="722"/>
        <v/>
      </c>
      <c r="AS597" s="41" t="b">
        <f t="shared" si="723"/>
        <v>1</v>
      </c>
      <c r="AT597" s="38">
        <f t="shared" si="724"/>
        <v>0</v>
      </c>
      <c r="AU597" s="60">
        <f t="shared" si="725"/>
        <v>0</v>
      </c>
      <c r="AV597" s="41">
        <f t="shared" si="726"/>
        <v>0</v>
      </c>
      <c r="AW597" s="41" t="b">
        <f t="shared" si="727"/>
        <v>0</v>
      </c>
      <c r="AX597" t="str">
        <f t="shared" si="728"/>
        <v>+00</v>
      </c>
      <c r="AY597" t="str">
        <f t="shared" si="729"/>
        <v>+00</v>
      </c>
      <c r="BA597" s="47" t="b">
        <f t="shared" si="690"/>
        <v>1</v>
      </c>
      <c r="BB597" s="42" t="b">
        <f t="shared" si="691"/>
        <v>1</v>
      </c>
      <c r="BC597" s="42" t="b">
        <f t="shared" si="692"/>
        <v>0</v>
      </c>
      <c r="BD597" s="42" t="b">
        <f t="shared" si="693"/>
        <v>0</v>
      </c>
      <c r="BE597" s="70">
        <f t="shared" si="694"/>
        <v>0</v>
      </c>
      <c r="BF597" s="70">
        <f t="shared" si="695"/>
        <v>0</v>
      </c>
      <c r="BG597" s="34"/>
      <c r="BI597" s="47" t="b">
        <f t="shared" si="696"/>
        <v>1</v>
      </c>
      <c r="BJ597" s="47" t="b">
        <f t="shared" si="697"/>
        <v>1</v>
      </c>
      <c r="BK597" s="42" t="b">
        <f t="shared" si="698"/>
        <v>0</v>
      </c>
      <c r="BL597" s="42" t="b">
        <f t="shared" si="699"/>
        <v>0</v>
      </c>
      <c r="BM597" s="42">
        <f t="shared" si="700"/>
        <v>0</v>
      </c>
      <c r="BN597" s="42">
        <f t="shared" si="701"/>
        <v>0</v>
      </c>
      <c r="BP597" t="e">
        <f t="shared" si="702"/>
        <v>#N/A</v>
      </c>
      <c r="BQ597" t="e">
        <f t="shared" si="703"/>
        <v>#N/A</v>
      </c>
      <c r="BR597" t="e">
        <f t="shared" si="704"/>
        <v>#N/A</v>
      </c>
      <c r="BT597" s="60">
        <f t="shared" si="705"/>
        <v>0</v>
      </c>
      <c r="BU597" s="60">
        <f t="shared" si="706"/>
        <v>0</v>
      </c>
      <c r="BV597" s="60">
        <f t="shared" si="707"/>
        <v>0</v>
      </c>
      <c r="BW597" s="60">
        <f t="shared" si="708"/>
        <v>0</v>
      </c>
      <c r="BX597" s="60">
        <f t="shared" si="709"/>
        <v>0</v>
      </c>
      <c r="BY597" s="60">
        <f t="shared" si="710"/>
        <v>0</v>
      </c>
      <c r="BZ597" s="60">
        <f t="shared" si="711"/>
        <v>0</v>
      </c>
      <c r="CA597" s="60">
        <f t="shared" si="712"/>
        <v>0</v>
      </c>
      <c r="CB597" s="60" t="e">
        <f t="shared" si="730"/>
        <v>#N/A</v>
      </c>
      <c r="CC597" s="60">
        <f t="shared" si="731"/>
        <v>100000</v>
      </c>
      <c r="CD597" s="60" t="e">
        <f t="shared" si="732"/>
        <v>#N/A</v>
      </c>
      <c r="CE597" s="60">
        <f t="shared" si="733"/>
        <v>100000</v>
      </c>
      <c r="CF597" s="83" t="e">
        <f t="shared" si="713"/>
        <v>#N/A</v>
      </c>
      <c r="CG597" s="83">
        <f t="shared" si="714"/>
        <v>0</v>
      </c>
      <c r="CH597" s="83" t="e">
        <f t="shared" si="715"/>
        <v>#N/A</v>
      </c>
      <c r="CI597" s="83">
        <f t="shared" si="716"/>
        <v>0</v>
      </c>
      <c r="CJ597" s="86" t="e">
        <f t="shared" si="734"/>
        <v>#N/A</v>
      </c>
      <c r="CK597" s="82">
        <f t="shared" si="735"/>
        <v>5.3070370403969858E-3</v>
      </c>
      <c r="CL597" s="82" t="e">
        <f t="shared" si="736"/>
        <v>#N/A</v>
      </c>
      <c r="CM597" s="82">
        <f t="shared" si="737"/>
        <v>5.3070370403969858E-3</v>
      </c>
      <c r="CO597" s="149" t="str">
        <f>IF($I597&lt;&gt;"",IF(O597="User Specified",U597,INDEX('Refrigerant GWPs'!$G$2:$G$156,MATCH(O597,'Refrigerant GWPs'!$A$2:$A$156,0))),"")</f>
        <v/>
      </c>
      <c r="CP597" s="138" t="str">
        <f>IF($I597&lt;&gt;"",INDEX('Device Refrigerant Leakage'!$E$2:$E$42,MATCH($M597,'Device Refrigerant Leakage'!$B$2:$B$42,0)),"")</f>
        <v/>
      </c>
      <c r="CQ597" s="138" t="str">
        <f>IF($I597&lt;&gt;"",INDEX('Device Refrigerant Leakage'!$F$2:$F$42,MATCH($M597,'Device Refrigerant Leakage'!$B$2:$B$42,0)),"")</f>
        <v/>
      </c>
      <c r="CR597" s="145" t="str">
        <f>IF($I597&lt;&gt;"",INDEX('Device Refrigerant Leakage'!$G$2:$G$42,MATCH($M597,'Device Refrigerant Leakage'!$B$2:$B$42,0)),"")</f>
        <v/>
      </c>
      <c r="CS597" s="145" t="str">
        <f>IF($I597&lt;&gt;"",INDEX('Device Refrigerant Leakage'!$D$2:$D$42,MATCH($M597,'Device Refrigerant Leakage'!$B$2:$B$42,0))*CP597/2204.62*CO597,"")</f>
        <v/>
      </c>
      <c r="CT597" s="145" t="str">
        <f>IF($I597&lt;&gt;"",J597*(INDEX('Device Refrigerant Leakage'!$D$2:$D$42,MATCH($M597,'Device Refrigerant Leakage'!$B$2:$B$42,0))-(INDEX('Device Refrigerant Leakage'!$D$2:$D$42,MATCH($M597,'Device Refrigerant Leakage'!$B$2:$B$42,0)))*CR597*CP597)*CQ597/2204.62*CO597,"")</f>
        <v/>
      </c>
      <c r="CU597" s="135" t="str">
        <f>IF($I597&lt;&gt;"",J597*IF(W597&lt;&gt;"AR",(CS597*K597)+CT597,(CS597*AB597)+CT597*(AB597/INDEX('Device Refrigerant Leakage'!$C$2:$C$42,MATCH($M597,'Device Refrigerant Leakage'!$B$2:$B$42,0)))),"")</f>
        <v/>
      </c>
      <c r="CW597" s="135" t="str">
        <f>IF($I597&lt;&gt;"",IF(S597="User Specified",V597,INDEX('Refrigerant GWPs'!$G$2:$G$156,MATCH(S597,'Refrigerant GWPs'!$A$2:$A$157,0))),"")</f>
        <v/>
      </c>
      <c r="CX597" s="138" t="str">
        <f>IF($I597&lt;&gt;"",INDEX('Device Refrigerant Leakage'!$E$2:$E$42,MATCH($Q597,'Device Refrigerant Leakage'!$B$2:$B$42,0)),"")</f>
        <v/>
      </c>
      <c r="CY597" s="138" t="str">
        <f>IF($I597&lt;&gt;"",INDEX('Device Refrigerant Leakage'!$F$2:$F$42,MATCH($Q597,'Device Refrigerant Leakage'!$B$2:$B$42,0)),"")</f>
        <v/>
      </c>
      <c r="CZ597" s="145" t="str">
        <f>IF($I597&lt;&gt;"",INDEX('Device Refrigerant Leakage'!$G$2:$G$42,MATCH($Q597,'Device Refrigerant Leakage'!$B$2:$B$42,0)),"")</f>
        <v/>
      </c>
      <c r="DA597" s="145" t="str">
        <f>IF($I597&lt;&gt;"",J597*INDEX('Device Refrigerant Leakage'!$D$2:$D$42,MATCH($Q597,'Device Refrigerant Leakage'!$B$2:$B$42,0))*CX597/2204.62*CW597,"")</f>
        <v/>
      </c>
      <c r="DB597" s="145" t="str">
        <f>IF($I597&lt;&gt;"",J597*(INDEX('Device Refrigerant Leakage'!$D$2:$D$42,MATCH($Q597,'Device Refrigerant Leakage'!$B$2:$B$42,0))-(INDEX('Device Refrigerant Leakage'!$D$2:$D$42,MATCH($Q597,'Device Refrigerant Leakage'!$B$2:$B$42,0)))*CZ597*CX597)*CY597/2204.62*CW597,"")</f>
        <v/>
      </c>
      <c r="DC597" s="135" t="str">
        <f t="shared" si="756"/>
        <v/>
      </c>
      <c r="DE597" s="146" t="str">
        <f>IF(W597&lt;&gt;"AR","",IF(Y597="User Specified", AA597, INDEX('Refrigerant GWPs'!$G$2:$G$154,MATCH(Y597,'Refrigerant GWPs'!$A$2:$A$154,0))))</f>
        <v/>
      </c>
      <c r="DF597" s="146" t="str">
        <f>IF(W597&lt;&gt;"AR","",INDEX('Device Refrigerant Leakage'!$E$2:$E$42,MATCH(X597,'Device Refrigerant Leakage'!$B$2:$B$42,0)))</f>
        <v/>
      </c>
      <c r="DG597" s="146" t="str">
        <f>IF(W597&lt;&gt;"AR","",INDEX('Device Refrigerant Leakage'!$F$2:$F$42,MATCH(X597,'Device Refrigerant Leakage'!$B$2:$B$42,0)))</f>
        <v/>
      </c>
      <c r="DH597" s="146" t="str">
        <f>IF(W597&lt;&gt;"AR","",INDEX('Device Refrigerant Leakage'!$G$2:$G$42,MATCH(X597,'Device Refrigerant Leakage'!$B$2:$B$42,0)))</f>
        <v/>
      </c>
      <c r="DI597" s="146" t="str">
        <f>IF(W597&lt;&gt;"AR","",J597*INDEX('Device Refrigerant Leakage'!$D$2:$D$42,MATCH(X597,'Device Refrigerant Leakage'!$B$2:$B$42,0))*DF597/2204.62*DE597)</f>
        <v/>
      </c>
      <c r="DJ597" s="146" t="str">
        <f>IF(W597&lt;&gt;"AR","",J597*(INDEX('Device Refrigerant Leakage'!$D$2:$D$42,MATCH(X597,'Device Refrigerant Leakage'!$B$2:$B$42,0))-(INDEX('Device Refrigerant Leakage'!$D$2:$D$42,MATCH(X597,'Device Refrigerant Leakage'!$B$2:$B$42,0)))*DH597*DF597)*DG597/2204.62*DE597)</f>
        <v/>
      </c>
      <c r="DK597" s="146" t="str">
        <f>IF(W597&lt;&gt;"AR","",DI597*(K597-AB597)+'Fuel Sub Calcs-Deemed'!DJ597*((K597-AB597)/INDEX('Device Refrigerant Leakage'!$C$2:$C$42,MATCH('Fuel Sub Calcs-Deemed'!X597,'Device Refrigerant Leakage'!$B$2:$B$42,0))))</f>
        <v/>
      </c>
      <c r="DM597" s="56">
        <v>583</v>
      </c>
      <c r="DN597" s="67" t="e">
        <f t="shared" si="738"/>
        <v>#N/A</v>
      </c>
      <c r="DO597" s="45" t="e">
        <f t="shared" si="739"/>
        <v>#N/A</v>
      </c>
      <c r="DP597" s="67" t="e">
        <f t="shared" si="740"/>
        <v>#N/A</v>
      </c>
      <c r="DQ597" s="45" t="e">
        <f t="shared" si="741"/>
        <v>#N/A</v>
      </c>
      <c r="DR597" s="69" t="e">
        <f t="shared" si="742"/>
        <v>#N/A</v>
      </c>
      <c r="DS597" s="34"/>
      <c r="DT597" s="67" t="e">
        <f>((BX597*CJ597)+IF($W597=MAT_AR,(BZ597*CL597),0))*(1+Reference!$E$50+Reference!$E$51)</f>
        <v>#N/A</v>
      </c>
      <c r="DU597" s="67">
        <f>((BY597*CK597)+IF($W597=MAT_AR,(CA597*CM597),0))*(1+Reference!$G$50+Reference!$G$51)</f>
        <v>0</v>
      </c>
      <c r="DV597" s="67" t="e">
        <f t="shared" si="743"/>
        <v>#VALUE!</v>
      </c>
      <c r="DX597" s="56">
        <v>583</v>
      </c>
      <c r="DY597" s="67">
        <f t="shared" si="744"/>
        <v>0</v>
      </c>
      <c r="DZ597" s="45" t="e">
        <f>VLOOKUP($R597,Dropdown!$C$3:$D$4,2,FALSE)</f>
        <v>#N/A</v>
      </c>
      <c r="EA597" s="68">
        <f t="shared" si="745"/>
        <v>0</v>
      </c>
      <c r="EB597" s="68" t="str">
        <f t="shared" si="746"/>
        <v>N/A</v>
      </c>
      <c r="EC597" s="68">
        <f t="shared" si="747"/>
        <v>0</v>
      </c>
      <c r="ED597" s="68" t="str">
        <f t="shared" si="717"/>
        <v>N/A</v>
      </c>
      <c r="EF597" s="56">
        <v>583</v>
      </c>
      <c r="EG597" s="46">
        <f t="shared" si="748"/>
        <v>0</v>
      </c>
      <c r="EH597" s="68" t="e">
        <f t="shared" si="749"/>
        <v>#N/A</v>
      </c>
      <c r="EI597" s="68" t="e">
        <f t="shared" si="750"/>
        <v>#N/A</v>
      </c>
      <c r="EJ597" s="68" t="e">
        <f t="shared" si="751"/>
        <v>#N/A</v>
      </c>
      <c r="EK597" s="68" t="e">
        <f t="shared" si="752"/>
        <v>#N/A</v>
      </c>
      <c r="EL597" s="46">
        <f t="shared" si="753"/>
        <v>0</v>
      </c>
      <c r="EM597" s="46">
        <f t="shared" si="754"/>
        <v>0</v>
      </c>
    </row>
    <row r="598" spans="1:143">
      <c r="A598" s="89"/>
      <c r="B598" s="89"/>
      <c r="C598" s="89"/>
      <c r="D598" s="89"/>
      <c r="E598" s="89"/>
      <c r="F598" s="89"/>
      <c r="G598" s="34"/>
      <c r="H598" s="56">
        <f t="shared" si="755"/>
        <v>584</v>
      </c>
      <c r="I598" s="165"/>
      <c r="J598" s="163"/>
      <c r="K598" s="163"/>
      <c r="L598" s="164"/>
      <c r="M598" s="155"/>
      <c r="N598" s="155"/>
      <c r="O598" s="144"/>
      <c r="P598" s="159" t="str">
        <f>IFERROR(IF(O598&lt;&gt;"User Specified",IF(O598&lt;&gt;"", INDEX('Refrigerant GWPs'!$G$2:$G$154,MATCH(O598,'Refrigerant GWPs'!$A$2:$A$154,0)),""),U598),0)</f>
        <v/>
      </c>
      <c r="Q598" s="155"/>
      <c r="R598" s="155"/>
      <c r="S598" s="144"/>
      <c r="T598" s="159" t="str">
        <f>IF(S598&lt;&gt;"User Specified",IF(AND(S598&lt;&gt;"User Specified",S598&lt;&gt;""), INDEX('Refrigerant GWPs'!$G$2:$G$154,MATCH(S598,'Refrigerant GWPs'!$A$2:$A$154,0)),""),V598)</f>
        <v/>
      </c>
      <c r="U598" s="144"/>
      <c r="V598" s="144"/>
      <c r="W598" s="155"/>
      <c r="X598" s="155"/>
      <c r="Y598" s="144"/>
      <c r="Z598" s="159" t="str">
        <f>IF(AND(Y598&lt;&gt;"User Specified",Y598&lt;&gt;""), INDEX('Refrigerant GWPs'!$G$2:$G$154,MATCH(Y598,'Refrigerant GWPs'!$A$2:$A$154,0)),"")</f>
        <v/>
      </c>
      <c r="AA598" s="155"/>
      <c r="AB598" s="156"/>
      <c r="AC598" s="66"/>
      <c r="AD598" s="66"/>
      <c r="AE598" s="66"/>
      <c r="AF598" s="66"/>
      <c r="AG598" s="66"/>
      <c r="AH598" s="66"/>
      <c r="AI598" s="34"/>
      <c r="AJ598" s="88">
        <f t="shared" si="718"/>
        <v>0</v>
      </c>
      <c r="AK598" s="88">
        <f t="shared" si="719"/>
        <v>0</v>
      </c>
      <c r="AL598" s="88">
        <v>0</v>
      </c>
      <c r="AM598" s="88">
        <v>0</v>
      </c>
      <c r="AN598" s="81" t="str">
        <f t="shared" si="689"/>
        <v/>
      </c>
      <c r="AO598" s="88">
        <f t="shared" si="720"/>
        <v>0</v>
      </c>
      <c r="AP598" s="88">
        <f t="shared" si="721"/>
        <v>0</v>
      </c>
      <c r="AQ598" s="81" t="str">
        <f t="shared" si="722"/>
        <v/>
      </c>
      <c r="AS598" s="41" t="b">
        <f t="shared" si="723"/>
        <v>1</v>
      </c>
      <c r="AT598" s="38">
        <f t="shared" si="724"/>
        <v>0</v>
      </c>
      <c r="AU598" s="60">
        <f t="shared" si="725"/>
        <v>0</v>
      </c>
      <c r="AV598" s="41">
        <f t="shared" si="726"/>
        <v>0</v>
      </c>
      <c r="AW598" s="41" t="b">
        <f t="shared" si="727"/>
        <v>0</v>
      </c>
      <c r="AX598" t="str">
        <f t="shared" si="728"/>
        <v>+00</v>
      </c>
      <c r="AY598" t="str">
        <f t="shared" si="729"/>
        <v>+00</v>
      </c>
      <c r="BA598" s="47" t="b">
        <f t="shared" si="690"/>
        <v>1</v>
      </c>
      <c r="BB598" s="42" t="b">
        <f t="shared" si="691"/>
        <v>1</v>
      </c>
      <c r="BC598" s="42" t="b">
        <f t="shared" si="692"/>
        <v>0</v>
      </c>
      <c r="BD598" s="42" t="b">
        <f t="shared" si="693"/>
        <v>0</v>
      </c>
      <c r="BE598" s="70">
        <f t="shared" si="694"/>
        <v>0</v>
      </c>
      <c r="BF598" s="70">
        <f t="shared" si="695"/>
        <v>0</v>
      </c>
      <c r="BG598" s="34"/>
      <c r="BI598" s="47" t="b">
        <f t="shared" si="696"/>
        <v>1</v>
      </c>
      <c r="BJ598" s="47" t="b">
        <f t="shared" si="697"/>
        <v>1</v>
      </c>
      <c r="BK598" s="42" t="b">
        <f t="shared" si="698"/>
        <v>0</v>
      </c>
      <c r="BL598" s="42" t="b">
        <f t="shared" si="699"/>
        <v>0</v>
      </c>
      <c r="BM598" s="42">
        <f t="shared" si="700"/>
        <v>0</v>
      </c>
      <c r="BN598" s="42">
        <f t="shared" si="701"/>
        <v>0</v>
      </c>
      <c r="BP598" t="e">
        <f t="shared" si="702"/>
        <v>#N/A</v>
      </c>
      <c r="BQ598" t="e">
        <f t="shared" si="703"/>
        <v>#N/A</v>
      </c>
      <c r="BR598" t="e">
        <f t="shared" si="704"/>
        <v>#N/A</v>
      </c>
      <c r="BT598" s="60">
        <f t="shared" si="705"/>
        <v>0</v>
      </c>
      <c r="BU598" s="60">
        <f t="shared" si="706"/>
        <v>0</v>
      </c>
      <c r="BV598" s="60">
        <f t="shared" si="707"/>
        <v>0</v>
      </c>
      <c r="BW598" s="60">
        <f t="shared" si="708"/>
        <v>0</v>
      </c>
      <c r="BX598" s="60">
        <f t="shared" si="709"/>
        <v>0</v>
      </c>
      <c r="BY598" s="60">
        <f t="shared" si="710"/>
        <v>0</v>
      </c>
      <c r="BZ598" s="60">
        <f t="shared" si="711"/>
        <v>0</v>
      </c>
      <c r="CA598" s="60">
        <f t="shared" si="712"/>
        <v>0</v>
      </c>
      <c r="CB598" s="60" t="e">
        <f t="shared" si="730"/>
        <v>#N/A</v>
      </c>
      <c r="CC598" s="60">
        <f t="shared" si="731"/>
        <v>100000</v>
      </c>
      <c r="CD598" s="60" t="e">
        <f t="shared" si="732"/>
        <v>#N/A</v>
      </c>
      <c r="CE598" s="60">
        <f t="shared" si="733"/>
        <v>100000</v>
      </c>
      <c r="CF598" s="83" t="e">
        <f t="shared" si="713"/>
        <v>#N/A</v>
      </c>
      <c r="CG598" s="83">
        <f t="shared" si="714"/>
        <v>0</v>
      </c>
      <c r="CH598" s="83" t="e">
        <f t="shared" si="715"/>
        <v>#N/A</v>
      </c>
      <c r="CI598" s="83">
        <f t="shared" si="716"/>
        <v>0</v>
      </c>
      <c r="CJ598" s="86" t="e">
        <f t="shared" si="734"/>
        <v>#N/A</v>
      </c>
      <c r="CK598" s="82">
        <f t="shared" si="735"/>
        <v>5.3070370403969858E-3</v>
      </c>
      <c r="CL598" s="82" t="e">
        <f t="shared" si="736"/>
        <v>#N/A</v>
      </c>
      <c r="CM598" s="82">
        <f t="shared" si="737"/>
        <v>5.3070370403969858E-3</v>
      </c>
      <c r="CO598" s="149" t="str">
        <f>IF($I598&lt;&gt;"",IF(O598="User Specified",U598,INDEX('Refrigerant GWPs'!$G$2:$G$156,MATCH(O598,'Refrigerant GWPs'!$A$2:$A$156,0))),"")</f>
        <v/>
      </c>
      <c r="CP598" s="138" t="str">
        <f>IF($I598&lt;&gt;"",INDEX('Device Refrigerant Leakage'!$E$2:$E$42,MATCH($M598,'Device Refrigerant Leakage'!$B$2:$B$42,0)),"")</f>
        <v/>
      </c>
      <c r="CQ598" s="138" t="str">
        <f>IF($I598&lt;&gt;"",INDEX('Device Refrigerant Leakage'!$F$2:$F$42,MATCH($M598,'Device Refrigerant Leakage'!$B$2:$B$42,0)),"")</f>
        <v/>
      </c>
      <c r="CR598" s="145" t="str">
        <f>IF($I598&lt;&gt;"",INDEX('Device Refrigerant Leakage'!$G$2:$G$42,MATCH($M598,'Device Refrigerant Leakage'!$B$2:$B$42,0)),"")</f>
        <v/>
      </c>
      <c r="CS598" s="145" t="str">
        <f>IF($I598&lt;&gt;"",INDEX('Device Refrigerant Leakage'!$D$2:$D$42,MATCH($M598,'Device Refrigerant Leakage'!$B$2:$B$42,0))*CP598/2204.62*CO598,"")</f>
        <v/>
      </c>
      <c r="CT598" s="145" t="str">
        <f>IF($I598&lt;&gt;"",J598*(INDEX('Device Refrigerant Leakage'!$D$2:$D$42,MATCH($M598,'Device Refrigerant Leakage'!$B$2:$B$42,0))-(INDEX('Device Refrigerant Leakage'!$D$2:$D$42,MATCH($M598,'Device Refrigerant Leakage'!$B$2:$B$42,0)))*CR598*CP598)*CQ598/2204.62*CO598,"")</f>
        <v/>
      </c>
      <c r="CU598" s="135" t="str">
        <f>IF($I598&lt;&gt;"",J598*IF(W598&lt;&gt;"AR",(CS598*K598)+CT598,(CS598*AB598)+CT598*(AB598/INDEX('Device Refrigerant Leakage'!$C$2:$C$42,MATCH($M598,'Device Refrigerant Leakage'!$B$2:$B$42,0)))),"")</f>
        <v/>
      </c>
      <c r="CW598" s="135" t="str">
        <f>IF($I598&lt;&gt;"",IF(S598="User Specified",V598,INDEX('Refrigerant GWPs'!$G$2:$G$156,MATCH(S598,'Refrigerant GWPs'!$A$2:$A$157,0))),"")</f>
        <v/>
      </c>
      <c r="CX598" s="138" t="str">
        <f>IF($I598&lt;&gt;"",INDEX('Device Refrigerant Leakage'!$E$2:$E$42,MATCH($Q598,'Device Refrigerant Leakage'!$B$2:$B$42,0)),"")</f>
        <v/>
      </c>
      <c r="CY598" s="138" t="str">
        <f>IF($I598&lt;&gt;"",INDEX('Device Refrigerant Leakage'!$F$2:$F$42,MATCH($Q598,'Device Refrigerant Leakage'!$B$2:$B$42,0)),"")</f>
        <v/>
      </c>
      <c r="CZ598" s="145" t="str">
        <f>IF($I598&lt;&gt;"",INDEX('Device Refrigerant Leakage'!$G$2:$G$42,MATCH($Q598,'Device Refrigerant Leakage'!$B$2:$B$42,0)),"")</f>
        <v/>
      </c>
      <c r="DA598" s="145" t="str">
        <f>IF($I598&lt;&gt;"",J598*INDEX('Device Refrigerant Leakage'!$D$2:$D$42,MATCH($Q598,'Device Refrigerant Leakage'!$B$2:$B$42,0))*CX598/2204.62*CW598,"")</f>
        <v/>
      </c>
      <c r="DB598" s="145" t="str">
        <f>IF($I598&lt;&gt;"",J598*(INDEX('Device Refrigerant Leakage'!$D$2:$D$42,MATCH($Q598,'Device Refrigerant Leakage'!$B$2:$B$42,0))-(INDEX('Device Refrigerant Leakage'!$D$2:$D$42,MATCH($Q598,'Device Refrigerant Leakage'!$B$2:$B$42,0)))*CZ598*CX598)*CY598/2204.62*CW598,"")</f>
        <v/>
      </c>
      <c r="DC598" s="135" t="str">
        <f t="shared" si="756"/>
        <v/>
      </c>
      <c r="DE598" s="146" t="str">
        <f>IF(W598&lt;&gt;"AR","",IF(Y598="User Specified", AA598, INDEX('Refrigerant GWPs'!$G$2:$G$154,MATCH(Y598,'Refrigerant GWPs'!$A$2:$A$154,0))))</f>
        <v/>
      </c>
      <c r="DF598" s="146" t="str">
        <f>IF(W598&lt;&gt;"AR","",INDEX('Device Refrigerant Leakage'!$E$2:$E$42,MATCH(X598,'Device Refrigerant Leakage'!$B$2:$B$42,0)))</f>
        <v/>
      </c>
      <c r="DG598" s="146" t="str">
        <f>IF(W598&lt;&gt;"AR","",INDEX('Device Refrigerant Leakage'!$F$2:$F$42,MATCH(X598,'Device Refrigerant Leakage'!$B$2:$B$42,0)))</f>
        <v/>
      </c>
      <c r="DH598" s="146" t="str">
        <f>IF(W598&lt;&gt;"AR","",INDEX('Device Refrigerant Leakage'!$G$2:$G$42,MATCH(X598,'Device Refrigerant Leakage'!$B$2:$B$42,0)))</f>
        <v/>
      </c>
      <c r="DI598" s="146" t="str">
        <f>IF(W598&lt;&gt;"AR","",J598*INDEX('Device Refrigerant Leakage'!$D$2:$D$42,MATCH(X598,'Device Refrigerant Leakage'!$B$2:$B$42,0))*DF598/2204.62*DE598)</f>
        <v/>
      </c>
      <c r="DJ598" s="146" t="str">
        <f>IF(W598&lt;&gt;"AR","",J598*(INDEX('Device Refrigerant Leakage'!$D$2:$D$42,MATCH(X598,'Device Refrigerant Leakage'!$B$2:$B$42,0))-(INDEX('Device Refrigerant Leakage'!$D$2:$D$42,MATCH(X598,'Device Refrigerant Leakage'!$B$2:$B$42,0)))*DH598*DF598)*DG598/2204.62*DE598)</f>
        <v/>
      </c>
      <c r="DK598" s="146" t="str">
        <f>IF(W598&lt;&gt;"AR","",DI598*(K598-AB598)+'Fuel Sub Calcs-Deemed'!DJ598*((K598-AB598)/INDEX('Device Refrigerant Leakage'!$C$2:$C$42,MATCH('Fuel Sub Calcs-Deemed'!X598,'Device Refrigerant Leakage'!$B$2:$B$42,0))))</f>
        <v/>
      </c>
      <c r="DM598" s="56">
        <v>584</v>
      </c>
      <c r="DN598" s="67" t="e">
        <f t="shared" si="738"/>
        <v>#N/A</v>
      </c>
      <c r="DO598" s="45" t="e">
        <f t="shared" si="739"/>
        <v>#N/A</v>
      </c>
      <c r="DP598" s="67" t="e">
        <f t="shared" si="740"/>
        <v>#N/A</v>
      </c>
      <c r="DQ598" s="45" t="e">
        <f t="shared" si="741"/>
        <v>#N/A</v>
      </c>
      <c r="DR598" s="69" t="e">
        <f t="shared" si="742"/>
        <v>#N/A</v>
      </c>
      <c r="DS598" s="34"/>
      <c r="DT598" s="67" t="e">
        <f>((BX598*CJ598)+IF($W598=MAT_AR,(BZ598*CL598),0))*(1+Reference!$E$50+Reference!$E$51)</f>
        <v>#N/A</v>
      </c>
      <c r="DU598" s="67">
        <f>((BY598*CK598)+IF($W598=MAT_AR,(CA598*CM598),0))*(1+Reference!$G$50+Reference!$G$51)</f>
        <v>0</v>
      </c>
      <c r="DV598" s="67" t="e">
        <f t="shared" si="743"/>
        <v>#VALUE!</v>
      </c>
      <c r="DX598" s="56">
        <v>584</v>
      </c>
      <c r="DY598" s="67">
        <f t="shared" si="744"/>
        <v>0</v>
      </c>
      <c r="DZ598" s="45" t="e">
        <f>VLOOKUP($R598,Dropdown!$C$3:$D$4,2,FALSE)</f>
        <v>#N/A</v>
      </c>
      <c r="EA598" s="68">
        <f t="shared" si="745"/>
        <v>0</v>
      </c>
      <c r="EB598" s="68" t="str">
        <f t="shared" si="746"/>
        <v>N/A</v>
      </c>
      <c r="EC598" s="68">
        <f t="shared" si="747"/>
        <v>0</v>
      </c>
      <c r="ED598" s="68" t="str">
        <f t="shared" si="717"/>
        <v>N/A</v>
      </c>
      <c r="EF598" s="56">
        <v>584</v>
      </c>
      <c r="EG598" s="46">
        <f t="shared" si="748"/>
        <v>0</v>
      </c>
      <c r="EH598" s="68" t="e">
        <f t="shared" si="749"/>
        <v>#N/A</v>
      </c>
      <c r="EI598" s="68" t="e">
        <f t="shared" si="750"/>
        <v>#N/A</v>
      </c>
      <c r="EJ598" s="68" t="e">
        <f t="shared" si="751"/>
        <v>#N/A</v>
      </c>
      <c r="EK598" s="68" t="e">
        <f t="shared" si="752"/>
        <v>#N/A</v>
      </c>
      <c r="EL598" s="46">
        <f t="shared" si="753"/>
        <v>0</v>
      </c>
      <c r="EM598" s="46">
        <f t="shared" si="754"/>
        <v>0</v>
      </c>
    </row>
    <row r="599" spans="1:143">
      <c r="A599" s="89"/>
      <c r="B599" s="89"/>
      <c r="C599" s="89"/>
      <c r="D599" s="89"/>
      <c r="E599" s="89"/>
      <c r="F599" s="89"/>
      <c r="G599" s="34"/>
      <c r="H599" s="56">
        <f t="shared" si="755"/>
        <v>585</v>
      </c>
      <c r="I599" s="165"/>
      <c r="J599" s="163"/>
      <c r="K599" s="163"/>
      <c r="L599" s="164"/>
      <c r="M599" s="155"/>
      <c r="N599" s="155"/>
      <c r="O599" s="144"/>
      <c r="P599" s="159" t="str">
        <f>IFERROR(IF(O599&lt;&gt;"User Specified",IF(O599&lt;&gt;"", INDEX('Refrigerant GWPs'!$G$2:$G$154,MATCH(O599,'Refrigerant GWPs'!$A$2:$A$154,0)),""),U599),0)</f>
        <v/>
      </c>
      <c r="Q599" s="155"/>
      <c r="R599" s="155"/>
      <c r="S599" s="144"/>
      <c r="T599" s="159" t="str">
        <f>IF(S599&lt;&gt;"User Specified",IF(AND(S599&lt;&gt;"User Specified",S599&lt;&gt;""), INDEX('Refrigerant GWPs'!$G$2:$G$154,MATCH(S599,'Refrigerant GWPs'!$A$2:$A$154,0)),""),V599)</f>
        <v/>
      </c>
      <c r="U599" s="144"/>
      <c r="V599" s="144"/>
      <c r="W599" s="155"/>
      <c r="X599" s="155"/>
      <c r="Y599" s="144"/>
      <c r="Z599" s="159" t="str">
        <f>IF(AND(Y599&lt;&gt;"User Specified",Y599&lt;&gt;""), INDEX('Refrigerant GWPs'!$G$2:$G$154,MATCH(Y599,'Refrigerant GWPs'!$A$2:$A$154,0)),"")</f>
        <v/>
      </c>
      <c r="AA599" s="155"/>
      <c r="AB599" s="156"/>
      <c r="AC599" s="66"/>
      <c r="AD599" s="66"/>
      <c r="AE599" s="66"/>
      <c r="AF599" s="66"/>
      <c r="AG599" s="66"/>
      <c r="AH599" s="66"/>
      <c r="AI599" s="34"/>
      <c r="AJ599" s="88">
        <f t="shared" si="718"/>
        <v>0</v>
      </c>
      <c r="AK599" s="88">
        <f t="shared" si="719"/>
        <v>0</v>
      </c>
      <c r="AL599" s="88">
        <v>0</v>
      </c>
      <c r="AM599" s="88">
        <v>0</v>
      </c>
      <c r="AN599" s="81" t="str">
        <f t="shared" ref="AN599:AN662" si="757">IF(OR(BC599:BD599),"Warning: Need to enter baseline and measure consumption","")</f>
        <v/>
      </c>
      <c r="AO599" s="88">
        <f t="shared" si="720"/>
        <v>0</v>
      </c>
      <c r="AP599" s="88">
        <f t="shared" si="721"/>
        <v>0</v>
      </c>
      <c r="AQ599" s="81" t="str">
        <f t="shared" si="722"/>
        <v/>
      </c>
      <c r="AS599" s="41" t="b">
        <f t="shared" si="723"/>
        <v>1</v>
      </c>
      <c r="AT599" s="38">
        <f t="shared" si="724"/>
        <v>0</v>
      </c>
      <c r="AU599" s="60">
        <f t="shared" si="725"/>
        <v>0</v>
      </c>
      <c r="AV599" s="41">
        <f t="shared" si="726"/>
        <v>0</v>
      </c>
      <c r="AW599" s="41" t="b">
        <f t="shared" si="727"/>
        <v>0</v>
      </c>
      <c r="AX599" t="str">
        <f t="shared" si="728"/>
        <v>+00</v>
      </c>
      <c r="AY599" t="str">
        <f t="shared" si="729"/>
        <v>+00</v>
      </c>
      <c r="BA599" s="47" t="b">
        <f t="shared" ref="BA599:BA662" si="758">NOT(OR(ISBLANK(AJ599),ISBLANK(AL599)))</f>
        <v>1</v>
      </c>
      <c r="BB599" s="42" t="b">
        <f t="shared" ref="BB599:BB662" si="759">NOT(OR(ISBLANK(AK599),ISBLANK(AM599)))</f>
        <v>1</v>
      </c>
      <c r="BC599" s="42" t="b">
        <f t="shared" ref="BC599:BC662" si="760">AND(NOT(BA599))</f>
        <v>0</v>
      </c>
      <c r="BD599" s="42" t="b">
        <f t="shared" ref="BD599:BD662" si="761">AND(NOT(BB599))</f>
        <v>0</v>
      </c>
      <c r="BE599" s="70">
        <f t="shared" ref="BE599:BE662" si="762">AJ599-AL599</f>
        <v>0</v>
      </c>
      <c r="BF599" s="70">
        <f t="shared" ref="BF599:BF662" si="763">AK599-AM599</f>
        <v>0</v>
      </c>
      <c r="BG599" s="34"/>
      <c r="BI599" s="47" t="b">
        <f t="shared" ref="BI599:BI662" si="764">NOT(OR(ISBLANK(AL599),ISBLANK(AO599)))</f>
        <v>1</v>
      </c>
      <c r="BJ599" s="47" t="b">
        <f t="shared" ref="BJ599:BJ662" si="765">NOT(OR(ISBLANK(AM599),ISBLANK(AP599)))</f>
        <v>1</v>
      </c>
      <c r="BK599" s="42" t="b">
        <f t="shared" ref="BK599:BK662" si="766">AND(NOT(BI599))</f>
        <v>0</v>
      </c>
      <c r="BL599" s="42" t="b">
        <f t="shared" ref="BL599:BL662" si="767">AND(NOT(BJ599))</f>
        <v>0</v>
      </c>
      <c r="BM599" s="42">
        <f t="shared" ref="BM599:BM662" si="768">IF(NOT(OR(ISBLANK(AO599),ISBLANK(AL599))),AO599-AL599,0)</f>
        <v>0</v>
      </c>
      <c r="BN599" s="42">
        <f t="shared" ref="BN599:BN662" si="769">IF(NOT(OR(ISBLANK(AP599),ISBLANK(AM599))),AP599-AM599,0)</f>
        <v>0</v>
      </c>
      <c r="BP599" t="e">
        <f t="shared" ref="BP599:BP662" si="770">(DN599&gt;=0)</f>
        <v>#N/A</v>
      </c>
      <c r="BQ599" t="e">
        <f t="shared" ref="BQ599:BQ662" si="771">(DP599&gt;=0)</f>
        <v>#N/A</v>
      </c>
      <c r="BR599" t="e">
        <f t="shared" ref="BR599:BR662" si="772">AND(BP599,BQ599)</f>
        <v>#N/A</v>
      </c>
      <c r="BT599" s="60">
        <f t="shared" ref="BT599:BT662" si="773">$J599*BE599</f>
        <v>0</v>
      </c>
      <c r="BU599" s="60">
        <f t="shared" ref="BU599:BU662" si="774">$J599*BF599</f>
        <v>0</v>
      </c>
      <c r="BV599" s="60">
        <f t="shared" ref="BV599:BV662" si="775">$J599*BM599</f>
        <v>0</v>
      </c>
      <c r="BW599" s="60">
        <f t="shared" ref="BW599:BW662" si="776">$J599*BN599</f>
        <v>0</v>
      </c>
      <c r="BX599" s="60">
        <f t="shared" ref="BX599:BX662" si="777">$AT599*BT599</f>
        <v>0</v>
      </c>
      <c r="BY599" s="60">
        <f t="shared" ref="BY599:BY662" si="778">$AT599*BU599</f>
        <v>0</v>
      </c>
      <c r="BZ599" s="60">
        <f t="shared" ref="BZ599:BZ662" si="779">$AU599*BV599</f>
        <v>0</v>
      </c>
      <c r="CA599" s="60">
        <f t="shared" ref="CA599:CA662" si="780">$AU599*BW599</f>
        <v>0</v>
      </c>
      <c r="CB599" s="60" t="e">
        <f t="shared" si="730"/>
        <v>#N/A</v>
      </c>
      <c r="CC599" s="60">
        <f t="shared" si="731"/>
        <v>100000</v>
      </c>
      <c r="CD599" s="60" t="e">
        <f t="shared" si="732"/>
        <v>#N/A</v>
      </c>
      <c r="CE599" s="60">
        <f t="shared" si="733"/>
        <v>100000</v>
      </c>
      <c r="CF599" s="83" t="e">
        <f t="shared" ref="CF599:CF662" si="781">$AT599*CB599/1000000</f>
        <v>#N/A</v>
      </c>
      <c r="CG599" s="83">
        <f t="shared" ref="CG599:CG662" si="782">$AT599*CC599/1000000</f>
        <v>0</v>
      </c>
      <c r="CH599" s="83" t="e">
        <f t="shared" ref="CH599:CH662" si="783">$AU599*CD599/1000000</f>
        <v>#N/A</v>
      </c>
      <c r="CI599" s="83">
        <f t="shared" ref="CI599:CI662" si="784">$AU599*CE599/1000000</f>
        <v>0</v>
      </c>
      <c r="CJ599" s="86" t="e">
        <f t="shared" si="734"/>
        <v>#N/A</v>
      </c>
      <c r="CK599" s="82">
        <f t="shared" si="735"/>
        <v>5.3070370403969858E-3</v>
      </c>
      <c r="CL599" s="82" t="e">
        <f t="shared" si="736"/>
        <v>#N/A</v>
      </c>
      <c r="CM599" s="82">
        <f t="shared" si="737"/>
        <v>5.3070370403969858E-3</v>
      </c>
      <c r="CO599" s="149" t="str">
        <f>IF($I599&lt;&gt;"",IF(O599="User Specified",U599,INDEX('Refrigerant GWPs'!$G$2:$G$156,MATCH(O599,'Refrigerant GWPs'!$A$2:$A$156,0))),"")</f>
        <v/>
      </c>
      <c r="CP599" s="138" t="str">
        <f>IF($I599&lt;&gt;"",INDEX('Device Refrigerant Leakage'!$E$2:$E$42,MATCH($M599,'Device Refrigerant Leakage'!$B$2:$B$42,0)),"")</f>
        <v/>
      </c>
      <c r="CQ599" s="138" t="str">
        <f>IF($I599&lt;&gt;"",INDEX('Device Refrigerant Leakage'!$F$2:$F$42,MATCH($M599,'Device Refrigerant Leakage'!$B$2:$B$42,0)),"")</f>
        <v/>
      </c>
      <c r="CR599" s="145" t="str">
        <f>IF($I599&lt;&gt;"",INDEX('Device Refrigerant Leakage'!$G$2:$G$42,MATCH($M599,'Device Refrigerant Leakage'!$B$2:$B$42,0)),"")</f>
        <v/>
      </c>
      <c r="CS599" s="145" t="str">
        <f>IF($I599&lt;&gt;"",INDEX('Device Refrigerant Leakage'!$D$2:$D$42,MATCH($M599,'Device Refrigerant Leakage'!$B$2:$B$42,0))*CP599/2204.62*CO599,"")</f>
        <v/>
      </c>
      <c r="CT599" s="145" t="str">
        <f>IF($I599&lt;&gt;"",J599*(INDEX('Device Refrigerant Leakage'!$D$2:$D$42,MATCH($M599,'Device Refrigerant Leakage'!$B$2:$B$42,0))-(INDEX('Device Refrigerant Leakage'!$D$2:$D$42,MATCH($M599,'Device Refrigerant Leakage'!$B$2:$B$42,0)))*CR599*CP599)*CQ599/2204.62*CO599,"")</f>
        <v/>
      </c>
      <c r="CU599" s="135" t="str">
        <f>IF($I599&lt;&gt;"",J599*IF(W599&lt;&gt;"AR",(CS599*K599)+CT599,(CS599*AB599)+CT599*(AB599/INDEX('Device Refrigerant Leakage'!$C$2:$C$42,MATCH($M599,'Device Refrigerant Leakage'!$B$2:$B$42,0)))),"")</f>
        <v/>
      </c>
      <c r="CW599" s="135" t="str">
        <f>IF($I599&lt;&gt;"",IF(S599="User Specified",V599,INDEX('Refrigerant GWPs'!$G$2:$G$156,MATCH(S599,'Refrigerant GWPs'!$A$2:$A$157,0))),"")</f>
        <v/>
      </c>
      <c r="CX599" s="138" t="str">
        <f>IF($I599&lt;&gt;"",INDEX('Device Refrigerant Leakage'!$E$2:$E$42,MATCH($Q599,'Device Refrigerant Leakage'!$B$2:$B$42,0)),"")</f>
        <v/>
      </c>
      <c r="CY599" s="138" t="str">
        <f>IF($I599&lt;&gt;"",INDEX('Device Refrigerant Leakage'!$F$2:$F$42,MATCH($Q599,'Device Refrigerant Leakage'!$B$2:$B$42,0)),"")</f>
        <v/>
      </c>
      <c r="CZ599" s="145" t="str">
        <f>IF($I599&lt;&gt;"",INDEX('Device Refrigerant Leakage'!$G$2:$G$42,MATCH($Q599,'Device Refrigerant Leakage'!$B$2:$B$42,0)),"")</f>
        <v/>
      </c>
      <c r="DA599" s="145" t="str">
        <f>IF($I599&lt;&gt;"",J599*INDEX('Device Refrigerant Leakage'!$D$2:$D$42,MATCH($Q599,'Device Refrigerant Leakage'!$B$2:$B$42,0))*CX599/2204.62*CW599,"")</f>
        <v/>
      </c>
      <c r="DB599" s="145" t="str">
        <f>IF($I599&lt;&gt;"",J599*(INDEX('Device Refrigerant Leakage'!$D$2:$D$42,MATCH($Q599,'Device Refrigerant Leakage'!$B$2:$B$42,0))-(INDEX('Device Refrigerant Leakage'!$D$2:$D$42,MATCH($Q599,'Device Refrigerant Leakage'!$B$2:$B$42,0)))*CZ599*CX599)*CY599/2204.62*CW599,"")</f>
        <v/>
      </c>
      <c r="DC599" s="135" t="str">
        <f t="shared" si="756"/>
        <v/>
      </c>
      <c r="DE599" s="146" t="str">
        <f>IF(W599&lt;&gt;"AR","",IF(Y599="User Specified", AA599, INDEX('Refrigerant GWPs'!$G$2:$G$154,MATCH(Y599,'Refrigerant GWPs'!$A$2:$A$154,0))))</f>
        <v/>
      </c>
      <c r="DF599" s="146" t="str">
        <f>IF(W599&lt;&gt;"AR","",INDEX('Device Refrigerant Leakage'!$E$2:$E$42,MATCH(X599,'Device Refrigerant Leakage'!$B$2:$B$42,0)))</f>
        <v/>
      </c>
      <c r="DG599" s="146" t="str">
        <f>IF(W599&lt;&gt;"AR","",INDEX('Device Refrigerant Leakage'!$F$2:$F$42,MATCH(X599,'Device Refrigerant Leakage'!$B$2:$B$42,0)))</f>
        <v/>
      </c>
      <c r="DH599" s="146" t="str">
        <f>IF(W599&lt;&gt;"AR","",INDEX('Device Refrigerant Leakage'!$G$2:$G$42,MATCH(X599,'Device Refrigerant Leakage'!$B$2:$B$42,0)))</f>
        <v/>
      </c>
      <c r="DI599" s="146" t="str">
        <f>IF(W599&lt;&gt;"AR","",J599*INDEX('Device Refrigerant Leakage'!$D$2:$D$42,MATCH(X599,'Device Refrigerant Leakage'!$B$2:$B$42,0))*DF599/2204.62*DE599)</f>
        <v/>
      </c>
      <c r="DJ599" s="146" t="str">
        <f>IF(W599&lt;&gt;"AR","",J599*(INDEX('Device Refrigerant Leakage'!$D$2:$D$42,MATCH(X599,'Device Refrigerant Leakage'!$B$2:$B$42,0))-(INDEX('Device Refrigerant Leakage'!$D$2:$D$42,MATCH(X599,'Device Refrigerant Leakage'!$B$2:$B$42,0)))*DH599*DF599)*DG599/2204.62*DE599)</f>
        <v/>
      </c>
      <c r="DK599" s="146" t="str">
        <f>IF(W599&lt;&gt;"AR","",DI599*(K599-AB599)+'Fuel Sub Calcs-Deemed'!DJ599*((K599-AB599)/INDEX('Device Refrigerant Leakage'!$C$2:$C$42,MATCH('Fuel Sub Calcs-Deemed'!X599,'Device Refrigerant Leakage'!$B$2:$B$42,0))))</f>
        <v/>
      </c>
      <c r="DM599" s="56">
        <v>585</v>
      </c>
      <c r="DN599" s="67" t="e">
        <f t="shared" si="738"/>
        <v>#N/A</v>
      </c>
      <c r="DO599" s="45" t="e">
        <f t="shared" si="739"/>
        <v>#N/A</v>
      </c>
      <c r="DP599" s="67" t="e">
        <f t="shared" si="740"/>
        <v>#N/A</v>
      </c>
      <c r="DQ599" s="45" t="e">
        <f t="shared" si="741"/>
        <v>#N/A</v>
      </c>
      <c r="DR599" s="69" t="e">
        <f t="shared" si="742"/>
        <v>#N/A</v>
      </c>
      <c r="DS599" s="34"/>
      <c r="DT599" s="67" t="e">
        <f>((BX599*CJ599)+IF($W599=MAT_AR,(BZ599*CL599),0))*(1+Reference!$E$50+Reference!$E$51)</f>
        <v>#N/A</v>
      </c>
      <c r="DU599" s="67">
        <f>((BY599*CK599)+IF($W599=MAT_AR,(CA599*CM599),0))*(1+Reference!$G$50+Reference!$G$51)</f>
        <v>0</v>
      </c>
      <c r="DV599" s="67" t="e">
        <f t="shared" si="743"/>
        <v>#VALUE!</v>
      </c>
      <c r="DX599" s="56">
        <v>585</v>
      </c>
      <c r="DY599" s="67">
        <f t="shared" si="744"/>
        <v>0</v>
      </c>
      <c r="DZ599" s="45" t="e">
        <f>VLOOKUP($R599,Dropdown!$C$3:$D$4,2,FALSE)</f>
        <v>#N/A</v>
      </c>
      <c r="EA599" s="68">
        <f t="shared" si="745"/>
        <v>0</v>
      </c>
      <c r="EB599" s="68" t="str">
        <f t="shared" si="746"/>
        <v>N/A</v>
      </c>
      <c r="EC599" s="68">
        <f t="shared" si="747"/>
        <v>0</v>
      </c>
      <c r="ED599" s="68" t="str">
        <f t="shared" ref="ED599:ED662" si="785">IF($R599=fuel_electricity,DY599*10^6/Btu_therm,"N/A")</f>
        <v>N/A</v>
      </c>
      <c r="EF599" s="56">
        <v>585</v>
      </c>
      <c r="EG599" s="46">
        <f t="shared" si="748"/>
        <v>0</v>
      </c>
      <c r="EH599" s="68" t="e">
        <f t="shared" si="749"/>
        <v>#N/A</v>
      </c>
      <c r="EI599" s="68" t="e">
        <f t="shared" si="750"/>
        <v>#N/A</v>
      </c>
      <c r="EJ599" s="68" t="e">
        <f t="shared" si="751"/>
        <v>#N/A</v>
      </c>
      <c r="EK599" s="68" t="e">
        <f t="shared" si="752"/>
        <v>#N/A</v>
      </c>
      <c r="EL599" s="46">
        <f t="shared" si="753"/>
        <v>0</v>
      </c>
      <c r="EM599" s="46">
        <f t="shared" si="754"/>
        <v>0</v>
      </c>
    </row>
    <row r="600" spans="1:143">
      <c r="A600" s="89"/>
      <c r="B600" s="89"/>
      <c r="C600" s="89"/>
      <c r="D600" s="89"/>
      <c r="E600" s="89"/>
      <c r="F600" s="89"/>
      <c r="G600" s="34"/>
      <c r="H600" s="56">
        <f t="shared" si="755"/>
        <v>586</v>
      </c>
      <c r="I600" s="165"/>
      <c r="J600" s="163"/>
      <c r="K600" s="163"/>
      <c r="L600" s="164"/>
      <c r="M600" s="155"/>
      <c r="N600" s="155"/>
      <c r="O600" s="144"/>
      <c r="P600" s="159" t="str">
        <f>IFERROR(IF(O600&lt;&gt;"User Specified",IF(O600&lt;&gt;"", INDEX('Refrigerant GWPs'!$G$2:$G$154,MATCH(O600,'Refrigerant GWPs'!$A$2:$A$154,0)),""),U600),0)</f>
        <v/>
      </c>
      <c r="Q600" s="155"/>
      <c r="R600" s="155"/>
      <c r="S600" s="144"/>
      <c r="T600" s="159" t="str">
        <f>IF(S600&lt;&gt;"User Specified",IF(AND(S600&lt;&gt;"User Specified",S600&lt;&gt;""), INDEX('Refrigerant GWPs'!$G$2:$G$154,MATCH(S600,'Refrigerant GWPs'!$A$2:$A$154,0)),""),V600)</f>
        <v/>
      </c>
      <c r="U600" s="144"/>
      <c r="V600" s="144"/>
      <c r="W600" s="155"/>
      <c r="X600" s="155"/>
      <c r="Y600" s="144"/>
      <c r="Z600" s="159" t="str">
        <f>IF(AND(Y600&lt;&gt;"User Specified",Y600&lt;&gt;""), INDEX('Refrigerant GWPs'!$G$2:$G$154,MATCH(Y600,'Refrigerant GWPs'!$A$2:$A$154,0)),"")</f>
        <v/>
      </c>
      <c r="AA600" s="155"/>
      <c r="AB600" s="156"/>
      <c r="AC600" s="66"/>
      <c r="AD600" s="66"/>
      <c r="AE600" s="66"/>
      <c r="AF600" s="66"/>
      <c r="AG600" s="66"/>
      <c r="AH600" s="66"/>
      <c r="AI600" s="34"/>
      <c r="AJ600" s="88">
        <f t="shared" si="718"/>
        <v>0</v>
      </c>
      <c r="AK600" s="88">
        <f t="shared" si="719"/>
        <v>0</v>
      </c>
      <c r="AL600" s="88">
        <v>0</v>
      </c>
      <c r="AM600" s="88">
        <v>0</v>
      </c>
      <c r="AN600" s="81" t="str">
        <f t="shared" si="757"/>
        <v/>
      </c>
      <c r="AO600" s="88">
        <f t="shared" si="720"/>
        <v>0</v>
      </c>
      <c r="AP600" s="88">
        <f t="shared" si="721"/>
        <v>0</v>
      </c>
      <c r="AQ600" s="81" t="str">
        <f t="shared" si="722"/>
        <v/>
      </c>
      <c r="AS600" s="41" t="b">
        <f t="shared" si="723"/>
        <v>1</v>
      </c>
      <c r="AT600" s="38">
        <f t="shared" si="724"/>
        <v>0</v>
      </c>
      <c r="AU600" s="60">
        <f t="shared" si="725"/>
        <v>0</v>
      </c>
      <c r="AV600" s="41">
        <f t="shared" si="726"/>
        <v>0</v>
      </c>
      <c r="AW600" s="41" t="b">
        <f t="shared" si="727"/>
        <v>0</v>
      </c>
      <c r="AX600" t="str">
        <f t="shared" si="728"/>
        <v>+00</v>
      </c>
      <c r="AY600" t="str">
        <f t="shared" si="729"/>
        <v>+00</v>
      </c>
      <c r="BA600" s="47" t="b">
        <f t="shared" si="758"/>
        <v>1</v>
      </c>
      <c r="BB600" s="42" t="b">
        <f t="shared" si="759"/>
        <v>1</v>
      </c>
      <c r="BC600" s="42" t="b">
        <f t="shared" si="760"/>
        <v>0</v>
      </c>
      <c r="BD600" s="42" t="b">
        <f t="shared" si="761"/>
        <v>0</v>
      </c>
      <c r="BE600" s="70">
        <f t="shared" si="762"/>
        <v>0</v>
      </c>
      <c r="BF600" s="70">
        <f t="shared" si="763"/>
        <v>0</v>
      </c>
      <c r="BG600" s="34"/>
      <c r="BI600" s="47" t="b">
        <f t="shared" si="764"/>
        <v>1</v>
      </c>
      <c r="BJ600" s="47" t="b">
        <f t="shared" si="765"/>
        <v>1</v>
      </c>
      <c r="BK600" s="42" t="b">
        <f t="shared" si="766"/>
        <v>0</v>
      </c>
      <c r="BL600" s="42" t="b">
        <f t="shared" si="767"/>
        <v>0</v>
      </c>
      <c r="BM600" s="42">
        <f t="shared" si="768"/>
        <v>0</v>
      </c>
      <c r="BN600" s="42">
        <f t="shared" si="769"/>
        <v>0</v>
      </c>
      <c r="BP600" t="e">
        <f t="shared" si="770"/>
        <v>#N/A</v>
      </c>
      <c r="BQ600" t="e">
        <f t="shared" si="771"/>
        <v>#N/A</v>
      </c>
      <c r="BR600" t="e">
        <f t="shared" si="772"/>
        <v>#N/A</v>
      </c>
      <c r="BT600" s="60">
        <f t="shared" si="773"/>
        <v>0</v>
      </c>
      <c r="BU600" s="60">
        <f t="shared" si="774"/>
        <v>0</v>
      </c>
      <c r="BV600" s="60">
        <f t="shared" si="775"/>
        <v>0</v>
      </c>
      <c r="BW600" s="60">
        <f t="shared" si="776"/>
        <v>0</v>
      </c>
      <c r="BX600" s="60">
        <f t="shared" si="777"/>
        <v>0</v>
      </c>
      <c r="BY600" s="60">
        <f t="shared" si="778"/>
        <v>0</v>
      </c>
      <c r="BZ600" s="60">
        <f t="shared" si="779"/>
        <v>0</v>
      </c>
      <c r="CA600" s="60">
        <f t="shared" si="780"/>
        <v>0</v>
      </c>
      <c r="CB600" s="60" t="e">
        <f t="shared" si="730"/>
        <v>#N/A</v>
      </c>
      <c r="CC600" s="60">
        <f t="shared" si="731"/>
        <v>100000</v>
      </c>
      <c r="CD600" s="60" t="e">
        <f t="shared" si="732"/>
        <v>#N/A</v>
      </c>
      <c r="CE600" s="60">
        <f t="shared" si="733"/>
        <v>100000</v>
      </c>
      <c r="CF600" s="83" t="e">
        <f t="shared" si="781"/>
        <v>#N/A</v>
      </c>
      <c r="CG600" s="83">
        <f t="shared" si="782"/>
        <v>0</v>
      </c>
      <c r="CH600" s="83" t="e">
        <f t="shared" si="783"/>
        <v>#N/A</v>
      </c>
      <c r="CI600" s="83">
        <f t="shared" si="784"/>
        <v>0</v>
      </c>
      <c r="CJ600" s="86" t="e">
        <f t="shared" si="734"/>
        <v>#N/A</v>
      </c>
      <c r="CK600" s="82">
        <f t="shared" si="735"/>
        <v>5.3070370403969858E-3</v>
      </c>
      <c r="CL600" s="82" t="e">
        <f t="shared" si="736"/>
        <v>#N/A</v>
      </c>
      <c r="CM600" s="82">
        <f t="shared" si="737"/>
        <v>5.3070370403969858E-3</v>
      </c>
      <c r="CO600" s="149" t="str">
        <f>IF($I600&lt;&gt;"",IF(O600="User Specified",U600,INDEX('Refrigerant GWPs'!$G$2:$G$156,MATCH(O600,'Refrigerant GWPs'!$A$2:$A$156,0))),"")</f>
        <v/>
      </c>
      <c r="CP600" s="138" t="str">
        <f>IF($I600&lt;&gt;"",INDEX('Device Refrigerant Leakage'!$E$2:$E$42,MATCH($M600,'Device Refrigerant Leakage'!$B$2:$B$42,0)),"")</f>
        <v/>
      </c>
      <c r="CQ600" s="138" t="str">
        <f>IF($I600&lt;&gt;"",INDEX('Device Refrigerant Leakage'!$F$2:$F$42,MATCH($M600,'Device Refrigerant Leakage'!$B$2:$B$42,0)),"")</f>
        <v/>
      </c>
      <c r="CR600" s="145" t="str">
        <f>IF($I600&lt;&gt;"",INDEX('Device Refrigerant Leakage'!$G$2:$G$42,MATCH($M600,'Device Refrigerant Leakage'!$B$2:$B$42,0)),"")</f>
        <v/>
      </c>
      <c r="CS600" s="145" t="str">
        <f>IF($I600&lt;&gt;"",INDEX('Device Refrigerant Leakage'!$D$2:$D$42,MATCH($M600,'Device Refrigerant Leakage'!$B$2:$B$42,0))*CP600/2204.62*CO600,"")</f>
        <v/>
      </c>
      <c r="CT600" s="145" t="str">
        <f>IF($I600&lt;&gt;"",J600*(INDEX('Device Refrigerant Leakage'!$D$2:$D$42,MATCH($M600,'Device Refrigerant Leakage'!$B$2:$B$42,0))-(INDEX('Device Refrigerant Leakage'!$D$2:$D$42,MATCH($M600,'Device Refrigerant Leakage'!$B$2:$B$42,0)))*CR600*CP600)*CQ600/2204.62*CO600,"")</f>
        <v/>
      </c>
      <c r="CU600" s="135" t="str">
        <f>IF($I600&lt;&gt;"",J600*IF(W600&lt;&gt;"AR",(CS600*K600)+CT600,(CS600*AB600)+CT600*(AB600/INDEX('Device Refrigerant Leakage'!$C$2:$C$42,MATCH($M600,'Device Refrigerant Leakage'!$B$2:$B$42,0)))),"")</f>
        <v/>
      </c>
      <c r="CW600" s="135" t="str">
        <f>IF($I600&lt;&gt;"",IF(S600="User Specified",V600,INDEX('Refrigerant GWPs'!$G$2:$G$156,MATCH(S600,'Refrigerant GWPs'!$A$2:$A$157,0))),"")</f>
        <v/>
      </c>
      <c r="CX600" s="138" t="str">
        <f>IF($I600&lt;&gt;"",INDEX('Device Refrigerant Leakage'!$E$2:$E$42,MATCH($Q600,'Device Refrigerant Leakage'!$B$2:$B$42,0)),"")</f>
        <v/>
      </c>
      <c r="CY600" s="138" t="str">
        <f>IF($I600&lt;&gt;"",INDEX('Device Refrigerant Leakage'!$F$2:$F$42,MATCH($Q600,'Device Refrigerant Leakage'!$B$2:$B$42,0)),"")</f>
        <v/>
      </c>
      <c r="CZ600" s="145" t="str">
        <f>IF($I600&lt;&gt;"",INDEX('Device Refrigerant Leakage'!$G$2:$G$42,MATCH($Q600,'Device Refrigerant Leakage'!$B$2:$B$42,0)),"")</f>
        <v/>
      </c>
      <c r="DA600" s="145" t="str">
        <f>IF($I600&lt;&gt;"",J600*INDEX('Device Refrigerant Leakage'!$D$2:$D$42,MATCH($Q600,'Device Refrigerant Leakage'!$B$2:$B$42,0))*CX600/2204.62*CW600,"")</f>
        <v/>
      </c>
      <c r="DB600" s="145" t="str">
        <f>IF($I600&lt;&gt;"",J600*(INDEX('Device Refrigerant Leakage'!$D$2:$D$42,MATCH($Q600,'Device Refrigerant Leakage'!$B$2:$B$42,0))-(INDEX('Device Refrigerant Leakage'!$D$2:$D$42,MATCH($Q600,'Device Refrigerant Leakage'!$B$2:$B$42,0)))*CZ600*CX600)*CY600/2204.62*CW600,"")</f>
        <v/>
      </c>
      <c r="DC600" s="135" t="str">
        <f t="shared" si="756"/>
        <v/>
      </c>
      <c r="DE600" s="146" t="str">
        <f>IF(W600&lt;&gt;"AR","",IF(Y600="User Specified", AA600, INDEX('Refrigerant GWPs'!$G$2:$G$154,MATCH(Y600,'Refrigerant GWPs'!$A$2:$A$154,0))))</f>
        <v/>
      </c>
      <c r="DF600" s="146" t="str">
        <f>IF(W600&lt;&gt;"AR","",INDEX('Device Refrigerant Leakage'!$E$2:$E$42,MATCH(X600,'Device Refrigerant Leakage'!$B$2:$B$42,0)))</f>
        <v/>
      </c>
      <c r="DG600" s="146" t="str">
        <f>IF(W600&lt;&gt;"AR","",INDEX('Device Refrigerant Leakage'!$F$2:$F$42,MATCH(X600,'Device Refrigerant Leakage'!$B$2:$B$42,0)))</f>
        <v/>
      </c>
      <c r="DH600" s="146" t="str">
        <f>IF(W600&lt;&gt;"AR","",INDEX('Device Refrigerant Leakage'!$G$2:$G$42,MATCH(X600,'Device Refrigerant Leakage'!$B$2:$B$42,0)))</f>
        <v/>
      </c>
      <c r="DI600" s="146" t="str">
        <f>IF(W600&lt;&gt;"AR","",J600*INDEX('Device Refrigerant Leakage'!$D$2:$D$42,MATCH(X600,'Device Refrigerant Leakage'!$B$2:$B$42,0))*DF600/2204.62*DE600)</f>
        <v/>
      </c>
      <c r="DJ600" s="146" t="str">
        <f>IF(W600&lt;&gt;"AR","",J600*(INDEX('Device Refrigerant Leakage'!$D$2:$D$42,MATCH(X600,'Device Refrigerant Leakage'!$B$2:$B$42,0))-(INDEX('Device Refrigerant Leakage'!$D$2:$D$42,MATCH(X600,'Device Refrigerant Leakage'!$B$2:$B$42,0)))*DH600*DF600)*DG600/2204.62*DE600)</f>
        <v/>
      </c>
      <c r="DK600" s="146" t="str">
        <f>IF(W600&lt;&gt;"AR","",DI600*(K600-AB600)+'Fuel Sub Calcs-Deemed'!DJ600*((K600-AB600)/INDEX('Device Refrigerant Leakage'!$C$2:$C$42,MATCH('Fuel Sub Calcs-Deemed'!X600,'Device Refrigerant Leakage'!$B$2:$B$42,0))))</f>
        <v/>
      </c>
      <c r="DM600" s="56">
        <v>586</v>
      </c>
      <c r="DN600" s="67" t="e">
        <f t="shared" si="738"/>
        <v>#N/A</v>
      </c>
      <c r="DO600" s="45" t="e">
        <f t="shared" si="739"/>
        <v>#N/A</v>
      </c>
      <c r="DP600" s="67" t="e">
        <f t="shared" si="740"/>
        <v>#N/A</v>
      </c>
      <c r="DQ600" s="45" t="e">
        <f t="shared" si="741"/>
        <v>#N/A</v>
      </c>
      <c r="DR600" s="69" t="e">
        <f t="shared" si="742"/>
        <v>#N/A</v>
      </c>
      <c r="DS600" s="34"/>
      <c r="DT600" s="67" t="e">
        <f>((BX600*CJ600)+IF($W600=MAT_AR,(BZ600*CL600),0))*(1+Reference!$E$50+Reference!$E$51)</f>
        <v>#N/A</v>
      </c>
      <c r="DU600" s="67">
        <f>((BY600*CK600)+IF($W600=MAT_AR,(CA600*CM600),0))*(1+Reference!$G$50+Reference!$G$51)</f>
        <v>0</v>
      </c>
      <c r="DV600" s="67" t="e">
        <f t="shared" si="743"/>
        <v>#VALUE!</v>
      </c>
      <c r="DX600" s="56">
        <v>586</v>
      </c>
      <c r="DY600" s="67">
        <f t="shared" si="744"/>
        <v>0</v>
      </c>
      <c r="DZ600" s="45" t="e">
        <f>VLOOKUP($R600,Dropdown!$C$3:$D$4,2,FALSE)</f>
        <v>#N/A</v>
      </c>
      <c r="EA600" s="68">
        <f t="shared" si="745"/>
        <v>0</v>
      </c>
      <c r="EB600" s="68" t="str">
        <f t="shared" si="746"/>
        <v>N/A</v>
      </c>
      <c r="EC600" s="68">
        <f t="shared" si="747"/>
        <v>0</v>
      </c>
      <c r="ED600" s="68" t="str">
        <f t="shared" si="785"/>
        <v>N/A</v>
      </c>
      <c r="EF600" s="56">
        <v>586</v>
      </c>
      <c r="EG600" s="46">
        <f t="shared" si="748"/>
        <v>0</v>
      </c>
      <c r="EH600" s="68" t="e">
        <f t="shared" si="749"/>
        <v>#N/A</v>
      </c>
      <c r="EI600" s="68" t="e">
        <f t="shared" si="750"/>
        <v>#N/A</v>
      </c>
      <c r="EJ600" s="68" t="e">
        <f t="shared" si="751"/>
        <v>#N/A</v>
      </c>
      <c r="EK600" s="68" t="e">
        <f t="shared" si="752"/>
        <v>#N/A</v>
      </c>
      <c r="EL600" s="46">
        <f t="shared" si="753"/>
        <v>0</v>
      </c>
      <c r="EM600" s="46">
        <f t="shared" si="754"/>
        <v>0</v>
      </c>
    </row>
    <row r="601" spans="1:143">
      <c r="A601" s="89"/>
      <c r="B601" s="89"/>
      <c r="C601" s="89"/>
      <c r="D601" s="89"/>
      <c r="E601" s="89"/>
      <c r="F601" s="89"/>
      <c r="G601" s="34"/>
      <c r="H601" s="56">
        <f t="shared" si="755"/>
        <v>587</v>
      </c>
      <c r="I601" s="165"/>
      <c r="J601" s="163"/>
      <c r="K601" s="163"/>
      <c r="L601" s="164"/>
      <c r="M601" s="155"/>
      <c r="N601" s="155"/>
      <c r="O601" s="144"/>
      <c r="P601" s="159" t="str">
        <f>IFERROR(IF(O601&lt;&gt;"User Specified",IF(O601&lt;&gt;"", INDEX('Refrigerant GWPs'!$G$2:$G$154,MATCH(O601,'Refrigerant GWPs'!$A$2:$A$154,0)),""),U601),0)</f>
        <v/>
      </c>
      <c r="Q601" s="155"/>
      <c r="R601" s="155"/>
      <c r="S601" s="144"/>
      <c r="T601" s="159" t="str">
        <f>IF(S601&lt;&gt;"User Specified",IF(AND(S601&lt;&gt;"User Specified",S601&lt;&gt;""), INDEX('Refrigerant GWPs'!$G$2:$G$154,MATCH(S601,'Refrigerant GWPs'!$A$2:$A$154,0)),""),V601)</f>
        <v/>
      </c>
      <c r="U601" s="144"/>
      <c r="V601" s="144"/>
      <c r="W601" s="155"/>
      <c r="X601" s="155"/>
      <c r="Y601" s="144"/>
      <c r="Z601" s="159" t="str">
        <f>IF(AND(Y601&lt;&gt;"User Specified",Y601&lt;&gt;""), INDEX('Refrigerant GWPs'!$G$2:$G$154,MATCH(Y601,'Refrigerant GWPs'!$A$2:$A$154,0)),"")</f>
        <v/>
      </c>
      <c r="AA601" s="155"/>
      <c r="AB601" s="156"/>
      <c r="AC601" s="66"/>
      <c r="AD601" s="66"/>
      <c r="AE601" s="66"/>
      <c r="AF601" s="66"/>
      <c r="AG601" s="66"/>
      <c r="AH601" s="66"/>
      <c r="AI601" s="34"/>
      <c r="AJ601" s="88">
        <f t="shared" si="718"/>
        <v>0</v>
      </c>
      <c r="AK601" s="88">
        <f t="shared" si="719"/>
        <v>0</v>
      </c>
      <c r="AL601" s="88">
        <v>0</v>
      </c>
      <c r="AM601" s="88">
        <v>0</v>
      </c>
      <c r="AN601" s="81" t="str">
        <f t="shared" si="757"/>
        <v/>
      </c>
      <c r="AO601" s="88">
        <f t="shared" si="720"/>
        <v>0</v>
      </c>
      <c r="AP601" s="88">
        <f t="shared" si="721"/>
        <v>0</v>
      </c>
      <c r="AQ601" s="81" t="str">
        <f t="shared" si="722"/>
        <v/>
      </c>
      <c r="AS601" s="41" t="b">
        <f t="shared" si="723"/>
        <v>1</v>
      </c>
      <c r="AT601" s="38">
        <f t="shared" si="724"/>
        <v>0</v>
      </c>
      <c r="AU601" s="60">
        <f t="shared" si="725"/>
        <v>0</v>
      </c>
      <c r="AV601" s="41">
        <f t="shared" si="726"/>
        <v>0</v>
      </c>
      <c r="AW601" s="41" t="b">
        <f t="shared" si="727"/>
        <v>0</v>
      </c>
      <c r="AX601" t="str">
        <f t="shared" si="728"/>
        <v>+00</v>
      </c>
      <c r="AY601" t="str">
        <f t="shared" si="729"/>
        <v>+00</v>
      </c>
      <c r="BA601" s="47" t="b">
        <f t="shared" si="758"/>
        <v>1</v>
      </c>
      <c r="BB601" s="42" t="b">
        <f t="shared" si="759"/>
        <v>1</v>
      </c>
      <c r="BC601" s="42" t="b">
        <f t="shared" si="760"/>
        <v>0</v>
      </c>
      <c r="BD601" s="42" t="b">
        <f t="shared" si="761"/>
        <v>0</v>
      </c>
      <c r="BE601" s="70">
        <f t="shared" si="762"/>
        <v>0</v>
      </c>
      <c r="BF601" s="70">
        <f t="shared" si="763"/>
        <v>0</v>
      </c>
      <c r="BG601" s="34"/>
      <c r="BI601" s="47" t="b">
        <f t="shared" si="764"/>
        <v>1</v>
      </c>
      <c r="BJ601" s="47" t="b">
        <f t="shared" si="765"/>
        <v>1</v>
      </c>
      <c r="BK601" s="42" t="b">
        <f t="shared" si="766"/>
        <v>0</v>
      </c>
      <c r="BL601" s="42" t="b">
        <f t="shared" si="767"/>
        <v>0</v>
      </c>
      <c r="BM601" s="42">
        <f t="shared" si="768"/>
        <v>0</v>
      </c>
      <c r="BN601" s="42">
        <f t="shared" si="769"/>
        <v>0</v>
      </c>
      <c r="BP601" t="e">
        <f t="shared" si="770"/>
        <v>#N/A</v>
      </c>
      <c r="BQ601" t="e">
        <f t="shared" si="771"/>
        <v>#N/A</v>
      </c>
      <c r="BR601" t="e">
        <f t="shared" si="772"/>
        <v>#N/A</v>
      </c>
      <c r="BT601" s="60">
        <f t="shared" si="773"/>
        <v>0</v>
      </c>
      <c r="BU601" s="60">
        <f t="shared" si="774"/>
        <v>0</v>
      </c>
      <c r="BV601" s="60">
        <f t="shared" si="775"/>
        <v>0</v>
      </c>
      <c r="BW601" s="60">
        <f t="shared" si="776"/>
        <v>0</v>
      </c>
      <c r="BX601" s="60">
        <f t="shared" si="777"/>
        <v>0</v>
      </c>
      <c r="BY601" s="60">
        <f t="shared" si="778"/>
        <v>0</v>
      </c>
      <c r="BZ601" s="60">
        <f t="shared" si="779"/>
        <v>0</v>
      </c>
      <c r="CA601" s="60">
        <f t="shared" si="780"/>
        <v>0</v>
      </c>
      <c r="CB601" s="60" t="e">
        <f t="shared" si="730"/>
        <v>#N/A</v>
      </c>
      <c r="CC601" s="60">
        <f t="shared" si="731"/>
        <v>100000</v>
      </c>
      <c r="CD601" s="60" t="e">
        <f t="shared" si="732"/>
        <v>#N/A</v>
      </c>
      <c r="CE601" s="60">
        <f t="shared" si="733"/>
        <v>100000</v>
      </c>
      <c r="CF601" s="83" t="e">
        <f t="shared" si="781"/>
        <v>#N/A</v>
      </c>
      <c r="CG601" s="83">
        <f t="shared" si="782"/>
        <v>0</v>
      </c>
      <c r="CH601" s="83" t="e">
        <f t="shared" si="783"/>
        <v>#N/A</v>
      </c>
      <c r="CI601" s="83">
        <f t="shared" si="784"/>
        <v>0</v>
      </c>
      <c r="CJ601" s="86" t="e">
        <f t="shared" si="734"/>
        <v>#N/A</v>
      </c>
      <c r="CK601" s="82">
        <f t="shared" si="735"/>
        <v>5.3070370403969858E-3</v>
      </c>
      <c r="CL601" s="82" t="e">
        <f t="shared" si="736"/>
        <v>#N/A</v>
      </c>
      <c r="CM601" s="82">
        <f t="shared" si="737"/>
        <v>5.3070370403969858E-3</v>
      </c>
      <c r="CO601" s="149" t="str">
        <f>IF($I601&lt;&gt;"",IF(O601="User Specified",U601,INDEX('Refrigerant GWPs'!$G$2:$G$156,MATCH(O601,'Refrigerant GWPs'!$A$2:$A$156,0))),"")</f>
        <v/>
      </c>
      <c r="CP601" s="138" t="str">
        <f>IF($I601&lt;&gt;"",INDEX('Device Refrigerant Leakage'!$E$2:$E$42,MATCH($M601,'Device Refrigerant Leakage'!$B$2:$B$42,0)),"")</f>
        <v/>
      </c>
      <c r="CQ601" s="138" t="str">
        <f>IF($I601&lt;&gt;"",INDEX('Device Refrigerant Leakage'!$F$2:$F$42,MATCH($M601,'Device Refrigerant Leakage'!$B$2:$B$42,0)),"")</f>
        <v/>
      </c>
      <c r="CR601" s="145" t="str">
        <f>IF($I601&lt;&gt;"",INDEX('Device Refrigerant Leakage'!$G$2:$G$42,MATCH($M601,'Device Refrigerant Leakage'!$B$2:$B$42,0)),"")</f>
        <v/>
      </c>
      <c r="CS601" s="145" t="str">
        <f>IF($I601&lt;&gt;"",INDEX('Device Refrigerant Leakage'!$D$2:$D$42,MATCH($M601,'Device Refrigerant Leakage'!$B$2:$B$42,0))*CP601/2204.62*CO601,"")</f>
        <v/>
      </c>
      <c r="CT601" s="145" t="str">
        <f>IF($I601&lt;&gt;"",J601*(INDEX('Device Refrigerant Leakage'!$D$2:$D$42,MATCH($M601,'Device Refrigerant Leakage'!$B$2:$B$42,0))-(INDEX('Device Refrigerant Leakage'!$D$2:$D$42,MATCH($M601,'Device Refrigerant Leakage'!$B$2:$B$42,0)))*CR601*CP601)*CQ601/2204.62*CO601,"")</f>
        <v/>
      </c>
      <c r="CU601" s="135" t="str">
        <f>IF($I601&lt;&gt;"",J601*IF(W601&lt;&gt;"AR",(CS601*K601)+CT601,(CS601*AB601)+CT601*(AB601/INDEX('Device Refrigerant Leakage'!$C$2:$C$42,MATCH($M601,'Device Refrigerant Leakage'!$B$2:$B$42,0)))),"")</f>
        <v/>
      </c>
      <c r="CW601" s="135" t="str">
        <f>IF($I601&lt;&gt;"",IF(S601="User Specified",V601,INDEX('Refrigerant GWPs'!$G$2:$G$156,MATCH(S601,'Refrigerant GWPs'!$A$2:$A$157,0))),"")</f>
        <v/>
      </c>
      <c r="CX601" s="138" t="str">
        <f>IF($I601&lt;&gt;"",INDEX('Device Refrigerant Leakage'!$E$2:$E$42,MATCH($Q601,'Device Refrigerant Leakage'!$B$2:$B$42,0)),"")</f>
        <v/>
      </c>
      <c r="CY601" s="138" t="str">
        <f>IF($I601&lt;&gt;"",INDEX('Device Refrigerant Leakage'!$F$2:$F$42,MATCH($Q601,'Device Refrigerant Leakage'!$B$2:$B$42,0)),"")</f>
        <v/>
      </c>
      <c r="CZ601" s="145" t="str">
        <f>IF($I601&lt;&gt;"",INDEX('Device Refrigerant Leakage'!$G$2:$G$42,MATCH($Q601,'Device Refrigerant Leakage'!$B$2:$B$42,0)),"")</f>
        <v/>
      </c>
      <c r="DA601" s="145" t="str">
        <f>IF($I601&lt;&gt;"",J601*INDEX('Device Refrigerant Leakage'!$D$2:$D$42,MATCH($Q601,'Device Refrigerant Leakage'!$B$2:$B$42,0))*CX601/2204.62*CW601,"")</f>
        <v/>
      </c>
      <c r="DB601" s="145" t="str">
        <f>IF($I601&lt;&gt;"",J601*(INDEX('Device Refrigerant Leakage'!$D$2:$D$42,MATCH($Q601,'Device Refrigerant Leakage'!$B$2:$B$42,0))-(INDEX('Device Refrigerant Leakage'!$D$2:$D$42,MATCH($Q601,'Device Refrigerant Leakage'!$B$2:$B$42,0)))*CZ601*CX601)*CY601/2204.62*CW601,"")</f>
        <v/>
      </c>
      <c r="DC601" s="135" t="str">
        <f t="shared" si="756"/>
        <v/>
      </c>
      <c r="DE601" s="146" t="str">
        <f>IF(W601&lt;&gt;"AR","",IF(Y601="User Specified", AA601, INDEX('Refrigerant GWPs'!$G$2:$G$154,MATCH(Y601,'Refrigerant GWPs'!$A$2:$A$154,0))))</f>
        <v/>
      </c>
      <c r="DF601" s="146" t="str">
        <f>IF(W601&lt;&gt;"AR","",INDEX('Device Refrigerant Leakage'!$E$2:$E$42,MATCH(X601,'Device Refrigerant Leakage'!$B$2:$B$42,0)))</f>
        <v/>
      </c>
      <c r="DG601" s="146" t="str">
        <f>IF(W601&lt;&gt;"AR","",INDEX('Device Refrigerant Leakage'!$F$2:$F$42,MATCH(X601,'Device Refrigerant Leakage'!$B$2:$B$42,0)))</f>
        <v/>
      </c>
      <c r="DH601" s="146" t="str">
        <f>IF(W601&lt;&gt;"AR","",INDEX('Device Refrigerant Leakage'!$G$2:$G$42,MATCH(X601,'Device Refrigerant Leakage'!$B$2:$B$42,0)))</f>
        <v/>
      </c>
      <c r="DI601" s="146" t="str">
        <f>IF(W601&lt;&gt;"AR","",J601*INDEX('Device Refrigerant Leakage'!$D$2:$D$42,MATCH(X601,'Device Refrigerant Leakage'!$B$2:$B$42,0))*DF601/2204.62*DE601)</f>
        <v/>
      </c>
      <c r="DJ601" s="146" t="str">
        <f>IF(W601&lt;&gt;"AR","",J601*(INDEX('Device Refrigerant Leakage'!$D$2:$D$42,MATCH(X601,'Device Refrigerant Leakage'!$B$2:$B$42,0))-(INDEX('Device Refrigerant Leakage'!$D$2:$D$42,MATCH(X601,'Device Refrigerant Leakage'!$B$2:$B$42,0)))*DH601*DF601)*DG601/2204.62*DE601)</f>
        <v/>
      </c>
      <c r="DK601" s="146" t="str">
        <f>IF(W601&lt;&gt;"AR","",DI601*(K601-AB601)+'Fuel Sub Calcs-Deemed'!DJ601*((K601-AB601)/INDEX('Device Refrigerant Leakage'!$C$2:$C$42,MATCH('Fuel Sub Calcs-Deemed'!X601,'Device Refrigerant Leakage'!$B$2:$B$42,0))))</f>
        <v/>
      </c>
      <c r="DM601" s="56">
        <v>587</v>
      </c>
      <c r="DN601" s="67" t="e">
        <f t="shared" si="738"/>
        <v>#N/A</v>
      </c>
      <c r="DO601" s="45" t="e">
        <f t="shared" si="739"/>
        <v>#N/A</v>
      </c>
      <c r="DP601" s="67" t="e">
        <f t="shared" si="740"/>
        <v>#N/A</v>
      </c>
      <c r="DQ601" s="45" t="e">
        <f t="shared" si="741"/>
        <v>#N/A</v>
      </c>
      <c r="DR601" s="69" t="e">
        <f t="shared" si="742"/>
        <v>#N/A</v>
      </c>
      <c r="DS601" s="34"/>
      <c r="DT601" s="67" t="e">
        <f>((BX601*CJ601)+IF($W601=MAT_AR,(BZ601*CL601),0))*(1+Reference!$E$50+Reference!$E$51)</f>
        <v>#N/A</v>
      </c>
      <c r="DU601" s="67">
        <f>((BY601*CK601)+IF($W601=MAT_AR,(CA601*CM601),0))*(1+Reference!$G$50+Reference!$G$51)</f>
        <v>0</v>
      </c>
      <c r="DV601" s="67" t="e">
        <f t="shared" si="743"/>
        <v>#VALUE!</v>
      </c>
      <c r="DX601" s="56">
        <v>587</v>
      </c>
      <c r="DY601" s="67">
        <f t="shared" si="744"/>
        <v>0</v>
      </c>
      <c r="DZ601" s="45" t="e">
        <f>VLOOKUP($R601,Dropdown!$C$3:$D$4,2,FALSE)</f>
        <v>#N/A</v>
      </c>
      <c r="EA601" s="68">
        <f t="shared" si="745"/>
        <v>0</v>
      </c>
      <c r="EB601" s="68" t="str">
        <f t="shared" si="746"/>
        <v>N/A</v>
      </c>
      <c r="EC601" s="68">
        <f t="shared" si="747"/>
        <v>0</v>
      </c>
      <c r="ED601" s="68" t="str">
        <f t="shared" si="785"/>
        <v>N/A</v>
      </c>
      <c r="EF601" s="56">
        <v>587</v>
      </c>
      <c r="EG601" s="46">
        <f t="shared" si="748"/>
        <v>0</v>
      </c>
      <c r="EH601" s="68" t="e">
        <f t="shared" si="749"/>
        <v>#N/A</v>
      </c>
      <c r="EI601" s="68" t="e">
        <f t="shared" si="750"/>
        <v>#N/A</v>
      </c>
      <c r="EJ601" s="68" t="e">
        <f t="shared" si="751"/>
        <v>#N/A</v>
      </c>
      <c r="EK601" s="68" t="e">
        <f t="shared" si="752"/>
        <v>#N/A</v>
      </c>
      <c r="EL601" s="46">
        <f t="shared" si="753"/>
        <v>0</v>
      </c>
      <c r="EM601" s="46">
        <f t="shared" si="754"/>
        <v>0</v>
      </c>
    </row>
    <row r="602" spans="1:143">
      <c r="A602" s="89"/>
      <c r="B602" s="89"/>
      <c r="C602" s="89"/>
      <c r="D602" s="89"/>
      <c r="E602" s="89"/>
      <c r="F602" s="89"/>
      <c r="G602" s="34"/>
      <c r="H602" s="56">
        <f t="shared" si="755"/>
        <v>588</v>
      </c>
      <c r="I602" s="165"/>
      <c r="J602" s="163"/>
      <c r="K602" s="163"/>
      <c r="L602" s="164"/>
      <c r="M602" s="155"/>
      <c r="N602" s="155"/>
      <c r="O602" s="144"/>
      <c r="P602" s="159" t="str">
        <f>IFERROR(IF(O602&lt;&gt;"User Specified",IF(O602&lt;&gt;"", INDEX('Refrigerant GWPs'!$G$2:$G$154,MATCH(O602,'Refrigerant GWPs'!$A$2:$A$154,0)),""),U602),0)</f>
        <v/>
      </c>
      <c r="Q602" s="155"/>
      <c r="R602" s="155"/>
      <c r="S602" s="144"/>
      <c r="T602" s="159" t="str">
        <f>IF(S602&lt;&gt;"User Specified",IF(AND(S602&lt;&gt;"User Specified",S602&lt;&gt;""), INDEX('Refrigerant GWPs'!$G$2:$G$154,MATCH(S602,'Refrigerant GWPs'!$A$2:$A$154,0)),""),V602)</f>
        <v/>
      </c>
      <c r="U602" s="144"/>
      <c r="V602" s="144"/>
      <c r="W602" s="155"/>
      <c r="X602" s="155"/>
      <c r="Y602" s="144"/>
      <c r="Z602" s="159" t="str">
        <f>IF(AND(Y602&lt;&gt;"User Specified",Y602&lt;&gt;""), INDEX('Refrigerant GWPs'!$G$2:$G$154,MATCH(Y602,'Refrigerant GWPs'!$A$2:$A$154,0)),"")</f>
        <v/>
      </c>
      <c r="AA602" s="155"/>
      <c r="AB602" s="156"/>
      <c r="AC602" s="66"/>
      <c r="AD602" s="66"/>
      <c r="AE602" s="66"/>
      <c r="AF602" s="66"/>
      <c r="AG602" s="66"/>
      <c r="AH602" s="66"/>
      <c r="AI602" s="34"/>
      <c r="AJ602" s="88">
        <f t="shared" si="718"/>
        <v>0</v>
      </c>
      <c r="AK602" s="88">
        <f t="shared" si="719"/>
        <v>0</v>
      </c>
      <c r="AL602" s="88">
        <v>0</v>
      </c>
      <c r="AM602" s="88">
        <v>0</v>
      </c>
      <c r="AN602" s="81" t="str">
        <f t="shared" si="757"/>
        <v/>
      </c>
      <c r="AO602" s="88">
        <f t="shared" si="720"/>
        <v>0</v>
      </c>
      <c r="AP602" s="88">
        <f t="shared" si="721"/>
        <v>0</v>
      </c>
      <c r="AQ602" s="81" t="str">
        <f t="shared" si="722"/>
        <v/>
      </c>
      <c r="AS602" s="41" t="b">
        <f t="shared" si="723"/>
        <v>1</v>
      </c>
      <c r="AT602" s="38">
        <f t="shared" si="724"/>
        <v>0</v>
      </c>
      <c r="AU602" s="60">
        <f t="shared" si="725"/>
        <v>0</v>
      </c>
      <c r="AV602" s="41">
        <f t="shared" si="726"/>
        <v>0</v>
      </c>
      <c r="AW602" s="41" t="b">
        <f t="shared" si="727"/>
        <v>0</v>
      </c>
      <c r="AX602" t="str">
        <f t="shared" si="728"/>
        <v>+00</v>
      </c>
      <c r="AY602" t="str">
        <f t="shared" si="729"/>
        <v>+00</v>
      </c>
      <c r="BA602" s="47" t="b">
        <f t="shared" si="758"/>
        <v>1</v>
      </c>
      <c r="BB602" s="42" t="b">
        <f t="shared" si="759"/>
        <v>1</v>
      </c>
      <c r="BC602" s="42" t="b">
        <f t="shared" si="760"/>
        <v>0</v>
      </c>
      <c r="BD602" s="42" t="b">
        <f t="shared" si="761"/>
        <v>0</v>
      </c>
      <c r="BE602" s="70">
        <f t="shared" si="762"/>
        <v>0</v>
      </c>
      <c r="BF602" s="70">
        <f t="shared" si="763"/>
        <v>0</v>
      </c>
      <c r="BG602" s="34"/>
      <c r="BI602" s="47" t="b">
        <f t="shared" si="764"/>
        <v>1</v>
      </c>
      <c r="BJ602" s="47" t="b">
        <f t="shared" si="765"/>
        <v>1</v>
      </c>
      <c r="BK602" s="42" t="b">
        <f t="shared" si="766"/>
        <v>0</v>
      </c>
      <c r="BL602" s="42" t="b">
        <f t="shared" si="767"/>
        <v>0</v>
      </c>
      <c r="BM602" s="42">
        <f t="shared" si="768"/>
        <v>0</v>
      </c>
      <c r="BN602" s="42">
        <f t="shared" si="769"/>
        <v>0</v>
      </c>
      <c r="BP602" t="e">
        <f t="shared" si="770"/>
        <v>#N/A</v>
      </c>
      <c r="BQ602" t="e">
        <f t="shared" si="771"/>
        <v>#N/A</v>
      </c>
      <c r="BR602" t="e">
        <f t="shared" si="772"/>
        <v>#N/A</v>
      </c>
      <c r="BT602" s="60">
        <f t="shared" si="773"/>
        <v>0</v>
      </c>
      <c r="BU602" s="60">
        <f t="shared" si="774"/>
        <v>0</v>
      </c>
      <c r="BV602" s="60">
        <f t="shared" si="775"/>
        <v>0</v>
      </c>
      <c r="BW602" s="60">
        <f t="shared" si="776"/>
        <v>0</v>
      </c>
      <c r="BX602" s="60">
        <f t="shared" si="777"/>
        <v>0</v>
      </c>
      <c r="BY602" s="60">
        <f t="shared" si="778"/>
        <v>0</v>
      </c>
      <c r="BZ602" s="60">
        <f t="shared" si="779"/>
        <v>0</v>
      </c>
      <c r="CA602" s="60">
        <f t="shared" si="780"/>
        <v>0</v>
      </c>
      <c r="CB602" s="60" t="e">
        <f t="shared" si="730"/>
        <v>#N/A</v>
      </c>
      <c r="CC602" s="60">
        <f t="shared" si="731"/>
        <v>100000</v>
      </c>
      <c r="CD602" s="60" t="e">
        <f t="shared" si="732"/>
        <v>#N/A</v>
      </c>
      <c r="CE602" s="60">
        <f t="shared" si="733"/>
        <v>100000</v>
      </c>
      <c r="CF602" s="83" t="e">
        <f t="shared" si="781"/>
        <v>#N/A</v>
      </c>
      <c r="CG602" s="83">
        <f t="shared" si="782"/>
        <v>0</v>
      </c>
      <c r="CH602" s="83" t="e">
        <f t="shared" si="783"/>
        <v>#N/A</v>
      </c>
      <c r="CI602" s="83">
        <f t="shared" si="784"/>
        <v>0</v>
      </c>
      <c r="CJ602" s="86" t="e">
        <f t="shared" si="734"/>
        <v>#N/A</v>
      </c>
      <c r="CK602" s="82">
        <f t="shared" si="735"/>
        <v>5.3070370403969858E-3</v>
      </c>
      <c r="CL602" s="82" t="e">
        <f t="shared" si="736"/>
        <v>#N/A</v>
      </c>
      <c r="CM602" s="82">
        <f t="shared" si="737"/>
        <v>5.3070370403969858E-3</v>
      </c>
      <c r="CO602" s="149" t="str">
        <f>IF($I602&lt;&gt;"",IF(O602="User Specified",U602,INDEX('Refrigerant GWPs'!$G$2:$G$156,MATCH(O602,'Refrigerant GWPs'!$A$2:$A$156,0))),"")</f>
        <v/>
      </c>
      <c r="CP602" s="138" t="str">
        <f>IF($I602&lt;&gt;"",INDEX('Device Refrigerant Leakage'!$E$2:$E$42,MATCH($M602,'Device Refrigerant Leakage'!$B$2:$B$42,0)),"")</f>
        <v/>
      </c>
      <c r="CQ602" s="138" t="str">
        <f>IF($I602&lt;&gt;"",INDEX('Device Refrigerant Leakage'!$F$2:$F$42,MATCH($M602,'Device Refrigerant Leakage'!$B$2:$B$42,0)),"")</f>
        <v/>
      </c>
      <c r="CR602" s="145" t="str">
        <f>IF($I602&lt;&gt;"",INDEX('Device Refrigerant Leakage'!$G$2:$G$42,MATCH($M602,'Device Refrigerant Leakage'!$B$2:$B$42,0)),"")</f>
        <v/>
      </c>
      <c r="CS602" s="145" t="str">
        <f>IF($I602&lt;&gt;"",INDEX('Device Refrigerant Leakage'!$D$2:$D$42,MATCH($M602,'Device Refrigerant Leakage'!$B$2:$B$42,0))*CP602/2204.62*CO602,"")</f>
        <v/>
      </c>
      <c r="CT602" s="145" t="str">
        <f>IF($I602&lt;&gt;"",J602*(INDEX('Device Refrigerant Leakage'!$D$2:$D$42,MATCH($M602,'Device Refrigerant Leakage'!$B$2:$B$42,0))-(INDEX('Device Refrigerant Leakage'!$D$2:$D$42,MATCH($M602,'Device Refrigerant Leakage'!$B$2:$B$42,0)))*CR602*CP602)*CQ602/2204.62*CO602,"")</f>
        <v/>
      </c>
      <c r="CU602" s="135" t="str">
        <f>IF($I602&lt;&gt;"",J602*IF(W602&lt;&gt;"AR",(CS602*K602)+CT602,(CS602*AB602)+CT602*(AB602/INDEX('Device Refrigerant Leakage'!$C$2:$C$42,MATCH($M602,'Device Refrigerant Leakage'!$B$2:$B$42,0)))),"")</f>
        <v/>
      </c>
      <c r="CW602" s="135" t="str">
        <f>IF($I602&lt;&gt;"",IF(S602="User Specified",V602,INDEX('Refrigerant GWPs'!$G$2:$G$156,MATCH(S602,'Refrigerant GWPs'!$A$2:$A$157,0))),"")</f>
        <v/>
      </c>
      <c r="CX602" s="138" t="str">
        <f>IF($I602&lt;&gt;"",INDEX('Device Refrigerant Leakage'!$E$2:$E$42,MATCH($Q602,'Device Refrigerant Leakage'!$B$2:$B$42,0)),"")</f>
        <v/>
      </c>
      <c r="CY602" s="138" t="str">
        <f>IF($I602&lt;&gt;"",INDEX('Device Refrigerant Leakage'!$F$2:$F$42,MATCH($Q602,'Device Refrigerant Leakage'!$B$2:$B$42,0)),"")</f>
        <v/>
      </c>
      <c r="CZ602" s="145" t="str">
        <f>IF($I602&lt;&gt;"",INDEX('Device Refrigerant Leakage'!$G$2:$G$42,MATCH($Q602,'Device Refrigerant Leakage'!$B$2:$B$42,0)),"")</f>
        <v/>
      </c>
      <c r="DA602" s="145" t="str">
        <f>IF($I602&lt;&gt;"",J602*INDEX('Device Refrigerant Leakage'!$D$2:$D$42,MATCH($Q602,'Device Refrigerant Leakage'!$B$2:$B$42,0))*CX602/2204.62*CW602,"")</f>
        <v/>
      </c>
      <c r="DB602" s="145" t="str">
        <f>IF($I602&lt;&gt;"",J602*(INDEX('Device Refrigerant Leakage'!$D$2:$D$42,MATCH($Q602,'Device Refrigerant Leakage'!$B$2:$B$42,0))-(INDEX('Device Refrigerant Leakage'!$D$2:$D$42,MATCH($Q602,'Device Refrigerant Leakage'!$B$2:$B$42,0)))*CZ602*CX602)*CY602/2204.62*CW602,"")</f>
        <v/>
      </c>
      <c r="DC602" s="135" t="str">
        <f t="shared" si="756"/>
        <v/>
      </c>
      <c r="DE602" s="146" t="str">
        <f>IF(W602&lt;&gt;"AR","",IF(Y602="User Specified", AA602, INDEX('Refrigerant GWPs'!$G$2:$G$154,MATCH(Y602,'Refrigerant GWPs'!$A$2:$A$154,0))))</f>
        <v/>
      </c>
      <c r="DF602" s="146" t="str">
        <f>IF(W602&lt;&gt;"AR","",INDEX('Device Refrigerant Leakage'!$E$2:$E$42,MATCH(X602,'Device Refrigerant Leakage'!$B$2:$B$42,0)))</f>
        <v/>
      </c>
      <c r="DG602" s="146" t="str">
        <f>IF(W602&lt;&gt;"AR","",INDEX('Device Refrigerant Leakage'!$F$2:$F$42,MATCH(X602,'Device Refrigerant Leakage'!$B$2:$B$42,0)))</f>
        <v/>
      </c>
      <c r="DH602" s="146" t="str">
        <f>IF(W602&lt;&gt;"AR","",INDEX('Device Refrigerant Leakage'!$G$2:$G$42,MATCH(X602,'Device Refrigerant Leakage'!$B$2:$B$42,0)))</f>
        <v/>
      </c>
      <c r="DI602" s="146" t="str">
        <f>IF(W602&lt;&gt;"AR","",J602*INDEX('Device Refrigerant Leakage'!$D$2:$D$42,MATCH(X602,'Device Refrigerant Leakage'!$B$2:$B$42,0))*DF602/2204.62*DE602)</f>
        <v/>
      </c>
      <c r="DJ602" s="146" t="str">
        <f>IF(W602&lt;&gt;"AR","",J602*(INDEX('Device Refrigerant Leakage'!$D$2:$D$42,MATCH(X602,'Device Refrigerant Leakage'!$B$2:$B$42,0))-(INDEX('Device Refrigerant Leakage'!$D$2:$D$42,MATCH(X602,'Device Refrigerant Leakage'!$B$2:$B$42,0)))*DH602*DF602)*DG602/2204.62*DE602)</f>
        <v/>
      </c>
      <c r="DK602" s="146" t="str">
        <f>IF(W602&lt;&gt;"AR","",DI602*(K602-AB602)+'Fuel Sub Calcs-Deemed'!DJ602*((K602-AB602)/INDEX('Device Refrigerant Leakage'!$C$2:$C$42,MATCH('Fuel Sub Calcs-Deemed'!X602,'Device Refrigerant Leakage'!$B$2:$B$42,0))))</f>
        <v/>
      </c>
      <c r="DM602" s="56">
        <v>588</v>
      </c>
      <c r="DN602" s="67" t="e">
        <f t="shared" si="738"/>
        <v>#N/A</v>
      </c>
      <c r="DO602" s="45" t="e">
        <f t="shared" si="739"/>
        <v>#N/A</v>
      </c>
      <c r="DP602" s="67" t="e">
        <f t="shared" si="740"/>
        <v>#N/A</v>
      </c>
      <c r="DQ602" s="45" t="e">
        <f t="shared" si="741"/>
        <v>#N/A</v>
      </c>
      <c r="DR602" s="69" t="e">
        <f t="shared" si="742"/>
        <v>#N/A</v>
      </c>
      <c r="DS602" s="34"/>
      <c r="DT602" s="67" t="e">
        <f>((BX602*CJ602)+IF($W602=MAT_AR,(BZ602*CL602),0))*(1+Reference!$E$50+Reference!$E$51)</f>
        <v>#N/A</v>
      </c>
      <c r="DU602" s="67">
        <f>((BY602*CK602)+IF($W602=MAT_AR,(CA602*CM602),0))*(1+Reference!$G$50+Reference!$G$51)</f>
        <v>0</v>
      </c>
      <c r="DV602" s="67" t="e">
        <f t="shared" si="743"/>
        <v>#VALUE!</v>
      </c>
      <c r="DX602" s="56">
        <v>588</v>
      </c>
      <c r="DY602" s="67">
        <f t="shared" si="744"/>
        <v>0</v>
      </c>
      <c r="DZ602" s="45" t="e">
        <f>VLOOKUP($R602,Dropdown!$C$3:$D$4,2,FALSE)</f>
        <v>#N/A</v>
      </c>
      <c r="EA602" s="68">
        <f t="shared" si="745"/>
        <v>0</v>
      </c>
      <c r="EB602" s="68" t="str">
        <f t="shared" si="746"/>
        <v>N/A</v>
      </c>
      <c r="EC602" s="68">
        <f t="shared" si="747"/>
        <v>0</v>
      </c>
      <c r="ED602" s="68" t="str">
        <f t="shared" si="785"/>
        <v>N/A</v>
      </c>
      <c r="EF602" s="56">
        <v>588</v>
      </c>
      <c r="EG602" s="46">
        <f t="shared" si="748"/>
        <v>0</v>
      </c>
      <c r="EH602" s="68" t="e">
        <f t="shared" si="749"/>
        <v>#N/A</v>
      </c>
      <c r="EI602" s="68" t="e">
        <f t="shared" si="750"/>
        <v>#N/A</v>
      </c>
      <c r="EJ602" s="68" t="e">
        <f t="shared" si="751"/>
        <v>#N/A</v>
      </c>
      <c r="EK602" s="68" t="e">
        <f t="shared" si="752"/>
        <v>#N/A</v>
      </c>
      <c r="EL602" s="46">
        <f t="shared" si="753"/>
        <v>0</v>
      </c>
      <c r="EM602" s="46">
        <f t="shared" si="754"/>
        <v>0</v>
      </c>
    </row>
    <row r="603" spans="1:143">
      <c r="A603" s="89"/>
      <c r="B603" s="89"/>
      <c r="C603" s="89"/>
      <c r="D603" s="89"/>
      <c r="E603" s="89"/>
      <c r="F603" s="89"/>
      <c r="G603" s="34"/>
      <c r="H603" s="56">
        <f t="shared" si="755"/>
        <v>589</v>
      </c>
      <c r="I603" s="165"/>
      <c r="J603" s="163"/>
      <c r="K603" s="163"/>
      <c r="L603" s="164"/>
      <c r="M603" s="155"/>
      <c r="N603" s="155"/>
      <c r="O603" s="144"/>
      <c r="P603" s="159" t="str">
        <f>IFERROR(IF(O603&lt;&gt;"User Specified",IF(O603&lt;&gt;"", INDEX('Refrigerant GWPs'!$G$2:$G$154,MATCH(O603,'Refrigerant GWPs'!$A$2:$A$154,0)),""),U603),0)</f>
        <v/>
      </c>
      <c r="Q603" s="155"/>
      <c r="R603" s="155"/>
      <c r="S603" s="144"/>
      <c r="T603" s="159" t="str">
        <f>IF(S603&lt;&gt;"User Specified",IF(AND(S603&lt;&gt;"User Specified",S603&lt;&gt;""), INDEX('Refrigerant GWPs'!$G$2:$G$154,MATCH(S603,'Refrigerant GWPs'!$A$2:$A$154,0)),""),V603)</f>
        <v/>
      </c>
      <c r="U603" s="144"/>
      <c r="V603" s="144"/>
      <c r="W603" s="155"/>
      <c r="X603" s="155"/>
      <c r="Y603" s="144"/>
      <c r="Z603" s="159" t="str">
        <f>IF(AND(Y603&lt;&gt;"User Specified",Y603&lt;&gt;""), INDEX('Refrigerant GWPs'!$G$2:$G$154,MATCH(Y603,'Refrigerant GWPs'!$A$2:$A$154,0)),"")</f>
        <v/>
      </c>
      <c r="AA603" s="155"/>
      <c r="AB603" s="156"/>
      <c r="AC603" s="66"/>
      <c r="AD603" s="66"/>
      <c r="AE603" s="66"/>
      <c r="AF603" s="66"/>
      <c r="AG603" s="66"/>
      <c r="AH603" s="66"/>
      <c r="AI603" s="34"/>
      <c r="AJ603" s="88">
        <f t="shared" si="718"/>
        <v>0</v>
      </c>
      <c r="AK603" s="88">
        <f t="shared" si="719"/>
        <v>0</v>
      </c>
      <c r="AL603" s="88">
        <v>0</v>
      </c>
      <c r="AM603" s="88">
        <v>0</v>
      </c>
      <c r="AN603" s="81" t="str">
        <f t="shared" si="757"/>
        <v/>
      </c>
      <c r="AO603" s="88">
        <f t="shared" si="720"/>
        <v>0</v>
      </c>
      <c r="AP603" s="88">
        <f t="shared" si="721"/>
        <v>0</v>
      </c>
      <c r="AQ603" s="81" t="str">
        <f t="shared" si="722"/>
        <v/>
      </c>
      <c r="AS603" s="41" t="b">
        <f t="shared" si="723"/>
        <v>1</v>
      </c>
      <c r="AT603" s="38">
        <f t="shared" si="724"/>
        <v>0</v>
      </c>
      <c r="AU603" s="60">
        <f t="shared" si="725"/>
        <v>0</v>
      </c>
      <c r="AV603" s="41">
        <f t="shared" si="726"/>
        <v>0</v>
      </c>
      <c r="AW603" s="41" t="b">
        <f t="shared" si="727"/>
        <v>0</v>
      </c>
      <c r="AX603" t="str">
        <f t="shared" si="728"/>
        <v>+00</v>
      </c>
      <c r="AY603" t="str">
        <f t="shared" si="729"/>
        <v>+00</v>
      </c>
      <c r="BA603" s="47" t="b">
        <f t="shared" si="758"/>
        <v>1</v>
      </c>
      <c r="BB603" s="42" t="b">
        <f t="shared" si="759"/>
        <v>1</v>
      </c>
      <c r="BC603" s="42" t="b">
        <f t="shared" si="760"/>
        <v>0</v>
      </c>
      <c r="BD603" s="42" t="b">
        <f t="shared" si="761"/>
        <v>0</v>
      </c>
      <c r="BE603" s="70">
        <f t="shared" si="762"/>
        <v>0</v>
      </c>
      <c r="BF603" s="70">
        <f t="shared" si="763"/>
        <v>0</v>
      </c>
      <c r="BG603" s="34"/>
      <c r="BI603" s="47" t="b">
        <f t="shared" si="764"/>
        <v>1</v>
      </c>
      <c r="BJ603" s="47" t="b">
        <f t="shared" si="765"/>
        <v>1</v>
      </c>
      <c r="BK603" s="42" t="b">
        <f t="shared" si="766"/>
        <v>0</v>
      </c>
      <c r="BL603" s="42" t="b">
        <f t="shared" si="767"/>
        <v>0</v>
      </c>
      <c r="BM603" s="42">
        <f t="shared" si="768"/>
        <v>0</v>
      </c>
      <c r="BN603" s="42">
        <f t="shared" si="769"/>
        <v>0</v>
      </c>
      <c r="BP603" t="e">
        <f t="shared" si="770"/>
        <v>#N/A</v>
      </c>
      <c r="BQ603" t="e">
        <f t="shared" si="771"/>
        <v>#N/A</v>
      </c>
      <c r="BR603" t="e">
        <f t="shared" si="772"/>
        <v>#N/A</v>
      </c>
      <c r="BT603" s="60">
        <f t="shared" si="773"/>
        <v>0</v>
      </c>
      <c r="BU603" s="60">
        <f t="shared" si="774"/>
        <v>0</v>
      </c>
      <c r="BV603" s="60">
        <f t="shared" si="775"/>
        <v>0</v>
      </c>
      <c r="BW603" s="60">
        <f t="shared" si="776"/>
        <v>0</v>
      </c>
      <c r="BX603" s="60">
        <f t="shared" si="777"/>
        <v>0</v>
      </c>
      <c r="BY603" s="60">
        <f t="shared" si="778"/>
        <v>0</v>
      </c>
      <c r="BZ603" s="60">
        <f t="shared" si="779"/>
        <v>0</v>
      </c>
      <c r="CA603" s="60">
        <f t="shared" si="780"/>
        <v>0</v>
      </c>
      <c r="CB603" s="60" t="e">
        <f t="shared" si="730"/>
        <v>#N/A</v>
      </c>
      <c r="CC603" s="60">
        <f t="shared" si="731"/>
        <v>100000</v>
      </c>
      <c r="CD603" s="60" t="e">
        <f t="shared" si="732"/>
        <v>#N/A</v>
      </c>
      <c r="CE603" s="60">
        <f t="shared" si="733"/>
        <v>100000</v>
      </c>
      <c r="CF603" s="83" t="e">
        <f t="shared" si="781"/>
        <v>#N/A</v>
      </c>
      <c r="CG603" s="83">
        <f t="shared" si="782"/>
        <v>0</v>
      </c>
      <c r="CH603" s="83" t="e">
        <f t="shared" si="783"/>
        <v>#N/A</v>
      </c>
      <c r="CI603" s="83">
        <f t="shared" si="784"/>
        <v>0</v>
      </c>
      <c r="CJ603" s="86" t="e">
        <f t="shared" si="734"/>
        <v>#N/A</v>
      </c>
      <c r="CK603" s="82">
        <f t="shared" si="735"/>
        <v>5.3070370403969858E-3</v>
      </c>
      <c r="CL603" s="82" t="e">
        <f t="shared" si="736"/>
        <v>#N/A</v>
      </c>
      <c r="CM603" s="82">
        <f t="shared" si="737"/>
        <v>5.3070370403969858E-3</v>
      </c>
      <c r="CO603" s="149" t="str">
        <f>IF($I603&lt;&gt;"",IF(O603="User Specified",U603,INDEX('Refrigerant GWPs'!$G$2:$G$156,MATCH(O603,'Refrigerant GWPs'!$A$2:$A$156,0))),"")</f>
        <v/>
      </c>
      <c r="CP603" s="138" t="str">
        <f>IF($I603&lt;&gt;"",INDEX('Device Refrigerant Leakage'!$E$2:$E$42,MATCH($M603,'Device Refrigerant Leakage'!$B$2:$B$42,0)),"")</f>
        <v/>
      </c>
      <c r="CQ603" s="138" t="str">
        <f>IF($I603&lt;&gt;"",INDEX('Device Refrigerant Leakage'!$F$2:$F$42,MATCH($M603,'Device Refrigerant Leakage'!$B$2:$B$42,0)),"")</f>
        <v/>
      </c>
      <c r="CR603" s="145" t="str">
        <f>IF($I603&lt;&gt;"",INDEX('Device Refrigerant Leakage'!$G$2:$G$42,MATCH($M603,'Device Refrigerant Leakage'!$B$2:$B$42,0)),"")</f>
        <v/>
      </c>
      <c r="CS603" s="145" t="str">
        <f>IF($I603&lt;&gt;"",INDEX('Device Refrigerant Leakage'!$D$2:$D$42,MATCH($M603,'Device Refrigerant Leakage'!$B$2:$B$42,0))*CP603/2204.62*CO603,"")</f>
        <v/>
      </c>
      <c r="CT603" s="145" t="str">
        <f>IF($I603&lt;&gt;"",J603*(INDEX('Device Refrigerant Leakage'!$D$2:$D$42,MATCH($M603,'Device Refrigerant Leakage'!$B$2:$B$42,0))-(INDEX('Device Refrigerant Leakage'!$D$2:$D$42,MATCH($M603,'Device Refrigerant Leakage'!$B$2:$B$42,0)))*CR603*CP603)*CQ603/2204.62*CO603,"")</f>
        <v/>
      </c>
      <c r="CU603" s="135" t="str">
        <f>IF($I603&lt;&gt;"",J603*IF(W603&lt;&gt;"AR",(CS603*K603)+CT603,(CS603*AB603)+CT603*(AB603/INDEX('Device Refrigerant Leakage'!$C$2:$C$42,MATCH($M603,'Device Refrigerant Leakage'!$B$2:$B$42,0)))),"")</f>
        <v/>
      </c>
      <c r="CW603" s="135" t="str">
        <f>IF($I603&lt;&gt;"",IF(S603="User Specified",V603,INDEX('Refrigerant GWPs'!$G$2:$G$156,MATCH(S603,'Refrigerant GWPs'!$A$2:$A$157,0))),"")</f>
        <v/>
      </c>
      <c r="CX603" s="138" t="str">
        <f>IF($I603&lt;&gt;"",INDEX('Device Refrigerant Leakage'!$E$2:$E$42,MATCH($Q603,'Device Refrigerant Leakage'!$B$2:$B$42,0)),"")</f>
        <v/>
      </c>
      <c r="CY603" s="138" t="str">
        <f>IF($I603&lt;&gt;"",INDEX('Device Refrigerant Leakage'!$F$2:$F$42,MATCH($Q603,'Device Refrigerant Leakage'!$B$2:$B$42,0)),"")</f>
        <v/>
      </c>
      <c r="CZ603" s="145" t="str">
        <f>IF($I603&lt;&gt;"",INDEX('Device Refrigerant Leakage'!$G$2:$G$42,MATCH($Q603,'Device Refrigerant Leakage'!$B$2:$B$42,0)),"")</f>
        <v/>
      </c>
      <c r="DA603" s="145" t="str">
        <f>IF($I603&lt;&gt;"",J603*INDEX('Device Refrigerant Leakage'!$D$2:$D$42,MATCH($Q603,'Device Refrigerant Leakage'!$B$2:$B$42,0))*CX603/2204.62*CW603,"")</f>
        <v/>
      </c>
      <c r="DB603" s="145" t="str">
        <f>IF($I603&lt;&gt;"",J603*(INDEX('Device Refrigerant Leakage'!$D$2:$D$42,MATCH($Q603,'Device Refrigerant Leakage'!$B$2:$B$42,0))-(INDEX('Device Refrigerant Leakage'!$D$2:$D$42,MATCH($Q603,'Device Refrigerant Leakage'!$B$2:$B$42,0)))*CZ603*CX603)*CY603/2204.62*CW603,"")</f>
        <v/>
      </c>
      <c r="DC603" s="135" t="str">
        <f t="shared" si="756"/>
        <v/>
      </c>
      <c r="DE603" s="146" t="str">
        <f>IF(W603&lt;&gt;"AR","",IF(Y603="User Specified", AA603, INDEX('Refrigerant GWPs'!$G$2:$G$154,MATCH(Y603,'Refrigerant GWPs'!$A$2:$A$154,0))))</f>
        <v/>
      </c>
      <c r="DF603" s="146" t="str">
        <f>IF(W603&lt;&gt;"AR","",INDEX('Device Refrigerant Leakage'!$E$2:$E$42,MATCH(X603,'Device Refrigerant Leakage'!$B$2:$B$42,0)))</f>
        <v/>
      </c>
      <c r="DG603" s="146" t="str">
        <f>IF(W603&lt;&gt;"AR","",INDEX('Device Refrigerant Leakage'!$F$2:$F$42,MATCH(X603,'Device Refrigerant Leakage'!$B$2:$B$42,0)))</f>
        <v/>
      </c>
      <c r="DH603" s="146" t="str">
        <f>IF(W603&lt;&gt;"AR","",INDEX('Device Refrigerant Leakage'!$G$2:$G$42,MATCH(X603,'Device Refrigerant Leakage'!$B$2:$B$42,0)))</f>
        <v/>
      </c>
      <c r="DI603" s="146" t="str">
        <f>IF(W603&lt;&gt;"AR","",J603*INDEX('Device Refrigerant Leakage'!$D$2:$D$42,MATCH(X603,'Device Refrigerant Leakage'!$B$2:$B$42,0))*DF603/2204.62*DE603)</f>
        <v/>
      </c>
      <c r="DJ603" s="146" t="str">
        <f>IF(W603&lt;&gt;"AR","",J603*(INDEX('Device Refrigerant Leakage'!$D$2:$D$42,MATCH(X603,'Device Refrigerant Leakage'!$B$2:$B$42,0))-(INDEX('Device Refrigerant Leakage'!$D$2:$D$42,MATCH(X603,'Device Refrigerant Leakage'!$B$2:$B$42,0)))*DH603*DF603)*DG603/2204.62*DE603)</f>
        <v/>
      </c>
      <c r="DK603" s="146" t="str">
        <f>IF(W603&lt;&gt;"AR","",DI603*(K603-AB603)+'Fuel Sub Calcs-Deemed'!DJ603*((K603-AB603)/INDEX('Device Refrigerant Leakage'!$C$2:$C$42,MATCH('Fuel Sub Calcs-Deemed'!X603,'Device Refrigerant Leakage'!$B$2:$B$42,0))))</f>
        <v/>
      </c>
      <c r="DM603" s="56">
        <v>589</v>
      </c>
      <c r="DN603" s="67" t="e">
        <f t="shared" si="738"/>
        <v>#N/A</v>
      </c>
      <c r="DO603" s="45" t="e">
        <f t="shared" si="739"/>
        <v>#N/A</v>
      </c>
      <c r="DP603" s="67" t="e">
        <f t="shared" si="740"/>
        <v>#N/A</v>
      </c>
      <c r="DQ603" s="45" t="e">
        <f t="shared" si="741"/>
        <v>#N/A</v>
      </c>
      <c r="DR603" s="69" t="e">
        <f t="shared" si="742"/>
        <v>#N/A</v>
      </c>
      <c r="DS603" s="34"/>
      <c r="DT603" s="67" t="e">
        <f>((BX603*CJ603)+IF($W603=MAT_AR,(BZ603*CL603),0))*(1+Reference!$E$50+Reference!$E$51)</f>
        <v>#N/A</v>
      </c>
      <c r="DU603" s="67">
        <f>((BY603*CK603)+IF($W603=MAT_AR,(CA603*CM603),0))*(1+Reference!$G$50+Reference!$G$51)</f>
        <v>0</v>
      </c>
      <c r="DV603" s="67" t="e">
        <f t="shared" si="743"/>
        <v>#VALUE!</v>
      </c>
      <c r="DX603" s="56">
        <v>589</v>
      </c>
      <c r="DY603" s="67">
        <f t="shared" si="744"/>
        <v>0</v>
      </c>
      <c r="DZ603" s="45" t="e">
        <f>VLOOKUP($R603,Dropdown!$C$3:$D$4,2,FALSE)</f>
        <v>#N/A</v>
      </c>
      <c r="EA603" s="68">
        <f t="shared" si="745"/>
        <v>0</v>
      </c>
      <c r="EB603" s="68" t="str">
        <f t="shared" si="746"/>
        <v>N/A</v>
      </c>
      <c r="EC603" s="68">
        <f t="shared" si="747"/>
        <v>0</v>
      </c>
      <c r="ED603" s="68" t="str">
        <f t="shared" si="785"/>
        <v>N/A</v>
      </c>
      <c r="EF603" s="56">
        <v>589</v>
      </c>
      <c r="EG603" s="46">
        <f t="shared" si="748"/>
        <v>0</v>
      </c>
      <c r="EH603" s="68" t="e">
        <f t="shared" si="749"/>
        <v>#N/A</v>
      </c>
      <c r="EI603" s="68" t="e">
        <f t="shared" si="750"/>
        <v>#N/A</v>
      </c>
      <c r="EJ603" s="68" t="e">
        <f t="shared" si="751"/>
        <v>#N/A</v>
      </c>
      <c r="EK603" s="68" t="e">
        <f t="shared" si="752"/>
        <v>#N/A</v>
      </c>
      <c r="EL603" s="46">
        <f t="shared" si="753"/>
        <v>0</v>
      </c>
      <c r="EM603" s="46">
        <f t="shared" si="754"/>
        <v>0</v>
      </c>
    </row>
    <row r="604" spans="1:143">
      <c r="A604" s="89"/>
      <c r="B604" s="89"/>
      <c r="C604" s="89"/>
      <c r="D604" s="89"/>
      <c r="E604" s="89"/>
      <c r="F604" s="89"/>
      <c r="G604" s="34"/>
      <c r="H604" s="56">
        <f t="shared" si="755"/>
        <v>590</v>
      </c>
      <c r="I604" s="165"/>
      <c r="J604" s="163"/>
      <c r="K604" s="163"/>
      <c r="L604" s="164"/>
      <c r="M604" s="155"/>
      <c r="N604" s="155"/>
      <c r="O604" s="144"/>
      <c r="P604" s="159" t="str">
        <f>IFERROR(IF(O604&lt;&gt;"User Specified",IF(O604&lt;&gt;"", INDEX('Refrigerant GWPs'!$G$2:$G$154,MATCH(O604,'Refrigerant GWPs'!$A$2:$A$154,0)),""),U604),0)</f>
        <v/>
      </c>
      <c r="Q604" s="155"/>
      <c r="R604" s="155"/>
      <c r="S604" s="144"/>
      <c r="T604" s="159" t="str">
        <f>IF(S604&lt;&gt;"User Specified",IF(AND(S604&lt;&gt;"User Specified",S604&lt;&gt;""), INDEX('Refrigerant GWPs'!$G$2:$G$154,MATCH(S604,'Refrigerant GWPs'!$A$2:$A$154,0)),""),V604)</f>
        <v/>
      </c>
      <c r="U604" s="144"/>
      <c r="V604" s="144"/>
      <c r="W604" s="155"/>
      <c r="X604" s="155"/>
      <c r="Y604" s="144"/>
      <c r="Z604" s="159" t="str">
        <f>IF(AND(Y604&lt;&gt;"User Specified",Y604&lt;&gt;""), INDEX('Refrigerant GWPs'!$G$2:$G$154,MATCH(Y604,'Refrigerant GWPs'!$A$2:$A$154,0)),"")</f>
        <v/>
      </c>
      <c r="AA604" s="155"/>
      <c r="AB604" s="156"/>
      <c r="AC604" s="66"/>
      <c r="AD604" s="66"/>
      <c r="AE604" s="66"/>
      <c r="AF604" s="66"/>
      <c r="AG604" s="66"/>
      <c r="AH604" s="66"/>
      <c r="AI604" s="34"/>
      <c r="AJ604" s="88">
        <f t="shared" si="718"/>
        <v>0</v>
      </c>
      <c r="AK604" s="88">
        <f t="shared" si="719"/>
        <v>0</v>
      </c>
      <c r="AL604" s="88">
        <v>0</v>
      </c>
      <c r="AM604" s="88">
        <v>0</v>
      </c>
      <c r="AN604" s="81" t="str">
        <f t="shared" si="757"/>
        <v/>
      </c>
      <c r="AO604" s="88">
        <f t="shared" si="720"/>
        <v>0</v>
      </c>
      <c r="AP604" s="88">
        <f t="shared" si="721"/>
        <v>0</v>
      </c>
      <c r="AQ604" s="81" t="str">
        <f t="shared" si="722"/>
        <v/>
      </c>
      <c r="AS604" s="41" t="b">
        <f t="shared" si="723"/>
        <v>1</v>
      </c>
      <c r="AT604" s="38">
        <f t="shared" si="724"/>
        <v>0</v>
      </c>
      <c r="AU604" s="60">
        <f t="shared" si="725"/>
        <v>0</v>
      </c>
      <c r="AV604" s="41">
        <f t="shared" si="726"/>
        <v>0</v>
      </c>
      <c r="AW604" s="41" t="b">
        <f t="shared" si="727"/>
        <v>0</v>
      </c>
      <c r="AX604" t="str">
        <f t="shared" si="728"/>
        <v>+00</v>
      </c>
      <c r="AY604" t="str">
        <f t="shared" si="729"/>
        <v>+00</v>
      </c>
      <c r="BA604" s="47" t="b">
        <f t="shared" si="758"/>
        <v>1</v>
      </c>
      <c r="BB604" s="42" t="b">
        <f t="shared" si="759"/>
        <v>1</v>
      </c>
      <c r="BC604" s="42" t="b">
        <f t="shared" si="760"/>
        <v>0</v>
      </c>
      <c r="BD604" s="42" t="b">
        <f t="shared" si="761"/>
        <v>0</v>
      </c>
      <c r="BE604" s="70">
        <f t="shared" si="762"/>
        <v>0</v>
      </c>
      <c r="BF604" s="70">
        <f t="shared" si="763"/>
        <v>0</v>
      </c>
      <c r="BG604" s="34"/>
      <c r="BI604" s="47" t="b">
        <f t="shared" si="764"/>
        <v>1</v>
      </c>
      <c r="BJ604" s="47" t="b">
        <f t="shared" si="765"/>
        <v>1</v>
      </c>
      <c r="BK604" s="42" t="b">
        <f t="shared" si="766"/>
        <v>0</v>
      </c>
      <c r="BL604" s="42" t="b">
        <f t="shared" si="767"/>
        <v>0</v>
      </c>
      <c r="BM604" s="42">
        <f t="shared" si="768"/>
        <v>0</v>
      </c>
      <c r="BN604" s="42">
        <f t="shared" si="769"/>
        <v>0</v>
      </c>
      <c r="BP604" t="e">
        <f t="shared" si="770"/>
        <v>#N/A</v>
      </c>
      <c r="BQ604" t="e">
        <f t="shared" si="771"/>
        <v>#N/A</v>
      </c>
      <c r="BR604" t="e">
        <f t="shared" si="772"/>
        <v>#N/A</v>
      </c>
      <c r="BT604" s="60">
        <f t="shared" si="773"/>
        <v>0</v>
      </c>
      <c r="BU604" s="60">
        <f t="shared" si="774"/>
        <v>0</v>
      </c>
      <c r="BV604" s="60">
        <f t="shared" si="775"/>
        <v>0</v>
      </c>
      <c r="BW604" s="60">
        <f t="shared" si="776"/>
        <v>0</v>
      </c>
      <c r="BX604" s="60">
        <f t="shared" si="777"/>
        <v>0</v>
      </c>
      <c r="BY604" s="60">
        <f t="shared" si="778"/>
        <v>0</v>
      </c>
      <c r="BZ604" s="60">
        <f t="shared" si="779"/>
        <v>0</v>
      </c>
      <c r="CA604" s="60">
        <f t="shared" si="780"/>
        <v>0</v>
      </c>
      <c r="CB604" s="60" t="e">
        <f t="shared" si="730"/>
        <v>#N/A</v>
      </c>
      <c r="CC604" s="60">
        <f t="shared" si="731"/>
        <v>100000</v>
      </c>
      <c r="CD604" s="60" t="e">
        <f t="shared" si="732"/>
        <v>#N/A</v>
      </c>
      <c r="CE604" s="60">
        <f t="shared" si="733"/>
        <v>100000</v>
      </c>
      <c r="CF604" s="83" t="e">
        <f t="shared" si="781"/>
        <v>#N/A</v>
      </c>
      <c r="CG604" s="83">
        <f t="shared" si="782"/>
        <v>0</v>
      </c>
      <c r="CH604" s="83" t="e">
        <f t="shared" si="783"/>
        <v>#N/A</v>
      </c>
      <c r="CI604" s="83">
        <f t="shared" si="784"/>
        <v>0</v>
      </c>
      <c r="CJ604" s="86" t="e">
        <f t="shared" si="734"/>
        <v>#N/A</v>
      </c>
      <c r="CK604" s="82">
        <f t="shared" si="735"/>
        <v>5.3070370403969858E-3</v>
      </c>
      <c r="CL604" s="82" t="e">
        <f t="shared" si="736"/>
        <v>#N/A</v>
      </c>
      <c r="CM604" s="82">
        <f t="shared" si="737"/>
        <v>5.3070370403969858E-3</v>
      </c>
      <c r="CO604" s="149" t="str">
        <f>IF($I604&lt;&gt;"",IF(O604="User Specified",U604,INDEX('Refrigerant GWPs'!$G$2:$G$156,MATCH(O604,'Refrigerant GWPs'!$A$2:$A$156,0))),"")</f>
        <v/>
      </c>
      <c r="CP604" s="138" t="str">
        <f>IF($I604&lt;&gt;"",INDEX('Device Refrigerant Leakage'!$E$2:$E$42,MATCH($M604,'Device Refrigerant Leakage'!$B$2:$B$42,0)),"")</f>
        <v/>
      </c>
      <c r="CQ604" s="138" t="str">
        <f>IF($I604&lt;&gt;"",INDEX('Device Refrigerant Leakage'!$F$2:$F$42,MATCH($M604,'Device Refrigerant Leakage'!$B$2:$B$42,0)),"")</f>
        <v/>
      </c>
      <c r="CR604" s="145" t="str">
        <f>IF($I604&lt;&gt;"",INDEX('Device Refrigerant Leakage'!$G$2:$G$42,MATCH($M604,'Device Refrigerant Leakage'!$B$2:$B$42,0)),"")</f>
        <v/>
      </c>
      <c r="CS604" s="145" t="str">
        <f>IF($I604&lt;&gt;"",INDEX('Device Refrigerant Leakage'!$D$2:$D$42,MATCH($M604,'Device Refrigerant Leakage'!$B$2:$B$42,0))*CP604/2204.62*CO604,"")</f>
        <v/>
      </c>
      <c r="CT604" s="145" t="str">
        <f>IF($I604&lt;&gt;"",J604*(INDEX('Device Refrigerant Leakage'!$D$2:$D$42,MATCH($M604,'Device Refrigerant Leakage'!$B$2:$B$42,0))-(INDEX('Device Refrigerant Leakage'!$D$2:$D$42,MATCH($M604,'Device Refrigerant Leakage'!$B$2:$B$42,0)))*CR604*CP604)*CQ604/2204.62*CO604,"")</f>
        <v/>
      </c>
      <c r="CU604" s="135" t="str">
        <f>IF($I604&lt;&gt;"",J604*IF(W604&lt;&gt;"AR",(CS604*K604)+CT604,(CS604*AB604)+CT604*(AB604/INDEX('Device Refrigerant Leakage'!$C$2:$C$42,MATCH($M604,'Device Refrigerant Leakage'!$B$2:$B$42,0)))),"")</f>
        <v/>
      </c>
      <c r="CW604" s="135" t="str">
        <f>IF($I604&lt;&gt;"",IF(S604="User Specified",V604,INDEX('Refrigerant GWPs'!$G$2:$G$156,MATCH(S604,'Refrigerant GWPs'!$A$2:$A$157,0))),"")</f>
        <v/>
      </c>
      <c r="CX604" s="138" t="str">
        <f>IF($I604&lt;&gt;"",INDEX('Device Refrigerant Leakage'!$E$2:$E$42,MATCH($Q604,'Device Refrigerant Leakage'!$B$2:$B$42,0)),"")</f>
        <v/>
      </c>
      <c r="CY604" s="138" t="str">
        <f>IF($I604&lt;&gt;"",INDEX('Device Refrigerant Leakage'!$F$2:$F$42,MATCH($Q604,'Device Refrigerant Leakage'!$B$2:$B$42,0)),"")</f>
        <v/>
      </c>
      <c r="CZ604" s="145" t="str">
        <f>IF($I604&lt;&gt;"",INDEX('Device Refrigerant Leakage'!$G$2:$G$42,MATCH($Q604,'Device Refrigerant Leakage'!$B$2:$B$42,0)),"")</f>
        <v/>
      </c>
      <c r="DA604" s="145" t="str">
        <f>IF($I604&lt;&gt;"",J604*INDEX('Device Refrigerant Leakage'!$D$2:$D$42,MATCH($Q604,'Device Refrigerant Leakage'!$B$2:$B$42,0))*CX604/2204.62*CW604,"")</f>
        <v/>
      </c>
      <c r="DB604" s="145" t="str">
        <f>IF($I604&lt;&gt;"",J604*(INDEX('Device Refrigerant Leakage'!$D$2:$D$42,MATCH($Q604,'Device Refrigerant Leakage'!$B$2:$B$42,0))-(INDEX('Device Refrigerant Leakage'!$D$2:$D$42,MATCH($Q604,'Device Refrigerant Leakage'!$B$2:$B$42,0)))*CZ604*CX604)*CY604/2204.62*CW604,"")</f>
        <v/>
      </c>
      <c r="DC604" s="135" t="str">
        <f t="shared" si="756"/>
        <v/>
      </c>
      <c r="DE604" s="146" t="str">
        <f>IF(W604&lt;&gt;"AR","",IF(Y604="User Specified", AA604, INDEX('Refrigerant GWPs'!$G$2:$G$154,MATCH(Y604,'Refrigerant GWPs'!$A$2:$A$154,0))))</f>
        <v/>
      </c>
      <c r="DF604" s="146" t="str">
        <f>IF(W604&lt;&gt;"AR","",INDEX('Device Refrigerant Leakage'!$E$2:$E$42,MATCH(X604,'Device Refrigerant Leakage'!$B$2:$B$42,0)))</f>
        <v/>
      </c>
      <c r="DG604" s="146" t="str">
        <f>IF(W604&lt;&gt;"AR","",INDEX('Device Refrigerant Leakage'!$F$2:$F$42,MATCH(X604,'Device Refrigerant Leakage'!$B$2:$B$42,0)))</f>
        <v/>
      </c>
      <c r="DH604" s="146" t="str">
        <f>IF(W604&lt;&gt;"AR","",INDEX('Device Refrigerant Leakage'!$G$2:$G$42,MATCH(X604,'Device Refrigerant Leakage'!$B$2:$B$42,0)))</f>
        <v/>
      </c>
      <c r="DI604" s="146" t="str">
        <f>IF(W604&lt;&gt;"AR","",J604*INDEX('Device Refrigerant Leakage'!$D$2:$D$42,MATCH(X604,'Device Refrigerant Leakage'!$B$2:$B$42,0))*DF604/2204.62*DE604)</f>
        <v/>
      </c>
      <c r="DJ604" s="146" t="str">
        <f>IF(W604&lt;&gt;"AR","",J604*(INDEX('Device Refrigerant Leakage'!$D$2:$D$42,MATCH(X604,'Device Refrigerant Leakage'!$B$2:$B$42,0))-(INDEX('Device Refrigerant Leakage'!$D$2:$D$42,MATCH(X604,'Device Refrigerant Leakage'!$B$2:$B$42,0)))*DH604*DF604)*DG604/2204.62*DE604)</f>
        <v/>
      </c>
      <c r="DK604" s="146" t="str">
        <f>IF(W604&lt;&gt;"AR","",DI604*(K604-AB604)+'Fuel Sub Calcs-Deemed'!DJ604*((K604-AB604)/INDEX('Device Refrigerant Leakage'!$C$2:$C$42,MATCH('Fuel Sub Calcs-Deemed'!X604,'Device Refrigerant Leakage'!$B$2:$B$42,0))))</f>
        <v/>
      </c>
      <c r="DM604" s="56">
        <v>590</v>
      </c>
      <c r="DN604" s="67" t="e">
        <f t="shared" si="738"/>
        <v>#N/A</v>
      </c>
      <c r="DO604" s="45" t="e">
        <f t="shared" si="739"/>
        <v>#N/A</v>
      </c>
      <c r="DP604" s="67" t="e">
        <f t="shared" si="740"/>
        <v>#N/A</v>
      </c>
      <c r="DQ604" s="45" t="e">
        <f t="shared" si="741"/>
        <v>#N/A</v>
      </c>
      <c r="DR604" s="69" t="e">
        <f t="shared" si="742"/>
        <v>#N/A</v>
      </c>
      <c r="DS604" s="34"/>
      <c r="DT604" s="67" t="e">
        <f>((BX604*CJ604)+IF($W604=MAT_AR,(BZ604*CL604),0))*(1+Reference!$E$50+Reference!$E$51)</f>
        <v>#N/A</v>
      </c>
      <c r="DU604" s="67">
        <f>((BY604*CK604)+IF($W604=MAT_AR,(CA604*CM604),0))*(1+Reference!$G$50+Reference!$G$51)</f>
        <v>0</v>
      </c>
      <c r="DV604" s="67" t="e">
        <f t="shared" si="743"/>
        <v>#VALUE!</v>
      </c>
      <c r="DX604" s="56">
        <v>590</v>
      </c>
      <c r="DY604" s="67">
        <f t="shared" si="744"/>
        <v>0</v>
      </c>
      <c r="DZ604" s="45" t="e">
        <f>VLOOKUP($R604,Dropdown!$C$3:$D$4,2,FALSE)</f>
        <v>#N/A</v>
      </c>
      <c r="EA604" s="68">
        <f t="shared" si="745"/>
        <v>0</v>
      </c>
      <c r="EB604" s="68" t="str">
        <f t="shared" si="746"/>
        <v>N/A</v>
      </c>
      <c r="EC604" s="68">
        <f t="shared" si="747"/>
        <v>0</v>
      </c>
      <c r="ED604" s="68" t="str">
        <f t="shared" si="785"/>
        <v>N/A</v>
      </c>
      <c r="EF604" s="56">
        <v>590</v>
      </c>
      <c r="EG604" s="46">
        <f t="shared" si="748"/>
        <v>0</v>
      </c>
      <c r="EH604" s="68" t="e">
        <f t="shared" si="749"/>
        <v>#N/A</v>
      </c>
      <c r="EI604" s="68" t="e">
        <f t="shared" si="750"/>
        <v>#N/A</v>
      </c>
      <c r="EJ604" s="68" t="e">
        <f t="shared" si="751"/>
        <v>#N/A</v>
      </c>
      <c r="EK604" s="68" t="e">
        <f t="shared" si="752"/>
        <v>#N/A</v>
      </c>
      <c r="EL604" s="46">
        <f t="shared" si="753"/>
        <v>0</v>
      </c>
      <c r="EM604" s="46">
        <f t="shared" si="754"/>
        <v>0</v>
      </c>
    </row>
    <row r="605" spans="1:143">
      <c r="A605" s="89"/>
      <c r="B605" s="89"/>
      <c r="C605" s="89"/>
      <c r="D605" s="89"/>
      <c r="E605" s="89"/>
      <c r="F605" s="89"/>
      <c r="G605" s="34"/>
      <c r="H605" s="56">
        <f t="shared" si="755"/>
        <v>591</v>
      </c>
      <c r="I605" s="165"/>
      <c r="J605" s="163"/>
      <c r="K605" s="163"/>
      <c r="L605" s="164"/>
      <c r="M605" s="155"/>
      <c r="N605" s="155"/>
      <c r="O605" s="144"/>
      <c r="P605" s="159" t="str">
        <f>IFERROR(IF(O605&lt;&gt;"User Specified",IF(O605&lt;&gt;"", INDEX('Refrigerant GWPs'!$G$2:$G$154,MATCH(O605,'Refrigerant GWPs'!$A$2:$A$154,0)),""),U605),0)</f>
        <v/>
      </c>
      <c r="Q605" s="155"/>
      <c r="R605" s="155"/>
      <c r="S605" s="144"/>
      <c r="T605" s="159" t="str">
        <f>IF(S605&lt;&gt;"User Specified",IF(AND(S605&lt;&gt;"User Specified",S605&lt;&gt;""), INDEX('Refrigerant GWPs'!$G$2:$G$154,MATCH(S605,'Refrigerant GWPs'!$A$2:$A$154,0)),""),V605)</f>
        <v/>
      </c>
      <c r="U605" s="144"/>
      <c r="V605" s="144"/>
      <c r="W605" s="155"/>
      <c r="X605" s="155"/>
      <c r="Y605" s="144"/>
      <c r="Z605" s="159" t="str">
        <f>IF(AND(Y605&lt;&gt;"User Specified",Y605&lt;&gt;""), INDEX('Refrigerant GWPs'!$G$2:$G$154,MATCH(Y605,'Refrigerant GWPs'!$A$2:$A$154,0)),"")</f>
        <v/>
      </c>
      <c r="AA605" s="155"/>
      <c r="AB605" s="156"/>
      <c r="AC605" s="66"/>
      <c r="AD605" s="66"/>
      <c r="AE605" s="66"/>
      <c r="AF605" s="66"/>
      <c r="AG605" s="66"/>
      <c r="AH605" s="66"/>
      <c r="AI605" s="34"/>
      <c r="AJ605" s="88">
        <f t="shared" si="718"/>
        <v>0</v>
      </c>
      <c r="AK605" s="88">
        <f t="shared" si="719"/>
        <v>0</v>
      </c>
      <c r="AL605" s="88">
        <v>0</v>
      </c>
      <c r="AM605" s="88">
        <v>0</v>
      </c>
      <c r="AN605" s="81" t="str">
        <f t="shared" si="757"/>
        <v/>
      </c>
      <c r="AO605" s="88">
        <f t="shared" si="720"/>
        <v>0</v>
      </c>
      <c r="AP605" s="88">
        <f t="shared" si="721"/>
        <v>0</v>
      </c>
      <c r="AQ605" s="81" t="str">
        <f t="shared" si="722"/>
        <v/>
      </c>
      <c r="AS605" s="41" t="b">
        <f t="shared" si="723"/>
        <v>1</v>
      </c>
      <c r="AT605" s="38">
        <f t="shared" si="724"/>
        <v>0</v>
      </c>
      <c r="AU605" s="60">
        <f t="shared" si="725"/>
        <v>0</v>
      </c>
      <c r="AV605" s="41">
        <f t="shared" si="726"/>
        <v>0</v>
      </c>
      <c r="AW605" s="41" t="b">
        <f t="shared" si="727"/>
        <v>0</v>
      </c>
      <c r="AX605" t="str">
        <f t="shared" si="728"/>
        <v>+00</v>
      </c>
      <c r="AY605" t="str">
        <f t="shared" si="729"/>
        <v>+00</v>
      </c>
      <c r="BA605" s="47" t="b">
        <f t="shared" si="758"/>
        <v>1</v>
      </c>
      <c r="BB605" s="42" t="b">
        <f t="shared" si="759"/>
        <v>1</v>
      </c>
      <c r="BC605" s="42" t="b">
        <f t="shared" si="760"/>
        <v>0</v>
      </c>
      <c r="BD605" s="42" t="b">
        <f t="shared" si="761"/>
        <v>0</v>
      </c>
      <c r="BE605" s="70">
        <f t="shared" si="762"/>
        <v>0</v>
      </c>
      <c r="BF605" s="70">
        <f t="shared" si="763"/>
        <v>0</v>
      </c>
      <c r="BG605" s="34"/>
      <c r="BI605" s="47" t="b">
        <f t="shared" si="764"/>
        <v>1</v>
      </c>
      <c r="BJ605" s="47" t="b">
        <f t="shared" si="765"/>
        <v>1</v>
      </c>
      <c r="BK605" s="42" t="b">
        <f t="shared" si="766"/>
        <v>0</v>
      </c>
      <c r="BL605" s="42" t="b">
        <f t="shared" si="767"/>
        <v>0</v>
      </c>
      <c r="BM605" s="42">
        <f t="shared" si="768"/>
        <v>0</v>
      </c>
      <c r="BN605" s="42">
        <f t="shared" si="769"/>
        <v>0</v>
      </c>
      <c r="BP605" t="e">
        <f t="shared" si="770"/>
        <v>#N/A</v>
      </c>
      <c r="BQ605" t="e">
        <f t="shared" si="771"/>
        <v>#N/A</v>
      </c>
      <c r="BR605" t="e">
        <f t="shared" si="772"/>
        <v>#N/A</v>
      </c>
      <c r="BT605" s="60">
        <f t="shared" si="773"/>
        <v>0</v>
      </c>
      <c r="BU605" s="60">
        <f t="shared" si="774"/>
        <v>0</v>
      </c>
      <c r="BV605" s="60">
        <f t="shared" si="775"/>
        <v>0</v>
      </c>
      <c r="BW605" s="60">
        <f t="shared" si="776"/>
        <v>0</v>
      </c>
      <c r="BX605" s="60">
        <f t="shared" si="777"/>
        <v>0</v>
      </c>
      <c r="BY605" s="60">
        <f t="shared" si="778"/>
        <v>0</v>
      </c>
      <c r="BZ605" s="60">
        <f t="shared" si="779"/>
        <v>0</v>
      </c>
      <c r="CA605" s="60">
        <f t="shared" si="780"/>
        <v>0</v>
      </c>
      <c r="CB605" s="60" t="e">
        <f t="shared" si="730"/>
        <v>#N/A</v>
      </c>
      <c r="CC605" s="60">
        <f t="shared" si="731"/>
        <v>100000</v>
      </c>
      <c r="CD605" s="60" t="e">
        <f t="shared" si="732"/>
        <v>#N/A</v>
      </c>
      <c r="CE605" s="60">
        <f t="shared" si="733"/>
        <v>100000</v>
      </c>
      <c r="CF605" s="83" t="e">
        <f t="shared" si="781"/>
        <v>#N/A</v>
      </c>
      <c r="CG605" s="83">
        <f t="shared" si="782"/>
        <v>0</v>
      </c>
      <c r="CH605" s="83" t="e">
        <f t="shared" si="783"/>
        <v>#N/A</v>
      </c>
      <c r="CI605" s="83">
        <f t="shared" si="784"/>
        <v>0</v>
      </c>
      <c r="CJ605" s="86" t="e">
        <f t="shared" si="734"/>
        <v>#N/A</v>
      </c>
      <c r="CK605" s="82">
        <f t="shared" si="735"/>
        <v>5.3070370403969858E-3</v>
      </c>
      <c r="CL605" s="82" t="e">
        <f t="shared" si="736"/>
        <v>#N/A</v>
      </c>
      <c r="CM605" s="82">
        <f t="shared" si="737"/>
        <v>5.3070370403969858E-3</v>
      </c>
      <c r="CO605" s="149" t="str">
        <f>IF($I605&lt;&gt;"",IF(O605="User Specified",U605,INDEX('Refrigerant GWPs'!$G$2:$G$156,MATCH(O605,'Refrigerant GWPs'!$A$2:$A$156,0))),"")</f>
        <v/>
      </c>
      <c r="CP605" s="138" t="str">
        <f>IF($I605&lt;&gt;"",INDEX('Device Refrigerant Leakage'!$E$2:$E$42,MATCH($M605,'Device Refrigerant Leakage'!$B$2:$B$42,0)),"")</f>
        <v/>
      </c>
      <c r="CQ605" s="138" t="str">
        <f>IF($I605&lt;&gt;"",INDEX('Device Refrigerant Leakage'!$F$2:$F$42,MATCH($M605,'Device Refrigerant Leakage'!$B$2:$B$42,0)),"")</f>
        <v/>
      </c>
      <c r="CR605" s="145" t="str">
        <f>IF($I605&lt;&gt;"",INDEX('Device Refrigerant Leakage'!$G$2:$G$42,MATCH($M605,'Device Refrigerant Leakage'!$B$2:$B$42,0)),"")</f>
        <v/>
      </c>
      <c r="CS605" s="145" t="str">
        <f>IF($I605&lt;&gt;"",INDEX('Device Refrigerant Leakage'!$D$2:$D$42,MATCH($M605,'Device Refrigerant Leakage'!$B$2:$B$42,0))*CP605/2204.62*CO605,"")</f>
        <v/>
      </c>
      <c r="CT605" s="145" t="str">
        <f>IF($I605&lt;&gt;"",J605*(INDEX('Device Refrigerant Leakage'!$D$2:$D$42,MATCH($M605,'Device Refrigerant Leakage'!$B$2:$B$42,0))-(INDEX('Device Refrigerant Leakage'!$D$2:$D$42,MATCH($M605,'Device Refrigerant Leakage'!$B$2:$B$42,0)))*CR605*CP605)*CQ605/2204.62*CO605,"")</f>
        <v/>
      </c>
      <c r="CU605" s="135" t="str">
        <f>IF($I605&lt;&gt;"",J605*IF(W605&lt;&gt;"AR",(CS605*K605)+CT605,(CS605*AB605)+CT605*(AB605/INDEX('Device Refrigerant Leakage'!$C$2:$C$42,MATCH($M605,'Device Refrigerant Leakage'!$B$2:$B$42,0)))),"")</f>
        <v/>
      </c>
      <c r="CW605" s="135" t="str">
        <f>IF($I605&lt;&gt;"",IF(S605="User Specified",V605,INDEX('Refrigerant GWPs'!$G$2:$G$156,MATCH(S605,'Refrigerant GWPs'!$A$2:$A$157,0))),"")</f>
        <v/>
      </c>
      <c r="CX605" s="138" t="str">
        <f>IF($I605&lt;&gt;"",INDEX('Device Refrigerant Leakage'!$E$2:$E$42,MATCH($Q605,'Device Refrigerant Leakage'!$B$2:$B$42,0)),"")</f>
        <v/>
      </c>
      <c r="CY605" s="138" t="str">
        <f>IF($I605&lt;&gt;"",INDEX('Device Refrigerant Leakage'!$F$2:$F$42,MATCH($Q605,'Device Refrigerant Leakage'!$B$2:$B$42,0)),"")</f>
        <v/>
      </c>
      <c r="CZ605" s="145" t="str">
        <f>IF($I605&lt;&gt;"",INDEX('Device Refrigerant Leakage'!$G$2:$G$42,MATCH($Q605,'Device Refrigerant Leakage'!$B$2:$B$42,0)),"")</f>
        <v/>
      </c>
      <c r="DA605" s="145" t="str">
        <f>IF($I605&lt;&gt;"",J605*INDEX('Device Refrigerant Leakage'!$D$2:$D$42,MATCH($Q605,'Device Refrigerant Leakage'!$B$2:$B$42,0))*CX605/2204.62*CW605,"")</f>
        <v/>
      </c>
      <c r="DB605" s="145" t="str">
        <f>IF($I605&lt;&gt;"",J605*(INDEX('Device Refrigerant Leakage'!$D$2:$D$42,MATCH($Q605,'Device Refrigerant Leakage'!$B$2:$B$42,0))-(INDEX('Device Refrigerant Leakage'!$D$2:$D$42,MATCH($Q605,'Device Refrigerant Leakage'!$B$2:$B$42,0)))*CZ605*CX605)*CY605/2204.62*CW605,"")</f>
        <v/>
      </c>
      <c r="DC605" s="135" t="str">
        <f t="shared" si="756"/>
        <v/>
      </c>
      <c r="DE605" s="146" t="str">
        <f>IF(W605&lt;&gt;"AR","",IF(Y605="User Specified", AA605, INDEX('Refrigerant GWPs'!$G$2:$G$154,MATCH(Y605,'Refrigerant GWPs'!$A$2:$A$154,0))))</f>
        <v/>
      </c>
      <c r="DF605" s="146" t="str">
        <f>IF(W605&lt;&gt;"AR","",INDEX('Device Refrigerant Leakage'!$E$2:$E$42,MATCH(X605,'Device Refrigerant Leakage'!$B$2:$B$42,0)))</f>
        <v/>
      </c>
      <c r="DG605" s="146" t="str">
        <f>IF(W605&lt;&gt;"AR","",INDEX('Device Refrigerant Leakage'!$F$2:$F$42,MATCH(X605,'Device Refrigerant Leakage'!$B$2:$B$42,0)))</f>
        <v/>
      </c>
      <c r="DH605" s="146" t="str">
        <f>IF(W605&lt;&gt;"AR","",INDEX('Device Refrigerant Leakage'!$G$2:$G$42,MATCH(X605,'Device Refrigerant Leakage'!$B$2:$B$42,0)))</f>
        <v/>
      </c>
      <c r="DI605" s="146" t="str">
        <f>IF(W605&lt;&gt;"AR","",J605*INDEX('Device Refrigerant Leakage'!$D$2:$D$42,MATCH(X605,'Device Refrigerant Leakage'!$B$2:$B$42,0))*DF605/2204.62*DE605)</f>
        <v/>
      </c>
      <c r="DJ605" s="146" t="str">
        <f>IF(W605&lt;&gt;"AR","",J605*(INDEX('Device Refrigerant Leakage'!$D$2:$D$42,MATCH(X605,'Device Refrigerant Leakage'!$B$2:$B$42,0))-(INDEX('Device Refrigerant Leakage'!$D$2:$D$42,MATCH(X605,'Device Refrigerant Leakage'!$B$2:$B$42,0)))*DH605*DF605)*DG605/2204.62*DE605)</f>
        <v/>
      </c>
      <c r="DK605" s="146" t="str">
        <f>IF(W605&lt;&gt;"AR","",DI605*(K605-AB605)+'Fuel Sub Calcs-Deemed'!DJ605*((K605-AB605)/INDEX('Device Refrigerant Leakage'!$C$2:$C$42,MATCH('Fuel Sub Calcs-Deemed'!X605,'Device Refrigerant Leakage'!$B$2:$B$42,0))))</f>
        <v/>
      </c>
      <c r="DM605" s="56">
        <v>591</v>
      </c>
      <c r="DN605" s="67" t="e">
        <f t="shared" si="738"/>
        <v>#N/A</v>
      </c>
      <c r="DO605" s="45" t="e">
        <f t="shared" si="739"/>
        <v>#N/A</v>
      </c>
      <c r="DP605" s="67" t="e">
        <f t="shared" si="740"/>
        <v>#N/A</v>
      </c>
      <c r="DQ605" s="45" t="e">
        <f t="shared" si="741"/>
        <v>#N/A</v>
      </c>
      <c r="DR605" s="69" t="e">
        <f t="shared" si="742"/>
        <v>#N/A</v>
      </c>
      <c r="DS605" s="34"/>
      <c r="DT605" s="67" t="e">
        <f>((BX605*CJ605)+IF($W605=MAT_AR,(BZ605*CL605),0))*(1+Reference!$E$50+Reference!$E$51)</f>
        <v>#N/A</v>
      </c>
      <c r="DU605" s="67">
        <f>((BY605*CK605)+IF($W605=MAT_AR,(CA605*CM605),0))*(1+Reference!$G$50+Reference!$G$51)</f>
        <v>0</v>
      </c>
      <c r="DV605" s="67" t="e">
        <f t="shared" si="743"/>
        <v>#VALUE!</v>
      </c>
      <c r="DX605" s="56">
        <v>591</v>
      </c>
      <c r="DY605" s="67">
        <f t="shared" si="744"/>
        <v>0</v>
      </c>
      <c r="DZ605" s="45" t="e">
        <f>VLOOKUP($R605,Dropdown!$C$3:$D$4,2,FALSE)</f>
        <v>#N/A</v>
      </c>
      <c r="EA605" s="68">
        <f t="shared" si="745"/>
        <v>0</v>
      </c>
      <c r="EB605" s="68" t="str">
        <f t="shared" si="746"/>
        <v>N/A</v>
      </c>
      <c r="EC605" s="68">
        <f t="shared" si="747"/>
        <v>0</v>
      </c>
      <c r="ED605" s="68" t="str">
        <f t="shared" si="785"/>
        <v>N/A</v>
      </c>
      <c r="EF605" s="56">
        <v>591</v>
      </c>
      <c r="EG605" s="46">
        <f t="shared" si="748"/>
        <v>0</v>
      </c>
      <c r="EH605" s="68" t="e">
        <f t="shared" si="749"/>
        <v>#N/A</v>
      </c>
      <c r="EI605" s="68" t="e">
        <f t="shared" si="750"/>
        <v>#N/A</v>
      </c>
      <c r="EJ605" s="68" t="e">
        <f t="shared" si="751"/>
        <v>#N/A</v>
      </c>
      <c r="EK605" s="68" t="e">
        <f t="shared" si="752"/>
        <v>#N/A</v>
      </c>
      <c r="EL605" s="46">
        <f t="shared" si="753"/>
        <v>0</v>
      </c>
      <c r="EM605" s="46">
        <f t="shared" si="754"/>
        <v>0</v>
      </c>
    </row>
    <row r="606" spans="1:143">
      <c r="A606" s="89"/>
      <c r="B606" s="89"/>
      <c r="C606" s="89"/>
      <c r="D606" s="89"/>
      <c r="E606" s="89"/>
      <c r="F606" s="89"/>
      <c r="G606" s="34"/>
      <c r="H606" s="56">
        <f t="shared" si="755"/>
        <v>592</v>
      </c>
      <c r="I606" s="165"/>
      <c r="J606" s="163"/>
      <c r="K606" s="163"/>
      <c r="L606" s="164"/>
      <c r="M606" s="155"/>
      <c r="N606" s="155"/>
      <c r="O606" s="144"/>
      <c r="P606" s="159" t="str">
        <f>IFERROR(IF(O606&lt;&gt;"User Specified",IF(O606&lt;&gt;"", INDEX('Refrigerant GWPs'!$G$2:$G$154,MATCH(O606,'Refrigerant GWPs'!$A$2:$A$154,0)),""),U606),0)</f>
        <v/>
      </c>
      <c r="Q606" s="155"/>
      <c r="R606" s="155"/>
      <c r="S606" s="144"/>
      <c r="T606" s="159" t="str">
        <f>IF(S606&lt;&gt;"User Specified",IF(AND(S606&lt;&gt;"User Specified",S606&lt;&gt;""), INDEX('Refrigerant GWPs'!$G$2:$G$154,MATCH(S606,'Refrigerant GWPs'!$A$2:$A$154,0)),""),V606)</f>
        <v/>
      </c>
      <c r="U606" s="144"/>
      <c r="V606" s="144"/>
      <c r="W606" s="155"/>
      <c r="X606" s="155"/>
      <c r="Y606" s="144"/>
      <c r="Z606" s="159" t="str">
        <f>IF(AND(Y606&lt;&gt;"User Specified",Y606&lt;&gt;""), INDEX('Refrigerant GWPs'!$G$2:$G$154,MATCH(Y606,'Refrigerant GWPs'!$A$2:$A$154,0)),"")</f>
        <v/>
      </c>
      <c r="AA606" s="155"/>
      <c r="AB606" s="156"/>
      <c r="AC606" s="66"/>
      <c r="AD606" s="66"/>
      <c r="AE606" s="66"/>
      <c r="AF606" s="66"/>
      <c r="AG606" s="66"/>
      <c r="AH606" s="66"/>
      <c r="AI606" s="34"/>
      <c r="AJ606" s="88">
        <f t="shared" si="718"/>
        <v>0</v>
      </c>
      <c r="AK606" s="88">
        <f t="shared" si="719"/>
        <v>0</v>
      </c>
      <c r="AL606" s="88">
        <v>0</v>
      </c>
      <c r="AM606" s="88">
        <v>0</v>
      </c>
      <c r="AN606" s="81" t="str">
        <f t="shared" si="757"/>
        <v/>
      </c>
      <c r="AO606" s="88">
        <f t="shared" si="720"/>
        <v>0</v>
      </c>
      <c r="AP606" s="88">
        <f t="shared" si="721"/>
        <v>0</v>
      </c>
      <c r="AQ606" s="81" t="str">
        <f t="shared" si="722"/>
        <v/>
      </c>
      <c r="AS606" s="41" t="b">
        <f t="shared" si="723"/>
        <v>1</v>
      </c>
      <c r="AT606" s="38">
        <f t="shared" si="724"/>
        <v>0</v>
      </c>
      <c r="AU606" s="60">
        <f t="shared" si="725"/>
        <v>0</v>
      </c>
      <c r="AV606" s="41">
        <f t="shared" si="726"/>
        <v>0</v>
      </c>
      <c r="AW606" s="41" t="b">
        <f t="shared" si="727"/>
        <v>0</v>
      </c>
      <c r="AX606" t="str">
        <f t="shared" si="728"/>
        <v>+00</v>
      </c>
      <c r="AY606" t="str">
        <f t="shared" si="729"/>
        <v>+00</v>
      </c>
      <c r="BA606" s="47" t="b">
        <f t="shared" si="758"/>
        <v>1</v>
      </c>
      <c r="BB606" s="42" t="b">
        <f t="shared" si="759"/>
        <v>1</v>
      </c>
      <c r="BC606" s="42" t="b">
        <f t="shared" si="760"/>
        <v>0</v>
      </c>
      <c r="BD606" s="42" t="b">
        <f t="shared" si="761"/>
        <v>0</v>
      </c>
      <c r="BE606" s="70">
        <f t="shared" si="762"/>
        <v>0</v>
      </c>
      <c r="BF606" s="70">
        <f t="shared" si="763"/>
        <v>0</v>
      </c>
      <c r="BG606" s="34"/>
      <c r="BI606" s="47" t="b">
        <f t="shared" si="764"/>
        <v>1</v>
      </c>
      <c r="BJ606" s="47" t="b">
        <f t="shared" si="765"/>
        <v>1</v>
      </c>
      <c r="BK606" s="42" t="b">
        <f t="shared" si="766"/>
        <v>0</v>
      </c>
      <c r="BL606" s="42" t="b">
        <f t="shared" si="767"/>
        <v>0</v>
      </c>
      <c r="BM606" s="42">
        <f t="shared" si="768"/>
        <v>0</v>
      </c>
      <c r="BN606" s="42">
        <f t="shared" si="769"/>
        <v>0</v>
      </c>
      <c r="BP606" t="e">
        <f t="shared" si="770"/>
        <v>#N/A</v>
      </c>
      <c r="BQ606" t="e">
        <f t="shared" si="771"/>
        <v>#N/A</v>
      </c>
      <c r="BR606" t="e">
        <f t="shared" si="772"/>
        <v>#N/A</v>
      </c>
      <c r="BT606" s="60">
        <f t="shared" si="773"/>
        <v>0</v>
      </c>
      <c r="BU606" s="60">
        <f t="shared" si="774"/>
        <v>0</v>
      </c>
      <c r="BV606" s="60">
        <f t="shared" si="775"/>
        <v>0</v>
      </c>
      <c r="BW606" s="60">
        <f t="shared" si="776"/>
        <v>0</v>
      </c>
      <c r="BX606" s="60">
        <f t="shared" si="777"/>
        <v>0</v>
      </c>
      <c r="BY606" s="60">
        <f t="shared" si="778"/>
        <v>0</v>
      </c>
      <c r="BZ606" s="60">
        <f t="shared" si="779"/>
        <v>0</v>
      </c>
      <c r="CA606" s="60">
        <f t="shared" si="780"/>
        <v>0</v>
      </c>
      <c r="CB606" s="60" t="e">
        <f t="shared" si="730"/>
        <v>#N/A</v>
      </c>
      <c r="CC606" s="60">
        <f t="shared" si="731"/>
        <v>100000</v>
      </c>
      <c r="CD606" s="60" t="e">
        <f t="shared" si="732"/>
        <v>#N/A</v>
      </c>
      <c r="CE606" s="60">
        <f t="shared" si="733"/>
        <v>100000</v>
      </c>
      <c r="CF606" s="83" t="e">
        <f t="shared" si="781"/>
        <v>#N/A</v>
      </c>
      <c r="CG606" s="83">
        <f t="shared" si="782"/>
        <v>0</v>
      </c>
      <c r="CH606" s="83" t="e">
        <f t="shared" si="783"/>
        <v>#N/A</v>
      </c>
      <c r="CI606" s="83">
        <f t="shared" si="784"/>
        <v>0</v>
      </c>
      <c r="CJ606" s="86" t="e">
        <f t="shared" si="734"/>
        <v>#N/A</v>
      </c>
      <c r="CK606" s="82">
        <f t="shared" si="735"/>
        <v>5.3070370403969858E-3</v>
      </c>
      <c r="CL606" s="82" t="e">
        <f t="shared" si="736"/>
        <v>#N/A</v>
      </c>
      <c r="CM606" s="82">
        <f t="shared" si="737"/>
        <v>5.3070370403969858E-3</v>
      </c>
      <c r="CO606" s="149" t="str">
        <f>IF($I606&lt;&gt;"",IF(O606="User Specified",U606,INDEX('Refrigerant GWPs'!$G$2:$G$156,MATCH(O606,'Refrigerant GWPs'!$A$2:$A$156,0))),"")</f>
        <v/>
      </c>
      <c r="CP606" s="138" t="str">
        <f>IF($I606&lt;&gt;"",INDEX('Device Refrigerant Leakage'!$E$2:$E$42,MATCH($M606,'Device Refrigerant Leakage'!$B$2:$B$42,0)),"")</f>
        <v/>
      </c>
      <c r="CQ606" s="138" t="str">
        <f>IF($I606&lt;&gt;"",INDEX('Device Refrigerant Leakage'!$F$2:$F$42,MATCH($M606,'Device Refrigerant Leakage'!$B$2:$B$42,0)),"")</f>
        <v/>
      </c>
      <c r="CR606" s="145" t="str">
        <f>IF($I606&lt;&gt;"",INDEX('Device Refrigerant Leakage'!$G$2:$G$42,MATCH($M606,'Device Refrigerant Leakage'!$B$2:$B$42,0)),"")</f>
        <v/>
      </c>
      <c r="CS606" s="145" t="str">
        <f>IF($I606&lt;&gt;"",INDEX('Device Refrigerant Leakage'!$D$2:$D$42,MATCH($M606,'Device Refrigerant Leakage'!$B$2:$B$42,0))*CP606/2204.62*CO606,"")</f>
        <v/>
      </c>
      <c r="CT606" s="145" t="str">
        <f>IF($I606&lt;&gt;"",J606*(INDEX('Device Refrigerant Leakage'!$D$2:$D$42,MATCH($M606,'Device Refrigerant Leakage'!$B$2:$B$42,0))-(INDEX('Device Refrigerant Leakage'!$D$2:$D$42,MATCH($M606,'Device Refrigerant Leakage'!$B$2:$B$42,0)))*CR606*CP606)*CQ606/2204.62*CO606,"")</f>
        <v/>
      </c>
      <c r="CU606" s="135" t="str">
        <f>IF($I606&lt;&gt;"",J606*IF(W606&lt;&gt;"AR",(CS606*K606)+CT606,(CS606*AB606)+CT606*(AB606/INDEX('Device Refrigerant Leakage'!$C$2:$C$42,MATCH($M606,'Device Refrigerant Leakage'!$B$2:$B$42,0)))),"")</f>
        <v/>
      </c>
      <c r="CW606" s="135" t="str">
        <f>IF($I606&lt;&gt;"",IF(S606="User Specified",V606,INDEX('Refrigerant GWPs'!$G$2:$G$156,MATCH(S606,'Refrigerant GWPs'!$A$2:$A$157,0))),"")</f>
        <v/>
      </c>
      <c r="CX606" s="138" t="str">
        <f>IF($I606&lt;&gt;"",INDEX('Device Refrigerant Leakage'!$E$2:$E$42,MATCH($Q606,'Device Refrigerant Leakage'!$B$2:$B$42,0)),"")</f>
        <v/>
      </c>
      <c r="CY606" s="138" t="str">
        <f>IF($I606&lt;&gt;"",INDEX('Device Refrigerant Leakage'!$F$2:$F$42,MATCH($Q606,'Device Refrigerant Leakage'!$B$2:$B$42,0)),"")</f>
        <v/>
      </c>
      <c r="CZ606" s="145" t="str">
        <f>IF($I606&lt;&gt;"",INDEX('Device Refrigerant Leakage'!$G$2:$G$42,MATCH($Q606,'Device Refrigerant Leakage'!$B$2:$B$42,0)),"")</f>
        <v/>
      </c>
      <c r="DA606" s="145" t="str">
        <f>IF($I606&lt;&gt;"",J606*INDEX('Device Refrigerant Leakage'!$D$2:$D$42,MATCH($Q606,'Device Refrigerant Leakage'!$B$2:$B$42,0))*CX606/2204.62*CW606,"")</f>
        <v/>
      </c>
      <c r="DB606" s="145" t="str">
        <f>IF($I606&lt;&gt;"",J606*(INDEX('Device Refrigerant Leakage'!$D$2:$D$42,MATCH($Q606,'Device Refrigerant Leakage'!$B$2:$B$42,0))-(INDEX('Device Refrigerant Leakage'!$D$2:$D$42,MATCH($Q606,'Device Refrigerant Leakage'!$B$2:$B$42,0)))*CZ606*CX606)*CY606/2204.62*CW606,"")</f>
        <v/>
      </c>
      <c r="DC606" s="135" t="str">
        <f t="shared" si="756"/>
        <v/>
      </c>
      <c r="DE606" s="146" t="str">
        <f>IF(W606&lt;&gt;"AR","",IF(Y606="User Specified", AA606, INDEX('Refrigerant GWPs'!$G$2:$G$154,MATCH(Y606,'Refrigerant GWPs'!$A$2:$A$154,0))))</f>
        <v/>
      </c>
      <c r="DF606" s="146" t="str">
        <f>IF(W606&lt;&gt;"AR","",INDEX('Device Refrigerant Leakage'!$E$2:$E$42,MATCH(X606,'Device Refrigerant Leakage'!$B$2:$B$42,0)))</f>
        <v/>
      </c>
      <c r="DG606" s="146" t="str">
        <f>IF(W606&lt;&gt;"AR","",INDEX('Device Refrigerant Leakage'!$F$2:$F$42,MATCH(X606,'Device Refrigerant Leakage'!$B$2:$B$42,0)))</f>
        <v/>
      </c>
      <c r="DH606" s="146" t="str">
        <f>IF(W606&lt;&gt;"AR","",INDEX('Device Refrigerant Leakage'!$G$2:$G$42,MATCH(X606,'Device Refrigerant Leakage'!$B$2:$B$42,0)))</f>
        <v/>
      </c>
      <c r="DI606" s="146" t="str">
        <f>IF(W606&lt;&gt;"AR","",J606*INDEX('Device Refrigerant Leakage'!$D$2:$D$42,MATCH(X606,'Device Refrigerant Leakage'!$B$2:$B$42,0))*DF606/2204.62*DE606)</f>
        <v/>
      </c>
      <c r="DJ606" s="146" t="str">
        <f>IF(W606&lt;&gt;"AR","",J606*(INDEX('Device Refrigerant Leakage'!$D$2:$D$42,MATCH(X606,'Device Refrigerant Leakage'!$B$2:$B$42,0))-(INDEX('Device Refrigerant Leakage'!$D$2:$D$42,MATCH(X606,'Device Refrigerant Leakage'!$B$2:$B$42,0)))*DH606*DF606)*DG606/2204.62*DE606)</f>
        <v/>
      </c>
      <c r="DK606" s="146" t="str">
        <f>IF(W606&lt;&gt;"AR","",DI606*(K606-AB606)+'Fuel Sub Calcs-Deemed'!DJ606*((K606-AB606)/INDEX('Device Refrigerant Leakage'!$C$2:$C$42,MATCH('Fuel Sub Calcs-Deemed'!X606,'Device Refrigerant Leakage'!$B$2:$B$42,0))))</f>
        <v/>
      </c>
      <c r="DM606" s="56">
        <v>592</v>
      </c>
      <c r="DN606" s="67" t="e">
        <f t="shared" si="738"/>
        <v>#N/A</v>
      </c>
      <c r="DO606" s="45" t="e">
        <f t="shared" si="739"/>
        <v>#N/A</v>
      </c>
      <c r="DP606" s="67" t="e">
        <f t="shared" si="740"/>
        <v>#N/A</v>
      </c>
      <c r="DQ606" s="45" t="e">
        <f t="shared" si="741"/>
        <v>#N/A</v>
      </c>
      <c r="DR606" s="69" t="e">
        <f t="shared" si="742"/>
        <v>#N/A</v>
      </c>
      <c r="DS606" s="34"/>
      <c r="DT606" s="67" t="e">
        <f>((BX606*CJ606)+IF($W606=MAT_AR,(BZ606*CL606),0))*(1+Reference!$E$50+Reference!$E$51)</f>
        <v>#N/A</v>
      </c>
      <c r="DU606" s="67">
        <f>((BY606*CK606)+IF($W606=MAT_AR,(CA606*CM606),0))*(1+Reference!$G$50+Reference!$G$51)</f>
        <v>0</v>
      </c>
      <c r="DV606" s="67" t="e">
        <f t="shared" si="743"/>
        <v>#VALUE!</v>
      </c>
      <c r="DX606" s="56">
        <v>592</v>
      </c>
      <c r="DY606" s="67">
        <f t="shared" si="744"/>
        <v>0</v>
      </c>
      <c r="DZ606" s="45" t="e">
        <f>VLOOKUP($R606,Dropdown!$C$3:$D$4,2,FALSE)</f>
        <v>#N/A</v>
      </c>
      <c r="EA606" s="68">
        <f t="shared" si="745"/>
        <v>0</v>
      </c>
      <c r="EB606" s="68" t="str">
        <f t="shared" si="746"/>
        <v>N/A</v>
      </c>
      <c r="EC606" s="68">
        <f t="shared" si="747"/>
        <v>0</v>
      </c>
      <c r="ED606" s="68" t="str">
        <f t="shared" si="785"/>
        <v>N/A</v>
      </c>
      <c r="EF606" s="56">
        <v>592</v>
      </c>
      <c r="EG606" s="46">
        <f t="shared" si="748"/>
        <v>0</v>
      </c>
      <c r="EH606" s="68" t="e">
        <f t="shared" si="749"/>
        <v>#N/A</v>
      </c>
      <c r="EI606" s="68" t="e">
        <f t="shared" si="750"/>
        <v>#N/A</v>
      </c>
      <c r="EJ606" s="68" t="e">
        <f t="shared" si="751"/>
        <v>#N/A</v>
      </c>
      <c r="EK606" s="68" t="e">
        <f t="shared" si="752"/>
        <v>#N/A</v>
      </c>
      <c r="EL606" s="46">
        <f t="shared" si="753"/>
        <v>0</v>
      </c>
      <c r="EM606" s="46">
        <f t="shared" si="754"/>
        <v>0</v>
      </c>
    </row>
    <row r="607" spans="1:143">
      <c r="A607" s="89"/>
      <c r="B607" s="89"/>
      <c r="C607" s="89"/>
      <c r="D607" s="89"/>
      <c r="E607" s="89"/>
      <c r="F607" s="89"/>
      <c r="G607" s="34"/>
      <c r="H607" s="56">
        <f t="shared" si="755"/>
        <v>593</v>
      </c>
      <c r="I607" s="165"/>
      <c r="J607" s="163"/>
      <c r="K607" s="163"/>
      <c r="L607" s="164"/>
      <c r="M607" s="155"/>
      <c r="N607" s="155"/>
      <c r="O607" s="144"/>
      <c r="P607" s="159" t="str">
        <f>IFERROR(IF(O607&lt;&gt;"User Specified",IF(O607&lt;&gt;"", INDEX('Refrigerant GWPs'!$G$2:$G$154,MATCH(O607,'Refrigerant GWPs'!$A$2:$A$154,0)),""),U607),0)</f>
        <v/>
      </c>
      <c r="Q607" s="155"/>
      <c r="R607" s="155"/>
      <c r="S607" s="144"/>
      <c r="T607" s="159" t="str">
        <f>IF(S607&lt;&gt;"User Specified",IF(AND(S607&lt;&gt;"User Specified",S607&lt;&gt;""), INDEX('Refrigerant GWPs'!$G$2:$G$154,MATCH(S607,'Refrigerant GWPs'!$A$2:$A$154,0)),""),V607)</f>
        <v/>
      </c>
      <c r="U607" s="144"/>
      <c r="V607" s="144"/>
      <c r="W607" s="155"/>
      <c r="X607" s="155"/>
      <c r="Y607" s="144"/>
      <c r="Z607" s="159" t="str">
        <f>IF(AND(Y607&lt;&gt;"User Specified",Y607&lt;&gt;""), INDEX('Refrigerant GWPs'!$G$2:$G$154,MATCH(Y607,'Refrigerant GWPs'!$A$2:$A$154,0)),"")</f>
        <v/>
      </c>
      <c r="AA607" s="155"/>
      <c r="AB607" s="156"/>
      <c r="AC607" s="66"/>
      <c r="AD607" s="66"/>
      <c r="AE607" s="66"/>
      <c r="AF607" s="66"/>
      <c r="AG607" s="66"/>
      <c r="AH607" s="66"/>
      <c r="AI607" s="34"/>
      <c r="AJ607" s="88">
        <f t="shared" si="718"/>
        <v>0</v>
      </c>
      <c r="AK607" s="88">
        <f t="shared" si="719"/>
        <v>0</v>
      </c>
      <c r="AL607" s="88">
        <v>0</v>
      </c>
      <c r="AM607" s="88">
        <v>0</v>
      </c>
      <c r="AN607" s="81" t="str">
        <f t="shared" si="757"/>
        <v/>
      </c>
      <c r="AO607" s="88">
        <f t="shared" si="720"/>
        <v>0</v>
      </c>
      <c r="AP607" s="88">
        <f t="shared" si="721"/>
        <v>0</v>
      </c>
      <c r="AQ607" s="81" t="str">
        <f t="shared" si="722"/>
        <v/>
      </c>
      <c r="AS607" s="41" t="b">
        <f t="shared" si="723"/>
        <v>1</v>
      </c>
      <c r="AT607" s="38">
        <f t="shared" si="724"/>
        <v>0</v>
      </c>
      <c r="AU607" s="60">
        <f t="shared" si="725"/>
        <v>0</v>
      </c>
      <c r="AV607" s="41">
        <f t="shared" si="726"/>
        <v>0</v>
      </c>
      <c r="AW607" s="41" t="b">
        <f t="shared" si="727"/>
        <v>0</v>
      </c>
      <c r="AX607" t="str">
        <f t="shared" si="728"/>
        <v>+00</v>
      </c>
      <c r="AY607" t="str">
        <f t="shared" si="729"/>
        <v>+00</v>
      </c>
      <c r="BA607" s="47" t="b">
        <f t="shared" si="758"/>
        <v>1</v>
      </c>
      <c r="BB607" s="42" t="b">
        <f t="shared" si="759"/>
        <v>1</v>
      </c>
      <c r="BC607" s="42" t="b">
        <f t="shared" si="760"/>
        <v>0</v>
      </c>
      <c r="BD607" s="42" t="b">
        <f t="shared" si="761"/>
        <v>0</v>
      </c>
      <c r="BE607" s="70">
        <f t="shared" si="762"/>
        <v>0</v>
      </c>
      <c r="BF607" s="70">
        <f t="shared" si="763"/>
        <v>0</v>
      </c>
      <c r="BG607" s="34"/>
      <c r="BI607" s="47" t="b">
        <f t="shared" si="764"/>
        <v>1</v>
      </c>
      <c r="BJ607" s="47" t="b">
        <f t="shared" si="765"/>
        <v>1</v>
      </c>
      <c r="BK607" s="42" t="b">
        <f t="shared" si="766"/>
        <v>0</v>
      </c>
      <c r="BL607" s="42" t="b">
        <f t="shared" si="767"/>
        <v>0</v>
      </c>
      <c r="BM607" s="42">
        <f t="shared" si="768"/>
        <v>0</v>
      </c>
      <c r="BN607" s="42">
        <f t="shared" si="769"/>
        <v>0</v>
      </c>
      <c r="BP607" t="e">
        <f t="shared" si="770"/>
        <v>#N/A</v>
      </c>
      <c r="BQ607" t="e">
        <f t="shared" si="771"/>
        <v>#N/A</v>
      </c>
      <c r="BR607" t="e">
        <f t="shared" si="772"/>
        <v>#N/A</v>
      </c>
      <c r="BT607" s="60">
        <f t="shared" si="773"/>
        <v>0</v>
      </c>
      <c r="BU607" s="60">
        <f t="shared" si="774"/>
        <v>0</v>
      </c>
      <c r="BV607" s="60">
        <f t="shared" si="775"/>
        <v>0</v>
      </c>
      <c r="BW607" s="60">
        <f t="shared" si="776"/>
        <v>0</v>
      </c>
      <c r="BX607" s="60">
        <f t="shared" si="777"/>
        <v>0</v>
      </c>
      <c r="BY607" s="60">
        <f t="shared" si="778"/>
        <v>0</v>
      </c>
      <c r="BZ607" s="60">
        <f t="shared" si="779"/>
        <v>0</v>
      </c>
      <c r="CA607" s="60">
        <f t="shared" si="780"/>
        <v>0</v>
      </c>
      <c r="CB607" s="60" t="e">
        <f t="shared" si="730"/>
        <v>#N/A</v>
      </c>
      <c r="CC607" s="60">
        <f t="shared" si="731"/>
        <v>100000</v>
      </c>
      <c r="CD607" s="60" t="e">
        <f t="shared" si="732"/>
        <v>#N/A</v>
      </c>
      <c r="CE607" s="60">
        <f t="shared" si="733"/>
        <v>100000</v>
      </c>
      <c r="CF607" s="83" t="e">
        <f t="shared" si="781"/>
        <v>#N/A</v>
      </c>
      <c r="CG607" s="83">
        <f t="shared" si="782"/>
        <v>0</v>
      </c>
      <c r="CH607" s="83" t="e">
        <f t="shared" si="783"/>
        <v>#N/A</v>
      </c>
      <c r="CI607" s="83">
        <f t="shared" si="784"/>
        <v>0</v>
      </c>
      <c r="CJ607" s="86" t="e">
        <f t="shared" si="734"/>
        <v>#N/A</v>
      </c>
      <c r="CK607" s="82">
        <f t="shared" si="735"/>
        <v>5.3070370403969858E-3</v>
      </c>
      <c r="CL607" s="82" t="e">
        <f t="shared" si="736"/>
        <v>#N/A</v>
      </c>
      <c r="CM607" s="82">
        <f t="shared" si="737"/>
        <v>5.3070370403969858E-3</v>
      </c>
      <c r="CO607" s="149" t="str">
        <f>IF($I607&lt;&gt;"",IF(O607="User Specified",U607,INDEX('Refrigerant GWPs'!$G$2:$G$156,MATCH(O607,'Refrigerant GWPs'!$A$2:$A$156,0))),"")</f>
        <v/>
      </c>
      <c r="CP607" s="138" t="str">
        <f>IF($I607&lt;&gt;"",INDEX('Device Refrigerant Leakage'!$E$2:$E$42,MATCH($M607,'Device Refrigerant Leakage'!$B$2:$B$42,0)),"")</f>
        <v/>
      </c>
      <c r="CQ607" s="138" t="str">
        <f>IF($I607&lt;&gt;"",INDEX('Device Refrigerant Leakage'!$F$2:$F$42,MATCH($M607,'Device Refrigerant Leakage'!$B$2:$B$42,0)),"")</f>
        <v/>
      </c>
      <c r="CR607" s="145" t="str">
        <f>IF($I607&lt;&gt;"",INDEX('Device Refrigerant Leakage'!$G$2:$G$42,MATCH($M607,'Device Refrigerant Leakage'!$B$2:$B$42,0)),"")</f>
        <v/>
      </c>
      <c r="CS607" s="145" t="str">
        <f>IF($I607&lt;&gt;"",INDEX('Device Refrigerant Leakage'!$D$2:$D$42,MATCH($M607,'Device Refrigerant Leakage'!$B$2:$B$42,0))*CP607/2204.62*CO607,"")</f>
        <v/>
      </c>
      <c r="CT607" s="145" t="str">
        <f>IF($I607&lt;&gt;"",J607*(INDEX('Device Refrigerant Leakage'!$D$2:$D$42,MATCH($M607,'Device Refrigerant Leakage'!$B$2:$B$42,0))-(INDEX('Device Refrigerant Leakage'!$D$2:$D$42,MATCH($M607,'Device Refrigerant Leakage'!$B$2:$B$42,0)))*CR607*CP607)*CQ607/2204.62*CO607,"")</f>
        <v/>
      </c>
      <c r="CU607" s="135" t="str">
        <f>IF($I607&lt;&gt;"",J607*IF(W607&lt;&gt;"AR",(CS607*K607)+CT607,(CS607*AB607)+CT607*(AB607/INDEX('Device Refrigerant Leakage'!$C$2:$C$42,MATCH($M607,'Device Refrigerant Leakage'!$B$2:$B$42,0)))),"")</f>
        <v/>
      </c>
      <c r="CW607" s="135" t="str">
        <f>IF($I607&lt;&gt;"",IF(S607="User Specified",V607,INDEX('Refrigerant GWPs'!$G$2:$G$156,MATCH(S607,'Refrigerant GWPs'!$A$2:$A$157,0))),"")</f>
        <v/>
      </c>
      <c r="CX607" s="138" t="str">
        <f>IF($I607&lt;&gt;"",INDEX('Device Refrigerant Leakage'!$E$2:$E$42,MATCH($Q607,'Device Refrigerant Leakage'!$B$2:$B$42,0)),"")</f>
        <v/>
      </c>
      <c r="CY607" s="138" t="str">
        <f>IF($I607&lt;&gt;"",INDEX('Device Refrigerant Leakage'!$F$2:$F$42,MATCH($Q607,'Device Refrigerant Leakage'!$B$2:$B$42,0)),"")</f>
        <v/>
      </c>
      <c r="CZ607" s="145" t="str">
        <f>IF($I607&lt;&gt;"",INDEX('Device Refrigerant Leakage'!$G$2:$G$42,MATCH($Q607,'Device Refrigerant Leakage'!$B$2:$B$42,0)),"")</f>
        <v/>
      </c>
      <c r="DA607" s="145" t="str">
        <f>IF($I607&lt;&gt;"",J607*INDEX('Device Refrigerant Leakage'!$D$2:$D$42,MATCH($Q607,'Device Refrigerant Leakage'!$B$2:$B$42,0))*CX607/2204.62*CW607,"")</f>
        <v/>
      </c>
      <c r="DB607" s="145" t="str">
        <f>IF($I607&lt;&gt;"",J607*(INDEX('Device Refrigerant Leakage'!$D$2:$D$42,MATCH($Q607,'Device Refrigerant Leakage'!$B$2:$B$42,0))-(INDEX('Device Refrigerant Leakage'!$D$2:$D$42,MATCH($Q607,'Device Refrigerant Leakage'!$B$2:$B$42,0)))*CZ607*CX607)*CY607/2204.62*CW607,"")</f>
        <v/>
      </c>
      <c r="DC607" s="135" t="str">
        <f t="shared" si="756"/>
        <v/>
      </c>
      <c r="DE607" s="146" t="str">
        <f>IF(W607&lt;&gt;"AR","",IF(Y607="User Specified", AA607, INDEX('Refrigerant GWPs'!$G$2:$G$154,MATCH(Y607,'Refrigerant GWPs'!$A$2:$A$154,0))))</f>
        <v/>
      </c>
      <c r="DF607" s="146" t="str">
        <f>IF(W607&lt;&gt;"AR","",INDEX('Device Refrigerant Leakage'!$E$2:$E$42,MATCH(X607,'Device Refrigerant Leakage'!$B$2:$B$42,0)))</f>
        <v/>
      </c>
      <c r="DG607" s="146" t="str">
        <f>IF(W607&lt;&gt;"AR","",INDEX('Device Refrigerant Leakage'!$F$2:$F$42,MATCH(X607,'Device Refrigerant Leakage'!$B$2:$B$42,0)))</f>
        <v/>
      </c>
      <c r="DH607" s="146" t="str">
        <f>IF(W607&lt;&gt;"AR","",INDEX('Device Refrigerant Leakage'!$G$2:$G$42,MATCH(X607,'Device Refrigerant Leakage'!$B$2:$B$42,0)))</f>
        <v/>
      </c>
      <c r="DI607" s="146" t="str">
        <f>IF(W607&lt;&gt;"AR","",J607*INDEX('Device Refrigerant Leakage'!$D$2:$D$42,MATCH(X607,'Device Refrigerant Leakage'!$B$2:$B$42,0))*DF607/2204.62*DE607)</f>
        <v/>
      </c>
      <c r="DJ607" s="146" t="str">
        <f>IF(W607&lt;&gt;"AR","",J607*(INDEX('Device Refrigerant Leakage'!$D$2:$D$42,MATCH(X607,'Device Refrigerant Leakage'!$B$2:$B$42,0))-(INDEX('Device Refrigerant Leakage'!$D$2:$D$42,MATCH(X607,'Device Refrigerant Leakage'!$B$2:$B$42,0)))*DH607*DF607)*DG607/2204.62*DE607)</f>
        <v/>
      </c>
      <c r="DK607" s="146" t="str">
        <f>IF(W607&lt;&gt;"AR","",DI607*(K607-AB607)+'Fuel Sub Calcs-Deemed'!DJ607*((K607-AB607)/INDEX('Device Refrigerant Leakage'!$C$2:$C$42,MATCH('Fuel Sub Calcs-Deemed'!X607,'Device Refrigerant Leakage'!$B$2:$B$42,0))))</f>
        <v/>
      </c>
      <c r="DM607" s="56">
        <v>593</v>
      </c>
      <c r="DN607" s="67" t="e">
        <f t="shared" si="738"/>
        <v>#N/A</v>
      </c>
      <c r="DO607" s="45" t="e">
        <f t="shared" si="739"/>
        <v>#N/A</v>
      </c>
      <c r="DP607" s="67" t="e">
        <f t="shared" si="740"/>
        <v>#N/A</v>
      </c>
      <c r="DQ607" s="45" t="e">
        <f t="shared" si="741"/>
        <v>#N/A</v>
      </c>
      <c r="DR607" s="69" t="e">
        <f t="shared" si="742"/>
        <v>#N/A</v>
      </c>
      <c r="DS607" s="34"/>
      <c r="DT607" s="67" t="e">
        <f>((BX607*CJ607)+IF($W607=MAT_AR,(BZ607*CL607),0))*(1+Reference!$E$50+Reference!$E$51)</f>
        <v>#N/A</v>
      </c>
      <c r="DU607" s="67">
        <f>((BY607*CK607)+IF($W607=MAT_AR,(CA607*CM607),0))*(1+Reference!$G$50+Reference!$G$51)</f>
        <v>0</v>
      </c>
      <c r="DV607" s="67" t="e">
        <f t="shared" si="743"/>
        <v>#VALUE!</v>
      </c>
      <c r="DX607" s="56">
        <v>593</v>
      </c>
      <c r="DY607" s="67">
        <f t="shared" si="744"/>
        <v>0</v>
      </c>
      <c r="DZ607" s="45" t="e">
        <f>VLOOKUP($R607,Dropdown!$C$3:$D$4,2,FALSE)</f>
        <v>#N/A</v>
      </c>
      <c r="EA607" s="68">
        <f t="shared" si="745"/>
        <v>0</v>
      </c>
      <c r="EB607" s="68" t="str">
        <f t="shared" si="746"/>
        <v>N/A</v>
      </c>
      <c r="EC607" s="68">
        <f t="shared" si="747"/>
        <v>0</v>
      </c>
      <c r="ED607" s="68" t="str">
        <f t="shared" si="785"/>
        <v>N/A</v>
      </c>
      <c r="EF607" s="56">
        <v>593</v>
      </c>
      <c r="EG607" s="46">
        <f t="shared" si="748"/>
        <v>0</v>
      </c>
      <c r="EH607" s="68" t="e">
        <f t="shared" si="749"/>
        <v>#N/A</v>
      </c>
      <c r="EI607" s="68" t="e">
        <f t="shared" si="750"/>
        <v>#N/A</v>
      </c>
      <c r="EJ607" s="68" t="e">
        <f t="shared" si="751"/>
        <v>#N/A</v>
      </c>
      <c r="EK607" s="68" t="e">
        <f t="shared" si="752"/>
        <v>#N/A</v>
      </c>
      <c r="EL607" s="46">
        <f t="shared" si="753"/>
        <v>0</v>
      </c>
      <c r="EM607" s="46">
        <f t="shared" si="754"/>
        <v>0</v>
      </c>
    </row>
    <row r="608" spans="1:143">
      <c r="A608" s="89"/>
      <c r="B608" s="89"/>
      <c r="C608" s="89"/>
      <c r="D608" s="89"/>
      <c r="E608" s="89"/>
      <c r="F608" s="89"/>
      <c r="G608" s="34"/>
      <c r="H608" s="56">
        <f t="shared" si="755"/>
        <v>594</v>
      </c>
      <c r="I608" s="165"/>
      <c r="J608" s="163"/>
      <c r="K608" s="163"/>
      <c r="L608" s="164"/>
      <c r="M608" s="155"/>
      <c r="N608" s="155"/>
      <c r="O608" s="144"/>
      <c r="P608" s="159" t="str">
        <f>IFERROR(IF(O608&lt;&gt;"User Specified",IF(O608&lt;&gt;"", INDEX('Refrigerant GWPs'!$G$2:$G$154,MATCH(O608,'Refrigerant GWPs'!$A$2:$A$154,0)),""),U608),0)</f>
        <v/>
      </c>
      <c r="Q608" s="155"/>
      <c r="R608" s="155"/>
      <c r="S608" s="144"/>
      <c r="T608" s="159" t="str">
        <f>IF(S608&lt;&gt;"User Specified",IF(AND(S608&lt;&gt;"User Specified",S608&lt;&gt;""), INDEX('Refrigerant GWPs'!$G$2:$G$154,MATCH(S608,'Refrigerant GWPs'!$A$2:$A$154,0)),""),V608)</f>
        <v/>
      </c>
      <c r="U608" s="144"/>
      <c r="V608" s="144"/>
      <c r="W608" s="155"/>
      <c r="X608" s="155"/>
      <c r="Y608" s="144"/>
      <c r="Z608" s="159" t="str">
        <f>IF(AND(Y608&lt;&gt;"User Specified",Y608&lt;&gt;""), INDEX('Refrigerant GWPs'!$G$2:$G$154,MATCH(Y608,'Refrigerant GWPs'!$A$2:$A$154,0)),"")</f>
        <v/>
      </c>
      <c r="AA608" s="155"/>
      <c r="AB608" s="156"/>
      <c r="AC608" s="66"/>
      <c r="AD608" s="66"/>
      <c r="AE608" s="66"/>
      <c r="AF608" s="66"/>
      <c r="AG608" s="66"/>
      <c r="AH608" s="66"/>
      <c r="AI608" s="34"/>
      <c r="AJ608" s="88">
        <f t="shared" si="718"/>
        <v>0</v>
      </c>
      <c r="AK608" s="88">
        <f t="shared" si="719"/>
        <v>0</v>
      </c>
      <c r="AL608" s="88">
        <v>0</v>
      </c>
      <c r="AM608" s="88">
        <v>0</v>
      </c>
      <c r="AN608" s="81" t="str">
        <f t="shared" si="757"/>
        <v/>
      </c>
      <c r="AO608" s="88">
        <f t="shared" si="720"/>
        <v>0</v>
      </c>
      <c r="AP608" s="88">
        <f t="shared" si="721"/>
        <v>0</v>
      </c>
      <c r="AQ608" s="81" t="str">
        <f t="shared" si="722"/>
        <v/>
      </c>
      <c r="AS608" s="41" t="b">
        <f t="shared" si="723"/>
        <v>1</v>
      </c>
      <c r="AT608" s="38">
        <f t="shared" si="724"/>
        <v>0</v>
      </c>
      <c r="AU608" s="60">
        <f t="shared" si="725"/>
        <v>0</v>
      </c>
      <c r="AV608" s="41">
        <f t="shared" si="726"/>
        <v>0</v>
      </c>
      <c r="AW608" s="41" t="b">
        <f t="shared" si="727"/>
        <v>0</v>
      </c>
      <c r="AX608" t="str">
        <f t="shared" si="728"/>
        <v>+00</v>
      </c>
      <c r="AY608" t="str">
        <f t="shared" si="729"/>
        <v>+00</v>
      </c>
      <c r="BA608" s="47" t="b">
        <f t="shared" si="758"/>
        <v>1</v>
      </c>
      <c r="BB608" s="42" t="b">
        <f t="shared" si="759"/>
        <v>1</v>
      </c>
      <c r="BC608" s="42" t="b">
        <f t="shared" si="760"/>
        <v>0</v>
      </c>
      <c r="BD608" s="42" t="b">
        <f t="shared" si="761"/>
        <v>0</v>
      </c>
      <c r="BE608" s="70">
        <f t="shared" si="762"/>
        <v>0</v>
      </c>
      <c r="BF608" s="70">
        <f t="shared" si="763"/>
        <v>0</v>
      </c>
      <c r="BG608" s="34"/>
      <c r="BI608" s="47" t="b">
        <f t="shared" si="764"/>
        <v>1</v>
      </c>
      <c r="BJ608" s="47" t="b">
        <f t="shared" si="765"/>
        <v>1</v>
      </c>
      <c r="BK608" s="42" t="b">
        <f t="shared" si="766"/>
        <v>0</v>
      </c>
      <c r="BL608" s="42" t="b">
        <f t="shared" si="767"/>
        <v>0</v>
      </c>
      <c r="BM608" s="42">
        <f t="shared" si="768"/>
        <v>0</v>
      </c>
      <c r="BN608" s="42">
        <f t="shared" si="769"/>
        <v>0</v>
      </c>
      <c r="BP608" t="e">
        <f t="shared" si="770"/>
        <v>#N/A</v>
      </c>
      <c r="BQ608" t="e">
        <f t="shared" si="771"/>
        <v>#N/A</v>
      </c>
      <c r="BR608" t="e">
        <f t="shared" si="772"/>
        <v>#N/A</v>
      </c>
      <c r="BT608" s="60">
        <f t="shared" si="773"/>
        <v>0</v>
      </c>
      <c r="BU608" s="60">
        <f t="shared" si="774"/>
        <v>0</v>
      </c>
      <c r="BV608" s="60">
        <f t="shared" si="775"/>
        <v>0</v>
      </c>
      <c r="BW608" s="60">
        <f t="shared" si="776"/>
        <v>0</v>
      </c>
      <c r="BX608" s="60">
        <f t="shared" si="777"/>
        <v>0</v>
      </c>
      <c r="BY608" s="60">
        <f t="shared" si="778"/>
        <v>0</v>
      </c>
      <c r="BZ608" s="60">
        <f t="shared" si="779"/>
        <v>0</v>
      </c>
      <c r="CA608" s="60">
        <f t="shared" si="780"/>
        <v>0</v>
      </c>
      <c r="CB608" s="60" t="e">
        <f t="shared" si="730"/>
        <v>#N/A</v>
      </c>
      <c r="CC608" s="60">
        <f t="shared" si="731"/>
        <v>100000</v>
      </c>
      <c r="CD608" s="60" t="e">
        <f t="shared" si="732"/>
        <v>#N/A</v>
      </c>
      <c r="CE608" s="60">
        <f t="shared" si="733"/>
        <v>100000</v>
      </c>
      <c r="CF608" s="83" t="e">
        <f t="shared" si="781"/>
        <v>#N/A</v>
      </c>
      <c r="CG608" s="83">
        <f t="shared" si="782"/>
        <v>0</v>
      </c>
      <c r="CH608" s="83" t="e">
        <f t="shared" si="783"/>
        <v>#N/A</v>
      </c>
      <c r="CI608" s="83">
        <f t="shared" si="784"/>
        <v>0</v>
      </c>
      <c r="CJ608" s="86" t="e">
        <f t="shared" si="734"/>
        <v>#N/A</v>
      </c>
      <c r="CK608" s="82">
        <f t="shared" si="735"/>
        <v>5.3070370403969858E-3</v>
      </c>
      <c r="CL608" s="82" t="e">
        <f t="shared" si="736"/>
        <v>#N/A</v>
      </c>
      <c r="CM608" s="82">
        <f t="shared" si="737"/>
        <v>5.3070370403969858E-3</v>
      </c>
      <c r="CO608" s="149" t="str">
        <f>IF($I608&lt;&gt;"",IF(O608="User Specified",U608,INDEX('Refrigerant GWPs'!$G$2:$G$156,MATCH(O608,'Refrigerant GWPs'!$A$2:$A$156,0))),"")</f>
        <v/>
      </c>
      <c r="CP608" s="138" t="str">
        <f>IF($I608&lt;&gt;"",INDEX('Device Refrigerant Leakage'!$E$2:$E$42,MATCH($M608,'Device Refrigerant Leakage'!$B$2:$B$42,0)),"")</f>
        <v/>
      </c>
      <c r="CQ608" s="138" t="str">
        <f>IF($I608&lt;&gt;"",INDEX('Device Refrigerant Leakage'!$F$2:$F$42,MATCH($M608,'Device Refrigerant Leakage'!$B$2:$B$42,0)),"")</f>
        <v/>
      </c>
      <c r="CR608" s="145" t="str">
        <f>IF($I608&lt;&gt;"",INDEX('Device Refrigerant Leakage'!$G$2:$G$42,MATCH($M608,'Device Refrigerant Leakage'!$B$2:$B$42,0)),"")</f>
        <v/>
      </c>
      <c r="CS608" s="145" t="str">
        <f>IF($I608&lt;&gt;"",INDEX('Device Refrigerant Leakage'!$D$2:$D$42,MATCH($M608,'Device Refrigerant Leakage'!$B$2:$B$42,0))*CP608/2204.62*CO608,"")</f>
        <v/>
      </c>
      <c r="CT608" s="145" t="str">
        <f>IF($I608&lt;&gt;"",J608*(INDEX('Device Refrigerant Leakage'!$D$2:$D$42,MATCH($M608,'Device Refrigerant Leakage'!$B$2:$B$42,0))-(INDEX('Device Refrigerant Leakage'!$D$2:$D$42,MATCH($M608,'Device Refrigerant Leakage'!$B$2:$B$42,0)))*CR608*CP608)*CQ608/2204.62*CO608,"")</f>
        <v/>
      </c>
      <c r="CU608" s="135" t="str">
        <f>IF($I608&lt;&gt;"",J608*IF(W608&lt;&gt;"AR",(CS608*K608)+CT608,(CS608*AB608)+CT608*(AB608/INDEX('Device Refrigerant Leakage'!$C$2:$C$42,MATCH($M608,'Device Refrigerant Leakage'!$B$2:$B$42,0)))),"")</f>
        <v/>
      </c>
      <c r="CW608" s="135" t="str">
        <f>IF($I608&lt;&gt;"",IF(S608="User Specified",V608,INDEX('Refrigerant GWPs'!$G$2:$G$156,MATCH(S608,'Refrigerant GWPs'!$A$2:$A$157,0))),"")</f>
        <v/>
      </c>
      <c r="CX608" s="138" t="str">
        <f>IF($I608&lt;&gt;"",INDEX('Device Refrigerant Leakage'!$E$2:$E$42,MATCH($Q608,'Device Refrigerant Leakage'!$B$2:$B$42,0)),"")</f>
        <v/>
      </c>
      <c r="CY608" s="138" t="str">
        <f>IF($I608&lt;&gt;"",INDEX('Device Refrigerant Leakage'!$F$2:$F$42,MATCH($Q608,'Device Refrigerant Leakage'!$B$2:$B$42,0)),"")</f>
        <v/>
      </c>
      <c r="CZ608" s="145" t="str">
        <f>IF($I608&lt;&gt;"",INDEX('Device Refrigerant Leakage'!$G$2:$G$42,MATCH($Q608,'Device Refrigerant Leakage'!$B$2:$B$42,0)),"")</f>
        <v/>
      </c>
      <c r="DA608" s="145" t="str">
        <f>IF($I608&lt;&gt;"",J608*INDEX('Device Refrigerant Leakage'!$D$2:$D$42,MATCH($Q608,'Device Refrigerant Leakage'!$B$2:$B$42,0))*CX608/2204.62*CW608,"")</f>
        <v/>
      </c>
      <c r="DB608" s="145" t="str">
        <f>IF($I608&lt;&gt;"",J608*(INDEX('Device Refrigerant Leakage'!$D$2:$D$42,MATCH($Q608,'Device Refrigerant Leakage'!$B$2:$B$42,0))-(INDEX('Device Refrigerant Leakage'!$D$2:$D$42,MATCH($Q608,'Device Refrigerant Leakage'!$B$2:$B$42,0)))*CZ608*CX608)*CY608/2204.62*CW608,"")</f>
        <v/>
      </c>
      <c r="DC608" s="135" t="str">
        <f t="shared" si="756"/>
        <v/>
      </c>
      <c r="DE608" s="146" t="str">
        <f>IF(W608&lt;&gt;"AR","",IF(Y608="User Specified", AA608, INDEX('Refrigerant GWPs'!$G$2:$G$154,MATCH(Y608,'Refrigerant GWPs'!$A$2:$A$154,0))))</f>
        <v/>
      </c>
      <c r="DF608" s="146" t="str">
        <f>IF(W608&lt;&gt;"AR","",INDEX('Device Refrigerant Leakage'!$E$2:$E$42,MATCH(X608,'Device Refrigerant Leakage'!$B$2:$B$42,0)))</f>
        <v/>
      </c>
      <c r="DG608" s="146" t="str">
        <f>IF(W608&lt;&gt;"AR","",INDEX('Device Refrigerant Leakage'!$F$2:$F$42,MATCH(X608,'Device Refrigerant Leakage'!$B$2:$B$42,0)))</f>
        <v/>
      </c>
      <c r="DH608" s="146" t="str">
        <f>IF(W608&lt;&gt;"AR","",INDEX('Device Refrigerant Leakage'!$G$2:$G$42,MATCH(X608,'Device Refrigerant Leakage'!$B$2:$B$42,0)))</f>
        <v/>
      </c>
      <c r="DI608" s="146" t="str">
        <f>IF(W608&lt;&gt;"AR","",J608*INDEX('Device Refrigerant Leakage'!$D$2:$D$42,MATCH(X608,'Device Refrigerant Leakage'!$B$2:$B$42,0))*DF608/2204.62*DE608)</f>
        <v/>
      </c>
      <c r="DJ608" s="146" t="str">
        <f>IF(W608&lt;&gt;"AR","",J608*(INDEX('Device Refrigerant Leakage'!$D$2:$D$42,MATCH(X608,'Device Refrigerant Leakage'!$B$2:$B$42,0))-(INDEX('Device Refrigerant Leakage'!$D$2:$D$42,MATCH(X608,'Device Refrigerant Leakage'!$B$2:$B$42,0)))*DH608*DF608)*DG608/2204.62*DE608)</f>
        <v/>
      </c>
      <c r="DK608" s="146" t="str">
        <f>IF(W608&lt;&gt;"AR","",DI608*(K608-AB608)+'Fuel Sub Calcs-Deemed'!DJ608*((K608-AB608)/INDEX('Device Refrigerant Leakage'!$C$2:$C$42,MATCH('Fuel Sub Calcs-Deemed'!X608,'Device Refrigerant Leakage'!$B$2:$B$42,0))))</f>
        <v/>
      </c>
      <c r="DM608" s="56">
        <v>594</v>
      </c>
      <c r="DN608" s="67" t="e">
        <f t="shared" si="738"/>
        <v>#N/A</v>
      </c>
      <c r="DO608" s="45" t="e">
        <f t="shared" si="739"/>
        <v>#N/A</v>
      </c>
      <c r="DP608" s="67" t="e">
        <f t="shared" si="740"/>
        <v>#N/A</v>
      </c>
      <c r="DQ608" s="45" t="e">
        <f t="shared" si="741"/>
        <v>#N/A</v>
      </c>
      <c r="DR608" s="69" t="e">
        <f t="shared" si="742"/>
        <v>#N/A</v>
      </c>
      <c r="DS608" s="34"/>
      <c r="DT608" s="67" t="e">
        <f>((BX608*CJ608)+IF($W608=MAT_AR,(BZ608*CL608),0))*(1+Reference!$E$50+Reference!$E$51)</f>
        <v>#N/A</v>
      </c>
      <c r="DU608" s="67">
        <f>((BY608*CK608)+IF($W608=MAT_AR,(CA608*CM608),0))*(1+Reference!$G$50+Reference!$G$51)</f>
        <v>0</v>
      </c>
      <c r="DV608" s="67" t="e">
        <f t="shared" si="743"/>
        <v>#VALUE!</v>
      </c>
      <c r="DX608" s="56">
        <v>594</v>
      </c>
      <c r="DY608" s="67">
        <f t="shared" si="744"/>
        <v>0</v>
      </c>
      <c r="DZ608" s="45" t="e">
        <f>VLOOKUP($R608,Dropdown!$C$3:$D$4,2,FALSE)</f>
        <v>#N/A</v>
      </c>
      <c r="EA608" s="68">
        <f t="shared" si="745"/>
        <v>0</v>
      </c>
      <c r="EB608" s="68" t="str">
        <f t="shared" si="746"/>
        <v>N/A</v>
      </c>
      <c r="EC608" s="68">
        <f t="shared" si="747"/>
        <v>0</v>
      </c>
      <c r="ED608" s="68" t="str">
        <f t="shared" si="785"/>
        <v>N/A</v>
      </c>
      <c r="EF608" s="56">
        <v>594</v>
      </c>
      <c r="EG608" s="46">
        <f t="shared" si="748"/>
        <v>0</v>
      </c>
      <c r="EH608" s="68" t="e">
        <f t="shared" si="749"/>
        <v>#N/A</v>
      </c>
      <c r="EI608" s="68" t="e">
        <f t="shared" si="750"/>
        <v>#N/A</v>
      </c>
      <c r="EJ608" s="68" t="e">
        <f t="shared" si="751"/>
        <v>#N/A</v>
      </c>
      <c r="EK608" s="68" t="e">
        <f t="shared" si="752"/>
        <v>#N/A</v>
      </c>
      <c r="EL608" s="46">
        <f t="shared" si="753"/>
        <v>0</v>
      </c>
      <c r="EM608" s="46">
        <f t="shared" si="754"/>
        <v>0</v>
      </c>
    </row>
    <row r="609" spans="1:143">
      <c r="A609" s="89"/>
      <c r="B609" s="89"/>
      <c r="C609" s="89"/>
      <c r="D609" s="89"/>
      <c r="E609" s="89"/>
      <c r="F609" s="89"/>
      <c r="G609" s="34"/>
      <c r="H609" s="56">
        <f t="shared" si="755"/>
        <v>595</v>
      </c>
      <c r="I609" s="165"/>
      <c r="J609" s="163"/>
      <c r="K609" s="163"/>
      <c r="L609" s="164"/>
      <c r="M609" s="155"/>
      <c r="N609" s="155"/>
      <c r="O609" s="144"/>
      <c r="P609" s="159" t="str">
        <f>IFERROR(IF(O609&lt;&gt;"User Specified",IF(O609&lt;&gt;"", INDEX('Refrigerant GWPs'!$G$2:$G$154,MATCH(O609,'Refrigerant GWPs'!$A$2:$A$154,0)),""),U609),0)</f>
        <v/>
      </c>
      <c r="Q609" s="155"/>
      <c r="R609" s="155"/>
      <c r="S609" s="144"/>
      <c r="T609" s="159" t="str">
        <f>IF(S609&lt;&gt;"User Specified",IF(AND(S609&lt;&gt;"User Specified",S609&lt;&gt;""), INDEX('Refrigerant GWPs'!$G$2:$G$154,MATCH(S609,'Refrigerant GWPs'!$A$2:$A$154,0)),""),V609)</f>
        <v/>
      </c>
      <c r="U609" s="144"/>
      <c r="V609" s="144"/>
      <c r="W609" s="155"/>
      <c r="X609" s="155"/>
      <c r="Y609" s="144"/>
      <c r="Z609" s="159" t="str">
        <f>IF(AND(Y609&lt;&gt;"User Specified",Y609&lt;&gt;""), INDEX('Refrigerant GWPs'!$G$2:$G$154,MATCH(Y609,'Refrigerant GWPs'!$A$2:$A$154,0)),"")</f>
        <v/>
      </c>
      <c r="AA609" s="155"/>
      <c r="AB609" s="156"/>
      <c r="AC609" s="66"/>
      <c r="AD609" s="66"/>
      <c r="AE609" s="66"/>
      <c r="AF609" s="66"/>
      <c r="AG609" s="66"/>
      <c r="AH609" s="66"/>
      <c r="AI609" s="34"/>
      <c r="AJ609" s="88">
        <f t="shared" si="718"/>
        <v>0</v>
      </c>
      <c r="AK609" s="88">
        <f t="shared" si="719"/>
        <v>0</v>
      </c>
      <c r="AL609" s="88">
        <v>0</v>
      </c>
      <c r="AM609" s="88">
        <v>0</v>
      </c>
      <c r="AN609" s="81" t="str">
        <f t="shared" si="757"/>
        <v/>
      </c>
      <c r="AO609" s="88">
        <f t="shared" si="720"/>
        <v>0</v>
      </c>
      <c r="AP609" s="88">
        <f t="shared" si="721"/>
        <v>0</v>
      </c>
      <c r="AQ609" s="81" t="str">
        <f t="shared" si="722"/>
        <v/>
      </c>
      <c r="AS609" s="41" t="b">
        <f t="shared" si="723"/>
        <v>1</v>
      </c>
      <c r="AT609" s="38">
        <f t="shared" si="724"/>
        <v>0</v>
      </c>
      <c r="AU609" s="60">
        <f t="shared" si="725"/>
        <v>0</v>
      </c>
      <c r="AV609" s="41">
        <f t="shared" si="726"/>
        <v>0</v>
      </c>
      <c r="AW609" s="41" t="b">
        <f t="shared" si="727"/>
        <v>0</v>
      </c>
      <c r="AX609" t="str">
        <f t="shared" si="728"/>
        <v>+00</v>
      </c>
      <c r="AY609" t="str">
        <f t="shared" si="729"/>
        <v>+00</v>
      </c>
      <c r="BA609" s="47" t="b">
        <f t="shared" si="758"/>
        <v>1</v>
      </c>
      <c r="BB609" s="42" t="b">
        <f t="shared" si="759"/>
        <v>1</v>
      </c>
      <c r="BC609" s="42" t="b">
        <f t="shared" si="760"/>
        <v>0</v>
      </c>
      <c r="BD609" s="42" t="b">
        <f t="shared" si="761"/>
        <v>0</v>
      </c>
      <c r="BE609" s="70">
        <f t="shared" si="762"/>
        <v>0</v>
      </c>
      <c r="BF609" s="70">
        <f t="shared" si="763"/>
        <v>0</v>
      </c>
      <c r="BG609" s="34"/>
      <c r="BI609" s="47" t="b">
        <f t="shared" si="764"/>
        <v>1</v>
      </c>
      <c r="BJ609" s="47" t="b">
        <f t="shared" si="765"/>
        <v>1</v>
      </c>
      <c r="BK609" s="42" t="b">
        <f t="shared" si="766"/>
        <v>0</v>
      </c>
      <c r="BL609" s="42" t="b">
        <f t="shared" si="767"/>
        <v>0</v>
      </c>
      <c r="BM609" s="42">
        <f t="shared" si="768"/>
        <v>0</v>
      </c>
      <c r="BN609" s="42">
        <f t="shared" si="769"/>
        <v>0</v>
      </c>
      <c r="BP609" t="e">
        <f t="shared" si="770"/>
        <v>#N/A</v>
      </c>
      <c r="BQ609" t="e">
        <f t="shared" si="771"/>
        <v>#N/A</v>
      </c>
      <c r="BR609" t="e">
        <f t="shared" si="772"/>
        <v>#N/A</v>
      </c>
      <c r="BT609" s="60">
        <f t="shared" si="773"/>
        <v>0</v>
      </c>
      <c r="BU609" s="60">
        <f t="shared" si="774"/>
        <v>0</v>
      </c>
      <c r="BV609" s="60">
        <f t="shared" si="775"/>
        <v>0</v>
      </c>
      <c r="BW609" s="60">
        <f t="shared" si="776"/>
        <v>0</v>
      </c>
      <c r="BX609" s="60">
        <f t="shared" si="777"/>
        <v>0</v>
      </c>
      <c r="BY609" s="60">
        <f t="shared" si="778"/>
        <v>0</v>
      </c>
      <c r="BZ609" s="60">
        <f t="shared" si="779"/>
        <v>0</v>
      </c>
      <c r="CA609" s="60">
        <f t="shared" si="780"/>
        <v>0</v>
      </c>
      <c r="CB609" s="60" t="e">
        <f t="shared" si="730"/>
        <v>#N/A</v>
      </c>
      <c r="CC609" s="60">
        <f t="shared" si="731"/>
        <v>100000</v>
      </c>
      <c r="CD609" s="60" t="e">
        <f t="shared" si="732"/>
        <v>#N/A</v>
      </c>
      <c r="CE609" s="60">
        <f t="shared" si="733"/>
        <v>100000</v>
      </c>
      <c r="CF609" s="83" t="e">
        <f t="shared" si="781"/>
        <v>#N/A</v>
      </c>
      <c r="CG609" s="83">
        <f t="shared" si="782"/>
        <v>0</v>
      </c>
      <c r="CH609" s="83" t="e">
        <f t="shared" si="783"/>
        <v>#N/A</v>
      </c>
      <c r="CI609" s="83">
        <f t="shared" si="784"/>
        <v>0</v>
      </c>
      <c r="CJ609" s="86" t="e">
        <f t="shared" si="734"/>
        <v>#N/A</v>
      </c>
      <c r="CK609" s="82">
        <f t="shared" si="735"/>
        <v>5.3070370403969858E-3</v>
      </c>
      <c r="CL609" s="82" t="e">
        <f t="shared" si="736"/>
        <v>#N/A</v>
      </c>
      <c r="CM609" s="82">
        <f t="shared" si="737"/>
        <v>5.3070370403969858E-3</v>
      </c>
      <c r="CO609" s="149" t="str">
        <f>IF($I609&lt;&gt;"",IF(O609="User Specified",U609,INDEX('Refrigerant GWPs'!$G$2:$G$156,MATCH(O609,'Refrigerant GWPs'!$A$2:$A$156,0))),"")</f>
        <v/>
      </c>
      <c r="CP609" s="138" t="str">
        <f>IF($I609&lt;&gt;"",INDEX('Device Refrigerant Leakage'!$E$2:$E$42,MATCH($M609,'Device Refrigerant Leakage'!$B$2:$B$42,0)),"")</f>
        <v/>
      </c>
      <c r="CQ609" s="138" t="str">
        <f>IF($I609&lt;&gt;"",INDEX('Device Refrigerant Leakage'!$F$2:$F$42,MATCH($M609,'Device Refrigerant Leakage'!$B$2:$B$42,0)),"")</f>
        <v/>
      </c>
      <c r="CR609" s="145" t="str">
        <f>IF($I609&lt;&gt;"",INDEX('Device Refrigerant Leakage'!$G$2:$G$42,MATCH($M609,'Device Refrigerant Leakage'!$B$2:$B$42,0)),"")</f>
        <v/>
      </c>
      <c r="CS609" s="145" t="str">
        <f>IF($I609&lt;&gt;"",INDEX('Device Refrigerant Leakage'!$D$2:$D$42,MATCH($M609,'Device Refrigerant Leakage'!$B$2:$B$42,0))*CP609/2204.62*CO609,"")</f>
        <v/>
      </c>
      <c r="CT609" s="145" t="str">
        <f>IF($I609&lt;&gt;"",J609*(INDEX('Device Refrigerant Leakage'!$D$2:$D$42,MATCH($M609,'Device Refrigerant Leakage'!$B$2:$B$42,0))-(INDEX('Device Refrigerant Leakage'!$D$2:$D$42,MATCH($M609,'Device Refrigerant Leakage'!$B$2:$B$42,0)))*CR609*CP609)*CQ609/2204.62*CO609,"")</f>
        <v/>
      </c>
      <c r="CU609" s="135" t="str">
        <f>IF($I609&lt;&gt;"",J609*IF(W609&lt;&gt;"AR",(CS609*K609)+CT609,(CS609*AB609)+CT609*(AB609/INDEX('Device Refrigerant Leakage'!$C$2:$C$42,MATCH($M609,'Device Refrigerant Leakage'!$B$2:$B$42,0)))),"")</f>
        <v/>
      </c>
      <c r="CW609" s="135" t="str">
        <f>IF($I609&lt;&gt;"",IF(S609="User Specified",V609,INDEX('Refrigerant GWPs'!$G$2:$G$156,MATCH(S609,'Refrigerant GWPs'!$A$2:$A$157,0))),"")</f>
        <v/>
      </c>
      <c r="CX609" s="138" t="str">
        <f>IF($I609&lt;&gt;"",INDEX('Device Refrigerant Leakage'!$E$2:$E$42,MATCH($Q609,'Device Refrigerant Leakage'!$B$2:$B$42,0)),"")</f>
        <v/>
      </c>
      <c r="CY609" s="138" t="str">
        <f>IF($I609&lt;&gt;"",INDEX('Device Refrigerant Leakage'!$F$2:$F$42,MATCH($Q609,'Device Refrigerant Leakage'!$B$2:$B$42,0)),"")</f>
        <v/>
      </c>
      <c r="CZ609" s="145" t="str">
        <f>IF($I609&lt;&gt;"",INDEX('Device Refrigerant Leakage'!$G$2:$G$42,MATCH($Q609,'Device Refrigerant Leakage'!$B$2:$B$42,0)),"")</f>
        <v/>
      </c>
      <c r="DA609" s="145" t="str">
        <f>IF($I609&lt;&gt;"",J609*INDEX('Device Refrigerant Leakage'!$D$2:$D$42,MATCH($Q609,'Device Refrigerant Leakage'!$B$2:$B$42,0))*CX609/2204.62*CW609,"")</f>
        <v/>
      </c>
      <c r="DB609" s="145" t="str">
        <f>IF($I609&lt;&gt;"",J609*(INDEX('Device Refrigerant Leakage'!$D$2:$D$42,MATCH($Q609,'Device Refrigerant Leakage'!$B$2:$B$42,0))-(INDEX('Device Refrigerant Leakage'!$D$2:$D$42,MATCH($Q609,'Device Refrigerant Leakage'!$B$2:$B$42,0)))*CZ609*CX609)*CY609/2204.62*CW609,"")</f>
        <v/>
      </c>
      <c r="DC609" s="135" t="str">
        <f t="shared" si="756"/>
        <v/>
      </c>
      <c r="DE609" s="146" t="str">
        <f>IF(W609&lt;&gt;"AR","",IF(Y609="User Specified", AA609, INDEX('Refrigerant GWPs'!$G$2:$G$154,MATCH(Y609,'Refrigerant GWPs'!$A$2:$A$154,0))))</f>
        <v/>
      </c>
      <c r="DF609" s="146" t="str">
        <f>IF(W609&lt;&gt;"AR","",INDEX('Device Refrigerant Leakage'!$E$2:$E$42,MATCH(X609,'Device Refrigerant Leakage'!$B$2:$B$42,0)))</f>
        <v/>
      </c>
      <c r="DG609" s="146" t="str">
        <f>IF(W609&lt;&gt;"AR","",INDEX('Device Refrigerant Leakage'!$F$2:$F$42,MATCH(X609,'Device Refrigerant Leakage'!$B$2:$B$42,0)))</f>
        <v/>
      </c>
      <c r="DH609" s="146" t="str">
        <f>IF(W609&lt;&gt;"AR","",INDEX('Device Refrigerant Leakage'!$G$2:$G$42,MATCH(X609,'Device Refrigerant Leakage'!$B$2:$B$42,0)))</f>
        <v/>
      </c>
      <c r="DI609" s="146" t="str">
        <f>IF(W609&lt;&gt;"AR","",J609*INDEX('Device Refrigerant Leakage'!$D$2:$D$42,MATCH(X609,'Device Refrigerant Leakage'!$B$2:$B$42,0))*DF609/2204.62*DE609)</f>
        <v/>
      </c>
      <c r="DJ609" s="146" t="str">
        <f>IF(W609&lt;&gt;"AR","",J609*(INDEX('Device Refrigerant Leakage'!$D$2:$D$42,MATCH(X609,'Device Refrigerant Leakage'!$B$2:$B$42,0))-(INDEX('Device Refrigerant Leakage'!$D$2:$D$42,MATCH(X609,'Device Refrigerant Leakage'!$B$2:$B$42,0)))*DH609*DF609)*DG609/2204.62*DE609)</f>
        <v/>
      </c>
      <c r="DK609" s="146" t="str">
        <f>IF(W609&lt;&gt;"AR","",DI609*(K609-AB609)+'Fuel Sub Calcs-Deemed'!DJ609*((K609-AB609)/INDEX('Device Refrigerant Leakage'!$C$2:$C$42,MATCH('Fuel Sub Calcs-Deemed'!X609,'Device Refrigerant Leakage'!$B$2:$B$42,0))))</f>
        <v/>
      </c>
      <c r="DM609" s="56">
        <v>595</v>
      </c>
      <c r="DN609" s="67" t="e">
        <f t="shared" si="738"/>
        <v>#N/A</v>
      </c>
      <c r="DO609" s="45" t="e">
        <f t="shared" si="739"/>
        <v>#N/A</v>
      </c>
      <c r="DP609" s="67" t="e">
        <f t="shared" si="740"/>
        <v>#N/A</v>
      </c>
      <c r="DQ609" s="45" t="e">
        <f t="shared" si="741"/>
        <v>#N/A</v>
      </c>
      <c r="DR609" s="69" t="e">
        <f t="shared" si="742"/>
        <v>#N/A</v>
      </c>
      <c r="DS609" s="34"/>
      <c r="DT609" s="67" t="e">
        <f>((BX609*CJ609)+IF($W609=MAT_AR,(BZ609*CL609),0))*(1+Reference!$E$50+Reference!$E$51)</f>
        <v>#N/A</v>
      </c>
      <c r="DU609" s="67">
        <f>((BY609*CK609)+IF($W609=MAT_AR,(CA609*CM609),0))*(1+Reference!$G$50+Reference!$G$51)</f>
        <v>0</v>
      </c>
      <c r="DV609" s="67" t="e">
        <f t="shared" si="743"/>
        <v>#VALUE!</v>
      </c>
      <c r="DX609" s="56">
        <v>595</v>
      </c>
      <c r="DY609" s="67">
        <f t="shared" si="744"/>
        <v>0</v>
      </c>
      <c r="DZ609" s="45" t="e">
        <f>VLOOKUP($R609,Dropdown!$C$3:$D$4,2,FALSE)</f>
        <v>#N/A</v>
      </c>
      <c r="EA609" s="68">
        <f t="shared" si="745"/>
        <v>0</v>
      </c>
      <c r="EB609" s="68" t="str">
        <f t="shared" si="746"/>
        <v>N/A</v>
      </c>
      <c r="EC609" s="68">
        <f t="shared" si="747"/>
        <v>0</v>
      </c>
      <c r="ED609" s="68" t="str">
        <f t="shared" si="785"/>
        <v>N/A</v>
      </c>
      <c r="EF609" s="56">
        <v>595</v>
      </c>
      <c r="EG609" s="46">
        <f t="shared" si="748"/>
        <v>0</v>
      </c>
      <c r="EH609" s="68" t="e">
        <f t="shared" si="749"/>
        <v>#N/A</v>
      </c>
      <c r="EI609" s="68" t="e">
        <f t="shared" si="750"/>
        <v>#N/A</v>
      </c>
      <c r="EJ609" s="68" t="e">
        <f t="shared" si="751"/>
        <v>#N/A</v>
      </c>
      <c r="EK609" s="68" t="e">
        <f t="shared" si="752"/>
        <v>#N/A</v>
      </c>
      <c r="EL609" s="46">
        <f t="shared" si="753"/>
        <v>0</v>
      </c>
      <c r="EM609" s="46">
        <f t="shared" si="754"/>
        <v>0</v>
      </c>
    </row>
    <row r="610" spans="1:143">
      <c r="A610" s="89"/>
      <c r="B610" s="89"/>
      <c r="C610" s="89"/>
      <c r="D610" s="89"/>
      <c r="E610" s="89"/>
      <c r="F610" s="89"/>
      <c r="G610" s="34"/>
      <c r="H610" s="56">
        <f t="shared" si="755"/>
        <v>596</v>
      </c>
      <c r="I610" s="165"/>
      <c r="J610" s="163"/>
      <c r="K610" s="163"/>
      <c r="L610" s="164"/>
      <c r="M610" s="155"/>
      <c r="N610" s="155"/>
      <c r="O610" s="144"/>
      <c r="P610" s="159" t="str">
        <f>IFERROR(IF(O610&lt;&gt;"User Specified",IF(O610&lt;&gt;"", INDEX('Refrigerant GWPs'!$G$2:$G$154,MATCH(O610,'Refrigerant GWPs'!$A$2:$A$154,0)),""),U610),0)</f>
        <v/>
      </c>
      <c r="Q610" s="155"/>
      <c r="R610" s="155"/>
      <c r="S610" s="144"/>
      <c r="T610" s="159" t="str">
        <f>IF(S610&lt;&gt;"User Specified",IF(AND(S610&lt;&gt;"User Specified",S610&lt;&gt;""), INDEX('Refrigerant GWPs'!$G$2:$G$154,MATCH(S610,'Refrigerant GWPs'!$A$2:$A$154,0)),""),V610)</f>
        <v/>
      </c>
      <c r="U610" s="144"/>
      <c r="V610" s="144"/>
      <c r="W610" s="155"/>
      <c r="X610" s="155"/>
      <c r="Y610" s="144"/>
      <c r="Z610" s="159" t="str">
        <f>IF(AND(Y610&lt;&gt;"User Specified",Y610&lt;&gt;""), INDEX('Refrigerant GWPs'!$G$2:$G$154,MATCH(Y610,'Refrigerant GWPs'!$A$2:$A$154,0)),"")</f>
        <v/>
      </c>
      <c r="AA610" s="155"/>
      <c r="AB610" s="156"/>
      <c r="AC610" s="66"/>
      <c r="AD610" s="66"/>
      <c r="AE610" s="66"/>
      <c r="AF610" s="66"/>
      <c r="AG610" s="66"/>
      <c r="AH610" s="66"/>
      <c r="AI610" s="34"/>
      <c r="AJ610" s="88">
        <f t="shared" si="718"/>
        <v>0</v>
      </c>
      <c r="AK610" s="88">
        <f t="shared" si="719"/>
        <v>0</v>
      </c>
      <c r="AL610" s="88">
        <v>0</v>
      </c>
      <c r="AM610" s="88">
        <v>0</v>
      </c>
      <c r="AN610" s="81" t="str">
        <f t="shared" si="757"/>
        <v/>
      </c>
      <c r="AO610" s="88">
        <f t="shared" si="720"/>
        <v>0</v>
      </c>
      <c r="AP610" s="88">
        <f t="shared" si="721"/>
        <v>0</v>
      </c>
      <c r="AQ610" s="81" t="str">
        <f t="shared" si="722"/>
        <v/>
      </c>
      <c r="AS610" s="41" t="b">
        <f t="shared" si="723"/>
        <v>1</v>
      </c>
      <c r="AT610" s="38">
        <f t="shared" si="724"/>
        <v>0</v>
      </c>
      <c r="AU610" s="60">
        <f t="shared" si="725"/>
        <v>0</v>
      </c>
      <c r="AV610" s="41">
        <f t="shared" si="726"/>
        <v>0</v>
      </c>
      <c r="AW610" s="41" t="b">
        <f t="shared" si="727"/>
        <v>0</v>
      </c>
      <c r="AX610" t="str">
        <f t="shared" si="728"/>
        <v>+00</v>
      </c>
      <c r="AY610" t="str">
        <f t="shared" si="729"/>
        <v>+00</v>
      </c>
      <c r="BA610" s="47" t="b">
        <f t="shared" si="758"/>
        <v>1</v>
      </c>
      <c r="BB610" s="42" t="b">
        <f t="shared" si="759"/>
        <v>1</v>
      </c>
      <c r="BC610" s="42" t="b">
        <f t="shared" si="760"/>
        <v>0</v>
      </c>
      <c r="BD610" s="42" t="b">
        <f t="shared" si="761"/>
        <v>0</v>
      </c>
      <c r="BE610" s="70">
        <f t="shared" si="762"/>
        <v>0</v>
      </c>
      <c r="BF610" s="70">
        <f t="shared" si="763"/>
        <v>0</v>
      </c>
      <c r="BG610" s="34"/>
      <c r="BI610" s="47" t="b">
        <f t="shared" si="764"/>
        <v>1</v>
      </c>
      <c r="BJ610" s="47" t="b">
        <f t="shared" si="765"/>
        <v>1</v>
      </c>
      <c r="BK610" s="42" t="b">
        <f t="shared" si="766"/>
        <v>0</v>
      </c>
      <c r="BL610" s="42" t="b">
        <f t="shared" si="767"/>
        <v>0</v>
      </c>
      <c r="BM610" s="42">
        <f t="shared" si="768"/>
        <v>0</v>
      </c>
      <c r="BN610" s="42">
        <f t="shared" si="769"/>
        <v>0</v>
      </c>
      <c r="BP610" t="e">
        <f t="shared" si="770"/>
        <v>#N/A</v>
      </c>
      <c r="BQ610" t="e">
        <f t="shared" si="771"/>
        <v>#N/A</v>
      </c>
      <c r="BR610" t="e">
        <f t="shared" si="772"/>
        <v>#N/A</v>
      </c>
      <c r="BT610" s="60">
        <f t="shared" si="773"/>
        <v>0</v>
      </c>
      <c r="BU610" s="60">
        <f t="shared" si="774"/>
        <v>0</v>
      </c>
      <c r="BV610" s="60">
        <f t="shared" si="775"/>
        <v>0</v>
      </c>
      <c r="BW610" s="60">
        <f t="shared" si="776"/>
        <v>0</v>
      </c>
      <c r="BX610" s="60">
        <f t="shared" si="777"/>
        <v>0</v>
      </c>
      <c r="BY610" s="60">
        <f t="shared" si="778"/>
        <v>0</v>
      </c>
      <c r="BZ610" s="60">
        <f t="shared" si="779"/>
        <v>0</v>
      </c>
      <c r="CA610" s="60">
        <f t="shared" si="780"/>
        <v>0</v>
      </c>
      <c r="CB610" s="60" t="e">
        <f t="shared" si="730"/>
        <v>#N/A</v>
      </c>
      <c r="CC610" s="60">
        <f t="shared" si="731"/>
        <v>100000</v>
      </c>
      <c r="CD610" s="60" t="e">
        <f t="shared" si="732"/>
        <v>#N/A</v>
      </c>
      <c r="CE610" s="60">
        <f t="shared" si="733"/>
        <v>100000</v>
      </c>
      <c r="CF610" s="83" t="e">
        <f t="shared" si="781"/>
        <v>#N/A</v>
      </c>
      <c r="CG610" s="83">
        <f t="shared" si="782"/>
        <v>0</v>
      </c>
      <c r="CH610" s="83" t="e">
        <f t="shared" si="783"/>
        <v>#N/A</v>
      </c>
      <c r="CI610" s="83">
        <f t="shared" si="784"/>
        <v>0</v>
      </c>
      <c r="CJ610" s="86" t="e">
        <f t="shared" si="734"/>
        <v>#N/A</v>
      </c>
      <c r="CK610" s="82">
        <f t="shared" si="735"/>
        <v>5.3070370403969858E-3</v>
      </c>
      <c r="CL610" s="82" t="e">
        <f t="shared" si="736"/>
        <v>#N/A</v>
      </c>
      <c r="CM610" s="82">
        <f t="shared" si="737"/>
        <v>5.3070370403969858E-3</v>
      </c>
      <c r="CO610" s="149" t="str">
        <f>IF($I610&lt;&gt;"",IF(O610="User Specified",U610,INDEX('Refrigerant GWPs'!$G$2:$G$156,MATCH(O610,'Refrigerant GWPs'!$A$2:$A$156,0))),"")</f>
        <v/>
      </c>
      <c r="CP610" s="138" t="str">
        <f>IF($I610&lt;&gt;"",INDEX('Device Refrigerant Leakage'!$E$2:$E$42,MATCH($M610,'Device Refrigerant Leakage'!$B$2:$B$42,0)),"")</f>
        <v/>
      </c>
      <c r="CQ610" s="138" t="str">
        <f>IF($I610&lt;&gt;"",INDEX('Device Refrigerant Leakage'!$F$2:$F$42,MATCH($M610,'Device Refrigerant Leakage'!$B$2:$B$42,0)),"")</f>
        <v/>
      </c>
      <c r="CR610" s="145" t="str">
        <f>IF($I610&lt;&gt;"",INDEX('Device Refrigerant Leakage'!$G$2:$G$42,MATCH($M610,'Device Refrigerant Leakage'!$B$2:$B$42,0)),"")</f>
        <v/>
      </c>
      <c r="CS610" s="145" t="str">
        <f>IF($I610&lt;&gt;"",INDEX('Device Refrigerant Leakage'!$D$2:$D$42,MATCH($M610,'Device Refrigerant Leakage'!$B$2:$B$42,0))*CP610/2204.62*CO610,"")</f>
        <v/>
      </c>
      <c r="CT610" s="145" t="str">
        <f>IF($I610&lt;&gt;"",J610*(INDEX('Device Refrigerant Leakage'!$D$2:$D$42,MATCH($M610,'Device Refrigerant Leakage'!$B$2:$B$42,0))-(INDEX('Device Refrigerant Leakage'!$D$2:$D$42,MATCH($M610,'Device Refrigerant Leakage'!$B$2:$B$42,0)))*CR610*CP610)*CQ610/2204.62*CO610,"")</f>
        <v/>
      </c>
      <c r="CU610" s="135" t="str">
        <f>IF($I610&lt;&gt;"",J610*IF(W610&lt;&gt;"AR",(CS610*K610)+CT610,(CS610*AB610)+CT610*(AB610/INDEX('Device Refrigerant Leakage'!$C$2:$C$42,MATCH($M610,'Device Refrigerant Leakage'!$B$2:$B$42,0)))),"")</f>
        <v/>
      </c>
      <c r="CW610" s="135" t="str">
        <f>IF($I610&lt;&gt;"",IF(S610="User Specified",V610,INDEX('Refrigerant GWPs'!$G$2:$G$156,MATCH(S610,'Refrigerant GWPs'!$A$2:$A$157,0))),"")</f>
        <v/>
      </c>
      <c r="CX610" s="138" t="str">
        <f>IF($I610&lt;&gt;"",INDEX('Device Refrigerant Leakage'!$E$2:$E$42,MATCH($Q610,'Device Refrigerant Leakage'!$B$2:$B$42,0)),"")</f>
        <v/>
      </c>
      <c r="CY610" s="138" t="str">
        <f>IF($I610&lt;&gt;"",INDEX('Device Refrigerant Leakage'!$F$2:$F$42,MATCH($Q610,'Device Refrigerant Leakage'!$B$2:$B$42,0)),"")</f>
        <v/>
      </c>
      <c r="CZ610" s="145" t="str">
        <f>IF($I610&lt;&gt;"",INDEX('Device Refrigerant Leakage'!$G$2:$G$42,MATCH($Q610,'Device Refrigerant Leakage'!$B$2:$B$42,0)),"")</f>
        <v/>
      </c>
      <c r="DA610" s="145" t="str">
        <f>IF($I610&lt;&gt;"",J610*INDEX('Device Refrigerant Leakage'!$D$2:$D$42,MATCH($Q610,'Device Refrigerant Leakage'!$B$2:$B$42,0))*CX610/2204.62*CW610,"")</f>
        <v/>
      </c>
      <c r="DB610" s="145" t="str">
        <f>IF($I610&lt;&gt;"",J610*(INDEX('Device Refrigerant Leakage'!$D$2:$D$42,MATCH($Q610,'Device Refrigerant Leakage'!$B$2:$B$42,0))-(INDEX('Device Refrigerant Leakage'!$D$2:$D$42,MATCH($Q610,'Device Refrigerant Leakage'!$B$2:$B$42,0)))*CZ610*CX610)*CY610/2204.62*CW610,"")</f>
        <v/>
      </c>
      <c r="DC610" s="135" t="str">
        <f t="shared" si="756"/>
        <v/>
      </c>
      <c r="DE610" s="146" t="str">
        <f>IF(W610&lt;&gt;"AR","",IF(Y610="User Specified", AA610, INDEX('Refrigerant GWPs'!$G$2:$G$154,MATCH(Y610,'Refrigerant GWPs'!$A$2:$A$154,0))))</f>
        <v/>
      </c>
      <c r="DF610" s="146" t="str">
        <f>IF(W610&lt;&gt;"AR","",INDEX('Device Refrigerant Leakage'!$E$2:$E$42,MATCH(X610,'Device Refrigerant Leakage'!$B$2:$B$42,0)))</f>
        <v/>
      </c>
      <c r="DG610" s="146" t="str">
        <f>IF(W610&lt;&gt;"AR","",INDEX('Device Refrigerant Leakage'!$F$2:$F$42,MATCH(X610,'Device Refrigerant Leakage'!$B$2:$B$42,0)))</f>
        <v/>
      </c>
      <c r="DH610" s="146" t="str">
        <f>IF(W610&lt;&gt;"AR","",INDEX('Device Refrigerant Leakage'!$G$2:$G$42,MATCH(X610,'Device Refrigerant Leakage'!$B$2:$B$42,0)))</f>
        <v/>
      </c>
      <c r="DI610" s="146" t="str">
        <f>IF(W610&lt;&gt;"AR","",J610*INDEX('Device Refrigerant Leakage'!$D$2:$D$42,MATCH(X610,'Device Refrigerant Leakage'!$B$2:$B$42,0))*DF610/2204.62*DE610)</f>
        <v/>
      </c>
      <c r="DJ610" s="146" t="str">
        <f>IF(W610&lt;&gt;"AR","",J610*(INDEX('Device Refrigerant Leakage'!$D$2:$D$42,MATCH(X610,'Device Refrigerant Leakage'!$B$2:$B$42,0))-(INDEX('Device Refrigerant Leakage'!$D$2:$D$42,MATCH(X610,'Device Refrigerant Leakage'!$B$2:$B$42,0)))*DH610*DF610)*DG610/2204.62*DE610)</f>
        <v/>
      </c>
      <c r="DK610" s="146" t="str">
        <f>IF(W610&lt;&gt;"AR","",DI610*(K610-AB610)+'Fuel Sub Calcs-Deemed'!DJ610*((K610-AB610)/INDEX('Device Refrigerant Leakage'!$C$2:$C$42,MATCH('Fuel Sub Calcs-Deemed'!X610,'Device Refrigerant Leakage'!$B$2:$B$42,0))))</f>
        <v/>
      </c>
      <c r="DM610" s="56">
        <v>596</v>
      </c>
      <c r="DN610" s="67" t="e">
        <f t="shared" si="738"/>
        <v>#N/A</v>
      </c>
      <c r="DO610" s="45" t="e">
        <f t="shared" si="739"/>
        <v>#N/A</v>
      </c>
      <c r="DP610" s="67" t="e">
        <f t="shared" si="740"/>
        <v>#N/A</v>
      </c>
      <c r="DQ610" s="45" t="e">
        <f t="shared" si="741"/>
        <v>#N/A</v>
      </c>
      <c r="DR610" s="69" t="e">
        <f t="shared" si="742"/>
        <v>#N/A</v>
      </c>
      <c r="DS610" s="34"/>
      <c r="DT610" s="67" t="e">
        <f>((BX610*CJ610)+IF($W610=MAT_AR,(BZ610*CL610),0))*(1+Reference!$E$50+Reference!$E$51)</f>
        <v>#N/A</v>
      </c>
      <c r="DU610" s="67">
        <f>((BY610*CK610)+IF($W610=MAT_AR,(CA610*CM610),0))*(1+Reference!$G$50+Reference!$G$51)</f>
        <v>0</v>
      </c>
      <c r="DV610" s="67" t="e">
        <f t="shared" si="743"/>
        <v>#VALUE!</v>
      </c>
      <c r="DX610" s="56">
        <v>596</v>
      </c>
      <c r="DY610" s="67">
        <f t="shared" si="744"/>
        <v>0</v>
      </c>
      <c r="DZ610" s="45" t="e">
        <f>VLOOKUP($R610,Dropdown!$C$3:$D$4,2,FALSE)</f>
        <v>#N/A</v>
      </c>
      <c r="EA610" s="68">
        <f t="shared" si="745"/>
        <v>0</v>
      </c>
      <c r="EB610" s="68" t="str">
        <f t="shared" si="746"/>
        <v>N/A</v>
      </c>
      <c r="EC610" s="68">
        <f t="shared" si="747"/>
        <v>0</v>
      </c>
      <c r="ED610" s="68" t="str">
        <f t="shared" si="785"/>
        <v>N/A</v>
      </c>
      <c r="EF610" s="56">
        <v>596</v>
      </c>
      <c r="EG610" s="46">
        <f t="shared" si="748"/>
        <v>0</v>
      </c>
      <c r="EH610" s="68" t="e">
        <f t="shared" si="749"/>
        <v>#N/A</v>
      </c>
      <c r="EI610" s="68" t="e">
        <f t="shared" si="750"/>
        <v>#N/A</v>
      </c>
      <c r="EJ610" s="68" t="e">
        <f t="shared" si="751"/>
        <v>#N/A</v>
      </c>
      <c r="EK610" s="68" t="e">
        <f t="shared" si="752"/>
        <v>#N/A</v>
      </c>
      <c r="EL610" s="46">
        <f t="shared" si="753"/>
        <v>0</v>
      </c>
      <c r="EM610" s="46">
        <f t="shared" si="754"/>
        <v>0</v>
      </c>
    </row>
    <row r="611" spans="1:143">
      <c r="A611" s="89"/>
      <c r="B611" s="89"/>
      <c r="C611" s="89"/>
      <c r="D611" s="89"/>
      <c r="E611" s="89"/>
      <c r="F611" s="89"/>
      <c r="G611" s="34"/>
      <c r="H611" s="56">
        <f t="shared" si="755"/>
        <v>597</v>
      </c>
      <c r="I611" s="165"/>
      <c r="J611" s="163"/>
      <c r="K611" s="163"/>
      <c r="L611" s="164"/>
      <c r="M611" s="155"/>
      <c r="N611" s="155"/>
      <c r="O611" s="144"/>
      <c r="P611" s="159" t="str">
        <f>IFERROR(IF(O611&lt;&gt;"User Specified",IF(O611&lt;&gt;"", INDEX('Refrigerant GWPs'!$G$2:$G$154,MATCH(O611,'Refrigerant GWPs'!$A$2:$A$154,0)),""),U611),0)</f>
        <v/>
      </c>
      <c r="Q611" s="155"/>
      <c r="R611" s="155"/>
      <c r="S611" s="144"/>
      <c r="T611" s="159" t="str">
        <f>IF(S611&lt;&gt;"User Specified",IF(AND(S611&lt;&gt;"User Specified",S611&lt;&gt;""), INDEX('Refrigerant GWPs'!$G$2:$G$154,MATCH(S611,'Refrigerant GWPs'!$A$2:$A$154,0)),""),V611)</f>
        <v/>
      </c>
      <c r="U611" s="144"/>
      <c r="V611" s="144"/>
      <c r="W611" s="155"/>
      <c r="X611" s="155"/>
      <c r="Y611" s="144"/>
      <c r="Z611" s="159" t="str">
        <f>IF(AND(Y611&lt;&gt;"User Specified",Y611&lt;&gt;""), INDEX('Refrigerant GWPs'!$G$2:$G$154,MATCH(Y611,'Refrigerant GWPs'!$A$2:$A$154,0)),"")</f>
        <v/>
      </c>
      <c r="AA611" s="155"/>
      <c r="AB611" s="156"/>
      <c r="AC611" s="66"/>
      <c r="AD611" s="66"/>
      <c r="AE611" s="66"/>
      <c r="AF611" s="66"/>
      <c r="AG611" s="66"/>
      <c r="AH611" s="66"/>
      <c r="AI611" s="34"/>
      <c r="AJ611" s="88">
        <f t="shared" si="718"/>
        <v>0</v>
      </c>
      <c r="AK611" s="88">
        <f t="shared" si="719"/>
        <v>0</v>
      </c>
      <c r="AL611" s="88">
        <v>0</v>
      </c>
      <c r="AM611" s="88">
        <v>0</v>
      </c>
      <c r="AN611" s="81" t="str">
        <f t="shared" si="757"/>
        <v/>
      </c>
      <c r="AO611" s="88">
        <f t="shared" si="720"/>
        <v>0</v>
      </c>
      <c r="AP611" s="88">
        <f t="shared" si="721"/>
        <v>0</v>
      </c>
      <c r="AQ611" s="81" t="str">
        <f t="shared" si="722"/>
        <v/>
      </c>
      <c r="AS611" s="41" t="b">
        <f t="shared" si="723"/>
        <v>1</v>
      </c>
      <c r="AT611" s="38">
        <f t="shared" si="724"/>
        <v>0</v>
      </c>
      <c r="AU611" s="60">
        <f t="shared" si="725"/>
        <v>0</v>
      </c>
      <c r="AV611" s="41">
        <f t="shared" si="726"/>
        <v>0</v>
      </c>
      <c r="AW611" s="41" t="b">
        <f t="shared" si="727"/>
        <v>0</v>
      </c>
      <c r="AX611" t="str">
        <f t="shared" si="728"/>
        <v>+00</v>
      </c>
      <c r="AY611" t="str">
        <f t="shared" si="729"/>
        <v>+00</v>
      </c>
      <c r="BA611" s="47" t="b">
        <f t="shared" si="758"/>
        <v>1</v>
      </c>
      <c r="BB611" s="42" t="b">
        <f t="shared" si="759"/>
        <v>1</v>
      </c>
      <c r="BC611" s="42" t="b">
        <f t="shared" si="760"/>
        <v>0</v>
      </c>
      <c r="BD611" s="42" t="b">
        <f t="shared" si="761"/>
        <v>0</v>
      </c>
      <c r="BE611" s="70">
        <f t="shared" si="762"/>
        <v>0</v>
      </c>
      <c r="BF611" s="70">
        <f t="shared" si="763"/>
        <v>0</v>
      </c>
      <c r="BG611" s="34"/>
      <c r="BI611" s="47" t="b">
        <f t="shared" si="764"/>
        <v>1</v>
      </c>
      <c r="BJ611" s="47" t="b">
        <f t="shared" si="765"/>
        <v>1</v>
      </c>
      <c r="BK611" s="42" t="b">
        <f t="shared" si="766"/>
        <v>0</v>
      </c>
      <c r="BL611" s="42" t="b">
        <f t="shared" si="767"/>
        <v>0</v>
      </c>
      <c r="BM611" s="42">
        <f t="shared" si="768"/>
        <v>0</v>
      </c>
      <c r="BN611" s="42">
        <f t="shared" si="769"/>
        <v>0</v>
      </c>
      <c r="BP611" t="e">
        <f t="shared" si="770"/>
        <v>#N/A</v>
      </c>
      <c r="BQ611" t="e">
        <f t="shared" si="771"/>
        <v>#N/A</v>
      </c>
      <c r="BR611" t="e">
        <f t="shared" si="772"/>
        <v>#N/A</v>
      </c>
      <c r="BT611" s="60">
        <f t="shared" si="773"/>
        <v>0</v>
      </c>
      <c r="BU611" s="60">
        <f t="shared" si="774"/>
        <v>0</v>
      </c>
      <c r="BV611" s="60">
        <f t="shared" si="775"/>
        <v>0</v>
      </c>
      <c r="BW611" s="60">
        <f t="shared" si="776"/>
        <v>0</v>
      </c>
      <c r="BX611" s="60">
        <f t="shared" si="777"/>
        <v>0</v>
      </c>
      <c r="BY611" s="60">
        <f t="shared" si="778"/>
        <v>0</v>
      </c>
      <c r="BZ611" s="60">
        <f t="shared" si="779"/>
        <v>0</v>
      </c>
      <c r="CA611" s="60">
        <f t="shared" si="780"/>
        <v>0</v>
      </c>
      <c r="CB611" s="60" t="e">
        <f t="shared" si="730"/>
        <v>#N/A</v>
      </c>
      <c r="CC611" s="60">
        <f t="shared" si="731"/>
        <v>100000</v>
      </c>
      <c r="CD611" s="60" t="e">
        <f t="shared" si="732"/>
        <v>#N/A</v>
      </c>
      <c r="CE611" s="60">
        <f t="shared" si="733"/>
        <v>100000</v>
      </c>
      <c r="CF611" s="83" t="e">
        <f t="shared" si="781"/>
        <v>#N/A</v>
      </c>
      <c r="CG611" s="83">
        <f t="shared" si="782"/>
        <v>0</v>
      </c>
      <c r="CH611" s="83" t="e">
        <f t="shared" si="783"/>
        <v>#N/A</v>
      </c>
      <c r="CI611" s="83">
        <f t="shared" si="784"/>
        <v>0</v>
      </c>
      <c r="CJ611" s="86" t="e">
        <f t="shared" si="734"/>
        <v>#N/A</v>
      </c>
      <c r="CK611" s="82">
        <f t="shared" si="735"/>
        <v>5.3070370403969858E-3</v>
      </c>
      <c r="CL611" s="82" t="e">
        <f t="shared" si="736"/>
        <v>#N/A</v>
      </c>
      <c r="CM611" s="82">
        <f t="shared" si="737"/>
        <v>5.3070370403969858E-3</v>
      </c>
      <c r="CO611" s="149" t="str">
        <f>IF($I611&lt;&gt;"",IF(O611="User Specified",U611,INDEX('Refrigerant GWPs'!$G$2:$G$156,MATCH(O611,'Refrigerant GWPs'!$A$2:$A$156,0))),"")</f>
        <v/>
      </c>
      <c r="CP611" s="138" t="str">
        <f>IF($I611&lt;&gt;"",INDEX('Device Refrigerant Leakage'!$E$2:$E$42,MATCH($M611,'Device Refrigerant Leakage'!$B$2:$B$42,0)),"")</f>
        <v/>
      </c>
      <c r="CQ611" s="138" t="str">
        <f>IF($I611&lt;&gt;"",INDEX('Device Refrigerant Leakage'!$F$2:$F$42,MATCH($M611,'Device Refrigerant Leakage'!$B$2:$B$42,0)),"")</f>
        <v/>
      </c>
      <c r="CR611" s="145" t="str">
        <f>IF($I611&lt;&gt;"",INDEX('Device Refrigerant Leakage'!$G$2:$G$42,MATCH($M611,'Device Refrigerant Leakage'!$B$2:$B$42,0)),"")</f>
        <v/>
      </c>
      <c r="CS611" s="145" t="str">
        <f>IF($I611&lt;&gt;"",INDEX('Device Refrigerant Leakage'!$D$2:$D$42,MATCH($M611,'Device Refrigerant Leakage'!$B$2:$B$42,0))*CP611/2204.62*CO611,"")</f>
        <v/>
      </c>
      <c r="CT611" s="145" t="str">
        <f>IF($I611&lt;&gt;"",J611*(INDEX('Device Refrigerant Leakage'!$D$2:$D$42,MATCH($M611,'Device Refrigerant Leakage'!$B$2:$B$42,0))-(INDEX('Device Refrigerant Leakage'!$D$2:$D$42,MATCH($M611,'Device Refrigerant Leakage'!$B$2:$B$42,0)))*CR611*CP611)*CQ611/2204.62*CO611,"")</f>
        <v/>
      </c>
      <c r="CU611" s="135" t="str">
        <f>IF($I611&lt;&gt;"",J611*IF(W611&lt;&gt;"AR",(CS611*K611)+CT611,(CS611*AB611)+CT611*(AB611/INDEX('Device Refrigerant Leakage'!$C$2:$C$42,MATCH($M611,'Device Refrigerant Leakage'!$B$2:$B$42,0)))),"")</f>
        <v/>
      </c>
      <c r="CW611" s="135" t="str">
        <f>IF($I611&lt;&gt;"",IF(S611="User Specified",V611,INDEX('Refrigerant GWPs'!$G$2:$G$156,MATCH(S611,'Refrigerant GWPs'!$A$2:$A$157,0))),"")</f>
        <v/>
      </c>
      <c r="CX611" s="138" t="str">
        <f>IF($I611&lt;&gt;"",INDEX('Device Refrigerant Leakage'!$E$2:$E$42,MATCH($Q611,'Device Refrigerant Leakage'!$B$2:$B$42,0)),"")</f>
        <v/>
      </c>
      <c r="CY611" s="138" t="str">
        <f>IF($I611&lt;&gt;"",INDEX('Device Refrigerant Leakage'!$F$2:$F$42,MATCH($Q611,'Device Refrigerant Leakage'!$B$2:$B$42,0)),"")</f>
        <v/>
      </c>
      <c r="CZ611" s="145" t="str">
        <f>IF($I611&lt;&gt;"",INDEX('Device Refrigerant Leakage'!$G$2:$G$42,MATCH($Q611,'Device Refrigerant Leakage'!$B$2:$B$42,0)),"")</f>
        <v/>
      </c>
      <c r="DA611" s="145" t="str">
        <f>IF($I611&lt;&gt;"",J611*INDEX('Device Refrigerant Leakage'!$D$2:$D$42,MATCH($Q611,'Device Refrigerant Leakage'!$B$2:$B$42,0))*CX611/2204.62*CW611,"")</f>
        <v/>
      </c>
      <c r="DB611" s="145" t="str">
        <f>IF($I611&lt;&gt;"",J611*(INDEX('Device Refrigerant Leakage'!$D$2:$D$42,MATCH($Q611,'Device Refrigerant Leakage'!$B$2:$B$42,0))-(INDEX('Device Refrigerant Leakage'!$D$2:$D$42,MATCH($Q611,'Device Refrigerant Leakage'!$B$2:$B$42,0)))*CZ611*CX611)*CY611/2204.62*CW611,"")</f>
        <v/>
      </c>
      <c r="DC611" s="135" t="str">
        <f t="shared" si="756"/>
        <v/>
      </c>
      <c r="DE611" s="146" t="str">
        <f>IF(W611&lt;&gt;"AR","",IF(Y611="User Specified", AA611, INDEX('Refrigerant GWPs'!$G$2:$G$154,MATCH(Y611,'Refrigerant GWPs'!$A$2:$A$154,0))))</f>
        <v/>
      </c>
      <c r="DF611" s="146" t="str">
        <f>IF(W611&lt;&gt;"AR","",INDEX('Device Refrigerant Leakage'!$E$2:$E$42,MATCH(X611,'Device Refrigerant Leakage'!$B$2:$B$42,0)))</f>
        <v/>
      </c>
      <c r="DG611" s="146" t="str">
        <f>IF(W611&lt;&gt;"AR","",INDEX('Device Refrigerant Leakage'!$F$2:$F$42,MATCH(X611,'Device Refrigerant Leakage'!$B$2:$B$42,0)))</f>
        <v/>
      </c>
      <c r="DH611" s="146" t="str">
        <f>IF(W611&lt;&gt;"AR","",INDEX('Device Refrigerant Leakage'!$G$2:$G$42,MATCH(X611,'Device Refrigerant Leakage'!$B$2:$B$42,0)))</f>
        <v/>
      </c>
      <c r="DI611" s="146" t="str">
        <f>IF(W611&lt;&gt;"AR","",J611*INDEX('Device Refrigerant Leakage'!$D$2:$D$42,MATCH(X611,'Device Refrigerant Leakage'!$B$2:$B$42,0))*DF611/2204.62*DE611)</f>
        <v/>
      </c>
      <c r="DJ611" s="146" t="str">
        <f>IF(W611&lt;&gt;"AR","",J611*(INDEX('Device Refrigerant Leakage'!$D$2:$D$42,MATCH(X611,'Device Refrigerant Leakage'!$B$2:$B$42,0))-(INDEX('Device Refrigerant Leakage'!$D$2:$D$42,MATCH(X611,'Device Refrigerant Leakage'!$B$2:$B$42,0)))*DH611*DF611)*DG611/2204.62*DE611)</f>
        <v/>
      </c>
      <c r="DK611" s="146" t="str">
        <f>IF(W611&lt;&gt;"AR","",DI611*(K611-AB611)+'Fuel Sub Calcs-Deemed'!DJ611*((K611-AB611)/INDEX('Device Refrigerant Leakage'!$C$2:$C$42,MATCH('Fuel Sub Calcs-Deemed'!X611,'Device Refrigerant Leakage'!$B$2:$B$42,0))))</f>
        <v/>
      </c>
      <c r="DM611" s="56">
        <v>597</v>
      </c>
      <c r="DN611" s="67" t="e">
        <f t="shared" si="738"/>
        <v>#N/A</v>
      </c>
      <c r="DO611" s="45" t="e">
        <f t="shared" si="739"/>
        <v>#N/A</v>
      </c>
      <c r="DP611" s="67" t="e">
        <f t="shared" si="740"/>
        <v>#N/A</v>
      </c>
      <c r="DQ611" s="45" t="e">
        <f t="shared" si="741"/>
        <v>#N/A</v>
      </c>
      <c r="DR611" s="69" t="e">
        <f t="shared" si="742"/>
        <v>#N/A</v>
      </c>
      <c r="DS611" s="34"/>
      <c r="DT611" s="67" t="e">
        <f>((BX611*CJ611)+IF($W611=MAT_AR,(BZ611*CL611),0))*(1+Reference!$E$50+Reference!$E$51)</f>
        <v>#N/A</v>
      </c>
      <c r="DU611" s="67">
        <f>((BY611*CK611)+IF($W611=MAT_AR,(CA611*CM611),0))*(1+Reference!$G$50+Reference!$G$51)</f>
        <v>0</v>
      </c>
      <c r="DV611" s="67" t="e">
        <f t="shared" si="743"/>
        <v>#VALUE!</v>
      </c>
      <c r="DX611" s="56">
        <v>597</v>
      </c>
      <c r="DY611" s="67">
        <f t="shared" si="744"/>
        <v>0</v>
      </c>
      <c r="DZ611" s="45" t="e">
        <f>VLOOKUP($R611,Dropdown!$C$3:$D$4,2,FALSE)</f>
        <v>#N/A</v>
      </c>
      <c r="EA611" s="68">
        <f t="shared" si="745"/>
        <v>0</v>
      </c>
      <c r="EB611" s="68" t="str">
        <f t="shared" si="746"/>
        <v>N/A</v>
      </c>
      <c r="EC611" s="68">
        <f t="shared" si="747"/>
        <v>0</v>
      </c>
      <c r="ED611" s="68" t="str">
        <f t="shared" si="785"/>
        <v>N/A</v>
      </c>
      <c r="EF611" s="56">
        <v>597</v>
      </c>
      <c r="EG611" s="46">
        <f t="shared" si="748"/>
        <v>0</v>
      </c>
      <c r="EH611" s="68" t="e">
        <f t="shared" si="749"/>
        <v>#N/A</v>
      </c>
      <c r="EI611" s="68" t="e">
        <f t="shared" si="750"/>
        <v>#N/A</v>
      </c>
      <c r="EJ611" s="68" t="e">
        <f t="shared" si="751"/>
        <v>#N/A</v>
      </c>
      <c r="EK611" s="68" t="e">
        <f t="shared" si="752"/>
        <v>#N/A</v>
      </c>
      <c r="EL611" s="46">
        <f t="shared" si="753"/>
        <v>0</v>
      </c>
      <c r="EM611" s="46">
        <f t="shared" si="754"/>
        <v>0</v>
      </c>
    </row>
    <row r="612" spans="1:143">
      <c r="A612" s="89"/>
      <c r="B612" s="89"/>
      <c r="C612" s="89"/>
      <c r="D612" s="89"/>
      <c r="E612" s="89"/>
      <c r="F612" s="89"/>
      <c r="G612" s="34"/>
      <c r="H612" s="56">
        <f t="shared" si="755"/>
        <v>598</v>
      </c>
      <c r="I612" s="165"/>
      <c r="J612" s="163"/>
      <c r="K612" s="163"/>
      <c r="L612" s="164"/>
      <c r="M612" s="155"/>
      <c r="N612" s="155"/>
      <c r="O612" s="144"/>
      <c r="P612" s="159" t="str">
        <f>IFERROR(IF(O612&lt;&gt;"User Specified",IF(O612&lt;&gt;"", INDEX('Refrigerant GWPs'!$G$2:$G$154,MATCH(O612,'Refrigerant GWPs'!$A$2:$A$154,0)),""),U612),0)</f>
        <v/>
      </c>
      <c r="Q612" s="155"/>
      <c r="R612" s="155"/>
      <c r="S612" s="144"/>
      <c r="T612" s="159" t="str">
        <f>IF(S612&lt;&gt;"User Specified",IF(AND(S612&lt;&gt;"User Specified",S612&lt;&gt;""), INDEX('Refrigerant GWPs'!$G$2:$G$154,MATCH(S612,'Refrigerant GWPs'!$A$2:$A$154,0)),""),V612)</f>
        <v/>
      </c>
      <c r="U612" s="144"/>
      <c r="V612" s="144"/>
      <c r="W612" s="155"/>
      <c r="X612" s="155"/>
      <c r="Y612" s="144"/>
      <c r="Z612" s="159" t="str">
        <f>IF(AND(Y612&lt;&gt;"User Specified",Y612&lt;&gt;""), INDEX('Refrigerant GWPs'!$G$2:$G$154,MATCH(Y612,'Refrigerant GWPs'!$A$2:$A$154,0)),"")</f>
        <v/>
      </c>
      <c r="AA612" s="155"/>
      <c r="AB612" s="156"/>
      <c r="AC612" s="66"/>
      <c r="AD612" s="66"/>
      <c r="AE612" s="66"/>
      <c r="AF612" s="66"/>
      <c r="AG612" s="66"/>
      <c r="AH612" s="66"/>
      <c r="AI612" s="34"/>
      <c r="AJ612" s="88">
        <f t="shared" si="718"/>
        <v>0</v>
      </c>
      <c r="AK612" s="88">
        <f t="shared" si="719"/>
        <v>0</v>
      </c>
      <c r="AL612" s="88">
        <v>0</v>
      </c>
      <c r="AM612" s="88">
        <v>0</v>
      </c>
      <c r="AN612" s="81" t="str">
        <f t="shared" si="757"/>
        <v/>
      </c>
      <c r="AO612" s="88">
        <f t="shared" si="720"/>
        <v>0</v>
      </c>
      <c r="AP612" s="88">
        <f t="shared" si="721"/>
        <v>0</v>
      </c>
      <c r="AQ612" s="81" t="str">
        <f t="shared" si="722"/>
        <v/>
      </c>
      <c r="AS612" s="41" t="b">
        <f t="shared" si="723"/>
        <v>1</v>
      </c>
      <c r="AT612" s="38">
        <f t="shared" si="724"/>
        <v>0</v>
      </c>
      <c r="AU612" s="60">
        <f t="shared" si="725"/>
        <v>0</v>
      </c>
      <c r="AV612" s="41">
        <f t="shared" si="726"/>
        <v>0</v>
      </c>
      <c r="AW612" s="41" t="b">
        <f t="shared" si="727"/>
        <v>0</v>
      </c>
      <c r="AX612" t="str">
        <f t="shared" si="728"/>
        <v>+00</v>
      </c>
      <c r="AY612" t="str">
        <f t="shared" si="729"/>
        <v>+00</v>
      </c>
      <c r="BA612" s="47" t="b">
        <f t="shared" si="758"/>
        <v>1</v>
      </c>
      <c r="BB612" s="42" t="b">
        <f t="shared" si="759"/>
        <v>1</v>
      </c>
      <c r="BC612" s="42" t="b">
        <f t="shared" si="760"/>
        <v>0</v>
      </c>
      <c r="BD612" s="42" t="b">
        <f t="shared" si="761"/>
        <v>0</v>
      </c>
      <c r="BE612" s="70">
        <f t="shared" si="762"/>
        <v>0</v>
      </c>
      <c r="BF612" s="70">
        <f t="shared" si="763"/>
        <v>0</v>
      </c>
      <c r="BG612" s="34"/>
      <c r="BI612" s="47" t="b">
        <f t="shared" si="764"/>
        <v>1</v>
      </c>
      <c r="BJ612" s="47" t="b">
        <f t="shared" si="765"/>
        <v>1</v>
      </c>
      <c r="BK612" s="42" t="b">
        <f t="shared" si="766"/>
        <v>0</v>
      </c>
      <c r="BL612" s="42" t="b">
        <f t="shared" si="767"/>
        <v>0</v>
      </c>
      <c r="BM612" s="42">
        <f t="shared" si="768"/>
        <v>0</v>
      </c>
      <c r="BN612" s="42">
        <f t="shared" si="769"/>
        <v>0</v>
      </c>
      <c r="BP612" t="e">
        <f t="shared" si="770"/>
        <v>#N/A</v>
      </c>
      <c r="BQ612" t="e">
        <f t="shared" si="771"/>
        <v>#N/A</v>
      </c>
      <c r="BR612" t="e">
        <f t="shared" si="772"/>
        <v>#N/A</v>
      </c>
      <c r="BT612" s="60">
        <f t="shared" si="773"/>
        <v>0</v>
      </c>
      <c r="BU612" s="60">
        <f t="shared" si="774"/>
        <v>0</v>
      </c>
      <c r="BV612" s="60">
        <f t="shared" si="775"/>
        <v>0</v>
      </c>
      <c r="BW612" s="60">
        <f t="shared" si="776"/>
        <v>0</v>
      </c>
      <c r="BX612" s="60">
        <f t="shared" si="777"/>
        <v>0</v>
      </c>
      <c r="BY612" s="60">
        <f t="shared" si="778"/>
        <v>0</v>
      </c>
      <c r="BZ612" s="60">
        <f t="shared" si="779"/>
        <v>0</v>
      </c>
      <c r="CA612" s="60">
        <f t="shared" si="780"/>
        <v>0</v>
      </c>
      <c r="CB612" s="60" t="e">
        <f t="shared" si="730"/>
        <v>#N/A</v>
      </c>
      <c r="CC612" s="60">
        <f t="shared" si="731"/>
        <v>100000</v>
      </c>
      <c r="CD612" s="60" t="e">
        <f t="shared" si="732"/>
        <v>#N/A</v>
      </c>
      <c r="CE612" s="60">
        <f t="shared" si="733"/>
        <v>100000</v>
      </c>
      <c r="CF612" s="83" t="e">
        <f t="shared" si="781"/>
        <v>#N/A</v>
      </c>
      <c r="CG612" s="83">
        <f t="shared" si="782"/>
        <v>0</v>
      </c>
      <c r="CH612" s="83" t="e">
        <f t="shared" si="783"/>
        <v>#N/A</v>
      </c>
      <c r="CI612" s="83">
        <f t="shared" si="784"/>
        <v>0</v>
      </c>
      <c r="CJ612" s="86" t="e">
        <f t="shared" si="734"/>
        <v>#N/A</v>
      </c>
      <c r="CK612" s="82">
        <f t="shared" si="735"/>
        <v>5.3070370403969858E-3</v>
      </c>
      <c r="CL612" s="82" t="e">
        <f t="shared" si="736"/>
        <v>#N/A</v>
      </c>
      <c r="CM612" s="82">
        <f t="shared" si="737"/>
        <v>5.3070370403969858E-3</v>
      </c>
      <c r="CO612" s="149" t="str">
        <f>IF($I612&lt;&gt;"",IF(O612="User Specified",U612,INDEX('Refrigerant GWPs'!$G$2:$G$156,MATCH(O612,'Refrigerant GWPs'!$A$2:$A$156,0))),"")</f>
        <v/>
      </c>
      <c r="CP612" s="138" t="str">
        <f>IF($I612&lt;&gt;"",INDEX('Device Refrigerant Leakage'!$E$2:$E$42,MATCH($M612,'Device Refrigerant Leakage'!$B$2:$B$42,0)),"")</f>
        <v/>
      </c>
      <c r="CQ612" s="138" t="str">
        <f>IF($I612&lt;&gt;"",INDEX('Device Refrigerant Leakage'!$F$2:$F$42,MATCH($M612,'Device Refrigerant Leakage'!$B$2:$B$42,0)),"")</f>
        <v/>
      </c>
      <c r="CR612" s="145" t="str">
        <f>IF($I612&lt;&gt;"",INDEX('Device Refrigerant Leakage'!$G$2:$G$42,MATCH($M612,'Device Refrigerant Leakage'!$B$2:$B$42,0)),"")</f>
        <v/>
      </c>
      <c r="CS612" s="145" t="str">
        <f>IF($I612&lt;&gt;"",INDEX('Device Refrigerant Leakage'!$D$2:$D$42,MATCH($M612,'Device Refrigerant Leakage'!$B$2:$B$42,0))*CP612/2204.62*CO612,"")</f>
        <v/>
      </c>
      <c r="CT612" s="145" t="str">
        <f>IF($I612&lt;&gt;"",J612*(INDEX('Device Refrigerant Leakage'!$D$2:$D$42,MATCH($M612,'Device Refrigerant Leakage'!$B$2:$B$42,0))-(INDEX('Device Refrigerant Leakage'!$D$2:$D$42,MATCH($M612,'Device Refrigerant Leakage'!$B$2:$B$42,0)))*CR612*CP612)*CQ612/2204.62*CO612,"")</f>
        <v/>
      </c>
      <c r="CU612" s="135" t="str">
        <f>IF($I612&lt;&gt;"",J612*IF(W612&lt;&gt;"AR",(CS612*K612)+CT612,(CS612*AB612)+CT612*(AB612/INDEX('Device Refrigerant Leakage'!$C$2:$C$42,MATCH($M612,'Device Refrigerant Leakage'!$B$2:$B$42,0)))),"")</f>
        <v/>
      </c>
      <c r="CW612" s="135" t="str">
        <f>IF($I612&lt;&gt;"",IF(S612="User Specified",V612,INDEX('Refrigerant GWPs'!$G$2:$G$156,MATCH(S612,'Refrigerant GWPs'!$A$2:$A$157,0))),"")</f>
        <v/>
      </c>
      <c r="CX612" s="138" t="str">
        <f>IF($I612&lt;&gt;"",INDEX('Device Refrigerant Leakage'!$E$2:$E$42,MATCH($Q612,'Device Refrigerant Leakage'!$B$2:$B$42,0)),"")</f>
        <v/>
      </c>
      <c r="CY612" s="138" t="str">
        <f>IF($I612&lt;&gt;"",INDEX('Device Refrigerant Leakage'!$F$2:$F$42,MATCH($Q612,'Device Refrigerant Leakage'!$B$2:$B$42,0)),"")</f>
        <v/>
      </c>
      <c r="CZ612" s="145" t="str">
        <f>IF($I612&lt;&gt;"",INDEX('Device Refrigerant Leakage'!$G$2:$G$42,MATCH($Q612,'Device Refrigerant Leakage'!$B$2:$B$42,0)),"")</f>
        <v/>
      </c>
      <c r="DA612" s="145" t="str">
        <f>IF($I612&lt;&gt;"",J612*INDEX('Device Refrigerant Leakage'!$D$2:$D$42,MATCH($Q612,'Device Refrigerant Leakage'!$B$2:$B$42,0))*CX612/2204.62*CW612,"")</f>
        <v/>
      </c>
      <c r="DB612" s="145" t="str">
        <f>IF($I612&lt;&gt;"",J612*(INDEX('Device Refrigerant Leakage'!$D$2:$D$42,MATCH($Q612,'Device Refrigerant Leakage'!$B$2:$B$42,0))-(INDEX('Device Refrigerant Leakage'!$D$2:$D$42,MATCH($Q612,'Device Refrigerant Leakage'!$B$2:$B$42,0)))*CZ612*CX612)*CY612/2204.62*CW612,"")</f>
        <v/>
      </c>
      <c r="DC612" s="135" t="str">
        <f t="shared" si="756"/>
        <v/>
      </c>
      <c r="DE612" s="146" t="str">
        <f>IF(W612&lt;&gt;"AR","",IF(Y612="User Specified", AA612, INDEX('Refrigerant GWPs'!$G$2:$G$154,MATCH(Y612,'Refrigerant GWPs'!$A$2:$A$154,0))))</f>
        <v/>
      </c>
      <c r="DF612" s="146" t="str">
        <f>IF(W612&lt;&gt;"AR","",INDEX('Device Refrigerant Leakage'!$E$2:$E$42,MATCH(X612,'Device Refrigerant Leakage'!$B$2:$B$42,0)))</f>
        <v/>
      </c>
      <c r="DG612" s="146" t="str">
        <f>IF(W612&lt;&gt;"AR","",INDEX('Device Refrigerant Leakage'!$F$2:$F$42,MATCH(X612,'Device Refrigerant Leakage'!$B$2:$B$42,0)))</f>
        <v/>
      </c>
      <c r="DH612" s="146" t="str">
        <f>IF(W612&lt;&gt;"AR","",INDEX('Device Refrigerant Leakage'!$G$2:$G$42,MATCH(X612,'Device Refrigerant Leakage'!$B$2:$B$42,0)))</f>
        <v/>
      </c>
      <c r="DI612" s="146" t="str">
        <f>IF(W612&lt;&gt;"AR","",J612*INDEX('Device Refrigerant Leakage'!$D$2:$D$42,MATCH(X612,'Device Refrigerant Leakage'!$B$2:$B$42,0))*DF612/2204.62*DE612)</f>
        <v/>
      </c>
      <c r="DJ612" s="146" t="str">
        <f>IF(W612&lt;&gt;"AR","",J612*(INDEX('Device Refrigerant Leakage'!$D$2:$D$42,MATCH(X612,'Device Refrigerant Leakage'!$B$2:$B$42,0))-(INDEX('Device Refrigerant Leakage'!$D$2:$D$42,MATCH(X612,'Device Refrigerant Leakage'!$B$2:$B$42,0)))*DH612*DF612)*DG612/2204.62*DE612)</f>
        <v/>
      </c>
      <c r="DK612" s="146" t="str">
        <f>IF(W612&lt;&gt;"AR","",DI612*(K612-AB612)+'Fuel Sub Calcs-Deemed'!DJ612*((K612-AB612)/INDEX('Device Refrigerant Leakage'!$C$2:$C$42,MATCH('Fuel Sub Calcs-Deemed'!X612,'Device Refrigerant Leakage'!$B$2:$B$42,0))))</f>
        <v/>
      </c>
      <c r="DM612" s="56">
        <v>598</v>
      </c>
      <c r="DN612" s="67" t="e">
        <f t="shared" si="738"/>
        <v>#N/A</v>
      </c>
      <c r="DO612" s="45" t="e">
        <f t="shared" si="739"/>
        <v>#N/A</v>
      </c>
      <c r="DP612" s="67" t="e">
        <f t="shared" si="740"/>
        <v>#N/A</v>
      </c>
      <c r="DQ612" s="45" t="e">
        <f t="shared" si="741"/>
        <v>#N/A</v>
      </c>
      <c r="DR612" s="69" t="e">
        <f t="shared" si="742"/>
        <v>#N/A</v>
      </c>
      <c r="DS612" s="34"/>
      <c r="DT612" s="67" t="e">
        <f>((BX612*CJ612)+IF($W612=MAT_AR,(BZ612*CL612),0))*(1+Reference!$E$50+Reference!$E$51)</f>
        <v>#N/A</v>
      </c>
      <c r="DU612" s="67">
        <f>((BY612*CK612)+IF($W612=MAT_AR,(CA612*CM612),0))*(1+Reference!$G$50+Reference!$G$51)</f>
        <v>0</v>
      </c>
      <c r="DV612" s="67" t="e">
        <f t="shared" si="743"/>
        <v>#VALUE!</v>
      </c>
      <c r="DX612" s="56">
        <v>598</v>
      </c>
      <c r="DY612" s="67">
        <f t="shared" si="744"/>
        <v>0</v>
      </c>
      <c r="DZ612" s="45" t="e">
        <f>VLOOKUP($R612,Dropdown!$C$3:$D$4,2,FALSE)</f>
        <v>#N/A</v>
      </c>
      <c r="EA612" s="68">
        <f t="shared" si="745"/>
        <v>0</v>
      </c>
      <c r="EB612" s="68" t="str">
        <f t="shared" si="746"/>
        <v>N/A</v>
      </c>
      <c r="EC612" s="68">
        <f t="shared" si="747"/>
        <v>0</v>
      </c>
      <c r="ED612" s="68" t="str">
        <f t="shared" si="785"/>
        <v>N/A</v>
      </c>
      <c r="EF612" s="56">
        <v>598</v>
      </c>
      <c r="EG612" s="46">
        <f t="shared" si="748"/>
        <v>0</v>
      </c>
      <c r="EH612" s="68" t="e">
        <f t="shared" si="749"/>
        <v>#N/A</v>
      </c>
      <c r="EI612" s="68" t="e">
        <f t="shared" si="750"/>
        <v>#N/A</v>
      </c>
      <c r="EJ612" s="68" t="e">
        <f t="shared" si="751"/>
        <v>#N/A</v>
      </c>
      <c r="EK612" s="68" t="e">
        <f t="shared" si="752"/>
        <v>#N/A</v>
      </c>
      <c r="EL612" s="46">
        <f t="shared" si="753"/>
        <v>0</v>
      </c>
      <c r="EM612" s="46">
        <f t="shared" si="754"/>
        <v>0</v>
      </c>
    </row>
    <row r="613" spans="1:143">
      <c r="A613" s="89"/>
      <c r="B613" s="89"/>
      <c r="C613" s="89"/>
      <c r="D613" s="89"/>
      <c r="E613" s="89"/>
      <c r="F613" s="89"/>
      <c r="G613" s="34"/>
      <c r="H613" s="56">
        <f t="shared" si="755"/>
        <v>599</v>
      </c>
      <c r="I613" s="165"/>
      <c r="J613" s="163"/>
      <c r="K613" s="163"/>
      <c r="L613" s="164"/>
      <c r="M613" s="155"/>
      <c r="N613" s="155"/>
      <c r="O613" s="144"/>
      <c r="P613" s="159" t="str">
        <f>IFERROR(IF(O613&lt;&gt;"User Specified",IF(O613&lt;&gt;"", INDEX('Refrigerant GWPs'!$G$2:$G$154,MATCH(O613,'Refrigerant GWPs'!$A$2:$A$154,0)),""),U613),0)</f>
        <v/>
      </c>
      <c r="Q613" s="155"/>
      <c r="R613" s="155"/>
      <c r="S613" s="144"/>
      <c r="T613" s="159" t="str">
        <f>IF(S613&lt;&gt;"User Specified",IF(AND(S613&lt;&gt;"User Specified",S613&lt;&gt;""), INDEX('Refrigerant GWPs'!$G$2:$G$154,MATCH(S613,'Refrigerant GWPs'!$A$2:$A$154,0)),""),V613)</f>
        <v/>
      </c>
      <c r="U613" s="144"/>
      <c r="V613" s="144"/>
      <c r="W613" s="155"/>
      <c r="X613" s="155"/>
      <c r="Y613" s="144"/>
      <c r="Z613" s="159" t="str">
        <f>IF(AND(Y613&lt;&gt;"User Specified",Y613&lt;&gt;""), INDEX('Refrigerant GWPs'!$G$2:$G$154,MATCH(Y613,'Refrigerant GWPs'!$A$2:$A$154,0)),"")</f>
        <v/>
      </c>
      <c r="AA613" s="155"/>
      <c r="AB613" s="156"/>
      <c r="AC613" s="66"/>
      <c r="AD613" s="66"/>
      <c r="AE613" s="66"/>
      <c r="AF613" s="66"/>
      <c r="AG613" s="66"/>
      <c r="AH613" s="66"/>
      <c r="AI613" s="34"/>
      <c r="AJ613" s="88">
        <f t="shared" si="718"/>
        <v>0</v>
      </c>
      <c r="AK613" s="88">
        <f t="shared" si="719"/>
        <v>0</v>
      </c>
      <c r="AL613" s="88">
        <v>0</v>
      </c>
      <c r="AM613" s="88">
        <v>0</v>
      </c>
      <c r="AN613" s="81" t="str">
        <f t="shared" si="757"/>
        <v/>
      </c>
      <c r="AO613" s="88">
        <f t="shared" si="720"/>
        <v>0</v>
      </c>
      <c r="AP613" s="88">
        <f t="shared" si="721"/>
        <v>0</v>
      </c>
      <c r="AQ613" s="81" t="str">
        <f t="shared" si="722"/>
        <v/>
      </c>
      <c r="AS613" s="41" t="b">
        <f t="shared" si="723"/>
        <v>1</v>
      </c>
      <c r="AT613" s="38">
        <f t="shared" si="724"/>
        <v>0</v>
      </c>
      <c r="AU613" s="60">
        <f t="shared" si="725"/>
        <v>0</v>
      </c>
      <c r="AV613" s="41">
        <f t="shared" si="726"/>
        <v>0</v>
      </c>
      <c r="AW613" s="41" t="b">
        <f t="shared" si="727"/>
        <v>0</v>
      </c>
      <c r="AX613" t="str">
        <f t="shared" si="728"/>
        <v>+00</v>
      </c>
      <c r="AY613" t="str">
        <f t="shared" si="729"/>
        <v>+00</v>
      </c>
      <c r="BA613" s="47" t="b">
        <f t="shared" si="758"/>
        <v>1</v>
      </c>
      <c r="BB613" s="42" t="b">
        <f t="shared" si="759"/>
        <v>1</v>
      </c>
      <c r="BC613" s="42" t="b">
        <f t="shared" si="760"/>
        <v>0</v>
      </c>
      <c r="BD613" s="42" t="b">
        <f t="shared" si="761"/>
        <v>0</v>
      </c>
      <c r="BE613" s="70">
        <f t="shared" si="762"/>
        <v>0</v>
      </c>
      <c r="BF613" s="70">
        <f t="shared" si="763"/>
        <v>0</v>
      </c>
      <c r="BG613" s="34"/>
      <c r="BI613" s="47" t="b">
        <f t="shared" si="764"/>
        <v>1</v>
      </c>
      <c r="BJ613" s="47" t="b">
        <f t="shared" si="765"/>
        <v>1</v>
      </c>
      <c r="BK613" s="42" t="b">
        <f t="shared" si="766"/>
        <v>0</v>
      </c>
      <c r="BL613" s="42" t="b">
        <f t="shared" si="767"/>
        <v>0</v>
      </c>
      <c r="BM613" s="42">
        <f t="shared" si="768"/>
        <v>0</v>
      </c>
      <c r="BN613" s="42">
        <f t="shared" si="769"/>
        <v>0</v>
      </c>
      <c r="BP613" t="e">
        <f t="shared" si="770"/>
        <v>#N/A</v>
      </c>
      <c r="BQ613" t="e">
        <f t="shared" si="771"/>
        <v>#N/A</v>
      </c>
      <c r="BR613" t="e">
        <f t="shared" si="772"/>
        <v>#N/A</v>
      </c>
      <c r="BT613" s="60">
        <f t="shared" si="773"/>
        <v>0</v>
      </c>
      <c r="BU613" s="60">
        <f t="shared" si="774"/>
        <v>0</v>
      </c>
      <c r="BV613" s="60">
        <f t="shared" si="775"/>
        <v>0</v>
      </c>
      <c r="BW613" s="60">
        <f t="shared" si="776"/>
        <v>0</v>
      </c>
      <c r="BX613" s="60">
        <f t="shared" si="777"/>
        <v>0</v>
      </c>
      <c r="BY613" s="60">
        <f t="shared" si="778"/>
        <v>0</v>
      </c>
      <c r="BZ613" s="60">
        <f t="shared" si="779"/>
        <v>0</v>
      </c>
      <c r="CA613" s="60">
        <f t="shared" si="780"/>
        <v>0</v>
      </c>
      <c r="CB613" s="60" t="e">
        <f t="shared" si="730"/>
        <v>#N/A</v>
      </c>
      <c r="CC613" s="60">
        <f t="shared" si="731"/>
        <v>100000</v>
      </c>
      <c r="CD613" s="60" t="e">
        <f t="shared" si="732"/>
        <v>#N/A</v>
      </c>
      <c r="CE613" s="60">
        <f t="shared" si="733"/>
        <v>100000</v>
      </c>
      <c r="CF613" s="83" t="e">
        <f t="shared" si="781"/>
        <v>#N/A</v>
      </c>
      <c r="CG613" s="83">
        <f t="shared" si="782"/>
        <v>0</v>
      </c>
      <c r="CH613" s="83" t="e">
        <f t="shared" si="783"/>
        <v>#N/A</v>
      </c>
      <c r="CI613" s="83">
        <f t="shared" si="784"/>
        <v>0</v>
      </c>
      <c r="CJ613" s="86" t="e">
        <f t="shared" si="734"/>
        <v>#N/A</v>
      </c>
      <c r="CK613" s="82">
        <f t="shared" si="735"/>
        <v>5.3070370403969858E-3</v>
      </c>
      <c r="CL613" s="82" t="e">
        <f t="shared" si="736"/>
        <v>#N/A</v>
      </c>
      <c r="CM613" s="82">
        <f t="shared" si="737"/>
        <v>5.3070370403969858E-3</v>
      </c>
      <c r="CO613" s="149" t="str">
        <f>IF($I613&lt;&gt;"",IF(O613="User Specified",U613,INDEX('Refrigerant GWPs'!$G$2:$G$156,MATCH(O613,'Refrigerant GWPs'!$A$2:$A$156,0))),"")</f>
        <v/>
      </c>
      <c r="CP613" s="138" t="str">
        <f>IF($I613&lt;&gt;"",INDEX('Device Refrigerant Leakage'!$E$2:$E$42,MATCH($M613,'Device Refrigerant Leakage'!$B$2:$B$42,0)),"")</f>
        <v/>
      </c>
      <c r="CQ613" s="138" t="str">
        <f>IF($I613&lt;&gt;"",INDEX('Device Refrigerant Leakage'!$F$2:$F$42,MATCH($M613,'Device Refrigerant Leakage'!$B$2:$B$42,0)),"")</f>
        <v/>
      </c>
      <c r="CR613" s="145" t="str">
        <f>IF($I613&lt;&gt;"",INDEX('Device Refrigerant Leakage'!$G$2:$G$42,MATCH($M613,'Device Refrigerant Leakage'!$B$2:$B$42,0)),"")</f>
        <v/>
      </c>
      <c r="CS613" s="145" t="str">
        <f>IF($I613&lt;&gt;"",INDEX('Device Refrigerant Leakage'!$D$2:$D$42,MATCH($M613,'Device Refrigerant Leakage'!$B$2:$B$42,0))*CP613/2204.62*CO613,"")</f>
        <v/>
      </c>
      <c r="CT613" s="145" t="str">
        <f>IF($I613&lt;&gt;"",J613*(INDEX('Device Refrigerant Leakage'!$D$2:$D$42,MATCH($M613,'Device Refrigerant Leakage'!$B$2:$B$42,0))-(INDEX('Device Refrigerant Leakage'!$D$2:$D$42,MATCH($M613,'Device Refrigerant Leakage'!$B$2:$B$42,0)))*CR613*CP613)*CQ613/2204.62*CO613,"")</f>
        <v/>
      </c>
      <c r="CU613" s="135" t="str">
        <f>IF($I613&lt;&gt;"",J613*IF(W613&lt;&gt;"AR",(CS613*K613)+CT613,(CS613*AB613)+CT613*(AB613/INDEX('Device Refrigerant Leakage'!$C$2:$C$42,MATCH($M613,'Device Refrigerant Leakage'!$B$2:$B$42,0)))),"")</f>
        <v/>
      </c>
      <c r="CW613" s="135" t="str">
        <f>IF($I613&lt;&gt;"",IF(S613="User Specified",V613,INDEX('Refrigerant GWPs'!$G$2:$G$156,MATCH(S613,'Refrigerant GWPs'!$A$2:$A$157,0))),"")</f>
        <v/>
      </c>
      <c r="CX613" s="138" t="str">
        <f>IF($I613&lt;&gt;"",INDEX('Device Refrigerant Leakage'!$E$2:$E$42,MATCH($Q613,'Device Refrigerant Leakage'!$B$2:$B$42,0)),"")</f>
        <v/>
      </c>
      <c r="CY613" s="138" t="str">
        <f>IF($I613&lt;&gt;"",INDEX('Device Refrigerant Leakage'!$F$2:$F$42,MATCH($Q613,'Device Refrigerant Leakage'!$B$2:$B$42,0)),"")</f>
        <v/>
      </c>
      <c r="CZ613" s="145" t="str">
        <f>IF($I613&lt;&gt;"",INDEX('Device Refrigerant Leakage'!$G$2:$G$42,MATCH($Q613,'Device Refrigerant Leakage'!$B$2:$B$42,0)),"")</f>
        <v/>
      </c>
      <c r="DA613" s="145" t="str">
        <f>IF($I613&lt;&gt;"",J613*INDEX('Device Refrigerant Leakage'!$D$2:$D$42,MATCH($Q613,'Device Refrigerant Leakage'!$B$2:$B$42,0))*CX613/2204.62*CW613,"")</f>
        <v/>
      </c>
      <c r="DB613" s="145" t="str">
        <f>IF($I613&lt;&gt;"",J613*(INDEX('Device Refrigerant Leakage'!$D$2:$D$42,MATCH($Q613,'Device Refrigerant Leakage'!$B$2:$B$42,0))-(INDEX('Device Refrigerant Leakage'!$D$2:$D$42,MATCH($Q613,'Device Refrigerant Leakage'!$B$2:$B$42,0)))*CZ613*CX613)*CY613/2204.62*CW613,"")</f>
        <v/>
      </c>
      <c r="DC613" s="135" t="str">
        <f t="shared" si="756"/>
        <v/>
      </c>
      <c r="DE613" s="146" t="str">
        <f>IF(W613&lt;&gt;"AR","",IF(Y613="User Specified", AA613, INDEX('Refrigerant GWPs'!$G$2:$G$154,MATCH(Y613,'Refrigerant GWPs'!$A$2:$A$154,0))))</f>
        <v/>
      </c>
      <c r="DF613" s="146" t="str">
        <f>IF(W613&lt;&gt;"AR","",INDEX('Device Refrigerant Leakage'!$E$2:$E$42,MATCH(X613,'Device Refrigerant Leakage'!$B$2:$B$42,0)))</f>
        <v/>
      </c>
      <c r="DG613" s="146" t="str">
        <f>IF(W613&lt;&gt;"AR","",INDEX('Device Refrigerant Leakage'!$F$2:$F$42,MATCH(X613,'Device Refrigerant Leakage'!$B$2:$B$42,0)))</f>
        <v/>
      </c>
      <c r="DH613" s="146" t="str">
        <f>IF(W613&lt;&gt;"AR","",INDEX('Device Refrigerant Leakage'!$G$2:$G$42,MATCH(X613,'Device Refrigerant Leakage'!$B$2:$B$42,0)))</f>
        <v/>
      </c>
      <c r="DI613" s="146" t="str">
        <f>IF(W613&lt;&gt;"AR","",J613*INDEX('Device Refrigerant Leakage'!$D$2:$D$42,MATCH(X613,'Device Refrigerant Leakage'!$B$2:$B$42,0))*DF613/2204.62*DE613)</f>
        <v/>
      </c>
      <c r="DJ613" s="146" t="str">
        <f>IF(W613&lt;&gt;"AR","",J613*(INDEX('Device Refrigerant Leakage'!$D$2:$D$42,MATCH(X613,'Device Refrigerant Leakage'!$B$2:$B$42,0))-(INDEX('Device Refrigerant Leakage'!$D$2:$D$42,MATCH(X613,'Device Refrigerant Leakage'!$B$2:$B$42,0)))*DH613*DF613)*DG613/2204.62*DE613)</f>
        <v/>
      </c>
      <c r="DK613" s="146" t="str">
        <f>IF(W613&lt;&gt;"AR","",DI613*(K613-AB613)+'Fuel Sub Calcs-Deemed'!DJ613*((K613-AB613)/INDEX('Device Refrigerant Leakage'!$C$2:$C$42,MATCH('Fuel Sub Calcs-Deemed'!X613,'Device Refrigerant Leakage'!$B$2:$B$42,0))))</f>
        <v/>
      </c>
      <c r="DM613" s="56">
        <v>599</v>
      </c>
      <c r="DN613" s="67" t="e">
        <f t="shared" si="738"/>
        <v>#N/A</v>
      </c>
      <c r="DO613" s="45" t="e">
        <f t="shared" si="739"/>
        <v>#N/A</v>
      </c>
      <c r="DP613" s="67" t="e">
        <f t="shared" si="740"/>
        <v>#N/A</v>
      </c>
      <c r="DQ613" s="45" t="e">
        <f t="shared" si="741"/>
        <v>#N/A</v>
      </c>
      <c r="DR613" s="69" t="e">
        <f t="shared" si="742"/>
        <v>#N/A</v>
      </c>
      <c r="DS613" s="34"/>
      <c r="DT613" s="67" t="e">
        <f>((BX613*CJ613)+IF($W613=MAT_AR,(BZ613*CL613),0))*(1+Reference!$E$50+Reference!$E$51)</f>
        <v>#N/A</v>
      </c>
      <c r="DU613" s="67">
        <f>((BY613*CK613)+IF($W613=MAT_AR,(CA613*CM613),0))*(1+Reference!$G$50+Reference!$G$51)</f>
        <v>0</v>
      </c>
      <c r="DV613" s="67" t="e">
        <f t="shared" si="743"/>
        <v>#VALUE!</v>
      </c>
      <c r="DX613" s="56">
        <v>599</v>
      </c>
      <c r="DY613" s="67">
        <f t="shared" si="744"/>
        <v>0</v>
      </c>
      <c r="DZ613" s="45" t="e">
        <f>VLOOKUP($R613,Dropdown!$C$3:$D$4,2,FALSE)</f>
        <v>#N/A</v>
      </c>
      <c r="EA613" s="68">
        <f t="shared" si="745"/>
        <v>0</v>
      </c>
      <c r="EB613" s="68" t="str">
        <f t="shared" si="746"/>
        <v>N/A</v>
      </c>
      <c r="EC613" s="68">
        <f t="shared" si="747"/>
        <v>0</v>
      </c>
      <c r="ED613" s="68" t="str">
        <f t="shared" si="785"/>
        <v>N/A</v>
      </c>
      <c r="EF613" s="56">
        <v>599</v>
      </c>
      <c r="EG613" s="46">
        <f t="shared" si="748"/>
        <v>0</v>
      </c>
      <c r="EH613" s="68" t="e">
        <f t="shared" si="749"/>
        <v>#N/A</v>
      </c>
      <c r="EI613" s="68" t="e">
        <f t="shared" si="750"/>
        <v>#N/A</v>
      </c>
      <c r="EJ613" s="68" t="e">
        <f t="shared" si="751"/>
        <v>#N/A</v>
      </c>
      <c r="EK613" s="68" t="e">
        <f t="shared" si="752"/>
        <v>#N/A</v>
      </c>
      <c r="EL613" s="46">
        <f t="shared" si="753"/>
        <v>0</v>
      </c>
      <c r="EM613" s="46">
        <f t="shared" si="754"/>
        <v>0</v>
      </c>
    </row>
    <row r="614" spans="1:143">
      <c r="A614" s="89"/>
      <c r="B614" s="89"/>
      <c r="C614" s="89"/>
      <c r="D614" s="89"/>
      <c r="E614" s="89"/>
      <c r="F614" s="89"/>
      <c r="G614" s="34"/>
      <c r="H614" s="56">
        <f t="shared" si="755"/>
        <v>600</v>
      </c>
      <c r="I614" s="165"/>
      <c r="J614" s="163"/>
      <c r="K614" s="163"/>
      <c r="L614" s="164"/>
      <c r="M614" s="155"/>
      <c r="N614" s="155"/>
      <c r="O614" s="144"/>
      <c r="P614" s="159" t="str">
        <f>IFERROR(IF(O614&lt;&gt;"User Specified",IF(O614&lt;&gt;"", INDEX('Refrigerant GWPs'!$G$2:$G$154,MATCH(O614,'Refrigerant GWPs'!$A$2:$A$154,0)),""),U614),0)</f>
        <v/>
      </c>
      <c r="Q614" s="155"/>
      <c r="R614" s="155"/>
      <c r="S614" s="144"/>
      <c r="T614" s="159" t="str">
        <f>IF(S614&lt;&gt;"User Specified",IF(AND(S614&lt;&gt;"User Specified",S614&lt;&gt;""), INDEX('Refrigerant GWPs'!$G$2:$G$154,MATCH(S614,'Refrigerant GWPs'!$A$2:$A$154,0)),""),V614)</f>
        <v/>
      </c>
      <c r="U614" s="144"/>
      <c r="V614" s="144"/>
      <c r="W614" s="155"/>
      <c r="X614" s="155"/>
      <c r="Y614" s="144"/>
      <c r="Z614" s="159" t="str">
        <f>IF(AND(Y614&lt;&gt;"User Specified",Y614&lt;&gt;""), INDEX('Refrigerant GWPs'!$G$2:$G$154,MATCH(Y614,'Refrigerant GWPs'!$A$2:$A$154,0)),"")</f>
        <v/>
      </c>
      <c r="AA614" s="155"/>
      <c r="AB614" s="156"/>
      <c r="AC614" s="66"/>
      <c r="AD614" s="66"/>
      <c r="AE614" s="66"/>
      <c r="AF614" s="66"/>
      <c r="AG614" s="66"/>
      <c r="AH614" s="66"/>
      <c r="AI614" s="34"/>
      <c r="AJ614" s="88">
        <f t="shared" si="718"/>
        <v>0</v>
      </c>
      <c r="AK614" s="88">
        <f t="shared" si="719"/>
        <v>0</v>
      </c>
      <c r="AL614" s="88">
        <v>0</v>
      </c>
      <c r="AM614" s="88">
        <v>0</v>
      </c>
      <c r="AN614" s="81" t="str">
        <f t="shared" si="757"/>
        <v/>
      </c>
      <c r="AO614" s="88">
        <f t="shared" si="720"/>
        <v>0</v>
      </c>
      <c r="AP614" s="88">
        <f t="shared" si="721"/>
        <v>0</v>
      </c>
      <c r="AQ614" s="81" t="str">
        <f t="shared" si="722"/>
        <v/>
      </c>
      <c r="AS614" s="41" t="b">
        <f t="shared" si="723"/>
        <v>1</v>
      </c>
      <c r="AT614" s="38">
        <f t="shared" si="724"/>
        <v>0</v>
      </c>
      <c r="AU614" s="60">
        <f t="shared" si="725"/>
        <v>0</v>
      </c>
      <c r="AV614" s="41">
        <f t="shared" si="726"/>
        <v>0</v>
      </c>
      <c r="AW614" s="41" t="b">
        <f t="shared" si="727"/>
        <v>0</v>
      </c>
      <c r="AX614" t="str">
        <f t="shared" si="728"/>
        <v>+00</v>
      </c>
      <c r="AY614" t="str">
        <f t="shared" si="729"/>
        <v>+00</v>
      </c>
      <c r="BA614" s="47" t="b">
        <f t="shared" si="758"/>
        <v>1</v>
      </c>
      <c r="BB614" s="42" t="b">
        <f t="shared" si="759"/>
        <v>1</v>
      </c>
      <c r="BC614" s="42" t="b">
        <f t="shared" si="760"/>
        <v>0</v>
      </c>
      <c r="BD614" s="42" t="b">
        <f t="shared" si="761"/>
        <v>0</v>
      </c>
      <c r="BE614" s="70">
        <f t="shared" si="762"/>
        <v>0</v>
      </c>
      <c r="BF614" s="70">
        <f t="shared" si="763"/>
        <v>0</v>
      </c>
      <c r="BG614" s="34"/>
      <c r="BI614" s="47" t="b">
        <f t="shared" si="764"/>
        <v>1</v>
      </c>
      <c r="BJ614" s="47" t="b">
        <f t="shared" si="765"/>
        <v>1</v>
      </c>
      <c r="BK614" s="42" t="b">
        <f t="shared" si="766"/>
        <v>0</v>
      </c>
      <c r="BL614" s="42" t="b">
        <f t="shared" si="767"/>
        <v>0</v>
      </c>
      <c r="BM614" s="42">
        <f t="shared" si="768"/>
        <v>0</v>
      </c>
      <c r="BN614" s="42">
        <f t="shared" si="769"/>
        <v>0</v>
      </c>
      <c r="BP614" t="e">
        <f t="shared" si="770"/>
        <v>#N/A</v>
      </c>
      <c r="BQ614" t="e">
        <f t="shared" si="771"/>
        <v>#N/A</v>
      </c>
      <c r="BR614" t="e">
        <f t="shared" si="772"/>
        <v>#N/A</v>
      </c>
      <c r="BT614" s="60">
        <f t="shared" si="773"/>
        <v>0</v>
      </c>
      <c r="BU614" s="60">
        <f t="shared" si="774"/>
        <v>0</v>
      </c>
      <c r="BV614" s="60">
        <f t="shared" si="775"/>
        <v>0</v>
      </c>
      <c r="BW614" s="60">
        <f t="shared" si="776"/>
        <v>0</v>
      </c>
      <c r="BX614" s="60">
        <f t="shared" si="777"/>
        <v>0</v>
      </c>
      <c r="BY614" s="60">
        <f t="shared" si="778"/>
        <v>0</v>
      </c>
      <c r="BZ614" s="60">
        <f t="shared" si="779"/>
        <v>0</v>
      </c>
      <c r="CA614" s="60">
        <f t="shared" si="780"/>
        <v>0</v>
      </c>
      <c r="CB614" s="60" t="e">
        <f t="shared" si="730"/>
        <v>#N/A</v>
      </c>
      <c r="CC614" s="60">
        <f t="shared" si="731"/>
        <v>100000</v>
      </c>
      <c r="CD614" s="60" t="e">
        <f t="shared" si="732"/>
        <v>#N/A</v>
      </c>
      <c r="CE614" s="60">
        <f t="shared" si="733"/>
        <v>100000</v>
      </c>
      <c r="CF614" s="83" t="e">
        <f t="shared" si="781"/>
        <v>#N/A</v>
      </c>
      <c r="CG614" s="83">
        <f t="shared" si="782"/>
        <v>0</v>
      </c>
      <c r="CH614" s="83" t="e">
        <f t="shared" si="783"/>
        <v>#N/A</v>
      </c>
      <c r="CI614" s="83">
        <f t="shared" si="784"/>
        <v>0</v>
      </c>
      <c r="CJ614" s="86" t="e">
        <f t="shared" si="734"/>
        <v>#N/A</v>
      </c>
      <c r="CK614" s="82">
        <f t="shared" si="735"/>
        <v>5.3070370403969858E-3</v>
      </c>
      <c r="CL614" s="82" t="e">
        <f t="shared" si="736"/>
        <v>#N/A</v>
      </c>
      <c r="CM614" s="82">
        <f t="shared" si="737"/>
        <v>5.3070370403969858E-3</v>
      </c>
      <c r="CO614" s="149" t="str">
        <f>IF($I614&lt;&gt;"",IF(O614="User Specified",U614,INDEX('Refrigerant GWPs'!$G$2:$G$156,MATCH(O614,'Refrigerant GWPs'!$A$2:$A$156,0))),"")</f>
        <v/>
      </c>
      <c r="CP614" s="138" t="str">
        <f>IF($I614&lt;&gt;"",INDEX('Device Refrigerant Leakage'!$E$2:$E$42,MATCH($M614,'Device Refrigerant Leakage'!$B$2:$B$42,0)),"")</f>
        <v/>
      </c>
      <c r="CQ614" s="138" t="str">
        <f>IF($I614&lt;&gt;"",INDEX('Device Refrigerant Leakage'!$F$2:$F$42,MATCH($M614,'Device Refrigerant Leakage'!$B$2:$B$42,0)),"")</f>
        <v/>
      </c>
      <c r="CR614" s="145" t="str">
        <f>IF($I614&lt;&gt;"",INDEX('Device Refrigerant Leakage'!$G$2:$G$42,MATCH($M614,'Device Refrigerant Leakage'!$B$2:$B$42,0)),"")</f>
        <v/>
      </c>
      <c r="CS614" s="145" t="str">
        <f>IF($I614&lt;&gt;"",INDEX('Device Refrigerant Leakage'!$D$2:$D$42,MATCH($M614,'Device Refrigerant Leakage'!$B$2:$B$42,0))*CP614/2204.62*CO614,"")</f>
        <v/>
      </c>
      <c r="CT614" s="145" t="str">
        <f>IF($I614&lt;&gt;"",J614*(INDEX('Device Refrigerant Leakage'!$D$2:$D$42,MATCH($M614,'Device Refrigerant Leakage'!$B$2:$B$42,0))-(INDEX('Device Refrigerant Leakage'!$D$2:$D$42,MATCH($M614,'Device Refrigerant Leakage'!$B$2:$B$42,0)))*CR614*CP614)*CQ614/2204.62*CO614,"")</f>
        <v/>
      </c>
      <c r="CU614" s="135" t="str">
        <f>IF($I614&lt;&gt;"",J614*IF(W614&lt;&gt;"AR",(CS614*K614)+CT614,(CS614*AB614)+CT614*(AB614/INDEX('Device Refrigerant Leakage'!$C$2:$C$42,MATCH($M614,'Device Refrigerant Leakage'!$B$2:$B$42,0)))),"")</f>
        <v/>
      </c>
      <c r="CW614" s="135" t="str">
        <f>IF($I614&lt;&gt;"",IF(S614="User Specified",V614,INDEX('Refrigerant GWPs'!$G$2:$G$156,MATCH(S614,'Refrigerant GWPs'!$A$2:$A$157,0))),"")</f>
        <v/>
      </c>
      <c r="CX614" s="138" t="str">
        <f>IF($I614&lt;&gt;"",INDEX('Device Refrigerant Leakage'!$E$2:$E$42,MATCH($Q614,'Device Refrigerant Leakage'!$B$2:$B$42,0)),"")</f>
        <v/>
      </c>
      <c r="CY614" s="138" t="str">
        <f>IF($I614&lt;&gt;"",INDEX('Device Refrigerant Leakage'!$F$2:$F$42,MATCH($Q614,'Device Refrigerant Leakage'!$B$2:$B$42,0)),"")</f>
        <v/>
      </c>
      <c r="CZ614" s="145" t="str">
        <f>IF($I614&lt;&gt;"",INDEX('Device Refrigerant Leakage'!$G$2:$G$42,MATCH($Q614,'Device Refrigerant Leakage'!$B$2:$B$42,0)),"")</f>
        <v/>
      </c>
      <c r="DA614" s="145" t="str">
        <f>IF($I614&lt;&gt;"",J614*INDEX('Device Refrigerant Leakage'!$D$2:$D$42,MATCH($Q614,'Device Refrigerant Leakage'!$B$2:$B$42,0))*CX614/2204.62*CW614,"")</f>
        <v/>
      </c>
      <c r="DB614" s="145" t="str">
        <f>IF($I614&lt;&gt;"",J614*(INDEX('Device Refrigerant Leakage'!$D$2:$D$42,MATCH($Q614,'Device Refrigerant Leakage'!$B$2:$B$42,0))-(INDEX('Device Refrigerant Leakage'!$D$2:$D$42,MATCH($Q614,'Device Refrigerant Leakage'!$B$2:$B$42,0)))*CZ614*CX614)*CY614/2204.62*CW614,"")</f>
        <v/>
      </c>
      <c r="DC614" s="135" t="str">
        <f t="shared" si="756"/>
        <v/>
      </c>
      <c r="DE614" s="146" t="str">
        <f>IF(W614&lt;&gt;"AR","",IF(Y614="User Specified", AA614, INDEX('Refrigerant GWPs'!$G$2:$G$154,MATCH(Y614,'Refrigerant GWPs'!$A$2:$A$154,0))))</f>
        <v/>
      </c>
      <c r="DF614" s="146" t="str">
        <f>IF(W614&lt;&gt;"AR","",INDEX('Device Refrigerant Leakage'!$E$2:$E$42,MATCH(X614,'Device Refrigerant Leakage'!$B$2:$B$42,0)))</f>
        <v/>
      </c>
      <c r="DG614" s="146" t="str">
        <f>IF(W614&lt;&gt;"AR","",INDEX('Device Refrigerant Leakage'!$F$2:$F$42,MATCH(X614,'Device Refrigerant Leakage'!$B$2:$B$42,0)))</f>
        <v/>
      </c>
      <c r="DH614" s="146" t="str">
        <f>IF(W614&lt;&gt;"AR","",INDEX('Device Refrigerant Leakage'!$G$2:$G$42,MATCH(X614,'Device Refrigerant Leakage'!$B$2:$B$42,0)))</f>
        <v/>
      </c>
      <c r="DI614" s="146" t="str">
        <f>IF(W614&lt;&gt;"AR","",J614*INDEX('Device Refrigerant Leakage'!$D$2:$D$42,MATCH(X614,'Device Refrigerant Leakage'!$B$2:$B$42,0))*DF614/2204.62*DE614)</f>
        <v/>
      </c>
      <c r="DJ614" s="146" t="str">
        <f>IF(W614&lt;&gt;"AR","",J614*(INDEX('Device Refrigerant Leakage'!$D$2:$D$42,MATCH(X614,'Device Refrigerant Leakage'!$B$2:$B$42,0))-(INDEX('Device Refrigerant Leakage'!$D$2:$D$42,MATCH(X614,'Device Refrigerant Leakage'!$B$2:$B$42,0)))*DH614*DF614)*DG614/2204.62*DE614)</f>
        <v/>
      </c>
      <c r="DK614" s="146" t="str">
        <f>IF(W614&lt;&gt;"AR","",DI614*(K614-AB614)+'Fuel Sub Calcs-Deemed'!DJ614*((K614-AB614)/INDEX('Device Refrigerant Leakage'!$C$2:$C$42,MATCH('Fuel Sub Calcs-Deemed'!X614,'Device Refrigerant Leakage'!$B$2:$B$42,0))))</f>
        <v/>
      </c>
      <c r="DM614" s="56">
        <v>600</v>
      </c>
      <c r="DN614" s="67" t="e">
        <f t="shared" si="738"/>
        <v>#N/A</v>
      </c>
      <c r="DO614" s="45" t="e">
        <f t="shared" si="739"/>
        <v>#N/A</v>
      </c>
      <c r="DP614" s="67" t="e">
        <f t="shared" si="740"/>
        <v>#N/A</v>
      </c>
      <c r="DQ614" s="45" t="e">
        <f t="shared" si="741"/>
        <v>#N/A</v>
      </c>
      <c r="DR614" s="69" t="e">
        <f t="shared" si="742"/>
        <v>#N/A</v>
      </c>
      <c r="DS614" s="34"/>
      <c r="DT614" s="67" t="e">
        <f>((BX614*CJ614)+IF($W614=MAT_AR,(BZ614*CL614),0))*(1+Reference!$E$50+Reference!$E$51)</f>
        <v>#N/A</v>
      </c>
      <c r="DU614" s="67">
        <f>((BY614*CK614)+IF($W614=MAT_AR,(CA614*CM614),0))*(1+Reference!$G$50+Reference!$G$51)</f>
        <v>0</v>
      </c>
      <c r="DV614" s="67" t="e">
        <f t="shared" si="743"/>
        <v>#VALUE!</v>
      </c>
      <c r="DX614" s="56">
        <v>600</v>
      </c>
      <c r="DY614" s="67">
        <f t="shared" si="744"/>
        <v>0</v>
      </c>
      <c r="DZ614" s="45" t="e">
        <f>VLOOKUP($R614,Dropdown!$C$3:$D$4,2,FALSE)</f>
        <v>#N/A</v>
      </c>
      <c r="EA614" s="68">
        <f t="shared" si="745"/>
        <v>0</v>
      </c>
      <c r="EB614" s="68" t="str">
        <f t="shared" si="746"/>
        <v>N/A</v>
      </c>
      <c r="EC614" s="68">
        <f t="shared" si="747"/>
        <v>0</v>
      </c>
      <c r="ED614" s="68" t="str">
        <f t="shared" si="785"/>
        <v>N/A</v>
      </c>
      <c r="EF614" s="56">
        <v>600</v>
      </c>
      <c r="EG614" s="46">
        <f t="shared" si="748"/>
        <v>0</v>
      </c>
      <c r="EH614" s="68" t="e">
        <f t="shared" si="749"/>
        <v>#N/A</v>
      </c>
      <c r="EI614" s="68" t="e">
        <f t="shared" si="750"/>
        <v>#N/A</v>
      </c>
      <c r="EJ614" s="68" t="e">
        <f t="shared" si="751"/>
        <v>#N/A</v>
      </c>
      <c r="EK614" s="68" t="e">
        <f t="shared" si="752"/>
        <v>#N/A</v>
      </c>
      <c r="EL614" s="46">
        <f t="shared" si="753"/>
        <v>0</v>
      </c>
      <c r="EM614" s="46">
        <f t="shared" si="754"/>
        <v>0</v>
      </c>
    </row>
    <row r="615" spans="1:143">
      <c r="A615" s="89"/>
      <c r="B615" s="89"/>
      <c r="C615" s="89"/>
      <c r="D615" s="89"/>
      <c r="E615" s="89"/>
      <c r="F615" s="89"/>
      <c r="G615" s="34"/>
      <c r="H615" s="56">
        <f t="shared" si="755"/>
        <v>601</v>
      </c>
      <c r="I615" s="165"/>
      <c r="J615" s="163"/>
      <c r="K615" s="163"/>
      <c r="L615" s="164"/>
      <c r="M615" s="155"/>
      <c r="N615" s="155"/>
      <c r="O615" s="144"/>
      <c r="P615" s="159" t="str">
        <f>IFERROR(IF(O615&lt;&gt;"User Specified",IF(O615&lt;&gt;"", INDEX('Refrigerant GWPs'!$G$2:$G$154,MATCH(O615,'Refrigerant GWPs'!$A$2:$A$154,0)),""),U615),0)</f>
        <v/>
      </c>
      <c r="Q615" s="155"/>
      <c r="R615" s="155"/>
      <c r="S615" s="144"/>
      <c r="T615" s="159" t="str">
        <f>IF(S615&lt;&gt;"User Specified",IF(AND(S615&lt;&gt;"User Specified",S615&lt;&gt;""), INDEX('Refrigerant GWPs'!$G$2:$G$154,MATCH(S615,'Refrigerant GWPs'!$A$2:$A$154,0)),""),V615)</f>
        <v/>
      </c>
      <c r="U615" s="144"/>
      <c r="V615" s="144"/>
      <c r="W615" s="155"/>
      <c r="X615" s="155"/>
      <c r="Y615" s="144"/>
      <c r="Z615" s="159" t="str">
        <f>IF(AND(Y615&lt;&gt;"User Specified",Y615&lt;&gt;""), INDEX('Refrigerant GWPs'!$G$2:$G$154,MATCH(Y615,'Refrigerant GWPs'!$A$2:$A$154,0)),"")</f>
        <v/>
      </c>
      <c r="AA615" s="155"/>
      <c r="AB615" s="156"/>
      <c r="AC615" s="66"/>
      <c r="AD615" s="66"/>
      <c r="AE615" s="66"/>
      <c r="AF615" s="66"/>
      <c r="AG615" s="66"/>
      <c r="AH615" s="66"/>
      <c r="AI615" s="34"/>
      <c r="AJ615" s="88">
        <f t="shared" si="718"/>
        <v>0</v>
      </c>
      <c r="AK615" s="88">
        <f t="shared" si="719"/>
        <v>0</v>
      </c>
      <c r="AL615" s="88">
        <v>0</v>
      </c>
      <c r="AM615" s="88">
        <v>0</v>
      </c>
      <c r="AN615" s="81" t="str">
        <f t="shared" si="757"/>
        <v/>
      </c>
      <c r="AO615" s="88">
        <f t="shared" si="720"/>
        <v>0</v>
      </c>
      <c r="AP615" s="88">
        <f t="shared" si="721"/>
        <v>0</v>
      </c>
      <c r="AQ615" s="81" t="str">
        <f t="shared" si="722"/>
        <v/>
      </c>
      <c r="AS615" s="41" t="b">
        <f t="shared" si="723"/>
        <v>1</v>
      </c>
      <c r="AT615" s="38">
        <f t="shared" si="724"/>
        <v>0</v>
      </c>
      <c r="AU615" s="60">
        <f t="shared" si="725"/>
        <v>0</v>
      </c>
      <c r="AV615" s="41">
        <f t="shared" si="726"/>
        <v>0</v>
      </c>
      <c r="AW615" s="41" t="b">
        <f t="shared" si="727"/>
        <v>0</v>
      </c>
      <c r="AX615" t="str">
        <f t="shared" si="728"/>
        <v>+00</v>
      </c>
      <c r="AY615" t="str">
        <f t="shared" si="729"/>
        <v>+00</v>
      </c>
      <c r="BA615" s="47" t="b">
        <f t="shared" si="758"/>
        <v>1</v>
      </c>
      <c r="BB615" s="42" t="b">
        <f t="shared" si="759"/>
        <v>1</v>
      </c>
      <c r="BC615" s="42" t="b">
        <f t="shared" si="760"/>
        <v>0</v>
      </c>
      <c r="BD615" s="42" t="b">
        <f t="shared" si="761"/>
        <v>0</v>
      </c>
      <c r="BE615" s="70">
        <f t="shared" si="762"/>
        <v>0</v>
      </c>
      <c r="BF615" s="70">
        <f t="shared" si="763"/>
        <v>0</v>
      </c>
      <c r="BG615" s="34"/>
      <c r="BI615" s="47" t="b">
        <f t="shared" si="764"/>
        <v>1</v>
      </c>
      <c r="BJ615" s="47" t="b">
        <f t="shared" si="765"/>
        <v>1</v>
      </c>
      <c r="BK615" s="42" t="b">
        <f t="shared" si="766"/>
        <v>0</v>
      </c>
      <c r="BL615" s="42" t="b">
        <f t="shared" si="767"/>
        <v>0</v>
      </c>
      <c r="BM615" s="42">
        <f t="shared" si="768"/>
        <v>0</v>
      </c>
      <c r="BN615" s="42">
        <f t="shared" si="769"/>
        <v>0</v>
      </c>
      <c r="BP615" t="e">
        <f t="shared" si="770"/>
        <v>#N/A</v>
      </c>
      <c r="BQ615" t="e">
        <f t="shared" si="771"/>
        <v>#N/A</v>
      </c>
      <c r="BR615" t="e">
        <f t="shared" si="772"/>
        <v>#N/A</v>
      </c>
      <c r="BT615" s="60">
        <f t="shared" si="773"/>
        <v>0</v>
      </c>
      <c r="BU615" s="60">
        <f t="shared" si="774"/>
        <v>0</v>
      </c>
      <c r="BV615" s="60">
        <f t="shared" si="775"/>
        <v>0</v>
      </c>
      <c r="BW615" s="60">
        <f t="shared" si="776"/>
        <v>0</v>
      </c>
      <c r="BX615" s="60">
        <f t="shared" si="777"/>
        <v>0</v>
      </c>
      <c r="BY615" s="60">
        <f t="shared" si="778"/>
        <v>0</v>
      </c>
      <c r="BZ615" s="60">
        <f t="shared" si="779"/>
        <v>0</v>
      </c>
      <c r="CA615" s="60">
        <f t="shared" si="780"/>
        <v>0</v>
      </c>
      <c r="CB615" s="60" t="e">
        <f t="shared" si="730"/>
        <v>#N/A</v>
      </c>
      <c r="CC615" s="60">
        <f t="shared" si="731"/>
        <v>100000</v>
      </c>
      <c r="CD615" s="60" t="e">
        <f t="shared" si="732"/>
        <v>#N/A</v>
      </c>
      <c r="CE615" s="60">
        <f t="shared" si="733"/>
        <v>100000</v>
      </c>
      <c r="CF615" s="83" t="e">
        <f t="shared" si="781"/>
        <v>#N/A</v>
      </c>
      <c r="CG615" s="83">
        <f t="shared" si="782"/>
        <v>0</v>
      </c>
      <c r="CH615" s="83" t="e">
        <f t="shared" si="783"/>
        <v>#N/A</v>
      </c>
      <c r="CI615" s="83">
        <f t="shared" si="784"/>
        <v>0</v>
      </c>
      <c r="CJ615" s="86" t="e">
        <f t="shared" si="734"/>
        <v>#N/A</v>
      </c>
      <c r="CK615" s="82">
        <f t="shared" si="735"/>
        <v>5.3070370403969858E-3</v>
      </c>
      <c r="CL615" s="82" t="e">
        <f t="shared" si="736"/>
        <v>#N/A</v>
      </c>
      <c r="CM615" s="82">
        <f t="shared" si="737"/>
        <v>5.3070370403969858E-3</v>
      </c>
      <c r="CO615" s="149" t="str">
        <f>IF($I615&lt;&gt;"",IF(O615="User Specified",U615,INDEX('Refrigerant GWPs'!$G$2:$G$156,MATCH(O615,'Refrigerant GWPs'!$A$2:$A$156,0))),"")</f>
        <v/>
      </c>
      <c r="CP615" s="138" t="str">
        <f>IF($I615&lt;&gt;"",INDEX('Device Refrigerant Leakage'!$E$2:$E$42,MATCH($M615,'Device Refrigerant Leakage'!$B$2:$B$42,0)),"")</f>
        <v/>
      </c>
      <c r="CQ615" s="138" t="str">
        <f>IF($I615&lt;&gt;"",INDEX('Device Refrigerant Leakage'!$F$2:$F$42,MATCH($M615,'Device Refrigerant Leakage'!$B$2:$B$42,0)),"")</f>
        <v/>
      </c>
      <c r="CR615" s="145" t="str">
        <f>IF($I615&lt;&gt;"",INDEX('Device Refrigerant Leakage'!$G$2:$G$42,MATCH($M615,'Device Refrigerant Leakage'!$B$2:$B$42,0)),"")</f>
        <v/>
      </c>
      <c r="CS615" s="145" t="str">
        <f>IF($I615&lt;&gt;"",INDEX('Device Refrigerant Leakage'!$D$2:$D$42,MATCH($M615,'Device Refrigerant Leakage'!$B$2:$B$42,0))*CP615/2204.62*CO615,"")</f>
        <v/>
      </c>
      <c r="CT615" s="145" t="str">
        <f>IF($I615&lt;&gt;"",J615*(INDEX('Device Refrigerant Leakage'!$D$2:$D$42,MATCH($M615,'Device Refrigerant Leakage'!$B$2:$B$42,0))-(INDEX('Device Refrigerant Leakage'!$D$2:$D$42,MATCH($M615,'Device Refrigerant Leakage'!$B$2:$B$42,0)))*CR615*CP615)*CQ615/2204.62*CO615,"")</f>
        <v/>
      </c>
      <c r="CU615" s="135" t="str">
        <f>IF($I615&lt;&gt;"",J615*IF(W615&lt;&gt;"AR",(CS615*K615)+CT615,(CS615*AB615)+CT615*(AB615/INDEX('Device Refrigerant Leakage'!$C$2:$C$42,MATCH($M615,'Device Refrigerant Leakage'!$B$2:$B$42,0)))),"")</f>
        <v/>
      </c>
      <c r="CW615" s="135" t="str">
        <f>IF($I615&lt;&gt;"",IF(S615="User Specified",V615,INDEX('Refrigerant GWPs'!$G$2:$G$156,MATCH(S615,'Refrigerant GWPs'!$A$2:$A$157,0))),"")</f>
        <v/>
      </c>
      <c r="CX615" s="138" t="str">
        <f>IF($I615&lt;&gt;"",INDEX('Device Refrigerant Leakage'!$E$2:$E$42,MATCH($Q615,'Device Refrigerant Leakage'!$B$2:$B$42,0)),"")</f>
        <v/>
      </c>
      <c r="CY615" s="138" t="str">
        <f>IF($I615&lt;&gt;"",INDEX('Device Refrigerant Leakage'!$F$2:$F$42,MATCH($Q615,'Device Refrigerant Leakage'!$B$2:$B$42,0)),"")</f>
        <v/>
      </c>
      <c r="CZ615" s="145" t="str">
        <f>IF($I615&lt;&gt;"",INDEX('Device Refrigerant Leakage'!$G$2:$G$42,MATCH($Q615,'Device Refrigerant Leakage'!$B$2:$B$42,0)),"")</f>
        <v/>
      </c>
      <c r="DA615" s="145" t="str">
        <f>IF($I615&lt;&gt;"",J615*INDEX('Device Refrigerant Leakage'!$D$2:$D$42,MATCH($Q615,'Device Refrigerant Leakage'!$B$2:$B$42,0))*CX615/2204.62*CW615,"")</f>
        <v/>
      </c>
      <c r="DB615" s="145" t="str">
        <f>IF($I615&lt;&gt;"",J615*(INDEX('Device Refrigerant Leakage'!$D$2:$D$42,MATCH($Q615,'Device Refrigerant Leakage'!$B$2:$B$42,0))-(INDEX('Device Refrigerant Leakage'!$D$2:$D$42,MATCH($Q615,'Device Refrigerant Leakage'!$B$2:$B$42,0)))*CZ615*CX615)*CY615/2204.62*CW615,"")</f>
        <v/>
      </c>
      <c r="DC615" s="135" t="str">
        <f t="shared" si="756"/>
        <v/>
      </c>
      <c r="DE615" s="146" t="str">
        <f>IF(W615&lt;&gt;"AR","",IF(Y615="User Specified", AA615, INDEX('Refrigerant GWPs'!$G$2:$G$154,MATCH(Y615,'Refrigerant GWPs'!$A$2:$A$154,0))))</f>
        <v/>
      </c>
      <c r="DF615" s="146" t="str">
        <f>IF(W615&lt;&gt;"AR","",INDEX('Device Refrigerant Leakage'!$E$2:$E$42,MATCH(X615,'Device Refrigerant Leakage'!$B$2:$B$42,0)))</f>
        <v/>
      </c>
      <c r="DG615" s="146" t="str">
        <f>IF(W615&lt;&gt;"AR","",INDEX('Device Refrigerant Leakage'!$F$2:$F$42,MATCH(X615,'Device Refrigerant Leakage'!$B$2:$B$42,0)))</f>
        <v/>
      </c>
      <c r="DH615" s="146" t="str">
        <f>IF(W615&lt;&gt;"AR","",INDEX('Device Refrigerant Leakage'!$G$2:$G$42,MATCH(X615,'Device Refrigerant Leakage'!$B$2:$B$42,0)))</f>
        <v/>
      </c>
      <c r="DI615" s="146" t="str">
        <f>IF(W615&lt;&gt;"AR","",J615*INDEX('Device Refrigerant Leakage'!$D$2:$D$42,MATCH(X615,'Device Refrigerant Leakage'!$B$2:$B$42,0))*DF615/2204.62*DE615)</f>
        <v/>
      </c>
      <c r="DJ615" s="146" t="str">
        <f>IF(W615&lt;&gt;"AR","",J615*(INDEX('Device Refrigerant Leakage'!$D$2:$D$42,MATCH(X615,'Device Refrigerant Leakage'!$B$2:$B$42,0))-(INDEX('Device Refrigerant Leakage'!$D$2:$D$42,MATCH(X615,'Device Refrigerant Leakage'!$B$2:$B$42,0)))*DH615*DF615)*DG615/2204.62*DE615)</f>
        <v/>
      </c>
      <c r="DK615" s="146" t="str">
        <f>IF(W615&lt;&gt;"AR","",DI615*(K615-AB615)+'Fuel Sub Calcs-Deemed'!DJ615*((K615-AB615)/INDEX('Device Refrigerant Leakage'!$C$2:$C$42,MATCH('Fuel Sub Calcs-Deemed'!X615,'Device Refrigerant Leakage'!$B$2:$B$42,0))))</f>
        <v/>
      </c>
      <c r="DM615" s="56">
        <v>601</v>
      </c>
      <c r="DN615" s="67" t="e">
        <f t="shared" si="738"/>
        <v>#N/A</v>
      </c>
      <c r="DO615" s="45" t="e">
        <f t="shared" si="739"/>
        <v>#N/A</v>
      </c>
      <c r="DP615" s="67" t="e">
        <f t="shared" si="740"/>
        <v>#N/A</v>
      </c>
      <c r="DQ615" s="45" t="e">
        <f t="shared" si="741"/>
        <v>#N/A</v>
      </c>
      <c r="DR615" s="69" t="e">
        <f t="shared" si="742"/>
        <v>#N/A</v>
      </c>
      <c r="DS615" s="34"/>
      <c r="DT615" s="67" t="e">
        <f>((BX615*CJ615)+IF($W615=MAT_AR,(BZ615*CL615),0))*(1+Reference!$E$50+Reference!$E$51)</f>
        <v>#N/A</v>
      </c>
      <c r="DU615" s="67">
        <f>((BY615*CK615)+IF($W615=MAT_AR,(CA615*CM615),0))*(1+Reference!$G$50+Reference!$G$51)</f>
        <v>0</v>
      </c>
      <c r="DV615" s="67" t="e">
        <f t="shared" si="743"/>
        <v>#VALUE!</v>
      </c>
      <c r="DX615" s="56">
        <v>601</v>
      </c>
      <c r="DY615" s="67">
        <f t="shared" si="744"/>
        <v>0</v>
      </c>
      <c r="DZ615" s="45" t="e">
        <f>VLOOKUP($R615,Dropdown!$C$3:$D$4,2,FALSE)</f>
        <v>#N/A</v>
      </c>
      <c r="EA615" s="68">
        <f t="shared" si="745"/>
        <v>0</v>
      </c>
      <c r="EB615" s="68" t="str">
        <f t="shared" si="746"/>
        <v>N/A</v>
      </c>
      <c r="EC615" s="68">
        <f t="shared" si="747"/>
        <v>0</v>
      </c>
      <c r="ED615" s="68" t="str">
        <f t="shared" si="785"/>
        <v>N/A</v>
      </c>
      <c r="EF615" s="56">
        <v>601</v>
      </c>
      <c r="EG615" s="46">
        <f t="shared" si="748"/>
        <v>0</v>
      </c>
      <c r="EH615" s="68" t="e">
        <f t="shared" si="749"/>
        <v>#N/A</v>
      </c>
      <c r="EI615" s="68" t="e">
        <f t="shared" si="750"/>
        <v>#N/A</v>
      </c>
      <c r="EJ615" s="68" t="e">
        <f t="shared" si="751"/>
        <v>#N/A</v>
      </c>
      <c r="EK615" s="68" t="e">
        <f t="shared" si="752"/>
        <v>#N/A</v>
      </c>
      <c r="EL615" s="46">
        <f t="shared" si="753"/>
        <v>0</v>
      </c>
      <c r="EM615" s="46">
        <f t="shared" si="754"/>
        <v>0</v>
      </c>
    </row>
    <row r="616" spans="1:143">
      <c r="A616" s="89"/>
      <c r="B616" s="89"/>
      <c r="C616" s="89"/>
      <c r="D616" s="89"/>
      <c r="E616" s="89"/>
      <c r="F616" s="89"/>
      <c r="G616" s="34"/>
      <c r="H616" s="56">
        <f t="shared" si="755"/>
        <v>602</v>
      </c>
      <c r="I616" s="165"/>
      <c r="J616" s="163"/>
      <c r="K616" s="163"/>
      <c r="L616" s="164"/>
      <c r="M616" s="155"/>
      <c r="N616" s="155"/>
      <c r="O616" s="144"/>
      <c r="P616" s="159" t="str">
        <f>IFERROR(IF(O616&lt;&gt;"User Specified",IF(O616&lt;&gt;"", INDEX('Refrigerant GWPs'!$G$2:$G$154,MATCH(O616,'Refrigerant GWPs'!$A$2:$A$154,0)),""),U616),0)</f>
        <v/>
      </c>
      <c r="Q616" s="155"/>
      <c r="R616" s="155"/>
      <c r="S616" s="144"/>
      <c r="T616" s="159" t="str">
        <f>IF(S616&lt;&gt;"User Specified",IF(AND(S616&lt;&gt;"User Specified",S616&lt;&gt;""), INDEX('Refrigerant GWPs'!$G$2:$G$154,MATCH(S616,'Refrigerant GWPs'!$A$2:$A$154,0)),""),V616)</f>
        <v/>
      </c>
      <c r="U616" s="144"/>
      <c r="V616" s="144"/>
      <c r="W616" s="155"/>
      <c r="X616" s="155"/>
      <c r="Y616" s="144"/>
      <c r="Z616" s="159" t="str">
        <f>IF(AND(Y616&lt;&gt;"User Specified",Y616&lt;&gt;""), INDEX('Refrigerant GWPs'!$G$2:$G$154,MATCH(Y616,'Refrigerant GWPs'!$A$2:$A$154,0)),"")</f>
        <v/>
      </c>
      <c r="AA616" s="155"/>
      <c r="AB616" s="156"/>
      <c r="AC616" s="66"/>
      <c r="AD616" s="66"/>
      <c r="AE616" s="66"/>
      <c r="AF616" s="66"/>
      <c r="AG616" s="66"/>
      <c r="AH616" s="66"/>
      <c r="AI616" s="34"/>
      <c r="AJ616" s="88">
        <f t="shared" si="718"/>
        <v>0</v>
      </c>
      <c r="AK616" s="88">
        <f t="shared" si="719"/>
        <v>0</v>
      </c>
      <c r="AL616" s="88">
        <v>0</v>
      </c>
      <c r="AM616" s="88">
        <v>0</v>
      </c>
      <c r="AN616" s="81" t="str">
        <f t="shared" si="757"/>
        <v/>
      </c>
      <c r="AO616" s="88">
        <f t="shared" si="720"/>
        <v>0</v>
      </c>
      <c r="AP616" s="88">
        <f t="shared" si="721"/>
        <v>0</v>
      </c>
      <c r="AQ616" s="81" t="str">
        <f t="shared" si="722"/>
        <v/>
      </c>
      <c r="AS616" s="41" t="b">
        <f t="shared" si="723"/>
        <v>1</v>
      </c>
      <c r="AT616" s="38">
        <f t="shared" si="724"/>
        <v>0</v>
      </c>
      <c r="AU616" s="60">
        <f t="shared" si="725"/>
        <v>0</v>
      </c>
      <c r="AV616" s="41">
        <f t="shared" si="726"/>
        <v>0</v>
      </c>
      <c r="AW616" s="41" t="b">
        <f t="shared" si="727"/>
        <v>0</v>
      </c>
      <c r="AX616" t="str">
        <f t="shared" si="728"/>
        <v>+00</v>
      </c>
      <c r="AY616" t="str">
        <f t="shared" si="729"/>
        <v>+00</v>
      </c>
      <c r="BA616" s="47" t="b">
        <f t="shared" si="758"/>
        <v>1</v>
      </c>
      <c r="BB616" s="42" t="b">
        <f t="shared" si="759"/>
        <v>1</v>
      </c>
      <c r="BC616" s="42" t="b">
        <f t="shared" si="760"/>
        <v>0</v>
      </c>
      <c r="BD616" s="42" t="b">
        <f t="shared" si="761"/>
        <v>0</v>
      </c>
      <c r="BE616" s="70">
        <f t="shared" si="762"/>
        <v>0</v>
      </c>
      <c r="BF616" s="70">
        <f t="shared" si="763"/>
        <v>0</v>
      </c>
      <c r="BG616" s="34"/>
      <c r="BI616" s="47" t="b">
        <f t="shared" si="764"/>
        <v>1</v>
      </c>
      <c r="BJ616" s="47" t="b">
        <f t="shared" si="765"/>
        <v>1</v>
      </c>
      <c r="BK616" s="42" t="b">
        <f t="shared" si="766"/>
        <v>0</v>
      </c>
      <c r="BL616" s="42" t="b">
        <f t="shared" si="767"/>
        <v>0</v>
      </c>
      <c r="BM616" s="42">
        <f t="shared" si="768"/>
        <v>0</v>
      </c>
      <c r="BN616" s="42">
        <f t="shared" si="769"/>
        <v>0</v>
      </c>
      <c r="BP616" t="e">
        <f t="shared" si="770"/>
        <v>#N/A</v>
      </c>
      <c r="BQ616" t="e">
        <f t="shared" si="771"/>
        <v>#N/A</v>
      </c>
      <c r="BR616" t="e">
        <f t="shared" si="772"/>
        <v>#N/A</v>
      </c>
      <c r="BT616" s="60">
        <f t="shared" si="773"/>
        <v>0</v>
      </c>
      <c r="BU616" s="60">
        <f t="shared" si="774"/>
        <v>0</v>
      </c>
      <c r="BV616" s="60">
        <f t="shared" si="775"/>
        <v>0</v>
      </c>
      <c r="BW616" s="60">
        <f t="shared" si="776"/>
        <v>0</v>
      </c>
      <c r="BX616" s="60">
        <f t="shared" si="777"/>
        <v>0</v>
      </c>
      <c r="BY616" s="60">
        <f t="shared" si="778"/>
        <v>0</v>
      </c>
      <c r="BZ616" s="60">
        <f t="shared" si="779"/>
        <v>0</v>
      </c>
      <c r="CA616" s="60">
        <f t="shared" si="780"/>
        <v>0</v>
      </c>
      <c r="CB616" s="60" t="e">
        <f t="shared" si="730"/>
        <v>#N/A</v>
      </c>
      <c r="CC616" s="60">
        <f t="shared" si="731"/>
        <v>100000</v>
      </c>
      <c r="CD616" s="60" t="e">
        <f t="shared" si="732"/>
        <v>#N/A</v>
      </c>
      <c r="CE616" s="60">
        <f t="shared" si="733"/>
        <v>100000</v>
      </c>
      <c r="CF616" s="83" t="e">
        <f t="shared" si="781"/>
        <v>#N/A</v>
      </c>
      <c r="CG616" s="83">
        <f t="shared" si="782"/>
        <v>0</v>
      </c>
      <c r="CH616" s="83" t="e">
        <f t="shared" si="783"/>
        <v>#N/A</v>
      </c>
      <c r="CI616" s="83">
        <f t="shared" si="784"/>
        <v>0</v>
      </c>
      <c r="CJ616" s="86" t="e">
        <f t="shared" si="734"/>
        <v>#N/A</v>
      </c>
      <c r="CK616" s="82">
        <f t="shared" si="735"/>
        <v>5.3070370403969858E-3</v>
      </c>
      <c r="CL616" s="82" t="e">
        <f t="shared" si="736"/>
        <v>#N/A</v>
      </c>
      <c r="CM616" s="82">
        <f t="shared" si="737"/>
        <v>5.3070370403969858E-3</v>
      </c>
      <c r="CO616" s="149" t="str">
        <f>IF($I616&lt;&gt;"",IF(O616="User Specified",U616,INDEX('Refrigerant GWPs'!$G$2:$G$156,MATCH(O616,'Refrigerant GWPs'!$A$2:$A$156,0))),"")</f>
        <v/>
      </c>
      <c r="CP616" s="138" t="str">
        <f>IF($I616&lt;&gt;"",INDEX('Device Refrigerant Leakage'!$E$2:$E$42,MATCH($M616,'Device Refrigerant Leakage'!$B$2:$B$42,0)),"")</f>
        <v/>
      </c>
      <c r="CQ616" s="138" t="str">
        <f>IF($I616&lt;&gt;"",INDEX('Device Refrigerant Leakage'!$F$2:$F$42,MATCH($M616,'Device Refrigerant Leakage'!$B$2:$B$42,0)),"")</f>
        <v/>
      </c>
      <c r="CR616" s="145" t="str">
        <f>IF($I616&lt;&gt;"",INDEX('Device Refrigerant Leakage'!$G$2:$G$42,MATCH($M616,'Device Refrigerant Leakage'!$B$2:$B$42,0)),"")</f>
        <v/>
      </c>
      <c r="CS616" s="145" t="str">
        <f>IF($I616&lt;&gt;"",INDEX('Device Refrigerant Leakage'!$D$2:$D$42,MATCH($M616,'Device Refrigerant Leakage'!$B$2:$B$42,0))*CP616/2204.62*CO616,"")</f>
        <v/>
      </c>
      <c r="CT616" s="145" t="str">
        <f>IF($I616&lt;&gt;"",J616*(INDEX('Device Refrigerant Leakage'!$D$2:$D$42,MATCH($M616,'Device Refrigerant Leakage'!$B$2:$B$42,0))-(INDEX('Device Refrigerant Leakage'!$D$2:$D$42,MATCH($M616,'Device Refrigerant Leakage'!$B$2:$B$42,0)))*CR616*CP616)*CQ616/2204.62*CO616,"")</f>
        <v/>
      </c>
      <c r="CU616" s="135" t="str">
        <f>IF($I616&lt;&gt;"",J616*IF(W616&lt;&gt;"AR",(CS616*K616)+CT616,(CS616*AB616)+CT616*(AB616/INDEX('Device Refrigerant Leakage'!$C$2:$C$42,MATCH($M616,'Device Refrigerant Leakage'!$B$2:$B$42,0)))),"")</f>
        <v/>
      </c>
      <c r="CW616" s="135" t="str">
        <f>IF($I616&lt;&gt;"",IF(S616="User Specified",V616,INDEX('Refrigerant GWPs'!$G$2:$G$156,MATCH(S616,'Refrigerant GWPs'!$A$2:$A$157,0))),"")</f>
        <v/>
      </c>
      <c r="CX616" s="138" t="str">
        <f>IF($I616&lt;&gt;"",INDEX('Device Refrigerant Leakage'!$E$2:$E$42,MATCH($Q616,'Device Refrigerant Leakage'!$B$2:$B$42,0)),"")</f>
        <v/>
      </c>
      <c r="CY616" s="138" t="str">
        <f>IF($I616&lt;&gt;"",INDEX('Device Refrigerant Leakage'!$F$2:$F$42,MATCH($Q616,'Device Refrigerant Leakage'!$B$2:$B$42,0)),"")</f>
        <v/>
      </c>
      <c r="CZ616" s="145" t="str">
        <f>IF($I616&lt;&gt;"",INDEX('Device Refrigerant Leakage'!$G$2:$G$42,MATCH($Q616,'Device Refrigerant Leakage'!$B$2:$B$42,0)),"")</f>
        <v/>
      </c>
      <c r="DA616" s="145" t="str">
        <f>IF($I616&lt;&gt;"",J616*INDEX('Device Refrigerant Leakage'!$D$2:$D$42,MATCH($Q616,'Device Refrigerant Leakage'!$B$2:$B$42,0))*CX616/2204.62*CW616,"")</f>
        <v/>
      </c>
      <c r="DB616" s="145" t="str">
        <f>IF($I616&lt;&gt;"",J616*(INDEX('Device Refrigerant Leakage'!$D$2:$D$42,MATCH($Q616,'Device Refrigerant Leakage'!$B$2:$B$42,0))-(INDEX('Device Refrigerant Leakage'!$D$2:$D$42,MATCH($Q616,'Device Refrigerant Leakage'!$B$2:$B$42,0)))*CZ616*CX616)*CY616/2204.62*CW616,"")</f>
        <v/>
      </c>
      <c r="DC616" s="135" t="str">
        <f t="shared" si="756"/>
        <v/>
      </c>
      <c r="DE616" s="146" t="str">
        <f>IF(W616&lt;&gt;"AR","",IF(Y616="User Specified", AA616, INDEX('Refrigerant GWPs'!$G$2:$G$154,MATCH(Y616,'Refrigerant GWPs'!$A$2:$A$154,0))))</f>
        <v/>
      </c>
      <c r="DF616" s="146" t="str">
        <f>IF(W616&lt;&gt;"AR","",INDEX('Device Refrigerant Leakage'!$E$2:$E$42,MATCH(X616,'Device Refrigerant Leakage'!$B$2:$B$42,0)))</f>
        <v/>
      </c>
      <c r="DG616" s="146" t="str">
        <f>IF(W616&lt;&gt;"AR","",INDEX('Device Refrigerant Leakage'!$F$2:$F$42,MATCH(X616,'Device Refrigerant Leakage'!$B$2:$B$42,0)))</f>
        <v/>
      </c>
      <c r="DH616" s="146" t="str">
        <f>IF(W616&lt;&gt;"AR","",INDEX('Device Refrigerant Leakage'!$G$2:$G$42,MATCH(X616,'Device Refrigerant Leakage'!$B$2:$B$42,0)))</f>
        <v/>
      </c>
      <c r="DI616" s="146" t="str">
        <f>IF(W616&lt;&gt;"AR","",J616*INDEX('Device Refrigerant Leakage'!$D$2:$D$42,MATCH(X616,'Device Refrigerant Leakage'!$B$2:$B$42,0))*DF616/2204.62*DE616)</f>
        <v/>
      </c>
      <c r="DJ616" s="146" t="str">
        <f>IF(W616&lt;&gt;"AR","",J616*(INDEX('Device Refrigerant Leakage'!$D$2:$D$42,MATCH(X616,'Device Refrigerant Leakage'!$B$2:$B$42,0))-(INDEX('Device Refrigerant Leakage'!$D$2:$D$42,MATCH(X616,'Device Refrigerant Leakage'!$B$2:$B$42,0)))*DH616*DF616)*DG616/2204.62*DE616)</f>
        <v/>
      </c>
      <c r="DK616" s="146" t="str">
        <f>IF(W616&lt;&gt;"AR","",DI616*(K616-AB616)+'Fuel Sub Calcs-Deemed'!DJ616*((K616-AB616)/INDEX('Device Refrigerant Leakage'!$C$2:$C$42,MATCH('Fuel Sub Calcs-Deemed'!X616,'Device Refrigerant Leakage'!$B$2:$B$42,0))))</f>
        <v/>
      </c>
      <c r="DM616" s="56">
        <v>602</v>
      </c>
      <c r="DN616" s="67" t="e">
        <f t="shared" si="738"/>
        <v>#N/A</v>
      </c>
      <c r="DO616" s="45" t="e">
        <f t="shared" si="739"/>
        <v>#N/A</v>
      </c>
      <c r="DP616" s="67" t="e">
        <f t="shared" si="740"/>
        <v>#N/A</v>
      </c>
      <c r="DQ616" s="45" t="e">
        <f t="shared" si="741"/>
        <v>#N/A</v>
      </c>
      <c r="DR616" s="69" t="e">
        <f t="shared" si="742"/>
        <v>#N/A</v>
      </c>
      <c r="DS616" s="34"/>
      <c r="DT616" s="67" t="e">
        <f>((BX616*CJ616)+IF($W616=MAT_AR,(BZ616*CL616),0))*(1+Reference!$E$50+Reference!$E$51)</f>
        <v>#N/A</v>
      </c>
      <c r="DU616" s="67">
        <f>((BY616*CK616)+IF($W616=MAT_AR,(CA616*CM616),0))*(1+Reference!$G$50+Reference!$G$51)</f>
        <v>0</v>
      </c>
      <c r="DV616" s="67" t="e">
        <f t="shared" si="743"/>
        <v>#VALUE!</v>
      </c>
      <c r="DX616" s="56">
        <v>602</v>
      </c>
      <c r="DY616" s="67">
        <f t="shared" si="744"/>
        <v>0</v>
      </c>
      <c r="DZ616" s="45" t="e">
        <f>VLOOKUP($R616,Dropdown!$C$3:$D$4,2,FALSE)</f>
        <v>#N/A</v>
      </c>
      <c r="EA616" s="68">
        <f t="shared" si="745"/>
        <v>0</v>
      </c>
      <c r="EB616" s="68" t="str">
        <f t="shared" si="746"/>
        <v>N/A</v>
      </c>
      <c r="EC616" s="68">
        <f t="shared" si="747"/>
        <v>0</v>
      </c>
      <c r="ED616" s="68" t="str">
        <f t="shared" si="785"/>
        <v>N/A</v>
      </c>
      <c r="EF616" s="56">
        <v>602</v>
      </c>
      <c r="EG616" s="46">
        <f t="shared" si="748"/>
        <v>0</v>
      </c>
      <c r="EH616" s="68" t="e">
        <f t="shared" si="749"/>
        <v>#N/A</v>
      </c>
      <c r="EI616" s="68" t="e">
        <f t="shared" si="750"/>
        <v>#N/A</v>
      </c>
      <c r="EJ616" s="68" t="e">
        <f t="shared" si="751"/>
        <v>#N/A</v>
      </c>
      <c r="EK616" s="68" t="e">
        <f t="shared" si="752"/>
        <v>#N/A</v>
      </c>
      <c r="EL616" s="46">
        <f t="shared" si="753"/>
        <v>0</v>
      </c>
      <c r="EM616" s="46">
        <f t="shared" si="754"/>
        <v>0</v>
      </c>
    </row>
    <row r="617" spans="1:143">
      <c r="A617" s="89"/>
      <c r="B617" s="89"/>
      <c r="C617" s="89"/>
      <c r="D617" s="89"/>
      <c r="E617" s="89"/>
      <c r="F617" s="89"/>
      <c r="G617" s="34"/>
      <c r="H617" s="56">
        <f t="shared" si="755"/>
        <v>603</v>
      </c>
      <c r="I617" s="165"/>
      <c r="J617" s="163"/>
      <c r="K617" s="163"/>
      <c r="L617" s="164"/>
      <c r="M617" s="155"/>
      <c r="N617" s="155"/>
      <c r="O617" s="144"/>
      <c r="P617" s="159" t="str">
        <f>IFERROR(IF(O617&lt;&gt;"User Specified",IF(O617&lt;&gt;"", INDEX('Refrigerant GWPs'!$G$2:$G$154,MATCH(O617,'Refrigerant GWPs'!$A$2:$A$154,0)),""),U617),0)</f>
        <v/>
      </c>
      <c r="Q617" s="155"/>
      <c r="R617" s="155"/>
      <c r="S617" s="144"/>
      <c r="T617" s="159" t="str">
        <f>IF(S617&lt;&gt;"User Specified",IF(AND(S617&lt;&gt;"User Specified",S617&lt;&gt;""), INDEX('Refrigerant GWPs'!$G$2:$G$154,MATCH(S617,'Refrigerant GWPs'!$A$2:$A$154,0)),""),V617)</f>
        <v/>
      </c>
      <c r="U617" s="144"/>
      <c r="V617" s="144"/>
      <c r="W617" s="155"/>
      <c r="X617" s="155"/>
      <c r="Y617" s="144"/>
      <c r="Z617" s="159" t="str">
        <f>IF(AND(Y617&lt;&gt;"User Specified",Y617&lt;&gt;""), INDEX('Refrigerant GWPs'!$G$2:$G$154,MATCH(Y617,'Refrigerant GWPs'!$A$2:$A$154,0)),"")</f>
        <v/>
      </c>
      <c r="AA617" s="155"/>
      <c r="AB617" s="156"/>
      <c r="AC617" s="66"/>
      <c r="AD617" s="66"/>
      <c r="AE617" s="66"/>
      <c r="AF617" s="66"/>
      <c r="AG617" s="66"/>
      <c r="AH617" s="66"/>
      <c r="AI617" s="34"/>
      <c r="AJ617" s="88">
        <f t="shared" si="718"/>
        <v>0</v>
      </c>
      <c r="AK617" s="88">
        <f t="shared" si="719"/>
        <v>0</v>
      </c>
      <c r="AL617" s="88">
        <v>0</v>
      </c>
      <c r="AM617" s="88">
        <v>0</v>
      </c>
      <c r="AN617" s="81" t="str">
        <f t="shared" si="757"/>
        <v/>
      </c>
      <c r="AO617" s="88">
        <f t="shared" si="720"/>
        <v>0</v>
      </c>
      <c r="AP617" s="88">
        <f t="shared" si="721"/>
        <v>0</v>
      </c>
      <c r="AQ617" s="81" t="str">
        <f t="shared" si="722"/>
        <v/>
      </c>
      <c r="AS617" s="41" t="b">
        <f t="shared" si="723"/>
        <v>1</v>
      </c>
      <c r="AT617" s="38">
        <f t="shared" si="724"/>
        <v>0</v>
      </c>
      <c r="AU617" s="60">
        <f t="shared" si="725"/>
        <v>0</v>
      </c>
      <c r="AV617" s="41">
        <f t="shared" si="726"/>
        <v>0</v>
      </c>
      <c r="AW617" s="41" t="b">
        <f t="shared" si="727"/>
        <v>0</v>
      </c>
      <c r="AX617" t="str">
        <f t="shared" si="728"/>
        <v>+00</v>
      </c>
      <c r="AY617" t="str">
        <f t="shared" si="729"/>
        <v>+00</v>
      </c>
      <c r="BA617" s="47" t="b">
        <f t="shared" si="758"/>
        <v>1</v>
      </c>
      <c r="BB617" s="42" t="b">
        <f t="shared" si="759"/>
        <v>1</v>
      </c>
      <c r="BC617" s="42" t="b">
        <f t="shared" si="760"/>
        <v>0</v>
      </c>
      <c r="BD617" s="42" t="b">
        <f t="shared" si="761"/>
        <v>0</v>
      </c>
      <c r="BE617" s="70">
        <f t="shared" si="762"/>
        <v>0</v>
      </c>
      <c r="BF617" s="70">
        <f t="shared" si="763"/>
        <v>0</v>
      </c>
      <c r="BG617" s="34"/>
      <c r="BI617" s="47" t="b">
        <f t="shared" si="764"/>
        <v>1</v>
      </c>
      <c r="BJ617" s="47" t="b">
        <f t="shared" si="765"/>
        <v>1</v>
      </c>
      <c r="BK617" s="42" t="b">
        <f t="shared" si="766"/>
        <v>0</v>
      </c>
      <c r="BL617" s="42" t="b">
        <f t="shared" si="767"/>
        <v>0</v>
      </c>
      <c r="BM617" s="42">
        <f t="shared" si="768"/>
        <v>0</v>
      </c>
      <c r="BN617" s="42">
        <f t="shared" si="769"/>
        <v>0</v>
      </c>
      <c r="BP617" t="e">
        <f t="shared" si="770"/>
        <v>#N/A</v>
      </c>
      <c r="BQ617" t="e">
        <f t="shared" si="771"/>
        <v>#N/A</v>
      </c>
      <c r="BR617" t="e">
        <f t="shared" si="772"/>
        <v>#N/A</v>
      </c>
      <c r="BT617" s="60">
        <f t="shared" si="773"/>
        <v>0</v>
      </c>
      <c r="BU617" s="60">
        <f t="shared" si="774"/>
        <v>0</v>
      </c>
      <c r="BV617" s="60">
        <f t="shared" si="775"/>
        <v>0</v>
      </c>
      <c r="BW617" s="60">
        <f t="shared" si="776"/>
        <v>0</v>
      </c>
      <c r="BX617" s="60">
        <f t="shared" si="777"/>
        <v>0</v>
      </c>
      <c r="BY617" s="60">
        <f t="shared" si="778"/>
        <v>0</v>
      </c>
      <c r="BZ617" s="60">
        <f t="shared" si="779"/>
        <v>0</v>
      </c>
      <c r="CA617" s="60">
        <f t="shared" si="780"/>
        <v>0</v>
      </c>
      <c r="CB617" s="60" t="e">
        <f t="shared" si="730"/>
        <v>#N/A</v>
      </c>
      <c r="CC617" s="60">
        <f t="shared" si="731"/>
        <v>100000</v>
      </c>
      <c r="CD617" s="60" t="e">
        <f t="shared" si="732"/>
        <v>#N/A</v>
      </c>
      <c r="CE617" s="60">
        <f t="shared" si="733"/>
        <v>100000</v>
      </c>
      <c r="CF617" s="83" t="e">
        <f t="shared" si="781"/>
        <v>#N/A</v>
      </c>
      <c r="CG617" s="83">
        <f t="shared" si="782"/>
        <v>0</v>
      </c>
      <c r="CH617" s="83" t="e">
        <f t="shared" si="783"/>
        <v>#N/A</v>
      </c>
      <c r="CI617" s="83">
        <f t="shared" si="784"/>
        <v>0</v>
      </c>
      <c r="CJ617" s="86" t="e">
        <f t="shared" si="734"/>
        <v>#N/A</v>
      </c>
      <c r="CK617" s="82">
        <f t="shared" si="735"/>
        <v>5.3070370403969858E-3</v>
      </c>
      <c r="CL617" s="82" t="e">
        <f t="shared" si="736"/>
        <v>#N/A</v>
      </c>
      <c r="CM617" s="82">
        <f t="shared" si="737"/>
        <v>5.3070370403969858E-3</v>
      </c>
      <c r="CO617" s="149" t="str">
        <f>IF($I617&lt;&gt;"",IF(O617="User Specified",U617,INDEX('Refrigerant GWPs'!$G$2:$G$156,MATCH(O617,'Refrigerant GWPs'!$A$2:$A$156,0))),"")</f>
        <v/>
      </c>
      <c r="CP617" s="138" t="str">
        <f>IF($I617&lt;&gt;"",INDEX('Device Refrigerant Leakage'!$E$2:$E$42,MATCH($M617,'Device Refrigerant Leakage'!$B$2:$B$42,0)),"")</f>
        <v/>
      </c>
      <c r="CQ617" s="138" t="str">
        <f>IF($I617&lt;&gt;"",INDEX('Device Refrigerant Leakage'!$F$2:$F$42,MATCH($M617,'Device Refrigerant Leakage'!$B$2:$B$42,0)),"")</f>
        <v/>
      </c>
      <c r="CR617" s="145" t="str">
        <f>IF($I617&lt;&gt;"",INDEX('Device Refrigerant Leakage'!$G$2:$G$42,MATCH($M617,'Device Refrigerant Leakage'!$B$2:$B$42,0)),"")</f>
        <v/>
      </c>
      <c r="CS617" s="145" t="str">
        <f>IF($I617&lt;&gt;"",INDEX('Device Refrigerant Leakage'!$D$2:$D$42,MATCH($M617,'Device Refrigerant Leakage'!$B$2:$B$42,0))*CP617/2204.62*CO617,"")</f>
        <v/>
      </c>
      <c r="CT617" s="145" t="str">
        <f>IF($I617&lt;&gt;"",J617*(INDEX('Device Refrigerant Leakage'!$D$2:$D$42,MATCH($M617,'Device Refrigerant Leakage'!$B$2:$B$42,0))-(INDEX('Device Refrigerant Leakage'!$D$2:$D$42,MATCH($M617,'Device Refrigerant Leakage'!$B$2:$B$42,0)))*CR617*CP617)*CQ617/2204.62*CO617,"")</f>
        <v/>
      </c>
      <c r="CU617" s="135" t="str">
        <f>IF($I617&lt;&gt;"",J617*IF(W617&lt;&gt;"AR",(CS617*K617)+CT617,(CS617*AB617)+CT617*(AB617/INDEX('Device Refrigerant Leakage'!$C$2:$C$42,MATCH($M617,'Device Refrigerant Leakage'!$B$2:$B$42,0)))),"")</f>
        <v/>
      </c>
      <c r="CW617" s="135" t="str">
        <f>IF($I617&lt;&gt;"",IF(S617="User Specified",V617,INDEX('Refrigerant GWPs'!$G$2:$G$156,MATCH(S617,'Refrigerant GWPs'!$A$2:$A$157,0))),"")</f>
        <v/>
      </c>
      <c r="CX617" s="138" t="str">
        <f>IF($I617&lt;&gt;"",INDEX('Device Refrigerant Leakage'!$E$2:$E$42,MATCH($Q617,'Device Refrigerant Leakage'!$B$2:$B$42,0)),"")</f>
        <v/>
      </c>
      <c r="CY617" s="138" t="str">
        <f>IF($I617&lt;&gt;"",INDEX('Device Refrigerant Leakage'!$F$2:$F$42,MATCH($Q617,'Device Refrigerant Leakage'!$B$2:$B$42,0)),"")</f>
        <v/>
      </c>
      <c r="CZ617" s="145" t="str">
        <f>IF($I617&lt;&gt;"",INDEX('Device Refrigerant Leakage'!$G$2:$G$42,MATCH($Q617,'Device Refrigerant Leakage'!$B$2:$B$42,0)),"")</f>
        <v/>
      </c>
      <c r="DA617" s="145" t="str">
        <f>IF($I617&lt;&gt;"",J617*INDEX('Device Refrigerant Leakage'!$D$2:$D$42,MATCH($Q617,'Device Refrigerant Leakage'!$B$2:$B$42,0))*CX617/2204.62*CW617,"")</f>
        <v/>
      </c>
      <c r="DB617" s="145" t="str">
        <f>IF($I617&lt;&gt;"",J617*(INDEX('Device Refrigerant Leakage'!$D$2:$D$42,MATCH($Q617,'Device Refrigerant Leakage'!$B$2:$B$42,0))-(INDEX('Device Refrigerant Leakage'!$D$2:$D$42,MATCH($Q617,'Device Refrigerant Leakage'!$B$2:$B$42,0)))*CZ617*CX617)*CY617/2204.62*CW617,"")</f>
        <v/>
      </c>
      <c r="DC617" s="135" t="str">
        <f t="shared" si="756"/>
        <v/>
      </c>
      <c r="DE617" s="146" t="str">
        <f>IF(W617&lt;&gt;"AR","",IF(Y617="User Specified", AA617, INDEX('Refrigerant GWPs'!$G$2:$G$154,MATCH(Y617,'Refrigerant GWPs'!$A$2:$A$154,0))))</f>
        <v/>
      </c>
      <c r="DF617" s="146" t="str">
        <f>IF(W617&lt;&gt;"AR","",INDEX('Device Refrigerant Leakage'!$E$2:$E$42,MATCH(X617,'Device Refrigerant Leakage'!$B$2:$B$42,0)))</f>
        <v/>
      </c>
      <c r="DG617" s="146" t="str">
        <f>IF(W617&lt;&gt;"AR","",INDEX('Device Refrigerant Leakage'!$F$2:$F$42,MATCH(X617,'Device Refrigerant Leakage'!$B$2:$B$42,0)))</f>
        <v/>
      </c>
      <c r="DH617" s="146" t="str">
        <f>IF(W617&lt;&gt;"AR","",INDEX('Device Refrigerant Leakage'!$G$2:$G$42,MATCH(X617,'Device Refrigerant Leakage'!$B$2:$B$42,0)))</f>
        <v/>
      </c>
      <c r="DI617" s="146" t="str">
        <f>IF(W617&lt;&gt;"AR","",J617*INDEX('Device Refrigerant Leakage'!$D$2:$D$42,MATCH(X617,'Device Refrigerant Leakage'!$B$2:$B$42,0))*DF617/2204.62*DE617)</f>
        <v/>
      </c>
      <c r="DJ617" s="146" t="str">
        <f>IF(W617&lt;&gt;"AR","",J617*(INDEX('Device Refrigerant Leakage'!$D$2:$D$42,MATCH(X617,'Device Refrigerant Leakage'!$B$2:$B$42,0))-(INDEX('Device Refrigerant Leakage'!$D$2:$D$42,MATCH(X617,'Device Refrigerant Leakage'!$B$2:$B$42,0)))*DH617*DF617)*DG617/2204.62*DE617)</f>
        <v/>
      </c>
      <c r="DK617" s="146" t="str">
        <f>IF(W617&lt;&gt;"AR","",DI617*(K617-AB617)+'Fuel Sub Calcs-Deemed'!DJ617*((K617-AB617)/INDEX('Device Refrigerant Leakage'!$C$2:$C$42,MATCH('Fuel Sub Calcs-Deemed'!X617,'Device Refrigerant Leakage'!$B$2:$B$42,0))))</f>
        <v/>
      </c>
      <c r="DM617" s="56">
        <v>603</v>
      </c>
      <c r="DN617" s="67" t="e">
        <f t="shared" si="738"/>
        <v>#N/A</v>
      </c>
      <c r="DO617" s="45" t="e">
        <f t="shared" si="739"/>
        <v>#N/A</v>
      </c>
      <c r="DP617" s="67" t="e">
        <f t="shared" si="740"/>
        <v>#N/A</v>
      </c>
      <c r="DQ617" s="45" t="e">
        <f t="shared" si="741"/>
        <v>#N/A</v>
      </c>
      <c r="DR617" s="69" t="e">
        <f t="shared" si="742"/>
        <v>#N/A</v>
      </c>
      <c r="DS617" s="34"/>
      <c r="DT617" s="67" t="e">
        <f>((BX617*CJ617)+IF($W617=MAT_AR,(BZ617*CL617),0))*(1+Reference!$E$50+Reference!$E$51)</f>
        <v>#N/A</v>
      </c>
      <c r="DU617" s="67">
        <f>((BY617*CK617)+IF($W617=MAT_AR,(CA617*CM617),0))*(1+Reference!$G$50+Reference!$G$51)</f>
        <v>0</v>
      </c>
      <c r="DV617" s="67" t="e">
        <f t="shared" si="743"/>
        <v>#VALUE!</v>
      </c>
      <c r="DX617" s="56">
        <v>603</v>
      </c>
      <c r="DY617" s="67">
        <f t="shared" si="744"/>
        <v>0</v>
      </c>
      <c r="DZ617" s="45" t="e">
        <f>VLOOKUP($R617,Dropdown!$C$3:$D$4,2,FALSE)</f>
        <v>#N/A</v>
      </c>
      <c r="EA617" s="68">
        <f t="shared" si="745"/>
        <v>0</v>
      </c>
      <c r="EB617" s="68" t="str">
        <f t="shared" si="746"/>
        <v>N/A</v>
      </c>
      <c r="EC617" s="68">
        <f t="shared" si="747"/>
        <v>0</v>
      </c>
      <c r="ED617" s="68" t="str">
        <f t="shared" si="785"/>
        <v>N/A</v>
      </c>
      <c r="EF617" s="56">
        <v>603</v>
      </c>
      <c r="EG617" s="46">
        <f t="shared" si="748"/>
        <v>0</v>
      </c>
      <c r="EH617" s="68" t="e">
        <f t="shared" si="749"/>
        <v>#N/A</v>
      </c>
      <c r="EI617" s="68" t="e">
        <f t="shared" si="750"/>
        <v>#N/A</v>
      </c>
      <c r="EJ617" s="68" t="e">
        <f t="shared" si="751"/>
        <v>#N/A</v>
      </c>
      <c r="EK617" s="68" t="e">
        <f t="shared" si="752"/>
        <v>#N/A</v>
      </c>
      <c r="EL617" s="46">
        <f t="shared" si="753"/>
        <v>0</v>
      </c>
      <c r="EM617" s="46">
        <f t="shared" si="754"/>
        <v>0</v>
      </c>
    </row>
    <row r="618" spans="1:143">
      <c r="A618" s="89"/>
      <c r="B618" s="89"/>
      <c r="C618" s="89"/>
      <c r="D618" s="89"/>
      <c r="E618" s="89"/>
      <c r="F618" s="89"/>
      <c r="G618" s="34"/>
      <c r="H618" s="56">
        <f t="shared" si="755"/>
        <v>604</v>
      </c>
      <c r="I618" s="165"/>
      <c r="J618" s="163"/>
      <c r="K618" s="163"/>
      <c r="L618" s="164"/>
      <c r="M618" s="155"/>
      <c r="N618" s="155"/>
      <c r="O618" s="144"/>
      <c r="P618" s="159" t="str">
        <f>IFERROR(IF(O618&lt;&gt;"User Specified",IF(O618&lt;&gt;"", INDEX('Refrigerant GWPs'!$G$2:$G$154,MATCH(O618,'Refrigerant GWPs'!$A$2:$A$154,0)),""),U618),0)</f>
        <v/>
      </c>
      <c r="Q618" s="155"/>
      <c r="R618" s="155"/>
      <c r="S618" s="144"/>
      <c r="T618" s="159" t="str">
        <f>IF(S618&lt;&gt;"User Specified",IF(AND(S618&lt;&gt;"User Specified",S618&lt;&gt;""), INDEX('Refrigerant GWPs'!$G$2:$G$154,MATCH(S618,'Refrigerant GWPs'!$A$2:$A$154,0)),""),V618)</f>
        <v/>
      </c>
      <c r="U618" s="144"/>
      <c r="V618" s="144"/>
      <c r="W618" s="155"/>
      <c r="X618" s="155"/>
      <c r="Y618" s="144"/>
      <c r="Z618" s="159" t="str">
        <f>IF(AND(Y618&lt;&gt;"User Specified",Y618&lt;&gt;""), INDEX('Refrigerant GWPs'!$G$2:$G$154,MATCH(Y618,'Refrigerant GWPs'!$A$2:$A$154,0)),"")</f>
        <v/>
      </c>
      <c r="AA618" s="155"/>
      <c r="AB618" s="156"/>
      <c r="AC618" s="66"/>
      <c r="AD618" s="66"/>
      <c r="AE618" s="66"/>
      <c r="AF618" s="66"/>
      <c r="AG618" s="66"/>
      <c r="AH618" s="66"/>
      <c r="AI618" s="34"/>
      <c r="AJ618" s="88">
        <f t="shared" si="718"/>
        <v>0</v>
      </c>
      <c r="AK618" s="88">
        <f t="shared" si="719"/>
        <v>0</v>
      </c>
      <c r="AL618" s="88">
        <v>0</v>
      </c>
      <c r="AM618" s="88">
        <v>0</v>
      </c>
      <c r="AN618" s="81" t="str">
        <f t="shared" si="757"/>
        <v/>
      </c>
      <c r="AO618" s="88">
        <f t="shared" si="720"/>
        <v>0</v>
      </c>
      <c r="AP618" s="88">
        <f t="shared" si="721"/>
        <v>0</v>
      </c>
      <c r="AQ618" s="81" t="str">
        <f t="shared" si="722"/>
        <v/>
      </c>
      <c r="AS618" s="41" t="b">
        <f t="shared" si="723"/>
        <v>1</v>
      </c>
      <c r="AT618" s="38">
        <f t="shared" si="724"/>
        <v>0</v>
      </c>
      <c r="AU618" s="60">
        <f t="shared" si="725"/>
        <v>0</v>
      </c>
      <c r="AV618" s="41">
        <f t="shared" si="726"/>
        <v>0</v>
      </c>
      <c r="AW618" s="41" t="b">
        <f t="shared" si="727"/>
        <v>0</v>
      </c>
      <c r="AX618" t="str">
        <f t="shared" si="728"/>
        <v>+00</v>
      </c>
      <c r="AY618" t="str">
        <f t="shared" si="729"/>
        <v>+00</v>
      </c>
      <c r="BA618" s="47" t="b">
        <f t="shared" si="758"/>
        <v>1</v>
      </c>
      <c r="BB618" s="42" t="b">
        <f t="shared" si="759"/>
        <v>1</v>
      </c>
      <c r="BC618" s="42" t="b">
        <f t="shared" si="760"/>
        <v>0</v>
      </c>
      <c r="BD618" s="42" t="b">
        <f t="shared" si="761"/>
        <v>0</v>
      </c>
      <c r="BE618" s="70">
        <f t="shared" si="762"/>
        <v>0</v>
      </c>
      <c r="BF618" s="70">
        <f t="shared" si="763"/>
        <v>0</v>
      </c>
      <c r="BG618" s="34"/>
      <c r="BI618" s="47" t="b">
        <f t="shared" si="764"/>
        <v>1</v>
      </c>
      <c r="BJ618" s="47" t="b">
        <f t="shared" si="765"/>
        <v>1</v>
      </c>
      <c r="BK618" s="42" t="b">
        <f t="shared" si="766"/>
        <v>0</v>
      </c>
      <c r="BL618" s="42" t="b">
        <f t="shared" si="767"/>
        <v>0</v>
      </c>
      <c r="BM618" s="42">
        <f t="shared" si="768"/>
        <v>0</v>
      </c>
      <c r="BN618" s="42">
        <f t="shared" si="769"/>
        <v>0</v>
      </c>
      <c r="BP618" t="e">
        <f t="shared" si="770"/>
        <v>#N/A</v>
      </c>
      <c r="BQ618" t="e">
        <f t="shared" si="771"/>
        <v>#N/A</v>
      </c>
      <c r="BR618" t="e">
        <f t="shared" si="772"/>
        <v>#N/A</v>
      </c>
      <c r="BT618" s="60">
        <f t="shared" si="773"/>
        <v>0</v>
      </c>
      <c r="BU618" s="60">
        <f t="shared" si="774"/>
        <v>0</v>
      </c>
      <c r="BV618" s="60">
        <f t="shared" si="775"/>
        <v>0</v>
      </c>
      <c r="BW618" s="60">
        <f t="shared" si="776"/>
        <v>0</v>
      </c>
      <c r="BX618" s="60">
        <f t="shared" si="777"/>
        <v>0</v>
      </c>
      <c r="BY618" s="60">
        <f t="shared" si="778"/>
        <v>0</v>
      </c>
      <c r="BZ618" s="60">
        <f t="shared" si="779"/>
        <v>0</v>
      </c>
      <c r="CA618" s="60">
        <f t="shared" si="780"/>
        <v>0</v>
      </c>
      <c r="CB618" s="60" t="e">
        <f t="shared" si="730"/>
        <v>#N/A</v>
      </c>
      <c r="CC618" s="60">
        <f t="shared" si="731"/>
        <v>100000</v>
      </c>
      <c r="CD618" s="60" t="e">
        <f t="shared" si="732"/>
        <v>#N/A</v>
      </c>
      <c r="CE618" s="60">
        <f t="shared" si="733"/>
        <v>100000</v>
      </c>
      <c r="CF618" s="83" t="e">
        <f t="shared" si="781"/>
        <v>#N/A</v>
      </c>
      <c r="CG618" s="83">
        <f t="shared" si="782"/>
        <v>0</v>
      </c>
      <c r="CH618" s="83" t="e">
        <f t="shared" si="783"/>
        <v>#N/A</v>
      </c>
      <c r="CI618" s="83">
        <f t="shared" si="784"/>
        <v>0</v>
      </c>
      <c r="CJ618" s="86" t="e">
        <f t="shared" si="734"/>
        <v>#N/A</v>
      </c>
      <c r="CK618" s="82">
        <f t="shared" si="735"/>
        <v>5.3070370403969858E-3</v>
      </c>
      <c r="CL618" s="82" t="e">
        <f t="shared" si="736"/>
        <v>#N/A</v>
      </c>
      <c r="CM618" s="82">
        <f t="shared" si="737"/>
        <v>5.3070370403969858E-3</v>
      </c>
      <c r="CO618" s="149" t="str">
        <f>IF($I618&lt;&gt;"",IF(O618="User Specified",U618,INDEX('Refrigerant GWPs'!$G$2:$G$156,MATCH(O618,'Refrigerant GWPs'!$A$2:$A$156,0))),"")</f>
        <v/>
      </c>
      <c r="CP618" s="138" t="str">
        <f>IF($I618&lt;&gt;"",INDEX('Device Refrigerant Leakage'!$E$2:$E$42,MATCH($M618,'Device Refrigerant Leakage'!$B$2:$B$42,0)),"")</f>
        <v/>
      </c>
      <c r="CQ618" s="138" t="str">
        <f>IF($I618&lt;&gt;"",INDEX('Device Refrigerant Leakage'!$F$2:$F$42,MATCH($M618,'Device Refrigerant Leakage'!$B$2:$B$42,0)),"")</f>
        <v/>
      </c>
      <c r="CR618" s="145" t="str">
        <f>IF($I618&lt;&gt;"",INDEX('Device Refrigerant Leakage'!$G$2:$G$42,MATCH($M618,'Device Refrigerant Leakage'!$B$2:$B$42,0)),"")</f>
        <v/>
      </c>
      <c r="CS618" s="145" t="str">
        <f>IF($I618&lt;&gt;"",INDEX('Device Refrigerant Leakage'!$D$2:$D$42,MATCH($M618,'Device Refrigerant Leakage'!$B$2:$B$42,0))*CP618/2204.62*CO618,"")</f>
        <v/>
      </c>
      <c r="CT618" s="145" t="str">
        <f>IF($I618&lt;&gt;"",J618*(INDEX('Device Refrigerant Leakage'!$D$2:$D$42,MATCH($M618,'Device Refrigerant Leakage'!$B$2:$B$42,0))-(INDEX('Device Refrigerant Leakage'!$D$2:$D$42,MATCH($M618,'Device Refrigerant Leakage'!$B$2:$B$42,0)))*CR618*CP618)*CQ618/2204.62*CO618,"")</f>
        <v/>
      </c>
      <c r="CU618" s="135" t="str">
        <f>IF($I618&lt;&gt;"",J618*IF(W618&lt;&gt;"AR",(CS618*K618)+CT618,(CS618*AB618)+CT618*(AB618/INDEX('Device Refrigerant Leakage'!$C$2:$C$42,MATCH($M618,'Device Refrigerant Leakage'!$B$2:$B$42,0)))),"")</f>
        <v/>
      </c>
      <c r="CW618" s="135" t="str">
        <f>IF($I618&lt;&gt;"",IF(S618="User Specified",V618,INDEX('Refrigerant GWPs'!$G$2:$G$156,MATCH(S618,'Refrigerant GWPs'!$A$2:$A$157,0))),"")</f>
        <v/>
      </c>
      <c r="CX618" s="138" t="str">
        <f>IF($I618&lt;&gt;"",INDEX('Device Refrigerant Leakage'!$E$2:$E$42,MATCH($Q618,'Device Refrigerant Leakage'!$B$2:$B$42,0)),"")</f>
        <v/>
      </c>
      <c r="CY618" s="138" t="str">
        <f>IF($I618&lt;&gt;"",INDEX('Device Refrigerant Leakage'!$F$2:$F$42,MATCH($Q618,'Device Refrigerant Leakage'!$B$2:$B$42,0)),"")</f>
        <v/>
      </c>
      <c r="CZ618" s="145" t="str">
        <f>IF($I618&lt;&gt;"",INDEX('Device Refrigerant Leakage'!$G$2:$G$42,MATCH($Q618,'Device Refrigerant Leakage'!$B$2:$B$42,0)),"")</f>
        <v/>
      </c>
      <c r="DA618" s="145" t="str">
        <f>IF($I618&lt;&gt;"",J618*INDEX('Device Refrigerant Leakage'!$D$2:$D$42,MATCH($Q618,'Device Refrigerant Leakage'!$B$2:$B$42,0))*CX618/2204.62*CW618,"")</f>
        <v/>
      </c>
      <c r="DB618" s="145" t="str">
        <f>IF($I618&lt;&gt;"",J618*(INDEX('Device Refrigerant Leakage'!$D$2:$D$42,MATCH($Q618,'Device Refrigerant Leakage'!$B$2:$B$42,0))-(INDEX('Device Refrigerant Leakage'!$D$2:$D$42,MATCH($Q618,'Device Refrigerant Leakage'!$B$2:$B$42,0)))*CZ618*CX618)*CY618/2204.62*CW618,"")</f>
        <v/>
      </c>
      <c r="DC618" s="135" t="str">
        <f t="shared" si="756"/>
        <v/>
      </c>
      <c r="DE618" s="146" t="str">
        <f>IF(W618&lt;&gt;"AR","",IF(Y618="User Specified", AA618, INDEX('Refrigerant GWPs'!$G$2:$G$154,MATCH(Y618,'Refrigerant GWPs'!$A$2:$A$154,0))))</f>
        <v/>
      </c>
      <c r="DF618" s="146" t="str">
        <f>IF(W618&lt;&gt;"AR","",INDEX('Device Refrigerant Leakage'!$E$2:$E$42,MATCH(X618,'Device Refrigerant Leakage'!$B$2:$B$42,0)))</f>
        <v/>
      </c>
      <c r="DG618" s="146" t="str">
        <f>IF(W618&lt;&gt;"AR","",INDEX('Device Refrigerant Leakage'!$F$2:$F$42,MATCH(X618,'Device Refrigerant Leakage'!$B$2:$B$42,0)))</f>
        <v/>
      </c>
      <c r="DH618" s="146" t="str">
        <f>IF(W618&lt;&gt;"AR","",INDEX('Device Refrigerant Leakage'!$G$2:$G$42,MATCH(X618,'Device Refrigerant Leakage'!$B$2:$B$42,0)))</f>
        <v/>
      </c>
      <c r="DI618" s="146" t="str">
        <f>IF(W618&lt;&gt;"AR","",J618*INDEX('Device Refrigerant Leakage'!$D$2:$D$42,MATCH(X618,'Device Refrigerant Leakage'!$B$2:$B$42,0))*DF618/2204.62*DE618)</f>
        <v/>
      </c>
      <c r="DJ618" s="146" t="str">
        <f>IF(W618&lt;&gt;"AR","",J618*(INDEX('Device Refrigerant Leakage'!$D$2:$D$42,MATCH(X618,'Device Refrigerant Leakage'!$B$2:$B$42,0))-(INDEX('Device Refrigerant Leakage'!$D$2:$D$42,MATCH(X618,'Device Refrigerant Leakage'!$B$2:$B$42,0)))*DH618*DF618)*DG618/2204.62*DE618)</f>
        <v/>
      </c>
      <c r="DK618" s="146" t="str">
        <f>IF(W618&lt;&gt;"AR","",DI618*(K618-AB618)+'Fuel Sub Calcs-Deemed'!DJ618*((K618-AB618)/INDEX('Device Refrigerant Leakage'!$C$2:$C$42,MATCH('Fuel Sub Calcs-Deemed'!X618,'Device Refrigerant Leakage'!$B$2:$B$42,0))))</f>
        <v/>
      </c>
      <c r="DM618" s="56">
        <v>604</v>
      </c>
      <c r="DN618" s="67" t="e">
        <f t="shared" si="738"/>
        <v>#N/A</v>
      </c>
      <c r="DO618" s="45" t="e">
        <f t="shared" si="739"/>
        <v>#N/A</v>
      </c>
      <c r="DP618" s="67" t="e">
        <f t="shared" si="740"/>
        <v>#N/A</v>
      </c>
      <c r="DQ618" s="45" t="e">
        <f t="shared" si="741"/>
        <v>#N/A</v>
      </c>
      <c r="DR618" s="69" t="e">
        <f t="shared" si="742"/>
        <v>#N/A</v>
      </c>
      <c r="DS618" s="34"/>
      <c r="DT618" s="67" t="e">
        <f>((BX618*CJ618)+IF($W618=MAT_AR,(BZ618*CL618),0))*(1+Reference!$E$50+Reference!$E$51)</f>
        <v>#N/A</v>
      </c>
      <c r="DU618" s="67">
        <f>((BY618*CK618)+IF($W618=MAT_AR,(CA618*CM618),0))*(1+Reference!$G$50+Reference!$G$51)</f>
        <v>0</v>
      </c>
      <c r="DV618" s="67" t="e">
        <f t="shared" si="743"/>
        <v>#VALUE!</v>
      </c>
      <c r="DX618" s="56">
        <v>604</v>
      </c>
      <c r="DY618" s="67">
        <f t="shared" si="744"/>
        <v>0</v>
      </c>
      <c r="DZ618" s="45" t="e">
        <f>VLOOKUP($R618,Dropdown!$C$3:$D$4,2,FALSE)</f>
        <v>#N/A</v>
      </c>
      <c r="EA618" s="68">
        <f t="shared" si="745"/>
        <v>0</v>
      </c>
      <c r="EB618" s="68" t="str">
        <f t="shared" si="746"/>
        <v>N/A</v>
      </c>
      <c r="EC618" s="68">
        <f t="shared" si="747"/>
        <v>0</v>
      </c>
      <c r="ED618" s="68" t="str">
        <f t="shared" si="785"/>
        <v>N/A</v>
      </c>
      <c r="EF618" s="56">
        <v>604</v>
      </c>
      <c r="EG618" s="46">
        <f t="shared" si="748"/>
        <v>0</v>
      </c>
      <c r="EH618" s="68" t="e">
        <f t="shared" si="749"/>
        <v>#N/A</v>
      </c>
      <c r="EI618" s="68" t="e">
        <f t="shared" si="750"/>
        <v>#N/A</v>
      </c>
      <c r="EJ618" s="68" t="e">
        <f t="shared" si="751"/>
        <v>#N/A</v>
      </c>
      <c r="EK618" s="68" t="e">
        <f t="shared" si="752"/>
        <v>#N/A</v>
      </c>
      <c r="EL618" s="46">
        <f t="shared" si="753"/>
        <v>0</v>
      </c>
      <c r="EM618" s="46">
        <f t="shared" si="754"/>
        <v>0</v>
      </c>
    </row>
    <row r="619" spans="1:143">
      <c r="A619" s="89"/>
      <c r="B619" s="89"/>
      <c r="C619" s="89"/>
      <c r="D619" s="89"/>
      <c r="E619" s="89"/>
      <c r="F619" s="89"/>
      <c r="G619" s="34"/>
      <c r="H619" s="56">
        <f t="shared" si="755"/>
        <v>605</v>
      </c>
      <c r="I619" s="165"/>
      <c r="J619" s="163"/>
      <c r="K619" s="163"/>
      <c r="L619" s="164"/>
      <c r="M619" s="155"/>
      <c r="N619" s="155"/>
      <c r="O619" s="144"/>
      <c r="P619" s="159" t="str">
        <f>IFERROR(IF(O619&lt;&gt;"User Specified",IF(O619&lt;&gt;"", INDEX('Refrigerant GWPs'!$G$2:$G$154,MATCH(O619,'Refrigerant GWPs'!$A$2:$A$154,0)),""),U619),0)</f>
        <v/>
      </c>
      <c r="Q619" s="155"/>
      <c r="R619" s="155"/>
      <c r="S619" s="144"/>
      <c r="T619" s="159" t="str">
        <f>IF(S619&lt;&gt;"User Specified",IF(AND(S619&lt;&gt;"User Specified",S619&lt;&gt;""), INDEX('Refrigerant GWPs'!$G$2:$G$154,MATCH(S619,'Refrigerant GWPs'!$A$2:$A$154,0)),""),V619)</f>
        <v/>
      </c>
      <c r="U619" s="144"/>
      <c r="V619" s="144"/>
      <c r="W619" s="155"/>
      <c r="X619" s="155"/>
      <c r="Y619" s="144"/>
      <c r="Z619" s="159" t="str">
        <f>IF(AND(Y619&lt;&gt;"User Specified",Y619&lt;&gt;""), INDEX('Refrigerant GWPs'!$G$2:$G$154,MATCH(Y619,'Refrigerant GWPs'!$A$2:$A$154,0)),"")</f>
        <v/>
      </c>
      <c r="AA619" s="155"/>
      <c r="AB619" s="156"/>
      <c r="AC619" s="66"/>
      <c r="AD619" s="66"/>
      <c r="AE619" s="66"/>
      <c r="AF619" s="66"/>
      <c r="AG619" s="66"/>
      <c r="AH619" s="66"/>
      <c r="AI619" s="34"/>
      <c r="AJ619" s="88">
        <f t="shared" si="718"/>
        <v>0</v>
      </c>
      <c r="AK619" s="88">
        <f t="shared" si="719"/>
        <v>0</v>
      </c>
      <c r="AL619" s="88">
        <v>0</v>
      </c>
      <c r="AM619" s="88">
        <v>0</v>
      </c>
      <c r="AN619" s="81" t="str">
        <f t="shared" si="757"/>
        <v/>
      </c>
      <c r="AO619" s="88">
        <f t="shared" si="720"/>
        <v>0</v>
      </c>
      <c r="AP619" s="88">
        <f t="shared" si="721"/>
        <v>0</v>
      </c>
      <c r="AQ619" s="81" t="str">
        <f t="shared" si="722"/>
        <v/>
      </c>
      <c r="AS619" s="41" t="b">
        <f t="shared" si="723"/>
        <v>1</v>
      </c>
      <c r="AT619" s="38">
        <f t="shared" si="724"/>
        <v>0</v>
      </c>
      <c r="AU619" s="60">
        <f t="shared" si="725"/>
        <v>0</v>
      </c>
      <c r="AV619" s="41">
        <f t="shared" si="726"/>
        <v>0</v>
      </c>
      <c r="AW619" s="41" t="b">
        <f t="shared" si="727"/>
        <v>0</v>
      </c>
      <c r="AX619" t="str">
        <f t="shared" si="728"/>
        <v>+00</v>
      </c>
      <c r="AY619" t="str">
        <f t="shared" si="729"/>
        <v>+00</v>
      </c>
      <c r="BA619" s="47" t="b">
        <f t="shared" si="758"/>
        <v>1</v>
      </c>
      <c r="BB619" s="42" t="b">
        <f t="shared" si="759"/>
        <v>1</v>
      </c>
      <c r="BC619" s="42" t="b">
        <f t="shared" si="760"/>
        <v>0</v>
      </c>
      <c r="BD619" s="42" t="b">
        <f t="shared" si="761"/>
        <v>0</v>
      </c>
      <c r="BE619" s="70">
        <f t="shared" si="762"/>
        <v>0</v>
      </c>
      <c r="BF619" s="70">
        <f t="shared" si="763"/>
        <v>0</v>
      </c>
      <c r="BG619" s="34"/>
      <c r="BI619" s="47" t="b">
        <f t="shared" si="764"/>
        <v>1</v>
      </c>
      <c r="BJ619" s="47" t="b">
        <f t="shared" si="765"/>
        <v>1</v>
      </c>
      <c r="BK619" s="42" t="b">
        <f t="shared" si="766"/>
        <v>0</v>
      </c>
      <c r="BL619" s="42" t="b">
        <f t="shared" si="767"/>
        <v>0</v>
      </c>
      <c r="BM619" s="42">
        <f t="shared" si="768"/>
        <v>0</v>
      </c>
      <c r="BN619" s="42">
        <f t="shared" si="769"/>
        <v>0</v>
      </c>
      <c r="BP619" t="e">
        <f t="shared" si="770"/>
        <v>#N/A</v>
      </c>
      <c r="BQ619" t="e">
        <f t="shared" si="771"/>
        <v>#N/A</v>
      </c>
      <c r="BR619" t="e">
        <f t="shared" si="772"/>
        <v>#N/A</v>
      </c>
      <c r="BT619" s="60">
        <f t="shared" si="773"/>
        <v>0</v>
      </c>
      <c r="BU619" s="60">
        <f t="shared" si="774"/>
        <v>0</v>
      </c>
      <c r="BV619" s="60">
        <f t="shared" si="775"/>
        <v>0</v>
      </c>
      <c r="BW619" s="60">
        <f t="shared" si="776"/>
        <v>0</v>
      </c>
      <c r="BX619" s="60">
        <f t="shared" si="777"/>
        <v>0</v>
      </c>
      <c r="BY619" s="60">
        <f t="shared" si="778"/>
        <v>0</v>
      </c>
      <c r="BZ619" s="60">
        <f t="shared" si="779"/>
        <v>0</v>
      </c>
      <c r="CA619" s="60">
        <f t="shared" si="780"/>
        <v>0</v>
      </c>
      <c r="CB619" s="60" t="e">
        <f t="shared" si="730"/>
        <v>#N/A</v>
      </c>
      <c r="CC619" s="60">
        <f t="shared" si="731"/>
        <v>100000</v>
      </c>
      <c r="CD619" s="60" t="e">
        <f t="shared" si="732"/>
        <v>#N/A</v>
      </c>
      <c r="CE619" s="60">
        <f t="shared" si="733"/>
        <v>100000</v>
      </c>
      <c r="CF619" s="83" t="e">
        <f t="shared" si="781"/>
        <v>#N/A</v>
      </c>
      <c r="CG619" s="83">
        <f t="shared" si="782"/>
        <v>0</v>
      </c>
      <c r="CH619" s="83" t="e">
        <f t="shared" si="783"/>
        <v>#N/A</v>
      </c>
      <c r="CI619" s="83">
        <f t="shared" si="784"/>
        <v>0</v>
      </c>
      <c r="CJ619" s="86" t="e">
        <f t="shared" si="734"/>
        <v>#N/A</v>
      </c>
      <c r="CK619" s="82">
        <f t="shared" si="735"/>
        <v>5.3070370403969858E-3</v>
      </c>
      <c r="CL619" s="82" t="e">
        <f t="shared" si="736"/>
        <v>#N/A</v>
      </c>
      <c r="CM619" s="82">
        <f t="shared" si="737"/>
        <v>5.3070370403969858E-3</v>
      </c>
      <c r="CO619" s="149" t="str">
        <f>IF($I619&lt;&gt;"",IF(O619="User Specified",U619,INDEX('Refrigerant GWPs'!$G$2:$G$156,MATCH(O619,'Refrigerant GWPs'!$A$2:$A$156,0))),"")</f>
        <v/>
      </c>
      <c r="CP619" s="138" t="str">
        <f>IF($I619&lt;&gt;"",INDEX('Device Refrigerant Leakage'!$E$2:$E$42,MATCH($M619,'Device Refrigerant Leakage'!$B$2:$B$42,0)),"")</f>
        <v/>
      </c>
      <c r="CQ619" s="138" t="str">
        <f>IF($I619&lt;&gt;"",INDEX('Device Refrigerant Leakage'!$F$2:$F$42,MATCH($M619,'Device Refrigerant Leakage'!$B$2:$B$42,0)),"")</f>
        <v/>
      </c>
      <c r="CR619" s="145" t="str">
        <f>IF($I619&lt;&gt;"",INDEX('Device Refrigerant Leakage'!$G$2:$G$42,MATCH($M619,'Device Refrigerant Leakage'!$B$2:$B$42,0)),"")</f>
        <v/>
      </c>
      <c r="CS619" s="145" t="str">
        <f>IF($I619&lt;&gt;"",INDEX('Device Refrigerant Leakage'!$D$2:$D$42,MATCH($M619,'Device Refrigerant Leakage'!$B$2:$B$42,0))*CP619/2204.62*CO619,"")</f>
        <v/>
      </c>
      <c r="CT619" s="145" t="str">
        <f>IF($I619&lt;&gt;"",J619*(INDEX('Device Refrigerant Leakage'!$D$2:$D$42,MATCH($M619,'Device Refrigerant Leakage'!$B$2:$B$42,0))-(INDEX('Device Refrigerant Leakage'!$D$2:$D$42,MATCH($M619,'Device Refrigerant Leakage'!$B$2:$B$42,0)))*CR619*CP619)*CQ619/2204.62*CO619,"")</f>
        <v/>
      </c>
      <c r="CU619" s="135" t="str">
        <f>IF($I619&lt;&gt;"",J619*IF(W619&lt;&gt;"AR",(CS619*K619)+CT619,(CS619*AB619)+CT619*(AB619/INDEX('Device Refrigerant Leakage'!$C$2:$C$42,MATCH($M619,'Device Refrigerant Leakage'!$B$2:$B$42,0)))),"")</f>
        <v/>
      </c>
      <c r="CW619" s="135" t="str">
        <f>IF($I619&lt;&gt;"",IF(S619="User Specified",V619,INDEX('Refrigerant GWPs'!$G$2:$G$156,MATCH(S619,'Refrigerant GWPs'!$A$2:$A$157,0))),"")</f>
        <v/>
      </c>
      <c r="CX619" s="138" t="str">
        <f>IF($I619&lt;&gt;"",INDEX('Device Refrigerant Leakage'!$E$2:$E$42,MATCH($Q619,'Device Refrigerant Leakage'!$B$2:$B$42,0)),"")</f>
        <v/>
      </c>
      <c r="CY619" s="138" t="str">
        <f>IF($I619&lt;&gt;"",INDEX('Device Refrigerant Leakage'!$F$2:$F$42,MATCH($Q619,'Device Refrigerant Leakage'!$B$2:$B$42,0)),"")</f>
        <v/>
      </c>
      <c r="CZ619" s="145" t="str">
        <f>IF($I619&lt;&gt;"",INDEX('Device Refrigerant Leakage'!$G$2:$G$42,MATCH($Q619,'Device Refrigerant Leakage'!$B$2:$B$42,0)),"")</f>
        <v/>
      </c>
      <c r="DA619" s="145" t="str">
        <f>IF($I619&lt;&gt;"",J619*INDEX('Device Refrigerant Leakage'!$D$2:$D$42,MATCH($Q619,'Device Refrigerant Leakage'!$B$2:$B$42,0))*CX619/2204.62*CW619,"")</f>
        <v/>
      </c>
      <c r="DB619" s="145" t="str">
        <f>IF($I619&lt;&gt;"",J619*(INDEX('Device Refrigerant Leakage'!$D$2:$D$42,MATCH($Q619,'Device Refrigerant Leakage'!$B$2:$B$42,0))-(INDEX('Device Refrigerant Leakage'!$D$2:$D$42,MATCH($Q619,'Device Refrigerant Leakage'!$B$2:$B$42,0)))*CZ619*CX619)*CY619/2204.62*CW619,"")</f>
        <v/>
      </c>
      <c r="DC619" s="135" t="str">
        <f t="shared" si="756"/>
        <v/>
      </c>
      <c r="DE619" s="146" t="str">
        <f>IF(W619&lt;&gt;"AR","",IF(Y619="User Specified", AA619, INDEX('Refrigerant GWPs'!$G$2:$G$154,MATCH(Y619,'Refrigerant GWPs'!$A$2:$A$154,0))))</f>
        <v/>
      </c>
      <c r="DF619" s="146" t="str">
        <f>IF(W619&lt;&gt;"AR","",INDEX('Device Refrigerant Leakage'!$E$2:$E$42,MATCH(X619,'Device Refrigerant Leakage'!$B$2:$B$42,0)))</f>
        <v/>
      </c>
      <c r="DG619" s="146" t="str">
        <f>IF(W619&lt;&gt;"AR","",INDEX('Device Refrigerant Leakage'!$F$2:$F$42,MATCH(X619,'Device Refrigerant Leakage'!$B$2:$B$42,0)))</f>
        <v/>
      </c>
      <c r="DH619" s="146" t="str">
        <f>IF(W619&lt;&gt;"AR","",INDEX('Device Refrigerant Leakage'!$G$2:$G$42,MATCH(X619,'Device Refrigerant Leakage'!$B$2:$B$42,0)))</f>
        <v/>
      </c>
      <c r="DI619" s="146" t="str">
        <f>IF(W619&lt;&gt;"AR","",J619*INDEX('Device Refrigerant Leakage'!$D$2:$D$42,MATCH(X619,'Device Refrigerant Leakage'!$B$2:$B$42,0))*DF619/2204.62*DE619)</f>
        <v/>
      </c>
      <c r="DJ619" s="146" t="str">
        <f>IF(W619&lt;&gt;"AR","",J619*(INDEX('Device Refrigerant Leakage'!$D$2:$D$42,MATCH(X619,'Device Refrigerant Leakage'!$B$2:$B$42,0))-(INDEX('Device Refrigerant Leakage'!$D$2:$D$42,MATCH(X619,'Device Refrigerant Leakage'!$B$2:$B$42,0)))*DH619*DF619)*DG619/2204.62*DE619)</f>
        <v/>
      </c>
      <c r="DK619" s="146" t="str">
        <f>IF(W619&lt;&gt;"AR","",DI619*(K619-AB619)+'Fuel Sub Calcs-Deemed'!DJ619*((K619-AB619)/INDEX('Device Refrigerant Leakage'!$C$2:$C$42,MATCH('Fuel Sub Calcs-Deemed'!X619,'Device Refrigerant Leakage'!$B$2:$B$42,0))))</f>
        <v/>
      </c>
      <c r="DM619" s="56">
        <v>605</v>
      </c>
      <c r="DN619" s="67" t="e">
        <f t="shared" si="738"/>
        <v>#N/A</v>
      </c>
      <c r="DO619" s="45" t="e">
        <f t="shared" si="739"/>
        <v>#N/A</v>
      </c>
      <c r="DP619" s="67" t="e">
        <f t="shared" si="740"/>
        <v>#N/A</v>
      </c>
      <c r="DQ619" s="45" t="e">
        <f t="shared" si="741"/>
        <v>#N/A</v>
      </c>
      <c r="DR619" s="69" t="e">
        <f t="shared" si="742"/>
        <v>#N/A</v>
      </c>
      <c r="DS619" s="34"/>
      <c r="DT619" s="67" t="e">
        <f>((BX619*CJ619)+IF($W619=MAT_AR,(BZ619*CL619),0))*(1+Reference!$E$50+Reference!$E$51)</f>
        <v>#N/A</v>
      </c>
      <c r="DU619" s="67">
        <f>((BY619*CK619)+IF($W619=MAT_AR,(CA619*CM619),0))*(1+Reference!$G$50+Reference!$G$51)</f>
        <v>0</v>
      </c>
      <c r="DV619" s="67" t="e">
        <f t="shared" si="743"/>
        <v>#VALUE!</v>
      </c>
      <c r="DX619" s="56">
        <v>605</v>
      </c>
      <c r="DY619" s="67">
        <f t="shared" si="744"/>
        <v>0</v>
      </c>
      <c r="DZ619" s="45" t="e">
        <f>VLOOKUP($R619,Dropdown!$C$3:$D$4,2,FALSE)</f>
        <v>#N/A</v>
      </c>
      <c r="EA619" s="68">
        <f t="shared" si="745"/>
        <v>0</v>
      </c>
      <c r="EB619" s="68" t="str">
        <f t="shared" si="746"/>
        <v>N/A</v>
      </c>
      <c r="EC619" s="68">
        <f t="shared" si="747"/>
        <v>0</v>
      </c>
      <c r="ED619" s="68" t="str">
        <f t="shared" si="785"/>
        <v>N/A</v>
      </c>
      <c r="EF619" s="56">
        <v>605</v>
      </c>
      <c r="EG619" s="46">
        <f t="shared" si="748"/>
        <v>0</v>
      </c>
      <c r="EH619" s="68" t="e">
        <f t="shared" si="749"/>
        <v>#N/A</v>
      </c>
      <c r="EI619" s="68" t="e">
        <f t="shared" si="750"/>
        <v>#N/A</v>
      </c>
      <c r="EJ619" s="68" t="e">
        <f t="shared" si="751"/>
        <v>#N/A</v>
      </c>
      <c r="EK619" s="68" t="e">
        <f t="shared" si="752"/>
        <v>#N/A</v>
      </c>
      <c r="EL619" s="46">
        <f t="shared" si="753"/>
        <v>0</v>
      </c>
      <c r="EM619" s="46">
        <f t="shared" si="754"/>
        <v>0</v>
      </c>
    </row>
    <row r="620" spans="1:143">
      <c r="A620" s="89"/>
      <c r="B620" s="89"/>
      <c r="C620" s="89"/>
      <c r="D620" s="89"/>
      <c r="E620" s="89"/>
      <c r="F620" s="89"/>
      <c r="G620" s="34"/>
      <c r="H620" s="56">
        <f t="shared" si="755"/>
        <v>606</v>
      </c>
      <c r="I620" s="165"/>
      <c r="J620" s="163"/>
      <c r="K620" s="163"/>
      <c r="L620" s="164"/>
      <c r="M620" s="155"/>
      <c r="N620" s="155"/>
      <c r="O620" s="144"/>
      <c r="P620" s="159" t="str">
        <f>IFERROR(IF(O620&lt;&gt;"User Specified",IF(O620&lt;&gt;"", INDEX('Refrigerant GWPs'!$G$2:$G$154,MATCH(O620,'Refrigerant GWPs'!$A$2:$A$154,0)),""),U620),0)</f>
        <v/>
      </c>
      <c r="Q620" s="155"/>
      <c r="R620" s="155"/>
      <c r="S620" s="144"/>
      <c r="T620" s="159" t="str">
        <f>IF(S620&lt;&gt;"User Specified",IF(AND(S620&lt;&gt;"User Specified",S620&lt;&gt;""), INDEX('Refrigerant GWPs'!$G$2:$G$154,MATCH(S620,'Refrigerant GWPs'!$A$2:$A$154,0)),""),V620)</f>
        <v/>
      </c>
      <c r="U620" s="144"/>
      <c r="V620" s="144"/>
      <c r="W620" s="155"/>
      <c r="X620" s="155"/>
      <c r="Y620" s="144"/>
      <c r="Z620" s="159" t="str">
        <f>IF(AND(Y620&lt;&gt;"User Specified",Y620&lt;&gt;""), INDEX('Refrigerant GWPs'!$G$2:$G$154,MATCH(Y620,'Refrigerant GWPs'!$A$2:$A$154,0)),"")</f>
        <v/>
      </c>
      <c r="AA620" s="155"/>
      <c r="AB620" s="156"/>
      <c r="AC620" s="66"/>
      <c r="AD620" s="66"/>
      <c r="AE620" s="66"/>
      <c r="AF620" s="66"/>
      <c r="AG620" s="66"/>
      <c r="AH620" s="66"/>
      <c r="AI620" s="34"/>
      <c r="AJ620" s="88">
        <f t="shared" si="718"/>
        <v>0</v>
      </c>
      <c r="AK620" s="88">
        <f t="shared" si="719"/>
        <v>0</v>
      </c>
      <c r="AL620" s="88">
        <v>0</v>
      </c>
      <c r="AM620" s="88">
        <v>0</v>
      </c>
      <c r="AN620" s="81" t="str">
        <f t="shared" si="757"/>
        <v/>
      </c>
      <c r="AO620" s="88">
        <f t="shared" si="720"/>
        <v>0</v>
      </c>
      <c r="AP620" s="88">
        <f t="shared" si="721"/>
        <v>0</v>
      </c>
      <c r="AQ620" s="81" t="str">
        <f t="shared" si="722"/>
        <v/>
      </c>
      <c r="AS620" s="41" t="b">
        <f t="shared" si="723"/>
        <v>1</v>
      </c>
      <c r="AT620" s="38">
        <f t="shared" si="724"/>
        <v>0</v>
      </c>
      <c r="AU620" s="60">
        <f t="shared" si="725"/>
        <v>0</v>
      </c>
      <c r="AV620" s="41">
        <f t="shared" si="726"/>
        <v>0</v>
      </c>
      <c r="AW620" s="41" t="b">
        <f t="shared" si="727"/>
        <v>0</v>
      </c>
      <c r="AX620" t="str">
        <f t="shared" si="728"/>
        <v>+00</v>
      </c>
      <c r="AY620" t="str">
        <f t="shared" si="729"/>
        <v>+00</v>
      </c>
      <c r="BA620" s="47" t="b">
        <f t="shared" si="758"/>
        <v>1</v>
      </c>
      <c r="BB620" s="42" t="b">
        <f t="shared" si="759"/>
        <v>1</v>
      </c>
      <c r="BC620" s="42" t="b">
        <f t="shared" si="760"/>
        <v>0</v>
      </c>
      <c r="BD620" s="42" t="b">
        <f t="shared" si="761"/>
        <v>0</v>
      </c>
      <c r="BE620" s="70">
        <f t="shared" si="762"/>
        <v>0</v>
      </c>
      <c r="BF620" s="70">
        <f t="shared" si="763"/>
        <v>0</v>
      </c>
      <c r="BG620" s="34"/>
      <c r="BI620" s="47" t="b">
        <f t="shared" si="764"/>
        <v>1</v>
      </c>
      <c r="BJ620" s="47" t="b">
        <f t="shared" si="765"/>
        <v>1</v>
      </c>
      <c r="BK620" s="42" t="b">
        <f t="shared" si="766"/>
        <v>0</v>
      </c>
      <c r="BL620" s="42" t="b">
        <f t="shared" si="767"/>
        <v>0</v>
      </c>
      <c r="BM620" s="42">
        <f t="shared" si="768"/>
        <v>0</v>
      </c>
      <c r="BN620" s="42">
        <f t="shared" si="769"/>
        <v>0</v>
      </c>
      <c r="BP620" t="e">
        <f t="shared" si="770"/>
        <v>#N/A</v>
      </c>
      <c r="BQ620" t="e">
        <f t="shared" si="771"/>
        <v>#N/A</v>
      </c>
      <c r="BR620" t="e">
        <f t="shared" si="772"/>
        <v>#N/A</v>
      </c>
      <c r="BT620" s="60">
        <f t="shared" si="773"/>
        <v>0</v>
      </c>
      <c r="BU620" s="60">
        <f t="shared" si="774"/>
        <v>0</v>
      </c>
      <c r="BV620" s="60">
        <f t="shared" si="775"/>
        <v>0</v>
      </c>
      <c r="BW620" s="60">
        <f t="shared" si="776"/>
        <v>0</v>
      </c>
      <c r="BX620" s="60">
        <f t="shared" si="777"/>
        <v>0</v>
      </c>
      <c r="BY620" s="60">
        <f t="shared" si="778"/>
        <v>0</v>
      </c>
      <c r="BZ620" s="60">
        <f t="shared" si="779"/>
        <v>0</v>
      </c>
      <c r="CA620" s="60">
        <f t="shared" si="780"/>
        <v>0</v>
      </c>
      <c r="CB620" s="60" t="e">
        <f t="shared" si="730"/>
        <v>#N/A</v>
      </c>
      <c r="CC620" s="60">
        <f t="shared" si="731"/>
        <v>100000</v>
      </c>
      <c r="CD620" s="60" t="e">
        <f t="shared" si="732"/>
        <v>#N/A</v>
      </c>
      <c r="CE620" s="60">
        <f t="shared" si="733"/>
        <v>100000</v>
      </c>
      <c r="CF620" s="83" t="e">
        <f t="shared" si="781"/>
        <v>#N/A</v>
      </c>
      <c r="CG620" s="83">
        <f t="shared" si="782"/>
        <v>0</v>
      </c>
      <c r="CH620" s="83" t="e">
        <f t="shared" si="783"/>
        <v>#N/A</v>
      </c>
      <c r="CI620" s="83">
        <f t="shared" si="784"/>
        <v>0</v>
      </c>
      <c r="CJ620" s="86" t="e">
        <f t="shared" si="734"/>
        <v>#N/A</v>
      </c>
      <c r="CK620" s="82">
        <f t="shared" si="735"/>
        <v>5.3070370403969858E-3</v>
      </c>
      <c r="CL620" s="82" t="e">
        <f t="shared" si="736"/>
        <v>#N/A</v>
      </c>
      <c r="CM620" s="82">
        <f t="shared" si="737"/>
        <v>5.3070370403969858E-3</v>
      </c>
      <c r="CO620" s="149" t="str">
        <f>IF($I620&lt;&gt;"",IF(O620="User Specified",U620,INDEX('Refrigerant GWPs'!$G$2:$G$156,MATCH(O620,'Refrigerant GWPs'!$A$2:$A$156,0))),"")</f>
        <v/>
      </c>
      <c r="CP620" s="138" t="str">
        <f>IF($I620&lt;&gt;"",INDEX('Device Refrigerant Leakage'!$E$2:$E$42,MATCH($M620,'Device Refrigerant Leakage'!$B$2:$B$42,0)),"")</f>
        <v/>
      </c>
      <c r="CQ620" s="138" t="str">
        <f>IF($I620&lt;&gt;"",INDEX('Device Refrigerant Leakage'!$F$2:$F$42,MATCH($M620,'Device Refrigerant Leakage'!$B$2:$B$42,0)),"")</f>
        <v/>
      </c>
      <c r="CR620" s="145" t="str">
        <f>IF($I620&lt;&gt;"",INDEX('Device Refrigerant Leakage'!$G$2:$G$42,MATCH($M620,'Device Refrigerant Leakage'!$B$2:$B$42,0)),"")</f>
        <v/>
      </c>
      <c r="CS620" s="145" t="str">
        <f>IF($I620&lt;&gt;"",INDEX('Device Refrigerant Leakage'!$D$2:$D$42,MATCH($M620,'Device Refrigerant Leakage'!$B$2:$B$42,0))*CP620/2204.62*CO620,"")</f>
        <v/>
      </c>
      <c r="CT620" s="145" t="str">
        <f>IF($I620&lt;&gt;"",J620*(INDEX('Device Refrigerant Leakage'!$D$2:$D$42,MATCH($M620,'Device Refrigerant Leakage'!$B$2:$B$42,0))-(INDEX('Device Refrigerant Leakage'!$D$2:$D$42,MATCH($M620,'Device Refrigerant Leakage'!$B$2:$B$42,0)))*CR620*CP620)*CQ620/2204.62*CO620,"")</f>
        <v/>
      </c>
      <c r="CU620" s="135" t="str">
        <f>IF($I620&lt;&gt;"",J620*IF(W620&lt;&gt;"AR",(CS620*K620)+CT620,(CS620*AB620)+CT620*(AB620/INDEX('Device Refrigerant Leakage'!$C$2:$C$42,MATCH($M620,'Device Refrigerant Leakage'!$B$2:$B$42,0)))),"")</f>
        <v/>
      </c>
      <c r="CW620" s="135" t="str">
        <f>IF($I620&lt;&gt;"",IF(S620="User Specified",V620,INDEX('Refrigerant GWPs'!$G$2:$G$156,MATCH(S620,'Refrigerant GWPs'!$A$2:$A$157,0))),"")</f>
        <v/>
      </c>
      <c r="CX620" s="138" t="str">
        <f>IF($I620&lt;&gt;"",INDEX('Device Refrigerant Leakage'!$E$2:$E$42,MATCH($Q620,'Device Refrigerant Leakage'!$B$2:$B$42,0)),"")</f>
        <v/>
      </c>
      <c r="CY620" s="138" t="str">
        <f>IF($I620&lt;&gt;"",INDEX('Device Refrigerant Leakage'!$F$2:$F$42,MATCH($Q620,'Device Refrigerant Leakage'!$B$2:$B$42,0)),"")</f>
        <v/>
      </c>
      <c r="CZ620" s="145" t="str">
        <f>IF($I620&lt;&gt;"",INDEX('Device Refrigerant Leakage'!$G$2:$G$42,MATCH($Q620,'Device Refrigerant Leakage'!$B$2:$B$42,0)),"")</f>
        <v/>
      </c>
      <c r="DA620" s="145" t="str">
        <f>IF($I620&lt;&gt;"",J620*INDEX('Device Refrigerant Leakage'!$D$2:$D$42,MATCH($Q620,'Device Refrigerant Leakage'!$B$2:$B$42,0))*CX620/2204.62*CW620,"")</f>
        <v/>
      </c>
      <c r="DB620" s="145" t="str">
        <f>IF($I620&lt;&gt;"",J620*(INDEX('Device Refrigerant Leakage'!$D$2:$D$42,MATCH($Q620,'Device Refrigerant Leakage'!$B$2:$B$42,0))-(INDEX('Device Refrigerant Leakage'!$D$2:$D$42,MATCH($Q620,'Device Refrigerant Leakage'!$B$2:$B$42,0)))*CZ620*CX620)*CY620/2204.62*CW620,"")</f>
        <v/>
      </c>
      <c r="DC620" s="135" t="str">
        <f t="shared" si="756"/>
        <v/>
      </c>
      <c r="DE620" s="146" t="str">
        <f>IF(W620&lt;&gt;"AR","",IF(Y620="User Specified", AA620, INDEX('Refrigerant GWPs'!$G$2:$G$154,MATCH(Y620,'Refrigerant GWPs'!$A$2:$A$154,0))))</f>
        <v/>
      </c>
      <c r="DF620" s="146" t="str">
        <f>IF(W620&lt;&gt;"AR","",INDEX('Device Refrigerant Leakage'!$E$2:$E$42,MATCH(X620,'Device Refrigerant Leakage'!$B$2:$B$42,0)))</f>
        <v/>
      </c>
      <c r="DG620" s="146" t="str">
        <f>IF(W620&lt;&gt;"AR","",INDEX('Device Refrigerant Leakage'!$F$2:$F$42,MATCH(X620,'Device Refrigerant Leakage'!$B$2:$B$42,0)))</f>
        <v/>
      </c>
      <c r="DH620" s="146" t="str">
        <f>IF(W620&lt;&gt;"AR","",INDEX('Device Refrigerant Leakage'!$G$2:$G$42,MATCH(X620,'Device Refrigerant Leakage'!$B$2:$B$42,0)))</f>
        <v/>
      </c>
      <c r="DI620" s="146" t="str">
        <f>IF(W620&lt;&gt;"AR","",J620*INDEX('Device Refrigerant Leakage'!$D$2:$D$42,MATCH(X620,'Device Refrigerant Leakage'!$B$2:$B$42,0))*DF620/2204.62*DE620)</f>
        <v/>
      </c>
      <c r="DJ620" s="146" t="str">
        <f>IF(W620&lt;&gt;"AR","",J620*(INDEX('Device Refrigerant Leakage'!$D$2:$D$42,MATCH(X620,'Device Refrigerant Leakage'!$B$2:$B$42,0))-(INDEX('Device Refrigerant Leakage'!$D$2:$D$42,MATCH(X620,'Device Refrigerant Leakage'!$B$2:$B$42,0)))*DH620*DF620)*DG620/2204.62*DE620)</f>
        <v/>
      </c>
      <c r="DK620" s="146" t="str">
        <f>IF(W620&lt;&gt;"AR","",DI620*(K620-AB620)+'Fuel Sub Calcs-Deemed'!DJ620*((K620-AB620)/INDEX('Device Refrigerant Leakage'!$C$2:$C$42,MATCH('Fuel Sub Calcs-Deemed'!X620,'Device Refrigerant Leakage'!$B$2:$B$42,0))))</f>
        <v/>
      </c>
      <c r="DM620" s="56">
        <v>606</v>
      </c>
      <c r="DN620" s="67" t="e">
        <f t="shared" si="738"/>
        <v>#N/A</v>
      </c>
      <c r="DO620" s="45" t="e">
        <f t="shared" si="739"/>
        <v>#N/A</v>
      </c>
      <c r="DP620" s="67" t="e">
        <f t="shared" si="740"/>
        <v>#N/A</v>
      </c>
      <c r="DQ620" s="45" t="e">
        <f t="shared" si="741"/>
        <v>#N/A</v>
      </c>
      <c r="DR620" s="69" t="e">
        <f t="shared" si="742"/>
        <v>#N/A</v>
      </c>
      <c r="DS620" s="34"/>
      <c r="DT620" s="67" t="e">
        <f>((BX620*CJ620)+IF($W620=MAT_AR,(BZ620*CL620),0))*(1+Reference!$E$50+Reference!$E$51)</f>
        <v>#N/A</v>
      </c>
      <c r="DU620" s="67">
        <f>((BY620*CK620)+IF($W620=MAT_AR,(CA620*CM620),0))*(1+Reference!$G$50+Reference!$G$51)</f>
        <v>0</v>
      </c>
      <c r="DV620" s="67" t="e">
        <f t="shared" si="743"/>
        <v>#VALUE!</v>
      </c>
      <c r="DX620" s="56">
        <v>606</v>
      </c>
      <c r="DY620" s="67">
        <f t="shared" si="744"/>
        <v>0</v>
      </c>
      <c r="DZ620" s="45" t="e">
        <f>VLOOKUP($R620,Dropdown!$C$3:$D$4,2,FALSE)</f>
        <v>#N/A</v>
      </c>
      <c r="EA620" s="68">
        <f t="shared" si="745"/>
        <v>0</v>
      </c>
      <c r="EB620" s="68" t="str">
        <f t="shared" si="746"/>
        <v>N/A</v>
      </c>
      <c r="EC620" s="68">
        <f t="shared" si="747"/>
        <v>0</v>
      </c>
      <c r="ED620" s="68" t="str">
        <f t="shared" si="785"/>
        <v>N/A</v>
      </c>
      <c r="EF620" s="56">
        <v>606</v>
      </c>
      <c r="EG620" s="46">
        <f t="shared" si="748"/>
        <v>0</v>
      </c>
      <c r="EH620" s="68" t="e">
        <f t="shared" si="749"/>
        <v>#N/A</v>
      </c>
      <c r="EI620" s="68" t="e">
        <f t="shared" si="750"/>
        <v>#N/A</v>
      </c>
      <c r="EJ620" s="68" t="e">
        <f t="shared" si="751"/>
        <v>#N/A</v>
      </c>
      <c r="EK620" s="68" t="e">
        <f t="shared" si="752"/>
        <v>#N/A</v>
      </c>
      <c r="EL620" s="46">
        <f t="shared" si="753"/>
        <v>0</v>
      </c>
      <c r="EM620" s="46">
        <f t="shared" si="754"/>
        <v>0</v>
      </c>
    </row>
    <row r="621" spans="1:143">
      <c r="A621" s="89"/>
      <c r="B621" s="89"/>
      <c r="C621" s="89"/>
      <c r="D621" s="89"/>
      <c r="E621" s="89"/>
      <c r="F621" s="89"/>
      <c r="G621" s="34"/>
      <c r="H621" s="56">
        <f t="shared" si="755"/>
        <v>607</v>
      </c>
      <c r="I621" s="165"/>
      <c r="J621" s="163"/>
      <c r="K621" s="163"/>
      <c r="L621" s="164"/>
      <c r="M621" s="155"/>
      <c r="N621" s="155"/>
      <c r="O621" s="144"/>
      <c r="P621" s="159" t="str">
        <f>IFERROR(IF(O621&lt;&gt;"User Specified",IF(O621&lt;&gt;"", INDEX('Refrigerant GWPs'!$G$2:$G$154,MATCH(O621,'Refrigerant GWPs'!$A$2:$A$154,0)),""),U621),0)</f>
        <v/>
      </c>
      <c r="Q621" s="155"/>
      <c r="R621" s="155"/>
      <c r="S621" s="144"/>
      <c r="T621" s="159" t="str">
        <f>IF(S621&lt;&gt;"User Specified",IF(AND(S621&lt;&gt;"User Specified",S621&lt;&gt;""), INDEX('Refrigerant GWPs'!$G$2:$G$154,MATCH(S621,'Refrigerant GWPs'!$A$2:$A$154,0)),""),V621)</f>
        <v/>
      </c>
      <c r="U621" s="144"/>
      <c r="V621" s="144"/>
      <c r="W621" s="155"/>
      <c r="X621" s="155"/>
      <c r="Y621" s="144"/>
      <c r="Z621" s="159" t="str">
        <f>IF(AND(Y621&lt;&gt;"User Specified",Y621&lt;&gt;""), INDEX('Refrigerant GWPs'!$G$2:$G$154,MATCH(Y621,'Refrigerant GWPs'!$A$2:$A$154,0)),"")</f>
        <v/>
      </c>
      <c r="AA621" s="155"/>
      <c r="AB621" s="156"/>
      <c r="AC621" s="66"/>
      <c r="AD621" s="66"/>
      <c r="AE621" s="66"/>
      <c r="AF621" s="66"/>
      <c r="AG621" s="66"/>
      <c r="AH621" s="66"/>
      <c r="AI621" s="34"/>
      <c r="AJ621" s="88">
        <f t="shared" si="718"/>
        <v>0</v>
      </c>
      <c r="AK621" s="88">
        <f t="shared" si="719"/>
        <v>0</v>
      </c>
      <c r="AL621" s="88">
        <v>0</v>
      </c>
      <c r="AM621" s="88">
        <v>0</v>
      </c>
      <c r="AN621" s="81" t="str">
        <f t="shared" si="757"/>
        <v/>
      </c>
      <c r="AO621" s="88">
        <f t="shared" si="720"/>
        <v>0</v>
      </c>
      <c r="AP621" s="88">
        <f t="shared" si="721"/>
        <v>0</v>
      </c>
      <c r="AQ621" s="81" t="str">
        <f t="shared" si="722"/>
        <v/>
      </c>
      <c r="AS621" s="41" t="b">
        <f t="shared" si="723"/>
        <v>1</v>
      </c>
      <c r="AT621" s="38">
        <f t="shared" si="724"/>
        <v>0</v>
      </c>
      <c r="AU621" s="60">
        <f t="shared" si="725"/>
        <v>0</v>
      </c>
      <c r="AV621" s="41">
        <f t="shared" si="726"/>
        <v>0</v>
      </c>
      <c r="AW621" s="41" t="b">
        <f t="shared" si="727"/>
        <v>0</v>
      </c>
      <c r="AX621" t="str">
        <f t="shared" si="728"/>
        <v>+00</v>
      </c>
      <c r="AY621" t="str">
        <f t="shared" si="729"/>
        <v>+00</v>
      </c>
      <c r="BA621" s="47" t="b">
        <f t="shared" si="758"/>
        <v>1</v>
      </c>
      <c r="BB621" s="42" t="b">
        <f t="shared" si="759"/>
        <v>1</v>
      </c>
      <c r="BC621" s="42" t="b">
        <f t="shared" si="760"/>
        <v>0</v>
      </c>
      <c r="BD621" s="42" t="b">
        <f t="shared" si="761"/>
        <v>0</v>
      </c>
      <c r="BE621" s="70">
        <f t="shared" si="762"/>
        <v>0</v>
      </c>
      <c r="BF621" s="70">
        <f t="shared" si="763"/>
        <v>0</v>
      </c>
      <c r="BG621" s="34"/>
      <c r="BI621" s="47" t="b">
        <f t="shared" si="764"/>
        <v>1</v>
      </c>
      <c r="BJ621" s="47" t="b">
        <f t="shared" si="765"/>
        <v>1</v>
      </c>
      <c r="BK621" s="42" t="b">
        <f t="shared" si="766"/>
        <v>0</v>
      </c>
      <c r="BL621" s="42" t="b">
        <f t="shared" si="767"/>
        <v>0</v>
      </c>
      <c r="BM621" s="42">
        <f t="shared" si="768"/>
        <v>0</v>
      </c>
      <c r="BN621" s="42">
        <f t="shared" si="769"/>
        <v>0</v>
      </c>
      <c r="BP621" t="e">
        <f t="shared" si="770"/>
        <v>#N/A</v>
      </c>
      <c r="BQ621" t="e">
        <f t="shared" si="771"/>
        <v>#N/A</v>
      </c>
      <c r="BR621" t="e">
        <f t="shared" si="772"/>
        <v>#N/A</v>
      </c>
      <c r="BT621" s="60">
        <f t="shared" si="773"/>
        <v>0</v>
      </c>
      <c r="BU621" s="60">
        <f t="shared" si="774"/>
        <v>0</v>
      </c>
      <c r="BV621" s="60">
        <f t="shared" si="775"/>
        <v>0</v>
      </c>
      <c r="BW621" s="60">
        <f t="shared" si="776"/>
        <v>0</v>
      </c>
      <c r="BX621" s="60">
        <f t="shared" si="777"/>
        <v>0</v>
      </c>
      <c r="BY621" s="60">
        <f t="shared" si="778"/>
        <v>0</v>
      </c>
      <c r="BZ621" s="60">
        <f t="shared" si="779"/>
        <v>0</v>
      </c>
      <c r="CA621" s="60">
        <f t="shared" si="780"/>
        <v>0</v>
      </c>
      <c r="CB621" s="60" t="e">
        <f t="shared" si="730"/>
        <v>#N/A</v>
      </c>
      <c r="CC621" s="60">
        <f t="shared" si="731"/>
        <v>100000</v>
      </c>
      <c r="CD621" s="60" t="e">
        <f t="shared" si="732"/>
        <v>#N/A</v>
      </c>
      <c r="CE621" s="60">
        <f t="shared" si="733"/>
        <v>100000</v>
      </c>
      <c r="CF621" s="83" t="e">
        <f t="shared" si="781"/>
        <v>#N/A</v>
      </c>
      <c r="CG621" s="83">
        <f t="shared" si="782"/>
        <v>0</v>
      </c>
      <c r="CH621" s="83" t="e">
        <f t="shared" si="783"/>
        <v>#N/A</v>
      </c>
      <c r="CI621" s="83">
        <f t="shared" si="784"/>
        <v>0</v>
      </c>
      <c r="CJ621" s="86" t="e">
        <f t="shared" si="734"/>
        <v>#N/A</v>
      </c>
      <c r="CK621" s="82">
        <f t="shared" si="735"/>
        <v>5.3070370403969858E-3</v>
      </c>
      <c r="CL621" s="82" t="e">
        <f t="shared" si="736"/>
        <v>#N/A</v>
      </c>
      <c r="CM621" s="82">
        <f t="shared" si="737"/>
        <v>5.3070370403969858E-3</v>
      </c>
      <c r="CO621" s="149" t="str">
        <f>IF($I621&lt;&gt;"",IF(O621="User Specified",U621,INDEX('Refrigerant GWPs'!$G$2:$G$156,MATCH(O621,'Refrigerant GWPs'!$A$2:$A$156,0))),"")</f>
        <v/>
      </c>
      <c r="CP621" s="138" t="str">
        <f>IF($I621&lt;&gt;"",INDEX('Device Refrigerant Leakage'!$E$2:$E$42,MATCH($M621,'Device Refrigerant Leakage'!$B$2:$B$42,0)),"")</f>
        <v/>
      </c>
      <c r="CQ621" s="138" t="str">
        <f>IF($I621&lt;&gt;"",INDEX('Device Refrigerant Leakage'!$F$2:$F$42,MATCH($M621,'Device Refrigerant Leakage'!$B$2:$B$42,0)),"")</f>
        <v/>
      </c>
      <c r="CR621" s="145" t="str">
        <f>IF($I621&lt;&gt;"",INDEX('Device Refrigerant Leakage'!$G$2:$G$42,MATCH($M621,'Device Refrigerant Leakage'!$B$2:$B$42,0)),"")</f>
        <v/>
      </c>
      <c r="CS621" s="145" t="str">
        <f>IF($I621&lt;&gt;"",INDEX('Device Refrigerant Leakage'!$D$2:$D$42,MATCH($M621,'Device Refrigerant Leakage'!$B$2:$B$42,0))*CP621/2204.62*CO621,"")</f>
        <v/>
      </c>
      <c r="CT621" s="145" t="str">
        <f>IF($I621&lt;&gt;"",J621*(INDEX('Device Refrigerant Leakage'!$D$2:$D$42,MATCH($M621,'Device Refrigerant Leakage'!$B$2:$B$42,0))-(INDEX('Device Refrigerant Leakage'!$D$2:$D$42,MATCH($M621,'Device Refrigerant Leakage'!$B$2:$B$42,0)))*CR621*CP621)*CQ621/2204.62*CO621,"")</f>
        <v/>
      </c>
      <c r="CU621" s="135" t="str">
        <f>IF($I621&lt;&gt;"",J621*IF(W621&lt;&gt;"AR",(CS621*K621)+CT621,(CS621*AB621)+CT621*(AB621/INDEX('Device Refrigerant Leakage'!$C$2:$C$42,MATCH($M621,'Device Refrigerant Leakage'!$B$2:$B$42,0)))),"")</f>
        <v/>
      </c>
      <c r="CW621" s="135" t="str">
        <f>IF($I621&lt;&gt;"",IF(S621="User Specified",V621,INDEX('Refrigerant GWPs'!$G$2:$G$156,MATCH(S621,'Refrigerant GWPs'!$A$2:$A$157,0))),"")</f>
        <v/>
      </c>
      <c r="CX621" s="138" t="str">
        <f>IF($I621&lt;&gt;"",INDEX('Device Refrigerant Leakage'!$E$2:$E$42,MATCH($Q621,'Device Refrigerant Leakage'!$B$2:$B$42,0)),"")</f>
        <v/>
      </c>
      <c r="CY621" s="138" t="str">
        <f>IF($I621&lt;&gt;"",INDEX('Device Refrigerant Leakage'!$F$2:$F$42,MATCH($Q621,'Device Refrigerant Leakage'!$B$2:$B$42,0)),"")</f>
        <v/>
      </c>
      <c r="CZ621" s="145" t="str">
        <f>IF($I621&lt;&gt;"",INDEX('Device Refrigerant Leakage'!$G$2:$G$42,MATCH($Q621,'Device Refrigerant Leakage'!$B$2:$B$42,0)),"")</f>
        <v/>
      </c>
      <c r="DA621" s="145" t="str">
        <f>IF($I621&lt;&gt;"",J621*INDEX('Device Refrigerant Leakage'!$D$2:$D$42,MATCH($Q621,'Device Refrigerant Leakage'!$B$2:$B$42,0))*CX621/2204.62*CW621,"")</f>
        <v/>
      </c>
      <c r="DB621" s="145" t="str">
        <f>IF($I621&lt;&gt;"",J621*(INDEX('Device Refrigerant Leakage'!$D$2:$D$42,MATCH($Q621,'Device Refrigerant Leakage'!$B$2:$B$42,0))-(INDEX('Device Refrigerant Leakage'!$D$2:$D$42,MATCH($Q621,'Device Refrigerant Leakage'!$B$2:$B$42,0)))*CZ621*CX621)*CY621/2204.62*CW621,"")</f>
        <v/>
      </c>
      <c r="DC621" s="135" t="str">
        <f t="shared" si="756"/>
        <v/>
      </c>
      <c r="DE621" s="146" t="str">
        <f>IF(W621&lt;&gt;"AR","",IF(Y621="User Specified", AA621, INDEX('Refrigerant GWPs'!$G$2:$G$154,MATCH(Y621,'Refrigerant GWPs'!$A$2:$A$154,0))))</f>
        <v/>
      </c>
      <c r="DF621" s="146" t="str">
        <f>IF(W621&lt;&gt;"AR","",INDEX('Device Refrigerant Leakage'!$E$2:$E$42,MATCH(X621,'Device Refrigerant Leakage'!$B$2:$B$42,0)))</f>
        <v/>
      </c>
      <c r="DG621" s="146" t="str">
        <f>IF(W621&lt;&gt;"AR","",INDEX('Device Refrigerant Leakage'!$F$2:$F$42,MATCH(X621,'Device Refrigerant Leakage'!$B$2:$B$42,0)))</f>
        <v/>
      </c>
      <c r="DH621" s="146" t="str">
        <f>IF(W621&lt;&gt;"AR","",INDEX('Device Refrigerant Leakage'!$G$2:$G$42,MATCH(X621,'Device Refrigerant Leakage'!$B$2:$B$42,0)))</f>
        <v/>
      </c>
      <c r="DI621" s="146" t="str">
        <f>IF(W621&lt;&gt;"AR","",J621*INDEX('Device Refrigerant Leakage'!$D$2:$D$42,MATCH(X621,'Device Refrigerant Leakage'!$B$2:$B$42,0))*DF621/2204.62*DE621)</f>
        <v/>
      </c>
      <c r="DJ621" s="146" t="str">
        <f>IF(W621&lt;&gt;"AR","",J621*(INDEX('Device Refrigerant Leakage'!$D$2:$D$42,MATCH(X621,'Device Refrigerant Leakage'!$B$2:$B$42,0))-(INDEX('Device Refrigerant Leakage'!$D$2:$D$42,MATCH(X621,'Device Refrigerant Leakage'!$B$2:$B$42,0)))*DH621*DF621)*DG621/2204.62*DE621)</f>
        <v/>
      </c>
      <c r="DK621" s="146" t="str">
        <f>IF(W621&lt;&gt;"AR","",DI621*(K621-AB621)+'Fuel Sub Calcs-Deemed'!DJ621*((K621-AB621)/INDEX('Device Refrigerant Leakage'!$C$2:$C$42,MATCH('Fuel Sub Calcs-Deemed'!X621,'Device Refrigerant Leakage'!$B$2:$B$42,0))))</f>
        <v/>
      </c>
      <c r="DM621" s="56">
        <v>607</v>
      </c>
      <c r="DN621" s="67" t="e">
        <f t="shared" si="738"/>
        <v>#N/A</v>
      </c>
      <c r="DO621" s="45" t="e">
        <f t="shared" si="739"/>
        <v>#N/A</v>
      </c>
      <c r="DP621" s="67" t="e">
        <f t="shared" si="740"/>
        <v>#N/A</v>
      </c>
      <c r="DQ621" s="45" t="e">
        <f t="shared" si="741"/>
        <v>#N/A</v>
      </c>
      <c r="DR621" s="69" t="e">
        <f t="shared" si="742"/>
        <v>#N/A</v>
      </c>
      <c r="DS621" s="34"/>
      <c r="DT621" s="67" t="e">
        <f>((BX621*CJ621)+IF($W621=MAT_AR,(BZ621*CL621),0))*(1+Reference!$E$50+Reference!$E$51)</f>
        <v>#N/A</v>
      </c>
      <c r="DU621" s="67">
        <f>((BY621*CK621)+IF($W621=MAT_AR,(CA621*CM621),0))*(1+Reference!$G$50+Reference!$G$51)</f>
        <v>0</v>
      </c>
      <c r="DV621" s="67" t="e">
        <f t="shared" si="743"/>
        <v>#VALUE!</v>
      </c>
      <c r="DX621" s="56">
        <v>607</v>
      </c>
      <c r="DY621" s="67">
        <f t="shared" si="744"/>
        <v>0</v>
      </c>
      <c r="DZ621" s="45" t="e">
        <f>VLOOKUP($R621,Dropdown!$C$3:$D$4,2,FALSE)</f>
        <v>#N/A</v>
      </c>
      <c r="EA621" s="68">
        <f t="shared" si="745"/>
        <v>0</v>
      </c>
      <c r="EB621" s="68" t="str">
        <f t="shared" si="746"/>
        <v>N/A</v>
      </c>
      <c r="EC621" s="68">
        <f t="shared" si="747"/>
        <v>0</v>
      </c>
      <c r="ED621" s="68" t="str">
        <f t="shared" si="785"/>
        <v>N/A</v>
      </c>
      <c r="EF621" s="56">
        <v>607</v>
      </c>
      <c r="EG621" s="46">
        <f t="shared" si="748"/>
        <v>0</v>
      </c>
      <c r="EH621" s="68" t="e">
        <f t="shared" si="749"/>
        <v>#N/A</v>
      </c>
      <c r="EI621" s="68" t="e">
        <f t="shared" si="750"/>
        <v>#N/A</v>
      </c>
      <c r="EJ621" s="68" t="e">
        <f t="shared" si="751"/>
        <v>#N/A</v>
      </c>
      <c r="EK621" s="68" t="e">
        <f t="shared" si="752"/>
        <v>#N/A</v>
      </c>
      <c r="EL621" s="46">
        <f t="shared" si="753"/>
        <v>0</v>
      </c>
      <c r="EM621" s="46">
        <f t="shared" si="754"/>
        <v>0</v>
      </c>
    </row>
    <row r="622" spans="1:143">
      <c r="A622" s="89"/>
      <c r="B622" s="89"/>
      <c r="C622" s="89"/>
      <c r="D622" s="89"/>
      <c r="E622" s="89"/>
      <c r="F622" s="89"/>
      <c r="G622" s="34"/>
      <c r="H622" s="56">
        <f t="shared" si="755"/>
        <v>608</v>
      </c>
      <c r="I622" s="165"/>
      <c r="J622" s="163"/>
      <c r="K622" s="163"/>
      <c r="L622" s="164"/>
      <c r="M622" s="155"/>
      <c r="N622" s="155"/>
      <c r="O622" s="144"/>
      <c r="P622" s="159" t="str">
        <f>IFERROR(IF(O622&lt;&gt;"User Specified",IF(O622&lt;&gt;"", INDEX('Refrigerant GWPs'!$G$2:$G$154,MATCH(O622,'Refrigerant GWPs'!$A$2:$A$154,0)),""),U622),0)</f>
        <v/>
      </c>
      <c r="Q622" s="155"/>
      <c r="R622" s="155"/>
      <c r="S622" s="144"/>
      <c r="T622" s="159" t="str">
        <f>IF(S622&lt;&gt;"User Specified",IF(AND(S622&lt;&gt;"User Specified",S622&lt;&gt;""), INDEX('Refrigerant GWPs'!$G$2:$G$154,MATCH(S622,'Refrigerant GWPs'!$A$2:$A$154,0)),""),V622)</f>
        <v/>
      </c>
      <c r="U622" s="144"/>
      <c r="V622" s="144"/>
      <c r="W622" s="155"/>
      <c r="X622" s="155"/>
      <c r="Y622" s="144"/>
      <c r="Z622" s="159" t="str">
        <f>IF(AND(Y622&lt;&gt;"User Specified",Y622&lt;&gt;""), INDEX('Refrigerant GWPs'!$G$2:$G$154,MATCH(Y622,'Refrigerant GWPs'!$A$2:$A$154,0)),"")</f>
        <v/>
      </c>
      <c r="AA622" s="155"/>
      <c r="AB622" s="156"/>
      <c r="AC622" s="66"/>
      <c r="AD622" s="66"/>
      <c r="AE622" s="66"/>
      <c r="AF622" s="66"/>
      <c r="AG622" s="66"/>
      <c r="AH622" s="66"/>
      <c r="AI622" s="34"/>
      <c r="AJ622" s="88">
        <f t="shared" si="718"/>
        <v>0</v>
      </c>
      <c r="AK622" s="88">
        <f t="shared" si="719"/>
        <v>0</v>
      </c>
      <c r="AL622" s="88">
        <v>0</v>
      </c>
      <c r="AM622" s="88">
        <v>0</v>
      </c>
      <c r="AN622" s="81" t="str">
        <f t="shared" si="757"/>
        <v/>
      </c>
      <c r="AO622" s="88">
        <f t="shared" si="720"/>
        <v>0</v>
      </c>
      <c r="AP622" s="88">
        <f t="shared" si="721"/>
        <v>0</v>
      </c>
      <c r="AQ622" s="81" t="str">
        <f t="shared" si="722"/>
        <v/>
      </c>
      <c r="AS622" s="41" t="b">
        <f t="shared" si="723"/>
        <v>1</v>
      </c>
      <c r="AT622" s="38">
        <f t="shared" si="724"/>
        <v>0</v>
      </c>
      <c r="AU622" s="60">
        <f t="shared" si="725"/>
        <v>0</v>
      </c>
      <c r="AV622" s="41">
        <f t="shared" si="726"/>
        <v>0</v>
      </c>
      <c r="AW622" s="41" t="b">
        <f t="shared" si="727"/>
        <v>0</v>
      </c>
      <c r="AX622" t="str">
        <f t="shared" si="728"/>
        <v>+00</v>
      </c>
      <c r="AY622" t="str">
        <f t="shared" si="729"/>
        <v>+00</v>
      </c>
      <c r="BA622" s="47" t="b">
        <f t="shared" si="758"/>
        <v>1</v>
      </c>
      <c r="BB622" s="42" t="b">
        <f t="shared" si="759"/>
        <v>1</v>
      </c>
      <c r="BC622" s="42" t="b">
        <f t="shared" si="760"/>
        <v>0</v>
      </c>
      <c r="BD622" s="42" t="b">
        <f t="shared" si="761"/>
        <v>0</v>
      </c>
      <c r="BE622" s="70">
        <f t="shared" si="762"/>
        <v>0</v>
      </c>
      <c r="BF622" s="70">
        <f t="shared" si="763"/>
        <v>0</v>
      </c>
      <c r="BG622" s="34"/>
      <c r="BI622" s="47" t="b">
        <f t="shared" si="764"/>
        <v>1</v>
      </c>
      <c r="BJ622" s="47" t="b">
        <f t="shared" si="765"/>
        <v>1</v>
      </c>
      <c r="BK622" s="42" t="b">
        <f t="shared" si="766"/>
        <v>0</v>
      </c>
      <c r="BL622" s="42" t="b">
        <f t="shared" si="767"/>
        <v>0</v>
      </c>
      <c r="BM622" s="42">
        <f t="shared" si="768"/>
        <v>0</v>
      </c>
      <c r="BN622" s="42">
        <f t="shared" si="769"/>
        <v>0</v>
      </c>
      <c r="BP622" t="e">
        <f t="shared" si="770"/>
        <v>#N/A</v>
      </c>
      <c r="BQ622" t="e">
        <f t="shared" si="771"/>
        <v>#N/A</v>
      </c>
      <c r="BR622" t="e">
        <f t="shared" si="772"/>
        <v>#N/A</v>
      </c>
      <c r="BT622" s="60">
        <f t="shared" si="773"/>
        <v>0</v>
      </c>
      <c r="BU622" s="60">
        <f t="shared" si="774"/>
        <v>0</v>
      </c>
      <c r="BV622" s="60">
        <f t="shared" si="775"/>
        <v>0</v>
      </c>
      <c r="BW622" s="60">
        <f t="shared" si="776"/>
        <v>0</v>
      </c>
      <c r="BX622" s="60">
        <f t="shared" si="777"/>
        <v>0</v>
      </c>
      <c r="BY622" s="60">
        <f t="shared" si="778"/>
        <v>0</v>
      </c>
      <c r="BZ622" s="60">
        <f t="shared" si="779"/>
        <v>0</v>
      </c>
      <c r="CA622" s="60">
        <f t="shared" si="780"/>
        <v>0</v>
      </c>
      <c r="CB622" s="60" t="e">
        <f t="shared" si="730"/>
        <v>#N/A</v>
      </c>
      <c r="CC622" s="60">
        <f t="shared" si="731"/>
        <v>100000</v>
      </c>
      <c r="CD622" s="60" t="e">
        <f t="shared" si="732"/>
        <v>#N/A</v>
      </c>
      <c r="CE622" s="60">
        <f t="shared" si="733"/>
        <v>100000</v>
      </c>
      <c r="CF622" s="83" t="e">
        <f t="shared" si="781"/>
        <v>#N/A</v>
      </c>
      <c r="CG622" s="83">
        <f t="shared" si="782"/>
        <v>0</v>
      </c>
      <c r="CH622" s="83" t="e">
        <f t="shared" si="783"/>
        <v>#N/A</v>
      </c>
      <c r="CI622" s="83">
        <f t="shared" si="784"/>
        <v>0</v>
      </c>
      <c r="CJ622" s="86" t="e">
        <f t="shared" si="734"/>
        <v>#N/A</v>
      </c>
      <c r="CK622" s="82">
        <f t="shared" si="735"/>
        <v>5.3070370403969858E-3</v>
      </c>
      <c r="CL622" s="82" t="e">
        <f t="shared" si="736"/>
        <v>#N/A</v>
      </c>
      <c r="CM622" s="82">
        <f t="shared" si="737"/>
        <v>5.3070370403969858E-3</v>
      </c>
      <c r="CO622" s="149" t="str">
        <f>IF($I622&lt;&gt;"",IF(O622="User Specified",U622,INDEX('Refrigerant GWPs'!$G$2:$G$156,MATCH(O622,'Refrigerant GWPs'!$A$2:$A$156,0))),"")</f>
        <v/>
      </c>
      <c r="CP622" s="138" t="str">
        <f>IF($I622&lt;&gt;"",INDEX('Device Refrigerant Leakage'!$E$2:$E$42,MATCH($M622,'Device Refrigerant Leakage'!$B$2:$B$42,0)),"")</f>
        <v/>
      </c>
      <c r="CQ622" s="138" t="str">
        <f>IF($I622&lt;&gt;"",INDEX('Device Refrigerant Leakage'!$F$2:$F$42,MATCH($M622,'Device Refrigerant Leakage'!$B$2:$B$42,0)),"")</f>
        <v/>
      </c>
      <c r="CR622" s="145" t="str">
        <f>IF($I622&lt;&gt;"",INDEX('Device Refrigerant Leakage'!$G$2:$G$42,MATCH($M622,'Device Refrigerant Leakage'!$B$2:$B$42,0)),"")</f>
        <v/>
      </c>
      <c r="CS622" s="145" t="str">
        <f>IF($I622&lt;&gt;"",INDEX('Device Refrigerant Leakage'!$D$2:$D$42,MATCH($M622,'Device Refrigerant Leakage'!$B$2:$B$42,0))*CP622/2204.62*CO622,"")</f>
        <v/>
      </c>
      <c r="CT622" s="145" t="str">
        <f>IF($I622&lt;&gt;"",J622*(INDEX('Device Refrigerant Leakage'!$D$2:$D$42,MATCH($M622,'Device Refrigerant Leakage'!$B$2:$B$42,0))-(INDEX('Device Refrigerant Leakage'!$D$2:$D$42,MATCH($M622,'Device Refrigerant Leakage'!$B$2:$B$42,0)))*CR622*CP622)*CQ622/2204.62*CO622,"")</f>
        <v/>
      </c>
      <c r="CU622" s="135" t="str">
        <f>IF($I622&lt;&gt;"",J622*IF(W622&lt;&gt;"AR",(CS622*K622)+CT622,(CS622*AB622)+CT622*(AB622/INDEX('Device Refrigerant Leakage'!$C$2:$C$42,MATCH($M622,'Device Refrigerant Leakage'!$B$2:$B$42,0)))),"")</f>
        <v/>
      </c>
      <c r="CW622" s="135" t="str">
        <f>IF($I622&lt;&gt;"",IF(S622="User Specified",V622,INDEX('Refrigerant GWPs'!$G$2:$G$156,MATCH(S622,'Refrigerant GWPs'!$A$2:$A$157,0))),"")</f>
        <v/>
      </c>
      <c r="CX622" s="138" t="str">
        <f>IF($I622&lt;&gt;"",INDEX('Device Refrigerant Leakage'!$E$2:$E$42,MATCH($Q622,'Device Refrigerant Leakage'!$B$2:$B$42,0)),"")</f>
        <v/>
      </c>
      <c r="CY622" s="138" t="str">
        <f>IF($I622&lt;&gt;"",INDEX('Device Refrigerant Leakage'!$F$2:$F$42,MATCH($Q622,'Device Refrigerant Leakage'!$B$2:$B$42,0)),"")</f>
        <v/>
      </c>
      <c r="CZ622" s="145" t="str">
        <f>IF($I622&lt;&gt;"",INDEX('Device Refrigerant Leakage'!$G$2:$G$42,MATCH($Q622,'Device Refrigerant Leakage'!$B$2:$B$42,0)),"")</f>
        <v/>
      </c>
      <c r="DA622" s="145" t="str">
        <f>IF($I622&lt;&gt;"",J622*INDEX('Device Refrigerant Leakage'!$D$2:$D$42,MATCH($Q622,'Device Refrigerant Leakage'!$B$2:$B$42,0))*CX622/2204.62*CW622,"")</f>
        <v/>
      </c>
      <c r="DB622" s="145" t="str">
        <f>IF($I622&lt;&gt;"",J622*(INDEX('Device Refrigerant Leakage'!$D$2:$D$42,MATCH($Q622,'Device Refrigerant Leakage'!$B$2:$B$42,0))-(INDEX('Device Refrigerant Leakage'!$D$2:$D$42,MATCH($Q622,'Device Refrigerant Leakage'!$B$2:$B$42,0)))*CZ622*CX622)*CY622/2204.62*CW622,"")</f>
        <v/>
      </c>
      <c r="DC622" s="135" t="str">
        <f t="shared" si="756"/>
        <v/>
      </c>
      <c r="DE622" s="146" t="str">
        <f>IF(W622&lt;&gt;"AR","",IF(Y622="User Specified", AA622, INDEX('Refrigerant GWPs'!$G$2:$G$154,MATCH(Y622,'Refrigerant GWPs'!$A$2:$A$154,0))))</f>
        <v/>
      </c>
      <c r="DF622" s="146" t="str">
        <f>IF(W622&lt;&gt;"AR","",INDEX('Device Refrigerant Leakage'!$E$2:$E$42,MATCH(X622,'Device Refrigerant Leakage'!$B$2:$B$42,0)))</f>
        <v/>
      </c>
      <c r="DG622" s="146" t="str">
        <f>IF(W622&lt;&gt;"AR","",INDEX('Device Refrigerant Leakage'!$F$2:$F$42,MATCH(X622,'Device Refrigerant Leakage'!$B$2:$B$42,0)))</f>
        <v/>
      </c>
      <c r="DH622" s="146" t="str">
        <f>IF(W622&lt;&gt;"AR","",INDEX('Device Refrigerant Leakage'!$G$2:$G$42,MATCH(X622,'Device Refrigerant Leakage'!$B$2:$B$42,0)))</f>
        <v/>
      </c>
      <c r="DI622" s="146" t="str">
        <f>IF(W622&lt;&gt;"AR","",J622*INDEX('Device Refrigerant Leakage'!$D$2:$D$42,MATCH(X622,'Device Refrigerant Leakage'!$B$2:$B$42,0))*DF622/2204.62*DE622)</f>
        <v/>
      </c>
      <c r="DJ622" s="146" t="str">
        <f>IF(W622&lt;&gt;"AR","",J622*(INDEX('Device Refrigerant Leakage'!$D$2:$D$42,MATCH(X622,'Device Refrigerant Leakage'!$B$2:$B$42,0))-(INDEX('Device Refrigerant Leakage'!$D$2:$D$42,MATCH(X622,'Device Refrigerant Leakage'!$B$2:$B$42,0)))*DH622*DF622)*DG622/2204.62*DE622)</f>
        <v/>
      </c>
      <c r="DK622" s="146" t="str">
        <f>IF(W622&lt;&gt;"AR","",DI622*(K622-AB622)+'Fuel Sub Calcs-Deemed'!DJ622*((K622-AB622)/INDEX('Device Refrigerant Leakage'!$C$2:$C$42,MATCH('Fuel Sub Calcs-Deemed'!X622,'Device Refrigerant Leakage'!$B$2:$B$42,0))))</f>
        <v/>
      </c>
      <c r="DM622" s="56">
        <v>608</v>
      </c>
      <c r="DN622" s="67" t="e">
        <f t="shared" si="738"/>
        <v>#N/A</v>
      </c>
      <c r="DO622" s="45" t="e">
        <f t="shared" si="739"/>
        <v>#N/A</v>
      </c>
      <c r="DP622" s="67" t="e">
        <f t="shared" si="740"/>
        <v>#N/A</v>
      </c>
      <c r="DQ622" s="45" t="e">
        <f t="shared" si="741"/>
        <v>#N/A</v>
      </c>
      <c r="DR622" s="69" t="e">
        <f t="shared" si="742"/>
        <v>#N/A</v>
      </c>
      <c r="DS622" s="34"/>
      <c r="DT622" s="67" t="e">
        <f>((BX622*CJ622)+IF($W622=MAT_AR,(BZ622*CL622),0))*(1+Reference!$E$50+Reference!$E$51)</f>
        <v>#N/A</v>
      </c>
      <c r="DU622" s="67">
        <f>((BY622*CK622)+IF($W622=MAT_AR,(CA622*CM622),0))*(1+Reference!$G$50+Reference!$G$51)</f>
        <v>0</v>
      </c>
      <c r="DV622" s="67" t="e">
        <f t="shared" si="743"/>
        <v>#VALUE!</v>
      </c>
      <c r="DX622" s="56">
        <v>608</v>
      </c>
      <c r="DY622" s="67">
        <f t="shared" si="744"/>
        <v>0</v>
      </c>
      <c r="DZ622" s="45" t="e">
        <f>VLOOKUP($R622,Dropdown!$C$3:$D$4,2,FALSE)</f>
        <v>#N/A</v>
      </c>
      <c r="EA622" s="68">
        <f t="shared" si="745"/>
        <v>0</v>
      </c>
      <c r="EB622" s="68" t="str">
        <f t="shared" si="746"/>
        <v>N/A</v>
      </c>
      <c r="EC622" s="68">
        <f t="shared" si="747"/>
        <v>0</v>
      </c>
      <c r="ED622" s="68" t="str">
        <f t="shared" si="785"/>
        <v>N/A</v>
      </c>
      <c r="EF622" s="56">
        <v>608</v>
      </c>
      <c r="EG622" s="46">
        <f t="shared" si="748"/>
        <v>0</v>
      </c>
      <c r="EH622" s="68" t="e">
        <f t="shared" si="749"/>
        <v>#N/A</v>
      </c>
      <c r="EI622" s="68" t="e">
        <f t="shared" si="750"/>
        <v>#N/A</v>
      </c>
      <c r="EJ622" s="68" t="e">
        <f t="shared" si="751"/>
        <v>#N/A</v>
      </c>
      <c r="EK622" s="68" t="e">
        <f t="shared" si="752"/>
        <v>#N/A</v>
      </c>
      <c r="EL622" s="46">
        <f t="shared" si="753"/>
        <v>0</v>
      </c>
      <c r="EM622" s="46">
        <f t="shared" si="754"/>
        <v>0</v>
      </c>
    </row>
    <row r="623" spans="1:143">
      <c r="A623" s="89"/>
      <c r="B623" s="89"/>
      <c r="C623" s="89"/>
      <c r="D623" s="89"/>
      <c r="E623" s="89"/>
      <c r="F623" s="89"/>
      <c r="G623" s="34"/>
      <c r="H623" s="56">
        <f t="shared" si="755"/>
        <v>609</v>
      </c>
      <c r="I623" s="165"/>
      <c r="J623" s="163"/>
      <c r="K623" s="163"/>
      <c r="L623" s="164"/>
      <c r="M623" s="155"/>
      <c r="N623" s="155"/>
      <c r="O623" s="144"/>
      <c r="P623" s="159" t="str">
        <f>IFERROR(IF(O623&lt;&gt;"User Specified",IF(O623&lt;&gt;"", INDEX('Refrigerant GWPs'!$G$2:$G$154,MATCH(O623,'Refrigerant GWPs'!$A$2:$A$154,0)),""),U623),0)</f>
        <v/>
      </c>
      <c r="Q623" s="155"/>
      <c r="R623" s="155"/>
      <c r="S623" s="144"/>
      <c r="T623" s="159" t="str">
        <f>IF(S623&lt;&gt;"User Specified",IF(AND(S623&lt;&gt;"User Specified",S623&lt;&gt;""), INDEX('Refrigerant GWPs'!$G$2:$G$154,MATCH(S623,'Refrigerant GWPs'!$A$2:$A$154,0)),""),V623)</f>
        <v/>
      </c>
      <c r="U623" s="144"/>
      <c r="V623" s="144"/>
      <c r="W623" s="155"/>
      <c r="X623" s="155"/>
      <c r="Y623" s="144"/>
      <c r="Z623" s="159" t="str">
        <f>IF(AND(Y623&lt;&gt;"User Specified",Y623&lt;&gt;""), INDEX('Refrigerant GWPs'!$G$2:$G$154,MATCH(Y623,'Refrigerant GWPs'!$A$2:$A$154,0)),"")</f>
        <v/>
      </c>
      <c r="AA623" s="155"/>
      <c r="AB623" s="156"/>
      <c r="AC623" s="66"/>
      <c r="AD623" s="66"/>
      <c r="AE623" s="66"/>
      <c r="AF623" s="66"/>
      <c r="AG623" s="66"/>
      <c r="AH623" s="66"/>
      <c r="AI623" s="34"/>
      <c r="AJ623" s="88">
        <f t="shared" si="718"/>
        <v>0</v>
      </c>
      <c r="AK623" s="88">
        <f t="shared" si="719"/>
        <v>0</v>
      </c>
      <c r="AL623" s="88">
        <v>0</v>
      </c>
      <c r="AM623" s="88">
        <v>0</v>
      </c>
      <c r="AN623" s="81" t="str">
        <f t="shared" si="757"/>
        <v/>
      </c>
      <c r="AO623" s="88">
        <f t="shared" si="720"/>
        <v>0</v>
      </c>
      <c r="AP623" s="88">
        <f t="shared" si="721"/>
        <v>0</v>
      </c>
      <c r="AQ623" s="81" t="str">
        <f t="shared" si="722"/>
        <v/>
      </c>
      <c r="AS623" s="41" t="b">
        <f t="shared" si="723"/>
        <v>1</v>
      </c>
      <c r="AT623" s="38">
        <f t="shared" si="724"/>
        <v>0</v>
      </c>
      <c r="AU623" s="60">
        <f t="shared" si="725"/>
        <v>0</v>
      </c>
      <c r="AV623" s="41">
        <f t="shared" si="726"/>
        <v>0</v>
      </c>
      <c r="AW623" s="41" t="b">
        <f t="shared" si="727"/>
        <v>0</v>
      </c>
      <c r="AX623" t="str">
        <f t="shared" si="728"/>
        <v>+00</v>
      </c>
      <c r="AY623" t="str">
        <f t="shared" si="729"/>
        <v>+00</v>
      </c>
      <c r="BA623" s="47" t="b">
        <f t="shared" si="758"/>
        <v>1</v>
      </c>
      <c r="BB623" s="42" t="b">
        <f t="shared" si="759"/>
        <v>1</v>
      </c>
      <c r="BC623" s="42" t="b">
        <f t="shared" si="760"/>
        <v>0</v>
      </c>
      <c r="BD623" s="42" t="b">
        <f t="shared" si="761"/>
        <v>0</v>
      </c>
      <c r="BE623" s="70">
        <f t="shared" si="762"/>
        <v>0</v>
      </c>
      <c r="BF623" s="70">
        <f t="shared" si="763"/>
        <v>0</v>
      </c>
      <c r="BG623" s="34"/>
      <c r="BI623" s="47" t="b">
        <f t="shared" si="764"/>
        <v>1</v>
      </c>
      <c r="BJ623" s="47" t="b">
        <f t="shared" si="765"/>
        <v>1</v>
      </c>
      <c r="BK623" s="42" t="b">
        <f t="shared" si="766"/>
        <v>0</v>
      </c>
      <c r="BL623" s="42" t="b">
        <f t="shared" si="767"/>
        <v>0</v>
      </c>
      <c r="BM623" s="42">
        <f t="shared" si="768"/>
        <v>0</v>
      </c>
      <c r="BN623" s="42">
        <f t="shared" si="769"/>
        <v>0</v>
      </c>
      <c r="BP623" t="e">
        <f t="shared" si="770"/>
        <v>#N/A</v>
      </c>
      <c r="BQ623" t="e">
        <f t="shared" si="771"/>
        <v>#N/A</v>
      </c>
      <c r="BR623" t="e">
        <f t="shared" si="772"/>
        <v>#N/A</v>
      </c>
      <c r="BT623" s="60">
        <f t="shared" si="773"/>
        <v>0</v>
      </c>
      <c r="BU623" s="60">
        <f t="shared" si="774"/>
        <v>0</v>
      </c>
      <c r="BV623" s="60">
        <f t="shared" si="775"/>
        <v>0</v>
      </c>
      <c r="BW623" s="60">
        <f t="shared" si="776"/>
        <v>0</v>
      </c>
      <c r="BX623" s="60">
        <f t="shared" si="777"/>
        <v>0</v>
      </c>
      <c r="BY623" s="60">
        <f t="shared" si="778"/>
        <v>0</v>
      </c>
      <c r="BZ623" s="60">
        <f t="shared" si="779"/>
        <v>0</v>
      </c>
      <c r="CA623" s="60">
        <f t="shared" si="780"/>
        <v>0</v>
      </c>
      <c r="CB623" s="60" t="e">
        <f t="shared" si="730"/>
        <v>#N/A</v>
      </c>
      <c r="CC623" s="60">
        <f t="shared" si="731"/>
        <v>100000</v>
      </c>
      <c r="CD623" s="60" t="e">
        <f t="shared" si="732"/>
        <v>#N/A</v>
      </c>
      <c r="CE623" s="60">
        <f t="shared" si="733"/>
        <v>100000</v>
      </c>
      <c r="CF623" s="83" t="e">
        <f t="shared" si="781"/>
        <v>#N/A</v>
      </c>
      <c r="CG623" s="83">
        <f t="shared" si="782"/>
        <v>0</v>
      </c>
      <c r="CH623" s="83" t="e">
        <f t="shared" si="783"/>
        <v>#N/A</v>
      </c>
      <c r="CI623" s="83">
        <f t="shared" si="784"/>
        <v>0</v>
      </c>
      <c r="CJ623" s="86" t="e">
        <f t="shared" si="734"/>
        <v>#N/A</v>
      </c>
      <c r="CK623" s="82">
        <f t="shared" si="735"/>
        <v>5.3070370403969858E-3</v>
      </c>
      <c r="CL623" s="82" t="e">
        <f t="shared" si="736"/>
        <v>#N/A</v>
      </c>
      <c r="CM623" s="82">
        <f t="shared" si="737"/>
        <v>5.3070370403969858E-3</v>
      </c>
      <c r="CO623" s="149" t="str">
        <f>IF($I623&lt;&gt;"",IF(O623="User Specified",U623,INDEX('Refrigerant GWPs'!$G$2:$G$156,MATCH(O623,'Refrigerant GWPs'!$A$2:$A$156,0))),"")</f>
        <v/>
      </c>
      <c r="CP623" s="138" t="str">
        <f>IF($I623&lt;&gt;"",INDEX('Device Refrigerant Leakage'!$E$2:$E$42,MATCH($M623,'Device Refrigerant Leakage'!$B$2:$B$42,0)),"")</f>
        <v/>
      </c>
      <c r="CQ623" s="138" t="str">
        <f>IF($I623&lt;&gt;"",INDEX('Device Refrigerant Leakage'!$F$2:$F$42,MATCH($M623,'Device Refrigerant Leakage'!$B$2:$B$42,0)),"")</f>
        <v/>
      </c>
      <c r="CR623" s="145" t="str">
        <f>IF($I623&lt;&gt;"",INDEX('Device Refrigerant Leakage'!$G$2:$G$42,MATCH($M623,'Device Refrigerant Leakage'!$B$2:$B$42,0)),"")</f>
        <v/>
      </c>
      <c r="CS623" s="145" t="str">
        <f>IF($I623&lt;&gt;"",INDEX('Device Refrigerant Leakage'!$D$2:$D$42,MATCH($M623,'Device Refrigerant Leakage'!$B$2:$B$42,0))*CP623/2204.62*CO623,"")</f>
        <v/>
      </c>
      <c r="CT623" s="145" t="str">
        <f>IF($I623&lt;&gt;"",J623*(INDEX('Device Refrigerant Leakage'!$D$2:$D$42,MATCH($M623,'Device Refrigerant Leakage'!$B$2:$B$42,0))-(INDEX('Device Refrigerant Leakage'!$D$2:$D$42,MATCH($M623,'Device Refrigerant Leakage'!$B$2:$B$42,0)))*CR623*CP623)*CQ623/2204.62*CO623,"")</f>
        <v/>
      </c>
      <c r="CU623" s="135" t="str">
        <f>IF($I623&lt;&gt;"",J623*IF(W623&lt;&gt;"AR",(CS623*K623)+CT623,(CS623*AB623)+CT623*(AB623/INDEX('Device Refrigerant Leakage'!$C$2:$C$42,MATCH($M623,'Device Refrigerant Leakage'!$B$2:$B$42,0)))),"")</f>
        <v/>
      </c>
      <c r="CW623" s="135" t="str">
        <f>IF($I623&lt;&gt;"",IF(S623="User Specified",V623,INDEX('Refrigerant GWPs'!$G$2:$G$156,MATCH(S623,'Refrigerant GWPs'!$A$2:$A$157,0))),"")</f>
        <v/>
      </c>
      <c r="CX623" s="138" t="str">
        <f>IF($I623&lt;&gt;"",INDEX('Device Refrigerant Leakage'!$E$2:$E$42,MATCH($Q623,'Device Refrigerant Leakage'!$B$2:$B$42,0)),"")</f>
        <v/>
      </c>
      <c r="CY623" s="138" t="str">
        <f>IF($I623&lt;&gt;"",INDEX('Device Refrigerant Leakage'!$F$2:$F$42,MATCH($Q623,'Device Refrigerant Leakage'!$B$2:$B$42,0)),"")</f>
        <v/>
      </c>
      <c r="CZ623" s="145" t="str">
        <f>IF($I623&lt;&gt;"",INDEX('Device Refrigerant Leakage'!$G$2:$G$42,MATCH($Q623,'Device Refrigerant Leakage'!$B$2:$B$42,0)),"")</f>
        <v/>
      </c>
      <c r="DA623" s="145" t="str">
        <f>IF($I623&lt;&gt;"",J623*INDEX('Device Refrigerant Leakage'!$D$2:$D$42,MATCH($Q623,'Device Refrigerant Leakage'!$B$2:$B$42,0))*CX623/2204.62*CW623,"")</f>
        <v/>
      </c>
      <c r="DB623" s="145" t="str">
        <f>IF($I623&lt;&gt;"",J623*(INDEX('Device Refrigerant Leakage'!$D$2:$D$42,MATCH($Q623,'Device Refrigerant Leakage'!$B$2:$B$42,0))-(INDEX('Device Refrigerant Leakage'!$D$2:$D$42,MATCH($Q623,'Device Refrigerant Leakage'!$B$2:$B$42,0)))*CZ623*CX623)*CY623/2204.62*CW623,"")</f>
        <v/>
      </c>
      <c r="DC623" s="135" t="str">
        <f t="shared" si="756"/>
        <v/>
      </c>
      <c r="DE623" s="146" t="str">
        <f>IF(W623&lt;&gt;"AR","",IF(Y623="User Specified", AA623, INDEX('Refrigerant GWPs'!$G$2:$G$154,MATCH(Y623,'Refrigerant GWPs'!$A$2:$A$154,0))))</f>
        <v/>
      </c>
      <c r="DF623" s="146" t="str">
        <f>IF(W623&lt;&gt;"AR","",INDEX('Device Refrigerant Leakage'!$E$2:$E$42,MATCH(X623,'Device Refrigerant Leakage'!$B$2:$B$42,0)))</f>
        <v/>
      </c>
      <c r="DG623" s="146" t="str">
        <f>IF(W623&lt;&gt;"AR","",INDEX('Device Refrigerant Leakage'!$F$2:$F$42,MATCH(X623,'Device Refrigerant Leakage'!$B$2:$B$42,0)))</f>
        <v/>
      </c>
      <c r="DH623" s="146" t="str">
        <f>IF(W623&lt;&gt;"AR","",INDEX('Device Refrigerant Leakage'!$G$2:$G$42,MATCH(X623,'Device Refrigerant Leakage'!$B$2:$B$42,0)))</f>
        <v/>
      </c>
      <c r="DI623" s="146" t="str">
        <f>IF(W623&lt;&gt;"AR","",J623*INDEX('Device Refrigerant Leakage'!$D$2:$D$42,MATCH(X623,'Device Refrigerant Leakage'!$B$2:$B$42,0))*DF623/2204.62*DE623)</f>
        <v/>
      </c>
      <c r="DJ623" s="146" t="str">
        <f>IF(W623&lt;&gt;"AR","",J623*(INDEX('Device Refrigerant Leakage'!$D$2:$D$42,MATCH(X623,'Device Refrigerant Leakage'!$B$2:$B$42,0))-(INDEX('Device Refrigerant Leakage'!$D$2:$D$42,MATCH(X623,'Device Refrigerant Leakage'!$B$2:$B$42,0)))*DH623*DF623)*DG623/2204.62*DE623)</f>
        <v/>
      </c>
      <c r="DK623" s="146" t="str">
        <f>IF(W623&lt;&gt;"AR","",DI623*(K623-AB623)+'Fuel Sub Calcs-Deemed'!DJ623*((K623-AB623)/INDEX('Device Refrigerant Leakage'!$C$2:$C$42,MATCH('Fuel Sub Calcs-Deemed'!X623,'Device Refrigerant Leakage'!$B$2:$B$42,0))))</f>
        <v/>
      </c>
      <c r="DM623" s="56">
        <v>609</v>
      </c>
      <c r="DN623" s="67" t="e">
        <f t="shared" si="738"/>
        <v>#N/A</v>
      </c>
      <c r="DO623" s="45" t="e">
        <f t="shared" si="739"/>
        <v>#N/A</v>
      </c>
      <c r="DP623" s="67" t="e">
        <f t="shared" si="740"/>
        <v>#N/A</v>
      </c>
      <c r="DQ623" s="45" t="e">
        <f t="shared" si="741"/>
        <v>#N/A</v>
      </c>
      <c r="DR623" s="69" t="e">
        <f t="shared" si="742"/>
        <v>#N/A</v>
      </c>
      <c r="DS623" s="34"/>
      <c r="DT623" s="67" t="e">
        <f>((BX623*CJ623)+IF($W623=MAT_AR,(BZ623*CL623),0))*(1+Reference!$E$50+Reference!$E$51)</f>
        <v>#N/A</v>
      </c>
      <c r="DU623" s="67">
        <f>((BY623*CK623)+IF($W623=MAT_AR,(CA623*CM623),0))*(1+Reference!$G$50+Reference!$G$51)</f>
        <v>0</v>
      </c>
      <c r="DV623" s="67" t="e">
        <f t="shared" si="743"/>
        <v>#VALUE!</v>
      </c>
      <c r="DX623" s="56">
        <v>609</v>
      </c>
      <c r="DY623" s="67">
        <f t="shared" si="744"/>
        <v>0</v>
      </c>
      <c r="DZ623" s="45" t="e">
        <f>VLOOKUP($R623,Dropdown!$C$3:$D$4,2,FALSE)</f>
        <v>#N/A</v>
      </c>
      <c r="EA623" s="68">
        <f t="shared" si="745"/>
        <v>0</v>
      </c>
      <c r="EB623" s="68" t="str">
        <f t="shared" si="746"/>
        <v>N/A</v>
      </c>
      <c r="EC623" s="68">
        <f t="shared" si="747"/>
        <v>0</v>
      </c>
      <c r="ED623" s="68" t="str">
        <f t="shared" si="785"/>
        <v>N/A</v>
      </c>
      <c r="EF623" s="56">
        <v>609</v>
      </c>
      <c r="EG623" s="46">
        <f t="shared" si="748"/>
        <v>0</v>
      </c>
      <c r="EH623" s="68" t="e">
        <f t="shared" si="749"/>
        <v>#N/A</v>
      </c>
      <c r="EI623" s="68" t="e">
        <f t="shared" si="750"/>
        <v>#N/A</v>
      </c>
      <c r="EJ623" s="68" t="e">
        <f t="shared" si="751"/>
        <v>#N/A</v>
      </c>
      <c r="EK623" s="68" t="e">
        <f t="shared" si="752"/>
        <v>#N/A</v>
      </c>
      <c r="EL623" s="46">
        <f t="shared" si="753"/>
        <v>0</v>
      </c>
      <c r="EM623" s="46">
        <f t="shared" si="754"/>
        <v>0</v>
      </c>
    </row>
    <row r="624" spans="1:143">
      <c r="A624" s="89"/>
      <c r="B624" s="89"/>
      <c r="C624" s="89"/>
      <c r="D624" s="89"/>
      <c r="E624" s="89"/>
      <c r="F624" s="89"/>
      <c r="G624" s="34"/>
      <c r="H624" s="56">
        <f t="shared" si="755"/>
        <v>610</v>
      </c>
      <c r="I624" s="165"/>
      <c r="J624" s="163"/>
      <c r="K624" s="163"/>
      <c r="L624" s="164"/>
      <c r="M624" s="155"/>
      <c r="N624" s="155"/>
      <c r="O624" s="144"/>
      <c r="P624" s="159" t="str">
        <f>IFERROR(IF(O624&lt;&gt;"User Specified",IF(O624&lt;&gt;"", INDEX('Refrigerant GWPs'!$G$2:$G$154,MATCH(O624,'Refrigerant GWPs'!$A$2:$A$154,0)),""),U624),0)</f>
        <v/>
      </c>
      <c r="Q624" s="155"/>
      <c r="R624" s="155"/>
      <c r="S624" s="144"/>
      <c r="T624" s="159" t="str">
        <f>IF(S624&lt;&gt;"User Specified",IF(AND(S624&lt;&gt;"User Specified",S624&lt;&gt;""), INDEX('Refrigerant GWPs'!$G$2:$G$154,MATCH(S624,'Refrigerant GWPs'!$A$2:$A$154,0)),""),V624)</f>
        <v/>
      </c>
      <c r="U624" s="144"/>
      <c r="V624" s="144"/>
      <c r="W624" s="155"/>
      <c r="X624" s="155"/>
      <c r="Y624" s="144"/>
      <c r="Z624" s="159" t="str">
        <f>IF(AND(Y624&lt;&gt;"User Specified",Y624&lt;&gt;""), INDEX('Refrigerant GWPs'!$G$2:$G$154,MATCH(Y624,'Refrigerant GWPs'!$A$2:$A$154,0)),"")</f>
        <v/>
      </c>
      <c r="AA624" s="155"/>
      <c r="AB624" s="156"/>
      <c r="AC624" s="66"/>
      <c r="AD624" s="66"/>
      <c r="AE624" s="66"/>
      <c r="AF624" s="66"/>
      <c r="AG624" s="66"/>
      <c r="AH624" s="66"/>
      <c r="AI624" s="34"/>
      <c r="AJ624" s="88">
        <f t="shared" si="718"/>
        <v>0</v>
      </c>
      <c r="AK624" s="88">
        <f t="shared" si="719"/>
        <v>0</v>
      </c>
      <c r="AL624" s="88">
        <v>0</v>
      </c>
      <c r="AM624" s="88">
        <v>0</v>
      </c>
      <c r="AN624" s="81" t="str">
        <f t="shared" si="757"/>
        <v/>
      </c>
      <c r="AO624" s="88">
        <f t="shared" si="720"/>
        <v>0</v>
      </c>
      <c r="AP624" s="88">
        <f t="shared" si="721"/>
        <v>0</v>
      </c>
      <c r="AQ624" s="81" t="str">
        <f t="shared" si="722"/>
        <v/>
      </c>
      <c r="AS624" s="41" t="b">
        <f t="shared" si="723"/>
        <v>1</v>
      </c>
      <c r="AT624" s="38">
        <f t="shared" si="724"/>
        <v>0</v>
      </c>
      <c r="AU624" s="60">
        <f t="shared" si="725"/>
        <v>0</v>
      </c>
      <c r="AV624" s="41">
        <f t="shared" si="726"/>
        <v>0</v>
      </c>
      <c r="AW624" s="41" t="b">
        <f t="shared" si="727"/>
        <v>0</v>
      </c>
      <c r="AX624" t="str">
        <f t="shared" si="728"/>
        <v>+00</v>
      </c>
      <c r="AY624" t="str">
        <f t="shared" si="729"/>
        <v>+00</v>
      </c>
      <c r="BA624" s="47" t="b">
        <f t="shared" si="758"/>
        <v>1</v>
      </c>
      <c r="BB624" s="42" t="b">
        <f t="shared" si="759"/>
        <v>1</v>
      </c>
      <c r="BC624" s="42" t="b">
        <f t="shared" si="760"/>
        <v>0</v>
      </c>
      <c r="BD624" s="42" t="b">
        <f t="shared" si="761"/>
        <v>0</v>
      </c>
      <c r="BE624" s="70">
        <f t="shared" si="762"/>
        <v>0</v>
      </c>
      <c r="BF624" s="70">
        <f t="shared" si="763"/>
        <v>0</v>
      </c>
      <c r="BG624" s="34"/>
      <c r="BI624" s="47" t="b">
        <f t="shared" si="764"/>
        <v>1</v>
      </c>
      <c r="BJ624" s="47" t="b">
        <f t="shared" si="765"/>
        <v>1</v>
      </c>
      <c r="BK624" s="42" t="b">
        <f t="shared" si="766"/>
        <v>0</v>
      </c>
      <c r="BL624" s="42" t="b">
        <f t="shared" si="767"/>
        <v>0</v>
      </c>
      <c r="BM624" s="42">
        <f t="shared" si="768"/>
        <v>0</v>
      </c>
      <c r="BN624" s="42">
        <f t="shared" si="769"/>
        <v>0</v>
      </c>
      <c r="BP624" t="e">
        <f t="shared" si="770"/>
        <v>#N/A</v>
      </c>
      <c r="BQ624" t="e">
        <f t="shared" si="771"/>
        <v>#N/A</v>
      </c>
      <c r="BR624" t="e">
        <f t="shared" si="772"/>
        <v>#N/A</v>
      </c>
      <c r="BT624" s="60">
        <f t="shared" si="773"/>
        <v>0</v>
      </c>
      <c r="BU624" s="60">
        <f t="shared" si="774"/>
        <v>0</v>
      </c>
      <c r="BV624" s="60">
        <f t="shared" si="775"/>
        <v>0</v>
      </c>
      <c r="BW624" s="60">
        <f t="shared" si="776"/>
        <v>0</v>
      </c>
      <c r="BX624" s="60">
        <f t="shared" si="777"/>
        <v>0</v>
      </c>
      <c r="BY624" s="60">
        <f t="shared" si="778"/>
        <v>0</v>
      </c>
      <c r="BZ624" s="60">
        <f t="shared" si="779"/>
        <v>0</v>
      </c>
      <c r="CA624" s="60">
        <f t="shared" si="780"/>
        <v>0</v>
      </c>
      <c r="CB624" s="60" t="e">
        <f t="shared" si="730"/>
        <v>#N/A</v>
      </c>
      <c r="CC624" s="60">
        <f t="shared" si="731"/>
        <v>100000</v>
      </c>
      <c r="CD624" s="60" t="e">
        <f t="shared" si="732"/>
        <v>#N/A</v>
      </c>
      <c r="CE624" s="60">
        <f t="shared" si="733"/>
        <v>100000</v>
      </c>
      <c r="CF624" s="83" t="e">
        <f t="shared" si="781"/>
        <v>#N/A</v>
      </c>
      <c r="CG624" s="83">
        <f t="shared" si="782"/>
        <v>0</v>
      </c>
      <c r="CH624" s="83" t="e">
        <f t="shared" si="783"/>
        <v>#N/A</v>
      </c>
      <c r="CI624" s="83">
        <f t="shared" si="784"/>
        <v>0</v>
      </c>
      <c r="CJ624" s="86" t="e">
        <f t="shared" si="734"/>
        <v>#N/A</v>
      </c>
      <c r="CK624" s="82">
        <f t="shared" si="735"/>
        <v>5.3070370403969858E-3</v>
      </c>
      <c r="CL624" s="82" t="e">
        <f t="shared" si="736"/>
        <v>#N/A</v>
      </c>
      <c r="CM624" s="82">
        <f t="shared" si="737"/>
        <v>5.3070370403969858E-3</v>
      </c>
      <c r="CO624" s="149" t="str">
        <f>IF($I624&lt;&gt;"",IF(O624="User Specified",U624,INDEX('Refrigerant GWPs'!$G$2:$G$156,MATCH(O624,'Refrigerant GWPs'!$A$2:$A$156,0))),"")</f>
        <v/>
      </c>
      <c r="CP624" s="138" t="str">
        <f>IF($I624&lt;&gt;"",INDEX('Device Refrigerant Leakage'!$E$2:$E$42,MATCH($M624,'Device Refrigerant Leakage'!$B$2:$B$42,0)),"")</f>
        <v/>
      </c>
      <c r="CQ624" s="138" t="str">
        <f>IF($I624&lt;&gt;"",INDEX('Device Refrigerant Leakage'!$F$2:$F$42,MATCH($M624,'Device Refrigerant Leakage'!$B$2:$B$42,0)),"")</f>
        <v/>
      </c>
      <c r="CR624" s="145" t="str">
        <f>IF($I624&lt;&gt;"",INDEX('Device Refrigerant Leakage'!$G$2:$G$42,MATCH($M624,'Device Refrigerant Leakage'!$B$2:$B$42,0)),"")</f>
        <v/>
      </c>
      <c r="CS624" s="145" t="str">
        <f>IF($I624&lt;&gt;"",INDEX('Device Refrigerant Leakage'!$D$2:$D$42,MATCH($M624,'Device Refrigerant Leakage'!$B$2:$B$42,0))*CP624/2204.62*CO624,"")</f>
        <v/>
      </c>
      <c r="CT624" s="145" t="str">
        <f>IF($I624&lt;&gt;"",J624*(INDEX('Device Refrigerant Leakage'!$D$2:$D$42,MATCH($M624,'Device Refrigerant Leakage'!$B$2:$B$42,0))-(INDEX('Device Refrigerant Leakage'!$D$2:$D$42,MATCH($M624,'Device Refrigerant Leakage'!$B$2:$B$42,0)))*CR624*CP624)*CQ624/2204.62*CO624,"")</f>
        <v/>
      </c>
      <c r="CU624" s="135" t="str">
        <f>IF($I624&lt;&gt;"",J624*IF(W624&lt;&gt;"AR",(CS624*K624)+CT624,(CS624*AB624)+CT624*(AB624/INDEX('Device Refrigerant Leakage'!$C$2:$C$42,MATCH($M624,'Device Refrigerant Leakage'!$B$2:$B$42,0)))),"")</f>
        <v/>
      </c>
      <c r="CW624" s="135" t="str">
        <f>IF($I624&lt;&gt;"",IF(S624="User Specified",V624,INDEX('Refrigerant GWPs'!$G$2:$G$156,MATCH(S624,'Refrigerant GWPs'!$A$2:$A$157,0))),"")</f>
        <v/>
      </c>
      <c r="CX624" s="138" t="str">
        <f>IF($I624&lt;&gt;"",INDEX('Device Refrigerant Leakage'!$E$2:$E$42,MATCH($Q624,'Device Refrigerant Leakage'!$B$2:$B$42,0)),"")</f>
        <v/>
      </c>
      <c r="CY624" s="138" t="str">
        <f>IF($I624&lt;&gt;"",INDEX('Device Refrigerant Leakage'!$F$2:$F$42,MATCH($Q624,'Device Refrigerant Leakage'!$B$2:$B$42,0)),"")</f>
        <v/>
      </c>
      <c r="CZ624" s="145" t="str">
        <f>IF($I624&lt;&gt;"",INDEX('Device Refrigerant Leakage'!$G$2:$G$42,MATCH($Q624,'Device Refrigerant Leakage'!$B$2:$B$42,0)),"")</f>
        <v/>
      </c>
      <c r="DA624" s="145" t="str">
        <f>IF($I624&lt;&gt;"",J624*INDEX('Device Refrigerant Leakage'!$D$2:$D$42,MATCH($Q624,'Device Refrigerant Leakage'!$B$2:$B$42,0))*CX624/2204.62*CW624,"")</f>
        <v/>
      </c>
      <c r="DB624" s="145" t="str">
        <f>IF($I624&lt;&gt;"",J624*(INDEX('Device Refrigerant Leakage'!$D$2:$D$42,MATCH($Q624,'Device Refrigerant Leakage'!$B$2:$B$42,0))-(INDEX('Device Refrigerant Leakage'!$D$2:$D$42,MATCH($Q624,'Device Refrigerant Leakage'!$B$2:$B$42,0)))*CZ624*CX624)*CY624/2204.62*CW624,"")</f>
        <v/>
      </c>
      <c r="DC624" s="135" t="str">
        <f t="shared" si="756"/>
        <v/>
      </c>
      <c r="DE624" s="146" t="str">
        <f>IF(W624&lt;&gt;"AR","",IF(Y624="User Specified", AA624, INDEX('Refrigerant GWPs'!$G$2:$G$154,MATCH(Y624,'Refrigerant GWPs'!$A$2:$A$154,0))))</f>
        <v/>
      </c>
      <c r="DF624" s="146" t="str">
        <f>IF(W624&lt;&gt;"AR","",INDEX('Device Refrigerant Leakage'!$E$2:$E$42,MATCH(X624,'Device Refrigerant Leakage'!$B$2:$B$42,0)))</f>
        <v/>
      </c>
      <c r="DG624" s="146" t="str">
        <f>IF(W624&lt;&gt;"AR","",INDEX('Device Refrigerant Leakage'!$F$2:$F$42,MATCH(X624,'Device Refrigerant Leakage'!$B$2:$B$42,0)))</f>
        <v/>
      </c>
      <c r="DH624" s="146" t="str">
        <f>IF(W624&lt;&gt;"AR","",INDEX('Device Refrigerant Leakage'!$G$2:$G$42,MATCH(X624,'Device Refrigerant Leakage'!$B$2:$B$42,0)))</f>
        <v/>
      </c>
      <c r="DI624" s="146" t="str">
        <f>IF(W624&lt;&gt;"AR","",J624*INDEX('Device Refrigerant Leakage'!$D$2:$D$42,MATCH(X624,'Device Refrigerant Leakage'!$B$2:$B$42,0))*DF624/2204.62*DE624)</f>
        <v/>
      </c>
      <c r="DJ624" s="146" t="str">
        <f>IF(W624&lt;&gt;"AR","",J624*(INDEX('Device Refrigerant Leakage'!$D$2:$D$42,MATCH(X624,'Device Refrigerant Leakage'!$B$2:$B$42,0))-(INDEX('Device Refrigerant Leakage'!$D$2:$D$42,MATCH(X624,'Device Refrigerant Leakage'!$B$2:$B$42,0)))*DH624*DF624)*DG624/2204.62*DE624)</f>
        <v/>
      </c>
      <c r="DK624" s="146" t="str">
        <f>IF(W624&lt;&gt;"AR","",DI624*(K624-AB624)+'Fuel Sub Calcs-Deemed'!DJ624*((K624-AB624)/INDEX('Device Refrigerant Leakage'!$C$2:$C$42,MATCH('Fuel Sub Calcs-Deemed'!X624,'Device Refrigerant Leakage'!$B$2:$B$42,0))))</f>
        <v/>
      </c>
      <c r="DM624" s="56">
        <v>610</v>
      </c>
      <c r="DN624" s="67" t="e">
        <f t="shared" si="738"/>
        <v>#N/A</v>
      </c>
      <c r="DO624" s="45" t="e">
        <f t="shared" si="739"/>
        <v>#N/A</v>
      </c>
      <c r="DP624" s="67" t="e">
        <f t="shared" si="740"/>
        <v>#N/A</v>
      </c>
      <c r="DQ624" s="45" t="e">
        <f t="shared" si="741"/>
        <v>#N/A</v>
      </c>
      <c r="DR624" s="69" t="e">
        <f t="shared" si="742"/>
        <v>#N/A</v>
      </c>
      <c r="DS624" s="34"/>
      <c r="DT624" s="67" t="e">
        <f>((BX624*CJ624)+IF($W624=MAT_AR,(BZ624*CL624),0))*(1+Reference!$E$50+Reference!$E$51)</f>
        <v>#N/A</v>
      </c>
      <c r="DU624" s="67">
        <f>((BY624*CK624)+IF($W624=MAT_AR,(CA624*CM624),0))*(1+Reference!$G$50+Reference!$G$51)</f>
        <v>0</v>
      </c>
      <c r="DV624" s="67" t="e">
        <f t="shared" si="743"/>
        <v>#VALUE!</v>
      </c>
      <c r="DX624" s="56">
        <v>610</v>
      </c>
      <c r="DY624" s="67">
        <f t="shared" si="744"/>
        <v>0</v>
      </c>
      <c r="DZ624" s="45" t="e">
        <f>VLOOKUP($R624,Dropdown!$C$3:$D$4,2,FALSE)</f>
        <v>#N/A</v>
      </c>
      <c r="EA624" s="68">
        <f t="shared" si="745"/>
        <v>0</v>
      </c>
      <c r="EB624" s="68" t="str">
        <f t="shared" si="746"/>
        <v>N/A</v>
      </c>
      <c r="EC624" s="68">
        <f t="shared" si="747"/>
        <v>0</v>
      </c>
      <c r="ED624" s="68" t="str">
        <f t="shared" si="785"/>
        <v>N/A</v>
      </c>
      <c r="EF624" s="56">
        <v>610</v>
      </c>
      <c r="EG624" s="46">
        <f t="shared" si="748"/>
        <v>0</v>
      </c>
      <c r="EH624" s="68" t="e">
        <f t="shared" si="749"/>
        <v>#N/A</v>
      </c>
      <c r="EI624" s="68" t="e">
        <f t="shared" si="750"/>
        <v>#N/A</v>
      </c>
      <c r="EJ624" s="68" t="e">
        <f t="shared" si="751"/>
        <v>#N/A</v>
      </c>
      <c r="EK624" s="68" t="e">
        <f t="shared" si="752"/>
        <v>#N/A</v>
      </c>
      <c r="EL624" s="46">
        <f t="shared" si="753"/>
        <v>0</v>
      </c>
      <c r="EM624" s="46">
        <f t="shared" si="754"/>
        <v>0</v>
      </c>
    </row>
    <row r="625" spans="1:143">
      <c r="A625" s="89"/>
      <c r="B625" s="89"/>
      <c r="C625" s="89"/>
      <c r="D625" s="89"/>
      <c r="E625" s="89"/>
      <c r="F625" s="89"/>
      <c r="G625" s="34"/>
      <c r="H625" s="56">
        <f t="shared" si="755"/>
        <v>611</v>
      </c>
      <c r="I625" s="165"/>
      <c r="J625" s="163"/>
      <c r="K625" s="163"/>
      <c r="L625" s="164"/>
      <c r="M625" s="155"/>
      <c r="N625" s="155"/>
      <c r="O625" s="144"/>
      <c r="P625" s="159" t="str">
        <f>IFERROR(IF(O625&lt;&gt;"User Specified",IF(O625&lt;&gt;"", INDEX('Refrigerant GWPs'!$G$2:$G$154,MATCH(O625,'Refrigerant GWPs'!$A$2:$A$154,0)),""),U625),0)</f>
        <v/>
      </c>
      <c r="Q625" s="155"/>
      <c r="R625" s="155"/>
      <c r="S625" s="144"/>
      <c r="T625" s="159" t="str">
        <f>IF(S625&lt;&gt;"User Specified",IF(AND(S625&lt;&gt;"User Specified",S625&lt;&gt;""), INDEX('Refrigerant GWPs'!$G$2:$G$154,MATCH(S625,'Refrigerant GWPs'!$A$2:$A$154,0)),""),V625)</f>
        <v/>
      </c>
      <c r="U625" s="144"/>
      <c r="V625" s="144"/>
      <c r="W625" s="155"/>
      <c r="X625" s="155"/>
      <c r="Y625" s="144"/>
      <c r="Z625" s="159" t="str">
        <f>IF(AND(Y625&lt;&gt;"User Specified",Y625&lt;&gt;""), INDEX('Refrigerant GWPs'!$G$2:$G$154,MATCH(Y625,'Refrigerant GWPs'!$A$2:$A$154,0)),"")</f>
        <v/>
      </c>
      <c r="AA625" s="155"/>
      <c r="AB625" s="156"/>
      <c r="AC625" s="66"/>
      <c r="AD625" s="66"/>
      <c r="AE625" s="66"/>
      <c r="AF625" s="66"/>
      <c r="AG625" s="66"/>
      <c r="AH625" s="66"/>
      <c r="AI625" s="34"/>
      <c r="AJ625" s="88">
        <f t="shared" si="718"/>
        <v>0</v>
      </c>
      <c r="AK625" s="88">
        <f t="shared" si="719"/>
        <v>0</v>
      </c>
      <c r="AL625" s="88">
        <v>0</v>
      </c>
      <c r="AM625" s="88">
        <v>0</v>
      </c>
      <c r="AN625" s="81" t="str">
        <f t="shared" si="757"/>
        <v/>
      </c>
      <c r="AO625" s="88">
        <f t="shared" si="720"/>
        <v>0</v>
      </c>
      <c r="AP625" s="88">
        <f t="shared" si="721"/>
        <v>0</v>
      </c>
      <c r="AQ625" s="81" t="str">
        <f t="shared" si="722"/>
        <v/>
      </c>
      <c r="AS625" s="41" t="b">
        <f t="shared" si="723"/>
        <v>1</v>
      </c>
      <c r="AT625" s="38">
        <f t="shared" si="724"/>
        <v>0</v>
      </c>
      <c r="AU625" s="60">
        <f t="shared" si="725"/>
        <v>0</v>
      </c>
      <c r="AV625" s="41">
        <f t="shared" si="726"/>
        <v>0</v>
      </c>
      <c r="AW625" s="41" t="b">
        <f t="shared" si="727"/>
        <v>0</v>
      </c>
      <c r="AX625" t="str">
        <f t="shared" si="728"/>
        <v>+00</v>
      </c>
      <c r="AY625" t="str">
        <f t="shared" si="729"/>
        <v>+00</v>
      </c>
      <c r="BA625" s="47" t="b">
        <f t="shared" si="758"/>
        <v>1</v>
      </c>
      <c r="BB625" s="42" t="b">
        <f t="shared" si="759"/>
        <v>1</v>
      </c>
      <c r="BC625" s="42" t="b">
        <f t="shared" si="760"/>
        <v>0</v>
      </c>
      <c r="BD625" s="42" t="b">
        <f t="shared" si="761"/>
        <v>0</v>
      </c>
      <c r="BE625" s="70">
        <f t="shared" si="762"/>
        <v>0</v>
      </c>
      <c r="BF625" s="70">
        <f t="shared" si="763"/>
        <v>0</v>
      </c>
      <c r="BG625" s="34"/>
      <c r="BI625" s="47" t="b">
        <f t="shared" si="764"/>
        <v>1</v>
      </c>
      <c r="BJ625" s="47" t="b">
        <f t="shared" si="765"/>
        <v>1</v>
      </c>
      <c r="BK625" s="42" t="b">
        <f t="shared" si="766"/>
        <v>0</v>
      </c>
      <c r="BL625" s="42" t="b">
        <f t="shared" si="767"/>
        <v>0</v>
      </c>
      <c r="BM625" s="42">
        <f t="shared" si="768"/>
        <v>0</v>
      </c>
      <c r="BN625" s="42">
        <f t="shared" si="769"/>
        <v>0</v>
      </c>
      <c r="BP625" t="e">
        <f t="shared" si="770"/>
        <v>#N/A</v>
      </c>
      <c r="BQ625" t="e">
        <f t="shared" si="771"/>
        <v>#N/A</v>
      </c>
      <c r="BR625" t="e">
        <f t="shared" si="772"/>
        <v>#N/A</v>
      </c>
      <c r="BT625" s="60">
        <f t="shared" si="773"/>
        <v>0</v>
      </c>
      <c r="BU625" s="60">
        <f t="shared" si="774"/>
        <v>0</v>
      </c>
      <c r="BV625" s="60">
        <f t="shared" si="775"/>
        <v>0</v>
      </c>
      <c r="BW625" s="60">
        <f t="shared" si="776"/>
        <v>0</v>
      </c>
      <c r="BX625" s="60">
        <f t="shared" si="777"/>
        <v>0</v>
      </c>
      <c r="BY625" s="60">
        <f t="shared" si="778"/>
        <v>0</v>
      </c>
      <c r="BZ625" s="60">
        <f t="shared" si="779"/>
        <v>0</v>
      </c>
      <c r="CA625" s="60">
        <f t="shared" si="780"/>
        <v>0</v>
      </c>
      <c r="CB625" s="60" t="e">
        <f t="shared" si="730"/>
        <v>#N/A</v>
      </c>
      <c r="CC625" s="60">
        <f t="shared" si="731"/>
        <v>100000</v>
      </c>
      <c r="CD625" s="60" t="e">
        <f t="shared" si="732"/>
        <v>#N/A</v>
      </c>
      <c r="CE625" s="60">
        <f t="shared" si="733"/>
        <v>100000</v>
      </c>
      <c r="CF625" s="83" t="e">
        <f t="shared" si="781"/>
        <v>#N/A</v>
      </c>
      <c r="CG625" s="83">
        <f t="shared" si="782"/>
        <v>0</v>
      </c>
      <c r="CH625" s="83" t="e">
        <f t="shared" si="783"/>
        <v>#N/A</v>
      </c>
      <c r="CI625" s="83">
        <f t="shared" si="784"/>
        <v>0</v>
      </c>
      <c r="CJ625" s="86" t="e">
        <f t="shared" si="734"/>
        <v>#N/A</v>
      </c>
      <c r="CK625" s="82">
        <f t="shared" si="735"/>
        <v>5.3070370403969858E-3</v>
      </c>
      <c r="CL625" s="82" t="e">
        <f t="shared" si="736"/>
        <v>#N/A</v>
      </c>
      <c r="CM625" s="82">
        <f t="shared" si="737"/>
        <v>5.3070370403969858E-3</v>
      </c>
      <c r="CO625" s="149" t="str">
        <f>IF($I625&lt;&gt;"",IF(O625="User Specified",U625,INDEX('Refrigerant GWPs'!$G$2:$G$156,MATCH(O625,'Refrigerant GWPs'!$A$2:$A$156,0))),"")</f>
        <v/>
      </c>
      <c r="CP625" s="138" t="str">
        <f>IF($I625&lt;&gt;"",INDEX('Device Refrigerant Leakage'!$E$2:$E$42,MATCH($M625,'Device Refrigerant Leakage'!$B$2:$B$42,0)),"")</f>
        <v/>
      </c>
      <c r="CQ625" s="138" t="str">
        <f>IF($I625&lt;&gt;"",INDEX('Device Refrigerant Leakage'!$F$2:$F$42,MATCH($M625,'Device Refrigerant Leakage'!$B$2:$B$42,0)),"")</f>
        <v/>
      </c>
      <c r="CR625" s="145" t="str">
        <f>IF($I625&lt;&gt;"",INDEX('Device Refrigerant Leakage'!$G$2:$G$42,MATCH($M625,'Device Refrigerant Leakage'!$B$2:$B$42,0)),"")</f>
        <v/>
      </c>
      <c r="CS625" s="145" t="str">
        <f>IF($I625&lt;&gt;"",INDEX('Device Refrigerant Leakage'!$D$2:$D$42,MATCH($M625,'Device Refrigerant Leakage'!$B$2:$B$42,0))*CP625/2204.62*CO625,"")</f>
        <v/>
      </c>
      <c r="CT625" s="145" t="str">
        <f>IF($I625&lt;&gt;"",J625*(INDEX('Device Refrigerant Leakage'!$D$2:$D$42,MATCH($M625,'Device Refrigerant Leakage'!$B$2:$B$42,0))-(INDEX('Device Refrigerant Leakage'!$D$2:$D$42,MATCH($M625,'Device Refrigerant Leakage'!$B$2:$B$42,0)))*CR625*CP625)*CQ625/2204.62*CO625,"")</f>
        <v/>
      </c>
      <c r="CU625" s="135" t="str">
        <f>IF($I625&lt;&gt;"",J625*IF(W625&lt;&gt;"AR",(CS625*K625)+CT625,(CS625*AB625)+CT625*(AB625/INDEX('Device Refrigerant Leakage'!$C$2:$C$42,MATCH($M625,'Device Refrigerant Leakage'!$B$2:$B$42,0)))),"")</f>
        <v/>
      </c>
      <c r="CW625" s="135" t="str">
        <f>IF($I625&lt;&gt;"",IF(S625="User Specified",V625,INDEX('Refrigerant GWPs'!$G$2:$G$156,MATCH(S625,'Refrigerant GWPs'!$A$2:$A$157,0))),"")</f>
        <v/>
      </c>
      <c r="CX625" s="138" t="str">
        <f>IF($I625&lt;&gt;"",INDEX('Device Refrigerant Leakage'!$E$2:$E$42,MATCH($Q625,'Device Refrigerant Leakage'!$B$2:$B$42,0)),"")</f>
        <v/>
      </c>
      <c r="CY625" s="138" t="str">
        <f>IF($I625&lt;&gt;"",INDEX('Device Refrigerant Leakage'!$F$2:$F$42,MATCH($Q625,'Device Refrigerant Leakage'!$B$2:$B$42,0)),"")</f>
        <v/>
      </c>
      <c r="CZ625" s="145" t="str">
        <f>IF($I625&lt;&gt;"",INDEX('Device Refrigerant Leakage'!$G$2:$G$42,MATCH($Q625,'Device Refrigerant Leakage'!$B$2:$B$42,0)),"")</f>
        <v/>
      </c>
      <c r="DA625" s="145" t="str">
        <f>IF($I625&lt;&gt;"",J625*INDEX('Device Refrigerant Leakage'!$D$2:$D$42,MATCH($Q625,'Device Refrigerant Leakage'!$B$2:$B$42,0))*CX625/2204.62*CW625,"")</f>
        <v/>
      </c>
      <c r="DB625" s="145" t="str">
        <f>IF($I625&lt;&gt;"",J625*(INDEX('Device Refrigerant Leakage'!$D$2:$D$42,MATCH($Q625,'Device Refrigerant Leakage'!$B$2:$B$42,0))-(INDEX('Device Refrigerant Leakage'!$D$2:$D$42,MATCH($Q625,'Device Refrigerant Leakage'!$B$2:$B$42,0)))*CZ625*CX625)*CY625/2204.62*CW625,"")</f>
        <v/>
      </c>
      <c r="DC625" s="135" t="str">
        <f t="shared" si="756"/>
        <v/>
      </c>
      <c r="DE625" s="146" t="str">
        <f>IF(W625&lt;&gt;"AR","",IF(Y625="User Specified", AA625, INDEX('Refrigerant GWPs'!$G$2:$G$154,MATCH(Y625,'Refrigerant GWPs'!$A$2:$A$154,0))))</f>
        <v/>
      </c>
      <c r="DF625" s="146" t="str">
        <f>IF(W625&lt;&gt;"AR","",INDEX('Device Refrigerant Leakage'!$E$2:$E$42,MATCH(X625,'Device Refrigerant Leakage'!$B$2:$B$42,0)))</f>
        <v/>
      </c>
      <c r="DG625" s="146" t="str">
        <f>IF(W625&lt;&gt;"AR","",INDEX('Device Refrigerant Leakage'!$F$2:$F$42,MATCH(X625,'Device Refrigerant Leakage'!$B$2:$B$42,0)))</f>
        <v/>
      </c>
      <c r="DH625" s="146" t="str">
        <f>IF(W625&lt;&gt;"AR","",INDEX('Device Refrigerant Leakage'!$G$2:$G$42,MATCH(X625,'Device Refrigerant Leakage'!$B$2:$B$42,0)))</f>
        <v/>
      </c>
      <c r="DI625" s="146" t="str">
        <f>IF(W625&lt;&gt;"AR","",J625*INDEX('Device Refrigerant Leakage'!$D$2:$D$42,MATCH(X625,'Device Refrigerant Leakage'!$B$2:$B$42,0))*DF625/2204.62*DE625)</f>
        <v/>
      </c>
      <c r="DJ625" s="146" t="str">
        <f>IF(W625&lt;&gt;"AR","",J625*(INDEX('Device Refrigerant Leakage'!$D$2:$D$42,MATCH(X625,'Device Refrigerant Leakage'!$B$2:$B$42,0))-(INDEX('Device Refrigerant Leakage'!$D$2:$D$42,MATCH(X625,'Device Refrigerant Leakage'!$B$2:$B$42,0)))*DH625*DF625)*DG625/2204.62*DE625)</f>
        <v/>
      </c>
      <c r="DK625" s="146" t="str">
        <f>IF(W625&lt;&gt;"AR","",DI625*(K625-AB625)+'Fuel Sub Calcs-Deemed'!DJ625*((K625-AB625)/INDEX('Device Refrigerant Leakage'!$C$2:$C$42,MATCH('Fuel Sub Calcs-Deemed'!X625,'Device Refrigerant Leakage'!$B$2:$B$42,0))))</f>
        <v/>
      </c>
      <c r="DM625" s="56">
        <v>611</v>
      </c>
      <c r="DN625" s="67" t="e">
        <f t="shared" si="738"/>
        <v>#N/A</v>
      </c>
      <c r="DO625" s="45" t="e">
        <f t="shared" si="739"/>
        <v>#N/A</v>
      </c>
      <c r="DP625" s="67" t="e">
        <f t="shared" si="740"/>
        <v>#N/A</v>
      </c>
      <c r="DQ625" s="45" t="e">
        <f t="shared" si="741"/>
        <v>#N/A</v>
      </c>
      <c r="DR625" s="69" t="e">
        <f t="shared" si="742"/>
        <v>#N/A</v>
      </c>
      <c r="DS625" s="34"/>
      <c r="DT625" s="67" t="e">
        <f>((BX625*CJ625)+IF($W625=MAT_AR,(BZ625*CL625),0))*(1+Reference!$E$50+Reference!$E$51)</f>
        <v>#N/A</v>
      </c>
      <c r="DU625" s="67">
        <f>((BY625*CK625)+IF($W625=MAT_AR,(CA625*CM625),0))*(1+Reference!$G$50+Reference!$G$51)</f>
        <v>0</v>
      </c>
      <c r="DV625" s="67" t="e">
        <f t="shared" si="743"/>
        <v>#VALUE!</v>
      </c>
      <c r="DX625" s="56">
        <v>611</v>
      </c>
      <c r="DY625" s="67">
        <f t="shared" si="744"/>
        <v>0</v>
      </c>
      <c r="DZ625" s="45" t="e">
        <f>VLOOKUP($R625,Dropdown!$C$3:$D$4,2,FALSE)</f>
        <v>#N/A</v>
      </c>
      <c r="EA625" s="68">
        <f t="shared" si="745"/>
        <v>0</v>
      </c>
      <c r="EB625" s="68" t="str">
        <f t="shared" si="746"/>
        <v>N/A</v>
      </c>
      <c r="EC625" s="68">
        <f t="shared" si="747"/>
        <v>0</v>
      </c>
      <c r="ED625" s="68" t="str">
        <f t="shared" si="785"/>
        <v>N/A</v>
      </c>
      <c r="EF625" s="56">
        <v>611</v>
      </c>
      <c r="EG625" s="46">
        <f t="shared" si="748"/>
        <v>0</v>
      </c>
      <c r="EH625" s="68" t="e">
        <f t="shared" si="749"/>
        <v>#N/A</v>
      </c>
      <c r="EI625" s="68" t="e">
        <f t="shared" si="750"/>
        <v>#N/A</v>
      </c>
      <c r="EJ625" s="68" t="e">
        <f t="shared" si="751"/>
        <v>#N/A</v>
      </c>
      <c r="EK625" s="68" t="e">
        <f t="shared" si="752"/>
        <v>#N/A</v>
      </c>
      <c r="EL625" s="46">
        <f t="shared" si="753"/>
        <v>0</v>
      </c>
      <c r="EM625" s="46">
        <f t="shared" si="754"/>
        <v>0</v>
      </c>
    </row>
    <row r="626" spans="1:143">
      <c r="A626" s="89"/>
      <c r="B626" s="89"/>
      <c r="C626" s="89"/>
      <c r="D626" s="89"/>
      <c r="E626" s="89"/>
      <c r="F626" s="89"/>
      <c r="G626" s="34"/>
      <c r="H626" s="56">
        <f t="shared" si="755"/>
        <v>612</v>
      </c>
      <c r="I626" s="165"/>
      <c r="J626" s="163"/>
      <c r="K626" s="163"/>
      <c r="L626" s="164"/>
      <c r="M626" s="155"/>
      <c r="N626" s="155"/>
      <c r="O626" s="144"/>
      <c r="P626" s="159" t="str">
        <f>IFERROR(IF(O626&lt;&gt;"User Specified",IF(O626&lt;&gt;"", INDEX('Refrigerant GWPs'!$G$2:$G$154,MATCH(O626,'Refrigerant GWPs'!$A$2:$A$154,0)),""),U626),0)</f>
        <v/>
      </c>
      <c r="Q626" s="155"/>
      <c r="R626" s="155"/>
      <c r="S626" s="144"/>
      <c r="T626" s="159" t="str">
        <f>IF(S626&lt;&gt;"User Specified",IF(AND(S626&lt;&gt;"User Specified",S626&lt;&gt;""), INDEX('Refrigerant GWPs'!$G$2:$G$154,MATCH(S626,'Refrigerant GWPs'!$A$2:$A$154,0)),""),V626)</f>
        <v/>
      </c>
      <c r="U626" s="144"/>
      <c r="V626" s="144"/>
      <c r="W626" s="155"/>
      <c r="X626" s="155"/>
      <c r="Y626" s="144"/>
      <c r="Z626" s="159" t="str">
        <f>IF(AND(Y626&lt;&gt;"User Specified",Y626&lt;&gt;""), INDEX('Refrigerant GWPs'!$G$2:$G$154,MATCH(Y626,'Refrigerant GWPs'!$A$2:$A$154,0)),"")</f>
        <v/>
      </c>
      <c r="AA626" s="155"/>
      <c r="AB626" s="156"/>
      <c r="AC626" s="66"/>
      <c r="AD626" s="66"/>
      <c r="AE626" s="66"/>
      <c r="AF626" s="66"/>
      <c r="AG626" s="66"/>
      <c r="AH626" s="66"/>
      <c r="AI626" s="34"/>
      <c r="AJ626" s="88">
        <f t="shared" si="718"/>
        <v>0</v>
      </c>
      <c r="AK626" s="88">
        <f t="shared" si="719"/>
        <v>0</v>
      </c>
      <c r="AL626" s="88">
        <v>0</v>
      </c>
      <c r="AM626" s="88">
        <v>0</v>
      </c>
      <c r="AN626" s="81" t="str">
        <f t="shared" si="757"/>
        <v/>
      </c>
      <c r="AO626" s="88">
        <f t="shared" si="720"/>
        <v>0</v>
      </c>
      <c r="AP626" s="88">
        <f t="shared" si="721"/>
        <v>0</v>
      </c>
      <c r="AQ626" s="81" t="str">
        <f t="shared" si="722"/>
        <v/>
      </c>
      <c r="AS626" s="41" t="b">
        <f t="shared" si="723"/>
        <v>1</v>
      </c>
      <c r="AT626" s="38">
        <f t="shared" si="724"/>
        <v>0</v>
      </c>
      <c r="AU626" s="60">
        <f t="shared" si="725"/>
        <v>0</v>
      </c>
      <c r="AV626" s="41">
        <f t="shared" si="726"/>
        <v>0</v>
      </c>
      <c r="AW626" s="41" t="b">
        <f t="shared" si="727"/>
        <v>0</v>
      </c>
      <c r="AX626" t="str">
        <f t="shared" si="728"/>
        <v>+00</v>
      </c>
      <c r="AY626" t="str">
        <f t="shared" si="729"/>
        <v>+00</v>
      </c>
      <c r="BA626" s="47" t="b">
        <f t="shared" si="758"/>
        <v>1</v>
      </c>
      <c r="BB626" s="42" t="b">
        <f t="shared" si="759"/>
        <v>1</v>
      </c>
      <c r="BC626" s="42" t="b">
        <f t="shared" si="760"/>
        <v>0</v>
      </c>
      <c r="BD626" s="42" t="b">
        <f t="shared" si="761"/>
        <v>0</v>
      </c>
      <c r="BE626" s="70">
        <f t="shared" si="762"/>
        <v>0</v>
      </c>
      <c r="BF626" s="70">
        <f t="shared" si="763"/>
        <v>0</v>
      </c>
      <c r="BG626" s="34"/>
      <c r="BI626" s="47" t="b">
        <f t="shared" si="764"/>
        <v>1</v>
      </c>
      <c r="BJ626" s="47" t="b">
        <f t="shared" si="765"/>
        <v>1</v>
      </c>
      <c r="BK626" s="42" t="b">
        <f t="shared" si="766"/>
        <v>0</v>
      </c>
      <c r="BL626" s="42" t="b">
        <f t="shared" si="767"/>
        <v>0</v>
      </c>
      <c r="BM626" s="42">
        <f t="shared" si="768"/>
        <v>0</v>
      </c>
      <c r="BN626" s="42">
        <f t="shared" si="769"/>
        <v>0</v>
      </c>
      <c r="BP626" t="e">
        <f t="shared" si="770"/>
        <v>#N/A</v>
      </c>
      <c r="BQ626" t="e">
        <f t="shared" si="771"/>
        <v>#N/A</v>
      </c>
      <c r="BR626" t="e">
        <f t="shared" si="772"/>
        <v>#N/A</v>
      </c>
      <c r="BT626" s="60">
        <f t="shared" si="773"/>
        <v>0</v>
      </c>
      <c r="BU626" s="60">
        <f t="shared" si="774"/>
        <v>0</v>
      </c>
      <c r="BV626" s="60">
        <f t="shared" si="775"/>
        <v>0</v>
      </c>
      <c r="BW626" s="60">
        <f t="shared" si="776"/>
        <v>0</v>
      </c>
      <c r="BX626" s="60">
        <f t="shared" si="777"/>
        <v>0</v>
      </c>
      <c r="BY626" s="60">
        <f t="shared" si="778"/>
        <v>0</v>
      </c>
      <c r="BZ626" s="60">
        <f t="shared" si="779"/>
        <v>0</v>
      </c>
      <c r="CA626" s="60">
        <f t="shared" si="780"/>
        <v>0</v>
      </c>
      <c r="CB626" s="60" t="e">
        <f t="shared" si="730"/>
        <v>#N/A</v>
      </c>
      <c r="CC626" s="60">
        <f t="shared" si="731"/>
        <v>100000</v>
      </c>
      <c r="CD626" s="60" t="e">
        <f t="shared" si="732"/>
        <v>#N/A</v>
      </c>
      <c r="CE626" s="60">
        <f t="shared" si="733"/>
        <v>100000</v>
      </c>
      <c r="CF626" s="83" t="e">
        <f t="shared" si="781"/>
        <v>#N/A</v>
      </c>
      <c r="CG626" s="83">
        <f t="shared" si="782"/>
        <v>0</v>
      </c>
      <c r="CH626" s="83" t="e">
        <f t="shared" si="783"/>
        <v>#N/A</v>
      </c>
      <c r="CI626" s="83">
        <f t="shared" si="784"/>
        <v>0</v>
      </c>
      <c r="CJ626" s="86" t="e">
        <f t="shared" si="734"/>
        <v>#N/A</v>
      </c>
      <c r="CK626" s="82">
        <f t="shared" si="735"/>
        <v>5.3070370403969858E-3</v>
      </c>
      <c r="CL626" s="82" t="e">
        <f t="shared" si="736"/>
        <v>#N/A</v>
      </c>
      <c r="CM626" s="82">
        <f t="shared" si="737"/>
        <v>5.3070370403969858E-3</v>
      </c>
      <c r="CO626" s="149" t="str">
        <f>IF($I626&lt;&gt;"",IF(O626="User Specified",U626,INDEX('Refrigerant GWPs'!$G$2:$G$156,MATCH(O626,'Refrigerant GWPs'!$A$2:$A$156,0))),"")</f>
        <v/>
      </c>
      <c r="CP626" s="138" t="str">
        <f>IF($I626&lt;&gt;"",INDEX('Device Refrigerant Leakage'!$E$2:$E$42,MATCH($M626,'Device Refrigerant Leakage'!$B$2:$B$42,0)),"")</f>
        <v/>
      </c>
      <c r="CQ626" s="138" t="str">
        <f>IF($I626&lt;&gt;"",INDEX('Device Refrigerant Leakage'!$F$2:$F$42,MATCH($M626,'Device Refrigerant Leakage'!$B$2:$B$42,0)),"")</f>
        <v/>
      </c>
      <c r="CR626" s="145" t="str">
        <f>IF($I626&lt;&gt;"",INDEX('Device Refrigerant Leakage'!$G$2:$G$42,MATCH($M626,'Device Refrigerant Leakage'!$B$2:$B$42,0)),"")</f>
        <v/>
      </c>
      <c r="CS626" s="145" t="str">
        <f>IF($I626&lt;&gt;"",INDEX('Device Refrigerant Leakage'!$D$2:$D$42,MATCH($M626,'Device Refrigerant Leakage'!$B$2:$B$42,0))*CP626/2204.62*CO626,"")</f>
        <v/>
      </c>
      <c r="CT626" s="145" t="str">
        <f>IF($I626&lt;&gt;"",J626*(INDEX('Device Refrigerant Leakage'!$D$2:$D$42,MATCH($M626,'Device Refrigerant Leakage'!$B$2:$B$42,0))-(INDEX('Device Refrigerant Leakage'!$D$2:$D$42,MATCH($M626,'Device Refrigerant Leakage'!$B$2:$B$42,0)))*CR626*CP626)*CQ626/2204.62*CO626,"")</f>
        <v/>
      </c>
      <c r="CU626" s="135" t="str">
        <f>IF($I626&lt;&gt;"",J626*IF(W626&lt;&gt;"AR",(CS626*K626)+CT626,(CS626*AB626)+CT626*(AB626/INDEX('Device Refrigerant Leakage'!$C$2:$C$42,MATCH($M626,'Device Refrigerant Leakage'!$B$2:$B$42,0)))),"")</f>
        <v/>
      </c>
      <c r="CW626" s="135" t="str">
        <f>IF($I626&lt;&gt;"",IF(S626="User Specified",V626,INDEX('Refrigerant GWPs'!$G$2:$G$156,MATCH(S626,'Refrigerant GWPs'!$A$2:$A$157,0))),"")</f>
        <v/>
      </c>
      <c r="CX626" s="138" t="str">
        <f>IF($I626&lt;&gt;"",INDEX('Device Refrigerant Leakage'!$E$2:$E$42,MATCH($Q626,'Device Refrigerant Leakage'!$B$2:$B$42,0)),"")</f>
        <v/>
      </c>
      <c r="CY626" s="138" t="str">
        <f>IF($I626&lt;&gt;"",INDEX('Device Refrigerant Leakage'!$F$2:$F$42,MATCH($Q626,'Device Refrigerant Leakage'!$B$2:$B$42,0)),"")</f>
        <v/>
      </c>
      <c r="CZ626" s="145" t="str">
        <f>IF($I626&lt;&gt;"",INDEX('Device Refrigerant Leakage'!$G$2:$G$42,MATCH($Q626,'Device Refrigerant Leakage'!$B$2:$B$42,0)),"")</f>
        <v/>
      </c>
      <c r="DA626" s="145" t="str">
        <f>IF($I626&lt;&gt;"",J626*INDEX('Device Refrigerant Leakage'!$D$2:$D$42,MATCH($Q626,'Device Refrigerant Leakage'!$B$2:$B$42,0))*CX626/2204.62*CW626,"")</f>
        <v/>
      </c>
      <c r="DB626" s="145" t="str">
        <f>IF($I626&lt;&gt;"",J626*(INDEX('Device Refrigerant Leakage'!$D$2:$D$42,MATCH($Q626,'Device Refrigerant Leakage'!$B$2:$B$42,0))-(INDEX('Device Refrigerant Leakage'!$D$2:$D$42,MATCH($Q626,'Device Refrigerant Leakage'!$B$2:$B$42,0)))*CZ626*CX626)*CY626/2204.62*CW626,"")</f>
        <v/>
      </c>
      <c r="DC626" s="135" t="str">
        <f t="shared" si="756"/>
        <v/>
      </c>
      <c r="DE626" s="146" t="str">
        <f>IF(W626&lt;&gt;"AR","",IF(Y626="User Specified", AA626, INDEX('Refrigerant GWPs'!$G$2:$G$154,MATCH(Y626,'Refrigerant GWPs'!$A$2:$A$154,0))))</f>
        <v/>
      </c>
      <c r="DF626" s="146" t="str">
        <f>IF(W626&lt;&gt;"AR","",INDEX('Device Refrigerant Leakage'!$E$2:$E$42,MATCH(X626,'Device Refrigerant Leakage'!$B$2:$B$42,0)))</f>
        <v/>
      </c>
      <c r="DG626" s="146" t="str">
        <f>IF(W626&lt;&gt;"AR","",INDEX('Device Refrigerant Leakage'!$F$2:$F$42,MATCH(X626,'Device Refrigerant Leakage'!$B$2:$B$42,0)))</f>
        <v/>
      </c>
      <c r="DH626" s="146" t="str">
        <f>IF(W626&lt;&gt;"AR","",INDEX('Device Refrigerant Leakage'!$G$2:$G$42,MATCH(X626,'Device Refrigerant Leakage'!$B$2:$B$42,0)))</f>
        <v/>
      </c>
      <c r="DI626" s="146" t="str">
        <f>IF(W626&lt;&gt;"AR","",J626*INDEX('Device Refrigerant Leakage'!$D$2:$D$42,MATCH(X626,'Device Refrigerant Leakage'!$B$2:$B$42,0))*DF626/2204.62*DE626)</f>
        <v/>
      </c>
      <c r="DJ626" s="146" t="str">
        <f>IF(W626&lt;&gt;"AR","",J626*(INDEX('Device Refrigerant Leakage'!$D$2:$D$42,MATCH(X626,'Device Refrigerant Leakage'!$B$2:$B$42,0))-(INDEX('Device Refrigerant Leakage'!$D$2:$D$42,MATCH(X626,'Device Refrigerant Leakage'!$B$2:$B$42,0)))*DH626*DF626)*DG626/2204.62*DE626)</f>
        <v/>
      </c>
      <c r="DK626" s="146" t="str">
        <f>IF(W626&lt;&gt;"AR","",DI626*(K626-AB626)+'Fuel Sub Calcs-Deemed'!DJ626*((K626-AB626)/INDEX('Device Refrigerant Leakage'!$C$2:$C$42,MATCH('Fuel Sub Calcs-Deemed'!X626,'Device Refrigerant Leakage'!$B$2:$B$42,0))))</f>
        <v/>
      </c>
      <c r="DM626" s="56">
        <v>612</v>
      </c>
      <c r="DN626" s="67" t="e">
        <f t="shared" si="738"/>
        <v>#N/A</v>
      </c>
      <c r="DO626" s="45" t="e">
        <f t="shared" si="739"/>
        <v>#N/A</v>
      </c>
      <c r="DP626" s="67" t="e">
        <f t="shared" si="740"/>
        <v>#N/A</v>
      </c>
      <c r="DQ626" s="45" t="e">
        <f t="shared" si="741"/>
        <v>#N/A</v>
      </c>
      <c r="DR626" s="69" t="e">
        <f t="shared" si="742"/>
        <v>#N/A</v>
      </c>
      <c r="DS626" s="34"/>
      <c r="DT626" s="67" t="e">
        <f>((BX626*CJ626)+IF($W626=MAT_AR,(BZ626*CL626),0))*(1+Reference!$E$50+Reference!$E$51)</f>
        <v>#N/A</v>
      </c>
      <c r="DU626" s="67">
        <f>((BY626*CK626)+IF($W626=MAT_AR,(CA626*CM626),0))*(1+Reference!$G$50+Reference!$G$51)</f>
        <v>0</v>
      </c>
      <c r="DV626" s="67" t="e">
        <f t="shared" si="743"/>
        <v>#VALUE!</v>
      </c>
      <c r="DX626" s="56">
        <v>612</v>
      </c>
      <c r="DY626" s="67">
        <f t="shared" si="744"/>
        <v>0</v>
      </c>
      <c r="DZ626" s="45" t="e">
        <f>VLOOKUP($R626,Dropdown!$C$3:$D$4,2,FALSE)</f>
        <v>#N/A</v>
      </c>
      <c r="EA626" s="68">
        <f t="shared" si="745"/>
        <v>0</v>
      </c>
      <c r="EB626" s="68" t="str">
        <f t="shared" si="746"/>
        <v>N/A</v>
      </c>
      <c r="EC626" s="68">
        <f t="shared" si="747"/>
        <v>0</v>
      </c>
      <c r="ED626" s="68" t="str">
        <f t="shared" si="785"/>
        <v>N/A</v>
      </c>
      <c r="EF626" s="56">
        <v>612</v>
      </c>
      <c r="EG626" s="46">
        <f t="shared" si="748"/>
        <v>0</v>
      </c>
      <c r="EH626" s="68" t="e">
        <f t="shared" si="749"/>
        <v>#N/A</v>
      </c>
      <c r="EI626" s="68" t="e">
        <f t="shared" si="750"/>
        <v>#N/A</v>
      </c>
      <c r="EJ626" s="68" t="e">
        <f t="shared" si="751"/>
        <v>#N/A</v>
      </c>
      <c r="EK626" s="68" t="e">
        <f t="shared" si="752"/>
        <v>#N/A</v>
      </c>
      <c r="EL626" s="46">
        <f t="shared" si="753"/>
        <v>0</v>
      </c>
      <c r="EM626" s="46">
        <f t="shared" si="754"/>
        <v>0</v>
      </c>
    </row>
    <row r="627" spans="1:143">
      <c r="A627" s="89"/>
      <c r="B627" s="89"/>
      <c r="C627" s="89"/>
      <c r="D627" s="89"/>
      <c r="E627" s="89"/>
      <c r="F627" s="89"/>
      <c r="G627" s="34"/>
      <c r="H627" s="56">
        <f t="shared" si="755"/>
        <v>613</v>
      </c>
      <c r="I627" s="165"/>
      <c r="J627" s="163"/>
      <c r="K627" s="163"/>
      <c r="L627" s="164"/>
      <c r="M627" s="155"/>
      <c r="N627" s="155"/>
      <c r="O627" s="144"/>
      <c r="P627" s="159" t="str">
        <f>IFERROR(IF(O627&lt;&gt;"User Specified",IF(O627&lt;&gt;"", INDEX('Refrigerant GWPs'!$G$2:$G$154,MATCH(O627,'Refrigerant GWPs'!$A$2:$A$154,0)),""),U627),0)</f>
        <v/>
      </c>
      <c r="Q627" s="155"/>
      <c r="R627" s="155"/>
      <c r="S627" s="144"/>
      <c r="T627" s="159" t="str">
        <f>IF(S627&lt;&gt;"User Specified",IF(AND(S627&lt;&gt;"User Specified",S627&lt;&gt;""), INDEX('Refrigerant GWPs'!$G$2:$G$154,MATCH(S627,'Refrigerant GWPs'!$A$2:$A$154,0)),""),V627)</f>
        <v/>
      </c>
      <c r="U627" s="144"/>
      <c r="V627" s="144"/>
      <c r="W627" s="155"/>
      <c r="X627" s="155"/>
      <c r="Y627" s="144"/>
      <c r="Z627" s="159" t="str">
        <f>IF(AND(Y627&lt;&gt;"User Specified",Y627&lt;&gt;""), INDEX('Refrigerant GWPs'!$G$2:$G$154,MATCH(Y627,'Refrigerant GWPs'!$A$2:$A$154,0)),"")</f>
        <v/>
      </c>
      <c r="AA627" s="155"/>
      <c r="AB627" s="156"/>
      <c r="AC627" s="66"/>
      <c r="AD627" s="66"/>
      <c r="AE627" s="66"/>
      <c r="AF627" s="66"/>
      <c r="AG627" s="66"/>
      <c r="AH627" s="66"/>
      <c r="AI627" s="34"/>
      <c r="AJ627" s="88">
        <f t="shared" si="718"/>
        <v>0</v>
      </c>
      <c r="AK627" s="88">
        <f t="shared" si="719"/>
        <v>0</v>
      </c>
      <c r="AL627" s="88">
        <v>0</v>
      </c>
      <c r="AM627" s="88">
        <v>0</v>
      </c>
      <c r="AN627" s="81" t="str">
        <f t="shared" si="757"/>
        <v/>
      </c>
      <c r="AO627" s="88">
        <f t="shared" si="720"/>
        <v>0</v>
      </c>
      <c r="AP627" s="88">
        <f t="shared" si="721"/>
        <v>0</v>
      </c>
      <c r="AQ627" s="81" t="str">
        <f t="shared" si="722"/>
        <v/>
      </c>
      <c r="AS627" s="41" t="b">
        <f t="shared" si="723"/>
        <v>1</v>
      </c>
      <c r="AT627" s="38">
        <f t="shared" si="724"/>
        <v>0</v>
      </c>
      <c r="AU627" s="60">
        <f t="shared" si="725"/>
        <v>0</v>
      </c>
      <c r="AV627" s="41">
        <f t="shared" si="726"/>
        <v>0</v>
      </c>
      <c r="AW627" s="41" t="b">
        <f t="shared" si="727"/>
        <v>0</v>
      </c>
      <c r="AX627" t="str">
        <f t="shared" si="728"/>
        <v>+00</v>
      </c>
      <c r="AY627" t="str">
        <f t="shared" si="729"/>
        <v>+00</v>
      </c>
      <c r="BA627" s="47" t="b">
        <f t="shared" si="758"/>
        <v>1</v>
      </c>
      <c r="BB627" s="42" t="b">
        <f t="shared" si="759"/>
        <v>1</v>
      </c>
      <c r="BC627" s="42" t="b">
        <f t="shared" si="760"/>
        <v>0</v>
      </c>
      <c r="BD627" s="42" t="b">
        <f t="shared" si="761"/>
        <v>0</v>
      </c>
      <c r="BE627" s="70">
        <f t="shared" si="762"/>
        <v>0</v>
      </c>
      <c r="BF627" s="70">
        <f t="shared" si="763"/>
        <v>0</v>
      </c>
      <c r="BG627" s="34"/>
      <c r="BI627" s="47" t="b">
        <f t="shared" si="764"/>
        <v>1</v>
      </c>
      <c r="BJ627" s="47" t="b">
        <f t="shared" si="765"/>
        <v>1</v>
      </c>
      <c r="BK627" s="42" t="b">
        <f t="shared" si="766"/>
        <v>0</v>
      </c>
      <c r="BL627" s="42" t="b">
        <f t="shared" si="767"/>
        <v>0</v>
      </c>
      <c r="BM627" s="42">
        <f t="shared" si="768"/>
        <v>0</v>
      </c>
      <c r="BN627" s="42">
        <f t="shared" si="769"/>
        <v>0</v>
      </c>
      <c r="BP627" t="e">
        <f t="shared" si="770"/>
        <v>#N/A</v>
      </c>
      <c r="BQ627" t="e">
        <f t="shared" si="771"/>
        <v>#N/A</v>
      </c>
      <c r="BR627" t="e">
        <f t="shared" si="772"/>
        <v>#N/A</v>
      </c>
      <c r="BT627" s="60">
        <f t="shared" si="773"/>
        <v>0</v>
      </c>
      <c r="BU627" s="60">
        <f t="shared" si="774"/>
        <v>0</v>
      </c>
      <c r="BV627" s="60">
        <f t="shared" si="775"/>
        <v>0</v>
      </c>
      <c r="BW627" s="60">
        <f t="shared" si="776"/>
        <v>0</v>
      </c>
      <c r="BX627" s="60">
        <f t="shared" si="777"/>
        <v>0</v>
      </c>
      <c r="BY627" s="60">
        <f t="shared" si="778"/>
        <v>0</v>
      </c>
      <c r="BZ627" s="60">
        <f t="shared" si="779"/>
        <v>0</v>
      </c>
      <c r="CA627" s="60">
        <f t="shared" si="780"/>
        <v>0</v>
      </c>
      <c r="CB627" s="60" t="e">
        <f t="shared" si="730"/>
        <v>#N/A</v>
      </c>
      <c r="CC627" s="60">
        <f t="shared" si="731"/>
        <v>100000</v>
      </c>
      <c r="CD627" s="60" t="e">
        <f t="shared" si="732"/>
        <v>#N/A</v>
      </c>
      <c r="CE627" s="60">
        <f t="shared" si="733"/>
        <v>100000</v>
      </c>
      <c r="CF627" s="83" t="e">
        <f t="shared" si="781"/>
        <v>#N/A</v>
      </c>
      <c r="CG627" s="83">
        <f t="shared" si="782"/>
        <v>0</v>
      </c>
      <c r="CH627" s="83" t="e">
        <f t="shared" si="783"/>
        <v>#N/A</v>
      </c>
      <c r="CI627" s="83">
        <f t="shared" si="784"/>
        <v>0</v>
      </c>
      <c r="CJ627" s="86" t="e">
        <f t="shared" si="734"/>
        <v>#N/A</v>
      </c>
      <c r="CK627" s="82">
        <f t="shared" si="735"/>
        <v>5.3070370403969858E-3</v>
      </c>
      <c r="CL627" s="82" t="e">
        <f t="shared" si="736"/>
        <v>#N/A</v>
      </c>
      <c r="CM627" s="82">
        <f t="shared" si="737"/>
        <v>5.3070370403969858E-3</v>
      </c>
      <c r="CO627" s="149" t="str">
        <f>IF($I627&lt;&gt;"",IF(O627="User Specified",U627,INDEX('Refrigerant GWPs'!$G$2:$G$156,MATCH(O627,'Refrigerant GWPs'!$A$2:$A$156,0))),"")</f>
        <v/>
      </c>
      <c r="CP627" s="138" t="str">
        <f>IF($I627&lt;&gt;"",INDEX('Device Refrigerant Leakage'!$E$2:$E$42,MATCH($M627,'Device Refrigerant Leakage'!$B$2:$B$42,0)),"")</f>
        <v/>
      </c>
      <c r="CQ627" s="138" t="str">
        <f>IF($I627&lt;&gt;"",INDEX('Device Refrigerant Leakage'!$F$2:$F$42,MATCH($M627,'Device Refrigerant Leakage'!$B$2:$B$42,0)),"")</f>
        <v/>
      </c>
      <c r="CR627" s="145" t="str">
        <f>IF($I627&lt;&gt;"",INDEX('Device Refrigerant Leakage'!$G$2:$G$42,MATCH($M627,'Device Refrigerant Leakage'!$B$2:$B$42,0)),"")</f>
        <v/>
      </c>
      <c r="CS627" s="145" t="str">
        <f>IF($I627&lt;&gt;"",INDEX('Device Refrigerant Leakage'!$D$2:$D$42,MATCH($M627,'Device Refrigerant Leakage'!$B$2:$B$42,0))*CP627/2204.62*CO627,"")</f>
        <v/>
      </c>
      <c r="CT627" s="145" t="str">
        <f>IF($I627&lt;&gt;"",J627*(INDEX('Device Refrigerant Leakage'!$D$2:$D$42,MATCH($M627,'Device Refrigerant Leakage'!$B$2:$B$42,0))-(INDEX('Device Refrigerant Leakage'!$D$2:$D$42,MATCH($M627,'Device Refrigerant Leakage'!$B$2:$B$42,0)))*CR627*CP627)*CQ627/2204.62*CO627,"")</f>
        <v/>
      </c>
      <c r="CU627" s="135" t="str">
        <f>IF($I627&lt;&gt;"",J627*IF(W627&lt;&gt;"AR",(CS627*K627)+CT627,(CS627*AB627)+CT627*(AB627/INDEX('Device Refrigerant Leakage'!$C$2:$C$42,MATCH($M627,'Device Refrigerant Leakage'!$B$2:$B$42,0)))),"")</f>
        <v/>
      </c>
      <c r="CW627" s="135" t="str">
        <f>IF($I627&lt;&gt;"",IF(S627="User Specified",V627,INDEX('Refrigerant GWPs'!$G$2:$G$156,MATCH(S627,'Refrigerant GWPs'!$A$2:$A$157,0))),"")</f>
        <v/>
      </c>
      <c r="CX627" s="138" t="str">
        <f>IF($I627&lt;&gt;"",INDEX('Device Refrigerant Leakage'!$E$2:$E$42,MATCH($Q627,'Device Refrigerant Leakage'!$B$2:$B$42,0)),"")</f>
        <v/>
      </c>
      <c r="CY627" s="138" t="str">
        <f>IF($I627&lt;&gt;"",INDEX('Device Refrigerant Leakage'!$F$2:$F$42,MATCH($Q627,'Device Refrigerant Leakage'!$B$2:$B$42,0)),"")</f>
        <v/>
      </c>
      <c r="CZ627" s="145" t="str">
        <f>IF($I627&lt;&gt;"",INDEX('Device Refrigerant Leakage'!$G$2:$G$42,MATCH($Q627,'Device Refrigerant Leakage'!$B$2:$B$42,0)),"")</f>
        <v/>
      </c>
      <c r="DA627" s="145" t="str">
        <f>IF($I627&lt;&gt;"",J627*INDEX('Device Refrigerant Leakage'!$D$2:$D$42,MATCH($Q627,'Device Refrigerant Leakage'!$B$2:$B$42,0))*CX627/2204.62*CW627,"")</f>
        <v/>
      </c>
      <c r="DB627" s="145" t="str">
        <f>IF($I627&lt;&gt;"",J627*(INDEX('Device Refrigerant Leakage'!$D$2:$D$42,MATCH($Q627,'Device Refrigerant Leakage'!$B$2:$B$42,0))-(INDEX('Device Refrigerant Leakage'!$D$2:$D$42,MATCH($Q627,'Device Refrigerant Leakage'!$B$2:$B$42,0)))*CZ627*CX627)*CY627/2204.62*CW627,"")</f>
        <v/>
      </c>
      <c r="DC627" s="135" t="str">
        <f t="shared" si="756"/>
        <v/>
      </c>
      <c r="DE627" s="146" t="str">
        <f>IF(W627&lt;&gt;"AR","",IF(Y627="User Specified", AA627, INDEX('Refrigerant GWPs'!$G$2:$G$154,MATCH(Y627,'Refrigerant GWPs'!$A$2:$A$154,0))))</f>
        <v/>
      </c>
      <c r="DF627" s="146" t="str">
        <f>IF(W627&lt;&gt;"AR","",INDEX('Device Refrigerant Leakage'!$E$2:$E$42,MATCH(X627,'Device Refrigerant Leakage'!$B$2:$B$42,0)))</f>
        <v/>
      </c>
      <c r="DG627" s="146" t="str">
        <f>IF(W627&lt;&gt;"AR","",INDEX('Device Refrigerant Leakage'!$F$2:$F$42,MATCH(X627,'Device Refrigerant Leakage'!$B$2:$B$42,0)))</f>
        <v/>
      </c>
      <c r="DH627" s="146" t="str">
        <f>IF(W627&lt;&gt;"AR","",INDEX('Device Refrigerant Leakage'!$G$2:$G$42,MATCH(X627,'Device Refrigerant Leakage'!$B$2:$B$42,0)))</f>
        <v/>
      </c>
      <c r="DI627" s="146" t="str">
        <f>IF(W627&lt;&gt;"AR","",J627*INDEX('Device Refrigerant Leakage'!$D$2:$D$42,MATCH(X627,'Device Refrigerant Leakage'!$B$2:$B$42,0))*DF627/2204.62*DE627)</f>
        <v/>
      </c>
      <c r="DJ627" s="146" t="str">
        <f>IF(W627&lt;&gt;"AR","",J627*(INDEX('Device Refrigerant Leakage'!$D$2:$D$42,MATCH(X627,'Device Refrigerant Leakage'!$B$2:$B$42,0))-(INDEX('Device Refrigerant Leakage'!$D$2:$D$42,MATCH(X627,'Device Refrigerant Leakage'!$B$2:$B$42,0)))*DH627*DF627)*DG627/2204.62*DE627)</f>
        <v/>
      </c>
      <c r="DK627" s="146" t="str">
        <f>IF(W627&lt;&gt;"AR","",DI627*(K627-AB627)+'Fuel Sub Calcs-Deemed'!DJ627*((K627-AB627)/INDEX('Device Refrigerant Leakage'!$C$2:$C$42,MATCH('Fuel Sub Calcs-Deemed'!X627,'Device Refrigerant Leakage'!$B$2:$B$42,0))))</f>
        <v/>
      </c>
      <c r="DM627" s="56">
        <v>613</v>
      </c>
      <c r="DN627" s="67" t="e">
        <f t="shared" si="738"/>
        <v>#N/A</v>
      </c>
      <c r="DO627" s="45" t="e">
        <f t="shared" si="739"/>
        <v>#N/A</v>
      </c>
      <c r="DP627" s="67" t="e">
        <f t="shared" si="740"/>
        <v>#N/A</v>
      </c>
      <c r="DQ627" s="45" t="e">
        <f t="shared" si="741"/>
        <v>#N/A</v>
      </c>
      <c r="DR627" s="69" t="e">
        <f t="shared" si="742"/>
        <v>#N/A</v>
      </c>
      <c r="DS627" s="34"/>
      <c r="DT627" s="67" t="e">
        <f>((BX627*CJ627)+IF($W627=MAT_AR,(BZ627*CL627),0))*(1+Reference!$E$50+Reference!$E$51)</f>
        <v>#N/A</v>
      </c>
      <c r="DU627" s="67">
        <f>((BY627*CK627)+IF($W627=MAT_AR,(CA627*CM627),0))*(1+Reference!$G$50+Reference!$G$51)</f>
        <v>0</v>
      </c>
      <c r="DV627" s="67" t="e">
        <f t="shared" si="743"/>
        <v>#VALUE!</v>
      </c>
      <c r="DX627" s="56">
        <v>613</v>
      </c>
      <c r="DY627" s="67">
        <f t="shared" si="744"/>
        <v>0</v>
      </c>
      <c r="DZ627" s="45" t="e">
        <f>VLOOKUP($R627,Dropdown!$C$3:$D$4,2,FALSE)</f>
        <v>#N/A</v>
      </c>
      <c r="EA627" s="68">
        <f t="shared" si="745"/>
        <v>0</v>
      </c>
      <c r="EB627" s="68" t="str">
        <f t="shared" si="746"/>
        <v>N/A</v>
      </c>
      <c r="EC627" s="68">
        <f t="shared" si="747"/>
        <v>0</v>
      </c>
      <c r="ED627" s="68" t="str">
        <f t="shared" si="785"/>
        <v>N/A</v>
      </c>
      <c r="EF627" s="56">
        <v>613</v>
      </c>
      <c r="EG627" s="46">
        <f t="shared" si="748"/>
        <v>0</v>
      </c>
      <c r="EH627" s="68" t="e">
        <f t="shared" si="749"/>
        <v>#N/A</v>
      </c>
      <c r="EI627" s="68" t="e">
        <f t="shared" si="750"/>
        <v>#N/A</v>
      </c>
      <c r="EJ627" s="68" t="e">
        <f t="shared" si="751"/>
        <v>#N/A</v>
      </c>
      <c r="EK627" s="68" t="e">
        <f t="shared" si="752"/>
        <v>#N/A</v>
      </c>
      <c r="EL627" s="46">
        <f t="shared" si="753"/>
        <v>0</v>
      </c>
      <c r="EM627" s="46">
        <f t="shared" si="754"/>
        <v>0</v>
      </c>
    </row>
    <row r="628" spans="1:143">
      <c r="A628" s="89"/>
      <c r="B628" s="89"/>
      <c r="C628" s="89"/>
      <c r="D628" s="89"/>
      <c r="E628" s="89"/>
      <c r="F628" s="89"/>
      <c r="G628" s="34"/>
      <c r="H628" s="56">
        <f t="shared" si="755"/>
        <v>614</v>
      </c>
      <c r="I628" s="165"/>
      <c r="J628" s="163"/>
      <c r="K628" s="163"/>
      <c r="L628" s="164"/>
      <c r="M628" s="155"/>
      <c r="N628" s="155"/>
      <c r="O628" s="144"/>
      <c r="P628" s="159" t="str">
        <f>IFERROR(IF(O628&lt;&gt;"User Specified",IF(O628&lt;&gt;"", INDEX('Refrigerant GWPs'!$G$2:$G$154,MATCH(O628,'Refrigerant GWPs'!$A$2:$A$154,0)),""),U628),0)</f>
        <v/>
      </c>
      <c r="Q628" s="155"/>
      <c r="R628" s="155"/>
      <c r="S628" s="144"/>
      <c r="T628" s="159" t="str">
        <f>IF(S628&lt;&gt;"User Specified",IF(AND(S628&lt;&gt;"User Specified",S628&lt;&gt;""), INDEX('Refrigerant GWPs'!$G$2:$G$154,MATCH(S628,'Refrigerant GWPs'!$A$2:$A$154,0)),""),V628)</f>
        <v/>
      </c>
      <c r="U628" s="144"/>
      <c r="V628" s="144"/>
      <c r="W628" s="155"/>
      <c r="X628" s="155"/>
      <c r="Y628" s="144"/>
      <c r="Z628" s="159" t="str">
        <f>IF(AND(Y628&lt;&gt;"User Specified",Y628&lt;&gt;""), INDEX('Refrigerant GWPs'!$G$2:$G$154,MATCH(Y628,'Refrigerant GWPs'!$A$2:$A$154,0)),"")</f>
        <v/>
      </c>
      <c r="AA628" s="155"/>
      <c r="AB628" s="156"/>
      <c r="AC628" s="66"/>
      <c r="AD628" s="66"/>
      <c r="AE628" s="66"/>
      <c r="AF628" s="66"/>
      <c r="AG628" s="66"/>
      <c r="AH628" s="66"/>
      <c r="AI628" s="34"/>
      <c r="AJ628" s="88">
        <f t="shared" si="718"/>
        <v>0</v>
      </c>
      <c r="AK628" s="88">
        <f t="shared" si="719"/>
        <v>0</v>
      </c>
      <c r="AL628" s="88">
        <v>0</v>
      </c>
      <c r="AM628" s="88">
        <v>0</v>
      </c>
      <c r="AN628" s="81" t="str">
        <f t="shared" si="757"/>
        <v/>
      </c>
      <c r="AO628" s="88">
        <f t="shared" si="720"/>
        <v>0</v>
      </c>
      <c r="AP628" s="88">
        <f t="shared" si="721"/>
        <v>0</v>
      </c>
      <c r="AQ628" s="81" t="str">
        <f t="shared" si="722"/>
        <v/>
      </c>
      <c r="AS628" s="41" t="b">
        <f t="shared" si="723"/>
        <v>1</v>
      </c>
      <c r="AT628" s="38">
        <f t="shared" si="724"/>
        <v>0</v>
      </c>
      <c r="AU628" s="60">
        <f t="shared" si="725"/>
        <v>0</v>
      </c>
      <c r="AV628" s="41">
        <f t="shared" si="726"/>
        <v>0</v>
      </c>
      <c r="AW628" s="41" t="b">
        <f t="shared" si="727"/>
        <v>0</v>
      </c>
      <c r="AX628" t="str">
        <f t="shared" si="728"/>
        <v>+00</v>
      </c>
      <c r="AY628" t="str">
        <f t="shared" si="729"/>
        <v>+00</v>
      </c>
      <c r="BA628" s="47" t="b">
        <f t="shared" si="758"/>
        <v>1</v>
      </c>
      <c r="BB628" s="42" t="b">
        <f t="shared" si="759"/>
        <v>1</v>
      </c>
      <c r="BC628" s="42" t="b">
        <f t="shared" si="760"/>
        <v>0</v>
      </c>
      <c r="BD628" s="42" t="b">
        <f t="shared" si="761"/>
        <v>0</v>
      </c>
      <c r="BE628" s="70">
        <f t="shared" si="762"/>
        <v>0</v>
      </c>
      <c r="BF628" s="70">
        <f t="shared" si="763"/>
        <v>0</v>
      </c>
      <c r="BG628" s="34"/>
      <c r="BI628" s="47" t="b">
        <f t="shared" si="764"/>
        <v>1</v>
      </c>
      <c r="BJ628" s="47" t="b">
        <f t="shared" si="765"/>
        <v>1</v>
      </c>
      <c r="BK628" s="42" t="b">
        <f t="shared" si="766"/>
        <v>0</v>
      </c>
      <c r="BL628" s="42" t="b">
        <f t="shared" si="767"/>
        <v>0</v>
      </c>
      <c r="BM628" s="42">
        <f t="shared" si="768"/>
        <v>0</v>
      </c>
      <c r="BN628" s="42">
        <f t="shared" si="769"/>
        <v>0</v>
      </c>
      <c r="BP628" t="e">
        <f t="shared" si="770"/>
        <v>#N/A</v>
      </c>
      <c r="BQ628" t="e">
        <f t="shared" si="771"/>
        <v>#N/A</v>
      </c>
      <c r="BR628" t="e">
        <f t="shared" si="772"/>
        <v>#N/A</v>
      </c>
      <c r="BT628" s="60">
        <f t="shared" si="773"/>
        <v>0</v>
      </c>
      <c r="BU628" s="60">
        <f t="shared" si="774"/>
        <v>0</v>
      </c>
      <c r="BV628" s="60">
        <f t="shared" si="775"/>
        <v>0</v>
      </c>
      <c r="BW628" s="60">
        <f t="shared" si="776"/>
        <v>0</v>
      </c>
      <c r="BX628" s="60">
        <f t="shared" si="777"/>
        <v>0</v>
      </c>
      <c r="BY628" s="60">
        <f t="shared" si="778"/>
        <v>0</v>
      </c>
      <c r="BZ628" s="60">
        <f t="shared" si="779"/>
        <v>0</v>
      </c>
      <c r="CA628" s="60">
        <f t="shared" si="780"/>
        <v>0</v>
      </c>
      <c r="CB628" s="60" t="e">
        <f t="shared" si="730"/>
        <v>#N/A</v>
      </c>
      <c r="CC628" s="60">
        <f t="shared" si="731"/>
        <v>100000</v>
      </c>
      <c r="CD628" s="60" t="e">
        <f t="shared" si="732"/>
        <v>#N/A</v>
      </c>
      <c r="CE628" s="60">
        <f t="shared" si="733"/>
        <v>100000</v>
      </c>
      <c r="CF628" s="83" t="e">
        <f t="shared" si="781"/>
        <v>#N/A</v>
      </c>
      <c r="CG628" s="83">
        <f t="shared" si="782"/>
        <v>0</v>
      </c>
      <c r="CH628" s="83" t="e">
        <f t="shared" si="783"/>
        <v>#N/A</v>
      </c>
      <c r="CI628" s="83">
        <f t="shared" si="784"/>
        <v>0</v>
      </c>
      <c r="CJ628" s="86" t="e">
        <f t="shared" si="734"/>
        <v>#N/A</v>
      </c>
      <c r="CK628" s="82">
        <f t="shared" si="735"/>
        <v>5.3070370403969858E-3</v>
      </c>
      <c r="CL628" s="82" t="e">
        <f t="shared" si="736"/>
        <v>#N/A</v>
      </c>
      <c r="CM628" s="82">
        <f t="shared" si="737"/>
        <v>5.3070370403969858E-3</v>
      </c>
      <c r="CO628" s="149" t="str">
        <f>IF($I628&lt;&gt;"",IF(O628="User Specified",U628,INDEX('Refrigerant GWPs'!$G$2:$G$156,MATCH(O628,'Refrigerant GWPs'!$A$2:$A$156,0))),"")</f>
        <v/>
      </c>
      <c r="CP628" s="138" t="str">
        <f>IF($I628&lt;&gt;"",INDEX('Device Refrigerant Leakage'!$E$2:$E$42,MATCH($M628,'Device Refrigerant Leakage'!$B$2:$B$42,0)),"")</f>
        <v/>
      </c>
      <c r="CQ628" s="138" t="str">
        <f>IF($I628&lt;&gt;"",INDEX('Device Refrigerant Leakage'!$F$2:$F$42,MATCH($M628,'Device Refrigerant Leakage'!$B$2:$B$42,0)),"")</f>
        <v/>
      </c>
      <c r="CR628" s="145" t="str">
        <f>IF($I628&lt;&gt;"",INDEX('Device Refrigerant Leakage'!$G$2:$G$42,MATCH($M628,'Device Refrigerant Leakage'!$B$2:$B$42,0)),"")</f>
        <v/>
      </c>
      <c r="CS628" s="145" t="str">
        <f>IF($I628&lt;&gt;"",INDEX('Device Refrigerant Leakage'!$D$2:$D$42,MATCH($M628,'Device Refrigerant Leakage'!$B$2:$B$42,0))*CP628/2204.62*CO628,"")</f>
        <v/>
      </c>
      <c r="CT628" s="145" t="str">
        <f>IF($I628&lt;&gt;"",J628*(INDEX('Device Refrigerant Leakage'!$D$2:$D$42,MATCH($M628,'Device Refrigerant Leakage'!$B$2:$B$42,0))-(INDEX('Device Refrigerant Leakage'!$D$2:$D$42,MATCH($M628,'Device Refrigerant Leakage'!$B$2:$B$42,0)))*CR628*CP628)*CQ628/2204.62*CO628,"")</f>
        <v/>
      </c>
      <c r="CU628" s="135" t="str">
        <f>IF($I628&lt;&gt;"",J628*IF(W628&lt;&gt;"AR",(CS628*K628)+CT628,(CS628*AB628)+CT628*(AB628/INDEX('Device Refrigerant Leakage'!$C$2:$C$42,MATCH($M628,'Device Refrigerant Leakage'!$B$2:$B$42,0)))),"")</f>
        <v/>
      </c>
      <c r="CW628" s="135" t="str">
        <f>IF($I628&lt;&gt;"",IF(S628="User Specified",V628,INDEX('Refrigerant GWPs'!$G$2:$G$156,MATCH(S628,'Refrigerant GWPs'!$A$2:$A$157,0))),"")</f>
        <v/>
      </c>
      <c r="CX628" s="138" t="str">
        <f>IF($I628&lt;&gt;"",INDEX('Device Refrigerant Leakage'!$E$2:$E$42,MATCH($Q628,'Device Refrigerant Leakage'!$B$2:$B$42,0)),"")</f>
        <v/>
      </c>
      <c r="CY628" s="138" t="str">
        <f>IF($I628&lt;&gt;"",INDEX('Device Refrigerant Leakage'!$F$2:$F$42,MATCH($Q628,'Device Refrigerant Leakage'!$B$2:$B$42,0)),"")</f>
        <v/>
      </c>
      <c r="CZ628" s="145" t="str">
        <f>IF($I628&lt;&gt;"",INDEX('Device Refrigerant Leakage'!$G$2:$G$42,MATCH($Q628,'Device Refrigerant Leakage'!$B$2:$B$42,0)),"")</f>
        <v/>
      </c>
      <c r="DA628" s="145" t="str">
        <f>IF($I628&lt;&gt;"",J628*INDEX('Device Refrigerant Leakage'!$D$2:$D$42,MATCH($Q628,'Device Refrigerant Leakage'!$B$2:$B$42,0))*CX628/2204.62*CW628,"")</f>
        <v/>
      </c>
      <c r="DB628" s="145" t="str">
        <f>IF($I628&lt;&gt;"",J628*(INDEX('Device Refrigerant Leakage'!$D$2:$D$42,MATCH($Q628,'Device Refrigerant Leakage'!$B$2:$B$42,0))-(INDEX('Device Refrigerant Leakage'!$D$2:$D$42,MATCH($Q628,'Device Refrigerant Leakage'!$B$2:$B$42,0)))*CZ628*CX628)*CY628/2204.62*CW628,"")</f>
        <v/>
      </c>
      <c r="DC628" s="135" t="str">
        <f t="shared" si="756"/>
        <v/>
      </c>
      <c r="DE628" s="146" t="str">
        <f>IF(W628&lt;&gt;"AR","",IF(Y628="User Specified", AA628, INDEX('Refrigerant GWPs'!$G$2:$G$154,MATCH(Y628,'Refrigerant GWPs'!$A$2:$A$154,0))))</f>
        <v/>
      </c>
      <c r="DF628" s="146" t="str">
        <f>IF(W628&lt;&gt;"AR","",INDEX('Device Refrigerant Leakage'!$E$2:$E$42,MATCH(X628,'Device Refrigerant Leakage'!$B$2:$B$42,0)))</f>
        <v/>
      </c>
      <c r="DG628" s="146" t="str">
        <f>IF(W628&lt;&gt;"AR","",INDEX('Device Refrigerant Leakage'!$F$2:$F$42,MATCH(X628,'Device Refrigerant Leakage'!$B$2:$B$42,0)))</f>
        <v/>
      </c>
      <c r="DH628" s="146" t="str">
        <f>IF(W628&lt;&gt;"AR","",INDEX('Device Refrigerant Leakage'!$G$2:$G$42,MATCH(X628,'Device Refrigerant Leakage'!$B$2:$B$42,0)))</f>
        <v/>
      </c>
      <c r="DI628" s="146" t="str">
        <f>IF(W628&lt;&gt;"AR","",J628*INDEX('Device Refrigerant Leakage'!$D$2:$D$42,MATCH(X628,'Device Refrigerant Leakage'!$B$2:$B$42,0))*DF628/2204.62*DE628)</f>
        <v/>
      </c>
      <c r="DJ628" s="146" t="str">
        <f>IF(W628&lt;&gt;"AR","",J628*(INDEX('Device Refrigerant Leakage'!$D$2:$D$42,MATCH(X628,'Device Refrigerant Leakage'!$B$2:$B$42,0))-(INDEX('Device Refrigerant Leakage'!$D$2:$D$42,MATCH(X628,'Device Refrigerant Leakage'!$B$2:$B$42,0)))*DH628*DF628)*DG628/2204.62*DE628)</f>
        <v/>
      </c>
      <c r="DK628" s="146" t="str">
        <f>IF(W628&lt;&gt;"AR","",DI628*(K628-AB628)+'Fuel Sub Calcs-Deemed'!DJ628*((K628-AB628)/INDEX('Device Refrigerant Leakage'!$C$2:$C$42,MATCH('Fuel Sub Calcs-Deemed'!X628,'Device Refrigerant Leakage'!$B$2:$B$42,0))))</f>
        <v/>
      </c>
      <c r="DM628" s="56">
        <v>614</v>
      </c>
      <c r="DN628" s="67" t="e">
        <f t="shared" si="738"/>
        <v>#N/A</v>
      </c>
      <c r="DO628" s="45" t="e">
        <f t="shared" si="739"/>
        <v>#N/A</v>
      </c>
      <c r="DP628" s="67" t="e">
        <f t="shared" si="740"/>
        <v>#N/A</v>
      </c>
      <c r="DQ628" s="45" t="e">
        <f t="shared" si="741"/>
        <v>#N/A</v>
      </c>
      <c r="DR628" s="69" t="e">
        <f t="shared" si="742"/>
        <v>#N/A</v>
      </c>
      <c r="DS628" s="34"/>
      <c r="DT628" s="67" t="e">
        <f>((BX628*CJ628)+IF($W628=MAT_AR,(BZ628*CL628),0))*(1+Reference!$E$50+Reference!$E$51)</f>
        <v>#N/A</v>
      </c>
      <c r="DU628" s="67">
        <f>((BY628*CK628)+IF($W628=MAT_AR,(CA628*CM628),0))*(1+Reference!$G$50+Reference!$G$51)</f>
        <v>0</v>
      </c>
      <c r="DV628" s="67" t="e">
        <f t="shared" si="743"/>
        <v>#VALUE!</v>
      </c>
      <c r="DX628" s="56">
        <v>614</v>
      </c>
      <c r="DY628" s="67">
        <f t="shared" si="744"/>
        <v>0</v>
      </c>
      <c r="DZ628" s="45" t="e">
        <f>VLOOKUP($R628,Dropdown!$C$3:$D$4,2,FALSE)</f>
        <v>#N/A</v>
      </c>
      <c r="EA628" s="68">
        <f t="shared" si="745"/>
        <v>0</v>
      </c>
      <c r="EB628" s="68" t="str">
        <f t="shared" si="746"/>
        <v>N/A</v>
      </c>
      <c r="EC628" s="68">
        <f t="shared" si="747"/>
        <v>0</v>
      </c>
      <c r="ED628" s="68" t="str">
        <f t="shared" si="785"/>
        <v>N/A</v>
      </c>
      <c r="EF628" s="56">
        <v>614</v>
      </c>
      <c r="EG628" s="46">
        <f t="shared" si="748"/>
        <v>0</v>
      </c>
      <c r="EH628" s="68" t="e">
        <f t="shared" si="749"/>
        <v>#N/A</v>
      </c>
      <c r="EI628" s="68" t="e">
        <f t="shared" si="750"/>
        <v>#N/A</v>
      </c>
      <c r="EJ628" s="68" t="e">
        <f t="shared" si="751"/>
        <v>#N/A</v>
      </c>
      <c r="EK628" s="68" t="e">
        <f t="shared" si="752"/>
        <v>#N/A</v>
      </c>
      <c r="EL628" s="46">
        <f t="shared" si="753"/>
        <v>0</v>
      </c>
      <c r="EM628" s="46">
        <f t="shared" si="754"/>
        <v>0</v>
      </c>
    </row>
    <row r="629" spans="1:143">
      <c r="A629" s="89"/>
      <c r="B629" s="89"/>
      <c r="C629" s="89"/>
      <c r="D629" s="89"/>
      <c r="E629" s="89"/>
      <c r="F629" s="89"/>
      <c r="G629" s="34"/>
      <c r="H629" s="56">
        <f t="shared" si="755"/>
        <v>615</v>
      </c>
      <c r="I629" s="165"/>
      <c r="J629" s="163"/>
      <c r="K629" s="163"/>
      <c r="L629" s="164"/>
      <c r="M629" s="155"/>
      <c r="N629" s="155"/>
      <c r="O629" s="144"/>
      <c r="P629" s="159" t="str">
        <f>IFERROR(IF(O629&lt;&gt;"User Specified",IF(O629&lt;&gt;"", INDEX('Refrigerant GWPs'!$G$2:$G$154,MATCH(O629,'Refrigerant GWPs'!$A$2:$A$154,0)),""),U629),0)</f>
        <v/>
      </c>
      <c r="Q629" s="155"/>
      <c r="R629" s="155"/>
      <c r="S629" s="144"/>
      <c r="T629" s="159" t="str">
        <f>IF(S629&lt;&gt;"User Specified",IF(AND(S629&lt;&gt;"User Specified",S629&lt;&gt;""), INDEX('Refrigerant GWPs'!$G$2:$G$154,MATCH(S629,'Refrigerant GWPs'!$A$2:$A$154,0)),""),V629)</f>
        <v/>
      </c>
      <c r="U629" s="144"/>
      <c r="V629" s="144"/>
      <c r="W629" s="155"/>
      <c r="X629" s="155"/>
      <c r="Y629" s="144"/>
      <c r="Z629" s="159" t="str">
        <f>IF(AND(Y629&lt;&gt;"User Specified",Y629&lt;&gt;""), INDEX('Refrigerant GWPs'!$G$2:$G$154,MATCH(Y629,'Refrigerant GWPs'!$A$2:$A$154,0)),"")</f>
        <v/>
      </c>
      <c r="AA629" s="155"/>
      <c r="AB629" s="156"/>
      <c r="AC629" s="66"/>
      <c r="AD629" s="66"/>
      <c r="AE629" s="66"/>
      <c r="AF629" s="66"/>
      <c r="AG629" s="66"/>
      <c r="AH629" s="66"/>
      <c r="AI629" s="34"/>
      <c r="AJ629" s="88">
        <f t="shared" si="718"/>
        <v>0</v>
      </c>
      <c r="AK629" s="88">
        <f t="shared" si="719"/>
        <v>0</v>
      </c>
      <c r="AL629" s="88">
        <v>0</v>
      </c>
      <c r="AM629" s="88">
        <v>0</v>
      </c>
      <c r="AN629" s="81" t="str">
        <f t="shared" si="757"/>
        <v/>
      </c>
      <c r="AO629" s="88">
        <f t="shared" si="720"/>
        <v>0</v>
      </c>
      <c r="AP629" s="88">
        <f t="shared" si="721"/>
        <v>0</v>
      </c>
      <c r="AQ629" s="81" t="str">
        <f t="shared" si="722"/>
        <v/>
      </c>
      <c r="AS629" s="41" t="b">
        <f t="shared" si="723"/>
        <v>1</v>
      </c>
      <c r="AT629" s="38">
        <f t="shared" si="724"/>
        <v>0</v>
      </c>
      <c r="AU629" s="60">
        <f t="shared" si="725"/>
        <v>0</v>
      </c>
      <c r="AV629" s="41">
        <f t="shared" si="726"/>
        <v>0</v>
      </c>
      <c r="AW629" s="41" t="b">
        <f t="shared" si="727"/>
        <v>0</v>
      </c>
      <c r="AX629" t="str">
        <f t="shared" si="728"/>
        <v>+00</v>
      </c>
      <c r="AY629" t="str">
        <f t="shared" si="729"/>
        <v>+00</v>
      </c>
      <c r="BA629" s="47" t="b">
        <f t="shared" si="758"/>
        <v>1</v>
      </c>
      <c r="BB629" s="42" t="b">
        <f t="shared" si="759"/>
        <v>1</v>
      </c>
      <c r="BC629" s="42" t="b">
        <f t="shared" si="760"/>
        <v>0</v>
      </c>
      <c r="BD629" s="42" t="b">
        <f t="shared" si="761"/>
        <v>0</v>
      </c>
      <c r="BE629" s="70">
        <f t="shared" si="762"/>
        <v>0</v>
      </c>
      <c r="BF629" s="70">
        <f t="shared" si="763"/>
        <v>0</v>
      </c>
      <c r="BG629" s="34"/>
      <c r="BI629" s="47" t="b">
        <f t="shared" si="764"/>
        <v>1</v>
      </c>
      <c r="BJ629" s="47" t="b">
        <f t="shared" si="765"/>
        <v>1</v>
      </c>
      <c r="BK629" s="42" t="b">
        <f t="shared" si="766"/>
        <v>0</v>
      </c>
      <c r="BL629" s="42" t="b">
        <f t="shared" si="767"/>
        <v>0</v>
      </c>
      <c r="BM629" s="42">
        <f t="shared" si="768"/>
        <v>0</v>
      </c>
      <c r="BN629" s="42">
        <f t="shared" si="769"/>
        <v>0</v>
      </c>
      <c r="BP629" t="e">
        <f t="shared" si="770"/>
        <v>#N/A</v>
      </c>
      <c r="BQ629" t="e">
        <f t="shared" si="771"/>
        <v>#N/A</v>
      </c>
      <c r="BR629" t="e">
        <f t="shared" si="772"/>
        <v>#N/A</v>
      </c>
      <c r="BT629" s="60">
        <f t="shared" si="773"/>
        <v>0</v>
      </c>
      <c r="BU629" s="60">
        <f t="shared" si="774"/>
        <v>0</v>
      </c>
      <c r="BV629" s="60">
        <f t="shared" si="775"/>
        <v>0</v>
      </c>
      <c r="BW629" s="60">
        <f t="shared" si="776"/>
        <v>0</v>
      </c>
      <c r="BX629" s="60">
        <f t="shared" si="777"/>
        <v>0</v>
      </c>
      <c r="BY629" s="60">
        <f t="shared" si="778"/>
        <v>0</v>
      </c>
      <c r="BZ629" s="60">
        <f t="shared" si="779"/>
        <v>0</v>
      </c>
      <c r="CA629" s="60">
        <f t="shared" si="780"/>
        <v>0</v>
      </c>
      <c r="CB629" s="60" t="e">
        <f t="shared" si="730"/>
        <v>#N/A</v>
      </c>
      <c r="CC629" s="60">
        <f t="shared" si="731"/>
        <v>100000</v>
      </c>
      <c r="CD629" s="60" t="e">
        <f t="shared" si="732"/>
        <v>#N/A</v>
      </c>
      <c r="CE629" s="60">
        <f t="shared" si="733"/>
        <v>100000</v>
      </c>
      <c r="CF629" s="83" t="e">
        <f t="shared" si="781"/>
        <v>#N/A</v>
      </c>
      <c r="CG629" s="83">
        <f t="shared" si="782"/>
        <v>0</v>
      </c>
      <c r="CH629" s="83" t="e">
        <f t="shared" si="783"/>
        <v>#N/A</v>
      </c>
      <c r="CI629" s="83">
        <f t="shared" si="784"/>
        <v>0</v>
      </c>
      <c r="CJ629" s="86" t="e">
        <f t="shared" si="734"/>
        <v>#N/A</v>
      </c>
      <c r="CK629" s="82">
        <f t="shared" si="735"/>
        <v>5.3070370403969858E-3</v>
      </c>
      <c r="CL629" s="82" t="e">
        <f t="shared" si="736"/>
        <v>#N/A</v>
      </c>
      <c r="CM629" s="82">
        <f t="shared" si="737"/>
        <v>5.3070370403969858E-3</v>
      </c>
      <c r="CO629" s="149" t="str">
        <f>IF($I629&lt;&gt;"",IF(O629="User Specified",U629,INDEX('Refrigerant GWPs'!$G$2:$G$156,MATCH(O629,'Refrigerant GWPs'!$A$2:$A$156,0))),"")</f>
        <v/>
      </c>
      <c r="CP629" s="138" t="str">
        <f>IF($I629&lt;&gt;"",INDEX('Device Refrigerant Leakage'!$E$2:$E$42,MATCH($M629,'Device Refrigerant Leakage'!$B$2:$B$42,0)),"")</f>
        <v/>
      </c>
      <c r="CQ629" s="138" t="str">
        <f>IF($I629&lt;&gt;"",INDEX('Device Refrigerant Leakage'!$F$2:$F$42,MATCH($M629,'Device Refrigerant Leakage'!$B$2:$B$42,0)),"")</f>
        <v/>
      </c>
      <c r="CR629" s="145" t="str">
        <f>IF($I629&lt;&gt;"",INDEX('Device Refrigerant Leakage'!$G$2:$G$42,MATCH($M629,'Device Refrigerant Leakage'!$B$2:$B$42,0)),"")</f>
        <v/>
      </c>
      <c r="CS629" s="145" t="str">
        <f>IF($I629&lt;&gt;"",INDEX('Device Refrigerant Leakage'!$D$2:$D$42,MATCH($M629,'Device Refrigerant Leakage'!$B$2:$B$42,0))*CP629/2204.62*CO629,"")</f>
        <v/>
      </c>
      <c r="CT629" s="145" t="str">
        <f>IF($I629&lt;&gt;"",J629*(INDEX('Device Refrigerant Leakage'!$D$2:$D$42,MATCH($M629,'Device Refrigerant Leakage'!$B$2:$B$42,0))-(INDEX('Device Refrigerant Leakage'!$D$2:$D$42,MATCH($M629,'Device Refrigerant Leakage'!$B$2:$B$42,0)))*CR629*CP629)*CQ629/2204.62*CO629,"")</f>
        <v/>
      </c>
      <c r="CU629" s="135" t="str">
        <f>IF($I629&lt;&gt;"",J629*IF(W629&lt;&gt;"AR",(CS629*K629)+CT629,(CS629*AB629)+CT629*(AB629/INDEX('Device Refrigerant Leakage'!$C$2:$C$42,MATCH($M629,'Device Refrigerant Leakage'!$B$2:$B$42,0)))),"")</f>
        <v/>
      </c>
      <c r="CW629" s="135" t="str">
        <f>IF($I629&lt;&gt;"",IF(S629="User Specified",V629,INDEX('Refrigerant GWPs'!$G$2:$G$156,MATCH(S629,'Refrigerant GWPs'!$A$2:$A$157,0))),"")</f>
        <v/>
      </c>
      <c r="CX629" s="138" t="str">
        <f>IF($I629&lt;&gt;"",INDEX('Device Refrigerant Leakage'!$E$2:$E$42,MATCH($Q629,'Device Refrigerant Leakage'!$B$2:$B$42,0)),"")</f>
        <v/>
      </c>
      <c r="CY629" s="138" t="str">
        <f>IF($I629&lt;&gt;"",INDEX('Device Refrigerant Leakage'!$F$2:$F$42,MATCH($Q629,'Device Refrigerant Leakage'!$B$2:$B$42,0)),"")</f>
        <v/>
      </c>
      <c r="CZ629" s="145" t="str">
        <f>IF($I629&lt;&gt;"",INDEX('Device Refrigerant Leakage'!$G$2:$G$42,MATCH($Q629,'Device Refrigerant Leakage'!$B$2:$B$42,0)),"")</f>
        <v/>
      </c>
      <c r="DA629" s="145" t="str">
        <f>IF($I629&lt;&gt;"",J629*INDEX('Device Refrigerant Leakage'!$D$2:$D$42,MATCH($Q629,'Device Refrigerant Leakage'!$B$2:$B$42,0))*CX629/2204.62*CW629,"")</f>
        <v/>
      </c>
      <c r="DB629" s="145" t="str">
        <f>IF($I629&lt;&gt;"",J629*(INDEX('Device Refrigerant Leakage'!$D$2:$D$42,MATCH($Q629,'Device Refrigerant Leakage'!$B$2:$B$42,0))-(INDEX('Device Refrigerant Leakage'!$D$2:$D$42,MATCH($Q629,'Device Refrigerant Leakage'!$B$2:$B$42,0)))*CZ629*CX629)*CY629/2204.62*CW629,"")</f>
        <v/>
      </c>
      <c r="DC629" s="135" t="str">
        <f t="shared" si="756"/>
        <v/>
      </c>
      <c r="DE629" s="146" t="str">
        <f>IF(W629&lt;&gt;"AR","",IF(Y629="User Specified", AA629, INDEX('Refrigerant GWPs'!$G$2:$G$154,MATCH(Y629,'Refrigerant GWPs'!$A$2:$A$154,0))))</f>
        <v/>
      </c>
      <c r="DF629" s="146" t="str">
        <f>IF(W629&lt;&gt;"AR","",INDEX('Device Refrigerant Leakage'!$E$2:$E$42,MATCH(X629,'Device Refrigerant Leakage'!$B$2:$B$42,0)))</f>
        <v/>
      </c>
      <c r="DG629" s="146" t="str">
        <f>IF(W629&lt;&gt;"AR","",INDEX('Device Refrigerant Leakage'!$F$2:$F$42,MATCH(X629,'Device Refrigerant Leakage'!$B$2:$B$42,0)))</f>
        <v/>
      </c>
      <c r="DH629" s="146" t="str">
        <f>IF(W629&lt;&gt;"AR","",INDEX('Device Refrigerant Leakage'!$G$2:$G$42,MATCH(X629,'Device Refrigerant Leakage'!$B$2:$B$42,0)))</f>
        <v/>
      </c>
      <c r="DI629" s="146" t="str">
        <f>IF(W629&lt;&gt;"AR","",J629*INDEX('Device Refrigerant Leakage'!$D$2:$D$42,MATCH(X629,'Device Refrigerant Leakage'!$B$2:$B$42,0))*DF629/2204.62*DE629)</f>
        <v/>
      </c>
      <c r="DJ629" s="146" t="str">
        <f>IF(W629&lt;&gt;"AR","",J629*(INDEX('Device Refrigerant Leakage'!$D$2:$D$42,MATCH(X629,'Device Refrigerant Leakage'!$B$2:$B$42,0))-(INDEX('Device Refrigerant Leakage'!$D$2:$D$42,MATCH(X629,'Device Refrigerant Leakage'!$B$2:$B$42,0)))*DH629*DF629)*DG629/2204.62*DE629)</f>
        <v/>
      </c>
      <c r="DK629" s="146" t="str">
        <f>IF(W629&lt;&gt;"AR","",DI629*(K629-AB629)+'Fuel Sub Calcs-Deemed'!DJ629*((K629-AB629)/INDEX('Device Refrigerant Leakage'!$C$2:$C$42,MATCH('Fuel Sub Calcs-Deemed'!X629,'Device Refrigerant Leakage'!$B$2:$B$42,0))))</f>
        <v/>
      </c>
      <c r="DM629" s="56">
        <v>615</v>
      </c>
      <c r="DN629" s="67" t="e">
        <f t="shared" si="738"/>
        <v>#N/A</v>
      </c>
      <c r="DO629" s="45" t="e">
        <f t="shared" si="739"/>
        <v>#N/A</v>
      </c>
      <c r="DP629" s="67" t="e">
        <f t="shared" si="740"/>
        <v>#N/A</v>
      </c>
      <c r="DQ629" s="45" t="e">
        <f t="shared" si="741"/>
        <v>#N/A</v>
      </c>
      <c r="DR629" s="69" t="e">
        <f t="shared" si="742"/>
        <v>#N/A</v>
      </c>
      <c r="DS629" s="34"/>
      <c r="DT629" s="67" t="e">
        <f>((BX629*CJ629)+IF($W629=MAT_AR,(BZ629*CL629),0))*(1+Reference!$E$50+Reference!$E$51)</f>
        <v>#N/A</v>
      </c>
      <c r="DU629" s="67">
        <f>((BY629*CK629)+IF($W629=MAT_AR,(CA629*CM629),0))*(1+Reference!$G$50+Reference!$G$51)</f>
        <v>0</v>
      </c>
      <c r="DV629" s="67" t="e">
        <f t="shared" si="743"/>
        <v>#VALUE!</v>
      </c>
      <c r="DX629" s="56">
        <v>615</v>
      </c>
      <c r="DY629" s="67">
        <f t="shared" si="744"/>
        <v>0</v>
      </c>
      <c r="DZ629" s="45" t="e">
        <f>VLOOKUP($R629,Dropdown!$C$3:$D$4,2,FALSE)</f>
        <v>#N/A</v>
      </c>
      <c r="EA629" s="68">
        <f t="shared" si="745"/>
        <v>0</v>
      </c>
      <c r="EB629" s="68" t="str">
        <f t="shared" si="746"/>
        <v>N/A</v>
      </c>
      <c r="EC629" s="68">
        <f t="shared" si="747"/>
        <v>0</v>
      </c>
      <c r="ED629" s="68" t="str">
        <f t="shared" si="785"/>
        <v>N/A</v>
      </c>
      <c r="EF629" s="56">
        <v>615</v>
      </c>
      <c r="EG629" s="46">
        <f t="shared" si="748"/>
        <v>0</v>
      </c>
      <c r="EH629" s="68" t="e">
        <f t="shared" si="749"/>
        <v>#N/A</v>
      </c>
      <c r="EI629" s="68" t="e">
        <f t="shared" si="750"/>
        <v>#N/A</v>
      </c>
      <c r="EJ629" s="68" t="e">
        <f t="shared" si="751"/>
        <v>#N/A</v>
      </c>
      <c r="EK629" s="68" t="e">
        <f t="shared" si="752"/>
        <v>#N/A</v>
      </c>
      <c r="EL629" s="46">
        <f t="shared" si="753"/>
        <v>0</v>
      </c>
      <c r="EM629" s="46">
        <f t="shared" si="754"/>
        <v>0</v>
      </c>
    </row>
    <row r="630" spans="1:143">
      <c r="A630" s="89"/>
      <c r="B630" s="89"/>
      <c r="C630" s="89"/>
      <c r="D630" s="89"/>
      <c r="E630" s="89"/>
      <c r="F630" s="89"/>
      <c r="G630" s="34"/>
      <c r="H630" s="56">
        <f t="shared" si="755"/>
        <v>616</v>
      </c>
      <c r="I630" s="165"/>
      <c r="J630" s="163"/>
      <c r="K630" s="163"/>
      <c r="L630" s="164"/>
      <c r="M630" s="155"/>
      <c r="N630" s="155"/>
      <c r="O630" s="144"/>
      <c r="P630" s="159" t="str">
        <f>IFERROR(IF(O630&lt;&gt;"User Specified",IF(O630&lt;&gt;"", INDEX('Refrigerant GWPs'!$G$2:$G$154,MATCH(O630,'Refrigerant GWPs'!$A$2:$A$154,0)),""),U630),0)</f>
        <v/>
      </c>
      <c r="Q630" s="155"/>
      <c r="R630" s="155"/>
      <c r="S630" s="144"/>
      <c r="T630" s="159" t="str">
        <f>IF(S630&lt;&gt;"User Specified",IF(AND(S630&lt;&gt;"User Specified",S630&lt;&gt;""), INDEX('Refrigerant GWPs'!$G$2:$G$154,MATCH(S630,'Refrigerant GWPs'!$A$2:$A$154,0)),""),V630)</f>
        <v/>
      </c>
      <c r="U630" s="144"/>
      <c r="V630" s="144"/>
      <c r="W630" s="155"/>
      <c r="X630" s="155"/>
      <c r="Y630" s="144"/>
      <c r="Z630" s="159" t="str">
        <f>IF(AND(Y630&lt;&gt;"User Specified",Y630&lt;&gt;""), INDEX('Refrigerant GWPs'!$G$2:$G$154,MATCH(Y630,'Refrigerant GWPs'!$A$2:$A$154,0)),"")</f>
        <v/>
      </c>
      <c r="AA630" s="155"/>
      <c r="AB630" s="156"/>
      <c r="AC630" s="66"/>
      <c r="AD630" s="66"/>
      <c r="AE630" s="66"/>
      <c r="AF630" s="66"/>
      <c r="AG630" s="66"/>
      <c r="AH630" s="66"/>
      <c r="AI630" s="34"/>
      <c r="AJ630" s="88">
        <f t="shared" si="718"/>
        <v>0</v>
      </c>
      <c r="AK630" s="88">
        <f t="shared" si="719"/>
        <v>0</v>
      </c>
      <c r="AL630" s="88">
        <v>0</v>
      </c>
      <c r="AM630" s="88">
        <v>0</v>
      </c>
      <c r="AN630" s="81" t="str">
        <f t="shared" si="757"/>
        <v/>
      </c>
      <c r="AO630" s="88">
        <f t="shared" si="720"/>
        <v>0</v>
      </c>
      <c r="AP630" s="88">
        <f t="shared" si="721"/>
        <v>0</v>
      </c>
      <c r="AQ630" s="81" t="str">
        <f t="shared" si="722"/>
        <v/>
      </c>
      <c r="AS630" s="41" t="b">
        <f t="shared" si="723"/>
        <v>1</v>
      </c>
      <c r="AT630" s="38">
        <f t="shared" si="724"/>
        <v>0</v>
      </c>
      <c r="AU630" s="60">
        <f t="shared" si="725"/>
        <v>0</v>
      </c>
      <c r="AV630" s="41">
        <f t="shared" si="726"/>
        <v>0</v>
      </c>
      <c r="AW630" s="41" t="b">
        <f t="shared" si="727"/>
        <v>0</v>
      </c>
      <c r="AX630" t="str">
        <f t="shared" si="728"/>
        <v>+00</v>
      </c>
      <c r="AY630" t="str">
        <f t="shared" si="729"/>
        <v>+00</v>
      </c>
      <c r="BA630" s="47" t="b">
        <f t="shared" si="758"/>
        <v>1</v>
      </c>
      <c r="BB630" s="42" t="b">
        <f t="shared" si="759"/>
        <v>1</v>
      </c>
      <c r="BC630" s="42" t="b">
        <f t="shared" si="760"/>
        <v>0</v>
      </c>
      <c r="BD630" s="42" t="b">
        <f t="shared" si="761"/>
        <v>0</v>
      </c>
      <c r="BE630" s="70">
        <f t="shared" si="762"/>
        <v>0</v>
      </c>
      <c r="BF630" s="70">
        <f t="shared" si="763"/>
        <v>0</v>
      </c>
      <c r="BG630" s="34"/>
      <c r="BI630" s="47" t="b">
        <f t="shared" si="764"/>
        <v>1</v>
      </c>
      <c r="BJ630" s="47" t="b">
        <f t="shared" si="765"/>
        <v>1</v>
      </c>
      <c r="BK630" s="42" t="b">
        <f t="shared" si="766"/>
        <v>0</v>
      </c>
      <c r="BL630" s="42" t="b">
        <f t="shared" si="767"/>
        <v>0</v>
      </c>
      <c r="BM630" s="42">
        <f t="shared" si="768"/>
        <v>0</v>
      </c>
      <c r="BN630" s="42">
        <f t="shared" si="769"/>
        <v>0</v>
      </c>
      <c r="BP630" t="e">
        <f t="shared" si="770"/>
        <v>#N/A</v>
      </c>
      <c r="BQ630" t="e">
        <f t="shared" si="771"/>
        <v>#N/A</v>
      </c>
      <c r="BR630" t="e">
        <f t="shared" si="772"/>
        <v>#N/A</v>
      </c>
      <c r="BT630" s="60">
        <f t="shared" si="773"/>
        <v>0</v>
      </c>
      <c r="BU630" s="60">
        <f t="shared" si="774"/>
        <v>0</v>
      </c>
      <c r="BV630" s="60">
        <f t="shared" si="775"/>
        <v>0</v>
      </c>
      <c r="BW630" s="60">
        <f t="shared" si="776"/>
        <v>0</v>
      </c>
      <c r="BX630" s="60">
        <f t="shared" si="777"/>
        <v>0</v>
      </c>
      <c r="BY630" s="60">
        <f t="shared" si="778"/>
        <v>0</v>
      </c>
      <c r="BZ630" s="60">
        <f t="shared" si="779"/>
        <v>0</v>
      </c>
      <c r="CA630" s="60">
        <f t="shared" si="780"/>
        <v>0</v>
      </c>
      <c r="CB630" s="60" t="e">
        <f t="shared" si="730"/>
        <v>#N/A</v>
      </c>
      <c r="CC630" s="60">
        <f t="shared" si="731"/>
        <v>100000</v>
      </c>
      <c r="CD630" s="60" t="e">
        <f t="shared" si="732"/>
        <v>#N/A</v>
      </c>
      <c r="CE630" s="60">
        <f t="shared" si="733"/>
        <v>100000</v>
      </c>
      <c r="CF630" s="83" t="e">
        <f t="shared" si="781"/>
        <v>#N/A</v>
      </c>
      <c r="CG630" s="83">
        <f t="shared" si="782"/>
        <v>0</v>
      </c>
      <c r="CH630" s="83" t="e">
        <f t="shared" si="783"/>
        <v>#N/A</v>
      </c>
      <c r="CI630" s="83">
        <f t="shared" si="784"/>
        <v>0</v>
      </c>
      <c r="CJ630" s="86" t="e">
        <f t="shared" si="734"/>
        <v>#N/A</v>
      </c>
      <c r="CK630" s="82">
        <f t="shared" si="735"/>
        <v>5.3070370403969858E-3</v>
      </c>
      <c r="CL630" s="82" t="e">
        <f t="shared" si="736"/>
        <v>#N/A</v>
      </c>
      <c r="CM630" s="82">
        <f t="shared" si="737"/>
        <v>5.3070370403969858E-3</v>
      </c>
      <c r="CO630" s="149" t="str">
        <f>IF($I630&lt;&gt;"",IF(O630="User Specified",U630,INDEX('Refrigerant GWPs'!$G$2:$G$156,MATCH(O630,'Refrigerant GWPs'!$A$2:$A$156,0))),"")</f>
        <v/>
      </c>
      <c r="CP630" s="138" t="str">
        <f>IF($I630&lt;&gt;"",INDEX('Device Refrigerant Leakage'!$E$2:$E$42,MATCH($M630,'Device Refrigerant Leakage'!$B$2:$B$42,0)),"")</f>
        <v/>
      </c>
      <c r="CQ630" s="138" t="str">
        <f>IF($I630&lt;&gt;"",INDEX('Device Refrigerant Leakage'!$F$2:$F$42,MATCH($M630,'Device Refrigerant Leakage'!$B$2:$B$42,0)),"")</f>
        <v/>
      </c>
      <c r="CR630" s="145" t="str">
        <f>IF($I630&lt;&gt;"",INDEX('Device Refrigerant Leakage'!$G$2:$G$42,MATCH($M630,'Device Refrigerant Leakage'!$B$2:$B$42,0)),"")</f>
        <v/>
      </c>
      <c r="CS630" s="145" t="str">
        <f>IF($I630&lt;&gt;"",INDEX('Device Refrigerant Leakage'!$D$2:$D$42,MATCH($M630,'Device Refrigerant Leakage'!$B$2:$B$42,0))*CP630/2204.62*CO630,"")</f>
        <v/>
      </c>
      <c r="CT630" s="145" t="str">
        <f>IF($I630&lt;&gt;"",J630*(INDEX('Device Refrigerant Leakage'!$D$2:$D$42,MATCH($M630,'Device Refrigerant Leakage'!$B$2:$B$42,0))-(INDEX('Device Refrigerant Leakage'!$D$2:$D$42,MATCH($M630,'Device Refrigerant Leakage'!$B$2:$B$42,0)))*CR630*CP630)*CQ630/2204.62*CO630,"")</f>
        <v/>
      </c>
      <c r="CU630" s="135" t="str">
        <f>IF($I630&lt;&gt;"",J630*IF(W630&lt;&gt;"AR",(CS630*K630)+CT630,(CS630*AB630)+CT630*(AB630/INDEX('Device Refrigerant Leakage'!$C$2:$C$42,MATCH($M630,'Device Refrigerant Leakage'!$B$2:$B$42,0)))),"")</f>
        <v/>
      </c>
      <c r="CW630" s="135" t="str">
        <f>IF($I630&lt;&gt;"",IF(S630="User Specified",V630,INDEX('Refrigerant GWPs'!$G$2:$G$156,MATCH(S630,'Refrigerant GWPs'!$A$2:$A$157,0))),"")</f>
        <v/>
      </c>
      <c r="CX630" s="138" t="str">
        <f>IF($I630&lt;&gt;"",INDEX('Device Refrigerant Leakage'!$E$2:$E$42,MATCH($Q630,'Device Refrigerant Leakage'!$B$2:$B$42,0)),"")</f>
        <v/>
      </c>
      <c r="CY630" s="138" t="str">
        <f>IF($I630&lt;&gt;"",INDEX('Device Refrigerant Leakage'!$F$2:$F$42,MATCH($Q630,'Device Refrigerant Leakage'!$B$2:$B$42,0)),"")</f>
        <v/>
      </c>
      <c r="CZ630" s="145" t="str">
        <f>IF($I630&lt;&gt;"",INDEX('Device Refrigerant Leakage'!$G$2:$G$42,MATCH($Q630,'Device Refrigerant Leakage'!$B$2:$B$42,0)),"")</f>
        <v/>
      </c>
      <c r="DA630" s="145" t="str">
        <f>IF($I630&lt;&gt;"",J630*INDEX('Device Refrigerant Leakage'!$D$2:$D$42,MATCH($Q630,'Device Refrigerant Leakage'!$B$2:$B$42,0))*CX630/2204.62*CW630,"")</f>
        <v/>
      </c>
      <c r="DB630" s="145" t="str">
        <f>IF($I630&lt;&gt;"",J630*(INDEX('Device Refrigerant Leakage'!$D$2:$D$42,MATCH($Q630,'Device Refrigerant Leakage'!$B$2:$B$42,0))-(INDEX('Device Refrigerant Leakage'!$D$2:$D$42,MATCH($Q630,'Device Refrigerant Leakage'!$B$2:$B$42,0)))*CZ630*CX630)*CY630/2204.62*CW630,"")</f>
        <v/>
      </c>
      <c r="DC630" s="135" t="str">
        <f t="shared" si="756"/>
        <v/>
      </c>
      <c r="DE630" s="146" t="str">
        <f>IF(W630&lt;&gt;"AR","",IF(Y630="User Specified", AA630, INDEX('Refrigerant GWPs'!$G$2:$G$154,MATCH(Y630,'Refrigerant GWPs'!$A$2:$A$154,0))))</f>
        <v/>
      </c>
      <c r="DF630" s="146" t="str">
        <f>IF(W630&lt;&gt;"AR","",INDEX('Device Refrigerant Leakage'!$E$2:$E$42,MATCH(X630,'Device Refrigerant Leakage'!$B$2:$B$42,0)))</f>
        <v/>
      </c>
      <c r="DG630" s="146" t="str">
        <f>IF(W630&lt;&gt;"AR","",INDEX('Device Refrigerant Leakage'!$F$2:$F$42,MATCH(X630,'Device Refrigerant Leakage'!$B$2:$B$42,0)))</f>
        <v/>
      </c>
      <c r="DH630" s="146" t="str">
        <f>IF(W630&lt;&gt;"AR","",INDEX('Device Refrigerant Leakage'!$G$2:$G$42,MATCH(X630,'Device Refrigerant Leakage'!$B$2:$B$42,0)))</f>
        <v/>
      </c>
      <c r="DI630" s="146" t="str">
        <f>IF(W630&lt;&gt;"AR","",J630*INDEX('Device Refrigerant Leakage'!$D$2:$D$42,MATCH(X630,'Device Refrigerant Leakage'!$B$2:$B$42,0))*DF630/2204.62*DE630)</f>
        <v/>
      </c>
      <c r="DJ630" s="146" t="str">
        <f>IF(W630&lt;&gt;"AR","",J630*(INDEX('Device Refrigerant Leakage'!$D$2:$D$42,MATCH(X630,'Device Refrigerant Leakage'!$B$2:$B$42,0))-(INDEX('Device Refrigerant Leakage'!$D$2:$D$42,MATCH(X630,'Device Refrigerant Leakage'!$B$2:$B$42,0)))*DH630*DF630)*DG630/2204.62*DE630)</f>
        <v/>
      </c>
      <c r="DK630" s="146" t="str">
        <f>IF(W630&lt;&gt;"AR","",DI630*(K630-AB630)+'Fuel Sub Calcs-Deemed'!DJ630*((K630-AB630)/INDEX('Device Refrigerant Leakage'!$C$2:$C$42,MATCH('Fuel Sub Calcs-Deemed'!X630,'Device Refrigerant Leakage'!$B$2:$B$42,0))))</f>
        <v/>
      </c>
      <c r="DM630" s="56">
        <v>616</v>
      </c>
      <c r="DN630" s="67" t="e">
        <f t="shared" si="738"/>
        <v>#N/A</v>
      </c>
      <c r="DO630" s="45" t="e">
        <f t="shared" si="739"/>
        <v>#N/A</v>
      </c>
      <c r="DP630" s="67" t="e">
        <f t="shared" si="740"/>
        <v>#N/A</v>
      </c>
      <c r="DQ630" s="45" t="e">
        <f t="shared" si="741"/>
        <v>#N/A</v>
      </c>
      <c r="DR630" s="69" t="e">
        <f t="shared" si="742"/>
        <v>#N/A</v>
      </c>
      <c r="DS630" s="34"/>
      <c r="DT630" s="67" t="e">
        <f>((BX630*CJ630)+IF($W630=MAT_AR,(BZ630*CL630),0))*(1+Reference!$E$50+Reference!$E$51)</f>
        <v>#N/A</v>
      </c>
      <c r="DU630" s="67">
        <f>((BY630*CK630)+IF($W630=MAT_AR,(CA630*CM630),0))*(1+Reference!$G$50+Reference!$G$51)</f>
        <v>0</v>
      </c>
      <c r="DV630" s="67" t="e">
        <f t="shared" si="743"/>
        <v>#VALUE!</v>
      </c>
      <c r="DX630" s="56">
        <v>616</v>
      </c>
      <c r="DY630" s="67">
        <f t="shared" si="744"/>
        <v>0</v>
      </c>
      <c r="DZ630" s="45" t="e">
        <f>VLOOKUP($R630,Dropdown!$C$3:$D$4,2,FALSE)</f>
        <v>#N/A</v>
      </c>
      <c r="EA630" s="68">
        <f t="shared" si="745"/>
        <v>0</v>
      </c>
      <c r="EB630" s="68" t="str">
        <f t="shared" si="746"/>
        <v>N/A</v>
      </c>
      <c r="EC630" s="68">
        <f t="shared" si="747"/>
        <v>0</v>
      </c>
      <c r="ED630" s="68" t="str">
        <f t="shared" si="785"/>
        <v>N/A</v>
      </c>
      <c r="EF630" s="56">
        <v>616</v>
      </c>
      <c r="EG630" s="46">
        <f t="shared" si="748"/>
        <v>0</v>
      </c>
      <c r="EH630" s="68" t="e">
        <f t="shared" si="749"/>
        <v>#N/A</v>
      </c>
      <c r="EI630" s="68" t="e">
        <f t="shared" si="750"/>
        <v>#N/A</v>
      </c>
      <c r="EJ630" s="68" t="e">
        <f t="shared" si="751"/>
        <v>#N/A</v>
      </c>
      <c r="EK630" s="68" t="e">
        <f t="shared" si="752"/>
        <v>#N/A</v>
      </c>
      <c r="EL630" s="46">
        <f t="shared" si="753"/>
        <v>0</v>
      </c>
      <c r="EM630" s="46">
        <f t="shared" si="754"/>
        <v>0</v>
      </c>
    </row>
    <row r="631" spans="1:143">
      <c r="A631" s="89"/>
      <c r="B631" s="89"/>
      <c r="C631" s="89"/>
      <c r="D631" s="89"/>
      <c r="E631" s="89"/>
      <c r="F631" s="89"/>
      <c r="G631" s="34"/>
      <c r="H631" s="56">
        <f t="shared" si="755"/>
        <v>617</v>
      </c>
      <c r="I631" s="165"/>
      <c r="J631" s="163"/>
      <c r="K631" s="163"/>
      <c r="L631" s="164"/>
      <c r="M631" s="155"/>
      <c r="N631" s="155"/>
      <c r="O631" s="144"/>
      <c r="P631" s="159" t="str">
        <f>IFERROR(IF(O631&lt;&gt;"User Specified",IF(O631&lt;&gt;"", INDEX('Refrigerant GWPs'!$G$2:$G$154,MATCH(O631,'Refrigerant GWPs'!$A$2:$A$154,0)),""),U631),0)</f>
        <v/>
      </c>
      <c r="Q631" s="155"/>
      <c r="R631" s="155"/>
      <c r="S631" s="144"/>
      <c r="T631" s="159" t="str">
        <f>IF(S631&lt;&gt;"User Specified",IF(AND(S631&lt;&gt;"User Specified",S631&lt;&gt;""), INDEX('Refrigerant GWPs'!$G$2:$G$154,MATCH(S631,'Refrigerant GWPs'!$A$2:$A$154,0)),""),V631)</f>
        <v/>
      </c>
      <c r="U631" s="144"/>
      <c r="V631" s="144"/>
      <c r="W631" s="155"/>
      <c r="X631" s="155"/>
      <c r="Y631" s="144"/>
      <c r="Z631" s="159" t="str">
        <f>IF(AND(Y631&lt;&gt;"User Specified",Y631&lt;&gt;""), INDEX('Refrigerant GWPs'!$G$2:$G$154,MATCH(Y631,'Refrigerant GWPs'!$A$2:$A$154,0)),"")</f>
        <v/>
      </c>
      <c r="AA631" s="155"/>
      <c r="AB631" s="156"/>
      <c r="AC631" s="66"/>
      <c r="AD631" s="66"/>
      <c r="AE631" s="66"/>
      <c r="AF631" s="66"/>
      <c r="AG631" s="66"/>
      <c r="AH631" s="66"/>
      <c r="AI631" s="34"/>
      <c r="AJ631" s="88">
        <f t="shared" si="718"/>
        <v>0</v>
      </c>
      <c r="AK631" s="88">
        <f t="shared" si="719"/>
        <v>0</v>
      </c>
      <c r="AL631" s="88">
        <v>0</v>
      </c>
      <c r="AM631" s="88">
        <v>0</v>
      </c>
      <c r="AN631" s="81" t="str">
        <f t="shared" si="757"/>
        <v/>
      </c>
      <c r="AO631" s="88">
        <f t="shared" si="720"/>
        <v>0</v>
      </c>
      <c r="AP631" s="88">
        <f t="shared" si="721"/>
        <v>0</v>
      </c>
      <c r="AQ631" s="81" t="str">
        <f t="shared" si="722"/>
        <v/>
      </c>
      <c r="AS631" s="41" t="b">
        <f t="shared" si="723"/>
        <v>1</v>
      </c>
      <c r="AT631" s="38">
        <f t="shared" si="724"/>
        <v>0</v>
      </c>
      <c r="AU631" s="60">
        <f t="shared" si="725"/>
        <v>0</v>
      </c>
      <c r="AV631" s="41">
        <f t="shared" si="726"/>
        <v>0</v>
      </c>
      <c r="AW631" s="41" t="b">
        <f t="shared" si="727"/>
        <v>0</v>
      </c>
      <c r="AX631" t="str">
        <f t="shared" si="728"/>
        <v>+00</v>
      </c>
      <c r="AY631" t="str">
        <f t="shared" si="729"/>
        <v>+00</v>
      </c>
      <c r="BA631" s="47" t="b">
        <f t="shared" si="758"/>
        <v>1</v>
      </c>
      <c r="BB631" s="42" t="b">
        <f t="shared" si="759"/>
        <v>1</v>
      </c>
      <c r="BC631" s="42" t="b">
        <f t="shared" si="760"/>
        <v>0</v>
      </c>
      <c r="BD631" s="42" t="b">
        <f t="shared" si="761"/>
        <v>0</v>
      </c>
      <c r="BE631" s="70">
        <f t="shared" si="762"/>
        <v>0</v>
      </c>
      <c r="BF631" s="70">
        <f t="shared" si="763"/>
        <v>0</v>
      </c>
      <c r="BG631" s="34"/>
      <c r="BI631" s="47" t="b">
        <f t="shared" si="764"/>
        <v>1</v>
      </c>
      <c r="BJ631" s="47" t="b">
        <f t="shared" si="765"/>
        <v>1</v>
      </c>
      <c r="BK631" s="42" t="b">
        <f t="shared" si="766"/>
        <v>0</v>
      </c>
      <c r="BL631" s="42" t="b">
        <f t="shared" si="767"/>
        <v>0</v>
      </c>
      <c r="BM631" s="42">
        <f t="shared" si="768"/>
        <v>0</v>
      </c>
      <c r="BN631" s="42">
        <f t="shared" si="769"/>
        <v>0</v>
      </c>
      <c r="BP631" t="e">
        <f t="shared" si="770"/>
        <v>#N/A</v>
      </c>
      <c r="BQ631" t="e">
        <f t="shared" si="771"/>
        <v>#N/A</v>
      </c>
      <c r="BR631" t="e">
        <f t="shared" si="772"/>
        <v>#N/A</v>
      </c>
      <c r="BT631" s="60">
        <f t="shared" si="773"/>
        <v>0</v>
      </c>
      <c r="BU631" s="60">
        <f t="shared" si="774"/>
        <v>0</v>
      </c>
      <c r="BV631" s="60">
        <f t="shared" si="775"/>
        <v>0</v>
      </c>
      <c r="BW631" s="60">
        <f t="shared" si="776"/>
        <v>0</v>
      </c>
      <c r="BX631" s="60">
        <f t="shared" si="777"/>
        <v>0</v>
      </c>
      <c r="BY631" s="60">
        <f t="shared" si="778"/>
        <v>0</v>
      </c>
      <c r="BZ631" s="60">
        <f t="shared" si="779"/>
        <v>0</v>
      </c>
      <c r="CA631" s="60">
        <f t="shared" si="780"/>
        <v>0</v>
      </c>
      <c r="CB631" s="60" t="e">
        <f t="shared" si="730"/>
        <v>#N/A</v>
      </c>
      <c r="CC631" s="60">
        <f t="shared" si="731"/>
        <v>100000</v>
      </c>
      <c r="CD631" s="60" t="e">
        <f t="shared" si="732"/>
        <v>#N/A</v>
      </c>
      <c r="CE631" s="60">
        <f t="shared" si="733"/>
        <v>100000</v>
      </c>
      <c r="CF631" s="83" t="e">
        <f t="shared" si="781"/>
        <v>#N/A</v>
      </c>
      <c r="CG631" s="83">
        <f t="shared" si="782"/>
        <v>0</v>
      </c>
      <c r="CH631" s="83" t="e">
        <f t="shared" si="783"/>
        <v>#N/A</v>
      </c>
      <c r="CI631" s="83">
        <f t="shared" si="784"/>
        <v>0</v>
      </c>
      <c r="CJ631" s="86" t="e">
        <f t="shared" si="734"/>
        <v>#N/A</v>
      </c>
      <c r="CK631" s="82">
        <f t="shared" si="735"/>
        <v>5.3070370403969858E-3</v>
      </c>
      <c r="CL631" s="82" t="e">
        <f t="shared" si="736"/>
        <v>#N/A</v>
      </c>
      <c r="CM631" s="82">
        <f t="shared" si="737"/>
        <v>5.3070370403969858E-3</v>
      </c>
      <c r="CO631" s="149" t="str">
        <f>IF($I631&lt;&gt;"",IF(O631="User Specified",U631,INDEX('Refrigerant GWPs'!$G$2:$G$156,MATCH(O631,'Refrigerant GWPs'!$A$2:$A$156,0))),"")</f>
        <v/>
      </c>
      <c r="CP631" s="138" t="str">
        <f>IF($I631&lt;&gt;"",INDEX('Device Refrigerant Leakage'!$E$2:$E$42,MATCH($M631,'Device Refrigerant Leakage'!$B$2:$B$42,0)),"")</f>
        <v/>
      </c>
      <c r="CQ631" s="138" t="str">
        <f>IF($I631&lt;&gt;"",INDEX('Device Refrigerant Leakage'!$F$2:$F$42,MATCH($M631,'Device Refrigerant Leakage'!$B$2:$B$42,0)),"")</f>
        <v/>
      </c>
      <c r="CR631" s="145" t="str">
        <f>IF($I631&lt;&gt;"",INDEX('Device Refrigerant Leakage'!$G$2:$G$42,MATCH($M631,'Device Refrigerant Leakage'!$B$2:$B$42,0)),"")</f>
        <v/>
      </c>
      <c r="CS631" s="145" t="str">
        <f>IF($I631&lt;&gt;"",INDEX('Device Refrigerant Leakage'!$D$2:$D$42,MATCH($M631,'Device Refrigerant Leakage'!$B$2:$B$42,0))*CP631/2204.62*CO631,"")</f>
        <v/>
      </c>
      <c r="CT631" s="145" t="str">
        <f>IF($I631&lt;&gt;"",J631*(INDEX('Device Refrigerant Leakage'!$D$2:$D$42,MATCH($M631,'Device Refrigerant Leakage'!$B$2:$B$42,0))-(INDEX('Device Refrigerant Leakage'!$D$2:$D$42,MATCH($M631,'Device Refrigerant Leakage'!$B$2:$B$42,0)))*CR631*CP631)*CQ631/2204.62*CO631,"")</f>
        <v/>
      </c>
      <c r="CU631" s="135" t="str">
        <f>IF($I631&lt;&gt;"",J631*IF(W631&lt;&gt;"AR",(CS631*K631)+CT631,(CS631*AB631)+CT631*(AB631/INDEX('Device Refrigerant Leakage'!$C$2:$C$42,MATCH($M631,'Device Refrigerant Leakage'!$B$2:$B$42,0)))),"")</f>
        <v/>
      </c>
      <c r="CW631" s="135" t="str">
        <f>IF($I631&lt;&gt;"",IF(S631="User Specified",V631,INDEX('Refrigerant GWPs'!$G$2:$G$156,MATCH(S631,'Refrigerant GWPs'!$A$2:$A$157,0))),"")</f>
        <v/>
      </c>
      <c r="CX631" s="138" t="str">
        <f>IF($I631&lt;&gt;"",INDEX('Device Refrigerant Leakage'!$E$2:$E$42,MATCH($Q631,'Device Refrigerant Leakage'!$B$2:$B$42,0)),"")</f>
        <v/>
      </c>
      <c r="CY631" s="138" t="str">
        <f>IF($I631&lt;&gt;"",INDEX('Device Refrigerant Leakage'!$F$2:$F$42,MATCH($Q631,'Device Refrigerant Leakage'!$B$2:$B$42,0)),"")</f>
        <v/>
      </c>
      <c r="CZ631" s="145" t="str">
        <f>IF($I631&lt;&gt;"",INDEX('Device Refrigerant Leakage'!$G$2:$G$42,MATCH($Q631,'Device Refrigerant Leakage'!$B$2:$B$42,0)),"")</f>
        <v/>
      </c>
      <c r="DA631" s="145" t="str">
        <f>IF($I631&lt;&gt;"",J631*INDEX('Device Refrigerant Leakage'!$D$2:$D$42,MATCH($Q631,'Device Refrigerant Leakage'!$B$2:$B$42,0))*CX631/2204.62*CW631,"")</f>
        <v/>
      </c>
      <c r="DB631" s="145" t="str">
        <f>IF($I631&lt;&gt;"",J631*(INDEX('Device Refrigerant Leakage'!$D$2:$D$42,MATCH($Q631,'Device Refrigerant Leakage'!$B$2:$B$42,0))-(INDEX('Device Refrigerant Leakage'!$D$2:$D$42,MATCH($Q631,'Device Refrigerant Leakage'!$B$2:$B$42,0)))*CZ631*CX631)*CY631/2204.62*CW631,"")</f>
        <v/>
      </c>
      <c r="DC631" s="135" t="str">
        <f t="shared" si="756"/>
        <v/>
      </c>
      <c r="DE631" s="146" t="str">
        <f>IF(W631&lt;&gt;"AR","",IF(Y631="User Specified", AA631, INDEX('Refrigerant GWPs'!$G$2:$G$154,MATCH(Y631,'Refrigerant GWPs'!$A$2:$A$154,0))))</f>
        <v/>
      </c>
      <c r="DF631" s="146" t="str">
        <f>IF(W631&lt;&gt;"AR","",INDEX('Device Refrigerant Leakage'!$E$2:$E$42,MATCH(X631,'Device Refrigerant Leakage'!$B$2:$B$42,0)))</f>
        <v/>
      </c>
      <c r="DG631" s="146" t="str">
        <f>IF(W631&lt;&gt;"AR","",INDEX('Device Refrigerant Leakage'!$F$2:$F$42,MATCH(X631,'Device Refrigerant Leakage'!$B$2:$B$42,0)))</f>
        <v/>
      </c>
      <c r="DH631" s="146" t="str">
        <f>IF(W631&lt;&gt;"AR","",INDEX('Device Refrigerant Leakage'!$G$2:$G$42,MATCH(X631,'Device Refrigerant Leakage'!$B$2:$B$42,0)))</f>
        <v/>
      </c>
      <c r="DI631" s="146" t="str">
        <f>IF(W631&lt;&gt;"AR","",J631*INDEX('Device Refrigerant Leakage'!$D$2:$D$42,MATCH(X631,'Device Refrigerant Leakage'!$B$2:$B$42,0))*DF631/2204.62*DE631)</f>
        <v/>
      </c>
      <c r="DJ631" s="146" t="str">
        <f>IF(W631&lt;&gt;"AR","",J631*(INDEX('Device Refrigerant Leakage'!$D$2:$D$42,MATCH(X631,'Device Refrigerant Leakage'!$B$2:$B$42,0))-(INDEX('Device Refrigerant Leakage'!$D$2:$D$42,MATCH(X631,'Device Refrigerant Leakage'!$B$2:$B$42,0)))*DH631*DF631)*DG631/2204.62*DE631)</f>
        <v/>
      </c>
      <c r="DK631" s="146" t="str">
        <f>IF(W631&lt;&gt;"AR","",DI631*(K631-AB631)+'Fuel Sub Calcs-Deemed'!DJ631*((K631-AB631)/INDEX('Device Refrigerant Leakage'!$C$2:$C$42,MATCH('Fuel Sub Calcs-Deemed'!X631,'Device Refrigerant Leakage'!$B$2:$B$42,0))))</f>
        <v/>
      </c>
      <c r="DM631" s="56">
        <v>617</v>
      </c>
      <c r="DN631" s="67" t="e">
        <f t="shared" si="738"/>
        <v>#N/A</v>
      </c>
      <c r="DO631" s="45" t="e">
        <f t="shared" si="739"/>
        <v>#N/A</v>
      </c>
      <c r="DP631" s="67" t="e">
        <f t="shared" si="740"/>
        <v>#N/A</v>
      </c>
      <c r="DQ631" s="45" t="e">
        <f t="shared" si="741"/>
        <v>#N/A</v>
      </c>
      <c r="DR631" s="69" t="e">
        <f t="shared" si="742"/>
        <v>#N/A</v>
      </c>
      <c r="DS631" s="34"/>
      <c r="DT631" s="67" t="e">
        <f>((BX631*CJ631)+IF($W631=MAT_AR,(BZ631*CL631),0))*(1+Reference!$E$50+Reference!$E$51)</f>
        <v>#N/A</v>
      </c>
      <c r="DU631" s="67">
        <f>((BY631*CK631)+IF($W631=MAT_AR,(CA631*CM631),0))*(1+Reference!$G$50+Reference!$G$51)</f>
        <v>0</v>
      </c>
      <c r="DV631" s="67" t="e">
        <f t="shared" si="743"/>
        <v>#VALUE!</v>
      </c>
      <c r="DX631" s="56">
        <v>617</v>
      </c>
      <c r="DY631" s="67">
        <f t="shared" si="744"/>
        <v>0</v>
      </c>
      <c r="DZ631" s="45" t="e">
        <f>VLOOKUP($R631,Dropdown!$C$3:$D$4,2,FALSE)</f>
        <v>#N/A</v>
      </c>
      <c r="EA631" s="68">
        <f t="shared" si="745"/>
        <v>0</v>
      </c>
      <c r="EB631" s="68" t="str">
        <f t="shared" si="746"/>
        <v>N/A</v>
      </c>
      <c r="EC631" s="68">
        <f t="shared" si="747"/>
        <v>0</v>
      </c>
      <c r="ED631" s="68" t="str">
        <f t="shared" si="785"/>
        <v>N/A</v>
      </c>
      <c r="EF631" s="56">
        <v>617</v>
      </c>
      <c r="EG631" s="46">
        <f t="shared" si="748"/>
        <v>0</v>
      </c>
      <c r="EH631" s="68" t="e">
        <f t="shared" si="749"/>
        <v>#N/A</v>
      </c>
      <c r="EI631" s="68" t="e">
        <f t="shared" si="750"/>
        <v>#N/A</v>
      </c>
      <c r="EJ631" s="68" t="e">
        <f t="shared" si="751"/>
        <v>#N/A</v>
      </c>
      <c r="EK631" s="68" t="e">
        <f t="shared" si="752"/>
        <v>#N/A</v>
      </c>
      <c r="EL631" s="46">
        <f t="shared" si="753"/>
        <v>0</v>
      </c>
      <c r="EM631" s="46">
        <f t="shared" si="754"/>
        <v>0</v>
      </c>
    </row>
    <row r="632" spans="1:143">
      <c r="A632" s="89"/>
      <c r="B632" s="89"/>
      <c r="C632" s="89"/>
      <c r="D632" s="89"/>
      <c r="E632" s="89"/>
      <c r="F632" s="89"/>
      <c r="G632" s="34"/>
      <c r="H632" s="56">
        <f t="shared" si="755"/>
        <v>618</v>
      </c>
      <c r="I632" s="165"/>
      <c r="J632" s="163"/>
      <c r="K632" s="163"/>
      <c r="L632" s="164"/>
      <c r="M632" s="155"/>
      <c r="N632" s="155"/>
      <c r="O632" s="144"/>
      <c r="P632" s="159" t="str">
        <f>IFERROR(IF(O632&lt;&gt;"User Specified",IF(O632&lt;&gt;"", INDEX('Refrigerant GWPs'!$G$2:$G$154,MATCH(O632,'Refrigerant GWPs'!$A$2:$A$154,0)),""),U632),0)</f>
        <v/>
      </c>
      <c r="Q632" s="155"/>
      <c r="R632" s="155"/>
      <c r="S632" s="144"/>
      <c r="T632" s="159" t="str">
        <f>IF(S632&lt;&gt;"User Specified",IF(AND(S632&lt;&gt;"User Specified",S632&lt;&gt;""), INDEX('Refrigerant GWPs'!$G$2:$G$154,MATCH(S632,'Refrigerant GWPs'!$A$2:$A$154,0)),""),V632)</f>
        <v/>
      </c>
      <c r="U632" s="144"/>
      <c r="V632" s="144"/>
      <c r="W632" s="155"/>
      <c r="X632" s="155"/>
      <c r="Y632" s="144"/>
      <c r="Z632" s="159" t="str">
        <f>IF(AND(Y632&lt;&gt;"User Specified",Y632&lt;&gt;""), INDEX('Refrigerant GWPs'!$G$2:$G$154,MATCH(Y632,'Refrigerant GWPs'!$A$2:$A$154,0)),"")</f>
        <v/>
      </c>
      <c r="AA632" s="155"/>
      <c r="AB632" s="156"/>
      <c r="AC632" s="66"/>
      <c r="AD632" s="66"/>
      <c r="AE632" s="66"/>
      <c r="AF632" s="66"/>
      <c r="AG632" s="66"/>
      <c r="AH632" s="66"/>
      <c r="AI632" s="34"/>
      <c r="AJ632" s="88">
        <f t="shared" si="718"/>
        <v>0</v>
      </c>
      <c r="AK632" s="88">
        <f t="shared" si="719"/>
        <v>0</v>
      </c>
      <c r="AL632" s="88">
        <v>0</v>
      </c>
      <c r="AM632" s="88">
        <v>0</v>
      </c>
      <c r="AN632" s="81" t="str">
        <f t="shared" si="757"/>
        <v/>
      </c>
      <c r="AO632" s="88">
        <f t="shared" si="720"/>
        <v>0</v>
      </c>
      <c r="AP632" s="88">
        <f t="shared" si="721"/>
        <v>0</v>
      </c>
      <c r="AQ632" s="81" t="str">
        <f t="shared" si="722"/>
        <v/>
      </c>
      <c r="AS632" s="41" t="b">
        <f t="shared" si="723"/>
        <v>1</v>
      </c>
      <c r="AT632" s="38">
        <f t="shared" si="724"/>
        <v>0</v>
      </c>
      <c r="AU632" s="60">
        <f t="shared" si="725"/>
        <v>0</v>
      </c>
      <c r="AV632" s="41">
        <f t="shared" si="726"/>
        <v>0</v>
      </c>
      <c r="AW632" s="41" t="b">
        <f t="shared" si="727"/>
        <v>0</v>
      </c>
      <c r="AX632" t="str">
        <f t="shared" si="728"/>
        <v>+00</v>
      </c>
      <c r="AY632" t="str">
        <f t="shared" si="729"/>
        <v>+00</v>
      </c>
      <c r="BA632" s="47" t="b">
        <f t="shared" si="758"/>
        <v>1</v>
      </c>
      <c r="BB632" s="42" t="b">
        <f t="shared" si="759"/>
        <v>1</v>
      </c>
      <c r="BC632" s="42" t="b">
        <f t="shared" si="760"/>
        <v>0</v>
      </c>
      <c r="BD632" s="42" t="b">
        <f t="shared" si="761"/>
        <v>0</v>
      </c>
      <c r="BE632" s="70">
        <f t="shared" si="762"/>
        <v>0</v>
      </c>
      <c r="BF632" s="70">
        <f t="shared" si="763"/>
        <v>0</v>
      </c>
      <c r="BG632" s="34"/>
      <c r="BI632" s="47" t="b">
        <f t="shared" si="764"/>
        <v>1</v>
      </c>
      <c r="BJ632" s="47" t="b">
        <f t="shared" si="765"/>
        <v>1</v>
      </c>
      <c r="BK632" s="42" t="b">
        <f t="shared" si="766"/>
        <v>0</v>
      </c>
      <c r="BL632" s="42" t="b">
        <f t="shared" si="767"/>
        <v>0</v>
      </c>
      <c r="BM632" s="42">
        <f t="shared" si="768"/>
        <v>0</v>
      </c>
      <c r="BN632" s="42">
        <f t="shared" si="769"/>
        <v>0</v>
      </c>
      <c r="BP632" t="e">
        <f t="shared" si="770"/>
        <v>#N/A</v>
      </c>
      <c r="BQ632" t="e">
        <f t="shared" si="771"/>
        <v>#N/A</v>
      </c>
      <c r="BR632" t="e">
        <f t="shared" si="772"/>
        <v>#N/A</v>
      </c>
      <c r="BT632" s="60">
        <f t="shared" si="773"/>
        <v>0</v>
      </c>
      <c r="BU632" s="60">
        <f t="shared" si="774"/>
        <v>0</v>
      </c>
      <c r="BV632" s="60">
        <f t="shared" si="775"/>
        <v>0</v>
      </c>
      <c r="BW632" s="60">
        <f t="shared" si="776"/>
        <v>0</v>
      </c>
      <c r="BX632" s="60">
        <f t="shared" si="777"/>
        <v>0</v>
      </c>
      <c r="BY632" s="60">
        <f t="shared" si="778"/>
        <v>0</v>
      </c>
      <c r="BZ632" s="60">
        <f t="shared" si="779"/>
        <v>0</v>
      </c>
      <c r="CA632" s="60">
        <f t="shared" si="780"/>
        <v>0</v>
      </c>
      <c r="CB632" s="60" t="e">
        <f t="shared" si="730"/>
        <v>#N/A</v>
      </c>
      <c r="CC632" s="60">
        <f t="shared" si="731"/>
        <v>100000</v>
      </c>
      <c r="CD632" s="60" t="e">
        <f t="shared" si="732"/>
        <v>#N/A</v>
      </c>
      <c r="CE632" s="60">
        <f t="shared" si="733"/>
        <v>100000</v>
      </c>
      <c r="CF632" s="83" t="e">
        <f t="shared" si="781"/>
        <v>#N/A</v>
      </c>
      <c r="CG632" s="83">
        <f t="shared" si="782"/>
        <v>0</v>
      </c>
      <c r="CH632" s="83" t="e">
        <f t="shared" si="783"/>
        <v>#N/A</v>
      </c>
      <c r="CI632" s="83">
        <f t="shared" si="784"/>
        <v>0</v>
      </c>
      <c r="CJ632" s="86" t="e">
        <f t="shared" si="734"/>
        <v>#N/A</v>
      </c>
      <c r="CK632" s="82">
        <f t="shared" si="735"/>
        <v>5.3070370403969858E-3</v>
      </c>
      <c r="CL632" s="82" t="e">
        <f t="shared" si="736"/>
        <v>#N/A</v>
      </c>
      <c r="CM632" s="82">
        <f t="shared" si="737"/>
        <v>5.3070370403969858E-3</v>
      </c>
      <c r="CO632" s="149" t="str">
        <f>IF($I632&lt;&gt;"",IF(O632="User Specified",U632,INDEX('Refrigerant GWPs'!$G$2:$G$156,MATCH(O632,'Refrigerant GWPs'!$A$2:$A$156,0))),"")</f>
        <v/>
      </c>
      <c r="CP632" s="138" t="str">
        <f>IF($I632&lt;&gt;"",INDEX('Device Refrigerant Leakage'!$E$2:$E$42,MATCH($M632,'Device Refrigerant Leakage'!$B$2:$B$42,0)),"")</f>
        <v/>
      </c>
      <c r="CQ632" s="138" t="str">
        <f>IF($I632&lt;&gt;"",INDEX('Device Refrigerant Leakage'!$F$2:$F$42,MATCH($M632,'Device Refrigerant Leakage'!$B$2:$B$42,0)),"")</f>
        <v/>
      </c>
      <c r="CR632" s="145" t="str">
        <f>IF($I632&lt;&gt;"",INDEX('Device Refrigerant Leakage'!$G$2:$G$42,MATCH($M632,'Device Refrigerant Leakage'!$B$2:$B$42,0)),"")</f>
        <v/>
      </c>
      <c r="CS632" s="145" t="str">
        <f>IF($I632&lt;&gt;"",INDEX('Device Refrigerant Leakage'!$D$2:$D$42,MATCH($M632,'Device Refrigerant Leakage'!$B$2:$B$42,0))*CP632/2204.62*CO632,"")</f>
        <v/>
      </c>
      <c r="CT632" s="145" t="str">
        <f>IF($I632&lt;&gt;"",J632*(INDEX('Device Refrigerant Leakage'!$D$2:$D$42,MATCH($M632,'Device Refrigerant Leakage'!$B$2:$B$42,0))-(INDEX('Device Refrigerant Leakage'!$D$2:$D$42,MATCH($M632,'Device Refrigerant Leakage'!$B$2:$B$42,0)))*CR632*CP632)*CQ632/2204.62*CO632,"")</f>
        <v/>
      </c>
      <c r="CU632" s="135" t="str">
        <f>IF($I632&lt;&gt;"",J632*IF(W632&lt;&gt;"AR",(CS632*K632)+CT632,(CS632*AB632)+CT632*(AB632/INDEX('Device Refrigerant Leakage'!$C$2:$C$42,MATCH($M632,'Device Refrigerant Leakage'!$B$2:$B$42,0)))),"")</f>
        <v/>
      </c>
      <c r="CW632" s="135" t="str">
        <f>IF($I632&lt;&gt;"",IF(S632="User Specified",V632,INDEX('Refrigerant GWPs'!$G$2:$G$156,MATCH(S632,'Refrigerant GWPs'!$A$2:$A$157,0))),"")</f>
        <v/>
      </c>
      <c r="CX632" s="138" t="str">
        <f>IF($I632&lt;&gt;"",INDEX('Device Refrigerant Leakage'!$E$2:$E$42,MATCH($Q632,'Device Refrigerant Leakage'!$B$2:$B$42,0)),"")</f>
        <v/>
      </c>
      <c r="CY632" s="138" t="str">
        <f>IF($I632&lt;&gt;"",INDEX('Device Refrigerant Leakage'!$F$2:$F$42,MATCH($Q632,'Device Refrigerant Leakage'!$B$2:$B$42,0)),"")</f>
        <v/>
      </c>
      <c r="CZ632" s="145" t="str">
        <f>IF($I632&lt;&gt;"",INDEX('Device Refrigerant Leakage'!$G$2:$G$42,MATCH($Q632,'Device Refrigerant Leakage'!$B$2:$B$42,0)),"")</f>
        <v/>
      </c>
      <c r="DA632" s="145" t="str">
        <f>IF($I632&lt;&gt;"",J632*INDEX('Device Refrigerant Leakage'!$D$2:$D$42,MATCH($Q632,'Device Refrigerant Leakage'!$B$2:$B$42,0))*CX632/2204.62*CW632,"")</f>
        <v/>
      </c>
      <c r="DB632" s="145" t="str">
        <f>IF($I632&lt;&gt;"",J632*(INDEX('Device Refrigerant Leakage'!$D$2:$D$42,MATCH($Q632,'Device Refrigerant Leakage'!$B$2:$B$42,0))-(INDEX('Device Refrigerant Leakage'!$D$2:$D$42,MATCH($Q632,'Device Refrigerant Leakage'!$B$2:$B$42,0)))*CZ632*CX632)*CY632/2204.62*CW632,"")</f>
        <v/>
      </c>
      <c r="DC632" s="135" t="str">
        <f t="shared" si="756"/>
        <v/>
      </c>
      <c r="DE632" s="146" t="str">
        <f>IF(W632&lt;&gt;"AR","",IF(Y632="User Specified", AA632, INDEX('Refrigerant GWPs'!$G$2:$G$154,MATCH(Y632,'Refrigerant GWPs'!$A$2:$A$154,0))))</f>
        <v/>
      </c>
      <c r="DF632" s="146" t="str">
        <f>IF(W632&lt;&gt;"AR","",INDEX('Device Refrigerant Leakage'!$E$2:$E$42,MATCH(X632,'Device Refrigerant Leakage'!$B$2:$B$42,0)))</f>
        <v/>
      </c>
      <c r="DG632" s="146" t="str">
        <f>IF(W632&lt;&gt;"AR","",INDEX('Device Refrigerant Leakage'!$F$2:$F$42,MATCH(X632,'Device Refrigerant Leakage'!$B$2:$B$42,0)))</f>
        <v/>
      </c>
      <c r="DH632" s="146" t="str">
        <f>IF(W632&lt;&gt;"AR","",INDEX('Device Refrigerant Leakage'!$G$2:$G$42,MATCH(X632,'Device Refrigerant Leakage'!$B$2:$B$42,0)))</f>
        <v/>
      </c>
      <c r="DI632" s="146" t="str">
        <f>IF(W632&lt;&gt;"AR","",J632*INDEX('Device Refrigerant Leakage'!$D$2:$D$42,MATCH(X632,'Device Refrigerant Leakage'!$B$2:$B$42,0))*DF632/2204.62*DE632)</f>
        <v/>
      </c>
      <c r="DJ632" s="146" t="str">
        <f>IF(W632&lt;&gt;"AR","",J632*(INDEX('Device Refrigerant Leakage'!$D$2:$D$42,MATCH(X632,'Device Refrigerant Leakage'!$B$2:$B$42,0))-(INDEX('Device Refrigerant Leakage'!$D$2:$D$42,MATCH(X632,'Device Refrigerant Leakage'!$B$2:$B$42,0)))*DH632*DF632)*DG632/2204.62*DE632)</f>
        <v/>
      </c>
      <c r="DK632" s="146" t="str">
        <f>IF(W632&lt;&gt;"AR","",DI632*(K632-AB632)+'Fuel Sub Calcs-Deemed'!DJ632*((K632-AB632)/INDEX('Device Refrigerant Leakage'!$C$2:$C$42,MATCH('Fuel Sub Calcs-Deemed'!X632,'Device Refrigerant Leakage'!$B$2:$B$42,0))))</f>
        <v/>
      </c>
      <c r="DM632" s="56">
        <v>618</v>
      </c>
      <c r="DN632" s="67" t="e">
        <f t="shared" si="738"/>
        <v>#N/A</v>
      </c>
      <c r="DO632" s="45" t="e">
        <f t="shared" si="739"/>
        <v>#N/A</v>
      </c>
      <c r="DP632" s="67" t="e">
        <f t="shared" si="740"/>
        <v>#N/A</v>
      </c>
      <c r="DQ632" s="45" t="e">
        <f t="shared" si="741"/>
        <v>#N/A</v>
      </c>
      <c r="DR632" s="69" t="e">
        <f t="shared" si="742"/>
        <v>#N/A</v>
      </c>
      <c r="DS632" s="34"/>
      <c r="DT632" s="67" t="e">
        <f>((BX632*CJ632)+IF($W632=MAT_AR,(BZ632*CL632),0))*(1+Reference!$E$50+Reference!$E$51)</f>
        <v>#N/A</v>
      </c>
      <c r="DU632" s="67">
        <f>((BY632*CK632)+IF($W632=MAT_AR,(CA632*CM632),0))*(1+Reference!$G$50+Reference!$G$51)</f>
        <v>0</v>
      </c>
      <c r="DV632" s="67" t="e">
        <f t="shared" si="743"/>
        <v>#VALUE!</v>
      </c>
      <c r="DX632" s="56">
        <v>618</v>
      </c>
      <c r="DY632" s="67">
        <f t="shared" si="744"/>
        <v>0</v>
      </c>
      <c r="DZ632" s="45" t="e">
        <f>VLOOKUP($R632,Dropdown!$C$3:$D$4,2,FALSE)</f>
        <v>#N/A</v>
      </c>
      <c r="EA632" s="68">
        <f t="shared" si="745"/>
        <v>0</v>
      </c>
      <c r="EB632" s="68" t="str">
        <f t="shared" si="746"/>
        <v>N/A</v>
      </c>
      <c r="EC632" s="68">
        <f t="shared" si="747"/>
        <v>0</v>
      </c>
      <c r="ED632" s="68" t="str">
        <f t="shared" si="785"/>
        <v>N/A</v>
      </c>
      <c r="EF632" s="56">
        <v>618</v>
      </c>
      <c r="EG632" s="46">
        <f t="shared" si="748"/>
        <v>0</v>
      </c>
      <c r="EH632" s="68" t="e">
        <f t="shared" si="749"/>
        <v>#N/A</v>
      </c>
      <c r="EI632" s="68" t="e">
        <f t="shared" si="750"/>
        <v>#N/A</v>
      </c>
      <c r="EJ632" s="68" t="e">
        <f t="shared" si="751"/>
        <v>#N/A</v>
      </c>
      <c r="EK632" s="68" t="e">
        <f t="shared" si="752"/>
        <v>#N/A</v>
      </c>
      <c r="EL632" s="46">
        <f t="shared" si="753"/>
        <v>0</v>
      </c>
      <c r="EM632" s="46">
        <f t="shared" si="754"/>
        <v>0</v>
      </c>
    </row>
    <row r="633" spans="1:143">
      <c r="A633" s="89"/>
      <c r="B633" s="89"/>
      <c r="C633" s="89"/>
      <c r="D633" s="89"/>
      <c r="E633" s="89"/>
      <c r="F633" s="89"/>
      <c r="G633" s="34"/>
      <c r="H633" s="56">
        <f t="shared" si="755"/>
        <v>619</v>
      </c>
      <c r="I633" s="165"/>
      <c r="J633" s="163"/>
      <c r="K633" s="163"/>
      <c r="L633" s="164"/>
      <c r="M633" s="155"/>
      <c r="N633" s="155"/>
      <c r="O633" s="144"/>
      <c r="P633" s="159" t="str">
        <f>IFERROR(IF(O633&lt;&gt;"User Specified",IF(O633&lt;&gt;"", INDEX('Refrigerant GWPs'!$G$2:$G$154,MATCH(O633,'Refrigerant GWPs'!$A$2:$A$154,0)),""),U633),0)</f>
        <v/>
      </c>
      <c r="Q633" s="155"/>
      <c r="R633" s="155"/>
      <c r="S633" s="144"/>
      <c r="T633" s="159" t="str">
        <f>IF(S633&lt;&gt;"User Specified",IF(AND(S633&lt;&gt;"User Specified",S633&lt;&gt;""), INDEX('Refrigerant GWPs'!$G$2:$G$154,MATCH(S633,'Refrigerant GWPs'!$A$2:$A$154,0)),""),V633)</f>
        <v/>
      </c>
      <c r="U633" s="144"/>
      <c r="V633" s="144"/>
      <c r="W633" s="155"/>
      <c r="X633" s="155"/>
      <c r="Y633" s="144"/>
      <c r="Z633" s="159" t="str">
        <f>IF(AND(Y633&lt;&gt;"User Specified",Y633&lt;&gt;""), INDEX('Refrigerant GWPs'!$G$2:$G$154,MATCH(Y633,'Refrigerant GWPs'!$A$2:$A$154,0)),"")</f>
        <v/>
      </c>
      <c r="AA633" s="155"/>
      <c r="AB633" s="156"/>
      <c r="AC633" s="66"/>
      <c r="AD633" s="66"/>
      <c r="AE633" s="66"/>
      <c r="AF633" s="66"/>
      <c r="AG633" s="66"/>
      <c r="AH633" s="66"/>
      <c r="AI633" s="34"/>
      <c r="AJ633" s="88">
        <f t="shared" si="718"/>
        <v>0</v>
      </c>
      <c r="AK633" s="88">
        <f t="shared" si="719"/>
        <v>0</v>
      </c>
      <c r="AL633" s="88">
        <v>0</v>
      </c>
      <c r="AM633" s="88">
        <v>0</v>
      </c>
      <c r="AN633" s="81" t="str">
        <f t="shared" si="757"/>
        <v/>
      </c>
      <c r="AO633" s="88">
        <f t="shared" si="720"/>
        <v>0</v>
      </c>
      <c r="AP633" s="88">
        <f t="shared" si="721"/>
        <v>0</v>
      </c>
      <c r="AQ633" s="81" t="str">
        <f t="shared" si="722"/>
        <v/>
      </c>
      <c r="AS633" s="41" t="b">
        <f t="shared" si="723"/>
        <v>1</v>
      </c>
      <c r="AT633" s="38">
        <f t="shared" si="724"/>
        <v>0</v>
      </c>
      <c r="AU633" s="60">
        <f t="shared" si="725"/>
        <v>0</v>
      </c>
      <c r="AV633" s="41">
        <f t="shared" si="726"/>
        <v>0</v>
      </c>
      <c r="AW633" s="41" t="b">
        <f t="shared" si="727"/>
        <v>0</v>
      </c>
      <c r="AX633" t="str">
        <f t="shared" si="728"/>
        <v>+00</v>
      </c>
      <c r="AY633" t="str">
        <f t="shared" si="729"/>
        <v>+00</v>
      </c>
      <c r="BA633" s="47" t="b">
        <f t="shared" si="758"/>
        <v>1</v>
      </c>
      <c r="BB633" s="42" t="b">
        <f t="shared" si="759"/>
        <v>1</v>
      </c>
      <c r="BC633" s="42" t="b">
        <f t="shared" si="760"/>
        <v>0</v>
      </c>
      <c r="BD633" s="42" t="b">
        <f t="shared" si="761"/>
        <v>0</v>
      </c>
      <c r="BE633" s="70">
        <f t="shared" si="762"/>
        <v>0</v>
      </c>
      <c r="BF633" s="70">
        <f t="shared" si="763"/>
        <v>0</v>
      </c>
      <c r="BG633" s="34"/>
      <c r="BI633" s="47" t="b">
        <f t="shared" si="764"/>
        <v>1</v>
      </c>
      <c r="BJ633" s="47" t="b">
        <f t="shared" si="765"/>
        <v>1</v>
      </c>
      <c r="BK633" s="42" t="b">
        <f t="shared" si="766"/>
        <v>0</v>
      </c>
      <c r="BL633" s="42" t="b">
        <f t="shared" si="767"/>
        <v>0</v>
      </c>
      <c r="BM633" s="42">
        <f t="shared" si="768"/>
        <v>0</v>
      </c>
      <c r="BN633" s="42">
        <f t="shared" si="769"/>
        <v>0</v>
      </c>
      <c r="BP633" t="e">
        <f t="shared" si="770"/>
        <v>#N/A</v>
      </c>
      <c r="BQ633" t="e">
        <f t="shared" si="771"/>
        <v>#N/A</v>
      </c>
      <c r="BR633" t="e">
        <f t="shared" si="772"/>
        <v>#N/A</v>
      </c>
      <c r="BT633" s="60">
        <f t="shared" si="773"/>
        <v>0</v>
      </c>
      <c r="BU633" s="60">
        <f t="shared" si="774"/>
        <v>0</v>
      </c>
      <c r="BV633" s="60">
        <f t="shared" si="775"/>
        <v>0</v>
      </c>
      <c r="BW633" s="60">
        <f t="shared" si="776"/>
        <v>0</v>
      </c>
      <c r="BX633" s="60">
        <f t="shared" si="777"/>
        <v>0</v>
      </c>
      <c r="BY633" s="60">
        <f t="shared" si="778"/>
        <v>0</v>
      </c>
      <c r="BZ633" s="60">
        <f t="shared" si="779"/>
        <v>0</v>
      </c>
      <c r="CA633" s="60">
        <f t="shared" si="780"/>
        <v>0</v>
      </c>
      <c r="CB633" s="60" t="e">
        <f t="shared" si="730"/>
        <v>#N/A</v>
      </c>
      <c r="CC633" s="60">
        <f t="shared" si="731"/>
        <v>100000</v>
      </c>
      <c r="CD633" s="60" t="e">
        <f t="shared" si="732"/>
        <v>#N/A</v>
      </c>
      <c r="CE633" s="60">
        <f t="shared" si="733"/>
        <v>100000</v>
      </c>
      <c r="CF633" s="83" t="e">
        <f t="shared" si="781"/>
        <v>#N/A</v>
      </c>
      <c r="CG633" s="83">
        <f t="shared" si="782"/>
        <v>0</v>
      </c>
      <c r="CH633" s="83" t="e">
        <f t="shared" si="783"/>
        <v>#N/A</v>
      </c>
      <c r="CI633" s="83">
        <f t="shared" si="784"/>
        <v>0</v>
      </c>
      <c r="CJ633" s="86" t="e">
        <f t="shared" si="734"/>
        <v>#N/A</v>
      </c>
      <c r="CK633" s="82">
        <f t="shared" si="735"/>
        <v>5.3070370403969858E-3</v>
      </c>
      <c r="CL633" s="82" t="e">
        <f t="shared" si="736"/>
        <v>#N/A</v>
      </c>
      <c r="CM633" s="82">
        <f t="shared" si="737"/>
        <v>5.3070370403969858E-3</v>
      </c>
      <c r="CO633" s="149" t="str">
        <f>IF($I633&lt;&gt;"",IF(O633="User Specified",U633,INDEX('Refrigerant GWPs'!$G$2:$G$156,MATCH(O633,'Refrigerant GWPs'!$A$2:$A$156,0))),"")</f>
        <v/>
      </c>
      <c r="CP633" s="138" t="str">
        <f>IF($I633&lt;&gt;"",INDEX('Device Refrigerant Leakage'!$E$2:$E$42,MATCH($M633,'Device Refrigerant Leakage'!$B$2:$B$42,0)),"")</f>
        <v/>
      </c>
      <c r="CQ633" s="138" t="str">
        <f>IF($I633&lt;&gt;"",INDEX('Device Refrigerant Leakage'!$F$2:$F$42,MATCH($M633,'Device Refrigerant Leakage'!$B$2:$B$42,0)),"")</f>
        <v/>
      </c>
      <c r="CR633" s="145" t="str">
        <f>IF($I633&lt;&gt;"",INDEX('Device Refrigerant Leakage'!$G$2:$G$42,MATCH($M633,'Device Refrigerant Leakage'!$B$2:$B$42,0)),"")</f>
        <v/>
      </c>
      <c r="CS633" s="145" t="str">
        <f>IF($I633&lt;&gt;"",INDEX('Device Refrigerant Leakage'!$D$2:$D$42,MATCH($M633,'Device Refrigerant Leakage'!$B$2:$B$42,0))*CP633/2204.62*CO633,"")</f>
        <v/>
      </c>
      <c r="CT633" s="145" t="str">
        <f>IF($I633&lt;&gt;"",J633*(INDEX('Device Refrigerant Leakage'!$D$2:$D$42,MATCH($M633,'Device Refrigerant Leakage'!$B$2:$B$42,0))-(INDEX('Device Refrigerant Leakage'!$D$2:$D$42,MATCH($M633,'Device Refrigerant Leakage'!$B$2:$B$42,0)))*CR633*CP633)*CQ633/2204.62*CO633,"")</f>
        <v/>
      </c>
      <c r="CU633" s="135" t="str">
        <f>IF($I633&lt;&gt;"",J633*IF(W633&lt;&gt;"AR",(CS633*K633)+CT633,(CS633*AB633)+CT633*(AB633/INDEX('Device Refrigerant Leakage'!$C$2:$C$42,MATCH($M633,'Device Refrigerant Leakage'!$B$2:$B$42,0)))),"")</f>
        <v/>
      </c>
      <c r="CW633" s="135" t="str">
        <f>IF($I633&lt;&gt;"",IF(S633="User Specified",V633,INDEX('Refrigerant GWPs'!$G$2:$G$156,MATCH(S633,'Refrigerant GWPs'!$A$2:$A$157,0))),"")</f>
        <v/>
      </c>
      <c r="CX633" s="138" t="str">
        <f>IF($I633&lt;&gt;"",INDEX('Device Refrigerant Leakage'!$E$2:$E$42,MATCH($Q633,'Device Refrigerant Leakage'!$B$2:$B$42,0)),"")</f>
        <v/>
      </c>
      <c r="CY633" s="138" t="str">
        <f>IF($I633&lt;&gt;"",INDEX('Device Refrigerant Leakage'!$F$2:$F$42,MATCH($Q633,'Device Refrigerant Leakage'!$B$2:$B$42,0)),"")</f>
        <v/>
      </c>
      <c r="CZ633" s="145" t="str">
        <f>IF($I633&lt;&gt;"",INDEX('Device Refrigerant Leakage'!$G$2:$G$42,MATCH($Q633,'Device Refrigerant Leakage'!$B$2:$B$42,0)),"")</f>
        <v/>
      </c>
      <c r="DA633" s="145" t="str">
        <f>IF($I633&lt;&gt;"",J633*INDEX('Device Refrigerant Leakage'!$D$2:$D$42,MATCH($Q633,'Device Refrigerant Leakage'!$B$2:$B$42,0))*CX633/2204.62*CW633,"")</f>
        <v/>
      </c>
      <c r="DB633" s="145" t="str">
        <f>IF($I633&lt;&gt;"",J633*(INDEX('Device Refrigerant Leakage'!$D$2:$D$42,MATCH($Q633,'Device Refrigerant Leakage'!$B$2:$B$42,0))-(INDEX('Device Refrigerant Leakage'!$D$2:$D$42,MATCH($Q633,'Device Refrigerant Leakage'!$B$2:$B$42,0)))*CZ633*CX633)*CY633/2204.62*CW633,"")</f>
        <v/>
      </c>
      <c r="DC633" s="135" t="str">
        <f t="shared" si="756"/>
        <v/>
      </c>
      <c r="DE633" s="146" t="str">
        <f>IF(W633&lt;&gt;"AR","",IF(Y633="User Specified", AA633, INDEX('Refrigerant GWPs'!$G$2:$G$154,MATCH(Y633,'Refrigerant GWPs'!$A$2:$A$154,0))))</f>
        <v/>
      </c>
      <c r="DF633" s="146" t="str">
        <f>IF(W633&lt;&gt;"AR","",INDEX('Device Refrigerant Leakage'!$E$2:$E$42,MATCH(X633,'Device Refrigerant Leakage'!$B$2:$B$42,0)))</f>
        <v/>
      </c>
      <c r="DG633" s="146" t="str">
        <f>IF(W633&lt;&gt;"AR","",INDEX('Device Refrigerant Leakage'!$F$2:$F$42,MATCH(X633,'Device Refrigerant Leakage'!$B$2:$B$42,0)))</f>
        <v/>
      </c>
      <c r="DH633" s="146" t="str">
        <f>IF(W633&lt;&gt;"AR","",INDEX('Device Refrigerant Leakage'!$G$2:$G$42,MATCH(X633,'Device Refrigerant Leakage'!$B$2:$B$42,0)))</f>
        <v/>
      </c>
      <c r="DI633" s="146" t="str">
        <f>IF(W633&lt;&gt;"AR","",J633*INDEX('Device Refrigerant Leakage'!$D$2:$D$42,MATCH(X633,'Device Refrigerant Leakage'!$B$2:$B$42,0))*DF633/2204.62*DE633)</f>
        <v/>
      </c>
      <c r="DJ633" s="146" t="str">
        <f>IF(W633&lt;&gt;"AR","",J633*(INDEX('Device Refrigerant Leakage'!$D$2:$D$42,MATCH(X633,'Device Refrigerant Leakage'!$B$2:$B$42,0))-(INDEX('Device Refrigerant Leakage'!$D$2:$D$42,MATCH(X633,'Device Refrigerant Leakage'!$B$2:$B$42,0)))*DH633*DF633)*DG633/2204.62*DE633)</f>
        <v/>
      </c>
      <c r="DK633" s="146" t="str">
        <f>IF(W633&lt;&gt;"AR","",DI633*(K633-AB633)+'Fuel Sub Calcs-Deemed'!DJ633*((K633-AB633)/INDEX('Device Refrigerant Leakage'!$C$2:$C$42,MATCH('Fuel Sub Calcs-Deemed'!X633,'Device Refrigerant Leakage'!$B$2:$B$42,0))))</f>
        <v/>
      </c>
      <c r="DM633" s="56">
        <v>619</v>
      </c>
      <c r="DN633" s="67" t="e">
        <f t="shared" si="738"/>
        <v>#N/A</v>
      </c>
      <c r="DO633" s="45" t="e">
        <f t="shared" si="739"/>
        <v>#N/A</v>
      </c>
      <c r="DP633" s="67" t="e">
        <f t="shared" si="740"/>
        <v>#N/A</v>
      </c>
      <c r="DQ633" s="45" t="e">
        <f t="shared" si="741"/>
        <v>#N/A</v>
      </c>
      <c r="DR633" s="69" t="e">
        <f t="shared" si="742"/>
        <v>#N/A</v>
      </c>
      <c r="DS633" s="34"/>
      <c r="DT633" s="67" t="e">
        <f>((BX633*CJ633)+IF($W633=MAT_AR,(BZ633*CL633),0))*(1+Reference!$E$50+Reference!$E$51)</f>
        <v>#N/A</v>
      </c>
      <c r="DU633" s="67">
        <f>((BY633*CK633)+IF($W633=MAT_AR,(CA633*CM633),0))*(1+Reference!$G$50+Reference!$G$51)</f>
        <v>0</v>
      </c>
      <c r="DV633" s="67" t="e">
        <f t="shared" si="743"/>
        <v>#VALUE!</v>
      </c>
      <c r="DX633" s="56">
        <v>619</v>
      </c>
      <c r="DY633" s="67">
        <f t="shared" si="744"/>
        <v>0</v>
      </c>
      <c r="DZ633" s="45" t="e">
        <f>VLOOKUP($R633,Dropdown!$C$3:$D$4,2,FALSE)</f>
        <v>#N/A</v>
      </c>
      <c r="EA633" s="68">
        <f t="shared" si="745"/>
        <v>0</v>
      </c>
      <c r="EB633" s="68" t="str">
        <f t="shared" si="746"/>
        <v>N/A</v>
      </c>
      <c r="EC633" s="68">
        <f t="shared" si="747"/>
        <v>0</v>
      </c>
      <c r="ED633" s="68" t="str">
        <f t="shared" si="785"/>
        <v>N/A</v>
      </c>
      <c r="EF633" s="56">
        <v>619</v>
      </c>
      <c r="EG633" s="46">
        <f t="shared" si="748"/>
        <v>0</v>
      </c>
      <c r="EH633" s="68" t="e">
        <f t="shared" si="749"/>
        <v>#N/A</v>
      </c>
      <c r="EI633" s="68" t="e">
        <f t="shared" si="750"/>
        <v>#N/A</v>
      </c>
      <c r="EJ633" s="68" t="e">
        <f t="shared" si="751"/>
        <v>#N/A</v>
      </c>
      <c r="EK633" s="68" t="e">
        <f t="shared" si="752"/>
        <v>#N/A</v>
      </c>
      <c r="EL633" s="46">
        <f t="shared" si="753"/>
        <v>0</v>
      </c>
      <c r="EM633" s="46">
        <f t="shared" si="754"/>
        <v>0</v>
      </c>
    </row>
    <row r="634" spans="1:143">
      <c r="A634" s="89"/>
      <c r="B634" s="89"/>
      <c r="C634" s="89"/>
      <c r="D634" s="89"/>
      <c r="E634" s="89"/>
      <c r="F634" s="89"/>
      <c r="G634" s="34"/>
      <c r="H634" s="56">
        <f t="shared" si="755"/>
        <v>620</v>
      </c>
      <c r="I634" s="165"/>
      <c r="J634" s="163"/>
      <c r="K634" s="163"/>
      <c r="L634" s="164"/>
      <c r="M634" s="155"/>
      <c r="N634" s="155"/>
      <c r="O634" s="144"/>
      <c r="P634" s="159" t="str">
        <f>IFERROR(IF(O634&lt;&gt;"User Specified",IF(O634&lt;&gt;"", INDEX('Refrigerant GWPs'!$G$2:$G$154,MATCH(O634,'Refrigerant GWPs'!$A$2:$A$154,0)),""),U634),0)</f>
        <v/>
      </c>
      <c r="Q634" s="155"/>
      <c r="R634" s="155"/>
      <c r="S634" s="144"/>
      <c r="T634" s="159" t="str">
        <f>IF(S634&lt;&gt;"User Specified",IF(AND(S634&lt;&gt;"User Specified",S634&lt;&gt;""), INDEX('Refrigerant GWPs'!$G$2:$G$154,MATCH(S634,'Refrigerant GWPs'!$A$2:$A$154,0)),""),V634)</f>
        <v/>
      </c>
      <c r="U634" s="144"/>
      <c r="V634" s="144"/>
      <c r="W634" s="155"/>
      <c r="X634" s="155"/>
      <c r="Y634" s="144"/>
      <c r="Z634" s="159" t="str">
        <f>IF(AND(Y634&lt;&gt;"User Specified",Y634&lt;&gt;""), INDEX('Refrigerant GWPs'!$G$2:$G$154,MATCH(Y634,'Refrigerant GWPs'!$A$2:$A$154,0)),"")</f>
        <v/>
      </c>
      <c r="AA634" s="155"/>
      <c r="AB634" s="156"/>
      <c r="AC634" s="66"/>
      <c r="AD634" s="66"/>
      <c r="AE634" s="66"/>
      <c r="AF634" s="66"/>
      <c r="AG634" s="66"/>
      <c r="AH634" s="66"/>
      <c r="AI634" s="34"/>
      <c r="AJ634" s="88">
        <f t="shared" si="718"/>
        <v>0</v>
      </c>
      <c r="AK634" s="88">
        <f t="shared" si="719"/>
        <v>0</v>
      </c>
      <c r="AL634" s="88">
        <v>0</v>
      </c>
      <c r="AM634" s="88">
        <v>0</v>
      </c>
      <c r="AN634" s="81" t="str">
        <f t="shared" si="757"/>
        <v/>
      </c>
      <c r="AO634" s="88">
        <f t="shared" si="720"/>
        <v>0</v>
      </c>
      <c r="AP634" s="88">
        <f t="shared" si="721"/>
        <v>0</v>
      </c>
      <c r="AQ634" s="81" t="str">
        <f t="shared" si="722"/>
        <v/>
      </c>
      <c r="AS634" s="41" t="b">
        <f t="shared" si="723"/>
        <v>1</v>
      </c>
      <c r="AT634" s="38">
        <f t="shared" si="724"/>
        <v>0</v>
      </c>
      <c r="AU634" s="60">
        <f t="shared" si="725"/>
        <v>0</v>
      </c>
      <c r="AV634" s="41">
        <f t="shared" si="726"/>
        <v>0</v>
      </c>
      <c r="AW634" s="41" t="b">
        <f t="shared" si="727"/>
        <v>0</v>
      </c>
      <c r="AX634" t="str">
        <f t="shared" si="728"/>
        <v>+00</v>
      </c>
      <c r="AY634" t="str">
        <f t="shared" si="729"/>
        <v>+00</v>
      </c>
      <c r="BA634" s="47" t="b">
        <f t="shared" si="758"/>
        <v>1</v>
      </c>
      <c r="BB634" s="42" t="b">
        <f t="shared" si="759"/>
        <v>1</v>
      </c>
      <c r="BC634" s="42" t="b">
        <f t="shared" si="760"/>
        <v>0</v>
      </c>
      <c r="BD634" s="42" t="b">
        <f t="shared" si="761"/>
        <v>0</v>
      </c>
      <c r="BE634" s="70">
        <f t="shared" si="762"/>
        <v>0</v>
      </c>
      <c r="BF634" s="70">
        <f t="shared" si="763"/>
        <v>0</v>
      </c>
      <c r="BG634" s="34"/>
      <c r="BI634" s="47" t="b">
        <f t="shared" si="764"/>
        <v>1</v>
      </c>
      <c r="BJ634" s="47" t="b">
        <f t="shared" si="765"/>
        <v>1</v>
      </c>
      <c r="BK634" s="42" t="b">
        <f t="shared" si="766"/>
        <v>0</v>
      </c>
      <c r="BL634" s="42" t="b">
        <f t="shared" si="767"/>
        <v>0</v>
      </c>
      <c r="BM634" s="42">
        <f t="shared" si="768"/>
        <v>0</v>
      </c>
      <c r="BN634" s="42">
        <f t="shared" si="769"/>
        <v>0</v>
      </c>
      <c r="BP634" t="e">
        <f t="shared" si="770"/>
        <v>#N/A</v>
      </c>
      <c r="BQ634" t="e">
        <f t="shared" si="771"/>
        <v>#N/A</v>
      </c>
      <c r="BR634" t="e">
        <f t="shared" si="772"/>
        <v>#N/A</v>
      </c>
      <c r="BT634" s="60">
        <f t="shared" si="773"/>
        <v>0</v>
      </c>
      <c r="BU634" s="60">
        <f t="shared" si="774"/>
        <v>0</v>
      </c>
      <c r="BV634" s="60">
        <f t="shared" si="775"/>
        <v>0</v>
      </c>
      <c r="BW634" s="60">
        <f t="shared" si="776"/>
        <v>0</v>
      </c>
      <c r="BX634" s="60">
        <f t="shared" si="777"/>
        <v>0</v>
      </c>
      <c r="BY634" s="60">
        <f t="shared" si="778"/>
        <v>0</v>
      </c>
      <c r="BZ634" s="60">
        <f t="shared" si="779"/>
        <v>0</v>
      </c>
      <c r="CA634" s="60">
        <f t="shared" si="780"/>
        <v>0</v>
      </c>
      <c r="CB634" s="60" t="e">
        <f t="shared" si="730"/>
        <v>#N/A</v>
      </c>
      <c r="CC634" s="60">
        <f t="shared" si="731"/>
        <v>100000</v>
      </c>
      <c r="CD634" s="60" t="e">
        <f t="shared" si="732"/>
        <v>#N/A</v>
      </c>
      <c r="CE634" s="60">
        <f t="shared" si="733"/>
        <v>100000</v>
      </c>
      <c r="CF634" s="83" t="e">
        <f t="shared" si="781"/>
        <v>#N/A</v>
      </c>
      <c r="CG634" s="83">
        <f t="shared" si="782"/>
        <v>0</v>
      </c>
      <c r="CH634" s="83" t="e">
        <f t="shared" si="783"/>
        <v>#N/A</v>
      </c>
      <c r="CI634" s="83">
        <f t="shared" si="784"/>
        <v>0</v>
      </c>
      <c r="CJ634" s="86" t="e">
        <f t="shared" si="734"/>
        <v>#N/A</v>
      </c>
      <c r="CK634" s="82">
        <f t="shared" si="735"/>
        <v>5.3070370403969858E-3</v>
      </c>
      <c r="CL634" s="82" t="e">
        <f t="shared" si="736"/>
        <v>#N/A</v>
      </c>
      <c r="CM634" s="82">
        <f t="shared" si="737"/>
        <v>5.3070370403969858E-3</v>
      </c>
      <c r="CO634" s="149" t="str">
        <f>IF($I634&lt;&gt;"",IF(O634="User Specified",U634,INDEX('Refrigerant GWPs'!$G$2:$G$156,MATCH(O634,'Refrigerant GWPs'!$A$2:$A$156,0))),"")</f>
        <v/>
      </c>
      <c r="CP634" s="138" t="str">
        <f>IF($I634&lt;&gt;"",INDEX('Device Refrigerant Leakage'!$E$2:$E$42,MATCH($M634,'Device Refrigerant Leakage'!$B$2:$B$42,0)),"")</f>
        <v/>
      </c>
      <c r="CQ634" s="138" t="str">
        <f>IF($I634&lt;&gt;"",INDEX('Device Refrigerant Leakage'!$F$2:$F$42,MATCH($M634,'Device Refrigerant Leakage'!$B$2:$B$42,0)),"")</f>
        <v/>
      </c>
      <c r="CR634" s="145" t="str">
        <f>IF($I634&lt;&gt;"",INDEX('Device Refrigerant Leakage'!$G$2:$G$42,MATCH($M634,'Device Refrigerant Leakage'!$B$2:$B$42,0)),"")</f>
        <v/>
      </c>
      <c r="CS634" s="145" t="str">
        <f>IF($I634&lt;&gt;"",INDEX('Device Refrigerant Leakage'!$D$2:$D$42,MATCH($M634,'Device Refrigerant Leakage'!$B$2:$B$42,0))*CP634/2204.62*CO634,"")</f>
        <v/>
      </c>
      <c r="CT634" s="145" t="str">
        <f>IF($I634&lt;&gt;"",J634*(INDEX('Device Refrigerant Leakage'!$D$2:$D$42,MATCH($M634,'Device Refrigerant Leakage'!$B$2:$B$42,0))-(INDEX('Device Refrigerant Leakage'!$D$2:$D$42,MATCH($M634,'Device Refrigerant Leakage'!$B$2:$B$42,0)))*CR634*CP634)*CQ634/2204.62*CO634,"")</f>
        <v/>
      </c>
      <c r="CU634" s="135" t="str">
        <f>IF($I634&lt;&gt;"",J634*IF(W634&lt;&gt;"AR",(CS634*K634)+CT634,(CS634*AB634)+CT634*(AB634/INDEX('Device Refrigerant Leakage'!$C$2:$C$42,MATCH($M634,'Device Refrigerant Leakage'!$B$2:$B$42,0)))),"")</f>
        <v/>
      </c>
      <c r="CW634" s="135" t="str">
        <f>IF($I634&lt;&gt;"",IF(S634="User Specified",V634,INDEX('Refrigerant GWPs'!$G$2:$G$156,MATCH(S634,'Refrigerant GWPs'!$A$2:$A$157,0))),"")</f>
        <v/>
      </c>
      <c r="CX634" s="138" t="str">
        <f>IF($I634&lt;&gt;"",INDEX('Device Refrigerant Leakage'!$E$2:$E$42,MATCH($Q634,'Device Refrigerant Leakage'!$B$2:$B$42,0)),"")</f>
        <v/>
      </c>
      <c r="CY634" s="138" t="str">
        <f>IF($I634&lt;&gt;"",INDEX('Device Refrigerant Leakage'!$F$2:$F$42,MATCH($Q634,'Device Refrigerant Leakage'!$B$2:$B$42,0)),"")</f>
        <v/>
      </c>
      <c r="CZ634" s="145" t="str">
        <f>IF($I634&lt;&gt;"",INDEX('Device Refrigerant Leakage'!$G$2:$G$42,MATCH($Q634,'Device Refrigerant Leakage'!$B$2:$B$42,0)),"")</f>
        <v/>
      </c>
      <c r="DA634" s="145" t="str">
        <f>IF($I634&lt;&gt;"",J634*INDEX('Device Refrigerant Leakage'!$D$2:$D$42,MATCH($Q634,'Device Refrigerant Leakage'!$B$2:$B$42,0))*CX634/2204.62*CW634,"")</f>
        <v/>
      </c>
      <c r="DB634" s="145" t="str">
        <f>IF($I634&lt;&gt;"",J634*(INDEX('Device Refrigerant Leakage'!$D$2:$D$42,MATCH($Q634,'Device Refrigerant Leakage'!$B$2:$B$42,0))-(INDEX('Device Refrigerant Leakage'!$D$2:$D$42,MATCH($Q634,'Device Refrigerant Leakage'!$B$2:$B$42,0)))*CZ634*CX634)*CY634/2204.62*CW634,"")</f>
        <v/>
      </c>
      <c r="DC634" s="135" t="str">
        <f t="shared" si="756"/>
        <v/>
      </c>
      <c r="DE634" s="146" t="str">
        <f>IF(W634&lt;&gt;"AR","",IF(Y634="User Specified", AA634, INDEX('Refrigerant GWPs'!$G$2:$G$154,MATCH(Y634,'Refrigerant GWPs'!$A$2:$A$154,0))))</f>
        <v/>
      </c>
      <c r="DF634" s="146" t="str">
        <f>IF(W634&lt;&gt;"AR","",INDEX('Device Refrigerant Leakage'!$E$2:$E$42,MATCH(X634,'Device Refrigerant Leakage'!$B$2:$B$42,0)))</f>
        <v/>
      </c>
      <c r="DG634" s="146" t="str">
        <f>IF(W634&lt;&gt;"AR","",INDEX('Device Refrigerant Leakage'!$F$2:$F$42,MATCH(X634,'Device Refrigerant Leakage'!$B$2:$B$42,0)))</f>
        <v/>
      </c>
      <c r="DH634" s="146" t="str">
        <f>IF(W634&lt;&gt;"AR","",INDEX('Device Refrigerant Leakage'!$G$2:$G$42,MATCH(X634,'Device Refrigerant Leakage'!$B$2:$B$42,0)))</f>
        <v/>
      </c>
      <c r="DI634" s="146" t="str">
        <f>IF(W634&lt;&gt;"AR","",J634*INDEX('Device Refrigerant Leakage'!$D$2:$D$42,MATCH(X634,'Device Refrigerant Leakage'!$B$2:$B$42,0))*DF634/2204.62*DE634)</f>
        <v/>
      </c>
      <c r="DJ634" s="146" t="str">
        <f>IF(W634&lt;&gt;"AR","",J634*(INDEX('Device Refrigerant Leakage'!$D$2:$D$42,MATCH(X634,'Device Refrigerant Leakage'!$B$2:$B$42,0))-(INDEX('Device Refrigerant Leakage'!$D$2:$D$42,MATCH(X634,'Device Refrigerant Leakage'!$B$2:$B$42,0)))*DH634*DF634)*DG634/2204.62*DE634)</f>
        <v/>
      </c>
      <c r="DK634" s="146" t="str">
        <f>IF(W634&lt;&gt;"AR","",DI634*(K634-AB634)+'Fuel Sub Calcs-Deemed'!DJ634*((K634-AB634)/INDEX('Device Refrigerant Leakage'!$C$2:$C$42,MATCH('Fuel Sub Calcs-Deemed'!X634,'Device Refrigerant Leakage'!$B$2:$B$42,0))))</f>
        <v/>
      </c>
      <c r="DM634" s="56">
        <v>620</v>
      </c>
      <c r="DN634" s="67" t="e">
        <f t="shared" si="738"/>
        <v>#N/A</v>
      </c>
      <c r="DO634" s="45" t="e">
        <f t="shared" si="739"/>
        <v>#N/A</v>
      </c>
      <c r="DP634" s="67" t="e">
        <f t="shared" si="740"/>
        <v>#N/A</v>
      </c>
      <c r="DQ634" s="45" t="e">
        <f t="shared" si="741"/>
        <v>#N/A</v>
      </c>
      <c r="DR634" s="69" t="e">
        <f t="shared" si="742"/>
        <v>#N/A</v>
      </c>
      <c r="DS634" s="34"/>
      <c r="DT634" s="67" t="e">
        <f>((BX634*CJ634)+IF($W634=MAT_AR,(BZ634*CL634),0))*(1+Reference!$E$50+Reference!$E$51)</f>
        <v>#N/A</v>
      </c>
      <c r="DU634" s="67">
        <f>((BY634*CK634)+IF($W634=MAT_AR,(CA634*CM634),0))*(1+Reference!$G$50+Reference!$G$51)</f>
        <v>0</v>
      </c>
      <c r="DV634" s="67" t="e">
        <f t="shared" si="743"/>
        <v>#VALUE!</v>
      </c>
      <c r="DX634" s="56">
        <v>620</v>
      </c>
      <c r="DY634" s="67">
        <f t="shared" si="744"/>
        <v>0</v>
      </c>
      <c r="DZ634" s="45" t="e">
        <f>VLOOKUP($R634,Dropdown!$C$3:$D$4,2,FALSE)</f>
        <v>#N/A</v>
      </c>
      <c r="EA634" s="68">
        <f t="shared" si="745"/>
        <v>0</v>
      </c>
      <c r="EB634" s="68" t="str">
        <f t="shared" si="746"/>
        <v>N/A</v>
      </c>
      <c r="EC634" s="68">
        <f t="shared" si="747"/>
        <v>0</v>
      </c>
      <c r="ED634" s="68" t="str">
        <f t="shared" si="785"/>
        <v>N/A</v>
      </c>
      <c r="EF634" s="56">
        <v>620</v>
      </c>
      <c r="EG634" s="46">
        <f t="shared" si="748"/>
        <v>0</v>
      </c>
      <c r="EH634" s="68" t="e">
        <f t="shared" si="749"/>
        <v>#N/A</v>
      </c>
      <c r="EI634" s="68" t="e">
        <f t="shared" si="750"/>
        <v>#N/A</v>
      </c>
      <c r="EJ634" s="68" t="e">
        <f t="shared" si="751"/>
        <v>#N/A</v>
      </c>
      <c r="EK634" s="68" t="e">
        <f t="shared" si="752"/>
        <v>#N/A</v>
      </c>
      <c r="EL634" s="46">
        <f t="shared" si="753"/>
        <v>0</v>
      </c>
      <c r="EM634" s="46">
        <f t="shared" si="754"/>
        <v>0</v>
      </c>
    </row>
    <row r="635" spans="1:143">
      <c r="A635" s="89"/>
      <c r="B635" s="89"/>
      <c r="C635" s="89"/>
      <c r="D635" s="89"/>
      <c r="E635" s="89"/>
      <c r="F635" s="89"/>
      <c r="G635" s="34"/>
      <c r="H635" s="56">
        <f t="shared" si="755"/>
        <v>621</v>
      </c>
      <c r="I635" s="165"/>
      <c r="J635" s="163"/>
      <c r="K635" s="163"/>
      <c r="L635" s="164"/>
      <c r="M635" s="155"/>
      <c r="N635" s="155"/>
      <c r="O635" s="144"/>
      <c r="P635" s="159" t="str">
        <f>IFERROR(IF(O635&lt;&gt;"User Specified",IF(O635&lt;&gt;"", INDEX('Refrigerant GWPs'!$G$2:$G$154,MATCH(O635,'Refrigerant GWPs'!$A$2:$A$154,0)),""),U635),0)</f>
        <v/>
      </c>
      <c r="Q635" s="155"/>
      <c r="R635" s="155"/>
      <c r="S635" s="144"/>
      <c r="T635" s="159" t="str">
        <f>IF(S635&lt;&gt;"User Specified",IF(AND(S635&lt;&gt;"User Specified",S635&lt;&gt;""), INDEX('Refrigerant GWPs'!$G$2:$G$154,MATCH(S635,'Refrigerant GWPs'!$A$2:$A$154,0)),""),V635)</f>
        <v/>
      </c>
      <c r="U635" s="144"/>
      <c r="V635" s="144"/>
      <c r="W635" s="155"/>
      <c r="X635" s="155"/>
      <c r="Y635" s="144"/>
      <c r="Z635" s="159" t="str">
        <f>IF(AND(Y635&lt;&gt;"User Specified",Y635&lt;&gt;""), INDEX('Refrigerant GWPs'!$G$2:$G$154,MATCH(Y635,'Refrigerant GWPs'!$A$2:$A$154,0)),"")</f>
        <v/>
      </c>
      <c r="AA635" s="155"/>
      <c r="AB635" s="156"/>
      <c r="AC635" s="66"/>
      <c r="AD635" s="66"/>
      <c r="AE635" s="66"/>
      <c r="AF635" s="66"/>
      <c r="AG635" s="66"/>
      <c r="AH635" s="66"/>
      <c r="AI635" s="34"/>
      <c r="AJ635" s="88">
        <f t="shared" si="718"/>
        <v>0</v>
      </c>
      <c r="AK635" s="88">
        <f t="shared" si="719"/>
        <v>0</v>
      </c>
      <c r="AL635" s="88">
        <v>0</v>
      </c>
      <c r="AM635" s="88">
        <v>0</v>
      </c>
      <c r="AN635" s="81" t="str">
        <f t="shared" si="757"/>
        <v/>
      </c>
      <c r="AO635" s="88">
        <f t="shared" si="720"/>
        <v>0</v>
      </c>
      <c r="AP635" s="88">
        <f t="shared" si="721"/>
        <v>0</v>
      </c>
      <c r="AQ635" s="81" t="str">
        <f t="shared" si="722"/>
        <v/>
      </c>
      <c r="AS635" s="41" t="b">
        <f t="shared" si="723"/>
        <v>1</v>
      </c>
      <c r="AT635" s="38">
        <f t="shared" si="724"/>
        <v>0</v>
      </c>
      <c r="AU635" s="60">
        <f t="shared" si="725"/>
        <v>0</v>
      </c>
      <c r="AV635" s="41">
        <f t="shared" si="726"/>
        <v>0</v>
      </c>
      <c r="AW635" s="41" t="b">
        <f t="shared" si="727"/>
        <v>0</v>
      </c>
      <c r="AX635" t="str">
        <f t="shared" si="728"/>
        <v>+00</v>
      </c>
      <c r="AY635" t="str">
        <f t="shared" si="729"/>
        <v>+00</v>
      </c>
      <c r="BA635" s="47" t="b">
        <f t="shared" si="758"/>
        <v>1</v>
      </c>
      <c r="BB635" s="42" t="b">
        <f t="shared" si="759"/>
        <v>1</v>
      </c>
      <c r="BC635" s="42" t="b">
        <f t="shared" si="760"/>
        <v>0</v>
      </c>
      <c r="BD635" s="42" t="b">
        <f t="shared" si="761"/>
        <v>0</v>
      </c>
      <c r="BE635" s="70">
        <f t="shared" si="762"/>
        <v>0</v>
      </c>
      <c r="BF635" s="70">
        <f t="shared" si="763"/>
        <v>0</v>
      </c>
      <c r="BG635" s="34"/>
      <c r="BI635" s="47" t="b">
        <f t="shared" si="764"/>
        <v>1</v>
      </c>
      <c r="BJ635" s="47" t="b">
        <f t="shared" si="765"/>
        <v>1</v>
      </c>
      <c r="BK635" s="42" t="b">
        <f t="shared" si="766"/>
        <v>0</v>
      </c>
      <c r="BL635" s="42" t="b">
        <f t="shared" si="767"/>
        <v>0</v>
      </c>
      <c r="BM635" s="42">
        <f t="shared" si="768"/>
        <v>0</v>
      </c>
      <c r="BN635" s="42">
        <f t="shared" si="769"/>
        <v>0</v>
      </c>
      <c r="BP635" t="e">
        <f t="shared" si="770"/>
        <v>#N/A</v>
      </c>
      <c r="BQ635" t="e">
        <f t="shared" si="771"/>
        <v>#N/A</v>
      </c>
      <c r="BR635" t="e">
        <f t="shared" si="772"/>
        <v>#N/A</v>
      </c>
      <c r="BT635" s="60">
        <f t="shared" si="773"/>
        <v>0</v>
      </c>
      <c r="BU635" s="60">
        <f t="shared" si="774"/>
        <v>0</v>
      </c>
      <c r="BV635" s="60">
        <f t="shared" si="775"/>
        <v>0</v>
      </c>
      <c r="BW635" s="60">
        <f t="shared" si="776"/>
        <v>0</v>
      </c>
      <c r="BX635" s="60">
        <f t="shared" si="777"/>
        <v>0</v>
      </c>
      <c r="BY635" s="60">
        <f t="shared" si="778"/>
        <v>0</v>
      </c>
      <c r="BZ635" s="60">
        <f t="shared" si="779"/>
        <v>0</v>
      </c>
      <c r="CA635" s="60">
        <f t="shared" si="780"/>
        <v>0</v>
      </c>
      <c r="CB635" s="60" t="e">
        <f t="shared" si="730"/>
        <v>#N/A</v>
      </c>
      <c r="CC635" s="60">
        <f t="shared" si="731"/>
        <v>100000</v>
      </c>
      <c r="CD635" s="60" t="e">
        <f t="shared" si="732"/>
        <v>#N/A</v>
      </c>
      <c r="CE635" s="60">
        <f t="shared" si="733"/>
        <v>100000</v>
      </c>
      <c r="CF635" s="83" t="e">
        <f t="shared" si="781"/>
        <v>#N/A</v>
      </c>
      <c r="CG635" s="83">
        <f t="shared" si="782"/>
        <v>0</v>
      </c>
      <c r="CH635" s="83" t="e">
        <f t="shared" si="783"/>
        <v>#N/A</v>
      </c>
      <c r="CI635" s="83">
        <f t="shared" si="784"/>
        <v>0</v>
      </c>
      <c r="CJ635" s="86" t="e">
        <f t="shared" si="734"/>
        <v>#N/A</v>
      </c>
      <c r="CK635" s="82">
        <f t="shared" si="735"/>
        <v>5.3070370403969858E-3</v>
      </c>
      <c r="CL635" s="82" t="e">
        <f t="shared" si="736"/>
        <v>#N/A</v>
      </c>
      <c r="CM635" s="82">
        <f t="shared" si="737"/>
        <v>5.3070370403969858E-3</v>
      </c>
      <c r="CO635" s="149" t="str">
        <f>IF($I635&lt;&gt;"",IF(O635="User Specified",U635,INDEX('Refrigerant GWPs'!$G$2:$G$156,MATCH(O635,'Refrigerant GWPs'!$A$2:$A$156,0))),"")</f>
        <v/>
      </c>
      <c r="CP635" s="138" t="str">
        <f>IF($I635&lt;&gt;"",INDEX('Device Refrigerant Leakage'!$E$2:$E$42,MATCH($M635,'Device Refrigerant Leakage'!$B$2:$B$42,0)),"")</f>
        <v/>
      </c>
      <c r="CQ635" s="138" t="str">
        <f>IF($I635&lt;&gt;"",INDEX('Device Refrigerant Leakage'!$F$2:$F$42,MATCH($M635,'Device Refrigerant Leakage'!$B$2:$B$42,0)),"")</f>
        <v/>
      </c>
      <c r="CR635" s="145" t="str">
        <f>IF($I635&lt;&gt;"",INDEX('Device Refrigerant Leakage'!$G$2:$G$42,MATCH($M635,'Device Refrigerant Leakage'!$B$2:$B$42,0)),"")</f>
        <v/>
      </c>
      <c r="CS635" s="145" t="str">
        <f>IF($I635&lt;&gt;"",INDEX('Device Refrigerant Leakage'!$D$2:$D$42,MATCH($M635,'Device Refrigerant Leakage'!$B$2:$B$42,0))*CP635/2204.62*CO635,"")</f>
        <v/>
      </c>
      <c r="CT635" s="145" t="str">
        <f>IF($I635&lt;&gt;"",J635*(INDEX('Device Refrigerant Leakage'!$D$2:$D$42,MATCH($M635,'Device Refrigerant Leakage'!$B$2:$B$42,0))-(INDEX('Device Refrigerant Leakage'!$D$2:$D$42,MATCH($M635,'Device Refrigerant Leakage'!$B$2:$B$42,0)))*CR635*CP635)*CQ635/2204.62*CO635,"")</f>
        <v/>
      </c>
      <c r="CU635" s="135" t="str">
        <f>IF($I635&lt;&gt;"",J635*IF(W635&lt;&gt;"AR",(CS635*K635)+CT635,(CS635*AB635)+CT635*(AB635/INDEX('Device Refrigerant Leakage'!$C$2:$C$42,MATCH($M635,'Device Refrigerant Leakage'!$B$2:$B$42,0)))),"")</f>
        <v/>
      </c>
      <c r="CW635" s="135" t="str">
        <f>IF($I635&lt;&gt;"",IF(S635="User Specified",V635,INDEX('Refrigerant GWPs'!$G$2:$G$156,MATCH(S635,'Refrigerant GWPs'!$A$2:$A$157,0))),"")</f>
        <v/>
      </c>
      <c r="CX635" s="138" t="str">
        <f>IF($I635&lt;&gt;"",INDEX('Device Refrigerant Leakage'!$E$2:$E$42,MATCH($Q635,'Device Refrigerant Leakage'!$B$2:$B$42,0)),"")</f>
        <v/>
      </c>
      <c r="CY635" s="138" t="str">
        <f>IF($I635&lt;&gt;"",INDEX('Device Refrigerant Leakage'!$F$2:$F$42,MATCH($Q635,'Device Refrigerant Leakage'!$B$2:$B$42,0)),"")</f>
        <v/>
      </c>
      <c r="CZ635" s="145" t="str">
        <f>IF($I635&lt;&gt;"",INDEX('Device Refrigerant Leakage'!$G$2:$G$42,MATCH($Q635,'Device Refrigerant Leakage'!$B$2:$B$42,0)),"")</f>
        <v/>
      </c>
      <c r="DA635" s="145" t="str">
        <f>IF($I635&lt;&gt;"",J635*INDEX('Device Refrigerant Leakage'!$D$2:$D$42,MATCH($Q635,'Device Refrigerant Leakage'!$B$2:$B$42,0))*CX635/2204.62*CW635,"")</f>
        <v/>
      </c>
      <c r="DB635" s="145" t="str">
        <f>IF($I635&lt;&gt;"",J635*(INDEX('Device Refrigerant Leakage'!$D$2:$D$42,MATCH($Q635,'Device Refrigerant Leakage'!$B$2:$B$42,0))-(INDEX('Device Refrigerant Leakage'!$D$2:$D$42,MATCH($Q635,'Device Refrigerant Leakage'!$B$2:$B$42,0)))*CZ635*CX635)*CY635/2204.62*CW635,"")</f>
        <v/>
      </c>
      <c r="DC635" s="135" t="str">
        <f t="shared" si="756"/>
        <v/>
      </c>
      <c r="DE635" s="146" t="str">
        <f>IF(W635&lt;&gt;"AR","",IF(Y635="User Specified", AA635, INDEX('Refrigerant GWPs'!$G$2:$G$154,MATCH(Y635,'Refrigerant GWPs'!$A$2:$A$154,0))))</f>
        <v/>
      </c>
      <c r="DF635" s="146" t="str">
        <f>IF(W635&lt;&gt;"AR","",INDEX('Device Refrigerant Leakage'!$E$2:$E$42,MATCH(X635,'Device Refrigerant Leakage'!$B$2:$B$42,0)))</f>
        <v/>
      </c>
      <c r="DG635" s="146" t="str">
        <f>IF(W635&lt;&gt;"AR","",INDEX('Device Refrigerant Leakage'!$F$2:$F$42,MATCH(X635,'Device Refrigerant Leakage'!$B$2:$B$42,0)))</f>
        <v/>
      </c>
      <c r="DH635" s="146" t="str">
        <f>IF(W635&lt;&gt;"AR","",INDEX('Device Refrigerant Leakage'!$G$2:$G$42,MATCH(X635,'Device Refrigerant Leakage'!$B$2:$B$42,0)))</f>
        <v/>
      </c>
      <c r="DI635" s="146" t="str">
        <f>IF(W635&lt;&gt;"AR","",J635*INDEX('Device Refrigerant Leakage'!$D$2:$D$42,MATCH(X635,'Device Refrigerant Leakage'!$B$2:$B$42,0))*DF635/2204.62*DE635)</f>
        <v/>
      </c>
      <c r="DJ635" s="146" t="str">
        <f>IF(W635&lt;&gt;"AR","",J635*(INDEX('Device Refrigerant Leakage'!$D$2:$D$42,MATCH(X635,'Device Refrigerant Leakage'!$B$2:$B$42,0))-(INDEX('Device Refrigerant Leakage'!$D$2:$D$42,MATCH(X635,'Device Refrigerant Leakage'!$B$2:$B$42,0)))*DH635*DF635)*DG635/2204.62*DE635)</f>
        <v/>
      </c>
      <c r="DK635" s="146" t="str">
        <f>IF(W635&lt;&gt;"AR","",DI635*(K635-AB635)+'Fuel Sub Calcs-Deemed'!DJ635*((K635-AB635)/INDEX('Device Refrigerant Leakage'!$C$2:$C$42,MATCH('Fuel Sub Calcs-Deemed'!X635,'Device Refrigerant Leakage'!$B$2:$B$42,0))))</f>
        <v/>
      </c>
      <c r="DM635" s="56">
        <v>621</v>
      </c>
      <c r="DN635" s="67" t="e">
        <f t="shared" si="738"/>
        <v>#N/A</v>
      </c>
      <c r="DO635" s="45" t="e">
        <f t="shared" si="739"/>
        <v>#N/A</v>
      </c>
      <c r="DP635" s="67" t="e">
        <f t="shared" si="740"/>
        <v>#N/A</v>
      </c>
      <c r="DQ635" s="45" t="e">
        <f t="shared" si="741"/>
        <v>#N/A</v>
      </c>
      <c r="DR635" s="69" t="e">
        <f t="shared" si="742"/>
        <v>#N/A</v>
      </c>
      <c r="DS635" s="34"/>
      <c r="DT635" s="67" t="e">
        <f>((BX635*CJ635)+IF($W635=MAT_AR,(BZ635*CL635),0))*(1+Reference!$E$50+Reference!$E$51)</f>
        <v>#N/A</v>
      </c>
      <c r="DU635" s="67">
        <f>((BY635*CK635)+IF($W635=MAT_AR,(CA635*CM635),0))*(1+Reference!$G$50+Reference!$G$51)</f>
        <v>0</v>
      </c>
      <c r="DV635" s="67" t="e">
        <f t="shared" si="743"/>
        <v>#VALUE!</v>
      </c>
      <c r="DX635" s="56">
        <v>621</v>
      </c>
      <c r="DY635" s="67">
        <f t="shared" si="744"/>
        <v>0</v>
      </c>
      <c r="DZ635" s="45" t="e">
        <f>VLOOKUP($R635,Dropdown!$C$3:$D$4,2,FALSE)</f>
        <v>#N/A</v>
      </c>
      <c r="EA635" s="68">
        <f t="shared" si="745"/>
        <v>0</v>
      </c>
      <c r="EB635" s="68" t="str">
        <f t="shared" si="746"/>
        <v>N/A</v>
      </c>
      <c r="EC635" s="68">
        <f t="shared" si="747"/>
        <v>0</v>
      </c>
      <c r="ED635" s="68" t="str">
        <f t="shared" si="785"/>
        <v>N/A</v>
      </c>
      <c r="EF635" s="56">
        <v>621</v>
      </c>
      <c r="EG635" s="46">
        <f t="shared" si="748"/>
        <v>0</v>
      </c>
      <c r="EH635" s="68" t="e">
        <f t="shared" si="749"/>
        <v>#N/A</v>
      </c>
      <c r="EI635" s="68" t="e">
        <f t="shared" si="750"/>
        <v>#N/A</v>
      </c>
      <c r="EJ635" s="68" t="e">
        <f t="shared" si="751"/>
        <v>#N/A</v>
      </c>
      <c r="EK635" s="68" t="e">
        <f t="shared" si="752"/>
        <v>#N/A</v>
      </c>
      <c r="EL635" s="46">
        <f t="shared" si="753"/>
        <v>0</v>
      </c>
      <c r="EM635" s="46">
        <f t="shared" si="754"/>
        <v>0</v>
      </c>
    </row>
    <row r="636" spans="1:143">
      <c r="A636" s="89"/>
      <c r="B636" s="89"/>
      <c r="C636" s="89"/>
      <c r="D636" s="89"/>
      <c r="E636" s="89"/>
      <c r="F636" s="89"/>
      <c r="G636" s="34"/>
      <c r="H636" s="56">
        <f t="shared" si="755"/>
        <v>622</v>
      </c>
      <c r="I636" s="165"/>
      <c r="J636" s="163"/>
      <c r="K636" s="163"/>
      <c r="L636" s="164"/>
      <c r="M636" s="155"/>
      <c r="N636" s="155"/>
      <c r="O636" s="144"/>
      <c r="P636" s="159" t="str">
        <f>IFERROR(IF(O636&lt;&gt;"User Specified",IF(O636&lt;&gt;"", INDEX('Refrigerant GWPs'!$G$2:$G$154,MATCH(O636,'Refrigerant GWPs'!$A$2:$A$154,0)),""),U636),0)</f>
        <v/>
      </c>
      <c r="Q636" s="155"/>
      <c r="R636" s="155"/>
      <c r="S636" s="144"/>
      <c r="T636" s="159" t="str">
        <f>IF(S636&lt;&gt;"User Specified",IF(AND(S636&lt;&gt;"User Specified",S636&lt;&gt;""), INDEX('Refrigerant GWPs'!$G$2:$G$154,MATCH(S636,'Refrigerant GWPs'!$A$2:$A$154,0)),""),V636)</f>
        <v/>
      </c>
      <c r="U636" s="144"/>
      <c r="V636" s="144"/>
      <c r="W636" s="155"/>
      <c r="X636" s="155"/>
      <c r="Y636" s="144"/>
      <c r="Z636" s="159" t="str">
        <f>IF(AND(Y636&lt;&gt;"User Specified",Y636&lt;&gt;""), INDEX('Refrigerant GWPs'!$G$2:$G$154,MATCH(Y636,'Refrigerant GWPs'!$A$2:$A$154,0)),"")</f>
        <v/>
      </c>
      <c r="AA636" s="155"/>
      <c r="AB636" s="156"/>
      <c r="AC636" s="66"/>
      <c r="AD636" s="66"/>
      <c r="AE636" s="66"/>
      <c r="AF636" s="66"/>
      <c r="AG636" s="66"/>
      <c r="AH636" s="66"/>
      <c r="AI636" s="34"/>
      <c r="AJ636" s="88">
        <f t="shared" si="718"/>
        <v>0</v>
      </c>
      <c r="AK636" s="88">
        <f t="shared" si="719"/>
        <v>0</v>
      </c>
      <c r="AL636" s="88">
        <v>0</v>
      </c>
      <c r="AM636" s="88">
        <v>0</v>
      </c>
      <c r="AN636" s="81" t="str">
        <f t="shared" si="757"/>
        <v/>
      </c>
      <c r="AO636" s="88">
        <f t="shared" si="720"/>
        <v>0</v>
      </c>
      <c r="AP636" s="88">
        <f t="shared" si="721"/>
        <v>0</v>
      </c>
      <c r="AQ636" s="81" t="str">
        <f t="shared" si="722"/>
        <v/>
      </c>
      <c r="AS636" s="41" t="b">
        <f t="shared" si="723"/>
        <v>1</v>
      </c>
      <c r="AT636" s="38">
        <f t="shared" si="724"/>
        <v>0</v>
      </c>
      <c r="AU636" s="60">
        <f t="shared" si="725"/>
        <v>0</v>
      </c>
      <c r="AV636" s="41">
        <f t="shared" si="726"/>
        <v>0</v>
      </c>
      <c r="AW636" s="41" t="b">
        <f t="shared" si="727"/>
        <v>0</v>
      </c>
      <c r="AX636" t="str">
        <f t="shared" si="728"/>
        <v>+00</v>
      </c>
      <c r="AY636" t="str">
        <f t="shared" si="729"/>
        <v>+00</v>
      </c>
      <c r="BA636" s="47" t="b">
        <f t="shared" si="758"/>
        <v>1</v>
      </c>
      <c r="BB636" s="42" t="b">
        <f t="shared" si="759"/>
        <v>1</v>
      </c>
      <c r="BC636" s="42" t="b">
        <f t="shared" si="760"/>
        <v>0</v>
      </c>
      <c r="BD636" s="42" t="b">
        <f t="shared" si="761"/>
        <v>0</v>
      </c>
      <c r="BE636" s="70">
        <f t="shared" si="762"/>
        <v>0</v>
      </c>
      <c r="BF636" s="70">
        <f t="shared" si="763"/>
        <v>0</v>
      </c>
      <c r="BG636" s="34"/>
      <c r="BI636" s="47" t="b">
        <f t="shared" si="764"/>
        <v>1</v>
      </c>
      <c r="BJ636" s="47" t="b">
        <f t="shared" si="765"/>
        <v>1</v>
      </c>
      <c r="BK636" s="42" t="b">
        <f t="shared" si="766"/>
        <v>0</v>
      </c>
      <c r="BL636" s="42" t="b">
        <f t="shared" si="767"/>
        <v>0</v>
      </c>
      <c r="BM636" s="42">
        <f t="shared" si="768"/>
        <v>0</v>
      </c>
      <c r="BN636" s="42">
        <f t="shared" si="769"/>
        <v>0</v>
      </c>
      <c r="BP636" t="e">
        <f t="shared" si="770"/>
        <v>#N/A</v>
      </c>
      <c r="BQ636" t="e">
        <f t="shared" si="771"/>
        <v>#N/A</v>
      </c>
      <c r="BR636" t="e">
        <f t="shared" si="772"/>
        <v>#N/A</v>
      </c>
      <c r="BT636" s="60">
        <f t="shared" si="773"/>
        <v>0</v>
      </c>
      <c r="BU636" s="60">
        <f t="shared" si="774"/>
        <v>0</v>
      </c>
      <c r="BV636" s="60">
        <f t="shared" si="775"/>
        <v>0</v>
      </c>
      <c r="BW636" s="60">
        <f t="shared" si="776"/>
        <v>0</v>
      </c>
      <c r="BX636" s="60">
        <f t="shared" si="777"/>
        <v>0</v>
      </c>
      <c r="BY636" s="60">
        <f t="shared" si="778"/>
        <v>0</v>
      </c>
      <c r="BZ636" s="60">
        <f t="shared" si="779"/>
        <v>0</v>
      </c>
      <c r="CA636" s="60">
        <f t="shared" si="780"/>
        <v>0</v>
      </c>
      <c r="CB636" s="60" t="e">
        <f t="shared" si="730"/>
        <v>#N/A</v>
      </c>
      <c r="CC636" s="60">
        <f t="shared" si="731"/>
        <v>100000</v>
      </c>
      <c r="CD636" s="60" t="e">
        <f t="shared" si="732"/>
        <v>#N/A</v>
      </c>
      <c r="CE636" s="60">
        <f t="shared" si="733"/>
        <v>100000</v>
      </c>
      <c r="CF636" s="83" t="e">
        <f t="shared" si="781"/>
        <v>#N/A</v>
      </c>
      <c r="CG636" s="83">
        <f t="shared" si="782"/>
        <v>0</v>
      </c>
      <c r="CH636" s="83" t="e">
        <f t="shared" si="783"/>
        <v>#N/A</v>
      </c>
      <c r="CI636" s="83">
        <f t="shared" si="784"/>
        <v>0</v>
      </c>
      <c r="CJ636" s="86" t="e">
        <f t="shared" si="734"/>
        <v>#N/A</v>
      </c>
      <c r="CK636" s="82">
        <f t="shared" si="735"/>
        <v>5.3070370403969858E-3</v>
      </c>
      <c r="CL636" s="82" t="e">
        <f t="shared" si="736"/>
        <v>#N/A</v>
      </c>
      <c r="CM636" s="82">
        <f t="shared" si="737"/>
        <v>5.3070370403969858E-3</v>
      </c>
      <c r="CO636" s="149" t="str">
        <f>IF($I636&lt;&gt;"",IF(O636="User Specified",U636,INDEX('Refrigerant GWPs'!$G$2:$G$156,MATCH(O636,'Refrigerant GWPs'!$A$2:$A$156,0))),"")</f>
        <v/>
      </c>
      <c r="CP636" s="138" t="str">
        <f>IF($I636&lt;&gt;"",INDEX('Device Refrigerant Leakage'!$E$2:$E$42,MATCH($M636,'Device Refrigerant Leakage'!$B$2:$B$42,0)),"")</f>
        <v/>
      </c>
      <c r="CQ636" s="138" t="str">
        <f>IF($I636&lt;&gt;"",INDEX('Device Refrigerant Leakage'!$F$2:$F$42,MATCH($M636,'Device Refrigerant Leakage'!$B$2:$B$42,0)),"")</f>
        <v/>
      </c>
      <c r="CR636" s="145" t="str">
        <f>IF($I636&lt;&gt;"",INDEX('Device Refrigerant Leakage'!$G$2:$G$42,MATCH($M636,'Device Refrigerant Leakage'!$B$2:$B$42,0)),"")</f>
        <v/>
      </c>
      <c r="CS636" s="145" t="str">
        <f>IF($I636&lt;&gt;"",INDEX('Device Refrigerant Leakage'!$D$2:$D$42,MATCH($M636,'Device Refrigerant Leakage'!$B$2:$B$42,0))*CP636/2204.62*CO636,"")</f>
        <v/>
      </c>
      <c r="CT636" s="145" t="str">
        <f>IF($I636&lt;&gt;"",J636*(INDEX('Device Refrigerant Leakage'!$D$2:$D$42,MATCH($M636,'Device Refrigerant Leakage'!$B$2:$B$42,0))-(INDEX('Device Refrigerant Leakage'!$D$2:$D$42,MATCH($M636,'Device Refrigerant Leakage'!$B$2:$B$42,0)))*CR636*CP636)*CQ636/2204.62*CO636,"")</f>
        <v/>
      </c>
      <c r="CU636" s="135" t="str">
        <f>IF($I636&lt;&gt;"",J636*IF(W636&lt;&gt;"AR",(CS636*K636)+CT636,(CS636*AB636)+CT636*(AB636/INDEX('Device Refrigerant Leakage'!$C$2:$C$42,MATCH($M636,'Device Refrigerant Leakage'!$B$2:$B$42,0)))),"")</f>
        <v/>
      </c>
      <c r="CW636" s="135" t="str">
        <f>IF($I636&lt;&gt;"",IF(S636="User Specified",V636,INDEX('Refrigerant GWPs'!$G$2:$G$156,MATCH(S636,'Refrigerant GWPs'!$A$2:$A$157,0))),"")</f>
        <v/>
      </c>
      <c r="CX636" s="138" t="str">
        <f>IF($I636&lt;&gt;"",INDEX('Device Refrigerant Leakage'!$E$2:$E$42,MATCH($Q636,'Device Refrigerant Leakage'!$B$2:$B$42,0)),"")</f>
        <v/>
      </c>
      <c r="CY636" s="138" t="str">
        <f>IF($I636&lt;&gt;"",INDEX('Device Refrigerant Leakage'!$F$2:$F$42,MATCH($Q636,'Device Refrigerant Leakage'!$B$2:$B$42,0)),"")</f>
        <v/>
      </c>
      <c r="CZ636" s="145" t="str">
        <f>IF($I636&lt;&gt;"",INDEX('Device Refrigerant Leakage'!$G$2:$G$42,MATCH($Q636,'Device Refrigerant Leakage'!$B$2:$B$42,0)),"")</f>
        <v/>
      </c>
      <c r="DA636" s="145" t="str">
        <f>IF($I636&lt;&gt;"",J636*INDEX('Device Refrigerant Leakage'!$D$2:$D$42,MATCH($Q636,'Device Refrigerant Leakage'!$B$2:$B$42,0))*CX636/2204.62*CW636,"")</f>
        <v/>
      </c>
      <c r="DB636" s="145" t="str">
        <f>IF($I636&lt;&gt;"",J636*(INDEX('Device Refrigerant Leakage'!$D$2:$D$42,MATCH($Q636,'Device Refrigerant Leakage'!$B$2:$B$42,0))-(INDEX('Device Refrigerant Leakage'!$D$2:$D$42,MATCH($Q636,'Device Refrigerant Leakage'!$B$2:$B$42,0)))*CZ636*CX636)*CY636/2204.62*CW636,"")</f>
        <v/>
      </c>
      <c r="DC636" s="135" t="str">
        <f t="shared" si="756"/>
        <v/>
      </c>
      <c r="DE636" s="146" t="str">
        <f>IF(W636&lt;&gt;"AR","",IF(Y636="User Specified", AA636, INDEX('Refrigerant GWPs'!$G$2:$G$154,MATCH(Y636,'Refrigerant GWPs'!$A$2:$A$154,0))))</f>
        <v/>
      </c>
      <c r="DF636" s="146" t="str">
        <f>IF(W636&lt;&gt;"AR","",INDEX('Device Refrigerant Leakage'!$E$2:$E$42,MATCH(X636,'Device Refrigerant Leakage'!$B$2:$B$42,0)))</f>
        <v/>
      </c>
      <c r="DG636" s="146" t="str">
        <f>IF(W636&lt;&gt;"AR","",INDEX('Device Refrigerant Leakage'!$F$2:$F$42,MATCH(X636,'Device Refrigerant Leakage'!$B$2:$B$42,0)))</f>
        <v/>
      </c>
      <c r="DH636" s="146" t="str">
        <f>IF(W636&lt;&gt;"AR","",INDEX('Device Refrigerant Leakage'!$G$2:$G$42,MATCH(X636,'Device Refrigerant Leakage'!$B$2:$B$42,0)))</f>
        <v/>
      </c>
      <c r="DI636" s="146" t="str">
        <f>IF(W636&lt;&gt;"AR","",J636*INDEX('Device Refrigerant Leakage'!$D$2:$D$42,MATCH(X636,'Device Refrigerant Leakage'!$B$2:$B$42,0))*DF636/2204.62*DE636)</f>
        <v/>
      </c>
      <c r="DJ636" s="146" t="str">
        <f>IF(W636&lt;&gt;"AR","",J636*(INDEX('Device Refrigerant Leakage'!$D$2:$D$42,MATCH(X636,'Device Refrigerant Leakage'!$B$2:$B$42,0))-(INDEX('Device Refrigerant Leakage'!$D$2:$D$42,MATCH(X636,'Device Refrigerant Leakage'!$B$2:$B$42,0)))*DH636*DF636)*DG636/2204.62*DE636)</f>
        <v/>
      </c>
      <c r="DK636" s="146" t="str">
        <f>IF(W636&lt;&gt;"AR","",DI636*(K636-AB636)+'Fuel Sub Calcs-Deemed'!DJ636*((K636-AB636)/INDEX('Device Refrigerant Leakage'!$C$2:$C$42,MATCH('Fuel Sub Calcs-Deemed'!X636,'Device Refrigerant Leakage'!$B$2:$B$42,0))))</f>
        <v/>
      </c>
      <c r="DM636" s="56">
        <v>622</v>
      </c>
      <c r="DN636" s="67" t="e">
        <f t="shared" si="738"/>
        <v>#N/A</v>
      </c>
      <c r="DO636" s="45" t="e">
        <f t="shared" si="739"/>
        <v>#N/A</v>
      </c>
      <c r="DP636" s="67" t="e">
        <f t="shared" si="740"/>
        <v>#N/A</v>
      </c>
      <c r="DQ636" s="45" t="e">
        <f t="shared" si="741"/>
        <v>#N/A</v>
      </c>
      <c r="DR636" s="69" t="e">
        <f t="shared" si="742"/>
        <v>#N/A</v>
      </c>
      <c r="DS636" s="34"/>
      <c r="DT636" s="67" t="e">
        <f>((BX636*CJ636)+IF($W636=MAT_AR,(BZ636*CL636),0))*(1+Reference!$E$50+Reference!$E$51)</f>
        <v>#N/A</v>
      </c>
      <c r="DU636" s="67">
        <f>((BY636*CK636)+IF($W636=MAT_AR,(CA636*CM636),0))*(1+Reference!$G$50+Reference!$G$51)</f>
        <v>0</v>
      </c>
      <c r="DV636" s="67" t="e">
        <f t="shared" si="743"/>
        <v>#VALUE!</v>
      </c>
      <c r="DX636" s="56">
        <v>622</v>
      </c>
      <c r="DY636" s="67">
        <f t="shared" si="744"/>
        <v>0</v>
      </c>
      <c r="DZ636" s="45" t="e">
        <f>VLOOKUP($R636,Dropdown!$C$3:$D$4,2,FALSE)</f>
        <v>#N/A</v>
      </c>
      <c r="EA636" s="68">
        <f t="shared" si="745"/>
        <v>0</v>
      </c>
      <c r="EB636" s="68" t="str">
        <f t="shared" si="746"/>
        <v>N/A</v>
      </c>
      <c r="EC636" s="68">
        <f t="shared" si="747"/>
        <v>0</v>
      </c>
      <c r="ED636" s="68" t="str">
        <f t="shared" si="785"/>
        <v>N/A</v>
      </c>
      <c r="EF636" s="56">
        <v>622</v>
      </c>
      <c r="EG636" s="46">
        <f t="shared" si="748"/>
        <v>0</v>
      </c>
      <c r="EH636" s="68" t="e">
        <f t="shared" si="749"/>
        <v>#N/A</v>
      </c>
      <c r="EI636" s="68" t="e">
        <f t="shared" si="750"/>
        <v>#N/A</v>
      </c>
      <c r="EJ636" s="68" t="e">
        <f t="shared" si="751"/>
        <v>#N/A</v>
      </c>
      <c r="EK636" s="68" t="e">
        <f t="shared" si="752"/>
        <v>#N/A</v>
      </c>
      <c r="EL636" s="46">
        <f t="shared" si="753"/>
        <v>0</v>
      </c>
      <c r="EM636" s="46">
        <f t="shared" si="754"/>
        <v>0</v>
      </c>
    </row>
    <row r="637" spans="1:143">
      <c r="A637" s="89"/>
      <c r="B637" s="89"/>
      <c r="C637" s="89"/>
      <c r="D637" s="89"/>
      <c r="E637" s="89"/>
      <c r="F637" s="89"/>
      <c r="G637" s="34"/>
      <c r="H637" s="56">
        <f t="shared" si="755"/>
        <v>623</v>
      </c>
      <c r="I637" s="165"/>
      <c r="J637" s="163"/>
      <c r="K637" s="163"/>
      <c r="L637" s="164"/>
      <c r="M637" s="155"/>
      <c r="N637" s="155"/>
      <c r="O637" s="144"/>
      <c r="P637" s="159" t="str">
        <f>IFERROR(IF(O637&lt;&gt;"User Specified",IF(O637&lt;&gt;"", INDEX('Refrigerant GWPs'!$G$2:$G$154,MATCH(O637,'Refrigerant GWPs'!$A$2:$A$154,0)),""),U637),0)</f>
        <v/>
      </c>
      <c r="Q637" s="155"/>
      <c r="R637" s="155"/>
      <c r="S637" s="144"/>
      <c r="T637" s="159" t="str">
        <f>IF(S637&lt;&gt;"User Specified",IF(AND(S637&lt;&gt;"User Specified",S637&lt;&gt;""), INDEX('Refrigerant GWPs'!$G$2:$G$154,MATCH(S637,'Refrigerant GWPs'!$A$2:$A$154,0)),""),V637)</f>
        <v/>
      </c>
      <c r="U637" s="144"/>
      <c r="V637" s="144"/>
      <c r="W637" s="155"/>
      <c r="X637" s="155"/>
      <c r="Y637" s="144"/>
      <c r="Z637" s="159" t="str">
        <f>IF(AND(Y637&lt;&gt;"User Specified",Y637&lt;&gt;""), INDEX('Refrigerant GWPs'!$G$2:$G$154,MATCH(Y637,'Refrigerant GWPs'!$A$2:$A$154,0)),"")</f>
        <v/>
      </c>
      <c r="AA637" s="155"/>
      <c r="AB637" s="156"/>
      <c r="AC637" s="66"/>
      <c r="AD637" s="66"/>
      <c r="AE637" s="66"/>
      <c r="AF637" s="66"/>
      <c r="AG637" s="66"/>
      <c r="AH637" s="66"/>
      <c r="AI637" s="34"/>
      <c r="AJ637" s="88">
        <f t="shared" si="718"/>
        <v>0</v>
      </c>
      <c r="AK637" s="88">
        <f t="shared" si="719"/>
        <v>0</v>
      </c>
      <c r="AL637" s="88">
        <v>0</v>
      </c>
      <c r="AM637" s="88">
        <v>0</v>
      </c>
      <c r="AN637" s="81" t="str">
        <f t="shared" si="757"/>
        <v/>
      </c>
      <c r="AO637" s="88">
        <f t="shared" si="720"/>
        <v>0</v>
      </c>
      <c r="AP637" s="88">
        <f t="shared" si="721"/>
        <v>0</v>
      </c>
      <c r="AQ637" s="81" t="str">
        <f t="shared" si="722"/>
        <v/>
      </c>
      <c r="AS637" s="41" t="b">
        <f t="shared" si="723"/>
        <v>1</v>
      </c>
      <c r="AT637" s="38">
        <f t="shared" si="724"/>
        <v>0</v>
      </c>
      <c r="AU637" s="60">
        <f t="shared" si="725"/>
        <v>0</v>
      </c>
      <c r="AV637" s="41">
        <f t="shared" si="726"/>
        <v>0</v>
      </c>
      <c r="AW637" s="41" t="b">
        <f t="shared" si="727"/>
        <v>0</v>
      </c>
      <c r="AX637" t="str">
        <f t="shared" si="728"/>
        <v>+00</v>
      </c>
      <c r="AY637" t="str">
        <f t="shared" si="729"/>
        <v>+00</v>
      </c>
      <c r="BA637" s="47" t="b">
        <f t="shared" si="758"/>
        <v>1</v>
      </c>
      <c r="BB637" s="42" t="b">
        <f t="shared" si="759"/>
        <v>1</v>
      </c>
      <c r="BC637" s="42" t="b">
        <f t="shared" si="760"/>
        <v>0</v>
      </c>
      <c r="BD637" s="42" t="b">
        <f t="shared" si="761"/>
        <v>0</v>
      </c>
      <c r="BE637" s="70">
        <f t="shared" si="762"/>
        <v>0</v>
      </c>
      <c r="BF637" s="70">
        <f t="shared" si="763"/>
        <v>0</v>
      </c>
      <c r="BG637" s="34"/>
      <c r="BI637" s="47" t="b">
        <f t="shared" si="764"/>
        <v>1</v>
      </c>
      <c r="BJ637" s="47" t="b">
        <f t="shared" si="765"/>
        <v>1</v>
      </c>
      <c r="BK637" s="42" t="b">
        <f t="shared" si="766"/>
        <v>0</v>
      </c>
      <c r="BL637" s="42" t="b">
        <f t="shared" si="767"/>
        <v>0</v>
      </c>
      <c r="BM637" s="42">
        <f t="shared" si="768"/>
        <v>0</v>
      </c>
      <c r="BN637" s="42">
        <f t="shared" si="769"/>
        <v>0</v>
      </c>
      <c r="BP637" t="e">
        <f t="shared" si="770"/>
        <v>#N/A</v>
      </c>
      <c r="BQ637" t="e">
        <f t="shared" si="771"/>
        <v>#N/A</v>
      </c>
      <c r="BR637" t="e">
        <f t="shared" si="772"/>
        <v>#N/A</v>
      </c>
      <c r="BT637" s="60">
        <f t="shared" si="773"/>
        <v>0</v>
      </c>
      <c r="BU637" s="60">
        <f t="shared" si="774"/>
        <v>0</v>
      </c>
      <c r="BV637" s="60">
        <f t="shared" si="775"/>
        <v>0</v>
      </c>
      <c r="BW637" s="60">
        <f t="shared" si="776"/>
        <v>0</v>
      </c>
      <c r="BX637" s="60">
        <f t="shared" si="777"/>
        <v>0</v>
      </c>
      <c r="BY637" s="60">
        <f t="shared" si="778"/>
        <v>0</v>
      </c>
      <c r="BZ637" s="60">
        <f t="shared" si="779"/>
        <v>0</v>
      </c>
      <c r="CA637" s="60">
        <f t="shared" si="780"/>
        <v>0</v>
      </c>
      <c r="CB637" s="60" t="e">
        <f t="shared" si="730"/>
        <v>#N/A</v>
      </c>
      <c r="CC637" s="60">
        <f t="shared" si="731"/>
        <v>100000</v>
      </c>
      <c r="CD637" s="60" t="e">
        <f t="shared" si="732"/>
        <v>#N/A</v>
      </c>
      <c r="CE637" s="60">
        <f t="shared" si="733"/>
        <v>100000</v>
      </c>
      <c r="CF637" s="83" t="e">
        <f t="shared" si="781"/>
        <v>#N/A</v>
      </c>
      <c r="CG637" s="83">
        <f t="shared" si="782"/>
        <v>0</v>
      </c>
      <c r="CH637" s="83" t="e">
        <f t="shared" si="783"/>
        <v>#N/A</v>
      </c>
      <c r="CI637" s="83">
        <f t="shared" si="784"/>
        <v>0</v>
      </c>
      <c r="CJ637" s="86" t="e">
        <f t="shared" si="734"/>
        <v>#N/A</v>
      </c>
      <c r="CK637" s="82">
        <f t="shared" si="735"/>
        <v>5.3070370403969858E-3</v>
      </c>
      <c r="CL637" s="82" t="e">
        <f t="shared" si="736"/>
        <v>#N/A</v>
      </c>
      <c r="CM637" s="82">
        <f t="shared" si="737"/>
        <v>5.3070370403969858E-3</v>
      </c>
      <c r="CO637" s="149" t="str">
        <f>IF($I637&lt;&gt;"",IF(O637="User Specified",U637,INDEX('Refrigerant GWPs'!$G$2:$G$156,MATCH(O637,'Refrigerant GWPs'!$A$2:$A$156,0))),"")</f>
        <v/>
      </c>
      <c r="CP637" s="138" t="str">
        <f>IF($I637&lt;&gt;"",INDEX('Device Refrigerant Leakage'!$E$2:$E$42,MATCH($M637,'Device Refrigerant Leakage'!$B$2:$B$42,0)),"")</f>
        <v/>
      </c>
      <c r="CQ637" s="138" t="str">
        <f>IF($I637&lt;&gt;"",INDEX('Device Refrigerant Leakage'!$F$2:$F$42,MATCH($M637,'Device Refrigerant Leakage'!$B$2:$B$42,0)),"")</f>
        <v/>
      </c>
      <c r="CR637" s="145" t="str">
        <f>IF($I637&lt;&gt;"",INDEX('Device Refrigerant Leakage'!$G$2:$G$42,MATCH($M637,'Device Refrigerant Leakage'!$B$2:$B$42,0)),"")</f>
        <v/>
      </c>
      <c r="CS637" s="145" t="str">
        <f>IF($I637&lt;&gt;"",INDEX('Device Refrigerant Leakage'!$D$2:$D$42,MATCH($M637,'Device Refrigerant Leakage'!$B$2:$B$42,0))*CP637/2204.62*CO637,"")</f>
        <v/>
      </c>
      <c r="CT637" s="145" t="str">
        <f>IF($I637&lt;&gt;"",J637*(INDEX('Device Refrigerant Leakage'!$D$2:$D$42,MATCH($M637,'Device Refrigerant Leakage'!$B$2:$B$42,0))-(INDEX('Device Refrigerant Leakage'!$D$2:$D$42,MATCH($M637,'Device Refrigerant Leakage'!$B$2:$B$42,0)))*CR637*CP637)*CQ637/2204.62*CO637,"")</f>
        <v/>
      </c>
      <c r="CU637" s="135" t="str">
        <f>IF($I637&lt;&gt;"",J637*IF(W637&lt;&gt;"AR",(CS637*K637)+CT637,(CS637*AB637)+CT637*(AB637/INDEX('Device Refrigerant Leakage'!$C$2:$C$42,MATCH($M637,'Device Refrigerant Leakage'!$B$2:$B$42,0)))),"")</f>
        <v/>
      </c>
      <c r="CW637" s="135" t="str">
        <f>IF($I637&lt;&gt;"",IF(S637="User Specified",V637,INDEX('Refrigerant GWPs'!$G$2:$G$156,MATCH(S637,'Refrigerant GWPs'!$A$2:$A$157,0))),"")</f>
        <v/>
      </c>
      <c r="CX637" s="138" t="str">
        <f>IF($I637&lt;&gt;"",INDEX('Device Refrigerant Leakage'!$E$2:$E$42,MATCH($Q637,'Device Refrigerant Leakage'!$B$2:$B$42,0)),"")</f>
        <v/>
      </c>
      <c r="CY637" s="138" t="str">
        <f>IF($I637&lt;&gt;"",INDEX('Device Refrigerant Leakage'!$F$2:$F$42,MATCH($Q637,'Device Refrigerant Leakage'!$B$2:$B$42,0)),"")</f>
        <v/>
      </c>
      <c r="CZ637" s="145" t="str">
        <f>IF($I637&lt;&gt;"",INDEX('Device Refrigerant Leakage'!$G$2:$G$42,MATCH($Q637,'Device Refrigerant Leakage'!$B$2:$B$42,0)),"")</f>
        <v/>
      </c>
      <c r="DA637" s="145" t="str">
        <f>IF($I637&lt;&gt;"",J637*INDEX('Device Refrigerant Leakage'!$D$2:$D$42,MATCH($Q637,'Device Refrigerant Leakage'!$B$2:$B$42,0))*CX637/2204.62*CW637,"")</f>
        <v/>
      </c>
      <c r="DB637" s="145" t="str">
        <f>IF($I637&lt;&gt;"",J637*(INDEX('Device Refrigerant Leakage'!$D$2:$D$42,MATCH($Q637,'Device Refrigerant Leakage'!$B$2:$B$42,0))-(INDEX('Device Refrigerant Leakage'!$D$2:$D$42,MATCH($Q637,'Device Refrigerant Leakage'!$B$2:$B$42,0)))*CZ637*CX637)*CY637/2204.62*CW637,"")</f>
        <v/>
      </c>
      <c r="DC637" s="135" t="str">
        <f t="shared" si="756"/>
        <v/>
      </c>
      <c r="DE637" s="146" t="str">
        <f>IF(W637&lt;&gt;"AR","",IF(Y637="User Specified", AA637, INDEX('Refrigerant GWPs'!$G$2:$G$154,MATCH(Y637,'Refrigerant GWPs'!$A$2:$A$154,0))))</f>
        <v/>
      </c>
      <c r="DF637" s="146" t="str">
        <f>IF(W637&lt;&gt;"AR","",INDEX('Device Refrigerant Leakage'!$E$2:$E$42,MATCH(X637,'Device Refrigerant Leakage'!$B$2:$B$42,0)))</f>
        <v/>
      </c>
      <c r="DG637" s="146" t="str">
        <f>IF(W637&lt;&gt;"AR","",INDEX('Device Refrigerant Leakage'!$F$2:$F$42,MATCH(X637,'Device Refrigerant Leakage'!$B$2:$B$42,0)))</f>
        <v/>
      </c>
      <c r="DH637" s="146" t="str">
        <f>IF(W637&lt;&gt;"AR","",INDEX('Device Refrigerant Leakage'!$G$2:$G$42,MATCH(X637,'Device Refrigerant Leakage'!$B$2:$B$42,0)))</f>
        <v/>
      </c>
      <c r="DI637" s="146" t="str">
        <f>IF(W637&lt;&gt;"AR","",J637*INDEX('Device Refrigerant Leakage'!$D$2:$D$42,MATCH(X637,'Device Refrigerant Leakage'!$B$2:$B$42,0))*DF637/2204.62*DE637)</f>
        <v/>
      </c>
      <c r="DJ637" s="146" t="str">
        <f>IF(W637&lt;&gt;"AR","",J637*(INDEX('Device Refrigerant Leakage'!$D$2:$D$42,MATCH(X637,'Device Refrigerant Leakage'!$B$2:$B$42,0))-(INDEX('Device Refrigerant Leakage'!$D$2:$D$42,MATCH(X637,'Device Refrigerant Leakage'!$B$2:$B$42,0)))*DH637*DF637)*DG637/2204.62*DE637)</f>
        <v/>
      </c>
      <c r="DK637" s="146" t="str">
        <f>IF(W637&lt;&gt;"AR","",DI637*(K637-AB637)+'Fuel Sub Calcs-Deemed'!DJ637*((K637-AB637)/INDEX('Device Refrigerant Leakage'!$C$2:$C$42,MATCH('Fuel Sub Calcs-Deemed'!X637,'Device Refrigerant Leakage'!$B$2:$B$42,0))))</f>
        <v/>
      </c>
      <c r="DM637" s="56">
        <v>623</v>
      </c>
      <c r="DN637" s="67" t="e">
        <f t="shared" si="738"/>
        <v>#N/A</v>
      </c>
      <c r="DO637" s="45" t="e">
        <f t="shared" si="739"/>
        <v>#N/A</v>
      </c>
      <c r="DP637" s="67" t="e">
        <f t="shared" si="740"/>
        <v>#N/A</v>
      </c>
      <c r="DQ637" s="45" t="e">
        <f t="shared" si="741"/>
        <v>#N/A</v>
      </c>
      <c r="DR637" s="69" t="e">
        <f t="shared" si="742"/>
        <v>#N/A</v>
      </c>
      <c r="DS637" s="34"/>
      <c r="DT637" s="67" t="e">
        <f>((BX637*CJ637)+IF($W637=MAT_AR,(BZ637*CL637),0))*(1+Reference!$E$50+Reference!$E$51)</f>
        <v>#N/A</v>
      </c>
      <c r="DU637" s="67">
        <f>((BY637*CK637)+IF($W637=MAT_AR,(CA637*CM637),0))*(1+Reference!$G$50+Reference!$G$51)</f>
        <v>0</v>
      </c>
      <c r="DV637" s="67" t="e">
        <f t="shared" si="743"/>
        <v>#VALUE!</v>
      </c>
      <c r="DX637" s="56">
        <v>623</v>
      </c>
      <c r="DY637" s="67">
        <f t="shared" si="744"/>
        <v>0</v>
      </c>
      <c r="DZ637" s="45" t="e">
        <f>VLOOKUP($R637,Dropdown!$C$3:$D$4,2,FALSE)</f>
        <v>#N/A</v>
      </c>
      <c r="EA637" s="68">
        <f t="shared" si="745"/>
        <v>0</v>
      </c>
      <c r="EB637" s="68" t="str">
        <f t="shared" si="746"/>
        <v>N/A</v>
      </c>
      <c r="EC637" s="68">
        <f t="shared" si="747"/>
        <v>0</v>
      </c>
      <c r="ED637" s="68" t="str">
        <f t="shared" si="785"/>
        <v>N/A</v>
      </c>
      <c r="EF637" s="56">
        <v>623</v>
      </c>
      <c r="EG637" s="46">
        <f t="shared" si="748"/>
        <v>0</v>
      </c>
      <c r="EH637" s="68" t="e">
        <f t="shared" si="749"/>
        <v>#N/A</v>
      </c>
      <c r="EI637" s="68" t="e">
        <f t="shared" si="750"/>
        <v>#N/A</v>
      </c>
      <c r="EJ637" s="68" t="e">
        <f t="shared" si="751"/>
        <v>#N/A</v>
      </c>
      <c r="EK637" s="68" t="e">
        <f t="shared" si="752"/>
        <v>#N/A</v>
      </c>
      <c r="EL637" s="46">
        <f t="shared" si="753"/>
        <v>0</v>
      </c>
      <c r="EM637" s="46">
        <f t="shared" si="754"/>
        <v>0</v>
      </c>
    </row>
    <row r="638" spans="1:143">
      <c r="A638" s="89"/>
      <c r="B638" s="89"/>
      <c r="C638" s="89"/>
      <c r="D638" s="89"/>
      <c r="E638" s="89"/>
      <c r="F638" s="89"/>
      <c r="G638" s="34"/>
      <c r="H638" s="56">
        <f t="shared" si="755"/>
        <v>624</v>
      </c>
      <c r="I638" s="165"/>
      <c r="J638" s="163"/>
      <c r="K638" s="163"/>
      <c r="L638" s="164"/>
      <c r="M638" s="155"/>
      <c r="N638" s="155"/>
      <c r="O638" s="144"/>
      <c r="P638" s="159" t="str">
        <f>IFERROR(IF(O638&lt;&gt;"User Specified",IF(O638&lt;&gt;"", INDEX('Refrigerant GWPs'!$G$2:$G$154,MATCH(O638,'Refrigerant GWPs'!$A$2:$A$154,0)),""),U638),0)</f>
        <v/>
      </c>
      <c r="Q638" s="155"/>
      <c r="R638" s="155"/>
      <c r="S638" s="144"/>
      <c r="T638" s="159" t="str">
        <f>IF(S638&lt;&gt;"User Specified",IF(AND(S638&lt;&gt;"User Specified",S638&lt;&gt;""), INDEX('Refrigerant GWPs'!$G$2:$G$154,MATCH(S638,'Refrigerant GWPs'!$A$2:$A$154,0)),""),V638)</f>
        <v/>
      </c>
      <c r="U638" s="144"/>
      <c r="V638" s="144"/>
      <c r="W638" s="155"/>
      <c r="X638" s="155"/>
      <c r="Y638" s="144"/>
      <c r="Z638" s="159" t="str">
        <f>IF(AND(Y638&lt;&gt;"User Specified",Y638&lt;&gt;""), INDEX('Refrigerant GWPs'!$G$2:$G$154,MATCH(Y638,'Refrigerant GWPs'!$A$2:$A$154,0)),"")</f>
        <v/>
      </c>
      <c r="AA638" s="155"/>
      <c r="AB638" s="156"/>
      <c r="AC638" s="66"/>
      <c r="AD638" s="66"/>
      <c r="AE638" s="66"/>
      <c r="AF638" s="66"/>
      <c r="AG638" s="66"/>
      <c r="AH638" s="66"/>
      <c r="AI638" s="34"/>
      <c r="AJ638" s="88">
        <f t="shared" si="718"/>
        <v>0</v>
      </c>
      <c r="AK638" s="88">
        <f t="shared" si="719"/>
        <v>0</v>
      </c>
      <c r="AL638" s="88">
        <v>0</v>
      </c>
      <c r="AM638" s="88">
        <v>0</v>
      </c>
      <c r="AN638" s="81" t="str">
        <f t="shared" si="757"/>
        <v/>
      </c>
      <c r="AO638" s="88">
        <f t="shared" si="720"/>
        <v>0</v>
      </c>
      <c r="AP638" s="88">
        <f t="shared" si="721"/>
        <v>0</v>
      </c>
      <c r="AQ638" s="81" t="str">
        <f t="shared" si="722"/>
        <v/>
      </c>
      <c r="AS638" s="41" t="b">
        <f t="shared" si="723"/>
        <v>1</v>
      </c>
      <c r="AT638" s="38">
        <f t="shared" si="724"/>
        <v>0</v>
      </c>
      <c r="AU638" s="60">
        <f t="shared" si="725"/>
        <v>0</v>
      </c>
      <c r="AV638" s="41">
        <f t="shared" si="726"/>
        <v>0</v>
      </c>
      <c r="AW638" s="41" t="b">
        <f t="shared" si="727"/>
        <v>0</v>
      </c>
      <c r="AX638" t="str">
        <f t="shared" si="728"/>
        <v>+00</v>
      </c>
      <c r="AY638" t="str">
        <f t="shared" si="729"/>
        <v>+00</v>
      </c>
      <c r="BA638" s="47" t="b">
        <f t="shared" si="758"/>
        <v>1</v>
      </c>
      <c r="BB638" s="42" t="b">
        <f t="shared" si="759"/>
        <v>1</v>
      </c>
      <c r="BC638" s="42" t="b">
        <f t="shared" si="760"/>
        <v>0</v>
      </c>
      <c r="BD638" s="42" t="b">
        <f t="shared" si="761"/>
        <v>0</v>
      </c>
      <c r="BE638" s="70">
        <f t="shared" si="762"/>
        <v>0</v>
      </c>
      <c r="BF638" s="70">
        <f t="shared" si="763"/>
        <v>0</v>
      </c>
      <c r="BG638" s="34"/>
      <c r="BI638" s="47" t="b">
        <f t="shared" si="764"/>
        <v>1</v>
      </c>
      <c r="BJ638" s="47" t="b">
        <f t="shared" si="765"/>
        <v>1</v>
      </c>
      <c r="BK638" s="42" t="b">
        <f t="shared" si="766"/>
        <v>0</v>
      </c>
      <c r="BL638" s="42" t="b">
        <f t="shared" si="767"/>
        <v>0</v>
      </c>
      <c r="BM638" s="42">
        <f t="shared" si="768"/>
        <v>0</v>
      </c>
      <c r="BN638" s="42">
        <f t="shared" si="769"/>
        <v>0</v>
      </c>
      <c r="BP638" t="e">
        <f t="shared" si="770"/>
        <v>#N/A</v>
      </c>
      <c r="BQ638" t="e">
        <f t="shared" si="771"/>
        <v>#N/A</v>
      </c>
      <c r="BR638" t="e">
        <f t="shared" si="772"/>
        <v>#N/A</v>
      </c>
      <c r="BT638" s="60">
        <f t="shared" si="773"/>
        <v>0</v>
      </c>
      <c r="BU638" s="60">
        <f t="shared" si="774"/>
        <v>0</v>
      </c>
      <c r="BV638" s="60">
        <f t="shared" si="775"/>
        <v>0</v>
      </c>
      <c r="BW638" s="60">
        <f t="shared" si="776"/>
        <v>0</v>
      </c>
      <c r="BX638" s="60">
        <f t="shared" si="777"/>
        <v>0</v>
      </c>
      <c r="BY638" s="60">
        <f t="shared" si="778"/>
        <v>0</v>
      </c>
      <c r="BZ638" s="60">
        <f t="shared" si="779"/>
        <v>0</v>
      </c>
      <c r="CA638" s="60">
        <f t="shared" si="780"/>
        <v>0</v>
      </c>
      <c r="CB638" s="60" t="e">
        <f t="shared" si="730"/>
        <v>#N/A</v>
      </c>
      <c r="CC638" s="60">
        <f t="shared" si="731"/>
        <v>100000</v>
      </c>
      <c r="CD638" s="60" t="e">
        <f t="shared" si="732"/>
        <v>#N/A</v>
      </c>
      <c r="CE638" s="60">
        <f t="shared" si="733"/>
        <v>100000</v>
      </c>
      <c r="CF638" s="83" t="e">
        <f t="shared" si="781"/>
        <v>#N/A</v>
      </c>
      <c r="CG638" s="83">
        <f t="shared" si="782"/>
        <v>0</v>
      </c>
      <c r="CH638" s="83" t="e">
        <f t="shared" si="783"/>
        <v>#N/A</v>
      </c>
      <c r="CI638" s="83">
        <f t="shared" si="784"/>
        <v>0</v>
      </c>
      <c r="CJ638" s="86" t="e">
        <f t="shared" si="734"/>
        <v>#N/A</v>
      </c>
      <c r="CK638" s="82">
        <f t="shared" si="735"/>
        <v>5.3070370403969858E-3</v>
      </c>
      <c r="CL638" s="82" t="e">
        <f t="shared" si="736"/>
        <v>#N/A</v>
      </c>
      <c r="CM638" s="82">
        <f t="shared" si="737"/>
        <v>5.3070370403969858E-3</v>
      </c>
      <c r="CO638" s="149" t="str">
        <f>IF($I638&lt;&gt;"",IF(O638="User Specified",U638,INDEX('Refrigerant GWPs'!$G$2:$G$156,MATCH(O638,'Refrigerant GWPs'!$A$2:$A$156,0))),"")</f>
        <v/>
      </c>
      <c r="CP638" s="138" t="str">
        <f>IF($I638&lt;&gt;"",INDEX('Device Refrigerant Leakage'!$E$2:$E$42,MATCH($M638,'Device Refrigerant Leakage'!$B$2:$B$42,0)),"")</f>
        <v/>
      </c>
      <c r="CQ638" s="138" t="str">
        <f>IF($I638&lt;&gt;"",INDEX('Device Refrigerant Leakage'!$F$2:$F$42,MATCH($M638,'Device Refrigerant Leakage'!$B$2:$B$42,0)),"")</f>
        <v/>
      </c>
      <c r="CR638" s="145" t="str">
        <f>IF($I638&lt;&gt;"",INDEX('Device Refrigerant Leakage'!$G$2:$G$42,MATCH($M638,'Device Refrigerant Leakage'!$B$2:$B$42,0)),"")</f>
        <v/>
      </c>
      <c r="CS638" s="145" t="str">
        <f>IF($I638&lt;&gt;"",INDEX('Device Refrigerant Leakage'!$D$2:$D$42,MATCH($M638,'Device Refrigerant Leakage'!$B$2:$B$42,0))*CP638/2204.62*CO638,"")</f>
        <v/>
      </c>
      <c r="CT638" s="145" t="str">
        <f>IF($I638&lt;&gt;"",J638*(INDEX('Device Refrigerant Leakage'!$D$2:$D$42,MATCH($M638,'Device Refrigerant Leakage'!$B$2:$B$42,0))-(INDEX('Device Refrigerant Leakage'!$D$2:$D$42,MATCH($M638,'Device Refrigerant Leakage'!$B$2:$B$42,0)))*CR638*CP638)*CQ638/2204.62*CO638,"")</f>
        <v/>
      </c>
      <c r="CU638" s="135" t="str">
        <f>IF($I638&lt;&gt;"",J638*IF(W638&lt;&gt;"AR",(CS638*K638)+CT638,(CS638*AB638)+CT638*(AB638/INDEX('Device Refrigerant Leakage'!$C$2:$C$42,MATCH($M638,'Device Refrigerant Leakage'!$B$2:$B$42,0)))),"")</f>
        <v/>
      </c>
      <c r="CW638" s="135" t="str">
        <f>IF($I638&lt;&gt;"",IF(S638="User Specified",V638,INDEX('Refrigerant GWPs'!$G$2:$G$156,MATCH(S638,'Refrigerant GWPs'!$A$2:$A$157,0))),"")</f>
        <v/>
      </c>
      <c r="CX638" s="138" t="str">
        <f>IF($I638&lt;&gt;"",INDEX('Device Refrigerant Leakage'!$E$2:$E$42,MATCH($Q638,'Device Refrigerant Leakage'!$B$2:$B$42,0)),"")</f>
        <v/>
      </c>
      <c r="CY638" s="138" t="str">
        <f>IF($I638&lt;&gt;"",INDEX('Device Refrigerant Leakage'!$F$2:$F$42,MATCH($Q638,'Device Refrigerant Leakage'!$B$2:$B$42,0)),"")</f>
        <v/>
      </c>
      <c r="CZ638" s="145" t="str">
        <f>IF($I638&lt;&gt;"",INDEX('Device Refrigerant Leakage'!$G$2:$G$42,MATCH($Q638,'Device Refrigerant Leakage'!$B$2:$B$42,0)),"")</f>
        <v/>
      </c>
      <c r="DA638" s="145" t="str">
        <f>IF($I638&lt;&gt;"",J638*INDEX('Device Refrigerant Leakage'!$D$2:$D$42,MATCH($Q638,'Device Refrigerant Leakage'!$B$2:$B$42,0))*CX638/2204.62*CW638,"")</f>
        <v/>
      </c>
      <c r="DB638" s="145" t="str">
        <f>IF($I638&lt;&gt;"",J638*(INDEX('Device Refrigerant Leakage'!$D$2:$D$42,MATCH($Q638,'Device Refrigerant Leakage'!$B$2:$B$42,0))-(INDEX('Device Refrigerant Leakage'!$D$2:$D$42,MATCH($Q638,'Device Refrigerant Leakage'!$B$2:$B$42,0)))*CZ638*CX638)*CY638/2204.62*CW638,"")</f>
        <v/>
      </c>
      <c r="DC638" s="135" t="str">
        <f t="shared" si="756"/>
        <v/>
      </c>
      <c r="DE638" s="146" t="str">
        <f>IF(W638&lt;&gt;"AR","",IF(Y638="User Specified", AA638, INDEX('Refrigerant GWPs'!$G$2:$G$154,MATCH(Y638,'Refrigerant GWPs'!$A$2:$A$154,0))))</f>
        <v/>
      </c>
      <c r="DF638" s="146" t="str">
        <f>IF(W638&lt;&gt;"AR","",INDEX('Device Refrigerant Leakage'!$E$2:$E$42,MATCH(X638,'Device Refrigerant Leakage'!$B$2:$B$42,0)))</f>
        <v/>
      </c>
      <c r="DG638" s="146" t="str">
        <f>IF(W638&lt;&gt;"AR","",INDEX('Device Refrigerant Leakage'!$F$2:$F$42,MATCH(X638,'Device Refrigerant Leakage'!$B$2:$B$42,0)))</f>
        <v/>
      </c>
      <c r="DH638" s="146" t="str">
        <f>IF(W638&lt;&gt;"AR","",INDEX('Device Refrigerant Leakage'!$G$2:$G$42,MATCH(X638,'Device Refrigerant Leakage'!$B$2:$B$42,0)))</f>
        <v/>
      </c>
      <c r="DI638" s="146" t="str">
        <f>IF(W638&lt;&gt;"AR","",J638*INDEX('Device Refrigerant Leakage'!$D$2:$D$42,MATCH(X638,'Device Refrigerant Leakage'!$B$2:$B$42,0))*DF638/2204.62*DE638)</f>
        <v/>
      </c>
      <c r="DJ638" s="146" t="str">
        <f>IF(W638&lt;&gt;"AR","",J638*(INDEX('Device Refrigerant Leakage'!$D$2:$D$42,MATCH(X638,'Device Refrigerant Leakage'!$B$2:$B$42,0))-(INDEX('Device Refrigerant Leakage'!$D$2:$D$42,MATCH(X638,'Device Refrigerant Leakage'!$B$2:$B$42,0)))*DH638*DF638)*DG638/2204.62*DE638)</f>
        <v/>
      </c>
      <c r="DK638" s="146" t="str">
        <f>IF(W638&lt;&gt;"AR","",DI638*(K638-AB638)+'Fuel Sub Calcs-Deemed'!DJ638*((K638-AB638)/INDEX('Device Refrigerant Leakage'!$C$2:$C$42,MATCH('Fuel Sub Calcs-Deemed'!X638,'Device Refrigerant Leakage'!$B$2:$B$42,0))))</f>
        <v/>
      </c>
      <c r="DM638" s="56">
        <v>624</v>
      </c>
      <c r="DN638" s="67" t="e">
        <f t="shared" si="738"/>
        <v>#N/A</v>
      </c>
      <c r="DO638" s="45" t="e">
        <f t="shared" si="739"/>
        <v>#N/A</v>
      </c>
      <c r="DP638" s="67" t="e">
        <f t="shared" si="740"/>
        <v>#N/A</v>
      </c>
      <c r="DQ638" s="45" t="e">
        <f t="shared" si="741"/>
        <v>#N/A</v>
      </c>
      <c r="DR638" s="69" t="e">
        <f t="shared" si="742"/>
        <v>#N/A</v>
      </c>
      <c r="DS638" s="34"/>
      <c r="DT638" s="67" t="e">
        <f>((BX638*CJ638)+IF($W638=MAT_AR,(BZ638*CL638),0))*(1+Reference!$E$50+Reference!$E$51)</f>
        <v>#N/A</v>
      </c>
      <c r="DU638" s="67">
        <f>((BY638*CK638)+IF($W638=MAT_AR,(CA638*CM638),0))*(1+Reference!$G$50+Reference!$G$51)</f>
        <v>0</v>
      </c>
      <c r="DV638" s="67" t="e">
        <f t="shared" si="743"/>
        <v>#VALUE!</v>
      </c>
      <c r="DX638" s="56">
        <v>624</v>
      </c>
      <c r="DY638" s="67">
        <f t="shared" si="744"/>
        <v>0</v>
      </c>
      <c r="DZ638" s="45" t="e">
        <f>VLOOKUP($R638,Dropdown!$C$3:$D$4,2,FALSE)</f>
        <v>#N/A</v>
      </c>
      <c r="EA638" s="68">
        <f t="shared" si="745"/>
        <v>0</v>
      </c>
      <c r="EB638" s="68" t="str">
        <f t="shared" si="746"/>
        <v>N/A</v>
      </c>
      <c r="EC638" s="68">
        <f t="shared" si="747"/>
        <v>0</v>
      </c>
      <c r="ED638" s="68" t="str">
        <f t="shared" si="785"/>
        <v>N/A</v>
      </c>
      <c r="EF638" s="56">
        <v>624</v>
      </c>
      <c r="EG638" s="46">
        <f t="shared" si="748"/>
        <v>0</v>
      </c>
      <c r="EH638" s="68" t="e">
        <f t="shared" si="749"/>
        <v>#N/A</v>
      </c>
      <c r="EI638" s="68" t="e">
        <f t="shared" si="750"/>
        <v>#N/A</v>
      </c>
      <c r="EJ638" s="68" t="e">
        <f t="shared" si="751"/>
        <v>#N/A</v>
      </c>
      <c r="EK638" s="68" t="e">
        <f t="shared" si="752"/>
        <v>#N/A</v>
      </c>
      <c r="EL638" s="46">
        <f t="shared" si="753"/>
        <v>0</v>
      </c>
      <c r="EM638" s="46">
        <f t="shared" si="754"/>
        <v>0</v>
      </c>
    </row>
    <row r="639" spans="1:143">
      <c r="A639" s="89"/>
      <c r="B639" s="89"/>
      <c r="C639" s="89"/>
      <c r="D639" s="89"/>
      <c r="E639" s="89"/>
      <c r="F639" s="89"/>
      <c r="G639" s="34"/>
      <c r="H639" s="56">
        <f t="shared" si="755"/>
        <v>625</v>
      </c>
      <c r="I639" s="165"/>
      <c r="J639" s="163"/>
      <c r="K639" s="163"/>
      <c r="L639" s="164"/>
      <c r="M639" s="155"/>
      <c r="N639" s="155"/>
      <c r="O639" s="144"/>
      <c r="P639" s="159" t="str">
        <f>IFERROR(IF(O639&lt;&gt;"User Specified",IF(O639&lt;&gt;"", INDEX('Refrigerant GWPs'!$G$2:$G$154,MATCH(O639,'Refrigerant GWPs'!$A$2:$A$154,0)),""),U639),0)</f>
        <v/>
      </c>
      <c r="Q639" s="155"/>
      <c r="R639" s="155"/>
      <c r="S639" s="144"/>
      <c r="T639" s="159" t="str">
        <f>IF(S639&lt;&gt;"User Specified",IF(AND(S639&lt;&gt;"User Specified",S639&lt;&gt;""), INDEX('Refrigerant GWPs'!$G$2:$G$154,MATCH(S639,'Refrigerant GWPs'!$A$2:$A$154,0)),""),V639)</f>
        <v/>
      </c>
      <c r="U639" s="144"/>
      <c r="V639" s="144"/>
      <c r="W639" s="155"/>
      <c r="X639" s="155"/>
      <c r="Y639" s="144"/>
      <c r="Z639" s="159" t="str">
        <f>IF(AND(Y639&lt;&gt;"User Specified",Y639&lt;&gt;""), INDEX('Refrigerant GWPs'!$G$2:$G$154,MATCH(Y639,'Refrigerant GWPs'!$A$2:$A$154,0)),"")</f>
        <v/>
      </c>
      <c r="AA639" s="155"/>
      <c r="AB639" s="156"/>
      <c r="AC639" s="66"/>
      <c r="AD639" s="66"/>
      <c r="AE639" s="66"/>
      <c r="AF639" s="66"/>
      <c r="AG639" s="66"/>
      <c r="AH639" s="66"/>
      <c r="AI639" s="34"/>
      <c r="AJ639" s="88">
        <f t="shared" si="718"/>
        <v>0</v>
      </c>
      <c r="AK639" s="88">
        <f t="shared" si="719"/>
        <v>0</v>
      </c>
      <c r="AL639" s="88">
        <v>0</v>
      </c>
      <c r="AM639" s="88">
        <v>0</v>
      </c>
      <c r="AN639" s="81" t="str">
        <f t="shared" si="757"/>
        <v/>
      </c>
      <c r="AO639" s="88">
        <f t="shared" si="720"/>
        <v>0</v>
      </c>
      <c r="AP639" s="88">
        <f t="shared" si="721"/>
        <v>0</v>
      </c>
      <c r="AQ639" s="81" t="str">
        <f t="shared" si="722"/>
        <v/>
      </c>
      <c r="AS639" s="41" t="b">
        <f t="shared" si="723"/>
        <v>1</v>
      </c>
      <c r="AT639" s="38">
        <f t="shared" si="724"/>
        <v>0</v>
      </c>
      <c r="AU639" s="60">
        <f t="shared" si="725"/>
        <v>0</v>
      </c>
      <c r="AV639" s="41">
        <f t="shared" si="726"/>
        <v>0</v>
      </c>
      <c r="AW639" s="41" t="b">
        <f t="shared" si="727"/>
        <v>0</v>
      </c>
      <c r="AX639" t="str">
        <f t="shared" si="728"/>
        <v>+00</v>
      </c>
      <c r="AY639" t="str">
        <f t="shared" si="729"/>
        <v>+00</v>
      </c>
      <c r="BA639" s="47" t="b">
        <f t="shared" si="758"/>
        <v>1</v>
      </c>
      <c r="BB639" s="42" t="b">
        <f t="shared" si="759"/>
        <v>1</v>
      </c>
      <c r="BC639" s="42" t="b">
        <f t="shared" si="760"/>
        <v>0</v>
      </c>
      <c r="BD639" s="42" t="b">
        <f t="shared" si="761"/>
        <v>0</v>
      </c>
      <c r="BE639" s="70">
        <f t="shared" si="762"/>
        <v>0</v>
      </c>
      <c r="BF639" s="70">
        <f t="shared" si="763"/>
        <v>0</v>
      </c>
      <c r="BG639" s="34"/>
      <c r="BI639" s="47" t="b">
        <f t="shared" si="764"/>
        <v>1</v>
      </c>
      <c r="BJ639" s="47" t="b">
        <f t="shared" si="765"/>
        <v>1</v>
      </c>
      <c r="BK639" s="42" t="b">
        <f t="shared" si="766"/>
        <v>0</v>
      </c>
      <c r="BL639" s="42" t="b">
        <f t="shared" si="767"/>
        <v>0</v>
      </c>
      <c r="BM639" s="42">
        <f t="shared" si="768"/>
        <v>0</v>
      </c>
      <c r="BN639" s="42">
        <f t="shared" si="769"/>
        <v>0</v>
      </c>
      <c r="BP639" t="e">
        <f t="shared" si="770"/>
        <v>#N/A</v>
      </c>
      <c r="BQ639" t="e">
        <f t="shared" si="771"/>
        <v>#N/A</v>
      </c>
      <c r="BR639" t="e">
        <f t="shared" si="772"/>
        <v>#N/A</v>
      </c>
      <c r="BT639" s="60">
        <f t="shared" si="773"/>
        <v>0</v>
      </c>
      <c r="BU639" s="60">
        <f t="shared" si="774"/>
        <v>0</v>
      </c>
      <c r="BV639" s="60">
        <f t="shared" si="775"/>
        <v>0</v>
      </c>
      <c r="BW639" s="60">
        <f t="shared" si="776"/>
        <v>0</v>
      </c>
      <c r="BX639" s="60">
        <f t="shared" si="777"/>
        <v>0</v>
      </c>
      <c r="BY639" s="60">
        <f t="shared" si="778"/>
        <v>0</v>
      </c>
      <c r="BZ639" s="60">
        <f t="shared" si="779"/>
        <v>0</v>
      </c>
      <c r="CA639" s="60">
        <f t="shared" si="780"/>
        <v>0</v>
      </c>
      <c r="CB639" s="60" t="e">
        <f t="shared" si="730"/>
        <v>#N/A</v>
      </c>
      <c r="CC639" s="60">
        <f t="shared" si="731"/>
        <v>100000</v>
      </c>
      <c r="CD639" s="60" t="e">
        <f t="shared" si="732"/>
        <v>#N/A</v>
      </c>
      <c r="CE639" s="60">
        <f t="shared" si="733"/>
        <v>100000</v>
      </c>
      <c r="CF639" s="83" t="e">
        <f t="shared" si="781"/>
        <v>#N/A</v>
      </c>
      <c r="CG639" s="83">
        <f t="shared" si="782"/>
        <v>0</v>
      </c>
      <c r="CH639" s="83" t="e">
        <f t="shared" si="783"/>
        <v>#N/A</v>
      </c>
      <c r="CI639" s="83">
        <f t="shared" si="784"/>
        <v>0</v>
      </c>
      <c r="CJ639" s="86" t="e">
        <f t="shared" si="734"/>
        <v>#N/A</v>
      </c>
      <c r="CK639" s="82">
        <f t="shared" si="735"/>
        <v>5.3070370403969858E-3</v>
      </c>
      <c r="CL639" s="82" t="e">
        <f t="shared" si="736"/>
        <v>#N/A</v>
      </c>
      <c r="CM639" s="82">
        <f t="shared" si="737"/>
        <v>5.3070370403969858E-3</v>
      </c>
      <c r="CO639" s="149" t="str">
        <f>IF($I639&lt;&gt;"",IF(O639="User Specified",U639,INDEX('Refrigerant GWPs'!$G$2:$G$156,MATCH(O639,'Refrigerant GWPs'!$A$2:$A$156,0))),"")</f>
        <v/>
      </c>
      <c r="CP639" s="138" t="str">
        <f>IF($I639&lt;&gt;"",INDEX('Device Refrigerant Leakage'!$E$2:$E$42,MATCH($M639,'Device Refrigerant Leakage'!$B$2:$B$42,0)),"")</f>
        <v/>
      </c>
      <c r="CQ639" s="138" t="str">
        <f>IF($I639&lt;&gt;"",INDEX('Device Refrigerant Leakage'!$F$2:$F$42,MATCH($M639,'Device Refrigerant Leakage'!$B$2:$B$42,0)),"")</f>
        <v/>
      </c>
      <c r="CR639" s="145" t="str">
        <f>IF($I639&lt;&gt;"",INDEX('Device Refrigerant Leakage'!$G$2:$G$42,MATCH($M639,'Device Refrigerant Leakage'!$B$2:$B$42,0)),"")</f>
        <v/>
      </c>
      <c r="CS639" s="145" t="str">
        <f>IF($I639&lt;&gt;"",INDEX('Device Refrigerant Leakage'!$D$2:$D$42,MATCH($M639,'Device Refrigerant Leakage'!$B$2:$B$42,0))*CP639/2204.62*CO639,"")</f>
        <v/>
      </c>
      <c r="CT639" s="145" t="str">
        <f>IF($I639&lt;&gt;"",J639*(INDEX('Device Refrigerant Leakage'!$D$2:$D$42,MATCH($M639,'Device Refrigerant Leakage'!$B$2:$B$42,0))-(INDEX('Device Refrigerant Leakage'!$D$2:$D$42,MATCH($M639,'Device Refrigerant Leakage'!$B$2:$B$42,0)))*CR639*CP639)*CQ639/2204.62*CO639,"")</f>
        <v/>
      </c>
      <c r="CU639" s="135" t="str">
        <f>IF($I639&lt;&gt;"",J639*IF(W639&lt;&gt;"AR",(CS639*K639)+CT639,(CS639*AB639)+CT639*(AB639/INDEX('Device Refrigerant Leakage'!$C$2:$C$42,MATCH($M639,'Device Refrigerant Leakage'!$B$2:$B$42,0)))),"")</f>
        <v/>
      </c>
      <c r="CW639" s="135" t="str">
        <f>IF($I639&lt;&gt;"",IF(S639="User Specified",V639,INDEX('Refrigerant GWPs'!$G$2:$G$156,MATCH(S639,'Refrigerant GWPs'!$A$2:$A$157,0))),"")</f>
        <v/>
      </c>
      <c r="CX639" s="138" t="str">
        <f>IF($I639&lt;&gt;"",INDEX('Device Refrigerant Leakage'!$E$2:$E$42,MATCH($Q639,'Device Refrigerant Leakage'!$B$2:$B$42,0)),"")</f>
        <v/>
      </c>
      <c r="CY639" s="138" t="str">
        <f>IF($I639&lt;&gt;"",INDEX('Device Refrigerant Leakage'!$F$2:$F$42,MATCH($Q639,'Device Refrigerant Leakage'!$B$2:$B$42,0)),"")</f>
        <v/>
      </c>
      <c r="CZ639" s="145" t="str">
        <f>IF($I639&lt;&gt;"",INDEX('Device Refrigerant Leakage'!$G$2:$G$42,MATCH($Q639,'Device Refrigerant Leakage'!$B$2:$B$42,0)),"")</f>
        <v/>
      </c>
      <c r="DA639" s="145" t="str">
        <f>IF($I639&lt;&gt;"",J639*INDEX('Device Refrigerant Leakage'!$D$2:$D$42,MATCH($Q639,'Device Refrigerant Leakage'!$B$2:$B$42,0))*CX639/2204.62*CW639,"")</f>
        <v/>
      </c>
      <c r="DB639" s="145" t="str">
        <f>IF($I639&lt;&gt;"",J639*(INDEX('Device Refrigerant Leakage'!$D$2:$D$42,MATCH($Q639,'Device Refrigerant Leakage'!$B$2:$B$42,0))-(INDEX('Device Refrigerant Leakage'!$D$2:$D$42,MATCH($Q639,'Device Refrigerant Leakage'!$B$2:$B$42,0)))*CZ639*CX639)*CY639/2204.62*CW639,"")</f>
        <v/>
      </c>
      <c r="DC639" s="135" t="str">
        <f t="shared" si="756"/>
        <v/>
      </c>
      <c r="DE639" s="146" t="str">
        <f>IF(W639&lt;&gt;"AR","",IF(Y639="User Specified", AA639, INDEX('Refrigerant GWPs'!$G$2:$G$154,MATCH(Y639,'Refrigerant GWPs'!$A$2:$A$154,0))))</f>
        <v/>
      </c>
      <c r="DF639" s="146" t="str">
        <f>IF(W639&lt;&gt;"AR","",INDEX('Device Refrigerant Leakage'!$E$2:$E$42,MATCH(X639,'Device Refrigerant Leakage'!$B$2:$B$42,0)))</f>
        <v/>
      </c>
      <c r="DG639" s="146" t="str">
        <f>IF(W639&lt;&gt;"AR","",INDEX('Device Refrigerant Leakage'!$F$2:$F$42,MATCH(X639,'Device Refrigerant Leakage'!$B$2:$B$42,0)))</f>
        <v/>
      </c>
      <c r="DH639" s="146" t="str">
        <f>IF(W639&lt;&gt;"AR","",INDEX('Device Refrigerant Leakage'!$G$2:$G$42,MATCH(X639,'Device Refrigerant Leakage'!$B$2:$B$42,0)))</f>
        <v/>
      </c>
      <c r="DI639" s="146" t="str">
        <f>IF(W639&lt;&gt;"AR","",J639*INDEX('Device Refrigerant Leakage'!$D$2:$D$42,MATCH(X639,'Device Refrigerant Leakage'!$B$2:$B$42,0))*DF639/2204.62*DE639)</f>
        <v/>
      </c>
      <c r="DJ639" s="146" t="str">
        <f>IF(W639&lt;&gt;"AR","",J639*(INDEX('Device Refrigerant Leakage'!$D$2:$D$42,MATCH(X639,'Device Refrigerant Leakage'!$B$2:$B$42,0))-(INDEX('Device Refrigerant Leakage'!$D$2:$D$42,MATCH(X639,'Device Refrigerant Leakage'!$B$2:$B$42,0)))*DH639*DF639)*DG639/2204.62*DE639)</f>
        <v/>
      </c>
      <c r="DK639" s="146" t="str">
        <f>IF(W639&lt;&gt;"AR","",DI639*(K639-AB639)+'Fuel Sub Calcs-Deemed'!DJ639*((K639-AB639)/INDEX('Device Refrigerant Leakage'!$C$2:$C$42,MATCH('Fuel Sub Calcs-Deemed'!X639,'Device Refrigerant Leakage'!$B$2:$B$42,0))))</f>
        <v/>
      </c>
      <c r="DM639" s="56">
        <v>625</v>
      </c>
      <c r="DN639" s="67" t="e">
        <f t="shared" si="738"/>
        <v>#N/A</v>
      </c>
      <c r="DO639" s="45" t="e">
        <f t="shared" si="739"/>
        <v>#N/A</v>
      </c>
      <c r="DP639" s="67" t="e">
        <f t="shared" si="740"/>
        <v>#N/A</v>
      </c>
      <c r="DQ639" s="45" t="e">
        <f t="shared" si="741"/>
        <v>#N/A</v>
      </c>
      <c r="DR639" s="69" t="e">
        <f t="shared" si="742"/>
        <v>#N/A</v>
      </c>
      <c r="DS639" s="34"/>
      <c r="DT639" s="67" t="e">
        <f>((BX639*CJ639)+IF($W639=MAT_AR,(BZ639*CL639),0))*(1+Reference!$E$50+Reference!$E$51)</f>
        <v>#N/A</v>
      </c>
      <c r="DU639" s="67">
        <f>((BY639*CK639)+IF($W639=MAT_AR,(CA639*CM639),0))*(1+Reference!$G$50+Reference!$G$51)</f>
        <v>0</v>
      </c>
      <c r="DV639" s="67" t="e">
        <f t="shared" si="743"/>
        <v>#VALUE!</v>
      </c>
      <c r="DX639" s="56">
        <v>625</v>
      </c>
      <c r="DY639" s="67">
        <f t="shared" si="744"/>
        <v>0</v>
      </c>
      <c r="DZ639" s="45" t="e">
        <f>VLOOKUP($R639,Dropdown!$C$3:$D$4,2,FALSE)</f>
        <v>#N/A</v>
      </c>
      <c r="EA639" s="68">
        <f t="shared" si="745"/>
        <v>0</v>
      </c>
      <c r="EB639" s="68" t="str">
        <f t="shared" si="746"/>
        <v>N/A</v>
      </c>
      <c r="EC639" s="68">
        <f t="shared" si="747"/>
        <v>0</v>
      </c>
      <c r="ED639" s="68" t="str">
        <f t="shared" si="785"/>
        <v>N/A</v>
      </c>
      <c r="EF639" s="56">
        <v>625</v>
      </c>
      <c r="EG639" s="46">
        <f t="shared" si="748"/>
        <v>0</v>
      </c>
      <c r="EH639" s="68" t="e">
        <f t="shared" si="749"/>
        <v>#N/A</v>
      </c>
      <c r="EI639" s="68" t="e">
        <f t="shared" si="750"/>
        <v>#N/A</v>
      </c>
      <c r="EJ639" s="68" t="e">
        <f t="shared" si="751"/>
        <v>#N/A</v>
      </c>
      <c r="EK639" s="68" t="e">
        <f t="shared" si="752"/>
        <v>#N/A</v>
      </c>
      <c r="EL639" s="46">
        <f t="shared" si="753"/>
        <v>0</v>
      </c>
      <c r="EM639" s="46">
        <f t="shared" si="754"/>
        <v>0</v>
      </c>
    </row>
    <row r="640" spans="1:143">
      <c r="A640" s="89"/>
      <c r="B640" s="89"/>
      <c r="C640" s="89"/>
      <c r="D640" s="89"/>
      <c r="E640" s="89"/>
      <c r="F640" s="89"/>
      <c r="G640" s="34"/>
      <c r="H640" s="56">
        <f t="shared" si="755"/>
        <v>626</v>
      </c>
      <c r="I640" s="165"/>
      <c r="J640" s="163"/>
      <c r="K640" s="163"/>
      <c r="L640" s="164"/>
      <c r="M640" s="155"/>
      <c r="N640" s="155"/>
      <c r="O640" s="144"/>
      <c r="P640" s="159" t="str">
        <f>IFERROR(IF(O640&lt;&gt;"User Specified",IF(O640&lt;&gt;"", INDEX('Refrigerant GWPs'!$G$2:$G$154,MATCH(O640,'Refrigerant GWPs'!$A$2:$A$154,0)),""),U640),0)</f>
        <v/>
      </c>
      <c r="Q640" s="155"/>
      <c r="R640" s="155"/>
      <c r="S640" s="144"/>
      <c r="T640" s="159" t="str">
        <f>IF(S640&lt;&gt;"User Specified",IF(AND(S640&lt;&gt;"User Specified",S640&lt;&gt;""), INDEX('Refrigerant GWPs'!$G$2:$G$154,MATCH(S640,'Refrigerant GWPs'!$A$2:$A$154,0)),""),V640)</f>
        <v/>
      </c>
      <c r="U640" s="144"/>
      <c r="V640" s="144"/>
      <c r="W640" s="155"/>
      <c r="X640" s="155"/>
      <c r="Y640" s="144"/>
      <c r="Z640" s="159" t="str">
        <f>IF(AND(Y640&lt;&gt;"User Specified",Y640&lt;&gt;""), INDEX('Refrigerant GWPs'!$G$2:$G$154,MATCH(Y640,'Refrigerant GWPs'!$A$2:$A$154,0)),"")</f>
        <v/>
      </c>
      <c r="AA640" s="155"/>
      <c r="AB640" s="156"/>
      <c r="AC640" s="66"/>
      <c r="AD640" s="66"/>
      <c r="AE640" s="66"/>
      <c r="AF640" s="66"/>
      <c r="AG640" s="66"/>
      <c r="AH640" s="66"/>
      <c r="AI640" s="34"/>
      <c r="AJ640" s="88">
        <f t="shared" si="718"/>
        <v>0</v>
      </c>
      <c r="AK640" s="88">
        <f t="shared" si="719"/>
        <v>0</v>
      </c>
      <c r="AL640" s="88">
        <v>0</v>
      </c>
      <c r="AM640" s="88">
        <v>0</v>
      </c>
      <c r="AN640" s="81" t="str">
        <f t="shared" si="757"/>
        <v/>
      </c>
      <c r="AO640" s="88">
        <f t="shared" si="720"/>
        <v>0</v>
      </c>
      <c r="AP640" s="88">
        <f t="shared" si="721"/>
        <v>0</v>
      </c>
      <c r="AQ640" s="81" t="str">
        <f t="shared" si="722"/>
        <v/>
      </c>
      <c r="AS640" s="41" t="b">
        <f t="shared" si="723"/>
        <v>1</v>
      </c>
      <c r="AT640" s="38">
        <f t="shared" si="724"/>
        <v>0</v>
      </c>
      <c r="AU640" s="60">
        <f t="shared" si="725"/>
        <v>0</v>
      </c>
      <c r="AV640" s="41">
        <f t="shared" si="726"/>
        <v>0</v>
      </c>
      <c r="AW640" s="41" t="b">
        <f t="shared" si="727"/>
        <v>0</v>
      </c>
      <c r="AX640" t="str">
        <f t="shared" si="728"/>
        <v>+00</v>
      </c>
      <c r="AY640" t="str">
        <f t="shared" si="729"/>
        <v>+00</v>
      </c>
      <c r="BA640" s="47" t="b">
        <f t="shared" si="758"/>
        <v>1</v>
      </c>
      <c r="BB640" s="42" t="b">
        <f t="shared" si="759"/>
        <v>1</v>
      </c>
      <c r="BC640" s="42" t="b">
        <f t="shared" si="760"/>
        <v>0</v>
      </c>
      <c r="BD640" s="42" t="b">
        <f t="shared" si="761"/>
        <v>0</v>
      </c>
      <c r="BE640" s="70">
        <f t="shared" si="762"/>
        <v>0</v>
      </c>
      <c r="BF640" s="70">
        <f t="shared" si="763"/>
        <v>0</v>
      </c>
      <c r="BG640" s="34"/>
      <c r="BI640" s="47" t="b">
        <f t="shared" si="764"/>
        <v>1</v>
      </c>
      <c r="BJ640" s="47" t="b">
        <f t="shared" si="765"/>
        <v>1</v>
      </c>
      <c r="BK640" s="42" t="b">
        <f t="shared" si="766"/>
        <v>0</v>
      </c>
      <c r="BL640" s="42" t="b">
        <f t="shared" si="767"/>
        <v>0</v>
      </c>
      <c r="BM640" s="42">
        <f t="shared" si="768"/>
        <v>0</v>
      </c>
      <c r="BN640" s="42">
        <f t="shared" si="769"/>
        <v>0</v>
      </c>
      <c r="BP640" t="e">
        <f t="shared" si="770"/>
        <v>#N/A</v>
      </c>
      <c r="BQ640" t="e">
        <f t="shared" si="771"/>
        <v>#N/A</v>
      </c>
      <c r="BR640" t="e">
        <f t="shared" si="772"/>
        <v>#N/A</v>
      </c>
      <c r="BT640" s="60">
        <f t="shared" si="773"/>
        <v>0</v>
      </c>
      <c r="BU640" s="60">
        <f t="shared" si="774"/>
        <v>0</v>
      </c>
      <c r="BV640" s="60">
        <f t="shared" si="775"/>
        <v>0</v>
      </c>
      <c r="BW640" s="60">
        <f t="shared" si="776"/>
        <v>0</v>
      </c>
      <c r="BX640" s="60">
        <f t="shared" si="777"/>
        <v>0</v>
      </c>
      <c r="BY640" s="60">
        <f t="shared" si="778"/>
        <v>0</v>
      </c>
      <c r="BZ640" s="60">
        <f t="shared" si="779"/>
        <v>0</v>
      </c>
      <c r="CA640" s="60">
        <f t="shared" si="780"/>
        <v>0</v>
      </c>
      <c r="CB640" s="60" t="e">
        <f t="shared" si="730"/>
        <v>#N/A</v>
      </c>
      <c r="CC640" s="60">
        <f t="shared" si="731"/>
        <v>100000</v>
      </c>
      <c r="CD640" s="60" t="e">
        <f t="shared" si="732"/>
        <v>#N/A</v>
      </c>
      <c r="CE640" s="60">
        <f t="shared" si="733"/>
        <v>100000</v>
      </c>
      <c r="CF640" s="83" t="e">
        <f t="shared" si="781"/>
        <v>#N/A</v>
      </c>
      <c r="CG640" s="83">
        <f t="shared" si="782"/>
        <v>0</v>
      </c>
      <c r="CH640" s="83" t="e">
        <f t="shared" si="783"/>
        <v>#N/A</v>
      </c>
      <c r="CI640" s="83">
        <f t="shared" si="784"/>
        <v>0</v>
      </c>
      <c r="CJ640" s="86" t="e">
        <f t="shared" si="734"/>
        <v>#N/A</v>
      </c>
      <c r="CK640" s="82">
        <f t="shared" si="735"/>
        <v>5.3070370403969858E-3</v>
      </c>
      <c r="CL640" s="82" t="e">
        <f t="shared" si="736"/>
        <v>#N/A</v>
      </c>
      <c r="CM640" s="82">
        <f t="shared" si="737"/>
        <v>5.3070370403969858E-3</v>
      </c>
      <c r="CO640" s="149" t="str">
        <f>IF($I640&lt;&gt;"",IF(O640="User Specified",U640,INDEX('Refrigerant GWPs'!$G$2:$G$156,MATCH(O640,'Refrigerant GWPs'!$A$2:$A$156,0))),"")</f>
        <v/>
      </c>
      <c r="CP640" s="138" t="str">
        <f>IF($I640&lt;&gt;"",INDEX('Device Refrigerant Leakage'!$E$2:$E$42,MATCH($M640,'Device Refrigerant Leakage'!$B$2:$B$42,0)),"")</f>
        <v/>
      </c>
      <c r="CQ640" s="138" t="str">
        <f>IF($I640&lt;&gt;"",INDEX('Device Refrigerant Leakage'!$F$2:$F$42,MATCH($M640,'Device Refrigerant Leakage'!$B$2:$B$42,0)),"")</f>
        <v/>
      </c>
      <c r="CR640" s="145" t="str">
        <f>IF($I640&lt;&gt;"",INDEX('Device Refrigerant Leakage'!$G$2:$G$42,MATCH($M640,'Device Refrigerant Leakage'!$B$2:$B$42,0)),"")</f>
        <v/>
      </c>
      <c r="CS640" s="145" t="str">
        <f>IF($I640&lt;&gt;"",INDEX('Device Refrigerant Leakage'!$D$2:$D$42,MATCH($M640,'Device Refrigerant Leakage'!$B$2:$B$42,0))*CP640/2204.62*CO640,"")</f>
        <v/>
      </c>
      <c r="CT640" s="145" t="str">
        <f>IF($I640&lt;&gt;"",J640*(INDEX('Device Refrigerant Leakage'!$D$2:$D$42,MATCH($M640,'Device Refrigerant Leakage'!$B$2:$B$42,0))-(INDEX('Device Refrigerant Leakage'!$D$2:$D$42,MATCH($M640,'Device Refrigerant Leakage'!$B$2:$B$42,0)))*CR640*CP640)*CQ640/2204.62*CO640,"")</f>
        <v/>
      </c>
      <c r="CU640" s="135" t="str">
        <f>IF($I640&lt;&gt;"",J640*IF(W640&lt;&gt;"AR",(CS640*K640)+CT640,(CS640*AB640)+CT640*(AB640/INDEX('Device Refrigerant Leakage'!$C$2:$C$42,MATCH($M640,'Device Refrigerant Leakage'!$B$2:$B$42,0)))),"")</f>
        <v/>
      </c>
      <c r="CW640" s="135" t="str">
        <f>IF($I640&lt;&gt;"",IF(S640="User Specified",V640,INDEX('Refrigerant GWPs'!$G$2:$G$156,MATCH(S640,'Refrigerant GWPs'!$A$2:$A$157,0))),"")</f>
        <v/>
      </c>
      <c r="CX640" s="138" t="str">
        <f>IF($I640&lt;&gt;"",INDEX('Device Refrigerant Leakage'!$E$2:$E$42,MATCH($Q640,'Device Refrigerant Leakage'!$B$2:$B$42,0)),"")</f>
        <v/>
      </c>
      <c r="CY640" s="138" t="str">
        <f>IF($I640&lt;&gt;"",INDEX('Device Refrigerant Leakage'!$F$2:$F$42,MATCH($Q640,'Device Refrigerant Leakage'!$B$2:$B$42,0)),"")</f>
        <v/>
      </c>
      <c r="CZ640" s="145" t="str">
        <f>IF($I640&lt;&gt;"",INDEX('Device Refrigerant Leakage'!$G$2:$G$42,MATCH($Q640,'Device Refrigerant Leakage'!$B$2:$B$42,0)),"")</f>
        <v/>
      </c>
      <c r="DA640" s="145" t="str">
        <f>IF($I640&lt;&gt;"",J640*INDEX('Device Refrigerant Leakage'!$D$2:$D$42,MATCH($Q640,'Device Refrigerant Leakage'!$B$2:$B$42,0))*CX640/2204.62*CW640,"")</f>
        <v/>
      </c>
      <c r="DB640" s="145" t="str">
        <f>IF($I640&lt;&gt;"",J640*(INDEX('Device Refrigerant Leakage'!$D$2:$D$42,MATCH($Q640,'Device Refrigerant Leakage'!$B$2:$B$42,0))-(INDEX('Device Refrigerant Leakage'!$D$2:$D$42,MATCH($Q640,'Device Refrigerant Leakage'!$B$2:$B$42,0)))*CZ640*CX640)*CY640/2204.62*CW640,"")</f>
        <v/>
      </c>
      <c r="DC640" s="135" t="str">
        <f t="shared" si="756"/>
        <v/>
      </c>
      <c r="DE640" s="146" t="str">
        <f>IF(W640&lt;&gt;"AR","",IF(Y640="User Specified", AA640, INDEX('Refrigerant GWPs'!$G$2:$G$154,MATCH(Y640,'Refrigerant GWPs'!$A$2:$A$154,0))))</f>
        <v/>
      </c>
      <c r="DF640" s="146" t="str">
        <f>IF(W640&lt;&gt;"AR","",INDEX('Device Refrigerant Leakage'!$E$2:$E$42,MATCH(X640,'Device Refrigerant Leakage'!$B$2:$B$42,0)))</f>
        <v/>
      </c>
      <c r="DG640" s="146" t="str">
        <f>IF(W640&lt;&gt;"AR","",INDEX('Device Refrigerant Leakage'!$F$2:$F$42,MATCH(X640,'Device Refrigerant Leakage'!$B$2:$B$42,0)))</f>
        <v/>
      </c>
      <c r="DH640" s="146" t="str">
        <f>IF(W640&lt;&gt;"AR","",INDEX('Device Refrigerant Leakage'!$G$2:$G$42,MATCH(X640,'Device Refrigerant Leakage'!$B$2:$B$42,0)))</f>
        <v/>
      </c>
      <c r="DI640" s="146" t="str">
        <f>IF(W640&lt;&gt;"AR","",J640*INDEX('Device Refrigerant Leakage'!$D$2:$D$42,MATCH(X640,'Device Refrigerant Leakage'!$B$2:$B$42,0))*DF640/2204.62*DE640)</f>
        <v/>
      </c>
      <c r="DJ640" s="146" t="str">
        <f>IF(W640&lt;&gt;"AR","",J640*(INDEX('Device Refrigerant Leakage'!$D$2:$D$42,MATCH(X640,'Device Refrigerant Leakage'!$B$2:$B$42,0))-(INDEX('Device Refrigerant Leakage'!$D$2:$D$42,MATCH(X640,'Device Refrigerant Leakage'!$B$2:$B$42,0)))*DH640*DF640)*DG640/2204.62*DE640)</f>
        <v/>
      </c>
      <c r="DK640" s="146" t="str">
        <f>IF(W640&lt;&gt;"AR","",DI640*(K640-AB640)+'Fuel Sub Calcs-Deemed'!DJ640*((K640-AB640)/INDEX('Device Refrigerant Leakage'!$C$2:$C$42,MATCH('Fuel Sub Calcs-Deemed'!X640,'Device Refrigerant Leakage'!$B$2:$B$42,0))))</f>
        <v/>
      </c>
      <c r="DM640" s="56">
        <v>626</v>
      </c>
      <c r="DN640" s="67" t="e">
        <f t="shared" si="738"/>
        <v>#N/A</v>
      </c>
      <c r="DO640" s="45" t="e">
        <f t="shared" si="739"/>
        <v>#N/A</v>
      </c>
      <c r="DP640" s="67" t="e">
        <f t="shared" si="740"/>
        <v>#N/A</v>
      </c>
      <c r="DQ640" s="45" t="e">
        <f t="shared" si="741"/>
        <v>#N/A</v>
      </c>
      <c r="DR640" s="69" t="e">
        <f t="shared" si="742"/>
        <v>#N/A</v>
      </c>
      <c r="DS640" s="34"/>
      <c r="DT640" s="67" t="e">
        <f>((BX640*CJ640)+IF($W640=MAT_AR,(BZ640*CL640),0))*(1+Reference!$E$50+Reference!$E$51)</f>
        <v>#N/A</v>
      </c>
      <c r="DU640" s="67">
        <f>((BY640*CK640)+IF($W640=MAT_AR,(CA640*CM640),0))*(1+Reference!$G$50+Reference!$G$51)</f>
        <v>0</v>
      </c>
      <c r="DV640" s="67" t="e">
        <f t="shared" si="743"/>
        <v>#VALUE!</v>
      </c>
      <c r="DX640" s="56">
        <v>626</v>
      </c>
      <c r="DY640" s="67">
        <f t="shared" si="744"/>
        <v>0</v>
      </c>
      <c r="DZ640" s="45" t="e">
        <f>VLOOKUP($R640,Dropdown!$C$3:$D$4,2,FALSE)</f>
        <v>#N/A</v>
      </c>
      <c r="EA640" s="68">
        <f t="shared" si="745"/>
        <v>0</v>
      </c>
      <c r="EB640" s="68" t="str">
        <f t="shared" si="746"/>
        <v>N/A</v>
      </c>
      <c r="EC640" s="68">
        <f t="shared" si="747"/>
        <v>0</v>
      </c>
      <c r="ED640" s="68" t="str">
        <f t="shared" si="785"/>
        <v>N/A</v>
      </c>
      <c r="EF640" s="56">
        <v>626</v>
      </c>
      <c r="EG640" s="46">
        <f t="shared" si="748"/>
        <v>0</v>
      </c>
      <c r="EH640" s="68" t="e">
        <f t="shared" si="749"/>
        <v>#N/A</v>
      </c>
      <c r="EI640" s="68" t="e">
        <f t="shared" si="750"/>
        <v>#N/A</v>
      </c>
      <c r="EJ640" s="68" t="e">
        <f t="shared" si="751"/>
        <v>#N/A</v>
      </c>
      <c r="EK640" s="68" t="e">
        <f t="shared" si="752"/>
        <v>#N/A</v>
      </c>
      <c r="EL640" s="46">
        <f t="shared" si="753"/>
        <v>0</v>
      </c>
      <c r="EM640" s="46">
        <f t="shared" si="754"/>
        <v>0</v>
      </c>
    </row>
    <row r="641" spans="1:143">
      <c r="A641" s="89"/>
      <c r="B641" s="89"/>
      <c r="C641" s="89"/>
      <c r="D641" s="89"/>
      <c r="E641" s="89"/>
      <c r="F641" s="89"/>
      <c r="G641" s="34"/>
      <c r="H641" s="56">
        <f t="shared" si="755"/>
        <v>627</v>
      </c>
      <c r="I641" s="165"/>
      <c r="J641" s="163"/>
      <c r="K641" s="163"/>
      <c r="L641" s="164"/>
      <c r="M641" s="155"/>
      <c r="N641" s="155"/>
      <c r="O641" s="144"/>
      <c r="P641" s="159" t="str">
        <f>IFERROR(IF(O641&lt;&gt;"User Specified",IF(O641&lt;&gt;"", INDEX('Refrigerant GWPs'!$G$2:$G$154,MATCH(O641,'Refrigerant GWPs'!$A$2:$A$154,0)),""),U641),0)</f>
        <v/>
      </c>
      <c r="Q641" s="155"/>
      <c r="R641" s="155"/>
      <c r="S641" s="144"/>
      <c r="T641" s="159" t="str">
        <f>IF(S641&lt;&gt;"User Specified",IF(AND(S641&lt;&gt;"User Specified",S641&lt;&gt;""), INDEX('Refrigerant GWPs'!$G$2:$G$154,MATCH(S641,'Refrigerant GWPs'!$A$2:$A$154,0)),""),V641)</f>
        <v/>
      </c>
      <c r="U641" s="144"/>
      <c r="V641" s="144"/>
      <c r="W641" s="155"/>
      <c r="X641" s="155"/>
      <c r="Y641" s="144"/>
      <c r="Z641" s="159" t="str">
        <f>IF(AND(Y641&lt;&gt;"User Specified",Y641&lt;&gt;""), INDEX('Refrigerant GWPs'!$G$2:$G$154,MATCH(Y641,'Refrigerant GWPs'!$A$2:$A$154,0)),"")</f>
        <v/>
      </c>
      <c r="AA641" s="155"/>
      <c r="AB641" s="156"/>
      <c r="AC641" s="66"/>
      <c r="AD641" s="66"/>
      <c r="AE641" s="66"/>
      <c r="AF641" s="66"/>
      <c r="AG641" s="66"/>
      <c r="AH641" s="66"/>
      <c r="AI641" s="34"/>
      <c r="AJ641" s="88">
        <f t="shared" si="718"/>
        <v>0</v>
      </c>
      <c r="AK641" s="88">
        <f t="shared" si="719"/>
        <v>0</v>
      </c>
      <c r="AL641" s="88">
        <v>0</v>
      </c>
      <c r="AM641" s="88">
        <v>0</v>
      </c>
      <c r="AN641" s="81" t="str">
        <f t="shared" si="757"/>
        <v/>
      </c>
      <c r="AO641" s="88">
        <f t="shared" si="720"/>
        <v>0</v>
      </c>
      <c r="AP641" s="88">
        <f t="shared" si="721"/>
        <v>0</v>
      </c>
      <c r="AQ641" s="81" t="str">
        <f t="shared" si="722"/>
        <v/>
      </c>
      <c r="AS641" s="41" t="b">
        <f t="shared" si="723"/>
        <v>1</v>
      </c>
      <c r="AT641" s="38">
        <f t="shared" si="724"/>
        <v>0</v>
      </c>
      <c r="AU641" s="60">
        <f t="shared" si="725"/>
        <v>0</v>
      </c>
      <c r="AV641" s="41">
        <f t="shared" si="726"/>
        <v>0</v>
      </c>
      <c r="AW641" s="41" t="b">
        <f t="shared" si="727"/>
        <v>0</v>
      </c>
      <c r="AX641" t="str">
        <f t="shared" si="728"/>
        <v>+00</v>
      </c>
      <c r="AY641" t="str">
        <f t="shared" si="729"/>
        <v>+00</v>
      </c>
      <c r="BA641" s="47" t="b">
        <f t="shared" si="758"/>
        <v>1</v>
      </c>
      <c r="BB641" s="42" t="b">
        <f t="shared" si="759"/>
        <v>1</v>
      </c>
      <c r="BC641" s="42" t="b">
        <f t="shared" si="760"/>
        <v>0</v>
      </c>
      <c r="BD641" s="42" t="b">
        <f t="shared" si="761"/>
        <v>0</v>
      </c>
      <c r="BE641" s="70">
        <f t="shared" si="762"/>
        <v>0</v>
      </c>
      <c r="BF641" s="70">
        <f t="shared" si="763"/>
        <v>0</v>
      </c>
      <c r="BG641" s="34"/>
      <c r="BI641" s="47" t="b">
        <f t="shared" si="764"/>
        <v>1</v>
      </c>
      <c r="BJ641" s="47" t="b">
        <f t="shared" si="765"/>
        <v>1</v>
      </c>
      <c r="BK641" s="42" t="b">
        <f t="shared" si="766"/>
        <v>0</v>
      </c>
      <c r="BL641" s="42" t="b">
        <f t="shared" si="767"/>
        <v>0</v>
      </c>
      <c r="BM641" s="42">
        <f t="shared" si="768"/>
        <v>0</v>
      </c>
      <c r="BN641" s="42">
        <f t="shared" si="769"/>
        <v>0</v>
      </c>
      <c r="BP641" t="e">
        <f t="shared" si="770"/>
        <v>#N/A</v>
      </c>
      <c r="BQ641" t="e">
        <f t="shared" si="771"/>
        <v>#N/A</v>
      </c>
      <c r="BR641" t="e">
        <f t="shared" si="772"/>
        <v>#N/A</v>
      </c>
      <c r="BT641" s="60">
        <f t="shared" si="773"/>
        <v>0</v>
      </c>
      <c r="BU641" s="60">
        <f t="shared" si="774"/>
        <v>0</v>
      </c>
      <c r="BV641" s="60">
        <f t="shared" si="775"/>
        <v>0</v>
      </c>
      <c r="BW641" s="60">
        <f t="shared" si="776"/>
        <v>0</v>
      </c>
      <c r="BX641" s="60">
        <f t="shared" si="777"/>
        <v>0</v>
      </c>
      <c r="BY641" s="60">
        <f t="shared" si="778"/>
        <v>0</v>
      </c>
      <c r="BZ641" s="60">
        <f t="shared" si="779"/>
        <v>0</v>
      </c>
      <c r="CA641" s="60">
        <f t="shared" si="780"/>
        <v>0</v>
      </c>
      <c r="CB641" s="60" t="e">
        <f t="shared" si="730"/>
        <v>#N/A</v>
      </c>
      <c r="CC641" s="60">
        <f t="shared" si="731"/>
        <v>100000</v>
      </c>
      <c r="CD641" s="60" t="e">
        <f t="shared" si="732"/>
        <v>#N/A</v>
      </c>
      <c r="CE641" s="60">
        <f t="shared" si="733"/>
        <v>100000</v>
      </c>
      <c r="CF641" s="83" t="e">
        <f t="shared" si="781"/>
        <v>#N/A</v>
      </c>
      <c r="CG641" s="83">
        <f t="shared" si="782"/>
        <v>0</v>
      </c>
      <c r="CH641" s="83" t="e">
        <f t="shared" si="783"/>
        <v>#N/A</v>
      </c>
      <c r="CI641" s="83">
        <f t="shared" si="784"/>
        <v>0</v>
      </c>
      <c r="CJ641" s="86" t="e">
        <f t="shared" si="734"/>
        <v>#N/A</v>
      </c>
      <c r="CK641" s="82">
        <f t="shared" si="735"/>
        <v>5.3070370403969858E-3</v>
      </c>
      <c r="CL641" s="82" t="e">
        <f t="shared" si="736"/>
        <v>#N/A</v>
      </c>
      <c r="CM641" s="82">
        <f t="shared" si="737"/>
        <v>5.3070370403969858E-3</v>
      </c>
      <c r="CO641" s="149" t="str">
        <f>IF($I641&lt;&gt;"",IF(O641="User Specified",U641,INDEX('Refrigerant GWPs'!$G$2:$G$156,MATCH(O641,'Refrigerant GWPs'!$A$2:$A$156,0))),"")</f>
        <v/>
      </c>
      <c r="CP641" s="138" t="str">
        <f>IF($I641&lt;&gt;"",INDEX('Device Refrigerant Leakage'!$E$2:$E$42,MATCH($M641,'Device Refrigerant Leakage'!$B$2:$B$42,0)),"")</f>
        <v/>
      </c>
      <c r="CQ641" s="138" t="str">
        <f>IF($I641&lt;&gt;"",INDEX('Device Refrigerant Leakage'!$F$2:$F$42,MATCH($M641,'Device Refrigerant Leakage'!$B$2:$B$42,0)),"")</f>
        <v/>
      </c>
      <c r="CR641" s="145" t="str">
        <f>IF($I641&lt;&gt;"",INDEX('Device Refrigerant Leakage'!$G$2:$G$42,MATCH($M641,'Device Refrigerant Leakage'!$B$2:$B$42,0)),"")</f>
        <v/>
      </c>
      <c r="CS641" s="145" t="str">
        <f>IF($I641&lt;&gt;"",INDEX('Device Refrigerant Leakage'!$D$2:$D$42,MATCH($M641,'Device Refrigerant Leakage'!$B$2:$B$42,0))*CP641/2204.62*CO641,"")</f>
        <v/>
      </c>
      <c r="CT641" s="145" t="str">
        <f>IF($I641&lt;&gt;"",J641*(INDEX('Device Refrigerant Leakage'!$D$2:$D$42,MATCH($M641,'Device Refrigerant Leakage'!$B$2:$B$42,0))-(INDEX('Device Refrigerant Leakage'!$D$2:$D$42,MATCH($M641,'Device Refrigerant Leakage'!$B$2:$B$42,0)))*CR641*CP641)*CQ641/2204.62*CO641,"")</f>
        <v/>
      </c>
      <c r="CU641" s="135" t="str">
        <f>IF($I641&lt;&gt;"",J641*IF(W641&lt;&gt;"AR",(CS641*K641)+CT641,(CS641*AB641)+CT641*(AB641/INDEX('Device Refrigerant Leakage'!$C$2:$C$42,MATCH($M641,'Device Refrigerant Leakage'!$B$2:$B$42,0)))),"")</f>
        <v/>
      </c>
      <c r="CW641" s="135" t="str">
        <f>IF($I641&lt;&gt;"",IF(S641="User Specified",V641,INDEX('Refrigerant GWPs'!$G$2:$G$156,MATCH(S641,'Refrigerant GWPs'!$A$2:$A$157,0))),"")</f>
        <v/>
      </c>
      <c r="CX641" s="138" t="str">
        <f>IF($I641&lt;&gt;"",INDEX('Device Refrigerant Leakage'!$E$2:$E$42,MATCH($Q641,'Device Refrigerant Leakage'!$B$2:$B$42,0)),"")</f>
        <v/>
      </c>
      <c r="CY641" s="138" t="str">
        <f>IF($I641&lt;&gt;"",INDEX('Device Refrigerant Leakage'!$F$2:$F$42,MATCH($Q641,'Device Refrigerant Leakage'!$B$2:$B$42,0)),"")</f>
        <v/>
      </c>
      <c r="CZ641" s="145" t="str">
        <f>IF($I641&lt;&gt;"",INDEX('Device Refrigerant Leakage'!$G$2:$G$42,MATCH($Q641,'Device Refrigerant Leakage'!$B$2:$B$42,0)),"")</f>
        <v/>
      </c>
      <c r="DA641" s="145" t="str">
        <f>IF($I641&lt;&gt;"",J641*INDEX('Device Refrigerant Leakage'!$D$2:$D$42,MATCH($Q641,'Device Refrigerant Leakage'!$B$2:$B$42,0))*CX641/2204.62*CW641,"")</f>
        <v/>
      </c>
      <c r="DB641" s="145" t="str">
        <f>IF($I641&lt;&gt;"",J641*(INDEX('Device Refrigerant Leakage'!$D$2:$D$42,MATCH($Q641,'Device Refrigerant Leakage'!$B$2:$B$42,0))-(INDEX('Device Refrigerant Leakage'!$D$2:$D$42,MATCH($Q641,'Device Refrigerant Leakage'!$B$2:$B$42,0)))*CZ641*CX641)*CY641/2204.62*CW641,"")</f>
        <v/>
      </c>
      <c r="DC641" s="135" t="str">
        <f t="shared" si="756"/>
        <v/>
      </c>
      <c r="DE641" s="146" t="str">
        <f>IF(W641&lt;&gt;"AR","",IF(Y641="User Specified", AA641, INDEX('Refrigerant GWPs'!$G$2:$G$154,MATCH(Y641,'Refrigerant GWPs'!$A$2:$A$154,0))))</f>
        <v/>
      </c>
      <c r="DF641" s="146" t="str">
        <f>IF(W641&lt;&gt;"AR","",INDEX('Device Refrigerant Leakage'!$E$2:$E$42,MATCH(X641,'Device Refrigerant Leakage'!$B$2:$B$42,0)))</f>
        <v/>
      </c>
      <c r="DG641" s="146" t="str">
        <f>IF(W641&lt;&gt;"AR","",INDEX('Device Refrigerant Leakage'!$F$2:$F$42,MATCH(X641,'Device Refrigerant Leakage'!$B$2:$B$42,0)))</f>
        <v/>
      </c>
      <c r="DH641" s="146" t="str">
        <f>IF(W641&lt;&gt;"AR","",INDEX('Device Refrigerant Leakage'!$G$2:$G$42,MATCH(X641,'Device Refrigerant Leakage'!$B$2:$B$42,0)))</f>
        <v/>
      </c>
      <c r="DI641" s="146" t="str">
        <f>IF(W641&lt;&gt;"AR","",J641*INDEX('Device Refrigerant Leakage'!$D$2:$D$42,MATCH(X641,'Device Refrigerant Leakage'!$B$2:$B$42,0))*DF641/2204.62*DE641)</f>
        <v/>
      </c>
      <c r="DJ641" s="146" t="str">
        <f>IF(W641&lt;&gt;"AR","",J641*(INDEX('Device Refrigerant Leakage'!$D$2:$D$42,MATCH(X641,'Device Refrigerant Leakage'!$B$2:$B$42,0))-(INDEX('Device Refrigerant Leakage'!$D$2:$D$42,MATCH(X641,'Device Refrigerant Leakage'!$B$2:$B$42,0)))*DH641*DF641)*DG641/2204.62*DE641)</f>
        <v/>
      </c>
      <c r="DK641" s="146" t="str">
        <f>IF(W641&lt;&gt;"AR","",DI641*(K641-AB641)+'Fuel Sub Calcs-Deemed'!DJ641*((K641-AB641)/INDEX('Device Refrigerant Leakage'!$C$2:$C$42,MATCH('Fuel Sub Calcs-Deemed'!X641,'Device Refrigerant Leakage'!$B$2:$B$42,0))))</f>
        <v/>
      </c>
      <c r="DM641" s="56">
        <v>627</v>
      </c>
      <c r="DN641" s="67" t="e">
        <f t="shared" si="738"/>
        <v>#N/A</v>
      </c>
      <c r="DO641" s="45" t="e">
        <f t="shared" si="739"/>
        <v>#N/A</v>
      </c>
      <c r="DP641" s="67" t="e">
        <f t="shared" si="740"/>
        <v>#N/A</v>
      </c>
      <c r="DQ641" s="45" t="e">
        <f t="shared" si="741"/>
        <v>#N/A</v>
      </c>
      <c r="DR641" s="69" t="e">
        <f t="shared" si="742"/>
        <v>#N/A</v>
      </c>
      <c r="DS641" s="34"/>
      <c r="DT641" s="67" t="e">
        <f>((BX641*CJ641)+IF($W641=MAT_AR,(BZ641*CL641),0))*(1+Reference!$E$50+Reference!$E$51)</f>
        <v>#N/A</v>
      </c>
      <c r="DU641" s="67">
        <f>((BY641*CK641)+IF($W641=MAT_AR,(CA641*CM641),0))*(1+Reference!$G$50+Reference!$G$51)</f>
        <v>0</v>
      </c>
      <c r="DV641" s="67" t="e">
        <f t="shared" si="743"/>
        <v>#VALUE!</v>
      </c>
      <c r="DX641" s="56">
        <v>627</v>
      </c>
      <c r="DY641" s="67">
        <f t="shared" si="744"/>
        <v>0</v>
      </c>
      <c r="DZ641" s="45" t="e">
        <f>VLOOKUP($R641,Dropdown!$C$3:$D$4,2,FALSE)</f>
        <v>#N/A</v>
      </c>
      <c r="EA641" s="68">
        <f t="shared" si="745"/>
        <v>0</v>
      </c>
      <c r="EB641" s="68" t="str">
        <f t="shared" si="746"/>
        <v>N/A</v>
      </c>
      <c r="EC641" s="68">
        <f t="shared" si="747"/>
        <v>0</v>
      </c>
      <c r="ED641" s="68" t="str">
        <f t="shared" si="785"/>
        <v>N/A</v>
      </c>
      <c r="EF641" s="56">
        <v>627</v>
      </c>
      <c r="EG641" s="46">
        <f t="shared" si="748"/>
        <v>0</v>
      </c>
      <c r="EH641" s="68" t="e">
        <f t="shared" si="749"/>
        <v>#N/A</v>
      </c>
      <c r="EI641" s="68" t="e">
        <f t="shared" si="750"/>
        <v>#N/A</v>
      </c>
      <c r="EJ641" s="68" t="e">
        <f t="shared" si="751"/>
        <v>#N/A</v>
      </c>
      <c r="EK641" s="68" t="e">
        <f t="shared" si="752"/>
        <v>#N/A</v>
      </c>
      <c r="EL641" s="46">
        <f t="shared" si="753"/>
        <v>0</v>
      </c>
      <c r="EM641" s="46">
        <f t="shared" si="754"/>
        <v>0</v>
      </c>
    </row>
    <row r="642" spans="1:143">
      <c r="A642" s="89"/>
      <c r="B642" s="89"/>
      <c r="C642" s="89"/>
      <c r="D642" s="89"/>
      <c r="E642" s="89"/>
      <c r="F642" s="89"/>
      <c r="G642" s="34"/>
      <c r="H642" s="56">
        <f t="shared" si="755"/>
        <v>628</v>
      </c>
      <c r="I642" s="165"/>
      <c r="J642" s="163"/>
      <c r="K642" s="163"/>
      <c r="L642" s="164"/>
      <c r="M642" s="155"/>
      <c r="N642" s="155"/>
      <c r="O642" s="144"/>
      <c r="P642" s="159" t="str">
        <f>IFERROR(IF(O642&lt;&gt;"User Specified",IF(O642&lt;&gt;"", INDEX('Refrigerant GWPs'!$G$2:$G$154,MATCH(O642,'Refrigerant GWPs'!$A$2:$A$154,0)),""),U642),0)</f>
        <v/>
      </c>
      <c r="Q642" s="155"/>
      <c r="R642" s="155"/>
      <c r="S642" s="144"/>
      <c r="T642" s="159" t="str">
        <f>IF(S642&lt;&gt;"User Specified",IF(AND(S642&lt;&gt;"User Specified",S642&lt;&gt;""), INDEX('Refrigerant GWPs'!$G$2:$G$154,MATCH(S642,'Refrigerant GWPs'!$A$2:$A$154,0)),""),V642)</f>
        <v/>
      </c>
      <c r="U642" s="144"/>
      <c r="V642" s="144"/>
      <c r="W642" s="155"/>
      <c r="X642" s="155"/>
      <c r="Y642" s="144"/>
      <c r="Z642" s="159" t="str">
        <f>IF(AND(Y642&lt;&gt;"User Specified",Y642&lt;&gt;""), INDEX('Refrigerant GWPs'!$G$2:$G$154,MATCH(Y642,'Refrigerant GWPs'!$A$2:$A$154,0)),"")</f>
        <v/>
      </c>
      <c r="AA642" s="155"/>
      <c r="AB642" s="156"/>
      <c r="AC642" s="66"/>
      <c r="AD642" s="66"/>
      <c r="AE642" s="66"/>
      <c r="AF642" s="66"/>
      <c r="AG642" s="66"/>
      <c r="AH642" s="66"/>
      <c r="AI642" s="34"/>
      <c r="AJ642" s="88">
        <f t="shared" si="718"/>
        <v>0</v>
      </c>
      <c r="AK642" s="88">
        <f t="shared" si="719"/>
        <v>0</v>
      </c>
      <c r="AL642" s="88">
        <v>0</v>
      </c>
      <c r="AM642" s="88">
        <v>0</v>
      </c>
      <c r="AN642" s="81" t="str">
        <f t="shared" si="757"/>
        <v/>
      </c>
      <c r="AO642" s="88">
        <f t="shared" si="720"/>
        <v>0</v>
      </c>
      <c r="AP642" s="88">
        <f t="shared" si="721"/>
        <v>0</v>
      </c>
      <c r="AQ642" s="81" t="str">
        <f t="shared" si="722"/>
        <v/>
      </c>
      <c r="AS642" s="41" t="b">
        <f t="shared" si="723"/>
        <v>1</v>
      </c>
      <c r="AT642" s="38">
        <f t="shared" si="724"/>
        <v>0</v>
      </c>
      <c r="AU642" s="60">
        <f t="shared" si="725"/>
        <v>0</v>
      </c>
      <c r="AV642" s="41">
        <f t="shared" si="726"/>
        <v>0</v>
      </c>
      <c r="AW642" s="41" t="b">
        <f t="shared" si="727"/>
        <v>0</v>
      </c>
      <c r="AX642" t="str">
        <f t="shared" si="728"/>
        <v>+00</v>
      </c>
      <c r="AY642" t="str">
        <f t="shared" si="729"/>
        <v>+00</v>
      </c>
      <c r="BA642" s="47" t="b">
        <f t="shared" si="758"/>
        <v>1</v>
      </c>
      <c r="BB642" s="42" t="b">
        <f t="shared" si="759"/>
        <v>1</v>
      </c>
      <c r="BC642" s="42" t="b">
        <f t="shared" si="760"/>
        <v>0</v>
      </c>
      <c r="BD642" s="42" t="b">
        <f t="shared" si="761"/>
        <v>0</v>
      </c>
      <c r="BE642" s="70">
        <f t="shared" si="762"/>
        <v>0</v>
      </c>
      <c r="BF642" s="70">
        <f t="shared" si="763"/>
        <v>0</v>
      </c>
      <c r="BG642" s="34"/>
      <c r="BI642" s="47" t="b">
        <f t="shared" si="764"/>
        <v>1</v>
      </c>
      <c r="BJ642" s="47" t="b">
        <f t="shared" si="765"/>
        <v>1</v>
      </c>
      <c r="BK642" s="42" t="b">
        <f t="shared" si="766"/>
        <v>0</v>
      </c>
      <c r="BL642" s="42" t="b">
        <f t="shared" si="767"/>
        <v>0</v>
      </c>
      <c r="BM642" s="42">
        <f t="shared" si="768"/>
        <v>0</v>
      </c>
      <c r="BN642" s="42">
        <f t="shared" si="769"/>
        <v>0</v>
      </c>
      <c r="BP642" t="e">
        <f t="shared" si="770"/>
        <v>#N/A</v>
      </c>
      <c r="BQ642" t="e">
        <f t="shared" si="771"/>
        <v>#N/A</v>
      </c>
      <c r="BR642" t="e">
        <f t="shared" si="772"/>
        <v>#N/A</v>
      </c>
      <c r="BT642" s="60">
        <f t="shared" si="773"/>
        <v>0</v>
      </c>
      <c r="BU642" s="60">
        <f t="shared" si="774"/>
        <v>0</v>
      </c>
      <c r="BV642" s="60">
        <f t="shared" si="775"/>
        <v>0</v>
      </c>
      <c r="BW642" s="60">
        <f t="shared" si="776"/>
        <v>0</v>
      </c>
      <c r="BX642" s="60">
        <f t="shared" si="777"/>
        <v>0</v>
      </c>
      <c r="BY642" s="60">
        <f t="shared" si="778"/>
        <v>0</v>
      </c>
      <c r="BZ642" s="60">
        <f t="shared" si="779"/>
        <v>0</v>
      </c>
      <c r="CA642" s="60">
        <f t="shared" si="780"/>
        <v>0</v>
      </c>
      <c r="CB642" s="60" t="e">
        <f t="shared" si="730"/>
        <v>#N/A</v>
      </c>
      <c r="CC642" s="60">
        <f t="shared" si="731"/>
        <v>100000</v>
      </c>
      <c r="CD642" s="60" t="e">
        <f t="shared" si="732"/>
        <v>#N/A</v>
      </c>
      <c r="CE642" s="60">
        <f t="shared" si="733"/>
        <v>100000</v>
      </c>
      <c r="CF642" s="83" t="e">
        <f t="shared" si="781"/>
        <v>#N/A</v>
      </c>
      <c r="CG642" s="83">
        <f t="shared" si="782"/>
        <v>0</v>
      </c>
      <c r="CH642" s="83" t="e">
        <f t="shared" si="783"/>
        <v>#N/A</v>
      </c>
      <c r="CI642" s="83">
        <f t="shared" si="784"/>
        <v>0</v>
      </c>
      <c r="CJ642" s="86" t="e">
        <f t="shared" si="734"/>
        <v>#N/A</v>
      </c>
      <c r="CK642" s="82">
        <f t="shared" si="735"/>
        <v>5.3070370403969858E-3</v>
      </c>
      <c r="CL642" s="82" t="e">
        <f t="shared" si="736"/>
        <v>#N/A</v>
      </c>
      <c r="CM642" s="82">
        <f t="shared" si="737"/>
        <v>5.3070370403969858E-3</v>
      </c>
      <c r="CO642" s="149" t="str">
        <f>IF($I642&lt;&gt;"",IF(O642="User Specified",U642,INDEX('Refrigerant GWPs'!$G$2:$G$156,MATCH(O642,'Refrigerant GWPs'!$A$2:$A$156,0))),"")</f>
        <v/>
      </c>
      <c r="CP642" s="138" t="str">
        <f>IF($I642&lt;&gt;"",INDEX('Device Refrigerant Leakage'!$E$2:$E$42,MATCH($M642,'Device Refrigerant Leakage'!$B$2:$B$42,0)),"")</f>
        <v/>
      </c>
      <c r="CQ642" s="138" t="str">
        <f>IF($I642&lt;&gt;"",INDEX('Device Refrigerant Leakage'!$F$2:$F$42,MATCH($M642,'Device Refrigerant Leakage'!$B$2:$B$42,0)),"")</f>
        <v/>
      </c>
      <c r="CR642" s="145" t="str">
        <f>IF($I642&lt;&gt;"",INDEX('Device Refrigerant Leakage'!$G$2:$G$42,MATCH($M642,'Device Refrigerant Leakage'!$B$2:$B$42,0)),"")</f>
        <v/>
      </c>
      <c r="CS642" s="145" t="str">
        <f>IF($I642&lt;&gt;"",INDEX('Device Refrigerant Leakage'!$D$2:$D$42,MATCH($M642,'Device Refrigerant Leakage'!$B$2:$B$42,0))*CP642/2204.62*CO642,"")</f>
        <v/>
      </c>
      <c r="CT642" s="145" t="str">
        <f>IF($I642&lt;&gt;"",J642*(INDEX('Device Refrigerant Leakage'!$D$2:$D$42,MATCH($M642,'Device Refrigerant Leakage'!$B$2:$B$42,0))-(INDEX('Device Refrigerant Leakage'!$D$2:$D$42,MATCH($M642,'Device Refrigerant Leakage'!$B$2:$B$42,0)))*CR642*CP642)*CQ642/2204.62*CO642,"")</f>
        <v/>
      </c>
      <c r="CU642" s="135" t="str">
        <f>IF($I642&lt;&gt;"",J642*IF(W642&lt;&gt;"AR",(CS642*K642)+CT642,(CS642*AB642)+CT642*(AB642/INDEX('Device Refrigerant Leakage'!$C$2:$C$42,MATCH($M642,'Device Refrigerant Leakage'!$B$2:$B$42,0)))),"")</f>
        <v/>
      </c>
      <c r="CW642" s="135" t="str">
        <f>IF($I642&lt;&gt;"",IF(S642="User Specified",V642,INDEX('Refrigerant GWPs'!$G$2:$G$156,MATCH(S642,'Refrigerant GWPs'!$A$2:$A$157,0))),"")</f>
        <v/>
      </c>
      <c r="CX642" s="138" t="str">
        <f>IF($I642&lt;&gt;"",INDEX('Device Refrigerant Leakage'!$E$2:$E$42,MATCH($Q642,'Device Refrigerant Leakage'!$B$2:$B$42,0)),"")</f>
        <v/>
      </c>
      <c r="CY642" s="138" t="str">
        <f>IF($I642&lt;&gt;"",INDEX('Device Refrigerant Leakage'!$F$2:$F$42,MATCH($Q642,'Device Refrigerant Leakage'!$B$2:$B$42,0)),"")</f>
        <v/>
      </c>
      <c r="CZ642" s="145" t="str">
        <f>IF($I642&lt;&gt;"",INDEX('Device Refrigerant Leakage'!$G$2:$G$42,MATCH($Q642,'Device Refrigerant Leakage'!$B$2:$B$42,0)),"")</f>
        <v/>
      </c>
      <c r="DA642" s="145" t="str">
        <f>IF($I642&lt;&gt;"",J642*INDEX('Device Refrigerant Leakage'!$D$2:$D$42,MATCH($Q642,'Device Refrigerant Leakage'!$B$2:$B$42,0))*CX642/2204.62*CW642,"")</f>
        <v/>
      </c>
      <c r="DB642" s="145" t="str">
        <f>IF($I642&lt;&gt;"",J642*(INDEX('Device Refrigerant Leakage'!$D$2:$D$42,MATCH($Q642,'Device Refrigerant Leakage'!$B$2:$B$42,0))-(INDEX('Device Refrigerant Leakage'!$D$2:$D$42,MATCH($Q642,'Device Refrigerant Leakage'!$B$2:$B$42,0)))*CZ642*CX642)*CY642/2204.62*CW642,"")</f>
        <v/>
      </c>
      <c r="DC642" s="135" t="str">
        <f t="shared" si="756"/>
        <v/>
      </c>
      <c r="DE642" s="146" t="str">
        <f>IF(W642&lt;&gt;"AR","",IF(Y642="User Specified", AA642, INDEX('Refrigerant GWPs'!$G$2:$G$154,MATCH(Y642,'Refrigerant GWPs'!$A$2:$A$154,0))))</f>
        <v/>
      </c>
      <c r="DF642" s="146" t="str">
        <f>IF(W642&lt;&gt;"AR","",INDEX('Device Refrigerant Leakage'!$E$2:$E$42,MATCH(X642,'Device Refrigerant Leakage'!$B$2:$B$42,0)))</f>
        <v/>
      </c>
      <c r="DG642" s="146" t="str">
        <f>IF(W642&lt;&gt;"AR","",INDEX('Device Refrigerant Leakage'!$F$2:$F$42,MATCH(X642,'Device Refrigerant Leakage'!$B$2:$B$42,0)))</f>
        <v/>
      </c>
      <c r="DH642" s="146" t="str">
        <f>IF(W642&lt;&gt;"AR","",INDEX('Device Refrigerant Leakage'!$G$2:$G$42,MATCH(X642,'Device Refrigerant Leakage'!$B$2:$B$42,0)))</f>
        <v/>
      </c>
      <c r="DI642" s="146" t="str">
        <f>IF(W642&lt;&gt;"AR","",J642*INDEX('Device Refrigerant Leakage'!$D$2:$D$42,MATCH(X642,'Device Refrigerant Leakage'!$B$2:$B$42,0))*DF642/2204.62*DE642)</f>
        <v/>
      </c>
      <c r="DJ642" s="146" t="str">
        <f>IF(W642&lt;&gt;"AR","",J642*(INDEX('Device Refrigerant Leakage'!$D$2:$D$42,MATCH(X642,'Device Refrigerant Leakage'!$B$2:$B$42,0))-(INDEX('Device Refrigerant Leakage'!$D$2:$D$42,MATCH(X642,'Device Refrigerant Leakage'!$B$2:$B$42,0)))*DH642*DF642)*DG642/2204.62*DE642)</f>
        <v/>
      </c>
      <c r="DK642" s="146" t="str">
        <f>IF(W642&lt;&gt;"AR","",DI642*(K642-AB642)+'Fuel Sub Calcs-Deemed'!DJ642*((K642-AB642)/INDEX('Device Refrigerant Leakage'!$C$2:$C$42,MATCH('Fuel Sub Calcs-Deemed'!X642,'Device Refrigerant Leakage'!$B$2:$B$42,0))))</f>
        <v/>
      </c>
      <c r="DM642" s="56">
        <v>628</v>
      </c>
      <c r="DN642" s="67" t="e">
        <f t="shared" si="738"/>
        <v>#N/A</v>
      </c>
      <c r="DO642" s="45" t="e">
        <f t="shared" si="739"/>
        <v>#N/A</v>
      </c>
      <c r="DP642" s="67" t="e">
        <f t="shared" si="740"/>
        <v>#N/A</v>
      </c>
      <c r="DQ642" s="45" t="e">
        <f t="shared" si="741"/>
        <v>#N/A</v>
      </c>
      <c r="DR642" s="69" t="e">
        <f t="shared" si="742"/>
        <v>#N/A</v>
      </c>
      <c r="DS642" s="34"/>
      <c r="DT642" s="67" t="e">
        <f>((BX642*CJ642)+IF($W642=MAT_AR,(BZ642*CL642),0))*(1+Reference!$E$50+Reference!$E$51)</f>
        <v>#N/A</v>
      </c>
      <c r="DU642" s="67">
        <f>((BY642*CK642)+IF($W642=MAT_AR,(CA642*CM642),0))*(1+Reference!$G$50+Reference!$G$51)</f>
        <v>0</v>
      </c>
      <c r="DV642" s="67" t="e">
        <f t="shared" si="743"/>
        <v>#VALUE!</v>
      </c>
      <c r="DX642" s="56">
        <v>628</v>
      </c>
      <c r="DY642" s="67">
        <f t="shared" si="744"/>
        <v>0</v>
      </c>
      <c r="DZ642" s="45" t="e">
        <f>VLOOKUP($R642,Dropdown!$C$3:$D$4,2,FALSE)</f>
        <v>#N/A</v>
      </c>
      <c r="EA642" s="68">
        <f t="shared" si="745"/>
        <v>0</v>
      </c>
      <c r="EB642" s="68" t="str">
        <f t="shared" si="746"/>
        <v>N/A</v>
      </c>
      <c r="EC642" s="68">
        <f t="shared" si="747"/>
        <v>0</v>
      </c>
      <c r="ED642" s="68" t="str">
        <f t="shared" si="785"/>
        <v>N/A</v>
      </c>
      <c r="EF642" s="56">
        <v>628</v>
      </c>
      <c r="EG642" s="46">
        <f t="shared" si="748"/>
        <v>0</v>
      </c>
      <c r="EH642" s="68" t="e">
        <f t="shared" si="749"/>
        <v>#N/A</v>
      </c>
      <c r="EI642" s="68" t="e">
        <f t="shared" si="750"/>
        <v>#N/A</v>
      </c>
      <c r="EJ642" s="68" t="e">
        <f t="shared" si="751"/>
        <v>#N/A</v>
      </c>
      <c r="EK642" s="68" t="e">
        <f t="shared" si="752"/>
        <v>#N/A</v>
      </c>
      <c r="EL642" s="46">
        <f t="shared" si="753"/>
        <v>0</v>
      </c>
      <c r="EM642" s="46">
        <f t="shared" si="754"/>
        <v>0</v>
      </c>
    </row>
    <row r="643" spans="1:143">
      <c r="A643" s="89"/>
      <c r="B643" s="89"/>
      <c r="C643" s="89"/>
      <c r="D643" s="89"/>
      <c r="E643" s="89"/>
      <c r="F643" s="89"/>
      <c r="G643" s="34"/>
      <c r="H643" s="56">
        <f t="shared" si="755"/>
        <v>629</v>
      </c>
      <c r="I643" s="165"/>
      <c r="J643" s="163"/>
      <c r="K643" s="163"/>
      <c r="L643" s="164"/>
      <c r="M643" s="155"/>
      <c r="N643" s="155"/>
      <c r="O643" s="144"/>
      <c r="P643" s="159" t="str">
        <f>IFERROR(IF(O643&lt;&gt;"User Specified",IF(O643&lt;&gt;"", INDEX('Refrigerant GWPs'!$G$2:$G$154,MATCH(O643,'Refrigerant GWPs'!$A$2:$A$154,0)),""),U643),0)</f>
        <v/>
      </c>
      <c r="Q643" s="155"/>
      <c r="R643" s="155"/>
      <c r="S643" s="144"/>
      <c r="T643" s="159" t="str">
        <f>IF(S643&lt;&gt;"User Specified",IF(AND(S643&lt;&gt;"User Specified",S643&lt;&gt;""), INDEX('Refrigerant GWPs'!$G$2:$G$154,MATCH(S643,'Refrigerant GWPs'!$A$2:$A$154,0)),""),V643)</f>
        <v/>
      </c>
      <c r="U643" s="144"/>
      <c r="V643" s="144"/>
      <c r="W643" s="155"/>
      <c r="X643" s="155"/>
      <c r="Y643" s="144"/>
      <c r="Z643" s="159" t="str">
        <f>IF(AND(Y643&lt;&gt;"User Specified",Y643&lt;&gt;""), INDEX('Refrigerant GWPs'!$G$2:$G$154,MATCH(Y643,'Refrigerant GWPs'!$A$2:$A$154,0)),"")</f>
        <v/>
      </c>
      <c r="AA643" s="155"/>
      <c r="AB643" s="156"/>
      <c r="AC643" s="66"/>
      <c r="AD643" s="66"/>
      <c r="AE643" s="66"/>
      <c r="AF643" s="66"/>
      <c r="AG643" s="66"/>
      <c r="AH643" s="66"/>
      <c r="AI643" s="34"/>
      <c r="AJ643" s="88">
        <f t="shared" si="718"/>
        <v>0</v>
      </c>
      <c r="AK643" s="88">
        <f t="shared" si="719"/>
        <v>0</v>
      </c>
      <c r="AL643" s="88">
        <v>0</v>
      </c>
      <c r="AM643" s="88">
        <v>0</v>
      </c>
      <c r="AN643" s="81" t="str">
        <f t="shared" si="757"/>
        <v/>
      </c>
      <c r="AO643" s="88">
        <f t="shared" si="720"/>
        <v>0</v>
      </c>
      <c r="AP643" s="88">
        <f t="shared" si="721"/>
        <v>0</v>
      </c>
      <c r="AQ643" s="81" t="str">
        <f t="shared" si="722"/>
        <v/>
      </c>
      <c r="AS643" s="41" t="b">
        <f t="shared" si="723"/>
        <v>1</v>
      </c>
      <c r="AT643" s="38">
        <f t="shared" si="724"/>
        <v>0</v>
      </c>
      <c r="AU643" s="60">
        <f t="shared" si="725"/>
        <v>0</v>
      </c>
      <c r="AV643" s="41">
        <f t="shared" si="726"/>
        <v>0</v>
      </c>
      <c r="AW643" s="41" t="b">
        <f t="shared" si="727"/>
        <v>0</v>
      </c>
      <c r="AX643" t="str">
        <f t="shared" si="728"/>
        <v>+00</v>
      </c>
      <c r="AY643" t="str">
        <f t="shared" si="729"/>
        <v>+00</v>
      </c>
      <c r="BA643" s="47" t="b">
        <f t="shared" si="758"/>
        <v>1</v>
      </c>
      <c r="BB643" s="42" t="b">
        <f t="shared" si="759"/>
        <v>1</v>
      </c>
      <c r="BC643" s="42" t="b">
        <f t="shared" si="760"/>
        <v>0</v>
      </c>
      <c r="BD643" s="42" t="b">
        <f t="shared" si="761"/>
        <v>0</v>
      </c>
      <c r="BE643" s="70">
        <f t="shared" si="762"/>
        <v>0</v>
      </c>
      <c r="BF643" s="70">
        <f t="shared" si="763"/>
        <v>0</v>
      </c>
      <c r="BG643" s="34"/>
      <c r="BI643" s="47" t="b">
        <f t="shared" si="764"/>
        <v>1</v>
      </c>
      <c r="BJ643" s="47" t="b">
        <f t="shared" si="765"/>
        <v>1</v>
      </c>
      <c r="BK643" s="42" t="b">
        <f t="shared" si="766"/>
        <v>0</v>
      </c>
      <c r="BL643" s="42" t="b">
        <f t="shared" si="767"/>
        <v>0</v>
      </c>
      <c r="BM643" s="42">
        <f t="shared" si="768"/>
        <v>0</v>
      </c>
      <c r="BN643" s="42">
        <f t="shared" si="769"/>
        <v>0</v>
      </c>
      <c r="BP643" t="e">
        <f t="shared" si="770"/>
        <v>#N/A</v>
      </c>
      <c r="BQ643" t="e">
        <f t="shared" si="771"/>
        <v>#N/A</v>
      </c>
      <c r="BR643" t="e">
        <f t="shared" si="772"/>
        <v>#N/A</v>
      </c>
      <c r="BT643" s="60">
        <f t="shared" si="773"/>
        <v>0</v>
      </c>
      <c r="BU643" s="60">
        <f t="shared" si="774"/>
        <v>0</v>
      </c>
      <c r="BV643" s="60">
        <f t="shared" si="775"/>
        <v>0</v>
      </c>
      <c r="BW643" s="60">
        <f t="shared" si="776"/>
        <v>0</v>
      </c>
      <c r="BX643" s="60">
        <f t="shared" si="777"/>
        <v>0</v>
      </c>
      <c r="BY643" s="60">
        <f t="shared" si="778"/>
        <v>0</v>
      </c>
      <c r="BZ643" s="60">
        <f t="shared" si="779"/>
        <v>0</v>
      </c>
      <c r="CA643" s="60">
        <f t="shared" si="780"/>
        <v>0</v>
      </c>
      <c r="CB643" s="60" t="e">
        <f t="shared" si="730"/>
        <v>#N/A</v>
      </c>
      <c r="CC643" s="60">
        <f t="shared" si="731"/>
        <v>100000</v>
      </c>
      <c r="CD643" s="60" t="e">
        <f t="shared" si="732"/>
        <v>#N/A</v>
      </c>
      <c r="CE643" s="60">
        <f t="shared" si="733"/>
        <v>100000</v>
      </c>
      <c r="CF643" s="83" t="e">
        <f t="shared" si="781"/>
        <v>#N/A</v>
      </c>
      <c r="CG643" s="83">
        <f t="shared" si="782"/>
        <v>0</v>
      </c>
      <c r="CH643" s="83" t="e">
        <f t="shared" si="783"/>
        <v>#N/A</v>
      </c>
      <c r="CI643" s="83">
        <f t="shared" si="784"/>
        <v>0</v>
      </c>
      <c r="CJ643" s="86" t="e">
        <f t="shared" si="734"/>
        <v>#N/A</v>
      </c>
      <c r="CK643" s="82">
        <f t="shared" si="735"/>
        <v>5.3070370403969858E-3</v>
      </c>
      <c r="CL643" s="82" t="e">
        <f t="shared" si="736"/>
        <v>#N/A</v>
      </c>
      <c r="CM643" s="82">
        <f t="shared" si="737"/>
        <v>5.3070370403969858E-3</v>
      </c>
      <c r="CO643" s="149" t="str">
        <f>IF($I643&lt;&gt;"",IF(O643="User Specified",U643,INDEX('Refrigerant GWPs'!$G$2:$G$156,MATCH(O643,'Refrigerant GWPs'!$A$2:$A$156,0))),"")</f>
        <v/>
      </c>
      <c r="CP643" s="138" t="str">
        <f>IF($I643&lt;&gt;"",INDEX('Device Refrigerant Leakage'!$E$2:$E$42,MATCH($M643,'Device Refrigerant Leakage'!$B$2:$B$42,0)),"")</f>
        <v/>
      </c>
      <c r="CQ643" s="138" t="str">
        <f>IF($I643&lt;&gt;"",INDEX('Device Refrigerant Leakage'!$F$2:$F$42,MATCH($M643,'Device Refrigerant Leakage'!$B$2:$B$42,0)),"")</f>
        <v/>
      </c>
      <c r="CR643" s="145" t="str">
        <f>IF($I643&lt;&gt;"",INDEX('Device Refrigerant Leakage'!$G$2:$G$42,MATCH($M643,'Device Refrigerant Leakage'!$B$2:$B$42,0)),"")</f>
        <v/>
      </c>
      <c r="CS643" s="145" t="str">
        <f>IF($I643&lt;&gt;"",INDEX('Device Refrigerant Leakage'!$D$2:$D$42,MATCH($M643,'Device Refrigerant Leakage'!$B$2:$B$42,0))*CP643/2204.62*CO643,"")</f>
        <v/>
      </c>
      <c r="CT643" s="145" t="str">
        <f>IF($I643&lt;&gt;"",J643*(INDEX('Device Refrigerant Leakage'!$D$2:$D$42,MATCH($M643,'Device Refrigerant Leakage'!$B$2:$B$42,0))-(INDEX('Device Refrigerant Leakage'!$D$2:$D$42,MATCH($M643,'Device Refrigerant Leakage'!$B$2:$B$42,0)))*CR643*CP643)*CQ643/2204.62*CO643,"")</f>
        <v/>
      </c>
      <c r="CU643" s="135" t="str">
        <f>IF($I643&lt;&gt;"",J643*IF(W643&lt;&gt;"AR",(CS643*K643)+CT643,(CS643*AB643)+CT643*(AB643/INDEX('Device Refrigerant Leakage'!$C$2:$C$42,MATCH($M643,'Device Refrigerant Leakage'!$B$2:$B$42,0)))),"")</f>
        <v/>
      </c>
      <c r="CW643" s="135" t="str">
        <f>IF($I643&lt;&gt;"",IF(S643="User Specified",V643,INDEX('Refrigerant GWPs'!$G$2:$G$156,MATCH(S643,'Refrigerant GWPs'!$A$2:$A$157,0))),"")</f>
        <v/>
      </c>
      <c r="CX643" s="138" t="str">
        <f>IF($I643&lt;&gt;"",INDEX('Device Refrigerant Leakage'!$E$2:$E$42,MATCH($Q643,'Device Refrigerant Leakage'!$B$2:$B$42,0)),"")</f>
        <v/>
      </c>
      <c r="CY643" s="138" t="str">
        <f>IF($I643&lt;&gt;"",INDEX('Device Refrigerant Leakage'!$F$2:$F$42,MATCH($Q643,'Device Refrigerant Leakage'!$B$2:$B$42,0)),"")</f>
        <v/>
      </c>
      <c r="CZ643" s="145" t="str">
        <f>IF($I643&lt;&gt;"",INDEX('Device Refrigerant Leakage'!$G$2:$G$42,MATCH($Q643,'Device Refrigerant Leakage'!$B$2:$B$42,0)),"")</f>
        <v/>
      </c>
      <c r="DA643" s="145" t="str">
        <f>IF($I643&lt;&gt;"",J643*INDEX('Device Refrigerant Leakage'!$D$2:$D$42,MATCH($Q643,'Device Refrigerant Leakage'!$B$2:$B$42,0))*CX643/2204.62*CW643,"")</f>
        <v/>
      </c>
      <c r="DB643" s="145" t="str">
        <f>IF($I643&lt;&gt;"",J643*(INDEX('Device Refrigerant Leakage'!$D$2:$D$42,MATCH($Q643,'Device Refrigerant Leakage'!$B$2:$B$42,0))-(INDEX('Device Refrigerant Leakage'!$D$2:$D$42,MATCH($Q643,'Device Refrigerant Leakage'!$B$2:$B$42,0)))*CZ643*CX643)*CY643/2204.62*CW643,"")</f>
        <v/>
      </c>
      <c r="DC643" s="135" t="str">
        <f t="shared" si="756"/>
        <v/>
      </c>
      <c r="DE643" s="146" t="str">
        <f>IF(W643&lt;&gt;"AR","",IF(Y643="User Specified", AA643, INDEX('Refrigerant GWPs'!$G$2:$G$154,MATCH(Y643,'Refrigerant GWPs'!$A$2:$A$154,0))))</f>
        <v/>
      </c>
      <c r="DF643" s="146" t="str">
        <f>IF(W643&lt;&gt;"AR","",INDEX('Device Refrigerant Leakage'!$E$2:$E$42,MATCH(X643,'Device Refrigerant Leakage'!$B$2:$B$42,0)))</f>
        <v/>
      </c>
      <c r="DG643" s="146" t="str">
        <f>IF(W643&lt;&gt;"AR","",INDEX('Device Refrigerant Leakage'!$F$2:$F$42,MATCH(X643,'Device Refrigerant Leakage'!$B$2:$B$42,0)))</f>
        <v/>
      </c>
      <c r="DH643" s="146" t="str">
        <f>IF(W643&lt;&gt;"AR","",INDEX('Device Refrigerant Leakage'!$G$2:$G$42,MATCH(X643,'Device Refrigerant Leakage'!$B$2:$B$42,0)))</f>
        <v/>
      </c>
      <c r="DI643" s="146" t="str">
        <f>IF(W643&lt;&gt;"AR","",J643*INDEX('Device Refrigerant Leakage'!$D$2:$D$42,MATCH(X643,'Device Refrigerant Leakage'!$B$2:$B$42,0))*DF643/2204.62*DE643)</f>
        <v/>
      </c>
      <c r="DJ643" s="146" t="str">
        <f>IF(W643&lt;&gt;"AR","",J643*(INDEX('Device Refrigerant Leakage'!$D$2:$D$42,MATCH(X643,'Device Refrigerant Leakage'!$B$2:$B$42,0))-(INDEX('Device Refrigerant Leakage'!$D$2:$D$42,MATCH(X643,'Device Refrigerant Leakage'!$B$2:$B$42,0)))*DH643*DF643)*DG643/2204.62*DE643)</f>
        <v/>
      </c>
      <c r="DK643" s="146" t="str">
        <f>IF(W643&lt;&gt;"AR","",DI643*(K643-AB643)+'Fuel Sub Calcs-Deemed'!DJ643*((K643-AB643)/INDEX('Device Refrigerant Leakage'!$C$2:$C$42,MATCH('Fuel Sub Calcs-Deemed'!X643,'Device Refrigerant Leakage'!$B$2:$B$42,0))))</f>
        <v/>
      </c>
      <c r="DM643" s="56">
        <v>629</v>
      </c>
      <c r="DN643" s="67" t="e">
        <f t="shared" si="738"/>
        <v>#N/A</v>
      </c>
      <c r="DO643" s="45" t="e">
        <f t="shared" si="739"/>
        <v>#N/A</v>
      </c>
      <c r="DP643" s="67" t="e">
        <f t="shared" si="740"/>
        <v>#N/A</v>
      </c>
      <c r="DQ643" s="45" t="e">
        <f t="shared" si="741"/>
        <v>#N/A</v>
      </c>
      <c r="DR643" s="69" t="e">
        <f t="shared" si="742"/>
        <v>#N/A</v>
      </c>
      <c r="DS643" s="34"/>
      <c r="DT643" s="67" t="e">
        <f>((BX643*CJ643)+IF($W643=MAT_AR,(BZ643*CL643),0))*(1+Reference!$E$50+Reference!$E$51)</f>
        <v>#N/A</v>
      </c>
      <c r="DU643" s="67">
        <f>((BY643*CK643)+IF($W643=MAT_AR,(CA643*CM643),0))*(1+Reference!$G$50+Reference!$G$51)</f>
        <v>0</v>
      </c>
      <c r="DV643" s="67" t="e">
        <f t="shared" si="743"/>
        <v>#VALUE!</v>
      </c>
      <c r="DX643" s="56">
        <v>629</v>
      </c>
      <c r="DY643" s="67">
        <f t="shared" si="744"/>
        <v>0</v>
      </c>
      <c r="DZ643" s="45" t="e">
        <f>VLOOKUP($R643,Dropdown!$C$3:$D$4,2,FALSE)</f>
        <v>#N/A</v>
      </c>
      <c r="EA643" s="68">
        <f t="shared" si="745"/>
        <v>0</v>
      </c>
      <c r="EB643" s="68" t="str">
        <f t="shared" si="746"/>
        <v>N/A</v>
      </c>
      <c r="EC643" s="68">
        <f t="shared" si="747"/>
        <v>0</v>
      </c>
      <c r="ED643" s="68" t="str">
        <f t="shared" si="785"/>
        <v>N/A</v>
      </c>
      <c r="EF643" s="56">
        <v>629</v>
      </c>
      <c r="EG643" s="46">
        <f t="shared" si="748"/>
        <v>0</v>
      </c>
      <c r="EH643" s="68" t="e">
        <f t="shared" si="749"/>
        <v>#N/A</v>
      </c>
      <c r="EI643" s="68" t="e">
        <f t="shared" si="750"/>
        <v>#N/A</v>
      </c>
      <c r="EJ643" s="68" t="e">
        <f t="shared" si="751"/>
        <v>#N/A</v>
      </c>
      <c r="EK643" s="68" t="e">
        <f t="shared" si="752"/>
        <v>#N/A</v>
      </c>
      <c r="EL643" s="46">
        <f t="shared" si="753"/>
        <v>0</v>
      </c>
      <c r="EM643" s="46">
        <f t="shared" si="754"/>
        <v>0</v>
      </c>
    </row>
    <row r="644" spans="1:143">
      <c r="A644" s="89"/>
      <c r="B644" s="89"/>
      <c r="C644" s="89"/>
      <c r="D644" s="89"/>
      <c r="E644" s="89"/>
      <c r="F644" s="89"/>
      <c r="G644" s="34"/>
      <c r="H644" s="56">
        <f t="shared" si="755"/>
        <v>630</v>
      </c>
      <c r="I644" s="165"/>
      <c r="J644" s="163"/>
      <c r="K644" s="163"/>
      <c r="L644" s="164"/>
      <c r="M644" s="155"/>
      <c r="N644" s="155"/>
      <c r="O644" s="144"/>
      <c r="P644" s="159" t="str">
        <f>IFERROR(IF(O644&lt;&gt;"User Specified",IF(O644&lt;&gt;"", INDEX('Refrigerant GWPs'!$G$2:$G$154,MATCH(O644,'Refrigerant GWPs'!$A$2:$A$154,0)),""),U644),0)</f>
        <v/>
      </c>
      <c r="Q644" s="155"/>
      <c r="R644" s="155"/>
      <c r="S644" s="144"/>
      <c r="T644" s="159" t="str">
        <f>IF(S644&lt;&gt;"User Specified",IF(AND(S644&lt;&gt;"User Specified",S644&lt;&gt;""), INDEX('Refrigerant GWPs'!$G$2:$G$154,MATCH(S644,'Refrigerant GWPs'!$A$2:$A$154,0)),""),V644)</f>
        <v/>
      </c>
      <c r="U644" s="144"/>
      <c r="V644" s="144"/>
      <c r="W644" s="155"/>
      <c r="X644" s="155"/>
      <c r="Y644" s="144"/>
      <c r="Z644" s="159" t="str">
        <f>IF(AND(Y644&lt;&gt;"User Specified",Y644&lt;&gt;""), INDEX('Refrigerant GWPs'!$G$2:$G$154,MATCH(Y644,'Refrigerant GWPs'!$A$2:$A$154,0)),"")</f>
        <v/>
      </c>
      <c r="AA644" s="155"/>
      <c r="AB644" s="156"/>
      <c r="AC644" s="66"/>
      <c r="AD644" s="66"/>
      <c r="AE644" s="66"/>
      <c r="AF644" s="66"/>
      <c r="AG644" s="66"/>
      <c r="AH644" s="66"/>
      <c r="AI644" s="34"/>
      <c r="AJ644" s="88">
        <f t="shared" si="718"/>
        <v>0</v>
      </c>
      <c r="AK644" s="88">
        <f t="shared" si="719"/>
        <v>0</v>
      </c>
      <c r="AL644" s="88">
        <v>0</v>
      </c>
      <c r="AM644" s="88">
        <v>0</v>
      </c>
      <c r="AN644" s="81" t="str">
        <f t="shared" si="757"/>
        <v/>
      </c>
      <c r="AO644" s="88">
        <f t="shared" si="720"/>
        <v>0</v>
      </c>
      <c r="AP644" s="88">
        <f t="shared" si="721"/>
        <v>0</v>
      </c>
      <c r="AQ644" s="81" t="str">
        <f t="shared" si="722"/>
        <v/>
      </c>
      <c r="AS644" s="41" t="b">
        <f t="shared" si="723"/>
        <v>1</v>
      </c>
      <c r="AT644" s="38">
        <f t="shared" si="724"/>
        <v>0</v>
      </c>
      <c r="AU644" s="60">
        <f t="shared" si="725"/>
        <v>0</v>
      </c>
      <c r="AV644" s="41">
        <f t="shared" si="726"/>
        <v>0</v>
      </c>
      <c r="AW644" s="41" t="b">
        <f t="shared" si="727"/>
        <v>0</v>
      </c>
      <c r="AX644" t="str">
        <f t="shared" si="728"/>
        <v>+00</v>
      </c>
      <c r="AY644" t="str">
        <f t="shared" si="729"/>
        <v>+00</v>
      </c>
      <c r="BA644" s="47" t="b">
        <f t="shared" si="758"/>
        <v>1</v>
      </c>
      <c r="BB644" s="42" t="b">
        <f t="shared" si="759"/>
        <v>1</v>
      </c>
      <c r="BC644" s="42" t="b">
        <f t="shared" si="760"/>
        <v>0</v>
      </c>
      <c r="BD644" s="42" t="b">
        <f t="shared" si="761"/>
        <v>0</v>
      </c>
      <c r="BE644" s="70">
        <f t="shared" si="762"/>
        <v>0</v>
      </c>
      <c r="BF644" s="70">
        <f t="shared" si="763"/>
        <v>0</v>
      </c>
      <c r="BG644" s="34"/>
      <c r="BI644" s="47" t="b">
        <f t="shared" si="764"/>
        <v>1</v>
      </c>
      <c r="BJ644" s="47" t="b">
        <f t="shared" si="765"/>
        <v>1</v>
      </c>
      <c r="BK644" s="42" t="b">
        <f t="shared" si="766"/>
        <v>0</v>
      </c>
      <c r="BL644" s="42" t="b">
        <f t="shared" si="767"/>
        <v>0</v>
      </c>
      <c r="BM644" s="42">
        <f t="shared" si="768"/>
        <v>0</v>
      </c>
      <c r="BN644" s="42">
        <f t="shared" si="769"/>
        <v>0</v>
      </c>
      <c r="BP644" t="e">
        <f t="shared" si="770"/>
        <v>#N/A</v>
      </c>
      <c r="BQ644" t="e">
        <f t="shared" si="771"/>
        <v>#N/A</v>
      </c>
      <c r="BR644" t="e">
        <f t="shared" si="772"/>
        <v>#N/A</v>
      </c>
      <c r="BT644" s="60">
        <f t="shared" si="773"/>
        <v>0</v>
      </c>
      <c r="BU644" s="60">
        <f t="shared" si="774"/>
        <v>0</v>
      </c>
      <c r="BV644" s="60">
        <f t="shared" si="775"/>
        <v>0</v>
      </c>
      <c r="BW644" s="60">
        <f t="shared" si="776"/>
        <v>0</v>
      </c>
      <c r="BX644" s="60">
        <f t="shared" si="777"/>
        <v>0</v>
      </c>
      <c r="BY644" s="60">
        <f t="shared" si="778"/>
        <v>0</v>
      </c>
      <c r="BZ644" s="60">
        <f t="shared" si="779"/>
        <v>0</v>
      </c>
      <c r="CA644" s="60">
        <f t="shared" si="780"/>
        <v>0</v>
      </c>
      <c r="CB644" s="60" t="e">
        <f t="shared" si="730"/>
        <v>#N/A</v>
      </c>
      <c r="CC644" s="60">
        <f t="shared" si="731"/>
        <v>100000</v>
      </c>
      <c r="CD644" s="60" t="e">
        <f t="shared" si="732"/>
        <v>#N/A</v>
      </c>
      <c r="CE644" s="60">
        <f t="shared" si="733"/>
        <v>100000</v>
      </c>
      <c r="CF644" s="83" t="e">
        <f t="shared" si="781"/>
        <v>#N/A</v>
      </c>
      <c r="CG644" s="83">
        <f t="shared" si="782"/>
        <v>0</v>
      </c>
      <c r="CH644" s="83" t="e">
        <f t="shared" si="783"/>
        <v>#N/A</v>
      </c>
      <c r="CI644" s="83">
        <f t="shared" si="784"/>
        <v>0</v>
      </c>
      <c r="CJ644" s="86" t="e">
        <f t="shared" si="734"/>
        <v>#N/A</v>
      </c>
      <c r="CK644" s="82">
        <f t="shared" si="735"/>
        <v>5.3070370403969858E-3</v>
      </c>
      <c r="CL644" s="82" t="e">
        <f t="shared" si="736"/>
        <v>#N/A</v>
      </c>
      <c r="CM644" s="82">
        <f t="shared" si="737"/>
        <v>5.3070370403969858E-3</v>
      </c>
      <c r="CO644" s="149" t="str">
        <f>IF($I644&lt;&gt;"",IF(O644="User Specified",U644,INDEX('Refrigerant GWPs'!$G$2:$G$156,MATCH(O644,'Refrigerant GWPs'!$A$2:$A$156,0))),"")</f>
        <v/>
      </c>
      <c r="CP644" s="138" t="str">
        <f>IF($I644&lt;&gt;"",INDEX('Device Refrigerant Leakage'!$E$2:$E$42,MATCH($M644,'Device Refrigerant Leakage'!$B$2:$B$42,0)),"")</f>
        <v/>
      </c>
      <c r="CQ644" s="138" t="str">
        <f>IF($I644&lt;&gt;"",INDEX('Device Refrigerant Leakage'!$F$2:$F$42,MATCH($M644,'Device Refrigerant Leakage'!$B$2:$B$42,0)),"")</f>
        <v/>
      </c>
      <c r="CR644" s="145" t="str">
        <f>IF($I644&lt;&gt;"",INDEX('Device Refrigerant Leakage'!$G$2:$G$42,MATCH($M644,'Device Refrigerant Leakage'!$B$2:$B$42,0)),"")</f>
        <v/>
      </c>
      <c r="CS644" s="145" t="str">
        <f>IF($I644&lt;&gt;"",INDEX('Device Refrigerant Leakage'!$D$2:$D$42,MATCH($M644,'Device Refrigerant Leakage'!$B$2:$B$42,0))*CP644/2204.62*CO644,"")</f>
        <v/>
      </c>
      <c r="CT644" s="145" t="str">
        <f>IF($I644&lt;&gt;"",J644*(INDEX('Device Refrigerant Leakage'!$D$2:$D$42,MATCH($M644,'Device Refrigerant Leakage'!$B$2:$B$42,0))-(INDEX('Device Refrigerant Leakage'!$D$2:$D$42,MATCH($M644,'Device Refrigerant Leakage'!$B$2:$B$42,0)))*CR644*CP644)*CQ644/2204.62*CO644,"")</f>
        <v/>
      </c>
      <c r="CU644" s="135" t="str">
        <f>IF($I644&lt;&gt;"",J644*IF(W644&lt;&gt;"AR",(CS644*K644)+CT644,(CS644*AB644)+CT644*(AB644/INDEX('Device Refrigerant Leakage'!$C$2:$C$42,MATCH($M644,'Device Refrigerant Leakage'!$B$2:$B$42,0)))),"")</f>
        <v/>
      </c>
      <c r="CW644" s="135" t="str">
        <f>IF($I644&lt;&gt;"",IF(S644="User Specified",V644,INDEX('Refrigerant GWPs'!$G$2:$G$156,MATCH(S644,'Refrigerant GWPs'!$A$2:$A$157,0))),"")</f>
        <v/>
      </c>
      <c r="CX644" s="138" t="str">
        <f>IF($I644&lt;&gt;"",INDEX('Device Refrigerant Leakage'!$E$2:$E$42,MATCH($Q644,'Device Refrigerant Leakage'!$B$2:$B$42,0)),"")</f>
        <v/>
      </c>
      <c r="CY644" s="138" t="str">
        <f>IF($I644&lt;&gt;"",INDEX('Device Refrigerant Leakage'!$F$2:$F$42,MATCH($Q644,'Device Refrigerant Leakage'!$B$2:$B$42,0)),"")</f>
        <v/>
      </c>
      <c r="CZ644" s="145" t="str">
        <f>IF($I644&lt;&gt;"",INDEX('Device Refrigerant Leakage'!$G$2:$G$42,MATCH($Q644,'Device Refrigerant Leakage'!$B$2:$B$42,0)),"")</f>
        <v/>
      </c>
      <c r="DA644" s="145" t="str">
        <f>IF($I644&lt;&gt;"",J644*INDEX('Device Refrigerant Leakage'!$D$2:$D$42,MATCH($Q644,'Device Refrigerant Leakage'!$B$2:$B$42,0))*CX644/2204.62*CW644,"")</f>
        <v/>
      </c>
      <c r="DB644" s="145" t="str">
        <f>IF($I644&lt;&gt;"",J644*(INDEX('Device Refrigerant Leakage'!$D$2:$D$42,MATCH($Q644,'Device Refrigerant Leakage'!$B$2:$B$42,0))-(INDEX('Device Refrigerant Leakage'!$D$2:$D$42,MATCH($Q644,'Device Refrigerant Leakage'!$B$2:$B$42,0)))*CZ644*CX644)*CY644/2204.62*CW644,"")</f>
        <v/>
      </c>
      <c r="DC644" s="135" t="str">
        <f t="shared" si="756"/>
        <v/>
      </c>
      <c r="DE644" s="146" t="str">
        <f>IF(W644&lt;&gt;"AR","",IF(Y644="User Specified", AA644, INDEX('Refrigerant GWPs'!$G$2:$G$154,MATCH(Y644,'Refrigerant GWPs'!$A$2:$A$154,0))))</f>
        <v/>
      </c>
      <c r="DF644" s="146" t="str">
        <f>IF(W644&lt;&gt;"AR","",INDEX('Device Refrigerant Leakage'!$E$2:$E$42,MATCH(X644,'Device Refrigerant Leakage'!$B$2:$B$42,0)))</f>
        <v/>
      </c>
      <c r="DG644" s="146" t="str">
        <f>IF(W644&lt;&gt;"AR","",INDEX('Device Refrigerant Leakage'!$F$2:$F$42,MATCH(X644,'Device Refrigerant Leakage'!$B$2:$B$42,0)))</f>
        <v/>
      </c>
      <c r="DH644" s="146" t="str">
        <f>IF(W644&lt;&gt;"AR","",INDEX('Device Refrigerant Leakage'!$G$2:$G$42,MATCH(X644,'Device Refrigerant Leakage'!$B$2:$B$42,0)))</f>
        <v/>
      </c>
      <c r="DI644" s="146" t="str">
        <f>IF(W644&lt;&gt;"AR","",J644*INDEX('Device Refrigerant Leakage'!$D$2:$D$42,MATCH(X644,'Device Refrigerant Leakage'!$B$2:$B$42,0))*DF644/2204.62*DE644)</f>
        <v/>
      </c>
      <c r="DJ644" s="146" t="str">
        <f>IF(W644&lt;&gt;"AR","",J644*(INDEX('Device Refrigerant Leakage'!$D$2:$D$42,MATCH(X644,'Device Refrigerant Leakage'!$B$2:$B$42,0))-(INDEX('Device Refrigerant Leakage'!$D$2:$D$42,MATCH(X644,'Device Refrigerant Leakage'!$B$2:$B$42,0)))*DH644*DF644)*DG644/2204.62*DE644)</f>
        <v/>
      </c>
      <c r="DK644" s="146" t="str">
        <f>IF(W644&lt;&gt;"AR","",DI644*(K644-AB644)+'Fuel Sub Calcs-Deemed'!DJ644*((K644-AB644)/INDEX('Device Refrigerant Leakage'!$C$2:$C$42,MATCH('Fuel Sub Calcs-Deemed'!X644,'Device Refrigerant Leakage'!$B$2:$B$42,0))))</f>
        <v/>
      </c>
      <c r="DM644" s="56">
        <v>630</v>
      </c>
      <c r="DN644" s="67" t="e">
        <f t="shared" si="738"/>
        <v>#N/A</v>
      </c>
      <c r="DO644" s="45" t="e">
        <f t="shared" si="739"/>
        <v>#N/A</v>
      </c>
      <c r="DP644" s="67" t="e">
        <f t="shared" si="740"/>
        <v>#N/A</v>
      </c>
      <c r="DQ644" s="45" t="e">
        <f t="shared" si="741"/>
        <v>#N/A</v>
      </c>
      <c r="DR644" s="69" t="e">
        <f t="shared" si="742"/>
        <v>#N/A</v>
      </c>
      <c r="DS644" s="34"/>
      <c r="DT644" s="67" t="e">
        <f>((BX644*CJ644)+IF($W644=MAT_AR,(BZ644*CL644),0))*(1+Reference!$E$50+Reference!$E$51)</f>
        <v>#N/A</v>
      </c>
      <c r="DU644" s="67">
        <f>((BY644*CK644)+IF($W644=MAT_AR,(CA644*CM644),0))*(1+Reference!$G$50+Reference!$G$51)</f>
        <v>0</v>
      </c>
      <c r="DV644" s="67" t="e">
        <f t="shared" si="743"/>
        <v>#VALUE!</v>
      </c>
      <c r="DX644" s="56">
        <v>630</v>
      </c>
      <c r="DY644" s="67">
        <f t="shared" si="744"/>
        <v>0</v>
      </c>
      <c r="DZ644" s="45" t="e">
        <f>VLOOKUP($R644,Dropdown!$C$3:$D$4,2,FALSE)</f>
        <v>#N/A</v>
      </c>
      <c r="EA644" s="68">
        <f t="shared" si="745"/>
        <v>0</v>
      </c>
      <c r="EB644" s="68" t="str">
        <f t="shared" si="746"/>
        <v>N/A</v>
      </c>
      <c r="EC644" s="68">
        <f t="shared" si="747"/>
        <v>0</v>
      </c>
      <c r="ED644" s="68" t="str">
        <f t="shared" si="785"/>
        <v>N/A</v>
      </c>
      <c r="EF644" s="56">
        <v>630</v>
      </c>
      <c r="EG644" s="46">
        <f t="shared" si="748"/>
        <v>0</v>
      </c>
      <c r="EH644" s="68" t="e">
        <f t="shared" si="749"/>
        <v>#N/A</v>
      </c>
      <c r="EI644" s="68" t="e">
        <f t="shared" si="750"/>
        <v>#N/A</v>
      </c>
      <c r="EJ644" s="68" t="e">
        <f t="shared" si="751"/>
        <v>#N/A</v>
      </c>
      <c r="EK644" s="68" t="e">
        <f t="shared" si="752"/>
        <v>#N/A</v>
      </c>
      <c r="EL644" s="46">
        <f t="shared" si="753"/>
        <v>0</v>
      </c>
      <c r="EM644" s="46">
        <f t="shared" si="754"/>
        <v>0</v>
      </c>
    </row>
    <row r="645" spans="1:143">
      <c r="A645" s="89"/>
      <c r="B645" s="89"/>
      <c r="C645" s="89"/>
      <c r="D645" s="89"/>
      <c r="E645" s="89"/>
      <c r="F645" s="89"/>
      <c r="G645" s="34"/>
      <c r="H645" s="56">
        <f t="shared" si="755"/>
        <v>631</v>
      </c>
      <c r="I645" s="165"/>
      <c r="J645" s="163"/>
      <c r="K645" s="163"/>
      <c r="L645" s="164"/>
      <c r="M645" s="155"/>
      <c r="N645" s="155"/>
      <c r="O645" s="144"/>
      <c r="P645" s="159" t="str">
        <f>IFERROR(IF(O645&lt;&gt;"User Specified",IF(O645&lt;&gt;"", INDEX('Refrigerant GWPs'!$G$2:$G$154,MATCH(O645,'Refrigerant GWPs'!$A$2:$A$154,0)),""),U645),0)</f>
        <v/>
      </c>
      <c r="Q645" s="155"/>
      <c r="R645" s="155"/>
      <c r="S645" s="144"/>
      <c r="T645" s="159" t="str">
        <f>IF(S645&lt;&gt;"User Specified",IF(AND(S645&lt;&gt;"User Specified",S645&lt;&gt;""), INDEX('Refrigerant GWPs'!$G$2:$G$154,MATCH(S645,'Refrigerant GWPs'!$A$2:$A$154,0)),""),V645)</f>
        <v/>
      </c>
      <c r="U645" s="144"/>
      <c r="V645" s="144"/>
      <c r="W645" s="155"/>
      <c r="X645" s="155"/>
      <c r="Y645" s="144"/>
      <c r="Z645" s="159" t="str">
        <f>IF(AND(Y645&lt;&gt;"User Specified",Y645&lt;&gt;""), INDEX('Refrigerant GWPs'!$G$2:$G$154,MATCH(Y645,'Refrigerant GWPs'!$A$2:$A$154,0)),"")</f>
        <v/>
      </c>
      <c r="AA645" s="155"/>
      <c r="AB645" s="156"/>
      <c r="AC645" s="66"/>
      <c r="AD645" s="66"/>
      <c r="AE645" s="66"/>
      <c r="AF645" s="66"/>
      <c r="AG645" s="66"/>
      <c r="AH645" s="66"/>
      <c r="AI645" s="34"/>
      <c r="AJ645" s="88">
        <f t="shared" si="718"/>
        <v>0</v>
      </c>
      <c r="AK645" s="88">
        <f t="shared" si="719"/>
        <v>0</v>
      </c>
      <c r="AL645" s="88">
        <v>0</v>
      </c>
      <c r="AM645" s="88">
        <v>0</v>
      </c>
      <c r="AN645" s="81" t="str">
        <f t="shared" si="757"/>
        <v/>
      </c>
      <c r="AO645" s="88">
        <f t="shared" si="720"/>
        <v>0</v>
      </c>
      <c r="AP645" s="88">
        <f t="shared" si="721"/>
        <v>0</v>
      </c>
      <c r="AQ645" s="81" t="str">
        <f t="shared" si="722"/>
        <v/>
      </c>
      <c r="AS645" s="41" t="b">
        <f t="shared" si="723"/>
        <v>1</v>
      </c>
      <c r="AT645" s="38">
        <f t="shared" si="724"/>
        <v>0</v>
      </c>
      <c r="AU645" s="60">
        <f t="shared" si="725"/>
        <v>0</v>
      </c>
      <c r="AV645" s="41">
        <f t="shared" si="726"/>
        <v>0</v>
      </c>
      <c r="AW645" s="41" t="b">
        <f t="shared" si="727"/>
        <v>0</v>
      </c>
      <c r="AX645" t="str">
        <f t="shared" si="728"/>
        <v>+00</v>
      </c>
      <c r="AY645" t="str">
        <f t="shared" si="729"/>
        <v>+00</v>
      </c>
      <c r="BA645" s="47" t="b">
        <f t="shared" si="758"/>
        <v>1</v>
      </c>
      <c r="BB645" s="42" t="b">
        <f t="shared" si="759"/>
        <v>1</v>
      </c>
      <c r="BC645" s="42" t="b">
        <f t="shared" si="760"/>
        <v>0</v>
      </c>
      <c r="BD645" s="42" t="b">
        <f t="shared" si="761"/>
        <v>0</v>
      </c>
      <c r="BE645" s="70">
        <f t="shared" si="762"/>
        <v>0</v>
      </c>
      <c r="BF645" s="70">
        <f t="shared" si="763"/>
        <v>0</v>
      </c>
      <c r="BG645" s="34"/>
      <c r="BI645" s="47" t="b">
        <f t="shared" si="764"/>
        <v>1</v>
      </c>
      <c r="BJ645" s="47" t="b">
        <f t="shared" si="765"/>
        <v>1</v>
      </c>
      <c r="BK645" s="42" t="b">
        <f t="shared" si="766"/>
        <v>0</v>
      </c>
      <c r="BL645" s="42" t="b">
        <f t="shared" si="767"/>
        <v>0</v>
      </c>
      <c r="BM645" s="42">
        <f t="shared" si="768"/>
        <v>0</v>
      </c>
      <c r="BN645" s="42">
        <f t="shared" si="769"/>
        <v>0</v>
      </c>
      <c r="BP645" t="e">
        <f t="shared" si="770"/>
        <v>#N/A</v>
      </c>
      <c r="BQ645" t="e">
        <f t="shared" si="771"/>
        <v>#N/A</v>
      </c>
      <c r="BR645" t="e">
        <f t="shared" si="772"/>
        <v>#N/A</v>
      </c>
      <c r="BT645" s="60">
        <f t="shared" si="773"/>
        <v>0</v>
      </c>
      <c r="BU645" s="60">
        <f t="shared" si="774"/>
        <v>0</v>
      </c>
      <c r="BV645" s="60">
        <f t="shared" si="775"/>
        <v>0</v>
      </c>
      <c r="BW645" s="60">
        <f t="shared" si="776"/>
        <v>0</v>
      </c>
      <c r="BX645" s="60">
        <f t="shared" si="777"/>
        <v>0</v>
      </c>
      <c r="BY645" s="60">
        <f t="shared" si="778"/>
        <v>0</v>
      </c>
      <c r="BZ645" s="60">
        <f t="shared" si="779"/>
        <v>0</v>
      </c>
      <c r="CA645" s="60">
        <f t="shared" si="780"/>
        <v>0</v>
      </c>
      <c r="CB645" s="60" t="e">
        <f t="shared" si="730"/>
        <v>#N/A</v>
      </c>
      <c r="CC645" s="60">
        <f t="shared" si="731"/>
        <v>100000</v>
      </c>
      <c r="CD645" s="60" t="e">
        <f t="shared" si="732"/>
        <v>#N/A</v>
      </c>
      <c r="CE645" s="60">
        <f t="shared" si="733"/>
        <v>100000</v>
      </c>
      <c r="CF645" s="83" t="e">
        <f t="shared" si="781"/>
        <v>#N/A</v>
      </c>
      <c r="CG645" s="83">
        <f t="shared" si="782"/>
        <v>0</v>
      </c>
      <c r="CH645" s="83" t="e">
        <f t="shared" si="783"/>
        <v>#N/A</v>
      </c>
      <c r="CI645" s="83">
        <f t="shared" si="784"/>
        <v>0</v>
      </c>
      <c r="CJ645" s="86" t="e">
        <f t="shared" si="734"/>
        <v>#N/A</v>
      </c>
      <c r="CK645" s="82">
        <f t="shared" si="735"/>
        <v>5.3070370403969858E-3</v>
      </c>
      <c r="CL645" s="82" t="e">
        <f t="shared" si="736"/>
        <v>#N/A</v>
      </c>
      <c r="CM645" s="82">
        <f t="shared" si="737"/>
        <v>5.3070370403969858E-3</v>
      </c>
      <c r="CO645" s="149" t="str">
        <f>IF($I645&lt;&gt;"",IF(O645="User Specified",U645,INDEX('Refrigerant GWPs'!$G$2:$G$156,MATCH(O645,'Refrigerant GWPs'!$A$2:$A$156,0))),"")</f>
        <v/>
      </c>
      <c r="CP645" s="138" t="str">
        <f>IF($I645&lt;&gt;"",INDEX('Device Refrigerant Leakage'!$E$2:$E$42,MATCH($M645,'Device Refrigerant Leakage'!$B$2:$B$42,0)),"")</f>
        <v/>
      </c>
      <c r="CQ645" s="138" t="str">
        <f>IF($I645&lt;&gt;"",INDEX('Device Refrigerant Leakage'!$F$2:$F$42,MATCH($M645,'Device Refrigerant Leakage'!$B$2:$B$42,0)),"")</f>
        <v/>
      </c>
      <c r="CR645" s="145" t="str">
        <f>IF($I645&lt;&gt;"",INDEX('Device Refrigerant Leakage'!$G$2:$G$42,MATCH($M645,'Device Refrigerant Leakage'!$B$2:$B$42,0)),"")</f>
        <v/>
      </c>
      <c r="CS645" s="145" t="str">
        <f>IF($I645&lt;&gt;"",INDEX('Device Refrigerant Leakage'!$D$2:$D$42,MATCH($M645,'Device Refrigerant Leakage'!$B$2:$B$42,0))*CP645/2204.62*CO645,"")</f>
        <v/>
      </c>
      <c r="CT645" s="145" t="str">
        <f>IF($I645&lt;&gt;"",J645*(INDEX('Device Refrigerant Leakage'!$D$2:$D$42,MATCH($M645,'Device Refrigerant Leakage'!$B$2:$B$42,0))-(INDEX('Device Refrigerant Leakage'!$D$2:$D$42,MATCH($M645,'Device Refrigerant Leakage'!$B$2:$B$42,0)))*CR645*CP645)*CQ645/2204.62*CO645,"")</f>
        <v/>
      </c>
      <c r="CU645" s="135" t="str">
        <f>IF($I645&lt;&gt;"",J645*IF(W645&lt;&gt;"AR",(CS645*K645)+CT645,(CS645*AB645)+CT645*(AB645/INDEX('Device Refrigerant Leakage'!$C$2:$C$42,MATCH($M645,'Device Refrigerant Leakage'!$B$2:$B$42,0)))),"")</f>
        <v/>
      </c>
      <c r="CW645" s="135" t="str">
        <f>IF($I645&lt;&gt;"",IF(S645="User Specified",V645,INDEX('Refrigerant GWPs'!$G$2:$G$156,MATCH(S645,'Refrigerant GWPs'!$A$2:$A$157,0))),"")</f>
        <v/>
      </c>
      <c r="CX645" s="138" t="str">
        <f>IF($I645&lt;&gt;"",INDEX('Device Refrigerant Leakage'!$E$2:$E$42,MATCH($Q645,'Device Refrigerant Leakage'!$B$2:$B$42,0)),"")</f>
        <v/>
      </c>
      <c r="CY645" s="138" t="str">
        <f>IF($I645&lt;&gt;"",INDEX('Device Refrigerant Leakage'!$F$2:$F$42,MATCH($Q645,'Device Refrigerant Leakage'!$B$2:$B$42,0)),"")</f>
        <v/>
      </c>
      <c r="CZ645" s="145" t="str">
        <f>IF($I645&lt;&gt;"",INDEX('Device Refrigerant Leakage'!$G$2:$G$42,MATCH($Q645,'Device Refrigerant Leakage'!$B$2:$B$42,0)),"")</f>
        <v/>
      </c>
      <c r="DA645" s="145" t="str">
        <f>IF($I645&lt;&gt;"",J645*INDEX('Device Refrigerant Leakage'!$D$2:$D$42,MATCH($Q645,'Device Refrigerant Leakage'!$B$2:$B$42,0))*CX645/2204.62*CW645,"")</f>
        <v/>
      </c>
      <c r="DB645" s="145" t="str">
        <f>IF($I645&lt;&gt;"",J645*(INDEX('Device Refrigerant Leakage'!$D$2:$D$42,MATCH($Q645,'Device Refrigerant Leakage'!$B$2:$B$42,0))-(INDEX('Device Refrigerant Leakage'!$D$2:$D$42,MATCH($Q645,'Device Refrigerant Leakage'!$B$2:$B$42,0)))*CZ645*CX645)*CY645/2204.62*CW645,"")</f>
        <v/>
      </c>
      <c r="DC645" s="135" t="str">
        <f t="shared" si="756"/>
        <v/>
      </c>
      <c r="DE645" s="146" t="str">
        <f>IF(W645&lt;&gt;"AR","",IF(Y645="User Specified", AA645, INDEX('Refrigerant GWPs'!$G$2:$G$154,MATCH(Y645,'Refrigerant GWPs'!$A$2:$A$154,0))))</f>
        <v/>
      </c>
      <c r="DF645" s="146" t="str">
        <f>IF(W645&lt;&gt;"AR","",INDEX('Device Refrigerant Leakage'!$E$2:$E$42,MATCH(X645,'Device Refrigerant Leakage'!$B$2:$B$42,0)))</f>
        <v/>
      </c>
      <c r="DG645" s="146" t="str">
        <f>IF(W645&lt;&gt;"AR","",INDEX('Device Refrigerant Leakage'!$F$2:$F$42,MATCH(X645,'Device Refrigerant Leakage'!$B$2:$B$42,0)))</f>
        <v/>
      </c>
      <c r="DH645" s="146" t="str">
        <f>IF(W645&lt;&gt;"AR","",INDEX('Device Refrigerant Leakage'!$G$2:$G$42,MATCH(X645,'Device Refrigerant Leakage'!$B$2:$B$42,0)))</f>
        <v/>
      </c>
      <c r="DI645" s="146" t="str">
        <f>IF(W645&lt;&gt;"AR","",J645*INDEX('Device Refrigerant Leakage'!$D$2:$D$42,MATCH(X645,'Device Refrigerant Leakage'!$B$2:$B$42,0))*DF645/2204.62*DE645)</f>
        <v/>
      </c>
      <c r="DJ645" s="146" t="str">
        <f>IF(W645&lt;&gt;"AR","",J645*(INDEX('Device Refrigerant Leakage'!$D$2:$D$42,MATCH(X645,'Device Refrigerant Leakage'!$B$2:$B$42,0))-(INDEX('Device Refrigerant Leakage'!$D$2:$D$42,MATCH(X645,'Device Refrigerant Leakage'!$B$2:$B$42,0)))*DH645*DF645)*DG645/2204.62*DE645)</f>
        <v/>
      </c>
      <c r="DK645" s="146" t="str">
        <f>IF(W645&lt;&gt;"AR","",DI645*(K645-AB645)+'Fuel Sub Calcs-Deemed'!DJ645*((K645-AB645)/INDEX('Device Refrigerant Leakage'!$C$2:$C$42,MATCH('Fuel Sub Calcs-Deemed'!X645,'Device Refrigerant Leakage'!$B$2:$B$42,0))))</f>
        <v/>
      </c>
      <c r="DM645" s="56">
        <v>631</v>
      </c>
      <c r="DN645" s="67" t="e">
        <f t="shared" si="738"/>
        <v>#N/A</v>
      </c>
      <c r="DO645" s="45" t="e">
        <f t="shared" si="739"/>
        <v>#N/A</v>
      </c>
      <c r="DP645" s="67" t="e">
        <f t="shared" si="740"/>
        <v>#N/A</v>
      </c>
      <c r="DQ645" s="45" t="e">
        <f t="shared" si="741"/>
        <v>#N/A</v>
      </c>
      <c r="DR645" s="69" t="e">
        <f t="shared" si="742"/>
        <v>#N/A</v>
      </c>
      <c r="DS645" s="34"/>
      <c r="DT645" s="67" t="e">
        <f>((BX645*CJ645)+IF($W645=MAT_AR,(BZ645*CL645),0))*(1+Reference!$E$50+Reference!$E$51)</f>
        <v>#N/A</v>
      </c>
      <c r="DU645" s="67">
        <f>((BY645*CK645)+IF($W645=MAT_AR,(CA645*CM645),0))*(1+Reference!$G$50+Reference!$G$51)</f>
        <v>0</v>
      </c>
      <c r="DV645" s="67" t="e">
        <f t="shared" si="743"/>
        <v>#VALUE!</v>
      </c>
      <c r="DX645" s="56">
        <v>631</v>
      </c>
      <c r="DY645" s="67">
        <f t="shared" si="744"/>
        <v>0</v>
      </c>
      <c r="DZ645" s="45" t="e">
        <f>VLOOKUP($R645,Dropdown!$C$3:$D$4,2,FALSE)</f>
        <v>#N/A</v>
      </c>
      <c r="EA645" s="68">
        <f t="shared" si="745"/>
        <v>0</v>
      </c>
      <c r="EB645" s="68" t="str">
        <f t="shared" si="746"/>
        <v>N/A</v>
      </c>
      <c r="EC645" s="68">
        <f t="shared" si="747"/>
        <v>0</v>
      </c>
      <c r="ED645" s="68" t="str">
        <f t="shared" si="785"/>
        <v>N/A</v>
      </c>
      <c r="EF645" s="56">
        <v>631</v>
      </c>
      <c r="EG645" s="46">
        <f t="shared" si="748"/>
        <v>0</v>
      </c>
      <c r="EH645" s="68" t="e">
        <f t="shared" si="749"/>
        <v>#N/A</v>
      </c>
      <c r="EI645" s="68" t="e">
        <f t="shared" si="750"/>
        <v>#N/A</v>
      </c>
      <c r="EJ645" s="68" t="e">
        <f t="shared" si="751"/>
        <v>#N/A</v>
      </c>
      <c r="EK645" s="68" t="e">
        <f t="shared" si="752"/>
        <v>#N/A</v>
      </c>
      <c r="EL645" s="46">
        <f t="shared" si="753"/>
        <v>0</v>
      </c>
      <c r="EM645" s="46">
        <f t="shared" si="754"/>
        <v>0</v>
      </c>
    </row>
    <row r="646" spans="1:143">
      <c r="A646" s="89"/>
      <c r="B646" s="89"/>
      <c r="C646" s="89"/>
      <c r="D646" s="89"/>
      <c r="E646" s="89"/>
      <c r="F646" s="89"/>
      <c r="G646" s="34"/>
      <c r="H646" s="56">
        <f t="shared" si="755"/>
        <v>632</v>
      </c>
      <c r="I646" s="165"/>
      <c r="J646" s="163"/>
      <c r="K646" s="163"/>
      <c r="L646" s="164"/>
      <c r="M646" s="155"/>
      <c r="N646" s="155"/>
      <c r="O646" s="144"/>
      <c r="P646" s="159" t="str">
        <f>IFERROR(IF(O646&lt;&gt;"User Specified",IF(O646&lt;&gt;"", INDEX('Refrigerant GWPs'!$G$2:$G$154,MATCH(O646,'Refrigerant GWPs'!$A$2:$A$154,0)),""),U646),0)</f>
        <v/>
      </c>
      <c r="Q646" s="155"/>
      <c r="R646" s="155"/>
      <c r="S646" s="144"/>
      <c r="T646" s="159" t="str">
        <f>IF(S646&lt;&gt;"User Specified",IF(AND(S646&lt;&gt;"User Specified",S646&lt;&gt;""), INDEX('Refrigerant GWPs'!$G$2:$G$154,MATCH(S646,'Refrigerant GWPs'!$A$2:$A$154,0)),""),V646)</f>
        <v/>
      </c>
      <c r="U646" s="144"/>
      <c r="V646" s="144"/>
      <c r="W646" s="155"/>
      <c r="X646" s="155"/>
      <c r="Y646" s="144"/>
      <c r="Z646" s="159" t="str">
        <f>IF(AND(Y646&lt;&gt;"User Specified",Y646&lt;&gt;""), INDEX('Refrigerant GWPs'!$G$2:$G$154,MATCH(Y646,'Refrigerant GWPs'!$A$2:$A$154,0)),"")</f>
        <v/>
      </c>
      <c r="AA646" s="155"/>
      <c r="AB646" s="156"/>
      <c r="AC646" s="66"/>
      <c r="AD646" s="66"/>
      <c r="AE646" s="66"/>
      <c r="AF646" s="66"/>
      <c r="AG646" s="66"/>
      <c r="AH646" s="66"/>
      <c r="AI646" s="34"/>
      <c r="AJ646" s="88">
        <f t="shared" si="718"/>
        <v>0</v>
      </c>
      <c r="AK646" s="88">
        <f t="shared" si="719"/>
        <v>0</v>
      </c>
      <c r="AL646" s="88">
        <v>0</v>
      </c>
      <c r="AM646" s="88">
        <v>0</v>
      </c>
      <c r="AN646" s="81" t="str">
        <f t="shared" si="757"/>
        <v/>
      </c>
      <c r="AO646" s="88">
        <f t="shared" si="720"/>
        <v>0</v>
      </c>
      <c r="AP646" s="88">
        <f t="shared" si="721"/>
        <v>0</v>
      </c>
      <c r="AQ646" s="81" t="str">
        <f t="shared" si="722"/>
        <v/>
      </c>
      <c r="AS646" s="41" t="b">
        <f t="shared" si="723"/>
        <v>1</v>
      </c>
      <c r="AT646" s="38">
        <f t="shared" si="724"/>
        <v>0</v>
      </c>
      <c r="AU646" s="60">
        <f t="shared" si="725"/>
        <v>0</v>
      </c>
      <c r="AV646" s="41">
        <f t="shared" si="726"/>
        <v>0</v>
      </c>
      <c r="AW646" s="41" t="b">
        <f t="shared" si="727"/>
        <v>0</v>
      </c>
      <c r="AX646" t="str">
        <f t="shared" si="728"/>
        <v>+00</v>
      </c>
      <c r="AY646" t="str">
        <f t="shared" si="729"/>
        <v>+00</v>
      </c>
      <c r="BA646" s="47" t="b">
        <f t="shared" si="758"/>
        <v>1</v>
      </c>
      <c r="BB646" s="42" t="b">
        <f t="shared" si="759"/>
        <v>1</v>
      </c>
      <c r="BC646" s="42" t="b">
        <f t="shared" si="760"/>
        <v>0</v>
      </c>
      <c r="BD646" s="42" t="b">
        <f t="shared" si="761"/>
        <v>0</v>
      </c>
      <c r="BE646" s="70">
        <f t="shared" si="762"/>
        <v>0</v>
      </c>
      <c r="BF646" s="70">
        <f t="shared" si="763"/>
        <v>0</v>
      </c>
      <c r="BG646" s="34"/>
      <c r="BI646" s="47" t="b">
        <f t="shared" si="764"/>
        <v>1</v>
      </c>
      <c r="BJ646" s="47" t="b">
        <f t="shared" si="765"/>
        <v>1</v>
      </c>
      <c r="BK646" s="42" t="b">
        <f t="shared" si="766"/>
        <v>0</v>
      </c>
      <c r="BL646" s="42" t="b">
        <f t="shared" si="767"/>
        <v>0</v>
      </c>
      <c r="BM646" s="42">
        <f t="shared" si="768"/>
        <v>0</v>
      </c>
      <c r="BN646" s="42">
        <f t="shared" si="769"/>
        <v>0</v>
      </c>
      <c r="BP646" t="e">
        <f t="shared" si="770"/>
        <v>#N/A</v>
      </c>
      <c r="BQ646" t="e">
        <f t="shared" si="771"/>
        <v>#N/A</v>
      </c>
      <c r="BR646" t="e">
        <f t="shared" si="772"/>
        <v>#N/A</v>
      </c>
      <c r="BT646" s="60">
        <f t="shared" si="773"/>
        <v>0</v>
      </c>
      <c r="BU646" s="60">
        <f t="shared" si="774"/>
        <v>0</v>
      </c>
      <c r="BV646" s="60">
        <f t="shared" si="775"/>
        <v>0</v>
      </c>
      <c r="BW646" s="60">
        <f t="shared" si="776"/>
        <v>0</v>
      </c>
      <c r="BX646" s="60">
        <f t="shared" si="777"/>
        <v>0</v>
      </c>
      <c r="BY646" s="60">
        <f t="shared" si="778"/>
        <v>0</v>
      </c>
      <c r="BZ646" s="60">
        <f t="shared" si="779"/>
        <v>0</v>
      </c>
      <c r="CA646" s="60">
        <f t="shared" si="780"/>
        <v>0</v>
      </c>
      <c r="CB646" s="60" t="e">
        <f t="shared" si="730"/>
        <v>#N/A</v>
      </c>
      <c r="CC646" s="60">
        <f t="shared" si="731"/>
        <v>100000</v>
      </c>
      <c r="CD646" s="60" t="e">
        <f t="shared" si="732"/>
        <v>#N/A</v>
      </c>
      <c r="CE646" s="60">
        <f t="shared" si="733"/>
        <v>100000</v>
      </c>
      <c r="CF646" s="83" t="e">
        <f t="shared" si="781"/>
        <v>#N/A</v>
      </c>
      <c r="CG646" s="83">
        <f t="shared" si="782"/>
        <v>0</v>
      </c>
      <c r="CH646" s="83" t="e">
        <f t="shared" si="783"/>
        <v>#N/A</v>
      </c>
      <c r="CI646" s="83">
        <f t="shared" si="784"/>
        <v>0</v>
      </c>
      <c r="CJ646" s="86" t="e">
        <f t="shared" si="734"/>
        <v>#N/A</v>
      </c>
      <c r="CK646" s="82">
        <f t="shared" si="735"/>
        <v>5.3070370403969858E-3</v>
      </c>
      <c r="CL646" s="82" t="e">
        <f t="shared" si="736"/>
        <v>#N/A</v>
      </c>
      <c r="CM646" s="82">
        <f t="shared" si="737"/>
        <v>5.3070370403969858E-3</v>
      </c>
      <c r="CO646" s="149" t="str">
        <f>IF($I646&lt;&gt;"",IF(O646="User Specified",U646,INDEX('Refrigerant GWPs'!$G$2:$G$156,MATCH(O646,'Refrigerant GWPs'!$A$2:$A$156,0))),"")</f>
        <v/>
      </c>
      <c r="CP646" s="138" t="str">
        <f>IF($I646&lt;&gt;"",INDEX('Device Refrigerant Leakage'!$E$2:$E$42,MATCH($M646,'Device Refrigerant Leakage'!$B$2:$B$42,0)),"")</f>
        <v/>
      </c>
      <c r="CQ646" s="138" t="str">
        <f>IF($I646&lt;&gt;"",INDEX('Device Refrigerant Leakage'!$F$2:$F$42,MATCH($M646,'Device Refrigerant Leakage'!$B$2:$B$42,0)),"")</f>
        <v/>
      </c>
      <c r="CR646" s="145" t="str">
        <f>IF($I646&lt;&gt;"",INDEX('Device Refrigerant Leakage'!$G$2:$G$42,MATCH($M646,'Device Refrigerant Leakage'!$B$2:$B$42,0)),"")</f>
        <v/>
      </c>
      <c r="CS646" s="145" t="str">
        <f>IF($I646&lt;&gt;"",INDEX('Device Refrigerant Leakage'!$D$2:$D$42,MATCH($M646,'Device Refrigerant Leakage'!$B$2:$B$42,0))*CP646/2204.62*CO646,"")</f>
        <v/>
      </c>
      <c r="CT646" s="145" t="str">
        <f>IF($I646&lt;&gt;"",J646*(INDEX('Device Refrigerant Leakage'!$D$2:$D$42,MATCH($M646,'Device Refrigerant Leakage'!$B$2:$B$42,0))-(INDEX('Device Refrigerant Leakage'!$D$2:$D$42,MATCH($M646,'Device Refrigerant Leakage'!$B$2:$B$42,0)))*CR646*CP646)*CQ646/2204.62*CO646,"")</f>
        <v/>
      </c>
      <c r="CU646" s="135" t="str">
        <f>IF($I646&lt;&gt;"",J646*IF(W646&lt;&gt;"AR",(CS646*K646)+CT646,(CS646*AB646)+CT646*(AB646/INDEX('Device Refrigerant Leakage'!$C$2:$C$42,MATCH($M646,'Device Refrigerant Leakage'!$B$2:$B$42,0)))),"")</f>
        <v/>
      </c>
      <c r="CW646" s="135" t="str">
        <f>IF($I646&lt;&gt;"",IF(S646="User Specified",V646,INDEX('Refrigerant GWPs'!$G$2:$G$156,MATCH(S646,'Refrigerant GWPs'!$A$2:$A$157,0))),"")</f>
        <v/>
      </c>
      <c r="CX646" s="138" t="str">
        <f>IF($I646&lt;&gt;"",INDEX('Device Refrigerant Leakage'!$E$2:$E$42,MATCH($Q646,'Device Refrigerant Leakage'!$B$2:$B$42,0)),"")</f>
        <v/>
      </c>
      <c r="CY646" s="138" t="str">
        <f>IF($I646&lt;&gt;"",INDEX('Device Refrigerant Leakage'!$F$2:$F$42,MATCH($Q646,'Device Refrigerant Leakage'!$B$2:$B$42,0)),"")</f>
        <v/>
      </c>
      <c r="CZ646" s="145" t="str">
        <f>IF($I646&lt;&gt;"",INDEX('Device Refrigerant Leakage'!$G$2:$G$42,MATCH($Q646,'Device Refrigerant Leakage'!$B$2:$B$42,0)),"")</f>
        <v/>
      </c>
      <c r="DA646" s="145" t="str">
        <f>IF($I646&lt;&gt;"",J646*INDEX('Device Refrigerant Leakage'!$D$2:$D$42,MATCH($Q646,'Device Refrigerant Leakage'!$B$2:$B$42,0))*CX646/2204.62*CW646,"")</f>
        <v/>
      </c>
      <c r="DB646" s="145" t="str">
        <f>IF($I646&lt;&gt;"",J646*(INDEX('Device Refrigerant Leakage'!$D$2:$D$42,MATCH($Q646,'Device Refrigerant Leakage'!$B$2:$B$42,0))-(INDEX('Device Refrigerant Leakage'!$D$2:$D$42,MATCH($Q646,'Device Refrigerant Leakage'!$B$2:$B$42,0)))*CZ646*CX646)*CY646/2204.62*CW646,"")</f>
        <v/>
      </c>
      <c r="DC646" s="135" t="str">
        <f t="shared" si="756"/>
        <v/>
      </c>
      <c r="DE646" s="146" t="str">
        <f>IF(W646&lt;&gt;"AR","",IF(Y646="User Specified", AA646, INDEX('Refrigerant GWPs'!$G$2:$G$154,MATCH(Y646,'Refrigerant GWPs'!$A$2:$A$154,0))))</f>
        <v/>
      </c>
      <c r="DF646" s="146" t="str">
        <f>IF(W646&lt;&gt;"AR","",INDEX('Device Refrigerant Leakage'!$E$2:$E$42,MATCH(X646,'Device Refrigerant Leakage'!$B$2:$B$42,0)))</f>
        <v/>
      </c>
      <c r="DG646" s="146" t="str">
        <f>IF(W646&lt;&gt;"AR","",INDEX('Device Refrigerant Leakage'!$F$2:$F$42,MATCH(X646,'Device Refrigerant Leakage'!$B$2:$B$42,0)))</f>
        <v/>
      </c>
      <c r="DH646" s="146" t="str">
        <f>IF(W646&lt;&gt;"AR","",INDEX('Device Refrigerant Leakage'!$G$2:$G$42,MATCH(X646,'Device Refrigerant Leakage'!$B$2:$B$42,0)))</f>
        <v/>
      </c>
      <c r="DI646" s="146" t="str">
        <f>IF(W646&lt;&gt;"AR","",J646*INDEX('Device Refrigerant Leakage'!$D$2:$D$42,MATCH(X646,'Device Refrigerant Leakage'!$B$2:$B$42,0))*DF646/2204.62*DE646)</f>
        <v/>
      </c>
      <c r="DJ646" s="146" t="str">
        <f>IF(W646&lt;&gt;"AR","",J646*(INDEX('Device Refrigerant Leakage'!$D$2:$D$42,MATCH(X646,'Device Refrigerant Leakage'!$B$2:$B$42,0))-(INDEX('Device Refrigerant Leakage'!$D$2:$D$42,MATCH(X646,'Device Refrigerant Leakage'!$B$2:$B$42,0)))*DH646*DF646)*DG646/2204.62*DE646)</f>
        <v/>
      </c>
      <c r="DK646" s="146" t="str">
        <f>IF(W646&lt;&gt;"AR","",DI646*(K646-AB646)+'Fuel Sub Calcs-Deemed'!DJ646*((K646-AB646)/INDEX('Device Refrigerant Leakage'!$C$2:$C$42,MATCH('Fuel Sub Calcs-Deemed'!X646,'Device Refrigerant Leakage'!$B$2:$B$42,0))))</f>
        <v/>
      </c>
      <c r="DM646" s="56">
        <v>632</v>
      </c>
      <c r="DN646" s="67" t="e">
        <f t="shared" si="738"/>
        <v>#N/A</v>
      </c>
      <c r="DO646" s="45" t="e">
        <f t="shared" si="739"/>
        <v>#N/A</v>
      </c>
      <c r="DP646" s="67" t="e">
        <f t="shared" si="740"/>
        <v>#N/A</v>
      </c>
      <c r="DQ646" s="45" t="e">
        <f t="shared" si="741"/>
        <v>#N/A</v>
      </c>
      <c r="DR646" s="69" t="e">
        <f t="shared" si="742"/>
        <v>#N/A</v>
      </c>
      <c r="DS646" s="34"/>
      <c r="DT646" s="67" t="e">
        <f>((BX646*CJ646)+IF($W646=MAT_AR,(BZ646*CL646),0))*(1+Reference!$E$50+Reference!$E$51)</f>
        <v>#N/A</v>
      </c>
      <c r="DU646" s="67">
        <f>((BY646*CK646)+IF($W646=MAT_AR,(CA646*CM646),0))*(1+Reference!$G$50+Reference!$G$51)</f>
        <v>0</v>
      </c>
      <c r="DV646" s="67" t="e">
        <f t="shared" si="743"/>
        <v>#VALUE!</v>
      </c>
      <c r="DX646" s="56">
        <v>632</v>
      </c>
      <c r="DY646" s="67">
        <f t="shared" si="744"/>
        <v>0</v>
      </c>
      <c r="DZ646" s="45" t="e">
        <f>VLOOKUP($R646,Dropdown!$C$3:$D$4,2,FALSE)</f>
        <v>#N/A</v>
      </c>
      <c r="EA646" s="68">
        <f t="shared" si="745"/>
        <v>0</v>
      </c>
      <c r="EB646" s="68" t="str">
        <f t="shared" si="746"/>
        <v>N/A</v>
      </c>
      <c r="EC646" s="68">
        <f t="shared" si="747"/>
        <v>0</v>
      </c>
      <c r="ED646" s="68" t="str">
        <f t="shared" si="785"/>
        <v>N/A</v>
      </c>
      <c r="EF646" s="56">
        <v>632</v>
      </c>
      <c r="EG646" s="46">
        <f t="shared" si="748"/>
        <v>0</v>
      </c>
      <c r="EH646" s="68" t="e">
        <f t="shared" si="749"/>
        <v>#N/A</v>
      </c>
      <c r="EI646" s="68" t="e">
        <f t="shared" si="750"/>
        <v>#N/A</v>
      </c>
      <c r="EJ646" s="68" t="e">
        <f t="shared" si="751"/>
        <v>#N/A</v>
      </c>
      <c r="EK646" s="68" t="e">
        <f t="shared" si="752"/>
        <v>#N/A</v>
      </c>
      <c r="EL646" s="46">
        <f t="shared" si="753"/>
        <v>0</v>
      </c>
      <c r="EM646" s="46">
        <f t="shared" si="754"/>
        <v>0</v>
      </c>
    </row>
    <row r="647" spans="1:143">
      <c r="A647" s="89"/>
      <c r="B647" s="89"/>
      <c r="C647" s="89"/>
      <c r="D647" s="89"/>
      <c r="E647" s="89"/>
      <c r="F647" s="89"/>
      <c r="G647" s="34"/>
      <c r="H647" s="56">
        <f t="shared" si="755"/>
        <v>633</v>
      </c>
      <c r="I647" s="165"/>
      <c r="J647" s="163"/>
      <c r="K647" s="163"/>
      <c r="L647" s="164"/>
      <c r="M647" s="155"/>
      <c r="N647" s="155"/>
      <c r="O647" s="144"/>
      <c r="P647" s="159" t="str">
        <f>IFERROR(IF(O647&lt;&gt;"User Specified",IF(O647&lt;&gt;"", INDEX('Refrigerant GWPs'!$G$2:$G$154,MATCH(O647,'Refrigerant GWPs'!$A$2:$A$154,0)),""),U647),0)</f>
        <v/>
      </c>
      <c r="Q647" s="155"/>
      <c r="R647" s="155"/>
      <c r="S647" s="144"/>
      <c r="T647" s="159" t="str">
        <f>IF(S647&lt;&gt;"User Specified",IF(AND(S647&lt;&gt;"User Specified",S647&lt;&gt;""), INDEX('Refrigerant GWPs'!$G$2:$G$154,MATCH(S647,'Refrigerant GWPs'!$A$2:$A$154,0)),""),V647)</f>
        <v/>
      </c>
      <c r="U647" s="144"/>
      <c r="V647" s="144"/>
      <c r="W647" s="155"/>
      <c r="X647" s="155"/>
      <c r="Y647" s="144"/>
      <c r="Z647" s="159" t="str">
        <f>IF(AND(Y647&lt;&gt;"User Specified",Y647&lt;&gt;""), INDEX('Refrigerant GWPs'!$G$2:$G$154,MATCH(Y647,'Refrigerant GWPs'!$A$2:$A$154,0)),"")</f>
        <v/>
      </c>
      <c r="AA647" s="155"/>
      <c r="AB647" s="156"/>
      <c r="AC647" s="66"/>
      <c r="AD647" s="66"/>
      <c r="AE647" s="66"/>
      <c r="AF647" s="66"/>
      <c r="AG647" s="66"/>
      <c r="AH647" s="66"/>
      <c r="AI647" s="34"/>
      <c r="AJ647" s="88">
        <f t="shared" si="718"/>
        <v>0</v>
      </c>
      <c r="AK647" s="88">
        <f t="shared" si="719"/>
        <v>0</v>
      </c>
      <c r="AL647" s="88">
        <v>0</v>
      </c>
      <c r="AM647" s="88">
        <v>0</v>
      </c>
      <c r="AN647" s="81" t="str">
        <f t="shared" si="757"/>
        <v/>
      </c>
      <c r="AO647" s="88">
        <f t="shared" si="720"/>
        <v>0</v>
      </c>
      <c r="AP647" s="88">
        <f t="shared" si="721"/>
        <v>0</v>
      </c>
      <c r="AQ647" s="81" t="str">
        <f t="shared" si="722"/>
        <v/>
      </c>
      <c r="AS647" s="41" t="b">
        <f t="shared" si="723"/>
        <v>1</v>
      </c>
      <c r="AT647" s="38">
        <f t="shared" si="724"/>
        <v>0</v>
      </c>
      <c r="AU647" s="60">
        <f t="shared" si="725"/>
        <v>0</v>
      </c>
      <c r="AV647" s="41">
        <f t="shared" si="726"/>
        <v>0</v>
      </c>
      <c r="AW647" s="41" t="b">
        <f t="shared" si="727"/>
        <v>0</v>
      </c>
      <c r="AX647" t="str">
        <f t="shared" si="728"/>
        <v>+00</v>
      </c>
      <c r="AY647" t="str">
        <f t="shared" si="729"/>
        <v>+00</v>
      </c>
      <c r="BA647" s="47" t="b">
        <f t="shared" si="758"/>
        <v>1</v>
      </c>
      <c r="BB647" s="42" t="b">
        <f t="shared" si="759"/>
        <v>1</v>
      </c>
      <c r="BC647" s="42" t="b">
        <f t="shared" si="760"/>
        <v>0</v>
      </c>
      <c r="BD647" s="42" t="b">
        <f t="shared" si="761"/>
        <v>0</v>
      </c>
      <c r="BE647" s="70">
        <f t="shared" si="762"/>
        <v>0</v>
      </c>
      <c r="BF647" s="70">
        <f t="shared" si="763"/>
        <v>0</v>
      </c>
      <c r="BG647" s="34"/>
      <c r="BI647" s="47" t="b">
        <f t="shared" si="764"/>
        <v>1</v>
      </c>
      <c r="BJ647" s="47" t="b">
        <f t="shared" si="765"/>
        <v>1</v>
      </c>
      <c r="BK647" s="42" t="b">
        <f t="shared" si="766"/>
        <v>0</v>
      </c>
      <c r="BL647" s="42" t="b">
        <f t="shared" si="767"/>
        <v>0</v>
      </c>
      <c r="BM647" s="42">
        <f t="shared" si="768"/>
        <v>0</v>
      </c>
      <c r="BN647" s="42">
        <f t="shared" si="769"/>
        <v>0</v>
      </c>
      <c r="BP647" t="e">
        <f t="shared" si="770"/>
        <v>#N/A</v>
      </c>
      <c r="BQ647" t="e">
        <f t="shared" si="771"/>
        <v>#N/A</v>
      </c>
      <c r="BR647" t="e">
        <f t="shared" si="772"/>
        <v>#N/A</v>
      </c>
      <c r="BT647" s="60">
        <f t="shared" si="773"/>
        <v>0</v>
      </c>
      <c r="BU647" s="60">
        <f t="shared" si="774"/>
        <v>0</v>
      </c>
      <c r="BV647" s="60">
        <f t="shared" si="775"/>
        <v>0</v>
      </c>
      <c r="BW647" s="60">
        <f t="shared" si="776"/>
        <v>0</v>
      </c>
      <c r="BX647" s="60">
        <f t="shared" si="777"/>
        <v>0</v>
      </c>
      <c r="BY647" s="60">
        <f t="shared" si="778"/>
        <v>0</v>
      </c>
      <c r="BZ647" s="60">
        <f t="shared" si="779"/>
        <v>0</v>
      </c>
      <c r="CA647" s="60">
        <f t="shared" si="780"/>
        <v>0</v>
      </c>
      <c r="CB647" s="60" t="e">
        <f t="shared" si="730"/>
        <v>#N/A</v>
      </c>
      <c r="CC647" s="60">
        <f t="shared" si="731"/>
        <v>100000</v>
      </c>
      <c r="CD647" s="60" t="e">
        <f t="shared" si="732"/>
        <v>#N/A</v>
      </c>
      <c r="CE647" s="60">
        <f t="shared" si="733"/>
        <v>100000</v>
      </c>
      <c r="CF647" s="83" t="e">
        <f t="shared" si="781"/>
        <v>#N/A</v>
      </c>
      <c r="CG647" s="83">
        <f t="shared" si="782"/>
        <v>0</v>
      </c>
      <c r="CH647" s="83" t="e">
        <f t="shared" si="783"/>
        <v>#N/A</v>
      </c>
      <c r="CI647" s="83">
        <f t="shared" si="784"/>
        <v>0</v>
      </c>
      <c r="CJ647" s="86" t="e">
        <f t="shared" si="734"/>
        <v>#N/A</v>
      </c>
      <c r="CK647" s="82">
        <f t="shared" si="735"/>
        <v>5.3070370403969858E-3</v>
      </c>
      <c r="CL647" s="82" t="e">
        <f t="shared" si="736"/>
        <v>#N/A</v>
      </c>
      <c r="CM647" s="82">
        <f t="shared" si="737"/>
        <v>5.3070370403969858E-3</v>
      </c>
      <c r="CO647" s="149" t="str">
        <f>IF($I647&lt;&gt;"",IF(O647="User Specified",U647,INDEX('Refrigerant GWPs'!$G$2:$G$156,MATCH(O647,'Refrigerant GWPs'!$A$2:$A$156,0))),"")</f>
        <v/>
      </c>
      <c r="CP647" s="138" t="str">
        <f>IF($I647&lt;&gt;"",INDEX('Device Refrigerant Leakage'!$E$2:$E$42,MATCH($M647,'Device Refrigerant Leakage'!$B$2:$B$42,0)),"")</f>
        <v/>
      </c>
      <c r="CQ647" s="138" t="str">
        <f>IF($I647&lt;&gt;"",INDEX('Device Refrigerant Leakage'!$F$2:$F$42,MATCH($M647,'Device Refrigerant Leakage'!$B$2:$B$42,0)),"")</f>
        <v/>
      </c>
      <c r="CR647" s="145" t="str">
        <f>IF($I647&lt;&gt;"",INDEX('Device Refrigerant Leakage'!$G$2:$G$42,MATCH($M647,'Device Refrigerant Leakage'!$B$2:$B$42,0)),"")</f>
        <v/>
      </c>
      <c r="CS647" s="145" t="str">
        <f>IF($I647&lt;&gt;"",INDEX('Device Refrigerant Leakage'!$D$2:$D$42,MATCH($M647,'Device Refrigerant Leakage'!$B$2:$B$42,0))*CP647/2204.62*CO647,"")</f>
        <v/>
      </c>
      <c r="CT647" s="145" t="str">
        <f>IF($I647&lt;&gt;"",J647*(INDEX('Device Refrigerant Leakage'!$D$2:$D$42,MATCH($M647,'Device Refrigerant Leakage'!$B$2:$B$42,0))-(INDEX('Device Refrigerant Leakage'!$D$2:$D$42,MATCH($M647,'Device Refrigerant Leakage'!$B$2:$B$42,0)))*CR647*CP647)*CQ647/2204.62*CO647,"")</f>
        <v/>
      </c>
      <c r="CU647" s="135" t="str">
        <f>IF($I647&lt;&gt;"",J647*IF(W647&lt;&gt;"AR",(CS647*K647)+CT647,(CS647*AB647)+CT647*(AB647/INDEX('Device Refrigerant Leakage'!$C$2:$C$42,MATCH($M647,'Device Refrigerant Leakage'!$B$2:$B$42,0)))),"")</f>
        <v/>
      </c>
      <c r="CW647" s="135" t="str">
        <f>IF($I647&lt;&gt;"",IF(S647="User Specified",V647,INDEX('Refrigerant GWPs'!$G$2:$G$156,MATCH(S647,'Refrigerant GWPs'!$A$2:$A$157,0))),"")</f>
        <v/>
      </c>
      <c r="CX647" s="138" t="str">
        <f>IF($I647&lt;&gt;"",INDEX('Device Refrigerant Leakage'!$E$2:$E$42,MATCH($Q647,'Device Refrigerant Leakage'!$B$2:$B$42,0)),"")</f>
        <v/>
      </c>
      <c r="CY647" s="138" t="str">
        <f>IF($I647&lt;&gt;"",INDEX('Device Refrigerant Leakage'!$F$2:$F$42,MATCH($Q647,'Device Refrigerant Leakage'!$B$2:$B$42,0)),"")</f>
        <v/>
      </c>
      <c r="CZ647" s="145" t="str">
        <f>IF($I647&lt;&gt;"",INDEX('Device Refrigerant Leakage'!$G$2:$G$42,MATCH($Q647,'Device Refrigerant Leakage'!$B$2:$B$42,0)),"")</f>
        <v/>
      </c>
      <c r="DA647" s="145" t="str">
        <f>IF($I647&lt;&gt;"",J647*INDEX('Device Refrigerant Leakage'!$D$2:$D$42,MATCH($Q647,'Device Refrigerant Leakage'!$B$2:$B$42,0))*CX647/2204.62*CW647,"")</f>
        <v/>
      </c>
      <c r="DB647" s="145" t="str">
        <f>IF($I647&lt;&gt;"",J647*(INDEX('Device Refrigerant Leakage'!$D$2:$D$42,MATCH($Q647,'Device Refrigerant Leakage'!$B$2:$B$42,0))-(INDEX('Device Refrigerant Leakage'!$D$2:$D$42,MATCH($Q647,'Device Refrigerant Leakage'!$B$2:$B$42,0)))*CZ647*CX647)*CY647/2204.62*CW647,"")</f>
        <v/>
      </c>
      <c r="DC647" s="135" t="str">
        <f t="shared" si="756"/>
        <v/>
      </c>
      <c r="DE647" s="146" t="str">
        <f>IF(W647&lt;&gt;"AR","",IF(Y647="User Specified", AA647, INDEX('Refrigerant GWPs'!$G$2:$G$154,MATCH(Y647,'Refrigerant GWPs'!$A$2:$A$154,0))))</f>
        <v/>
      </c>
      <c r="DF647" s="146" t="str">
        <f>IF(W647&lt;&gt;"AR","",INDEX('Device Refrigerant Leakage'!$E$2:$E$42,MATCH(X647,'Device Refrigerant Leakage'!$B$2:$B$42,0)))</f>
        <v/>
      </c>
      <c r="DG647" s="146" t="str">
        <f>IF(W647&lt;&gt;"AR","",INDEX('Device Refrigerant Leakage'!$F$2:$F$42,MATCH(X647,'Device Refrigerant Leakage'!$B$2:$B$42,0)))</f>
        <v/>
      </c>
      <c r="DH647" s="146" t="str">
        <f>IF(W647&lt;&gt;"AR","",INDEX('Device Refrigerant Leakage'!$G$2:$G$42,MATCH(X647,'Device Refrigerant Leakage'!$B$2:$B$42,0)))</f>
        <v/>
      </c>
      <c r="DI647" s="146" t="str">
        <f>IF(W647&lt;&gt;"AR","",J647*INDEX('Device Refrigerant Leakage'!$D$2:$D$42,MATCH(X647,'Device Refrigerant Leakage'!$B$2:$B$42,0))*DF647/2204.62*DE647)</f>
        <v/>
      </c>
      <c r="DJ647" s="146" t="str">
        <f>IF(W647&lt;&gt;"AR","",J647*(INDEX('Device Refrigerant Leakage'!$D$2:$D$42,MATCH(X647,'Device Refrigerant Leakage'!$B$2:$B$42,0))-(INDEX('Device Refrigerant Leakage'!$D$2:$D$42,MATCH(X647,'Device Refrigerant Leakage'!$B$2:$B$42,0)))*DH647*DF647)*DG647/2204.62*DE647)</f>
        <v/>
      </c>
      <c r="DK647" s="146" t="str">
        <f>IF(W647&lt;&gt;"AR","",DI647*(K647-AB647)+'Fuel Sub Calcs-Deemed'!DJ647*((K647-AB647)/INDEX('Device Refrigerant Leakage'!$C$2:$C$42,MATCH('Fuel Sub Calcs-Deemed'!X647,'Device Refrigerant Leakage'!$B$2:$B$42,0))))</f>
        <v/>
      </c>
      <c r="DM647" s="56">
        <v>633</v>
      </c>
      <c r="DN647" s="67" t="e">
        <f t="shared" si="738"/>
        <v>#N/A</v>
      </c>
      <c r="DO647" s="45" t="e">
        <f t="shared" si="739"/>
        <v>#N/A</v>
      </c>
      <c r="DP647" s="67" t="e">
        <f t="shared" si="740"/>
        <v>#N/A</v>
      </c>
      <c r="DQ647" s="45" t="e">
        <f t="shared" si="741"/>
        <v>#N/A</v>
      </c>
      <c r="DR647" s="69" t="e">
        <f t="shared" si="742"/>
        <v>#N/A</v>
      </c>
      <c r="DS647" s="34"/>
      <c r="DT647" s="67" t="e">
        <f>((BX647*CJ647)+IF($W647=MAT_AR,(BZ647*CL647),0))*(1+Reference!$E$50+Reference!$E$51)</f>
        <v>#N/A</v>
      </c>
      <c r="DU647" s="67">
        <f>((BY647*CK647)+IF($W647=MAT_AR,(CA647*CM647),0))*(1+Reference!$G$50+Reference!$G$51)</f>
        <v>0</v>
      </c>
      <c r="DV647" s="67" t="e">
        <f t="shared" si="743"/>
        <v>#VALUE!</v>
      </c>
      <c r="DX647" s="56">
        <v>633</v>
      </c>
      <c r="DY647" s="67">
        <f t="shared" si="744"/>
        <v>0</v>
      </c>
      <c r="DZ647" s="45" t="e">
        <f>VLOOKUP($R647,Dropdown!$C$3:$D$4,2,FALSE)</f>
        <v>#N/A</v>
      </c>
      <c r="EA647" s="68">
        <f t="shared" si="745"/>
        <v>0</v>
      </c>
      <c r="EB647" s="68" t="str">
        <f t="shared" si="746"/>
        <v>N/A</v>
      </c>
      <c r="EC647" s="68">
        <f t="shared" si="747"/>
        <v>0</v>
      </c>
      <c r="ED647" s="68" t="str">
        <f t="shared" si="785"/>
        <v>N/A</v>
      </c>
      <c r="EF647" s="56">
        <v>633</v>
      </c>
      <c r="EG647" s="46">
        <f t="shared" si="748"/>
        <v>0</v>
      </c>
      <c r="EH647" s="68" t="e">
        <f t="shared" si="749"/>
        <v>#N/A</v>
      </c>
      <c r="EI647" s="68" t="e">
        <f t="shared" si="750"/>
        <v>#N/A</v>
      </c>
      <c r="EJ647" s="68" t="e">
        <f t="shared" si="751"/>
        <v>#N/A</v>
      </c>
      <c r="EK647" s="68" t="e">
        <f t="shared" si="752"/>
        <v>#N/A</v>
      </c>
      <c r="EL647" s="46">
        <f t="shared" si="753"/>
        <v>0</v>
      </c>
      <c r="EM647" s="46">
        <f t="shared" si="754"/>
        <v>0</v>
      </c>
    </row>
    <row r="648" spans="1:143">
      <c r="A648" s="89"/>
      <c r="B648" s="89"/>
      <c r="C648" s="89"/>
      <c r="D648" s="89"/>
      <c r="E648" s="89"/>
      <c r="F648" s="89"/>
      <c r="G648" s="34"/>
      <c r="H648" s="56">
        <f t="shared" si="755"/>
        <v>634</v>
      </c>
      <c r="I648" s="165"/>
      <c r="J648" s="163"/>
      <c r="K648" s="163"/>
      <c r="L648" s="164"/>
      <c r="M648" s="155"/>
      <c r="N648" s="155"/>
      <c r="O648" s="144"/>
      <c r="P648" s="159" t="str">
        <f>IFERROR(IF(O648&lt;&gt;"User Specified",IF(O648&lt;&gt;"", INDEX('Refrigerant GWPs'!$G$2:$G$154,MATCH(O648,'Refrigerant GWPs'!$A$2:$A$154,0)),""),U648),0)</f>
        <v/>
      </c>
      <c r="Q648" s="155"/>
      <c r="R648" s="155"/>
      <c r="S648" s="144"/>
      <c r="T648" s="159" t="str">
        <f>IF(S648&lt;&gt;"User Specified",IF(AND(S648&lt;&gt;"User Specified",S648&lt;&gt;""), INDEX('Refrigerant GWPs'!$G$2:$G$154,MATCH(S648,'Refrigerant GWPs'!$A$2:$A$154,0)),""),V648)</f>
        <v/>
      </c>
      <c r="U648" s="144"/>
      <c r="V648" s="144"/>
      <c r="W648" s="155"/>
      <c r="X648" s="155"/>
      <c r="Y648" s="144"/>
      <c r="Z648" s="159" t="str">
        <f>IF(AND(Y648&lt;&gt;"User Specified",Y648&lt;&gt;""), INDEX('Refrigerant GWPs'!$G$2:$G$154,MATCH(Y648,'Refrigerant GWPs'!$A$2:$A$154,0)),"")</f>
        <v/>
      </c>
      <c r="AA648" s="155"/>
      <c r="AB648" s="156"/>
      <c r="AC648" s="66"/>
      <c r="AD648" s="66"/>
      <c r="AE648" s="66"/>
      <c r="AF648" s="66"/>
      <c r="AG648" s="66"/>
      <c r="AH648" s="66"/>
      <c r="AI648" s="34"/>
      <c r="AJ648" s="88">
        <f t="shared" si="718"/>
        <v>0</v>
      </c>
      <c r="AK648" s="88">
        <f t="shared" si="719"/>
        <v>0</v>
      </c>
      <c r="AL648" s="88">
        <v>0</v>
      </c>
      <c r="AM648" s="88">
        <v>0</v>
      </c>
      <c r="AN648" s="81" t="str">
        <f t="shared" si="757"/>
        <v/>
      </c>
      <c r="AO648" s="88">
        <f t="shared" si="720"/>
        <v>0</v>
      </c>
      <c r="AP648" s="88">
        <f t="shared" si="721"/>
        <v>0</v>
      </c>
      <c r="AQ648" s="81" t="str">
        <f t="shared" si="722"/>
        <v/>
      </c>
      <c r="AS648" s="41" t="b">
        <f t="shared" si="723"/>
        <v>1</v>
      </c>
      <c r="AT648" s="38">
        <f t="shared" si="724"/>
        <v>0</v>
      </c>
      <c r="AU648" s="60">
        <f t="shared" si="725"/>
        <v>0</v>
      </c>
      <c r="AV648" s="41">
        <f t="shared" si="726"/>
        <v>0</v>
      </c>
      <c r="AW648" s="41" t="b">
        <f t="shared" si="727"/>
        <v>0</v>
      </c>
      <c r="AX648" t="str">
        <f t="shared" si="728"/>
        <v>+00</v>
      </c>
      <c r="AY648" t="str">
        <f t="shared" si="729"/>
        <v>+00</v>
      </c>
      <c r="BA648" s="47" t="b">
        <f t="shared" si="758"/>
        <v>1</v>
      </c>
      <c r="BB648" s="42" t="b">
        <f t="shared" si="759"/>
        <v>1</v>
      </c>
      <c r="BC648" s="42" t="b">
        <f t="shared" si="760"/>
        <v>0</v>
      </c>
      <c r="BD648" s="42" t="b">
        <f t="shared" si="761"/>
        <v>0</v>
      </c>
      <c r="BE648" s="70">
        <f t="shared" si="762"/>
        <v>0</v>
      </c>
      <c r="BF648" s="70">
        <f t="shared" si="763"/>
        <v>0</v>
      </c>
      <c r="BG648" s="34"/>
      <c r="BI648" s="47" t="b">
        <f t="shared" si="764"/>
        <v>1</v>
      </c>
      <c r="BJ648" s="47" t="b">
        <f t="shared" si="765"/>
        <v>1</v>
      </c>
      <c r="BK648" s="42" t="b">
        <f t="shared" si="766"/>
        <v>0</v>
      </c>
      <c r="BL648" s="42" t="b">
        <f t="shared" si="767"/>
        <v>0</v>
      </c>
      <c r="BM648" s="42">
        <f t="shared" si="768"/>
        <v>0</v>
      </c>
      <c r="BN648" s="42">
        <f t="shared" si="769"/>
        <v>0</v>
      </c>
      <c r="BP648" t="e">
        <f t="shared" si="770"/>
        <v>#N/A</v>
      </c>
      <c r="BQ648" t="e">
        <f t="shared" si="771"/>
        <v>#N/A</v>
      </c>
      <c r="BR648" t="e">
        <f t="shared" si="772"/>
        <v>#N/A</v>
      </c>
      <c r="BT648" s="60">
        <f t="shared" si="773"/>
        <v>0</v>
      </c>
      <c r="BU648" s="60">
        <f t="shared" si="774"/>
        <v>0</v>
      </c>
      <c r="BV648" s="60">
        <f t="shared" si="775"/>
        <v>0</v>
      </c>
      <c r="BW648" s="60">
        <f t="shared" si="776"/>
        <v>0</v>
      </c>
      <c r="BX648" s="60">
        <f t="shared" si="777"/>
        <v>0</v>
      </c>
      <c r="BY648" s="60">
        <f t="shared" si="778"/>
        <v>0</v>
      </c>
      <c r="BZ648" s="60">
        <f t="shared" si="779"/>
        <v>0</v>
      </c>
      <c r="CA648" s="60">
        <f t="shared" si="780"/>
        <v>0</v>
      </c>
      <c r="CB648" s="60" t="e">
        <f t="shared" si="730"/>
        <v>#N/A</v>
      </c>
      <c r="CC648" s="60">
        <f t="shared" si="731"/>
        <v>100000</v>
      </c>
      <c r="CD648" s="60" t="e">
        <f t="shared" si="732"/>
        <v>#N/A</v>
      </c>
      <c r="CE648" s="60">
        <f t="shared" si="733"/>
        <v>100000</v>
      </c>
      <c r="CF648" s="83" t="e">
        <f t="shared" si="781"/>
        <v>#N/A</v>
      </c>
      <c r="CG648" s="83">
        <f t="shared" si="782"/>
        <v>0</v>
      </c>
      <c r="CH648" s="83" t="e">
        <f t="shared" si="783"/>
        <v>#N/A</v>
      </c>
      <c r="CI648" s="83">
        <f t="shared" si="784"/>
        <v>0</v>
      </c>
      <c r="CJ648" s="86" t="e">
        <f t="shared" si="734"/>
        <v>#N/A</v>
      </c>
      <c r="CK648" s="82">
        <f t="shared" si="735"/>
        <v>5.3070370403969858E-3</v>
      </c>
      <c r="CL648" s="82" t="e">
        <f t="shared" si="736"/>
        <v>#N/A</v>
      </c>
      <c r="CM648" s="82">
        <f t="shared" si="737"/>
        <v>5.3070370403969858E-3</v>
      </c>
      <c r="CO648" s="149" t="str">
        <f>IF($I648&lt;&gt;"",IF(O648="User Specified",U648,INDEX('Refrigerant GWPs'!$G$2:$G$156,MATCH(O648,'Refrigerant GWPs'!$A$2:$A$156,0))),"")</f>
        <v/>
      </c>
      <c r="CP648" s="138" t="str">
        <f>IF($I648&lt;&gt;"",INDEX('Device Refrigerant Leakage'!$E$2:$E$42,MATCH($M648,'Device Refrigerant Leakage'!$B$2:$B$42,0)),"")</f>
        <v/>
      </c>
      <c r="CQ648" s="138" t="str">
        <f>IF($I648&lt;&gt;"",INDEX('Device Refrigerant Leakage'!$F$2:$F$42,MATCH($M648,'Device Refrigerant Leakage'!$B$2:$B$42,0)),"")</f>
        <v/>
      </c>
      <c r="CR648" s="145" t="str">
        <f>IF($I648&lt;&gt;"",INDEX('Device Refrigerant Leakage'!$G$2:$G$42,MATCH($M648,'Device Refrigerant Leakage'!$B$2:$B$42,0)),"")</f>
        <v/>
      </c>
      <c r="CS648" s="145" t="str">
        <f>IF($I648&lt;&gt;"",INDEX('Device Refrigerant Leakage'!$D$2:$D$42,MATCH($M648,'Device Refrigerant Leakage'!$B$2:$B$42,0))*CP648/2204.62*CO648,"")</f>
        <v/>
      </c>
      <c r="CT648" s="145" t="str">
        <f>IF($I648&lt;&gt;"",J648*(INDEX('Device Refrigerant Leakage'!$D$2:$D$42,MATCH($M648,'Device Refrigerant Leakage'!$B$2:$B$42,0))-(INDEX('Device Refrigerant Leakage'!$D$2:$D$42,MATCH($M648,'Device Refrigerant Leakage'!$B$2:$B$42,0)))*CR648*CP648)*CQ648/2204.62*CO648,"")</f>
        <v/>
      </c>
      <c r="CU648" s="135" t="str">
        <f>IF($I648&lt;&gt;"",J648*IF(W648&lt;&gt;"AR",(CS648*K648)+CT648,(CS648*AB648)+CT648*(AB648/INDEX('Device Refrigerant Leakage'!$C$2:$C$42,MATCH($M648,'Device Refrigerant Leakage'!$B$2:$B$42,0)))),"")</f>
        <v/>
      </c>
      <c r="CW648" s="135" t="str">
        <f>IF($I648&lt;&gt;"",IF(S648="User Specified",V648,INDEX('Refrigerant GWPs'!$G$2:$G$156,MATCH(S648,'Refrigerant GWPs'!$A$2:$A$157,0))),"")</f>
        <v/>
      </c>
      <c r="CX648" s="138" t="str">
        <f>IF($I648&lt;&gt;"",INDEX('Device Refrigerant Leakage'!$E$2:$E$42,MATCH($Q648,'Device Refrigerant Leakage'!$B$2:$B$42,0)),"")</f>
        <v/>
      </c>
      <c r="CY648" s="138" t="str">
        <f>IF($I648&lt;&gt;"",INDEX('Device Refrigerant Leakage'!$F$2:$F$42,MATCH($Q648,'Device Refrigerant Leakage'!$B$2:$B$42,0)),"")</f>
        <v/>
      </c>
      <c r="CZ648" s="145" t="str">
        <f>IF($I648&lt;&gt;"",INDEX('Device Refrigerant Leakage'!$G$2:$G$42,MATCH($Q648,'Device Refrigerant Leakage'!$B$2:$B$42,0)),"")</f>
        <v/>
      </c>
      <c r="DA648" s="145" t="str">
        <f>IF($I648&lt;&gt;"",J648*INDEX('Device Refrigerant Leakage'!$D$2:$D$42,MATCH($Q648,'Device Refrigerant Leakage'!$B$2:$B$42,0))*CX648/2204.62*CW648,"")</f>
        <v/>
      </c>
      <c r="DB648" s="145" t="str">
        <f>IF($I648&lt;&gt;"",J648*(INDEX('Device Refrigerant Leakage'!$D$2:$D$42,MATCH($Q648,'Device Refrigerant Leakage'!$B$2:$B$42,0))-(INDEX('Device Refrigerant Leakage'!$D$2:$D$42,MATCH($Q648,'Device Refrigerant Leakage'!$B$2:$B$42,0)))*CZ648*CX648)*CY648/2204.62*CW648,"")</f>
        <v/>
      </c>
      <c r="DC648" s="135" t="str">
        <f t="shared" si="756"/>
        <v/>
      </c>
      <c r="DE648" s="146" t="str">
        <f>IF(W648&lt;&gt;"AR","",IF(Y648="User Specified", AA648, INDEX('Refrigerant GWPs'!$G$2:$G$154,MATCH(Y648,'Refrigerant GWPs'!$A$2:$A$154,0))))</f>
        <v/>
      </c>
      <c r="DF648" s="146" t="str">
        <f>IF(W648&lt;&gt;"AR","",INDEX('Device Refrigerant Leakage'!$E$2:$E$42,MATCH(X648,'Device Refrigerant Leakage'!$B$2:$B$42,0)))</f>
        <v/>
      </c>
      <c r="DG648" s="146" t="str">
        <f>IF(W648&lt;&gt;"AR","",INDEX('Device Refrigerant Leakage'!$F$2:$F$42,MATCH(X648,'Device Refrigerant Leakage'!$B$2:$B$42,0)))</f>
        <v/>
      </c>
      <c r="DH648" s="146" t="str">
        <f>IF(W648&lt;&gt;"AR","",INDEX('Device Refrigerant Leakage'!$G$2:$G$42,MATCH(X648,'Device Refrigerant Leakage'!$B$2:$B$42,0)))</f>
        <v/>
      </c>
      <c r="DI648" s="146" t="str">
        <f>IF(W648&lt;&gt;"AR","",J648*INDEX('Device Refrigerant Leakage'!$D$2:$D$42,MATCH(X648,'Device Refrigerant Leakage'!$B$2:$B$42,0))*DF648/2204.62*DE648)</f>
        <v/>
      </c>
      <c r="DJ648" s="146" t="str">
        <f>IF(W648&lt;&gt;"AR","",J648*(INDEX('Device Refrigerant Leakage'!$D$2:$D$42,MATCH(X648,'Device Refrigerant Leakage'!$B$2:$B$42,0))-(INDEX('Device Refrigerant Leakage'!$D$2:$D$42,MATCH(X648,'Device Refrigerant Leakage'!$B$2:$B$42,0)))*DH648*DF648)*DG648/2204.62*DE648)</f>
        <v/>
      </c>
      <c r="DK648" s="146" t="str">
        <f>IF(W648&lt;&gt;"AR","",DI648*(K648-AB648)+'Fuel Sub Calcs-Deemed'!DJ648*((K648-AB648)/INDEX('Device Refrigerant Leakage'!$C$2:$C$42,MATCH('Fuel Sub Calcs-Deemed'!X648,'Device Refrigerant Leakage'!$B$2:$B$42,0))))</f>
        <v/>
      </c>
      <c r="DM648" s="56">
        <v>634</v>
      </c>
      <c r="DN648" s="67" t="e">
        <f t="shared" si="738"/>
        <v>#N/A</v>
      </c>
      <c r="DO648" s="45" t="e">
        <f t="shared" si="739"/>
        <v>#N/A</v>
      </c>
      <c r="DP648" s="67" t="e">
        <f t="shared" si="740"/>
        <v>#N/A</v>
      </c>
      <c r="DQ648" s="45" t="e">
        <f t="shared" si="741"/>
        <v>#N/A</v>
      </c>
      <c r="DR648" s="69" t="e">
        <f t="shared" si="742"/>
        <v>#N/A</v>
      </c>
      <c r="DS648" s="34"/>
      <c r="DT648" s="67" t="e">
        <f>((BX648*CJ648)+IF($W648=MAT_AR,(BZ648*CL648),0))*(1+Reference!$E$50+Reference!$E$51)</f>
        <v>#N/A</v>
      </c>
      <c r="DU648" s="67">
        <f>((BY648*CK648)+IF($W648=MAT_AR,(CA648*CM648),0))*(1+Reference!$G$50+Reference!$G$51)</f>
        <v>0</v>
      </c>
      <c r="DV648" s="67" t="e">
        <f t="shared" si="743"/>
        <v>#VALUE!</v>
      </c>
      <c r="DX648" s="56">
        <v>634</v>
      </c>
      <c r="DY648" s="67">
        <f t="shared" si="744"/>
        <v>0</v>
      </c>
      <c r="DZ648" s="45" t="e">
        <f>VLOOKUP($R648,Dropdown!$C$3:$D$4,2,FALSE)</f>
        <v>#N/A</v>
      </c>
      <c r="EA648" s="68">
        <f t="shared" si="745"/>
        <v>0</v>
      </c>
      <c r="EB648" s="68" t="str">
        <f t="shared" si="746"/>
        <v>N/A</v>
      </c>
      <c r="EC648" s="68">
        <f t="shared" si="747"/>
        <v>0</v>
      </c>
      <c r="ED648" s="68" t="str">
        <f t="shared" si="785"/>
        <v>N/A</v>
      </c>
      <c r="EF648" s="56">
        <v>634</v>
      </c>
      <c r="EG648" s="46">
        <f t="shared" si="748"/>
        <v>0</v>
      </c>
      <c r="EH648" s="68" t="e">
        <f t="shared" si="749"/>
        <v>#N/A</v>
      </c>
      <c r="EI648" s="68" t="e">
        <f t="shared" si="750"/>
        <v>#N/A</v>
      </c>
      <c r="EJ648" s="68" t="e">
        <f t="shared" si="751"/>
        <v>#N/A</v>
      </c>
      <c r="EK648" s="68" t="e">
        <f t="shared" si="752"/>
        <v>#N/A</v>
      </c>
      <c r="EL648" s="46">
        <f t="shared" si="753"/>
        <v>0</v>
      </c>
      <c r="EM648" s="46">
        <f t="shared" si="754"/>
        <v>0</v>
      </c>
    </row>
    <row r="649" spans="1:143">
      <c r="A649" s="89"/>
      <c r="B649" s="89"/>
      <c r="C649" s="89"/>
      <c r="D649" s="89"/>
      <c r="E649" s="89"/>
      <c r="F649" s="89"/>
      <c r="G649" s="34"/>
      <c r="H649" s="56">
        <f t="shared" si="755"/>
        <v>635</v>
      </c>
      <c r="I649" s="165"/>
      <c r="J649" s="163"/>
      <c r="K649" s="163"/>
      <c r="L649" s="164"/>
      <c r="M649" s="155"/>
      <c r="N649" s="155"/>
      <c r="O649" s="144"/>
      <c r="P649" s="159" t="str">
        <f>IFERROR(IF(O649&lt;&gt;"User Specified",IF(O649&lt;&gt;"", INDEX('Refrigerant GWPs'!$G$2:$G$154,MATCH(O649,'Refrigerant GWPs'!$A$2:$A$154,0)),""),U649),0)</f>
        <v/>
      </c>
      <c r="Q649" s="155"/>
      <c r="R649" s="155"/>
      <c r="S649" s="144"/>
      <c r="T649" s="159" t="str">
        <f>IF(S649&lt;&gt;"User Specified",IF(AND(S649&lt;&gt;"User Specified",S649&lt;&gt;""), INDEX('Refrigerant GWPs'!$G$2:$G$154,MATCH(S649,'Refrigerant GWPs'!$A$2:$A$154,0)),""),V649)</f>
        <v/>
      </c>
      <c r="U649" s="144"/>
      <c r="V649" s="144"/>
      <c r="W649" s="155"/>
      <c r="X649" s="155"/>
      <c r="Y649" s="144"/>
      <c r="Z649" s="159" t="str">
        <f>IF(AND(Y649&lt;&gt;"User Specified",Y649&lt;&gt;""), INDEX('Refrigerant GWPs'!$G$2:$G$154,MATCH(Y649,'Refrigerant GWPs'!$A$2:$A$154,0)),"")</f>
        <v/>
      </c>
      <c r="AA649" s="155"/>
      <c r="AB649" s="156"/>
      <c r="AC649" s="66"/>
      <c r="AD649" s="66"/>
      <c r="AE649" s="66"/>
      <c r="AF649" s="66"/>
      <c r="AG649" s="66"/>
      <c r="AH649" s="66"/>
      <c r="AI649" s="34"/>
      <c r="AJ649" s="88">
        <f t="shared" si="718"/>
        <v>0</v>
      </c>
      <c r="AK649" s="88">
        <f t="shared" si="719"/>
        <v>0</v>
      </c>
      <c r="AL649" s="88">
        <v>0</v>
      </c>
      <c r="AM649" s="88">
        <v>0</v>
      </c>
      <c r="AN649" s="81" t="str">
        <f t="shared" si="757"/>
        <v/>
      </c>
      <c r="AO649" s="88">
        <f t="shared" si="720"/>
        <v>0</v>
      </c>
      <c r="AP649" s="88">
        <f t="shared" si="721"/>
        <v>0</v>
      </c>
      <c r="AQ649" s="81" t="str">
        <f t="shared" si="722"/>
        <v/>
      </c>
      <c r="AS649" s="41" t="b">
        <f t="shared" si="723"/>
        <v>1</v>
      </c>
      <c r="AT649" s="38">
        <f t="shared" si="724"/>
        <v>0</v>
      </c>
      <c r="AU649" s="60">
        <f t="shared" si="725"/>
        <v>0</v>
      </c>
      <c r="AV649" s="41">
        <f t="shared" si="726"/>
        <v>0</v>
      </c>
      <c r="AW649" s="41" t="b">
        <f t="shared" si="727"/>
        <v>0</v>
      </c>
      <c r="AX649" t="str">
        <f t="shared" si="728"/>
        <v>+00</v>
      </c>
      <c r="AY649" t="str">
        <f t="shared" si="729"/>
        <v>+00</v>
      </c>
      <c r="BA649" s="47" t="b">
        <f t="shared" si="758"/>
        <v>1</v>
      </c>
      <c r="BB649" s="42" t="b">
        <f t="shared" si="759"/>
        <v>1</v>
      </c>
      <c r="BC649" s="42" t="b">
        <f t="shared" si="760"/>
        <v>0</v>
      </c>
      <c r="BD649" s="42" t="b">
        <f t="shared" si="761"/>
        <v>0</v>
      </c>
      <c r="BE649" s="70">
        <f t="shared" si="762"/>
        <v>0</v>
      </c>
      <c r="BF649" s="70">
        <f t="shared" si="763"/>
        <v>0</v>
      </c>
      <c r="BG649" s="34"/>
      <c r="BI649" s="47" t="b">
        <f t="shared" si="764"/>
        <v>1</v>
      </c>
      <c r="BJ649" s="47" t="b">
        <f t="shared" si="765"/>
        <v>1</v>
      </c>
      <c r="BK649" s="42" t="b">
        <f t="shared" si="766"/>
        <v>0</v>
      </c>
      <c r="BL649" s="42" t="b">
        <f t="shared" si="767"/>
        <v>0</v>
      </c>
      <c r="BM649" s="42">
        <f t="shared" si="768"/>
        <v>0</v>
      </c>
      <c r="BN649" s="42">
        <f t="shared" si="769"/>
        <v>0</v>
      </c>
      <c r="BP649" t="e">
        <f t="shared" si="770"/>
        <v>#N/A</v>
      </c>
      <c r="BQ649" t="e">
        <f t="shared" si="771"/>
        <v>#N/A</v>
      </c>
      <c r="BR649" t="e">
        <f t="shared" si="772"/>
        <v>#N/A</v>
      </c>
      <c r="BT649" s="60">
        <f t="shared" si="773"/>
        <v>0</v>
      </c>
      <c r="BU649" s="60">
        <f t="shared" si="774"/>
        <v>0</v>
      </c>
      <c r="BV649" s="60">
        <f t="shared" si="775"/>
        <v>0</v>
      </c>
      <c r="BW649" s="60">
        <f t="shared" si="776"/>
        <v>0</v>
      </c>
      <c r="BX649" s="60">
        <f t="shared" si="777"/>
        <v>0</v>
      </c>
      <c r="BY649" s="60">
        <f t="shared" si="778"/>
        <v>0</v>
      </c>
      <c r="BZ649" s="60">
        <f t="shared" si="779"/>
        <v>0</v>
      </c>
      <c r="CA649" s="60">
        <f t="shared" si="780"/>
        <v>0</v>
      </c>
      <c r="CB649" s="60" t="e">
        <f t="shared" si="730"/>
        <v>#N/A</v>
      </c>
      <c r="CC649" s="60">
        <f t="shared" si="731"/>
        <v>100000</v>
      </c>
      <c r="CD649" s="60" t="e">
        <f t="shared" si="732"/>
        <v>#N/A</v>
      </c>
      <c r="CE649" s="60">
        <f t="shared" si="733"/>
        <v>100000</v>
      </c>
      <c r="CF649" s="83" t="e">
        <f t="shared" si="781"/>
        <v>#N/A</v>
      </c>
      <c r="CG649" s="83">
        <f t="shared" si="782"/>
        <v>0</v>
      </c>
      <c r="CH649" s="83" t="e">
        <f t="shared" si="783"/>
        <v>#N/A</v>
      </c>
      <c r="CI649" s="83">
        <f t="shared" si="784"/>
        <v>0</v>
      </c>
      <c r="CJ649" s="86" t="e">
        <f t="shared" si="734"/>
        <v>#N/A</v>
      </c>
      <c r="CK649" s="82">
        <f t="shared" si="735"/>
        <v>5.3070370403969858E-3</v>
      </c>
      <c r="CL649" s="82" t="e">
        <f t="shared" si="736"/>
        <v>#N/A</v>
      </c>
      <c r="CM649" s="82">
        <f t="shared" si="737"/>
        <v>5.3070370403969858E-3</v>
      </c>
      <c r="CO649" s="149" t="str">
        <f>IF($I649&lt;&gt;"",IF(O649="User Specified",U649,INDEX('Refrigerant GWPs'!$G$2:$G$156,MATCH(O649,'Refrigerant GWPs'!$A$2:$A$156,0))),"")</f>
        <v/>
      </c>
      <c r="CP649" s="138" t="str">
        <f>IF($I649&lt;&gt;"",INDEX('Device Refrigerant Leakage'!$E$2:$E$42,MATCH($M649,'Device Refrigerant Leakage'!$B$2:$B$42,0)),"")</f>
        <v/>
      </c>
      <c r="CQ649" s="138" t="str">
        <f>IF($I649&lt;&gt;"",INDEX('Device Refrigerant Leakage'!$F$2:$F$42,MATCH($M649,'Device Refrigerant Leakage'!$B$2:$B$42,0)),"")</f>
        <v/>
      </c>
      <c r="CR649" s="145" t="str">
        <f>IF($I649&lt;&gt;"",INDEX('Device Refrigerant Leakage'!$G$2:$G$42,MATCH($M649,'Device Refrigerant Leakage'!$B$2:$B$42,0)),"")</f>
        <v/>
      </c>
      <c r="CS649" s="145" t="str">
        <f>IF($I649&lt;&gt;"",INDEX('Device Refrigerant Leakage'!$D$2:$D$42,MATCH($M649,'Device Refrigerant Leakage'!$B$2:$B$42,0))*CP649/2204.62*CO649,"")</f>
        <v/>
      </c>
      <c r="CT649" s="145" t="str">
        <f>IF($I649&lt;&gt;"",J649*(INDEX('Device Refrigerant Leakage'!$D$2:$D$42,MATCH($M649,'Device Refrigerant Leakage'!$B$2:$B$42,0))-(INDEX('Device Refrigerant Leakage'!$D$2:$D$42,MATCH($M649,'Device Refrigerant Leakage'!$B$2:$B$42,0)))*CR649*CP649)*CQ649/2204.62*CO649,"")</f>
        <v/>
      </c>
      <c r="CU649" s="135" t="str">
        <f>IF($I649&lt;&gt;"",J649*IF(W649&lt;&gt;"AR",(CS649*K649)+CT649,(CS649*AB649)+CT649*(AB649/INDEX('Device Refrigerant Leakage'!$C$2:$C$42,MATCH($M649,'Device Refrigerant Leakage'!$B$2:$B$42,0)))),"")</f>
        <v/>
      </c>
      <c r="CW649" s="135" t="str">
        <f>IF($I649&lt;&gt;"",IF(S649="User Specified",V649,INDEX('Refrigerant GWPs'!$G$2:$G$156,MATCH(S649,'Refrigerant GWPs'!$A$2:$A$157,0))),"")</f>
        <v/>
      </c>
      <c r="CX649" s="138" t="str">
        <f>IF($I649&lt;&gt;"",INDEX('Device Refrigerant Leakage'!$E$2:$E$42,MATCH($Q649,'Device Refrigerant Leakage'!$B$2:$B$42,0)),"")</f>
        <v/>
      </c>
      <c r="CY649" s="138" t="str">
        <f>IF($I649&lt;&gt;"",INDEX('Device Refrigerant Leakage'!$F$2:$F$42,MATCH($Q649,'Device Refrigerant Leakage'!$B$2:$B$42,0)),"")</f>
        <v/>
      </c>
      <c r="CZ649" s="145" t="str">
        <f>IF($I649&lt;&gt;"",INDEX('Device Refrigerant Leakage'!$G$2:$G$42,MATCH($Q649,'Device Refrigerant Leakage'!$B$2:$B$42,0)),"")</f>
        <v/>
      </c>
      <c r="DA649" s="145" t="str">
        <f>IF($I649&lt;&gt;"",J649*INDEX('Device Refrigerant Leakage'!$D$2:$D$42,MATCH($Q649,'Device Refrigerant Leakage'!$B$2:$B$42,0))*CX649/2204.62*CW649,"")</f>
        <v/>
      </c>
      <c r="DB649" s="145" t="str">
        <f>IF($I649&lt;&gt;"",J649*(INDEX('Device Refrigerant Leakage'!$D$2:$D$42,MATCH($Q649,'Device Refrigerant Leakage'!$B$2:$B$42,0))-(INDEX('Device Refrigerant Leakage'!$D$2:$D$42,MATCH($Q649,'Device Refrigerant Leakage'!$B$2:$B$42,0)))*CZ649*CX649)*CY649/2204.62*CW649,"")</f>
        <v/>
      </c>
      <c r="DC649" s="135" t="str">
        <f t="shared" si="756"/>
        <v/>
      </c>
      <c r="DE649" s="146" t="str">
        <f>IF(W649&lt;&gt;"AR","",IF(Y649="User Specified", AA649, INDEX('Refrigerant GWPs'!$G$2:$G$154,MATCH(Y649,'Refrigerant GWPs'!$A$2:$A$154,0))))</f>
        <v/>
      </c>
      <c r="DF649" s="146" t="str">
        <f>IF(W649&lt;&gt;"AR","",INDEX('Device Refrigerant Leakage'!$E$2:$E$42,MATCH(X649,'Device Refrigerant Leakage'!$B$2:$B$42,0)))</f>
        <v/>
      </c>
      <c r="DG649" s="146" t="str">
        <f>IF(W649&lt;&gt;"AR","",INDEX('Device Refrigerant Leakage'!$F$2:$F$42,MATCH(X649,'Device Refrigerant Leakage'!$B$2:$B$42,0)))</f>
        <v/>
      </c>
      <c r="DH649" s="146" t="str">
        <f>IF(W649&lt;&gt;"AR","",INDEX('Device Refrigerant Leakage'!$G$2:$G$42,MATCH(X649,'Device Refrigerant Leakage'!$B$2:$B$42,0)))</f>
        <v/>
      </c>
      <c r="DI649" s="146" t="str">
        <f>IF(W649&lt;&gt;"AR","",J649*INDEX('Device Refrigerant Leakage'!$D$2:$D$42,MATCH(X649,'Device Refrigerant Leakage'!$B$2:$B$42,0))*DF649/2204.62*DE649)</f>
        <v/>
      </c>
      <c r="DJ649" s="146" t="str">
        <f>IF(W649&lt;&gt;"AR","",J649*(INDEX('Device Refrigerant Leakage'!$D$2:$D$42,MATCH(X649,'Device Refrigerant Leakage'!$B$2:$B$42,0))-(INDEX('Device Refrigerant Leakage'!$D$2:$D$42,MATCH(X649,'Device Refrigerant Leakage'!$B$2:$B$42,0)))*DH649*DF649)*DG649/2204.62*DE649)</f>
        <v/>
      </c>
      <c r="DK649" s="146" t="str">
        <f>IF(W649&lt;&gt;"AR","",DI649*(K649-AB649)+'Fuel Sub Calcs-Deemed'!DJ649*((K649-AB649)/INDEX('Device Refrigerant Leakage'!$C$2:$C$42,MATCH('Fuel Sub Calcs-Deemed'!X649,'Device Refrigerant Leakage'!$B$2:$B$42,0))))</f>
        <v/>
      </c>
      <c r="DM649" s="56">
        <v>635</v>
      </c>
      <c r="DN649" s="67" t="e">
        <f t="shared" si="738"/>
        <v>#N/A</v>
      </c>
      <c r="DO649" s="45" t="e">
        <f t="shared" si="739"/>
        <v>#N/A</v>
      </c>
      <c r="DP649" s="67" t="e">
        <f t="shared" si="740"/>
        <v>#N/A</v>
      </c>
      <c r="DQ649" s="45" t="e">
        <f t="shared" si="741"/>
        <v>#N/A</v>
      </c>
      <c r="DR649" s="69" t="e">
        <f t="shared" si="742"/>
        <v>#N/A</v>
      </c>
      <c r="DS649" s="34"/>
      <c r="DT649" s="67" t="e">
        <f>((BX649*CJ649)+IF($W649=MAT_AR,(BZ649*CL649),0))*(1+Reference!$E$50+Reference!$E$51)</f>
        <v>#N/A</v>
      </c>
      <c r="DU649" s="67">
        <f>((BY649*CK649)+IF($W649=MAT_AR,(CA649*CM649),0))*(1+Reference!$G$50+Reference!$G$51)</f>
        <v>0</v>
      </c>
      <c r="DV649" s="67" t="e">
        <f t="shared" si="743"/>
        <v>#VALUE!</v>
      </c>
      <c r="DX649" s="56">
        <v>635</v>
      </c>
      <c r="DY649" s="67">
        <f t="shared" si="744"/>
        <v>0</v>
      </c>
      <c r="DZ649" s="45" t="e">
        <f>VLOOKUP($R649,Dropdown!$C$3:$D$4,2,FALSE)</f>
        <v>#N/A</v>
      </c>
      <c r="EA649" s="68">
        <f t="shared" si="745"/>
        <v>0</v>
      </c>
      <c r="EB649" s="68" t="str">
        <f t="shared" si="746"/>
        <v>N/A</v>
      </c>
      <c r="EC649" s="68">
        <f t="shared" si="747"/>
        <v>0</v>
      </c>
      <c r="ED649" s="68" t="str">
        <f t="shared" si="785"/>
        <v>N/A</v>
      </c>
      <c r="EF649" s="56">
        <v>635</v>
      </c>
      <c r="EG649" s="46">
        <f t="shared" si="748"/>
        <v>0</v>
      </c>
      <c r="EH649" s="68" t="e">
        <f t="shared" si="749"/>
        <v>#N/A</v>
      </c>
      <c r="EI649" s="68" t="e">
        <f t="shared" si="750"/>
        <v>#N/A</v>
      </c>
      <c r="EJ649" s="68" t="e">
        <f t="shared" si="751"/>
        <v>#N/A</v>
      </c>
      <c r="EK649" s="68" t="e">
        <f t="shared" si="752"/>
        <v>#N/A</v>
      </c>
      <c r="EL649" s="46">
        <f t="shared" si="753"/>
        <v>0</v>
      </c>
      <c r="EM649" s="46">
        <f t="shared" si="754"/>
        <v>0</v>
      </c>
    </row>
    <row r="650" spans="1:143">
      <c r="A650" s="89"/>
      <c r="B650" s="89"/>
      <c r="C650" s="89"/>
      <c r="D650" s="89"/>
      <c r="E650" s="89"/>
      <c r="F650" s="89"/>
      <c r="G650" s="34"/>
      <c r="H650" s="56">
        <f t="shared" si="755"/>
        <v>636</v>
      </c>
      <c r="I650" s="165"/>
      <c r="J650" s="163"/>
      <c r="K650" s="163"/>
      <c r="L650" s="164"/>
      <c r="M650" s="155"/>
      <c r="N650" s="155"/>
      <c r="O650" s="144"/>
      <c r="P650" s="159" t="str">
        <f>IFERROR(IF(O650&lt;&gt;"User Specified",IF(O650&lt;&gt;"", INDEX('Refrigerant GWPs'!$G$2:$G$154,MATCH(O650,'Refrigerant GWPs'!$A$2:$A$154,0)),""),U650),0)</f>
        <v/>
      </c>
      <c r="Q650" s="155"/>
      <c r="R650" s="155"/>
      <c r="S650" s="144"/>
      <c r="T650" s="159" t="str">
        <f>IF(S650&lt;&gt;"User Specified",IF(AND(S650&lt;&gt;"User Specified",S650&lt;&gt;""), INDEX('Refrigerant GWPs'!$G$2:$G$154,MATCH(S650,'Refrigerant GWPs'!$A$2:$A$154,0)),""),V650)</f>
        <v/>
      </c>
      <c r="U650" s="144"/>
      <c r="V650" s="144"/>
      <c r="W650" s="155"/>
      <c r="X650" s="155"/>
      <c r="Y650" s="144"/>
      <c r="Z650" s="159" t="str">
        <f>IF(AND(Y650&lt;&gt;"User Specified",Y650&lt;&gt;""), INDEX('Refrigerant GWPs'!$G$2:$G$154,MATCH(Y650,'Refrigerant GWPs'!$A$2:$A$154,0)),"")</f>
        <v/>
      </c>
      <c r="AA650" s="155"/>
      <c r="AB650" s="156"/>
      <c r="AC650" s="66"/>
      <c r="AD650" s="66"/>
      <c r="AE650" s="66"/>
      <c r="AF650" s="66"/>
      <c r="AG650" s="66"/>
      <c r="AH650" s="66"/>
      <c r="AI650" s="34"/>
      <c r="AJ650" s="88">
        <f t="shared" si="718"/>
        <v>0</v>
      </c>
      <c r="AK650" s="88">
        <f t="shared" si="719"/>
        <v>0</v>
      </c>
      <c r="AL650" s="88">
        <v>0</v>
      </c>
      <c r="AM650" s="88">
        <v>0</v>
      </c>
      <c r="AN650" s="81" t="str">
        <f t="shared" si="757"/>
        <v/>
      </c>
      <c r="AO650" s="88">
        <f t="shared" si="720"/>
        <v>0</v>
      </c>
      <c r="AP650" s="88">
        <f t="shared" si="721"/>
        <v>0</v>
      </c>
      <c r="AQ650" s="81" t="str">
        <f t="shared" si="722"/>
        <v/>
      </c>
      <c r="AS650" s="41" t="b">
        <f t="shared" si="723"/>
        <v>1</v>
      </c>
      <c r="AT650" s="38">
        <f t="shared" si="724"/>
        <v>0</v>
      </c>
      <c r="AU650" s="60">
        <f t="shared" si="725"/>
        <v>0</v>
      </c>
      <c r="AV650" s="41">
        <f t="shared" si="726"/>
        <v>0</v>
      </c>
      <c r="AW650" s="41" t="b">
        <f t="shared" si="727"/>
        <v>0</v>
      </c>
      <c r="AX650" t="str">
        <f t="shared" si="728"/>
        <v>+00</v>
      </c>
      <c r="AY650" t="str">
        <f t="shared" si="729"/>
        <v>+00</v>
      </c>
      <c r="BA650" s="47" t="b">
        <f t="shared" si="758"/>
        <v>1</v>
      </c>
      <c r="BB650" s="42" t="b">
        <f t="shared" si="759"/>
        <v>1</v>
      </c>
      <c r="BC650" s="42" t="b">
        <f t="shared" si="760"/>
        <v>0</v>
      </c>
      <c r="BD650" s="42" t="b">
        <f t="shared" si="761"/>
        <v>0</v>
      </c>
      <c r="BE650" s="70">
        <f t="shared" si="762"/>
        <v>0</v>
      </c>
      <c r="BF650" s="70">
        <f t="shared" si="763"/>
        <v>0</v>
      </c>
      <c r="BG650" s="34"/>
      <c r="BI650" s="47" t="b">
        <f t="shared" si="764"/>
        <v>1</v>
      </c>
      <c r="BJ650" s="47" t="b">
        <f t="shared" si="765"/>
        <v>1</v>
      </c>
      <c r="BK650" s="42" t="b">
        <f t="shared" si="766"/>
        <v>0</v>
      </c>
      <c r="BL650" s="42" t="b">
        <f t="shared" si="767"/>
        <v>0</v>
      </c>
      <c r="BM650" s="42">
        <f t="shared" si="768"/>
        <v>0</v>
      </c>
      <c r="BN650" s="42">
        <f t="shared" si="769"/>
        <v>0</v>
      </c>
      <c r="BP650" t="e">
        <f t="shared" si="770"/>
        <v>#N/A</v>
      </c>
      <c r="BQ650" t="e">
        <f t="shared" si="771"/>
        <v>#N/A</v>
      </c>
      <c r="BR650" t="e">
        <f t="shared" si="772"/>
        <v>#N/A</v>
      </c>
      <c r="BT650" s="60">
        <f t="shared" si="773"/>
        <v>0</v>
      </c>
      <c r="BU650" s="60">
        <f t="shared" si="774"/>
        <v>0</v>
      </c>
      <c r="BV650" s="60">
        <f t="shared" si="775"/>
        <v>0</v>
      </c>
      <c r="BW650" s="60">
        <f t="shared" si="776"/>
        <v>0</v>
      </c>
      <c r="BX650" s="60">
        <f t="shared" si="777"/>
        <v>0</v>
      </c>
      <c r="BY650" s="60">
        <f t="shared" si="778"/>
        <v>0</v>
      </c>
      <c r="BZ650" s="60">
        <f t="shared" si="779"/>
        <v>0</v>
      </c>
      <c r="CA650" s="60">
        <f t="shared" si="780"/>
        <v>0</v>
      </c>
      <c r="CB650" s="60" t="e">
        <f t="shared" si="730"/>
        <v>#N/A</v>
      </c>
      <c r="CC650" s="60">
        <f t="shared" si="731"/>
        <v>100000</v>
      </c>
      <c r="CD650" s="60" t="e">
        <f t="shared" si="732"/>
        <v>#N/A</v>
      </c>
      <c r="CE650" s="60">
        <f t="shared" si="733"/>
        <v>100000</v>
      </c>
      <c r="CF650" s="83" t="e">
        <f t="shared" si="781"/>
        <v>#N/A</v>
      </c>
      <c r="CG650" s="83">
        <f t="shared" si="782"/>
        <v>0</v>
      </c>
      <c r="CH650" s="83" t="e">
        <f t="shared" si="783"/>
        <v>#N/A</v>
      </c>
      <c r="CI650" s="83">
        <f t="shared" si="784"/>
        <v>0</v>
      </c>
      <c r="CJ650" s="86" t="e">
        <f t="shared" si="734"/>
        <v>#N/A</v>
      </c>
      <c r="CK650" s="82">
        <f t="shared" si="735"/>
        <v>5.3070370403969858E-3</v>
      </c>
      <c r="CL650" s="82" t="e">
        <f t="shared" si="736"/>
        <v>#N/A</v>
      </c>
      <c r="CM650" s="82">
        <f t="shared" si="737"/>
        <v>5.3070370403969858E-3</v>
      </c>
      <c r="CO650" s="149" t="str">
        <f>IF($I650&lt;&gt;"",IF(O650="User Specified",U650,INDEX('Refrigerant GWPs'!$G$2:$G$156,MATCH(O650,'Refrigerant GWPs'!$A$2:$A$156,0))),"")</f>
        <v/>
      </c>
      <c r="CP650" s="138" t="str">
        <f>IF($I650&lt;&gt;"",INDEX('Device Refrigerant Leakage'!$E$2:$E$42,MATCH($M650,'Device Refrigerant Leakage'!$B$2:$B$42,0)),"")</f>
        <v/>
      </c>
      <c r="CQ650" s="138" t="str">
        <f>IF($I650&lt;&gt;"",INDEX('Device Refrigerant Leakage'!$F$2:$F$42,MATCH($M650,'Device Refrigerant Leakage'!$B$2:$B$42,0)),"")</f>
        <v/>
      </c>
      <c r="CR650" s="145" t="str">
        <f>IF($I650&lt;&gt;"",INDEX('Device Refrigerant Leakage'!$G$2:$G$42,MATCH($M650,'Device Refrigerant Leakage'!$B$2:$B$42,0)),"")</f>
        <v/>
      </c>
      <c r="CS650" s="145" t="str">
        <f>IF($I650&lt;&gt;"",INDEX('Device Refrigerant Leakage'!$D$2:$D$42,MATCH($M650,'Device Refrigerant Leakage'!$B$2:$B$42,0))*CP650/2204.62*CO650,"")</f>
        <v/>
      </c>
      <c r="CT650" s="145" t="str">
        <f>IF($I650&lt;&gt;"",J650*(INDEX('Device Refrigerant Leakage'!$D$2:$D$42,MATCH($M650,'Device Refrigerant Leakage'!$B$2:$B$42,0))-(INDEX('Device Refrigerant Leakage'!$D$2:$D$42,MATCH($M650,'Device Refrigerant Leakage'!$B$2:$B$42,0)))*CR650*CP650)*CQ650/2204.62*CO650,"")</f>
        <v/>
      </c>
      <c r="CU650" s="135" t="str">
        <f>IF($I650&lt;&gt;"",J650*IF(W650&lt;&gt;"AR",(CS650*K650)+CT650,(CS650*AB650)+CT650*(AB650/INDEX('Device Refrigerant Leakage'!$C$2:$C$42,MATCH($M650,'Device Refrigerant Leakage'!$B$2:$B$42,0)))),"")</f>
        <v/>
      </c>
      <c r="CW650" s="135" t="str">
        <f>IF($I650&lt;&gt;"",IF(S650="User Specified",V650,INDEX('Refrigerant GWPs'!$G$2:$G$156,MATCH(S650,'Refrigerant GWPs'!$A$2:$A$157,0))),"")</f>
        <v/>
      </c>
      <c r="CX650" s="138" t="str">
        <f>IF($I650&lt;&gt;"",INDEX('Device Refrigerant Leakage'!$E$2:$E$42,MATCH($Q650,'Device Refrigerant Leakage'!$B$2:$B$42,0)),"")</f>
        <v/>
      </c>
      <c r="CY650" s="138" t="str">
        <f>IF($I650&lt;&gt;"",INDEX('Device Refrigerant Leakage'!$F$2:$F$42,MATCH($Q650,'Device Refrigerant Leakage'!$B$2:$B$42,0)),"")</f>
        <v/>
      </c>
      <c r="CZ650" s="145" t="str">
        <f>IF($I650&lt;&gt;"",INDEX('Device Refrigerant Leakage'!$G$2:$G$42,MATCH($Q650,'Device Refrigerant Leakage'!$B$2:$B$42,0)),"")</f>
        <v/>
      </c>
      <c r="DA650" s="145" t="str">
        <f>IF($I650&lt;&gt;"",J650*INDEX('Device Refrigerant Leakage'!$D$2:$D$42,MATCH($Q650,'Device Refrigerant Leakage'!$B$2:$B$42,0))*CX650/2204.62*CW650,"")</f>
        <v/>
      </c>
      <c r="DB650" s="145" t="str">
        <f>IF($I650&lt;&gt;"",J650*(INDEX('Device Refrigerant Leakage'!$D$2:$D$42,MATCH($Q650,'Device Refrigerant Leakage'!$B$2:$B$42,0))-(INDEX('Device Refrigerant Leakage'!$D$2:$D$42,MATCH($Q650,'Device Refrigerant Leakage'!$B$2:$B$42,0)))*CZ650*CX650)*CY650/2204.62*CW650,"")</f>
        <v/>
      </c>
      <c r="DC650" s="135" t="str">
        <f t="shared" si="756"/>
        <v/>
      </c>
      <c r="DE650" s="146" t="str">
        <f>IF(W650&lt;&gt;"AR","",IF(Y650="User Specified", AA650, INDEX('Refrigerant GWPs'!$G$2:$G$154,MATCH(Y650,'Refrigerant GWPs'!$A$2:$A$154,0))))</f>
        <v/>
      </c>
      <c r="DF650" s="146" t="str">
        <f>IF(W650&lt;&gt;"AR","",INDEX('Device Refrigerant Leakage'!$E$2:$E$42,MATCH(X650,'Device Refrigerant Leakage'!$B$2:$B$42,0)))</f>
        <v/>
      </c>
      <c r="DG650" s="146" t="str">
        <f>IF(W650&lt;&gt;"AR","",INDEX('Device Refrigerant Leakage'!$F$2:$F$42,MATCH(X650,'Device Refrigerant Leakage'!$B$2:$B$42,0)))</f>
        <v/>
      </c>
      <c r="DH650" s="146" t="str">
        <f>IF(W650&lt;&gt;"AR","",INDEX('Device Refrigerant Leakage'!$G$2:$G$42,MATCH(X650,'Device Refrigerant Leakage'!$B$2:$B$42,0)))</f>
        <v/>
      </c>
      <c r="DI650" s="146" t="str">
        <f>IF(W650&lt;&gt;"AR","",J650*INDEX('Device Refrigerant Leakage'!$D$2:$D$42,MATCH(X650,'Device Refrigerant Leakage'!$B$2:$B$42,0))*DF650/2204.62*DE650)</f>
        <v/>
      </c>
      <c r="DJ650" s="146" t="str">
        <f>IF(W650&lt;&gt;"AR","",J650*(INDEX('Device Refrigerant Leakage'!$D$2:$D$42,MATCH(X650,'Device Refrigerant Leakage'!$B$2:$B$42,0))-(INDEX('Device Refrigerant Leakage'!$D$2:$D$42,MATCH(X650,'Device Refrigerant Leakage'!$B$2:$B$42,0)))*DH650*DF650)*DG650/2204.62*DE650)</f>
        <v/>
      </c>
      <c r="DK650" s="146" t="str">
        <f>IF(W650&lt;&gt;"AR","",DI650*(K650-AB650)+'Fuel Sub Calcs-Deemed'!DJ650*((K650-AB650)/INDEX('Device Refrigerant Leakage'!$C$2:$C$42,MATCH('Fuel Sub Calcs-Deemed'!X650,'Device Refrigerant Leakage'!$B$2:$B$42,0))))</f>
        <v/>
      </c>
      <c r="DM650" s="56">
        <v>636</v>
      </c>
      <c r="DN650" s="67" t="e">
        <f t="shared" si="738"/>
        <v>#N/A</v>
      </c>
      <c r="DO650" s="45" t="e">
        <f t="shared" si="739"/>
        <v>#N/A</v>
      </c>
      <c r="DP650" s="67" t="e">
        <f t="shared" si="740"/>
        <v>#N/A</v>
      </c>
      <c r="DQ650" s="45" t="e">
        <f t="shared" si="741"/>
        <v>#N/A</v>
      </c>
      <c r="DR650" s="69" t="e">
        <f t="shared" si="742"/>
        <v>#N/A</v>
      </c>
      <c r="DS650" s="34"/>
      <c r="DT650" s="67" t="e">
        <f>((BX650*CJ650)+IF($W650=MAT_AR,(BZ650*CL650),0))*(1+Reference!$E$50+Reference!$E$51)</f>
        <v>#N/A</v>
      </c>
      <c r="DU650" s="67">
        <f>((BY650*CK650)+IF($W650=MAT_AR,(CA650*CM650),0))*(1+Reference!$G$50+Reference!$G$51)</f>
        <v>0</v>
      </c>
      <c r="DV650" s="67" t="e">
        <f t="shared" si="743"/>
        <v>#VALUE!</v>
      </c>
      <c r="DX650" s="56">
        <v>636</v>
      </c>
      <c r="DY650" s="67">
        <f t="shared" si="744"/>
        <v>0</v>
      </c>
      <c r="DZ650" s="45" t="e">
        <f>VLOOKUP($R650,Dropdown!$C$3:$D$4,2,FALSE)</f>
        <v>#N/A</v>
      </c>
      <c r="EA650" s="68">
        <f t="shared" si="745"/>
        <v>0</v>
      </c>
      <c r="EB650" s="68" t="str">
        <f t="shared" si="746"/>
        <v>N/A</v>
      </c>
      <c r="EC650" s="68">
        <f t="shared" si="747"/>
        <v>0</v>
      </c>
      <c r="ED650" s="68" t="str">
        <f t="shared" si="785"/>
        <v>N/A</v>
      </c>
      <c r="EF650" s="56">
        <v>636</v>
      </c>
      <c r="EG650" s="46">
        <f t="shared" si="748"/>
        <v>0</v>
      </c>
      <c r="EH650" s="68" t="e">
        <f t="shared" si="749"/>
        <v>#N/A</v>
      </c>
      <c r="EI650" s="68" t="e">
        <f t="shared" si="750"/>
        <v>#N/A</v>
      </c>
      <c r="EJ650" s="68" t="e">
        <f t="shared" si="751"/>
        <v>#N/A</v>
      </c>
      <c r="EK650" s="68" t="e">
        <f t="shared" si="752"/>
        <v>#N/A</v>
      </c>
      <c r="EL650" s="46">
        <f t="shared" si="753"/>
        <v>0</v>
      </c>
      <c r="EM650" s="46">
        <f t="shared" si="754"/>
        <v>0</v>
      </c>
    </row>
    <row r="651" spans="1:143">
      <c r="A651" s="89"/>
      <c r="B651" s="89"/>
      <c r="C651" s="89"/>
      <c r="D651" s="89"/>
      <c r="E651" s="89"/>
      <c r="F651" s="89"/>
      <c r="G651" s="34"/>
      <c r="H651" s="56">
        <f t="shared" si="755"/>
        <v>637</v>
      </c>
      <c r="I651" s="165"/>
      <c r="J651" s="163"/>
      <c r="K651" s="163"/>
      <c r="L651" s="164"/>
      <c r="M651" s="155"/>
      <c r="N651" s="155"/>
      <c r="O651" s="144"/>
      <c r="P651" s="159" t="str">
        <f>IFERROR(IF(O651&lt;&gt;"User Specified",IF(O651&lt;&gt;"", INDEX('Refrigerant GWPs'!$G$2:$G$154,MATCH(O651,'Refrigerant GWPs'!$A$2:$A$154,0)),""),U651),0)</f>
        <v/>
      </c>
      <c r="Q651" s="155"/>
      <c r="R651" s="155"/>
      <c r="S651" s="144"/>
      <c r="T651" s="159" t="str">
        <f>IF(S651&lt;&gt;"User Specified",IF(AND(S651&lt;&gt;"User Specified",S651&lt;&gt;""), INDEX('Refrigerant GWPs'!$G$2:$G$154,MATCH(S651,'Refrigerant GWPs'!$A$2:$A$154,0)),""),V651)</f>
        <v/>
      </c>
      <c r="U651" s="144"/>
      <c r="V651" s="144"/>
      <c r="W651" s="155"/>
      <c r="X651" s="155"/>
      <c r="Y651" s="144"/>
      <c r="Z651" s="159" t="str">
        <f>IF(AND(Y651&lt;&gt;"User Specified",Y651&lt;&gt;""), INDEX('Refrigerant GWPs'!$G$2:$G$154,MATCH(Y651,'Refrigerant GWPs'!$A$2:$A$154,0)),"")</f>
        <v/>
      </c>
      <c r="AA651" s="155"/>
      <c r="AB651" s="156"/>
      <c r="AC651" s="66"/>
      <c r="AD651" s="66"/>
      <c r="AE651" s="66"/>
      <c r="AF651" s="66"/>
      <c r="AG651" s="66"/>
      <c r="AH651" s="66"/>
      <c r="AI651" s="34"/>
      <c r="AJ651" s="88">
        <f t="shared" si="718"/>
        <v>0</v>
      </c>
      <c r="AK651" s="88">
        <f t="shared" si="719"/>
        <v>0</v>
      </c>
      <c r="AL651" s="88">
        <v>0</v>
      </c>
      <c r="AM651" s="88">
        <v>0</v>
      </c>
      <c r="AN651" s="81" t="str">
        <f t="shared" si="757"/>
        <v/>
      </c>
      <c r="AO651" s="88">
        <f t="shared" si="720"/>
        <v>0</v>
      </c>
      <c r="AP651" s="88">
        <f t="shared" si="721"/>
        <v>0</v>
      </c>
      <c r="AQ651" s="81" t="str">
        <f t="shared" si="722"/>
        <v/>
      </c>
      <c r="AS651" s="41" t="b">
        <f t="shared" si="723"/>
        <v>1</v>
      </c>
      <c r="AT651" s="38">
        <f t="shared" si="724"/>
        <v>0</v>
      </c>
      <c r="AU651" s="60">
        <f t="shared" si="725"/>
        <v>0</v>
      </c>
      <c r="AV651" s="41">
        <f t="shared" si="726"/>
        <v>0</v>
      </c>
      <c r="AW651" s="41" t="b">
        <f t="shared" si="727"/>
        <v>0</v>
      </c>
      <c r="AX651" t="str">
        <f t="shared" si="728"/>
        <v>+00</v>
      </c>
      <c r="AY651" t="str">
        <f t="shared" si="729"/>
        <v>+00</v>
      </c>
      <c r="BA651" s="47" t="b">
        <f t="shared" si="758"/>
        <v>1</v>
      </c>
      <c r="BB651" s="42" t="b">
        <f t="shared" si="759"/>
        <v>1</v>
      </c>
      <c r="BC651" s="42" t="b">
        <f t="shared" si="760"/>
        <v>0</v>
      </c>
      <c r="BD651" s="42" t="b">
        <f t="shared" si="761"/>
        <v>0</v>
      </c>
      <c r="BE651" s="70">
        <f t="shared" si="762"/>
        <v>0</v>
      </c>
      <c r="BF651" s="70">
        <f t="shared" si="763"/>
        <v>0</v>
      </c>
      <c r="BG651" s="34"/>
      <c r="BI651" s="47" t="b">
        <f t="shared" si="764"/>
        <v>1</v>
      </c>
      <c r="BJ651" s="47" t="b">
        <f t="shared" si="765"/>
        <v>1</v>
      </c>
      <c r="BK651" s="42" t="b">
        <f t="shared" si="766"/>
        <v>0</v>
      </c>
      <c r="BL651" s="42" t="b">
        <f t="shared" si="767"/>
        <v>0</v>
      </c>
      <c r="BM651" s="42">
        <f t="shared" si="768"/>
        <v>0</v>
      </c>
      <c r="BN651" s="42">
        <f t="shared" si="769"/>
        <v>0</v>
      </c>
      <c r="BP651" t="e">
        <f t="shared" si="770"/>
        <v>#N/A</v>
      </c>
      <c r="BQ651" t="e">
        <f t="shared" si="771"/>
        <v>#N/A</v>
      </c>
      <c r="BR651" t="e">
        <f t="shared" si="772"/>
        <v>#N/A</v>
      </c>
      <c r="BT651" s="60">
        <f t="shared" si="773"/>
        <v>0</v>
      </c>
      <c r="BU651" s="60">
        <f t="shared" si="774"/>
        <v>0</v>
      </c>
      <c r="BV651" s="60">
        <f t="shared" si="775"/>
        <v>0</v>
      </c>
      <c r="BW651" s="60">
        <f t="shared" si="776"/>
        <v>0</v>
      </c>
      <c r="BX651" s="60">
        <f t="shared" si="777"/>
        <v>0</v>
      </c>
      <c r="BY651" s="60">
        <f t="shared" si="778"/>
        <v>0</v>
      </c>
      <c r="BZ651" s="60">
        <f t="shared" si="779"/>
        <v>0</v>
      </c>
      <c r="CA651" s="60">
        <f t="shared" si="780"/>
        <v>0</v>
      </c>
      <c r="CB651" s="60" t="e">
        <f t="shared" si="730"/>
        <v>#N/A</v>
      </c>
      <c r="CC651" s="60">
        <f t="shared" si="731"/>
        <v>100000</v>
      </c>
      <c r="CD651" s="60" t="e">
        <f t="shared" si="732"/>
        <v>#N/A</v>
      </c>
      <c r="CE651" s="60">
        <f t="shared" si="733"/>
        <v>100000</v>
      </c>
      <c r="CF651" s="83" t="e">
        <f t="shared" si="781"/>
        <v>#N/A</v>
      </c>
      <c r="CG651" s="83">
        <f t="shared" si="782"/>
        <v>0</v>
      </c>
      <c r="CH651" s="83" t="e">
        <f t="shared" si="783"/>
        <v>#N/A</v>
      </c>
      <c r="CI651" s="83">
        <f t="shared" si="784"/>
        <v>0</v>
      </c>
      <c r="CJ651" s="86" t="e">
        <f t="shared" si="734"/>
        <v>#N/A</v>
      </c>
      <c r="CK651" s="82">
        <f t="shared" si="735"/>
        <v>5.3070370403969858E-3</v>
      </c>
      <c r="CL651" s="82" t="e">
        <f t="shared" si="736"/>
        <v>#N/A</v>
      </c>
      <c r="CM651" s="82">
        <f t="shared" si="737"/>
        <v>5.3070370403969858E-3</v>
      </c>
      <c r="CO651" s="149" t="str">
        <f>IF($I651&lt;&gt;"",IF(O651="User Specified",U651,INDEX('Refrigerant GWPs'!$G$2:$G$156,MATCH(O651,'Refrigerant GWPs'!$A$2:$A$156,0))),"")</f>
        <v/>
      </c>
      <c r="CP651" s="138" t="str">
        <f>IF($I651&lt;&gt;"",INDEX('Device Refrigerant Leakage'!$E$2:$E$42,MATCH($M651,'Device Refrigerant Leakage'!$B$2:$B$42,0)),"")</f>
        <v/>
      </c>
      <c r="CQ651" s="138" t="str">
        <f>IF($I651&lt;&gt;"",INDEX('Device Refrigerant Leakage'!$F$2:$F$42,MATCH($M651,'Device Refrigerant Leakage'!$B$2:$B$42,0)),"")</f>
        <v/>
      </c>
      <c r="CR651" s="145" t="str">
        <f>IF($I651&lt;&gt;"",INDEX('Device Refrigerant Leakage'!$G$2:$G$42,MATCH($M651,'Device Refrigerant Leakage'!$B$2:$B$42,0)),"")</f>
        <v/>
      </c>
      <c r="CS651" s="145" t="str">
        <f>IF($I651&lt;&gt;"",INDEX('Device Refrigerant Leakage'!$D$2:$D$42,MATCH($M651,'Device Refrigerant Leakage'!$B$2:$B$42,0))*CP651/2204.62*CO651,"")</f>
        <v/>
      </c>
      <c r="CT651" s="145" t="str">
        <f>IF($I651&lt;&gt;"",J651*(INDEX('Device Refrigerant Leakage'!$D$2:$D$42,MATCH($M651,'Device Refrigerant Leakage'!$B$2:$B$42,0))-(INDEX('Device Refrigerant Leakage'!$D$2:$D$42,MATCH($M651,'Device Refrigerant Leakage'!$B$2:$B$42,0)))*CR651*CP651)*CQ651/2204.62*CO651,"")</f>
        <v/>
      </c>
      <c r="CU651" s="135" t="str">
        <f>IF($I651&lt;&gt;"",J651*IF(W651&lt;&gt;"AR",(CS651*K651)+CT651,(CS651*AB651)+CT651*(AB651/INDEX('Device Refrigerant Leakage'!$C$2:$C$42,MATCH($M651,'Device Refrigerant Leakage'!$B$2:$B$42,0)))),"")</f>
        <v/>
      </c>
      <c r="CW651" s="135" t="str">
        <f>IF($I651&lt;&gt;"",IF(S651="User Specified",V651,INDEX('Refrigerant GWPs'!$G$2:$G$156,MATCH(S651,'Refrigerant GWPs'!$A$2:$A$157,0))),"")</f>
        <v/>
      </c>
      <c r="CX651" s="138" t="str">
        <f>IF($I651&lt;&gt;"",INDEX('Device Refrigerant Leakage'!$E$2:$E$42,MATCH($Q651,'Device Refrigerant Leakage'!$B$2:$B$42,0)),"")</f>
        <v/>
      </c>
      <c r="CY651" s="138" t="str">
        <f>IF($I651&lt;&gt;"",INDEX('Device Refrigerant Leakage'!$F$2:$F$42,MATCH($Q651,'Device Refrigerant Leakage'!$B$2:$B$42,0)),"")</f>
        <v/>
      </c>
      <c r="CZ651" s="145" t="str">
        <f>IF($I651&lt;&gt;"",INDEX('Device Refrigerant Leakage'!$G$2:$G$42,MATCH($Q651,'Device Refrigerant Leakage'!$B$2:$B$42,0)),"")</f>
        <v/>
      </c>
      <c r="DA651" s="145" t="str">
        <f>IF($I651&lt;&gt;"",J651*INDEX('Device Refrigerant Leakage'!$D$2:$D$42,MATCH($Q651,'Device Refrigerant Leakage'!$B$2:$B$42,0))*CX651/2204.62*CW651,"")</f>
        <v/>
      </c>
      <c r="DB651" s="145" t="str">
        <f>IF($I651&lt;&gt;"",J651*(INDEX('Device Refrigerant Leakage'!$D$2:$D$42,MATCH($Q651,'Device Refrigerant Leakage'!$B$2:$B$42,0))-(INDEX('Device Refrigerant Leakage'!$D$2:$D$42,MATCH($Q651,'Device Refrigerant Leakage'!$B$2:$B$42,0)))*CZ651*CX651)*CY651/2204.62*CW651,"")</f>
        <v/>
      </c>
      <c r="DC651" s="135" t="str">
        <f t="shared" si="756"/>
        <v/>
      </c>
      <c r="DE651" s="146" t="str">
        <f>IF(W651&lt;&gt;"AR","",IF(Y651="User Specified", AA651, INDEX('Refrigerant GWPs'!$G$2:$G$154,MATCH(Y651,'Refrigerant GWPs'!$A$2:$A$154,0))))</f>
        <v/>
      </c>
      <c r="DF651" s="146" t="str">
        <f>IF(W651&lt;&gt;"AR","",INDEX('Device Refrigerant Leakage'!$E$2:$E$42,MATCH(X651,'Device Refrigerant Leakage'!$B$2:$B$42,0)))</f>
        <v/>
      </c>
      <c r="DG651" s="146" t="str">
        <f>IF(W651&lt;&gt;"AR","",INDEX('Device Refrigerant Leakage'!$F$2:$F$42,MATCH(X651,'Device Refrigerant Leakage'!$B$2:$B$42,0)))</f>
        <v/>
      </c>
      <c r="DH651" s="146" t="str">
        <f>IF(W651&lt;&gt;"AR","",INDEX('Device Refrigerant Leakage'!$G$2:$G$42,MATCH(X651,'Device Refrigerant Leakage'!$B$2:$B$42,0)))</f>
        <v/>
      </c>
      <c r="DI651" s="146" t="str">
        <f>IF(W651&lt;&gt;"AR","",J651*INDEX('Device Refrigerant Leakage'!$D$2:$D$42,MATCH(X651,'Device Refrigerant Leakage'!$B$2:$B$42,0))*DF651/2204.62*DE651)</f>
        <v/>
      </c>
      <c r="DJ651" s="146" t="str">
        <f>IF(W651&lt;&gt;"AR","",J651*(INDEX('Device Refrigerant Leakage'!$D$2:$D$42,MATCH(X651,'Device Refrigerant Leakage'!$B$2:$B$42,0))-(INDEX('Device Refrigerant Leakage'!$D$2:$D$42,MATCH(X651,'Device Refrigerant Leakage'!$B$2:$B$42,0)))*DH651*DF651)*DG651/2204.62*DE651)</f>
        <v/>
      </c>
      <c r="DK651" s="146" t="str">
        <f>IF(W651&lt;&gt;"AR","",DI651*(K651-AB651)+'Fuel Sub Calcs-Deemed'!DJ651*((K651-AB651)/INDEX('Device Refrigerant Leakage'!$C$2:$C$42,MATCH('Fuel Sub Calcs-Deemed'!X651,'Device Refrigerant Leakage'!$B$2:$B$42,0))))</f>
        <v/>
      </c>
      <c r="DM651" s="56">
        <v>637</v>
      </c>
      <c r="DN651" s="67" t="e">
        <f t="shared" si="738"/>
        <v>#N/A</v>
      </c>
      <c r="DO651" s="45" t="e">
        <f t="shared" si="739"/>
        <v>#N/A</v>
      </c>
      <c r="DP651" s="67" t="e">
        <f t="shared" si="740"/>
        <v>#N/A</v>
      </c>
      <c r="DQ651" s="45" t="e">
        <f t="shared" si="741"/>
        <v>#N/A</v>
      </c>
      <c r="DR651" s="69" t="e">
        <f t="shared" si="742"/>
        <v>#N/A</v>
      </c>
      <c r="DS651" s="34"/>
      <c r="DT651" s="67" t="e">
        <f>((BX651*CJ651)+IF($W651=MAT_AR,(BZ651*CL651),0))*(1+Reference!$E$50+Reference!$E$51)</f>
        <v>#N/A</v>
      </c>
      <c r="DU651" s="67">
        <f>((BY651*CK651)+IF($W651=MAT_AR,(CA651*CM651),0))*(1+Reference!$G$50+Reference!$G$51)</f>
        <v>0</v>
      </c>
      <c r="DV651" s="67" t="e">
        <f t="shared" si="743"/>
        <v>#VALUE!</v>
      </c>
      <c r="DX651" s="56">
        <v>637</v>
      </c>
      <c r="DY651" s="67">
        <f t="shared" si="744"/>
        <v>0</v>
      </c>
      <c r="DZ651" s="45" t="e">
        <f>VLOOKUP($R651,Dropdown!$C$3:$D$4,2,FALSE)</f>
        <v>#N/A</v>
      </c>
      <c r="EA651" s="68">
        <f t="shared" si="745"/>
        <v>0</v>
      </c>
      <c r="EB651" s="68" t="str">
        <f t="shared" si="746"/>
        <v>N/A</v>
      </c>
      <c r="EC651" s="68">
        <f t="shared" si="747"/>
        <v>0</v>
      </c>
      <c r="ED651" s="68" t="str">
        <f t="shared" si="785"/>
        <v>N/A</v>
      </c>
      <c r="EF651" s="56">
        <v>637</v>
      </c>
      <c r="EG651" s="46">
        <f t="shared" si="748"/>
        <v>0</v>
      </c>
      <c r="EH651" s="68" t="e">
        <f t="shared" si="749"/>
        <v>#N/A</v>
      </c>
      <c r="EI651" s="68" t="e">
        <f t="shared" si="750"/>
        <v>#N/A</v>
      </c>
      <c r="EJ651" s="68" t="e">
        <f t="shared" si="751"/>
        <v>#N/A</v>
      </c>
      <c r="EK651" s="68" t="e">
        <f t="shared" si="752"/>
        <v>#N/A</v>
      </c>
      <c r="EL651" s="46">
        <f t="shared" si="753"/>
        <v>0</v>
      </c>
      <c r="EM651" s="46">
        <f t="shared" si="754"/>
        <v>0</v>
      </c>
    </row>
    <row r="652" spans="1:143">
      <c r="A652" s="89"/>
      <c r="B652" s="89"/>
      <c r="C652" s="89"/>
      <c r="D652" s="89"/>
      <c r="E652" s="89"/>
      <c r="F652" s="89"/>
      <c r="G652" s="34"/>
      <c r="H652" s="56">
        <f t="shared" si="755"/>
        <v>638</v>
      </c>
      <c r="I652" s="165"/>
      <c r="J652" s="163"/>
      <c r="K652" s="163"/>
      <c r="L652" s="164"/>
      <c r="M652" s="155"/>
      <c r="N652" s="155"/>
      <c r="O652" s="144"/>
      <c r="P652" s="159" t="str">
        <f>IFERROR(IF(O652&lt;&gt;"User Specified",IF(O652&lt;&gt;"", INDEX('Refrigerant GWPs'!$G$2:$G$154,MATCH(O652,'Refrigerant GWPs'!$A$2:$A$154,0)),""),U652),0)</f>
        <v/>
      </c>
      <c r="Q652" s="155"/>
      <c r="R652" s="155"/>
      <c r="S652" s="144"/>
      <c r="T652" s="159" t="str">
        <f>IF(S652&lt;&gt;"User Specified",IF(AND(S652&lt;&gt;"User Specified",S652&lt;&gt;""), INDEX('Refrigerant GWPs'!$G$2:$G$154,MATCH(S652,'Refrigerant GWPs'!$A$2:$A$154,0)),""),V652)</f>
        <v/>
      </c>
      <c r="U652" s="144"/>
      <c r="V652" s="144"/>
      <c r="W652" s="155"/>
      <c r="X652" s="155"/>
      <c r="Y652" s="144"/>
      <c r="Z652" s="159" t="str">
        <f>IF(AND(Y652&lt;&gt;"User Specified",Y652&lt;&gt;""), INDEX('Refrigerant GWPs'!$G$2:$G$154,MATCH(Y652,'Refrigerant GWPs'!$A$2:$A$154,0)),"")</f>
        <v/>
      </c>
      <c r="AA652" s="155"/>
      <c r="AB652" s="156"/>
      <c r="AC652" s="66"/>
      <c r="AD652" s="66"/>
      <c r="AE652" s="66"/>
      <c r="AF652" s="66"/>
      <c r="AG652" s="66"/>
      <c r="AH652" s="66"/>
      <c r="AI652" s="34"/>
      <c r="AJ652" s="88">
        <f t="shared" si="718"/>
        <v>0</v>
      </c>
      <c r="AK652" s="88">
        <f t="shared" si="719"/>
        <v>0</v>
      </c>
      <c r="AL652" s="88">
        <v>0</v>
      </c>
      <c r="AM652" s="88">
        <v>0</v>
      </c>
      <c r="AN652" s="81" t="str">
        <f t="shared" si="757"/>
        <v/>
      </c>
      <c r="AO652" s="88">
        <f t="shared" si="720"/>
        <v>0</v>
      </c>
      <c r="AP652" s="88">
        <f t="shared" si="721"/>
        <v>0</v>
      </c>
      <c r="AQ652" s="81" t="str">
        <f t="shared" si="722"/>
        <v/>
      </c>
      <c r="AS652" s="41" t="b">
        <f t="shared" si="723"/>
        <v>1</v>
      </c>
      <c r="AT652" s="38">
        <f t="shared" si="724"/>
        <v>0</v>
      </c>
      <c r="AU652" s="60">
        <f t="shared" si="725"/>
        <v>0</v>
      </c>
      <c r="AV652" s="41">
        <f t="shared" si="726"/>
        <v>0</v>
      </c>
      <c r="AW652" s="41" t="b">
        <f t="shared" si="727"/>
        <v>0</v>
      </c>
      <c r="AX652" t="str">
        <f t="shared" si="728"/>
        <v>+00</v>
      </c>
      <c r="AY652" t="str">
        <f t="shared" si="729"/>
        <v>+00</v>
      </c>
      <c r="BA652" s="47" t="b">
        <f t="shared" si="758"/>
        <v>1</v>
      </c>
      <c r="BB652" s="42" t="b">
        <f t="shared" si="759"/>
        <v>1</v>
      </c>
      <c r="BC652" s="42" t="b">
        <f t="shared" si="760"/>
        <v>0</v>
      </c>
      <c r="BD652" s="42" t="b">
        <f t="shared" si="761"/>
        <v>0</v>
      </c>
      <c r="BE652" s="70">
        <f t="shared" si="762"/>
        <v>0</v>
      </c>
      <c r="BF652" s="70">
        <f t="shared" si="763"/>
        <v>0</v>
      </c>
      <c r="BG652" s="34"/>
      <c r="BI652" s="47" t="b">
        <f t="shared" si="764"/>
        <v>1</v>
      </c>
      <c r="BJ652" s="47" t="b">
        <f t="shared" si="765"/>
        <v>1</v>
      </c>
      <c r="BK652" s="42" t="b">
        <f t="shared" si="766"/>
        <v>0</v>
      </c>
      <c r="BL652" s="42" t="b">
        <f t="shared" si="767"/>
        <v>0</v>
      </c>
      <c r="BM652" s="42">
        <f t="shared" si="768"/>
        <v>0</v>
      </c>
      <c r="BN652" s="42">
        <f t="shared" si="769"/>
        <v>0</v>
      </c>
      <c r="BP652" t="e">
        <f t="shared" si="770"/>
        <v>#N/A</v>
      </c>
      <c r="BQ652" t="e">
        <f t="shared" si="771"/>
        <v>#N/A</v>
      </c>
      <c r="BR652" t="e">
        <f t="shared" si="772"/>
        <v>#N/A</v>
      </c>
      <c r="BT652" s="60">
        <f t="shared" si="773"/>
        <v>0</v>
      </c>
      <c r="BU652" s="60">
        <f t="shared" si="774"/>
        <v>0</v>
      </c>
      <c r="BV652" s="60">
        <f t="shared" si="775"/>
        <v>0</v>
      </c>
      <c r="BW652" s="60">
        <f t="shared" si="776"/>
        <v>0</v>
      </c>
      <c r="BX652" s="60">
        <f t="shared" si="777"/>
        <v>0</v>
      </c>
      <c r="BY652" s="60">
        <f t="shared" si="778"/>
        <v>0</v>
      </c>
      <c r="BZ652" s="60">
        <f t="shared" si="779"/>
        <v>0</v>
      </c>
      <c r="CA652" s="60">
        <f t="shared" si="780"/>
        <v>0</v>
      </c>
      <c r="CB652" s="60" t="e">
        <f t="shared" si="730"/>
        <v>#N/A</v>
      </c>
      <c r="CC652" s="60">
        <f t="shared" si="731"/>
        <v>100000</v>
      </c>
      <c r="CD652" s="60" t="e">
        <f t="shared" si="732"/>
        <v>#N/A</v>
      </c>
      <c r="CE652" s="60">
        <f t="shared" si="733"/>
        <v>100000</v>
      </c>
      <c r="CF652" s="83" t="e">
        <f t="shared" si="781"/>
        <v>#N/A</v>
      </c>
      <c r="CG652" s="83">
        <f t="shared" si="782"/>
        <v>0</v>
      </c>
      <c r="CH652" s="83" t="e">
        <f t="shared" si="783"/>
        <v>#N/A</v>
      </c>
      <c r="CI652" s="83">
        <f t="shared" si="784"/>
        <v>0</v>
      </c>
      <c r="CJ652" s="86" t="e">
        <f t="shared" si="734"/>
        <v>#N/A</v>
      </c>
      <c r="CK652" s="82">
        <f t="shared" si="735"/>
        <v>5.3070370403969858E-3</v>
      </c>
      <c r="CL652" s="82" t="e">
        <f t="shared" si="736"/>
        <v>#N/A</v>
      </c>
      <c r="CM652" s="82">
        <f t="shared" si="737"/>
        <v>5.3070370403969858E-3</v>
      </c>
      <c r="CO652" s="149" t="str">
        <f>IF($I652&lt;&gt;"",IF(O652="User Specified",U652,INDEX('Refrigerant GWPs'!$G$2:$G$156,MATCH(O652,'Refrigerant GWPs'!$A$2:$A$156,0))),"")</f>
        <v/>
      </c>
      <c r="CP652" s="138" t="str">
        <f>IF($I652&lt;&gt;"",INDEX('Device Refrigerant Leakage'!$E$2:$E$42,MATCH($M652,'Device Refrigerant Leakage'!$B$2:$B$42,0)),"")</f>
        <v/>
      </c>
      <c r="CQ652" s="138" t="str">
        <f>IF($I652&lt;&gt;"",INDEX('Device Refrigerant Leakage'!$F$2:$F$42,MATCH($M652,'Device Refrigerant Leakage'!$B$2:$B$42,0)),"")</f>
        <v/>
      </c>
      <c r="CR652" s="145" t="str">
        <f>IF($I652&lt;&gt;"",INDEX('Device Refrigerant Leakage'!$G$2:$G$42,MATCH($M652,'Device Refrigerant Leakage'!$B$2:$B$42,0)),"")</f>
        <v/>
      </c>
      <c r="CS652" s="145" t="str">
        <f>IF($I652&lt;&gt;"",INDEX('Device Refrigerant Leakage'!$D$2:$D$42,MATCH($M652,'Device Refrigerant Leakage'!$B$2:$B$42,0))*CP652/2204.62*CO652,"")</f>
        <v/>
      </c>
      <c r="CT652" s="145" t="str">
        <f>IF($I652&lt;&gt;"",J652*(INDEX('Device Refrigerant Leakage'!$D$2:$D$42,MATCH($M652,'Device Refrigerant Leakage'!$B$2:$B$42,0))-(INDEX('Device Refrigerant Leakage'!$D$2:$D$42,MATCH($M652,'Device Refrigerant Leakage'!$B$2:$B$42,0)))*CR652*CP652)*CQ652/2204.62*CO652,"")</f>
        <v/>
      </c>
      <c r="CU652" s="135" t="str">
        <f>IF($I652&lt;&gt;"",J652*IF(W652&lt;&gt;"AR",(CS652*K652)+CT652,(CS652*AB652)+CT652*(AB652/INDEX('Device Refrigerant Leakage'!$C$2:$C$42,MATCH($M652,'Device Refrigerant Leakage'!$B$2:$B$42,0)))),"")</f>
        <v/>
      </c>
      <c r="CW652" s="135" t="str">
        <f>IF($I652&lt;&gt;"",IF(S652="User Specified",V652,INDEX('Refrigerant GWPs'!$G$2:$G$156,MATCH(S652,'Refrigerant GWPs'!$A$2:$A$157,0))),"")</f>
        <v/>
      </c>
      <c r="CX652" s="138" t="str">
        <f>IF($I652&lt;&gt;"",INDEX('Device Refrigerant Leakage'!$E$2:$E$42,MATCH($Q652,'Device Refrigerant Leakage'!$B$2:$B$42,0)),"")</f>
        <v/>
      </c>
      <c r="CY652" s="138" t="str">
        <f>IF($I652&lt;&gt;"",INDEX('Device Refrigerant Leakage'!$F$2:$F$42,MATCH($Q652,'Device Refrigerant Leakage'!$B$2:$B$42,0)),"")</f>
        <v/>
      </c>
      <c r="CZ652" s="145" t="str">
        <f>IF($I652&lt;&gt;"",INDEX('Device Refrigerant Leakage'!$G$2:$G$42,MATCH($Q652,'Device Refrigerant Leakage'!$B$2:$B$42,0)),"")</f>
        <v/>
      </c>
      <c r="DA652" s="145" t="str">
        <f>IF($I652&lt;&gt;"",J652*INDEX('Device Refrigerant Leakage'!$D$2:$D$42,MATCH($Q652,'Device Refrigerant Leakage'!$B$2:$B$42,0))*CX652/2204.62*CW652,"")</f>
        <v/>
      </c>
      <c r="DB652" s="145" t="str">
        <f>IF($I652&lt;&gt;"",J652*(INDEX('Device Refrigerant Leakage'!$D$2:$D$42,MATCH($Q652,'Device Refrigerant Leakage'!$B$2:$B$42,0))-(INDEX('Device Refrigerant Leakage'!$D$2:$D$42,MATCH($Q652,'Device Refrigerant Leakage'!$B$2:$B$42,0)))*CZ652*CX652)*CY652/2204.62*CW652,"")</f>
        <v/>
      </c>
      <c r="DC652" s="135" t="str">
        <f t="shared" si="756"/>
        <v/>
      </c>
      <c r="DE652" s="146" t="str">
        <f>IF(W652&lt;&gt;"AR","",IF(Y652="User Specified", AA652, INDEX('Refrigerant GWPs'!$G$2:$G$154,MATCH(Y652,'Refrigerant GWPs'!$A$2:$A$154,0))))</f>
        <v/>
      </c>
      <c r="DF652" s="146" t="str">
        <f>IF(W652&lt;&gt;"AR","",INDEX('Device Refrigerant Leakage'!$E$2:$E$42,MATCH(X652,'Device Refrigerant Leakage'!$B$2:$B$42,0)))</f>
        <v/>
      </c>
      <c r="DG652" s="146" t="str">
        <f>IF(W652&lt;&gt;"AR","",INDEX('Device Refrigerant Leakage'!$F$2:$F$42,MATCH(X652,'Device Refrigerant Leakage'!$B$2:$B$42,0)))</f>
        <v/>
      </c>
      <c r="DH652" s="146" t="str">
        <f>IF(W652&lt;&gt;"AR","",INDEX('Device Refrigerant Leakage'!$G$2:$G$42,MATCH(X652,'Device Refrigerant Leakage'!$B$2:$B$42,0)))</f>
        <v/>
      </c>
      <c r="DI652" s="146" t="str">
        <f>IF(W652&lt;&gt;"AR","",J652*INDEX('Device Refrigerant Leakage'!$D$2:$D$42,MATCH(X652,'Device Refrigerant Leakage'!$B$2:$B$42,0))*DF652/2204.62*DE652)</f>
        <v/>
      </c>
      <c r="DJ652" s="146" t="str">
        <f>IF(W652&lt;&gt;"AR","",J652*(INDEX('Device Refrigerant Leakage'!$D$2:$D$42,MATCH(X652,'Device Refrigerant Leakage'!$B$2:$B$42,0))-(INDEX('Device Refrigerant Leakage'!$D$2:$D$42,MATCH(X652,'Device Refrigerant Leakage'!$B$2:$B$42,0)))*DH652*DF652)*DG652/2204.62*DE652)</f>
        <v/>
      </c>
      <c r="DK652" s="146" t="str">
        <f>IF(W652&lt;&gt;"AR","",DI652*(K652-AB652)+'Fuel Sub Calcs-Deemed'!DJ652*((K652-AB652)/INDEX('Device Refrigerant Leakage'!$C$2:$C$42,MATCH('Fuel Sub Calcs-Deemed'!X652,'Device Refrigerant Leakage'!$B$2:$B$42,0))))</f>
        <v/>
      </c>
      <c r="DM652" s="56">
        <v>638</v>
      </c>
      <c r="DN652" s="67" t="e">
        <f t="shared" si="738"/>
        <v>#N/A</v>
      </c>
      <c r="DO652" s="45" t="e">
        <f t="shared" si="739"/>
        <v>#N/A</v>
      </c>
      <c r="DP652" s="67" t="e">
        <f t="shared" si="740"/>
        <v>#N/A</v>
      </c>
      <c r="DQ652" s="45" t="e">
        <f t="shared" si="741"/>
        <v>#N/A</v>
      </c>
      <c r="DR652" s="69" t="e">
        <f t="shared" si="742"/>
        <v>#N/A</v>
      </c>
      <c r="DS652" s="34"/>
      <c r="DT652" s="67" t="e">
        <f>((BX652*CJ652)+IF($W652=MAT_AR,(BZ652*CL652),0))*(1+Reference!$E$50+Reference!$E$51)</f>
        <v>#N/A</v>
      </c>
      <c r="DU652" s="67">
        <f>((BY652*CK652)+IF($W652=MAT_AR,(CA652*CM652),0))*(1+Reference!$G$50+Reference!$G$51)</f>
        <v>0</v>
      </c>
      <c r="DV652" s="67" t="e">
        <f t="shared" si="743"/>
        <v>#VALUE!</v>
      </c>
      <c r="DX652" s="56">
        <v>638</v>
      </c>
      <c r="DY652" s="67">
        <f t="shared" si="744"/>
        <v>0</v>
      </c>
      <c r="DZ652" s="45" t="e">
        <f>VLOOKUP($R652,Dropdown!$C$3:$D$4,2,FALSE)</f>
        <v>#N/A</v>
      </c>
      <c r="EA652" s="68">
        <f t="shared" si="745"/>
        <v>0</v>
      </c>
      <c r="EB652" s="68" t="str">
        <f t="shared" si="746"/>
        <v>N/A</v>
      </c>
      <c r="EC652" s="68">
        <f t="shared" si="747"/>
        <v>0</v>
      </c>
      <c r="ED652" s="68" t="str">
        <f t="shared" si="785"/>
        <v>N/A</v>
      </c>
      <c r="EF652" s="56">
        <v>638</v>
      </c>
      <c r="EG652" s="46">
        <f t="shared" si="748"/>
        <v>0</v>
      </c>
      <c r="EH652" s="68" t="e">
        <f t="shared" si="749"/>
        <v>#N/A</v>
      </c>
      <c r="EI652" s="68" t="e">
        <f t="shared" si="750"/>
        <v>#N/A</v>
      </c>
      <c r="EJ652" s="68" t="e">
        <f t="shared" si="751"/>
        <v>#N/A</v>
      </c>
      <c r="EK652" s="68" t="e">
        <f t="shared" si="752"/>
        <v>#N/A</v>
      </c>
      <c r="EL652" s="46">
        <f t="shared" si="753"/>
        <v>0</v>
      </c>
      <c r="EM652" s="46">
        <f t="shared" si="754"/>
        <v>0</v>
      </c>
    </row>
    <row r="653" spans="1:143">
      <c r="A653" s="89"/>
      <c r="B653" s="89"/>
      <c r="C653" s="89"/>
      <c r="D653" s="89"/>
      <c r="E653" s="89"/>
      <c r="F653" s="89"/>
      <c r="G653" s="34"/>
      <c r="H653" s="56">
        <f t="shared" si="755"/>
        <v>639</v>
      </c>
      <c r="I653" s="165"/>
      <c r="J653" s="163"/>
      <c r="K653" s="163"/>
      <c r="L653" s="164"/>
      <c r="M653" s="155"/>
      <c r="N653" s="155"/>
      <c r="O653" s="144"/>
      <c r="P653" s="159" t="str">
        <f>IFERROR(IF(O653&lt;&gt;"User Specified",IF(O653&lt;&gt;"", INDEX('Refrigerant GWPs'!$G$2:$G$154,MATCH(O653,'Refrigerant GWPs'!$A$2:$A$154,0)),""),U653),0)</f>
        <v/>
      </c>
      <c r="Q653" s="155"/>
      <c r="R653" s="155"/>
      <c r="S653" s="144"/>
      <c r="T653" s="159" t="str">
        <f>IF(S653&lt;&gt;"User Specified",IF(AND(S653&lt;&gt;"User Specified",S653&lt;&gt;""), INDEX('Refrigerant GWPs'!$G$2:$G$154,MATCH(S653,'Refrigerant GWPs'!$A$2:$A$154,0)),""),V653)</f>
        <v/>
      </c>
      <c r="U653" s="144"/>
      <c r="V653" s="144"/>
      <c r="W653" s="155"/>
      <c r="X653" s="155"/>
      <c r="Y653" s="144"/>
      <c r="Z653" s="159" t="str">
        <f>IF(AND(Y653&lt;&gt;"User Specified",Y653&lt;&gt;""), INDEX('Refrigerant GWPs'!$G$2:$G$154,MATCH(Y653,'Refrigerant GWPs'!$A$2:$A$154,0)),"")</f>
        <v/>
      </c>
      <c r="AA653" s="155"/>
      <c r="AB653" s="156"/>
      <c r="AC653" s="66"/>
      <c r="AD653" s="66"/>
      <c r="AE653" s="66"/>
      <c r="AF653" s="66"/>
      <c r="AG653" s="66"/>
      <c r="AH653" s="66"/>
      <c r="AI653" s="34"/>
      <c r="AJ653" s="88">
        <f t="shared" si="718"/>
        <v>0</v>
      </c>
      <c r="AK653" s="88">
        <f t="shared" si="719"/>
        <v>0</v>
      </c>
      <c r="AL653" s="88">
        <v>0</v>
      </c>
      <c r="AM653" s="88">
        <v>0</v>
      </c>
      <c r="AN653" s="81" t="str">
        <f t="shared" si="757"/>
        <v/>
      </c>
      <c r="AO653" s="88">
        <f t="shared" si="720"/>
        <v>0</v>
      </c>
      <c r="AP653" s="88">
        <f t="shared" si="721"/>
        <v>0</v>
      </c>
      <c r="AQ653" s="81" t="str">
        <f t="shared" si="722"/>
        <v/>
      </c>
      <c r="AS653" s="41" t="b">
        <f t="shared" si="723"/>
        <v>1</v>
      </c>
      <c r="AT653" s="38">
        <f t="shared" si="724"/>
        <v>0</v>
      </c>
      <c r="AU653" s="60">
        <f t="shared" si="725"/>
        <v>0</v>
      </c>
      <c r="AV653" s="41">
        <f t="shared" si="726"/>
        <v>0</v>
      </c>
      <c r="AW653" s="41" t="b">
        <f t="shared" si="727"/>
        <v>0</v>
      </c>
      <c r="AX653" t="str">
        <f t="shared" si="728"/>
        <v>+00</v>
      </c>
      <c r="AY653" t="str">
        <f t="shared" si="729"/>
        <v>+00</v>
      </c>
      <c r="BA653" s="47" t="b">
        <f t="shared" si="758"/>
        <v>1</v>
      </c>
      <c r="BB653" s="42" t="b">
        <f t="shared" si="759"/>
        <v>1</v>
      </c>
      <c r="BC653" s="42" t="b">
        <f t="shared" si="760"/>
        <v>0</v>
      </c>
      <c r="BD653" s="42" t="b">
        <f t="shared" si="761"/>
        <v>0</v>
      </c>
      <c r="BE653" s="70">
        <f t="shared" si="762"/>
        <v>0</v>
      </c>
      <c r="BF653" s="70">
        <f t="shared" si="763"/>
        <v>0</v>
      </c>
      <c r="BG653" s="34"/>
      <c r="BI653" s="47" t="b">
        <f t="shared" si="764"/>
        <v>1</v>
      </c>
      <c r="BJ653" s="47" t="b">
        <f t="shared" si="765"/>
        <v>1</v>
      </c>
      <c r="BK653" s="42" t="b">
        <f t="shared" si="766"/>
        <v>0</v>
      </c>
      <c r="BL653" s="42" t="b">
        <f t="shared" si="767"/>
        <v>0</v>
      </c>
      <c r="BM653" s="42">
        <f t="shared" si="768"/>
        <v>0</v>
      </c>
      <c r="BN653" s="42">
        <f t="shared" si="769"/>
        <v>0</v>
      </c>
      <c r="BP653" t="e">
        <f t="shared" si="770"/>
        <v>#N/A</v>
      </c>
      <c r="BQ653" t="e">
        <f t="shared" si="771"/>
        <v>#N/A</v>
      </c>
      <c r="BR653" t="e">
        <f t="shared" si="772"/>
        <v>#N/A</v>
      </c>
      <c r="BT653" s="60">
        <f t="shared" si="773"/>
        <v>0</v>
      </c>
      <c r="BU653" s="60">
        <f t="shared" si="774"/>
        <v>0</v>
      </c>
      <c r="BV653" s="60">
        <f t="shared" si="775"/>
        <v>0</v>
      </c>
      <c r="BW653" s="60">
        <f t="shared" si="776"/>
        <v>0</v>
      </c>
      <c r="BX653" s="60">
        <f t="shared" si="777"/>
        <v>0</v>
      </c>
      <c r="BY653" s="60">
        <f t="shared" si="778"/>
        <v>0</v>
      </c>
      <c r="BZ653" s="60">
        <f t="shared" si="779"/>
        <v>0</v>
      </c>
      <c r="CA653" s="60">
        <f t="shared" si="780"/>
        <v>0</v>
      </c>
      <c r="CB653" s="60" t="e">
        <f t="shared" si="730"/>
        <v>#N/A</v>
      </c>
      <c r="CC653" s="60">
        <f t="shared" si="731"/>
        <v>100000</v>
      </c>
      <c r="CD653" s="60" t="e">
        <f t="shared" si="732"/>
        <v>#N/A</v>
      </c>
      <c r="CE653" s="60">
        <f t="shared" si="733"/>
        <v>100000</v>
      </c>
      <c r="CF653" s="83" t="e">
        <f t="shared" si="781"/>
        <v>#N/A</v>
      </c>
      <c r="CG653" s="83">
        <f t="shared" si="782"/>
        <v>0</v>
      </c>
      <c r="CH653" s="83" t="e">
        <f t="shared" si="783"/>
        <v>#N/A</v>
      </c>
      <c r="CI653" s="83">
        <f t="shared" si="784"/>
        <v>0</v>
      </c>
      <c r="CJ653" s="86" t="e">
        <f t="shared" si="734"/>
        <v>#N/A</v>
      </c>
      <c r="CK653" s="82">
        <f t="shared" si="735"/>
        <v>5.3070370403969858E-3</v>
      </c>
      <c r="CL653" s="82" t="e">
        <f t="shared" si="736"/>
        <v>#N/A</v>
      </c>
      <c r="CM653" s="82">
        <f t="shared" si="737"/>
        <v>5.3070370403969858E-3</v>
      </c>
      <c r="CO653" s="149" t="str">
        <f>IF($I653&lt;&gt;"",IF(O653="User Specified",U653,INDEX('Refrigerant GWPs'!$G$2:$G$156,MATCH(O653,'Refrigerant GWPs'!$A$2:$A$156,0))),"")</f>
        <v/>
      </c>
      <c r="CP653" s="138" t="str">
        <f>IF($I653&lt;&gt;"",INDEX('Device Refrigerant Leakage'!$E$2:$E$42,MATCH($M653,'Device Refrigerant Leakage'!$B$2:$B$42,0)),"")</f>
        <v/>
      </c>
      <c r="CQ653" s="138" t="str">
        <f>IF($I653&lt;&gt;"",INDEX('Device Refrigerant Leakage'!$F$2:$F$42,MATCH($M653,'Device Refrigerant Leakage'!$B$2:$B$42,0)),"")</f>
        <v/>
      </c>
      <c r="CR653" s="145" t="str">
        <f>IF($I653&lt;&gt;"",INDEX('Device Refrigerant Leakage'!$G$2:$G$42,MATCH($M653,'Device Refrigerant Leakage'!$B$2:$B$42,0)),"")</f>
        <v/>
      </c>
      <c r="CS653" s="145" t="str">
        <f>IF($I653&lt;&gt;"",INDEX('Device Refrigerant Leakage'!$D$2:$D$42,MATCH($M653,'Device Refrigerant Leakage'!$B$2:$B$42,0))*CP653/2204.62*CO653,"")</f>
        <v/>
      </c>
      <c r="CT653" s="145" t="str">
        <f>IF($I653&lt;&gt;"",J653*(INDEX('Device Refrigerant Leakage'!$D$2:$D$42,MATCH($M653,'Device Refrigerant Leakage'!$B$2:$B$42,0))-(INDEX('Device Refrigerant Leakage'!$D$2:$D$42,MATCH($M653,'Device Refrigerant Leakage'!$B$2:$B$42,0)))*CR653*CP653)*CQ653/2204.62*CO653,"")</f>
        <v/>
      </c>
      <c r="CU653" s="135" t="str">
        <f>IF($I653&lt;&gt;"",J653*IF(W653&lt;&gt;"AR",(CS653*K653)+CT653,(CS653*AB653)+CT653*(AB653/INDEX('Device Refrigerant Leakage'!$C$2:$C$42,MATCH($M653,'Device Refrigerant Leakage'!$B$2:$B$42,0)))),"")</f>
        <v/>
      </c>
      <c r="CW653" s="135" t="str">
        <f>IF($I653&lt;&gt;"",IF(S653="User Specified",V653,INDEX('Refrigerant GWPs'!$G$2:$G$156,MATCH(S653,'Refrigerant GWPs'!$A$2:$A$157,0))),"")</f>
        <v/>
      </c>
      <c r="CX653" s="138" t="str">
        <f>IF($I653&lt;&gt;"",INDEX('Device Refrigerant Leakage'!$E$2:$E$42,MATCH($Q653,'Device Refrigerant Leakage'!$B$2:$B$42,0)),"")</f>
        <v/>
      </c>
      <c r="CY653" s="138" t="str">
        <f>IF($I653&lt;&gt;"",INDEX('Device Refrigerant Leakage'!$F$2:$F$42,MATCH($Q653,'Device Refrigerant Leakage'!$B$2:$B$42,0)),"")</f>
        <v/>
      </c>
      <c r="CZ653" s="145" t="str">
        <f>IF($I653&lt;&gt;"",INDEX('Device Refrigerant Leakage'!$G$2:$G$42,MATCH($Q653,'Device Refrigerant Leakage'!$B$2:$B$42,0)),"")</f>
        <v/>
      </c>
      <c r="DA653" s="145" t="str">
        <f>IF($I653&lt;&gt;"",J653*INDEX('Device Refrigerant Leakage'!$D$2:$D$42,MATCH($Q653,'Device Refrigerant Leakage'!$B$2:$B$42,0))*CX653/2204.62*CW653,"")</f>
        <v/>
      </c>
      <c r="DB653" s="145" t="str">
        <f>IF($I653&lt;&gt;"",J653*(INDEX('Device Refrigerant Leakage'!$D$2:$D$42,MATCH($Q653,'Device Refrigerant Leakage'!$B$2:$B$42,0))-(INDEX('Device Refrigerant Leakage'!$D$2:$D$42,MATCH($Q653,'Device Refrigerant Leakage'!$B$2:$B$42,0)))*CZ653*CX653)*CY653/2204.62*CW653,"")</f>
        <v/>
      </c>
      <c r="DC653" s="135" t="str">
        <f t="shared" si="756"/>
        <v/>
      </c>
      <c r="DE653" s="146" t="str">
        <f>IF(W653&lt;&gt;"AR","",IF(Y653="User Specified", AA653, INDEX('Refrigerant GWPs'!$G$2:$G$154,MATCH(Y653,'Refrigerant GWPs'!$A$2:$A$154,0))))</f>
        <v/>
      </c>
      <c r="DF653" s="146" t="str">
        <f>IF(W653&lt;&gt;"AR","",INDEX('Device Refrigerant Leakage'!$E$2:$E$42,MATCH(X653,'Device Refrigerant Leakage'!$B$2:$B$42,0)))</f>
        <v/>
      </c>
      <c r="DG653" s="146" t="str">
        <f>IF(W653&lt;&gt;"AR","",INDEX('Device Refrigerant Leakage'!$F$2:$F$42,MATCH(X653,'Device Refrigerant Leakage'!$B$2:$B$42,0)))</f>
        <v/>
      </c>
      <c r="DH653" s="146" t="str">
        <f>IF(W653&lt;&gt;"AR","",INDEX('Device Refrigerant Leakage'!$G$2:$G$42,MATCH(X653,'Device Refrigerant Leakage'!$B$2:$B$42,0)))</f>
        <v/>
      </c>
      <c r="DI653" s="146" t="str">
        <f>IF(W653&lt;&gt;"AR","",J653*INDEX('Device Refrigerant Leakage'!$D$2:$D$42,MATCH(X653,'Device Refrigerant Leakage'!$B$2:$B$42,0))*DF653/2204.62*DE653)</f>
        <v/>
      </c>
      <c r="DJ653" s="146" t="str">
        <f>IF(W653&lt;&gt;"AR","",J653*(INDEX('Device Refrigerant Leakage'!$D$2:$D$42,MATCH(X653,'Device Refrigerant Leakage'!$B$2:$B$42,0))-(INDEX('Device Refrigerant Leakage'!$D$2:$D$42,MATCH(X653,'Device Refrigerant Leakage'!$B$2:$B$42,0)))*DH653*DF653)*DG653/2204.62*DE653)</f>
        <v/>
      </c>
      <c r="DK653" s="146" t="str">
        <f>IF(W653&lt;&gt;"AR","",DI653*(K653-AB653)+'Fuel Sub Calcs-Deemed'!DJ653*((K653-AB653)/INDEX('Device Refrigerant Leakage'!$C$2:$C$42,MATCH('Fuel Sub Calcs-Deemed'!X653,'Device Refrigerant Leakage'!$B$2:$B$42,0))))</f>
        <v/>
      </c>
      <c r="DM653" s="56">
        <v>639</v>
      </c>
      <c r="DN653" s="67" t="e">
        <f t="shared" si="738"/>
        <v>#N/A</v>
      </c>
      <c r="DO653" s="45" t="e">
        <f t="shared" si="739"/>
        <v>#N/A</v>
      </c>
      <c r="DP653" s="67" t="e">
        <f t="shared" si="740"/>
        <v>#N/A</v>
      </c>
      <c r="DQ653" s="45" t="e">
        <f t="shared" si="741"/>
        <v>#N/A</v>
      </c>
      <c r="DR653" s="69" t="e">
        <f t="shared" si="742"/>
        <v>#N/A</v>
      </c>
      <c r="DS653" s="34"/>
      <c r="DT653" s="67" t="e">
        <f>((BX653*CJ653)+IF($W653=MAT_AR,(BZ653*CL653),0))*(1+Reference!$E$50+Reference!$E$51)</f>
        <v>#N/A</v>
      </c>
      <c r="DU653" s="67">
        <f>((BY653*CK653)+IF($W653=MAT_AR,(CA653*CM653),0))*(1+Reference!$G$50+Reference!$G$51)</f>
        <v>0</v>
      </c>
      <c r="DV653" s="67" t="e">
        <f t="shared" si="743"/>
        <v>#VALUE!</v>
      </c>
      <c r="DX653" s="56">
        <v>639</v>
      </c>
      <c r="DY653" s="67">
        <f t="shared" si="744"/>
        <v>0</v>
      </c>
      <c r="DZ653" s="45" t="e">
        <f>VLOOKUP($R653,Dropdown!$C$3:$D$4,2,FALSE)</f>
        <v>#N/A</v>
      </c>
      <c r="EA653" s="68">
        <f t="shared" si="745"/>
        <v>0</v>
      </c>
      <c r="EB653" s="68" t="str">
        <f t="shared" si="746"/>
        <v>N/A</v>
      </c>
      <c r="EC653" s="68">
        <f t="shared" si="747"/>
        <v>0</v>
      </c>
      <c r="ED653" s="68" t="str">
        <f t="shared" si="785"/>
        <v>N/A</v>
      </c>
      <c r="EF653" s="56">
        <v>639</v>
      </c>
      <c r="EG653" s="46">
        <f t="shared" si="748"/>
        <v>0</v>
      </c>
      <c r="EH653" s="68" t="e">
        <f t="shared" si="749"/>
        <v>#N/A</v>
      </c>
      <c r="EI653" s="68" t="e">
        <f t="shared" si="750"/>
        <v>#N/A</v>
      </c>
      <c r="EJ653" s="68" t="e">
        <f t="shared" si="751"/>
        <v>#N/A</v>
      </c>
      <c r="EK653" s="68" t="e">
        <f t="shared" si="752"/>
        <v>#N/A</v>
      </c>
      <c r="EL653" s="46">
        <f t="shared" si="753"/>
        <v>0</v>
      </c>
      <c r="EM653" s="46">
        <f t="shared" si="754"/>
        <v>0</v>
      </c>
    </row>
    <row r="654" spans="1:143">
      <c r="A654" s="89"/>
      <c r="B654" s="89"/>
      <c r="C654" s="89"/>
      <c r="D654" s="89"/>
      <c r="E654" s="89"/>
      <c r="F654" s="89"/>
      <c r="G654" s="34"/>
      <c r="H654" s="56">
        <f t="shared" si="755"/>
        <v>640</v>
      </c>
      <c r="I654" s="165"/>
      <c r="J654" s="163"/>
      <c r="K654" s="163"/>
      <c r="L654" s="164"/>
      <c r="M654" s="155"/>
      <c r="N654" s="155"/>
      <c r="O654" s="144"/>
      <c r="P654" s="159" t="str">
        <f>IFERROR(IF(O654&lt;&gt;"User Specified",IF(O654&lt;&gt;"", INDEX('Refrigerant GWPs'!$G$2:$G$154,MATCH(O654,'Refrigerant GWPs'!$A$2:$A$154,0)),""),U654),0)</f>
        <v/>
      </c>
      <c r="Q654" s="155"/>
      <c r="R654" s="155"/>
      <c r="S654" s="144"/>
      <c r="T654" s="159" t="str">
        <f>IF(S654&lt;&gt;"User Specified",IF(AND(S654&lt;&gt;"User Specified",S654&lt;&gt;""), INDEX('Refrigerant GWPs'!$G$2:$G$154,MATCH(S654,'Refrigerant GWPs'!$A$2:$A$154,0)),""),V654)</f>
        <v/>
      </c>
      <c r="U654" s="144"/>
      <c r="V654" s="144"/>
      <c r="W654" s="155"/>
      <c r="X654" s="155"/>
      <c r="Y654" s="144"/>
      <c r="Z654" s="159" t="str">
        <f>IF(AND(Y654&lt;&gt;"User Specified",Y654&lt;&gt;""), INDEX('Refrigerant GWPs'!$G$2:$G$154,MATCH(Y654,'Refrigerant GWPs'!$A$2:$A$154,0)),"")</f>
        <v/>
      </c>
      <c r="AA654" s="155"/>
      <c r="AB654" s="156"/>
      <c r="AC654" s="66"/>
      <c r="AD654" s="66"/>
      <c r="AE654" s="66"/>
      <c r="AF654" s="66"/>
      <c r="AG654" s="66"/>
      <c r="AH654" s="66"/>
      <c r="AI654" s="34"/>
      <c r="AJ654" s="88">
        <f t="shared" si="718"/>
        <v>0</v>
      </c>
      <c r="AK654" s="88">
        <f t="shared" si="719"/>
        <v>0</v>
      </c>
      <c r="AL654" s="88">
        <v>0</v>
      </c>
      <c r="AM654" s="88">
        <v>0</v>
      </c>
      <c r="AN654" s="81" t="str">
        <f t="shared" si="757"/>
        <v/>
      </c>
      <c r="AO654" s="88">
        <f t="shared" si="720"/>
        <v>0</v>
      </c>
      <c r="AP654" s="88">
        <f t="shared" si="721"/>
        <v>0</v>
      </c>
      <c r="AQ654" s="81" t="str">
        <f t="shared" si="722"/>
        <v/>
      </c>
      <c r="AS654" s="41" t="b">
        <f t="shared" si="723"/>
        <v>1</v>
      </c>
      <c r="AT654" s="38">
        <f t="shared" si="724"/>
        <v>0</v>
      </c>
      <c r="AU654" s="60">
        <f t="shared" si="725"/>
        <v>0</v>
      </c>
      <c r="AV654" s="41">
        <f t="shared" si="726"/>
        <v>0</v>
      </c>
      <c r="AW654" s="41" t="b">
        <f t="shared" si="727"/>
        <v>0</v>
      </c>
      <c r="AX654" t="str">
        <f t="shared" si="728"/>
        <v>+00</v>
      </c>
      <c r="AY654" t="str">
        <f t="shared" si="729"/>
        <v>+00</v>
      </c>
      <c r="BA654" s="47" t="b">
        <f t="shared" si="758"/>
        <v>1</v>
      </c>
      <c r="BB654" s="42" t="b">
        <f t="shared" si="759"/>
        <v>1</v>
      </c>
      <c r="BC654" s="42" t="b">
        <f t="shared" si="760"/>
        <v>0</v>
      </c>
      <c r="BD654" s="42" t="b">
        <f t="shared" si="761"/>
        <v>0</v>
      </c>
      <c r="BE654" s="70">
        <f t="shared" si="762"/>
        <v>0</v>
      </c>
      <c r="BF654" s="70">
        <f t="shared" si="763"/>
        <v>0</v>
      </c>
      <c r="BG654" s="34"/>
      <c r="BI654" s="47" t="b">
        <f t="shared" si="764"/>
        <v>1</v>
      </c>
      <c r="BJ654" s="47" t="b">
        <f t="shared" si="765"/>
        <v>1</v>
      </c>
      <c r="BK654" s="42" t="b">
        <f t="shared" si="766"/>
        <v>0</v>
      </c>
      <c r="BL654" s="42" t="b">
        <f t="shared" si="767"/>
        <v>0</v>
      </c>
      <c r="BM654" s="42">
        <f t="shared" si="768"/>
        <v>0</v>
      </c>
      <c r="BN654" s="42">
        <f t="shared" si="769"/>
        <v>0</v>
      </c>
      <c r="BP654" t="e">
        <f t="shared" si="770"/>
        <v>#N/A</v>
      </c>
      <c r="BQ654" t="e">
        <f t="shared" si="771"/>
        <v>#N/A</v>
      </c>
      <c r="BR654" t="e">
        <f t="shared" si="772"/>
        <v>#N/A</v>
      </c>
      <c r="BT654" s="60">
        <f t="shared" si="773"/>
        <v>0</v>
      </c>
      <c r="BU654" s="60">
        <f t="shared" si="774"/>
        <v>0</v>
      </c>
      <c r="BV654" s="60">
        <f t="shared" si="775"/>
        <v>0</v>
      </c>
      <c r="BW654" s="60">
        <f t="shared" si="776"/>
        <v>0</v>
      </c>
      <c r="BX654" s="60">
        <f t="shared" si="777"/>
        <v>0</v>
      </c>
      <c r="BY654" s="60">
        <f t="shared" si="778"/>
        <v>0</v>
      </c>
      <c r="BZ654" s="60">
        <f t="shared" si="779"/>
        <v>0</v>
      </c>
      <c r="CA654" s="60">
        <f t="shared" si="780"/>
        <v>0</v>
      </c>
      <c r="CB654" s="60" t="e">
        <f t="shared" si="730"/>
        <v>#N/A</v>
      </c>
      <c r="CC654" s="60">
        <f t="shared" si="731"/>
        <v>100000</v>
      </c>
      <c r="CD654" s="60" t="e">
        <f t="shared" si="732"/>
        <v>#N/A</v>
      </c>
      <c r="CE654" s="60">
        <f t="shared" si="733"/>
        <v>100000</v>
      </c>
      <c r="CF654" s="83" t="e">
        <f t="shared" si="781"/>
        <v>#N/A</v>
      </c>
      <c r="CG654" s="83">
        <f t="shared" si="782"/>
        <v>0</v>
      </c>
      <c r="CH654" s="83" t="e">
        <f t="shared" si="783"/>
        <v>#N/A</v>
      </c>
      <c r="CI654" s="83">
        <f t="shared" si="784"/>
        <v>0</v>
      </c>
      <c r="CJ654" s="86" t="e">
        <f t="shared" si="734"/>
        <v>#N/A</v>
      </c>
      <c r="CK654" s="82">
        <f t="shared" si="735"/>
        <v>5.3070370403969858E-3</v>
      </c>
      <c r="CL654" s="82" t="e">
        <f t="shared" si="736"/>
        <v>#N/A</v>
      </c>
      <c r="CM654" s="82">
        <f t="shared" si="737"/>
        <v>5.3070370403969858E-3</v>
      </c>
      <c r="CO654" s="149" t="str">
        <f>IF($I654&lt;&gt;"",IF(O654="User Specified",U654,INDEX('Refrigerant GWPs'!$G$2:$G$156,MATCH(O654,'Refrigerant GWPs'!$A$2:$A$156,0))),"")</f>
        <v/>
      </c>
      <c r="CP654" s="138" t="str">
        <f>IF($I654&lt;&gt;"",INDEX('Device Refrigerant Leakage'!$E$2:$E$42,MATCH($M654,'Device Refrigerant Leakage'!$B$2:$B$42,0)),"")</f>
        <v/>
      </c>
      <c r="CQ654" s="138" t="str">
        <f>IF($I654&lt;&gt;"",INDEX('Device Refrigerant Leakage'!$F$2:$F$42,MATCH($M654,'Device Refrigerant Leakage'!$B$2:$B$42,0)),"")</f>
        <v/>
      </c>
      <c r="CR654" s="145" t="str">
        <f>IF($I654&lt;&gt;"",INDEX('Device Refrigerant Leakage'!$G$2:$G$42,MATCH($M654,'Device Refrigerant Leakage'!$B$2:$B$42,0)),"")</f>
        <v/>
      </c>
      <c r="CS654" s="145" t="str">
        <f>IF($I654&lt;&gt;"",INDEX('Device Refrigerant Leakage'!$D$2:$D$42,MATCH($M654,'Device Refrigerant Leakage'!$B$2:$B$42,0))*CP654/2204.62*CO654,"")</f>
        <v/>
      </c>
      <c r="CT654" s="145" t="str">
        <f>IF($I654&lt;&gt;"",J654*(INDEX('Device Refrigerant Leakage'!$D$2:$D$42,MATCH($M654,'Device Refrigerant Leakage'!$B$2:$B$42,0))-(INDEX('Device Refrigerant Leakage'!$D$2:$D$42,MATCH($M654,'Device Refrigerant Leakage'!$B$2:$B$42,0)))*CR654*CP654)*CQ654/2204.62*CO654,"")</f>
        <v/>
      </c>
      <c r="CU654" s="135" t="str">
        <f>IF($I654&lt;&gt;"",J654*IF(W654&lt;&gt;"AR",(CS654*K654)+CT654,(CS654*AB654)+CT654*(AB654/INDEX('Device Refrigerant Leakage'!$C$2:$C$42,MATCH($M654,'Device Refrigerant Leakage'!$B$2:$B$42,0)))),"")</f>
        <v/>
      </c>
      <c r="CW654" s="135" t="str">
        <f>IF($I654&lt;&gt;"",IF(S654="User Specified",V654,INDEX('Refrigerant GWPs'!$G$2:$G$156,MATCH(S654,'Refrigerant GWPs'!$A$2:$A$157,0))),"")</f>
        <v/>
      </c>
      <c r="CX654" s="138" t="str">
        <f>IF($I654&lt;&gt;"",INDEX('Device Refrigerant Leakage'!$E$2:$E$42,MATCH($Q654,'Device Refrigerant Leakage'!$B$2:$B$42,0)),"")</f>
        <v/>
      </c>
      <c r="CY654" s="138" t="str">
        <f>IF($I654&lt;&gt;"",INDEX('Device Refrigerant Leakage'!$F$2:$F$42,MATCH($Q654,'Device Refrigerant Leakage'!$B$2:$B$42,0)),"")</f>
        <v/>
      </c>
      <c r="CZ654" s="145" t="str">
        <f>IF($I654&lt;&gt;"",INDEX('Device Refrigerant Leakage'!$G$2:$G$42,MATCH($Q654,'Device Refrigerant Leakage'!$B$2:$B$42,0)),"")</f>
        <v/>
      </c>
      <c r="DA654" s="145" t="str">
        <f>IF($I654&lt;&gt;"",J654*INDEX('Device Refrigerant Leakage'!$D$2:$D$42,MATCH($Q654,'Device Refrigerant Leakage'!$B$2:$B$42,0))*CX654/2204.62*CW654,"")</f>
        <v/>
      </c>
      <c r="DB654" s="145" t="str">
        <f>IF($I654&lt;&gt;"",J654*(INDEX('Device Refrigerant Leakage'!$D$2:$D$42,MATCH($Q654,'Device Refrigerant Leakage'!$B$2:$B$42,0))-(INDEX('Device Refrigerant Leakage'!$D$2:$D$42,MATCH($Q654,'Device Refrigerant Leakage'!$B$2:$B$42,0)))*CZ654*CX654)*CY654/2204.62*CW654,"")</f>
        <v/>
      </c>
      <c r="DC654" s="135" t="str">
        <f t="shared" si="756"/>
        <v/>
      </c>
      <c r="DE654" s="146" t="str">
        <f>IF(W654&lt;&gt;"AR","",IF(Y654="User Specified", AA654, INDEX('Refrigerant GWPs'!$G$2:$G$154,MATCH(Y654,'Refrigerant GWPs'!$A$2:$A$154,0))))</f>
        <v/>
      </c>
      <c r="DF654" s="146" t="str">
        <f>IF(W654&lt;&gt;"AR","",INDEX('Device Refrigerant Leakage'!$E$2:$E$42,MATCH(X654,'Device Refrigerant Leakage'!$B$2:$B$42,0)))</f>
        <v/>
      </c>
      <c r="DG654" s="146" t="str">
        <f>IF(W654&lt;&gt;"AR","",INDEX('Device Refrigerant Leakage'!$F$2:$F$42,MATCH(X654,'Device Refrigerant Leakage'!$B$2:$B$42,0)))</f>
        <v/>
      </c>
      <c r="DH654" s="146" t="str">
        <f>IF(W654&lt;&gt;"AR","",INDEX('Device Refrigerant Leakage'!$G$2:$G$42,MATCH(X654,'Device Refrigerant Leakage'!$B$2:$B$42,0)))</f>
        <v/>
      </c>
      <c r="DI654" s="146" t="str">
        <f>IF(W654&lt;&gt;"AR","",J654*INDEX('Device Refrigerant Leakage'!$D$2:$D$42,MATCH(X654,'Device Refrigerant Leakage'!$B$2:$B$42,0))*DF654/2204.62*DE654)</f>
        <v/>
      </c>
      <c r="DJ654" s="146" t="str">
        <f>IF(W654&lt;&gt;"AR","",J654*(INDEX('Device Refrigerant Leakage'!$D$2:$D$42,MATCH(X654,'Device Refrigerant Leakage'!$B$2:$B$42,0))-(INDEX('Device Refrigerant Leakage'!$D$2:$D$42,MATCH(X654,'Device Refrigerant Leakage'!$B$2:$B$42,0)))*DH654*DF654)*DG654/2204.62*DE654)</f>
        <v/>
      </c>
      <c r="DK654" s="146" t="str">
        <f>IF(W654&lt;&gt;"AR","",DI654*(K654-AB654)+'Fuel Sub Calcs-Deemed'!DJ654*((K654-AB654)/INDEX('Device Refrigerant Leakage'!$C$2:$C$42,MATCH('Fuel Sub Calcs-Deemed'!X654,'Device Refrigerant Leakage'!$B$2:$B$42,0))))</f>
        <v/>
      </c>
      <c r="DM654" s="56">
        <v>640</v>
      </c>
      <c r="DN654" s="67" t="e">
        <f t="shared" si="738"/>
        <v>#N/A</v>
      </c>
      <c r="DO654" s="45" t="e">
        <f t="shared" si="739"/>
        <v>#N/A</v>
      </c>
      <c r="DP654" s="67" t="e">
        <f t="shared" si="740"/>
        <v>#N/A</v>
      </c>
      <c r="DQ654" s="45" t="e">
        <f t="shared" si="741"/>
        <v>#N/A</v>
      </c>
      <c r="DR654" s="69" t="e">
        <f t="shared" si="742"/>
        <v>#N/A</v>
      </c>
      <c r="DS654" s="34"/>
      <c r="DT654" s="67" t="e">
        <f>((BX654*CJ654)+IF($W654=MAT_AR,(BZ654*CL654),0))*(1+Reference!$E$50+Reference!$E$51)</f>
        <v>#N/A</v>
      </c>
      <c r="DU654" s="67">
        <f>((BY654*CK654)+IF($W654=MAT_AR,(CA654*CM654),0))*(1+Reference!$G$50+Reference!$G$51)</f>
        <v>0</v>
      </c>
      <c r="DV654" s="67" t="e">
        <f t="shared" si="743"/>
        <v>#VALUE!</v>
      </c>
      <c r="DX654" s="56">
        <v>640</v>
      </c>
      <c r="DY654" s="67">
        <f t="shared" si="744"/>
        <v>0</v>
      </c>
      <c r="DZ654" s="45" t="e">
        <f>VLOOKUP($R654,Dropdown!$C$3:$D$4,2,FALSE)</f>
        <v>#N/A</v>
      </c>
      <c r="EA654" s="68">
        <f t="shared" si="745"/>
        <v>0</v>
      </c>
      <c r="EB654" s="68" t="str">
        <f t="shared" si="746"/>
        <v>N/A</v>
      </c>
      <c r="EC654" s="68">
        <f t="shared" si="747"/>
        <v>0</v>
      </c>
      <c r="ED654" s="68" t="str">
        <f t="shared" si="785"/>
        <v>N/A</v>
      </c>
      <c r="EF654" s="56">
        <v>640</v>
      </c>
      <c r="EG654" s="46">
        <f t="shared" si="748"/>
        <v>0</v>
      </c>
      <c r="EH654" s="68" t="e">
        <f t="shared" si="749"/>
        <v>#N/A</v>
      </c>
      <c r="EI654" s="68" t="e">
        <f t="shared" si="750"/>
        <v>#N/A</v>
      </c>
      <c r="EJ654" s="68" t="e">
        <f t="shared" si="751"/>
        <v>#N/A</v>
      </c>
      <c r="EK654" s="68" t="e">
        <f t="shared" si="752"/>
        <v>#N/A</v>
      </c>
      <c r="EL654" s="46">
        <f t="shared" si="753"/>
        <v>0</v>
      </c>
      <c r="EM654" s="46">
        <f t="shared" si="754"/>
        <v>0</v>
      </c>
    </row>
    <row r="655" spans="1:143">
      <c r="A655" s="89"/>
      <c r="B655" s="89"/>
      <c r="C655" s="89"/>
      <c r="D655" s="89"/>
      <c r="E655" s="89"/>
      <c r="F655" s="89"/>
      <c r="G655" s="34"/>
      <c r="H655" s="56">
        <f t="shared" si="755"/>
        <v>641</v>
      </c>
      <c r="I655" s="165"/>
      <c r="J655" s="163"/>
      <c r="K655" s="163"/>
      <c r="L655" s="164"/>
      <c r="M655" s="155"/>
      <c r="N655" s="155"/>
      <c r="O655" s="144"/>
      <c r="P655" s="159" t="str">
        <f>IFERROR(IF(O655&lt;&gt;"User Specified",IF(O655&lt;&gt;"", INDEX('Refrigerant GWPs'!$G$2:$G$154,MATCH(O655,'Refrigerant GWPs'!$A$2:$A$154,0)),""),U655),0)</f>
        <v/>
      </c>
      <c r="Q655" s="155"/>
      <c r="R655" s="155"/>
      <c r="S655" s="144"/>
      <c r="T655" s="159" t="str">
        <f>IF(S655&lt;&gt;"User Specified",IF(AND(S655&lt;&gt;"User Specified",S655&lt;&gt;""), INDEX('Refrigerant GWPs'!$G$2:$G$154,MATCH(S655,'Refrigerant GWPs'!$A$2:$A$154,0)),""),V655)</f>
        <v/>
      </c>
      <c r="U655" s="144"/>
      <c r="V655" s="144"/>
      <c r="W655" s="155"/>
      <c r="X655" s="155"/>
      <c r="Y655" s="144"/>
      <c r="Z655" s="159" t="str">
        <f>IF(AND(Y655&lt;&gt;"User Specified",Y655&lt;&gt;""), INDEX('Refrigerant GWPs'!$G$2:$G$154,MATCH(Y655,'Refrigerant GWPs'!$A$2:$A$154,0)),"")</f>
        <v/>
      </c>
      <c r="AA655" s="155"/>
      <c r="AB655" s="156"/>
      <c r="AC655" s="66"/>
      <c r="AD655" s="66"/>
      <c r="AE655" s="66"/>
      <c r="AF655" s="66"/>
      <c r="AG655" s="66"/>
      <c r="AH655" s="66"/>
      <c r="AI655" s="34"/>
      <c r="AJ655" s="88">
        <f t="shared" ref="AJ655:AJ718" si="786">IF($W655=MAT_AR,AC655,AF655)</f>
        <v>0</v>
      </c>
      <c r="AK655" s="88">
        <f t="shared" ref="AK655:AK718" si="787">IF($W655=MAT_AR,AE655,AH655)</f>
        <v>0</v>
      </c>
      <c r="AL655" s="88">
        <v>0</v>
      </c>
      <c r="AM655" s="88">
        <v>0</v>
      </c>
      <c r="AN655" s="81" t="str">
        <f t="shared" si="757"/>
        <v/>
      </c>
      <c r="AO655" s="88">
        <f t="shared" ref="AO655:AO718" si="788">IF($W655=MAT_AR,AF655,0)</f>
        <v>0</v>
      </c>
      <c r="AP655" s="88">
        <f t="shared" ref="AP655:AP718" si="789">IF($W655=MAT_AR,AH655,0)</f>
        <v>0</v>
      </c>
      <c r="AQ655" s="81" t="str">
        <f t="shared" ref="AQ655:AQ718" si="790">IF(AND(W655=MAT_AR,OR(BK655:BL655)),"Warning: Need to enter baseline and measure consumption","")</f>
        <v/>
      </c>
      <c r="AS655" s="41" t="b">
        <f t="shared" ref="AS655:AS718" si="791">NOT(W655=MAT_AR)</f>
        <v>1</v>
      </c>
      <c r="AT655" s="38">
        <f t="shared" ref="AT655:AT718" si="792">IF(W655=MAT_AR,AB655,K655)</f>
        <v>0</v>
      </c>
      <c r="AU655" s="60">
        <f t="shared" ref="AU655:AU718" si="793">K655-AT655</f>
        <v>0</v>
      </c>
      <c r="AV655" s="41">
        <f t="shared" ref="AV655:AV718" si="794">IF(W655=MAT_AR,AB655,0)</f>
        <v>0</v>
      </c>
      <c r="AW655" s="41" t="b">
        <f t="shared" ref="AW655:AW718" si="795">AND(NOT(ISBLANK(I655)),NOT(ISBLANK(J655)),NOT(ISBLANK(K655)),NOT(ISBLANK(L655)),NOT(ISBLANK(N655)),NOT(ISBLANK(R655)),NOT(OR(BC655:BD655)),NOT(ISBLANK(W655)))</f>
        <v>0</v>
      </c>
      <c r="AX655" t="str">
        <f t="shared" ref="AX655:AX718" si="796">$L655&amp;"+"&amp;TEXT(ROUND($AT655,0),"00")</f>
        <v>+00</v>
      </c>
      <c r="AY655" t="str">
        <f t="shared" ref="AY655:AY718" si="797">TEXT(ROUND($L655+$AT655,0),"#")&amp;"+"&amp;TEXT(ROUND($AU655,0),"00")</f>
        <v>+00</v>
      </c>
      <c r="BA655" s="47" t="b">
        <f t="shared" si="758"/>
        <v>1</v>
      </c>
      <c r="BB655" s="42" t="b">
        <f t="shared" si="759"/>
        <v>1</v>
      </c>
      <c r="BC655" s="42" t="b">
        <f t="shared" si="760"/>
        <v>0</v>
      </c>
      <c r="BD655" s="42" t="b">
        <f t="shared" si="761"/>
        <v>0</v>
      </c>
      <c r="BE655" s="70">
        <f t="shared" si="762"/>
        <v>0</v>
      </c>
      <c r="BF655" s="70">
        <f t="shared" si="763"/>
        <v>0</v>
      </c>
      <c r="BG655" s="34"/>
      <c r="BI655" s="47" t="b">
        <f t="shared" si="764"/>
        <v>1</v>
      </c>
      <c r="BJ655" s="47" t="b">
        <f t="shared" si="765"/>
        <v>1</v>
      </c>
      <c r="BK655" s="42" t="b">
        <f t="shared" si="766"/>
        <v>0</v>
      </c>
      <c r="BL655" s="42" t="b">
        <f t="shared" si="767"/>
        <v>0</v>
      </c>
      <c r="BM655" s="42">
        <f t="shared" si="768"/>
        <v>0</v>
      </c>
      <c r="BN655" s="42">
        <f t="shared" si="769"/>
        <v>0</v>
      </c>
      <c r="BP655" t="e">
        <f t="shared" si="770"/>
        <v>#N/A</v>
      </c>
      <c r="BQ655" t="e">
        <f t="shared" si="771"/>
        <v>#N/A</v>
      </c>
      <c r="BR655" t="e">
        <f t="shared" si="772"/>
        <v>#N/A</v>
      </c>
      <c r="BT655" s="60">
        <f t="shared" si="773"/>
        <v>0</v>
      </c>
      <c r="BU655" s="60">
        <f t="shared" si="774"/>
        <v>0</v>
      </c>
      <c r="BV655" s="60">
        <f t="shared" si="775"/>
        <v>0</v>
      </c>
      <c r="BW655" s="60">
        <f t="shared" si="776"/>
        <v>0</v>
      </c>
      <c r="BX655" s="60">
        <f t="shared" si="777"/>
        <v>0</v>
      </c>
      <c r="BY655" s="60">
        <f t="shared" si="778"/>
        <v>0</v>
      </c>
      <c r="BZ655" s="60">
        <f t="shared" si="779"/>
        <v>0</v>
      </c>
      <c r="CA655" s="60">
        <f t="shared" si="780"/>
        <v>0</v>
      </c>
      <c r="CB655" s="60" t="e">
        <f t="shared" ref="CB655:CB718" si="798">INDEX(AFL_Source_Energy_Btu_per_kWh,MATCH($AX655,AFL_IndexB,0))</f>
        <v>#N/A</v>
      </c>
      <c r="CC655" s="60">
        <f t="shared" ref="CC655:CC718" si="799">Btu_therm</f>
        <v>100000</v>
      </c>
      <c r="CD655" s="60" t="e">
        <f t="shared" ref="CD655:CD718" si="800">INDEX(AFL_Source_Energy_Btu_per_kWh,MATCH($AY655,AFL_IndexB,0))</f>
        <v>#N/A</v>
      </c>
      <c r="CE655" s="60">
        <f t="shared" ref="CE655:CE718" si="801">Btu_therm</f>
        <v>100000</v>
      </c>
      <c r="CF655" s="83" t="e">
        <f t="shared" si="781"/>
        <v>#N/A</v>
      </c>
      <c r="CG655" s="83">
        <f t="shared" si="782"/>
        <v>0</v>
      </c>
      <c r="CH655" s="83" t="e">
        <f t="shared" si="783"/>
        <v>#N/A</v>
      </c>
      <c r="CI655" s="83">
        <f t="shared" si="784"/>
        <v>0</v>
      </c>
      <c r="CJ655" s="86" t="e">
        <f t="shared" ref="CJ655:CJ718" si="802">INDEX(AFL_Emissions_Intensity_metric_tonnes_per_MWh,MATCH($AX655,AFL_IndexB,0))/1000</f>
        <v>#N/A</v>
      </c>
      <c r="CK655" s="82">
        <f t="shared" ref="CK655:CK718" si="803">NG_metric_tonne_CO2_therm</f>
        <v>5.3070370403969858E-3</v>
      </c>
      <c r="CL655" s="82" t="e">
        <f t="shared" ref="CL655:CL718" si="804">INDEX(AFL_Emissions_Intensity_metric_tonnes_per_MWh,MATCH($AY655,AFL_IndexB,0))/1000</f>
        <v>#N/A</v>
      </c>
      <c r="CM655" s="82">
        <f t="shared" ref="CM655:CM718" si="805">NG_metric_tonne_CO2_therm</f>
        <v>5.3070370403969858E-3</v>
      </c>
      <c r="CO655" s="149" t="str">
        <f>IF($I655&lt;&gt;"",IF(O655="User Specified",U655,INDEX('Refrigerant GWPs'!$G$2:$G$156,MATCH(O655,'Refrigerant GWPs'!$A$2:$A$156,0))),"")</f>
        <v/>
      </c>
      <c r="CP655" s="138" t="str">
        <f>IF($I655&lt;&gt;"",INDEX('Device Refrigerant Leakage'!$E$2:$E$42,MATCH($M655,'Device Refrigerant Leakage'!$B$2:$B$42,0)),"")</f>
        <v/>
      </c>
      <c r="CQ655" s="138" t="str">
        <f>IF($I655&lt;&gt;"",INDEX('Device Refrigerant Leakage'!$F$2:$F$42,MATCH($M655,'Device Refrigerant Leakage'!$B$2:$B$42,0)),"")</f>
        <v/>
      </c>
      <c r="CR655" s="145" t="str">
        <f>IF($I655&lt;&gt;"",INDEX('Device Refrigerant Leakage'!$G$2:$G$42,MATCH($M655,'Device Refrigerant Leakage'!$B$2:$B$42,0)),"")</f>
        <v/>
      </c>
      <c r="CS655" s="145" t="str">
        <f>IF($I655&lt;&gt;"",INDEX('Device Refrigerant Leakage'!$D$2:$D$42,MATCH($M655,'Device Refrigerant Leakage'!$B$2:$B$42,0))*CP655/2204.62*CO655,"")</f>
        <v/>
      </c>
      <c r="CT655" s="145" t="str">
        <f>IF($I655&lt;&gt;"",J655*(INDEX('Device Refrigerant Leakage'!$D$2:$D$42,MATCH($M655,'Device Refrigerant Leakage'!$B$2:$B$42,0))-(INDEX('Device Refrigerant Leakage'!$D$2:$D$42,MATCH($M655,'Device Refrigerant Leakage'!$B$2:$B$42,0)))*CR655*CP655)*CQ655/2204.62*CO655,"")</f>
        <v/>
      </c>
      <c r="CU655" s="135" t="str">
        <f>IF($I655&lt;&gt;"",J655*IF(W655&lt;&gt;"AR",(CS655*K655)+CT655,(CS655*AB655)+CT655*(AB655/INDEX('Device Refrigerant Leakage'!$C$2:$C$42,MATCH($M655,'Device Refrigerant Leakage'!$B$2:$B$42,0)))),"")</f>
        <v/>
      </c>
      <c r="CW655" s="135" t="str">
        <f>IF($I655&lt;&gt;"",IF(S655="User Specified",V655,INDEX('Refrigerant GWPs'!$G$2:$G$156,MATCH(S655,'Refrigerant GWPs'!$A$2:$A$157,0))),"")</f>
        <v/>
      </c>
      <c r="CX655" s="138" t="str">
        <f>IF($I655&lt;&gt;"",INDEX('Device Refrigerant Leakage'!$E$2:$E$42,MATCH($Q655,'Device Refrigerant Leakage'!$B$2:$B$42,0)),"")</f>
        <v/>
      </c>
      <c r="CY655" s="138" t="str">
        <f>IF($I655&lt;&gt;"",INDEX('Device Refrigerant Leakage'!$F$2:$F$42,MATCH($Q655,'Device Refrigerant Leakage'!$B$2:$B$42,0)),"")</f>
        <v/>
      </c>
      <c r="CZ655" s="145" t="str">
        <f>IF($I655&lt;&gt;"",INDEX('Device Refrigerant Leakage'!$G$2:$G$42,MATCH($Q655,'Device Refrigerant Leakage'!$B$2:$B$42,0)),"")</f>
        <v/>
      </c>
      <c r="DA655" s="145" t="str">
        <f>IF($I655&lt;&gt;"",J655*INDEX('Device Refrigerant Leakage'!$D$2:$D$42,MATCH($Q655,'Device Refrigerant Leakage'!$B$2:$B$42,0))*CX655/2204.62*CW655,"")</f>
        <v/>
      </c>
      <c r="DB655" s="145" t="str">
        <f>IF($I655&lt;&gt;"",J655*(INDEX('Device Refrigerant Leakage'!$D$2:$D$42,MATCH($Q655,'Device Refrigerant Leakage'!$B$2:$B$42,0))-(INDEX('Device Refrigerant Leakage'!$D$2:$D$42,MATCH($Q655,'Device Refrigerant Leakage'!$B$2:$B$42,0)))*CZ655*CX655)*CY655/2204.62*CW655,"")</f>
        <v/>
      </c>
      <c r="DC655" s="135" t="str">
        <f t="shared" si="756"/>
        <v/>
      </c>
      <c r="DE655" s="146" t="str">
        <f>IF(W655&lt;&gt;"AR","",IF(Y655="User Specified", AA655, INDEX('Refrigerant GWPs'!$G$2:$G$154,MATCH(Y655,'Refrigerant GWPs'!$A$2:$A$154,0))))</f>
        <v/>
      </c>
      <c r="DF655" s="146" t="str">
        <f>IF(W655&lt;&gt;"AR","",INDEX('Device Refrigerant Leakage'!$E$2:$E$42,MATCH(X655,'Device Refrigerant Leakage'!$B$2:$B$42,0)))</f>
        <v/>
      </c>
      <c r="DG655" s="146" t="str">
        <f>IF(W655&lt;&gt;"AR","",INDEX('Device Refrigerant Leakage'!$F$2:$F$42,MATCH(X655,'Device Refrigerant Leakage'!$B$2:$B$42,0)))</f>
        <v/>
      </c>
      <c r="DH655" s="146" t="str">
        <f>IF(W655&lt;&gt;"AR","",INDEX('Device Refrigerant Leakage'!$G$2:$G$42,MATCH(X655,'Device Refrigerant Leakage'!$B$2:$B$42,0)))</f>
        <v/>
      </c>
      <c r="DI655" s="146" t="str">
        <f>IF(W655&lt;&gt;"AR","",J655*INDEX('Device Refrigerant Leakage'!$D$2:$D$42,MATCH(X655,'Device Refrigerant Leakage'!$B$2:$B$42,0))*DF655/2204.62*DE655)</f>
        <v/>
      </c>
      <c r="DJ655" s="146" t="str">
        <f>IF(W655&lt;&gt;"AR","",J655*(INDEX('Device Refrigerant Leakage'!$D$2:$D$42,MATCH(X655,'Device Refrigerant Leakage'!$B$2:$B$42,0))-(INDEX('Device Refrigerant Leakage'!$D$2:$D$42,MATCH(X655,'Device Refrigerant Leakage'!$B$2:$B$42,0)))*DH655*DF655)*DG655/2204.62*DE655)</f>
        <v/>
      </c>
      <c r="DK655" s="146" t="str">
        <f>IF(W655&lt;&gt;"AR","",DI655*(K655-AB655)+'Fuel Sub Calcs-Deemed'!DJ655*((K655-AB655)/INDEX('Device Refrigerant Leakage'!$C$2:$C$42,MATCH('Fuel Sub Calcs-Deemed'!X655,'Device Refrigerant Leakage'!$B$2:$B$42,0))))</f>
        <v/>
      </c>
      <c r="DM655" s="56">
        <v>641</v>
      </c>
      <c r="DN655" s="67" t="e">
        <f t="shared" ref="DN655:DN718" si="806">(CB655*BX655+BY655*CE655)/10^6+IF($W655=MAT_AR,(BZ655*CD655+CA655*CE655)/10^6,0)</f>
        <v>#N/A</v>
      </c>
      <c r="DO655" s="45" t="e">
        <f t="shared" ref="DO655:DO718" si="807">IF(BP655,"PASS","FAIL")</f>
        <v>#N/A</v>
      </c>
      <c r="DP655" s="67" t="e">
        <f t="shared" ref="DP655:DP718" si="808">(DT655+DU655+DV655)</f>
        <v>#N/A</v>
      </c>
      <c r="DQ655" s="45" t="e">
        <f t="shared" ref="DQ655:DQ718" si="809">IF(BQ655,"PASS","FAIL")</f>
        <v>#N/A</v>
      </c>
      <c r="DR655" s="69" t="e">
        <f t="shared" ref="DR655:DR718" si="810">IF(BR655,"Eligible","Not eligible")</f>
        <v>#N/A</v>
      </c>
      <c r="DS655" s="34"/>
      <c r="DT655" s="67" t="e">
        <f>((BX655*CJ655)+IF($W655=MAT_AR,(BZ655*CL655),0))*(1+Reference!$E$50+Reference!$E$51)</f>
        <v>#N/A</v>
      </c>
      <c r="DU655" s="67">
        <f>((BY655*CK655)+IF($W655=MAT_AR,(CA655*CM655),0))*(1+Reference!$G$50+Reference!$G$51)</f>
        <v>0</v>
      </c>
      <c r="DV655" s="67" t="e">
        <f t="shared" ref="DV655:DV718" si="811">IF(W655="NR",CU655-DC655,(CU655+DK655)-DC655)</f>
        <v>#VALUE!</v>
      </c>
      <c r="DX655" s="56">
        <v>641</v>
      </c>
      <c r="DY655" s="67">
        <f t="shared" ref="DY655:DY718" si="812">(Btu_per_kWh*BT655+Btu_therm*BU655)/10^6</f>
        <v>0</v>
      </c>
      <c r="DZ655" s="45" t="e">
        <f>VLOOKUP($R655,Dropdown!$C$3:$D$4,2,FALSE)</f>
        <v>#N/A</v>
      </c>
      <c r="EA655" s="68">
        <f t="shared" ref="EA655:EA718" si="813">IF($R655=fuel_electricity,$DY655*10^6/Btu_per_kWh,0)</f>
        <v>0</v>
      </c>
      <c r="EB655" s="68" t="str">
        <f t="shared" ref="EB655:EB718" si="814">IF($R655=fuel_natural_gas,$DY655/MMBtu_per_therm,"N/A")</f>
        <v>N/A</v>
      </c>
      <c r="EC655" s="68">
        <f t="shared" ref="EC655:EC718" si="815">IF($R655=fuel_electricity,"N/A",AJ655)</f>
        <v>0</v>
      </c>
      <c r="ED655" s="68" t="str">
        <f t="shared" si="785"/>
        <v>N/A</v>
      </c>
      <c r="EF655" s="56">
        <v>641</v>
      </c>
      <c r="EG655" s="46">
        <f t="shared" ref="EG655:EG718" si="816">J655</f>
        <v>0</v>
      </c>
      <c r="EH655" s="68" t="e">
        <f t="shared" ref="EH655:EH718" si="817">IF($BR655,BE655,0)</f>
        <v>#N/A</v>
      </c>
      <c r="EI655" s="68" t="e">
        <f t="shared" ref="EI655:EI718" si="818">IF($BR655,BF655,0)</f>
        <v>#N/A</v>
      </c>
      <c r="EJ655" s="68" t="e">
        <f t="shared" ref="EJ655:EJ718" si="819">IF($BR655,BM655,0)</f>
        <v>#N/A</v>
      </c>
      <c r="EK655" s="68" t="e">
        <f t="shared" ref="EK655:EK718" si="820">IF($BR655,BN655,0)</f>
        <v>#N/A</v>
      </c>
      <c r="EL655" s="46">
        <f t="shared" ref="EL655:EL718" si="821">K655</f>
        <v>0</v>
      </c>
      <c r="EM655" s="46">
        <f t="shared" ref="EM655:EM718" si="822">AV655</f>
        <v>0</v>
      </c>
    </row>
    <row r="656" spans="1:143">
      <c r="A656" s="89"/>
      <c r="B656" s="89"/>
      <c r="C656" s="89"/>
      <c r="D656" s="89"/>
      <c r="E656" s="89"/>
      <c r="F656" s="89"/>
      <c r="G656" s="34"/>
      <c r="H656" s="56">
        <f t="shared" ref="H656:H719" si="823">ROW($H656)-ROW($H$14)</f>
        <v>642</v>
      </c>
      <c r="I656" s="165"/>
      <c r="J656" s="163"/>
      <c r="K656" s="163"/>
      <c r="L656" s="164"/>
      <c r="M656" s="155"/>
      <c r="N656" s="155"/>
      <c r="O656" s="144"/>
      <c r="P656" s="159" t="str">
        <f>IFERROR(IF(O656&lt;&gt;"User Specified",IF(O656&lt;&gt;"", INDEX('Refrigerant GWPs'!$G$2:$G$154,MATCH(O656,'Refrigerant GWPs'!$A$2:$A$154,0)),""),U656),0)</f>
        <v/>
      </c>
      <c r="Q656" s="155"/>
      <c r="R656" s="155"/>
      <c r="S656" s="144"/>
      <c r="T656" s="159" t="str">
        <f>IF(S656&lt;&gt;"User Specified",IF(AND(S656&lt;&gt;"User Specified",S656&lt;&gt;""), INDEX('Refrigerant GWPs'!$G$2:$G$154,MATCH(S656,'Refrigerant GWPs'!$A$2:$A$154,0)),""),V656)</f>
        <v/>
      </c>
      <c r="U656" s="144"/>
      <c r="V656" s="144"/>
      <c r="W656" s="155"/>
      <c r="X656" s="155"/>
      <c r="Y656" s="144"/>
      <c r="Z656" s="159" t="str">
        <f>IF(AND(Y656&lt;&gt;"User Specified",Y656&lt;&gt;""), INDEX('Refrigerant GWPs'!$G$2:$G$154,MATCH(Y656,'Refrigerant GWPs'!$A$2:$A$154,0)),"")</f>
        <v/>
      </c>
      <c r="AA656" s="155"/>
      <c r="AB656" s="156"/>
      <c r="AC656" s="66"/>
      <c r="AD656" s="66"/>
      <c r="AE656" s="66"/>
      <c r="AF656" s="66"/>
      <c r="AG656" s="66"/>
      <c r="AH656" s="66"/>
      <c r="AI656" s="34"/>
      <c r="AJ656" s="88">
        <f t="shared" si="786"/>
        <v>0</v>
      </c>
      <c r="AK656" s="88">
        <f t="shared" si="787"/>
        <v>0</v>
      </c>
      <c r="AL656" s="88">
        <v>0</v>
      </c>
      <c r="AM656" s="88">
        <v>0</v>
      </c>
      <c r="AN656" s="81" t="str">
        <f t="shared" si="757"/>
        <v/>
      </c>
      <c r="AO656" s="88">
        <f t="shared" si="788"/>
        <v>0</v>
      </c>
      <c r="AP656" s="88">
        <f t="shared" si="789"/>
        <v>0</v>
      </c>
      <c r="AQ656" s="81" t="str">
        <f t="shared" si="790"/>
        <v/>
      </c>
      <c r="AS656" s="41" t="b">
        <f t="shared" si="791"/>
        <v>1</v>
      </c>
      <c r="AT656" s="38">
        <f t="shared" si="792"/>
        <v>0</v>
      </c>
      <c r="AU656" s="60">
        <f t="shared" si="793"/>
        <v>0</v>
      </c>
      <c r="AV656" s="41">
        <f t="shared" si="794"/>
        <v>0</v>
      </c>
      <c r="AW656" s="41" t="b">
        <f t="shared" si="795"/>
        <v>0</v>
      </c>
      <c r="AX656" t="str">
        <f t="shared" si="796"/>
        <v>+00</v>
      </c>
      <c r="AY656" t="str">
        <f t="shared" si="797"/>
        <v>+00</v>
      </c>
      <c r="BA656" s="47" t="b">
        <f t="shared" si="758"/>
        <v>1</v>
      </c>
      <c r="BB656" s="42" t="b">
        <f t="shared" si="759"/>
        <v>1</v>
      </c>
      <c r="BC656" s="42" t="b">
        <f t="shared" si="760"/>
        <v>0</v>
      </c>
      <c r="BD656" s="42" t="b">
        <f t="shared" si="761"/>
        <v>0</v>
      </c>
      <c r="BE656" s="70">
        <f t="shared" si="762"/>
        <v>0</v>
      </c>
      <c r="BF656" s="70">
        <f t="shared" si="763"/>
        <v>0</v>
      </c>
      <c r="BG656" s="34"/>
      <c r="BI656" s="47" t="b">
        <f t="shared" si="764"/>
        <v>1</v>
      </c>
      <c r="BJ656" s="47" t="b">
        <f t="shared" si="765"/>
        <v>1</v>
      </c>
      <c r="BK656" s="42" t="b">
        <f t="shared" si="766"/>
        <v>0</v>
      </c>
      <c r="BL656" s="42" t="b">
        <f t="shared" si="767"/>
        <v>0</v>
      </c>
      <c r="BM656" s="42">
        <f t="shared" si="768"/>
        <v>0</v>
      </c>
      <c r="BN656" s="42">
        <f t="shared" si="769"/>
        <v>0</v>
      </c>
      <c r="BP656" t="e">
        <f t="shared" si="770"/>
        <v>#N/A</v>
      </c>
      <c r="BQ656" t="e">
        <f t="shared" si="771"/>
        <v>#N/A</v>
      </c>
      <c r="BR656" t="e">
        <f t="shared" si="772"/>
        <v>#N/A</v>
      </c>
      <c r="BT656" s="60">
        <f t="shared" si="773"/>
        <v>0</v>
      </c>
      <c r="BU656" s="60">
        <f t="shared" si="774"/>
        <v>0</v>
      </c>
      <c r="BV656" s="60">
        <f t="shared" si="775"/>
        <v>0</v>
      </c>
      <c r="BW656" s="60">
        <f t="shared" si="776"/>
        <v>0</v>
      </c>
      <c r="BX656" s="60">
        <f t="shared" si="777"/>
        <v>0</v>
      </c>
      <c r="BY656" s="60">
        <f t="shared" si="778"/>
        <v>0</v>
      </c>
      <c r="BZ656" s="60">
        <f t="shared" si="779"/>
        <v>0</v>
      </c>
      <c r="CA656" s="60">
        <f t="shared" si="780"/>
        <v>0</v>
      </c>
      <c r="CB656" s="60" t="e">
        <f t="shared" si="798"/>
        <v>#N/A</v>
      </c>
      <c r="CC656" s="60">
        <f t="shared" si="799"/>
        <v>100000</v>
      </c>
      <c r="CD656" s="60" t="e">
        <f t="shared" si="800"/>
        <v>#N/A</v>
      </c>
      <c r="CE656" s="60">
        <f t="shared" si="801"/>
        <v>100000</v>
      </c>
      <c r="CF656" s="83" t="e">
        <f t="shared" si="781"/>
        <v>#N/A</v>
      </c>
      <c r="CG656" s="83">
        <f t="shared" si="782"/>
        <v>0</v>
      </c>
      <c r="CH656" s="83" t="e">
        <f t="shared" si="783"/>
        <v>#N/A</v>
      </c>
      <c r="CI656" s="83">
        <f t="shared" si="784"/>
        <v>0</v>
      </c>
      <c r="CJ656" s="86" t="e">
        <f t="shared" si="802"/>
        <v>#N/A</v>
      </c>
      <c r="CK656" s="82">
        <f t="shared" si="803"/>
        <v>5.3070370403969858E-3</v>
      </c>
      <c r="CL656" s="82" t="e">
        <f t="shared" si="804"/>
        <v>#N/A</v>
      </c>
      <c r="CM656" s="82">
        <f t="shared" si="805"/>
        <v>5.3070370403969858E-3</v>
      </c>
      <c r="CO656" s="149" t="str">
        <f>IF($I656&lt;&gt;"",IF(O656="User Specified",U656,INDEX('Refrigerant GWPs'!$G$2:$G$156,MATCH(O656,'Refrigerant GWPs'!$A$2:$A$156,0))),"")</f>
        <v/>
      </c>
      <c r="CP656" s="138" t="str">
        <f>IF($I656&lt;&gt;"",INDEX('Device Refrigerant Leakage'!$E$2:$E$42,MATCH($M656,'Device Refrigerant Leakage'!$B$2:$B$42,0)),"")</f>
        <v/>
      </c>
      <c r="CQ656" s="138" t="str">
        <f>IF($I656&lt;&gt;"",INDEX('Device Refrigerant Leakage'!$F$2:$F$42,MATCH($M656,'Device Refrigerant Leakage'!$B$2:$B$42,0)),"")</f>
        <v/>
      </c>
      <c r="CR656" s="145" t="str">
        <f>IF($I656&lt;&gt;"",INDEX('Device Refrigerant Leakage'!$G$2:$G$42,MATCH($M656,'Device Refrigerant Leakage'!$B$2:$B$42,0)),"")</f>
        <v/>
      </c>
      <c r="CS656" s="145" t="str">
        <f>IF($I656&lt;&gt;"",INDEX('Device Refrigerant Leakage'!$D$2:$D$42,MATCH($M656,'Device Refrigerant Leakage'!$B$2:$B$42,0))*CP656/2204.62*CO656,"")</f>
        <v/>
      </c>
      <c r="CT656" s="145" t="str">
        <f>IF($I656&lt;&gt;"",J656*(INDEX('Device Refrigerant Leakage'!$D$2:$D$42,MATCH($M656,'Device Refrigerant Leakage'!$B$2:$B$42,0))-(INDEX('Device Refrigerant Leakage'!$D$2:$D$42,MATCH($M656,'Device Refrigerant Leakage'!$B$2:$B$42,0)))*CR656*CP656)*CQ656/2204.62*CO656,"")</f>
        <v/>
      </c>
      <c r="CU656" s="135" t="str">
        <f>IF($I656&lt;&gt;"",J656*IF(W656&lt;&gt;"AR",(CS656*K656)+CT656,(CS656*AB656)+CT656*(AB656/INDEX('Device Refrigerant Leakage'!$C$2:$C$42,MATCH($M656,'Device Refrigerant Leakage'!$B$2:$B$42,0)))),"")</f>
        <v/>
      </c>
      <c r="CW656" s="135" t="str">
        <f>IF($I656&lt;&gt;"",IF(S656="User Specified",V656,INDEX('Refrigerant GWPs'!$G$2:$G$156,MATCH(S656,'Refrigerant GWPs'!$A$2:$A$157,0))),"")</f>
        <v/>
      </c>
      <c r="CX656" s="138" t="str">
        <f>IF($I656&lt;&gt;"",INDEX('Device Refrigerant Leakage'!$E$2:$E$42,MATCH($Q656,'Device Refrigerant Leakage'!$B$2:$B$42,0)),"")</f>
        <v/>
      </c>
      <c r="CY656" s="138" t="str">
        <f>IF($I656&lt;&gt;"",INDEX('Device Refrigerant Leakage'!$F$2:$F$42,MATCH($Q656,'Device Refrigerant Leakage'!$B$2:$B$42,0)),"")</f>
        <v/>
      </c>
      <c r="CZ656" s="145" t="str">
        <f>IF($I656&lt;&gt;"",INDEX('Device Refrigerant Leakage'!$G$2:$G$42,MATCH($Q656,'Device Refrigerant Leakage'!$B$2:$B$42,0)),"")</f>
        <v/>
      </c>
      <c r="DA656" s="145" t="str">
        <f>IF($I656&lt;&gt;"",J656*INDEX('Device Refrigerant Leakage'!$D$2:$D$42,MATCH($Q656,'Device Refrigerant Leakage'!$B$2:$B$42,0))*CX656/2204.62*CW656,"")</f>
        <v/>
      </c>
      <c r="DB656" s="145" t="str">
        <f>IF($I656&lt;&gt;"",J656*(INDEX('Device Refrigerant Leakage'!$D$2:$D$42,MATCH($Q656,'Device Refrigerant Leakage'!$B$2:$B$42,0))-(INDEX('Device Refrigerant Leakage'!$D$2:$D$42,MATCH($Q656,'Device Refrigerant Leakage'!$B$2:$B$42,0)))*CZ656*CX656)*CY656/2204.62*CW656,"")</f>
        <v/>
      </c>
      <c r="DC656" s="135" t="str">
        <f t="shared" ref="DC656:DC719" si="824">IF($I656&lt;&gt;"",(DA656*K656)+DB656,"")</f>
        <v/>
      </c>
      <c r="DE656" s="146" t="str">
        <f>IF(W656&lt;&gt;"AR","",IF(Y656="User Specified", AA656, INDEX('Refrigerant GWPs'!$G$2:$G$154,MATCH(Y656,'Refrigerant GWPs'!$A$2:$A$154,0))))</f>
        <v/>
      </c>
      <c r="DF656" s="146" t="str">
        <f>IF(W656&lt;&gt;"AR","",INDEX('Device Refrigerant Leakage'!$E$2:$E$42,MATCH(X656,'Device Refrigerant Leakage'!$B$2:$B$42,0)))</f>
        <v/>
      </c>
      <c r="DG656" s="146" t="str">
        <f>IF(W656&lt;&gt;"AR","",INDEX('Device Refrigerant Leakage'!$F$2:$F$42,MATCH(X656,'Device Refrigerant Leakage'!$B$2:$B$42,0)))</f>
        <v/>
      </c>
      <c r="DH656" s="146" t="str">
        <f>IF(W656&lt;&gt;"AR","",INDEX('Device Refrigerant Leakage'!$G$2:$G$42,MATCH(X656,'Device Refrigerant Leakage'!$B$2:$B$42,0)))</f>
        <v/>
      </c>
      <c r="DI656" s="146" t="str">
        <f>IF(W656&lt;&gt;"AR","",J656*INDEX('Device Refrigerant Leakage'!$D$2:$D$42,MATCH(X656,'Device Refrigerant Leakage'!$B$2:$B$42,0))*DF656/2204.62*DE656)</f>
        <v/>
      </c>
      <c r="DJ656" s="146" t="str">
        <f>IF(W656&lt;&gt;"AR","",J656*(INDEX('Device Refrigerant Leakage'!$D$2:$D$42,MATCH(X656,'Device Refrigerant Leakage'!$B$2:$B$42,0))-(INDEX('Device Refrigerant Leakage'!$D$2:$D$42,MATCH(X656,'Device Refrigerant Leakage'!$B$2:$B$42,0)))*DH656*DF656)*DG656/2204.62*DE656)</f>
        <v/>
      </c>
      <c r="DK656" s="146" t="str">
        <f>IF(W656&lt;&gt;"AR","",DI656*(K656-AB656)+'Fuel Sub Calcs-Deemed'!DJ656*((K656-AB656)/INDEX('Device Refrigerant Leakage'!$C$2:$C$42,MATCH('Fuel Sub Calcs-Deemed'!X656,'Device Refrigerant Leakage'!$B$2:$B$42,0))))</f>
        <v/>
      </c>
      <c r="DM656" s="56">
        <v>642</v>
      </c>
      <c r="DN656" s="67" t="e">
        <f t="shared" si="806"/>
        <v>#N/A</v>
      </c>
      <c r="DO656" s="45" t="e">
        <f t="shared" si="807"/>
        <v>#N/A</v>
      </c>
      <c r="DP656" s="67" t="e">
        <f t="shared" si="808"/>
        <v>#N/A</v>
      </c>
      <c r="DQ656" s="45" t="e">
        <f t="shared" si="809"/>
        <v>#N/A</v>
      </c>
      <c r="DR656" s="69" t="e">
        <f t="shared" si="810"/>
        <v>#N/A</v>
      </c>
      <c r="DS656" s="34"/>
      <c r="DT656" s="67" t="e">
        <f>((BX656*CJ656)+IF($W656=MAT_AR,(BZ656*CL656),0))*(1+Reference!$E$50+Reference!$E$51)</f>
        <v>#N/A</v>
      </c>
      <c r="DU656" s="67">
        <f>((BY656*CK656)+IF($W656=MAT_AR,(CA656*CM656),0))*(1+Reference!$G$50+Reference!$G$51)</f>
        <v>0</v>
      </c>
      <c r="DV656" s="67" t="e">
        <f t="shared" si="811"/>
        <v>#VALUE!</v>
      </c>
      <c r="DX656" s="56">
        <v>642</v>
      </c>
      <c r="DY656" s="67">
        <f t="shared" si="812"/>
        <v>0</v>
      </c>
      <c r="DZ656" s="45" t="e">
        <f>VLOOKUP($R656,Dropdown!$C$3:$D$4,2,FALSE)</f>
        <v>#N/A</v>
      </c>
      <c r="EA656" s="68">
        <f t="shared" si="813"/>
        <v>0</v>
      </c>
      <c r="EB656" s="68" t="str">
        <f t="shared" si="814"/>
        <v>N/A</v>
      </c>
      <c r="EC656" s="68">
        <f t="shared" si="815"/>
        <v>0</v>
      </c>
      <c r="ED656" s="68" t="str">
        <f t="shared" si="785"/>
        <v>N/A</v>
      </c>
      <c r="EF656" s="56">
        <v>642</v>
      </c>
      <c r="EG656" s="46">
        <f t="shared" si="816"/>
        <v>0</v>
      </c>
      <c r="EH656" s="68" t="e">
        <f t="shared" si="817"/>
        <v>#N/A</v>
      </c>
      <c r="EI656" s="68" t="e">
        <f t="shared" si="818"/>
        <v>#N/A</v>
      </c>
      <c r="EJ656" s="68" t="e">
        <f t="shared" si="819"/>
        <v>#N/A</v>
      </c>
      <c r="EK656" s="68" t="e">
        <f t="shared" si="820"/>
        <v>#N/A</v>
      </c>
      <c r="EL656" s="46">
        <f t="shared" si="821"/>
        <v>0</v>
      </c>
      <c r="EM656" s="46">
        <f t="shared" si="822"/>
        <v>0</v>
      </c>
    </row>
    <row r="657" spans="1:143">
      <c r="A657" s="89"/>
      <c r="B657" s="89"/>
      <c r="C657" s="89"/>
      <c r="D657" s="89"/>
      <c r="E657" s="89"/>
      <c r="F657" s="89"/>
      <c r="G657" s="34"/>
      <c r="H657" s="56">
        <f t="shared" si="823"/>
        <v>643</v>
      </c>
      <c r="I657" s="165"/>
      <c r="J657" s="163"/>
      <c r="K657" s="163"/>
      <c r="L657" s="164"/>
      <c r="M657" s="155"/>
      <c r="N657" s="155"/>
      <c r="O657" s="144"/>
      <c r="P657" s="159" t="str">
        <f>IFERROR(IF(O657&lt;&gt;"User Specified",IF(O657&lt;&gt;"", INDEX('Refrigerant GWPs'!$G$2:$G$154,MATCH(O657,'Refrigerant GWPs'!$A$2:$A$154,0)),""),U657),0)</f>
        <v/>
      </c>
      <c r="Q657" s="155"/>
      <c r="R657" s="155"/>
      <c r="S657" s="144"/>
      <c r="T657" s="159" t="str">
        <f>IF(S657&lt;&gt;"User Specified",IF(AND(S657&lt;&gt;"User Specified",S657&lt;&gt;""), INDEX('Refrigerant GWPs'!$G$2:$G$154,MATCH(S657,'Refrigerant GWPs'!$A$2:$A$154,0)),""),V657)</f>
        <v/>
      </c>
      <c r="U657" s="144"/>
      <c r="V657" s="144"/>
      <c r="W657" s="155"/>
      <c r="X657" s="155"/>
      <c r="Y657" s="144"/>
      <c r="Z657" s="159" t="str">
        <f>IF(AND(Y657&lt;&gt;"User Specified",Y657&lt;&gt;""), INDEX('Refrigerant GWPs'!$G$2:$G$154,MATCH(Y657,'Refrigerant GWPs'!$A$2:$A$154,0)),"")</f>
        <v/>
      </c>
      <c r="AA657" s="155"/>
      <c r="AB657" s="156"/>
      <c r="AC657" s="66"/>
      <c r="AD657" s="66"/>
      <c r="AE657" s="66"/>
      <c r="AF657" s="66"/>
      <c r="AG657" s="66"/>
      <c r="AH657" s="66"/>
      <c r="AI657" s="34"/>
      <c r="AJ657" s="88">
        <f t="shared" si="786"/>
        <v>0</v>
      </c>
      <c r="AK657" s="88">
        <f t="shared" si="787"/>
        <v>0</v>
      </c>
      <c r="AL657" s="88">
        <v>0</v>
      </c>
      <c r="AM657" s="88">
        <v>0</v>
      </c>
      <c r="AN657" s="81" t="str">
        <f t="shared" si="757"/>
        <v/>
      </c>
      <c r="AO657" s="88">
        <f t="shared" si="788"/>
        <v>0</v>
      </c>
      <c r="AP657" s="88">
        <f t="shared" si="789"/>
        <v>0</v>
      </c>
      <c r="AQ657" s="81" t="str">
        <f t="shared" si="790"/>
        <v/>
      </c>
      <c r="AS657" s="41" t="b">
        <f t="shared" si="791"/>
        <v>1</v>
      </c>
      <c r="AT657" s="38">
        <f t="shared" si="792"/>
        <v>0</v>
      </c>
      <c r="AU657" s="60">
        <f t="shared" si="793"/>
        <v>0</v>
      </c>
      <c r="AV657" s="41">
        <f t="shared" si="794"/>
        <v>0</v>
      </c>
      <c r="AW657" s="41" t="b">
        <f t="shared" si="795"/>
        <v>0</v>
      </c>
      <c r="AX657" t="str">
        <f t="shared" si="796"/>
        <v>+00</v>
      </c>
      <c r="AY657" t="str">
        <f t="shared" si="797"/>
        <v>+00</v>
      </c>
      <c r="BA657" s="47" t="b">
        <f t="shared" si="758"/>
        <v>1</v>
      </c>
      <c r="BB657" s="42" t="b">
        <f t="shared" si="759"/>
        <v>1</v>
      </c>
      <c r="BC657" s="42" t="b">
        <f t="shared" si="760"/>
        <v>0</v>
      </c>
      <c r="BD657" s="42" t="b">
        <f t="shared" si="761"/>
        <v>0</v>
      </c>
      <c r="BE657" s="70">
        <f t="shared" si="762"/>
        <v>0</v>
      </c>
      <c r="BF657" s="70">
        <f t="shared" si="763"/>
        <v>0</v>
      </c>
      <c r="BG657" s="34"/>
      <c r="BI657" s="47" t="b">
        <f t="shared" si="764"/>
        <v>1</v>
      </c>
      <c r="BJ657" s="47" t="b">
        <f t="shared" si="765"/>
        <v>1</v>
      </c>
      <c r="BK657" s="42" t="b">
        <f t="shared" si="766"/>
        <v>0</v>
      </c>
      <c r="BL657" s="42" t="b">
        <f t="shared" si="767"/>
        <v>0</v>
      </c>
      <c r="BM657" s="42">
        <f t="shared" si="768"/>
        <v>0</v>
      </c>
      <c r="BN657" s="42">
        <f t="shared" si="769"/>
        <v>0</v>
      </c>
      <c r="BP657" t="e">
        <f t="shared" si="770"/>
        <v>#N/A</v>
      </c>
      <c r="BQ657" t="e">
        <f t="shared" si="771"/>
        <v>#N/A</v>
      </c>
      <c r="BR657" t="e">
        <f t="shared" si="772"/>
        <v>#N/A</v>
      </c>
      <c r="BT657" s="60">
        <f t="shared" si="773"/>
        <v>0</v>
      </c>
      <c r="BU657" s="60">
        <f t="shared" si="774"/>
        <v>0</v>
      </c>
      <c r="BV657" s="60">
        <f t="shared" si="775"/>
        <v>0</v>
      </c>
      <c r="BW657" s="60">
        <f t="shared" si="776"/>
        <v>0</v>
      </c>
      <c r="BX657" s="60">
        <f t="shared" si="777"/>
        <v>0</v>
      </c>
      <c r="BY657" s="60">
        <f t="shared" si="778"/>
        <v>0</v>
      </c>
      <c r="BZ657" s="60">
        <f t="shared" si="779"/>
        <v>0</v>
      </c>
      <c r="CA657" s="60">
        <f t="shared" si="780"/>
        <v>0</v>
      </c>
      <c r="CB657" s="60" t="e">
        <f t="shared" si="798"/>
        <v>#N/A</v>
      </c>
      <c r="CC657" s="60">
        <f t="shared" si="799"/>
        <v>100000</v>
      </c>
      <c r="CD657" s="60" t="e">
        <f t="shared" si="800"/>
        <v>#N/A</v>
      </c>
      <c r="CE657" s="60">
        <f t="shared" si="801"/>
        <v>100000</v>
      </c>
      <c r="CF657" s="83" t="e">
        <f t="shared" si="781"/>
        <v>#N/A</v>
      </c>
      <c r="CG657" s="83">
        <f t="shared" si="782"/>
        <v>0</v>
      </c>
      <c r="CH657" s="83" t="e">
        <f t="shared" si="783"/>
        <v>#N/A</v>
      </c>
      <c r="CI657" s="83">
        <f t="shared" si="784"/>
        <v>0</v>
      </c>
      <c r="CJ657" s="86" t="e">
        <f t="shared" si="802"/>
        <v>#N/A</v>
      </c>
      <c r="CK657" s="82">
        <f t="shared" si="803"/>
        <v>5.3070370403969858E-3</v>
      </c>
      <c r="CL657" s="82" t="e">
        <f t="shared" si="804"/>
        <v>#N/A</v>
      </c>
      <c r="CM657" s="82">
        <f t="shared" si="805"/>
        <v>5.3070370403969858E-3</v>
      </c>
      <c r="CO657" s="149" t="str">
        <f>IF($I657&lt;&gt;"",IF(O657="User Specified",U657,INDEX('Refrigerant GWPs'!$G$2:$G$156,MATCH(O657,'Refrigerant GWPs'!$A$2:$A$156,0))),"")</f>
        <v/>
      </c>
      <c r="CP657" s="138" t="str">
        <f>IF($I657&lt;&gt;"",INDEX('Device Refrigerant Leakage'!$E$2:$E$42,MATCH($M657,'Device Refrigerant Leakage'!$B$2:$B$42,0)),"")</f>
        <v/>
      </c>
      <c r="CQ657" s="138" t="str">
        <f>IF($I657&lt;&gt;"",INDEX('Device Refrigerant Leakage'!$F$2:$F$42,MATCH($M657,'Device Refrigerant Leakage'!$B$2:$B$42,0)),"")</f>
        <v/>
      </c>
      <c r="CR657" s="145" t="str">
        <f>IF($I657&lt;&gt;"",INDEX('Device Refrigerant Leakage'!$G$2:$G$42,MATCH($M657,'Device Refrigerant Leakage'!$B$2:$B$42,0)),"")</f>
        <v/>
      </c>
      <c r="CS657" s="145" t="str">
        <f>IF($I657&lt;&gt;"",INDEX('Device Refrigerant Leakage'!$D$2:$D$42,MATCH($M657,'Device Refrigerant Leakage'!$B$2:$B$42,0))*CP657/2204.62*CO657,"")</f>
        <v/>
      </c>
      <c r="CT657" s="145" t="str">
        <f>IF($I657&lt;&gt;"",J657*(INDEX('Device Refrigerant Leakage'!$D$2:$D$42,MATCH($M657,'Device Refrigerant Leakage'!$B$2:$B$42,0))-(INDEX('Device Refrigerant Leakage'!$D$2:$D$42,MATCH($M657,'Device Refrigerant Leakage'!$B$2:$B$42,0)))*CR657*CP657)*CQ657/2204.62*CO657,"")</f>
        <v/>
      </c>
      <c r="CU657" s="135" t="str">
        <f>IF($I657&lt;&gt;"",J657*IF(W657&lt;&gt;"AR",(CS657*K657)+CT657,(CS657*AB657)+CT657*(AB657/INDEX('Device Refrigerant Leakage'!$C$2:$C$42,MATCH($M657,'Device Refrigerant Leakage'!$B$2:$B$42,0)))),"")</f>
        <v/>
      </c>
      <c r="CW657" s="135" t="str">
        <f>IF($I657&lt;&gt;"",IF(S657="User Specified",V657,INDEX('Refrigerant GWPs'!$G$2:$G$156,MATCH(S657,'Refrigerant GWPs'!$A$2:$A$157,0))),"")</f>
        <v/>
      </c>
      <c r="CX657" s="138" t="str">
        <f>IF($I657&lt;&gt;"",INDEX('Device Refrigerant Leakage'!$E$2:$E$42,MATCH($Q657,'Device Refrigerant Leakage'!$B$2:$B$42,0)),"")</f>
        <v/>
      </c>
      <c r="CY657" s="138" t="str">
        <f>IF($I657&lt;&gt;"",INDEX('Device Refrigerant Leakage'!$F$2:$F$42,MATCH($Q657,'Device Refrigerant Leakage'!$B$2:$B$42,0)),"")</f>
        <v/>
      </c>
      <c r="CZ657" s="145" t="str">
        <f>IF($I657&lt;&gt;"",INDEX('Device Refrigerant Leakage'!$G$2:$G$42,MATCH($Q657,'Device Refrigerant Leakage'!$B$2:$B$42,0)),"")</f>
        <v/>
      </c>
      <c r="DA657" s="145" t="str">
        <f>IF($I657&lt;&gt;"",J657*INDEX('Device Refrigerant Leakage'!$D$2:$D$42,MATCH($Q657,'Device Refrigerant Leakage'!$B$2:$B$42,0))*CX657/2204.62*CW657,"")</f>
        <v/>
      </c>
      <c r="DB657" s="145" t="str">
        <f>IF($I657&lt;&gt;"",J657*(INDEX('Device Refrigerant Leakage'!$D$2:$D$42,MATCH($Q657,'Device Refrigerant Leakage'!$B$2:$B$42,0))-(INDEX('Device Refrigerant Leakage'!$D$2:$D$42,MATCH($Q657,'Device Refrigerant Leakage'!$B$2:$B$42,0)))*CZ657*CX657)*CY657/2204.62*CW657,"")</f>
        <v/>
      </c>
      <c r="DC657" s="135" t="str">
        <f t="shared" si="824"/>
        <v/>
      </c>
      <c r="DE657" s="146" t="str">
        <f>IF(W657&lt;&gt;"AR","",IF(Y657="User Specified", AA657, INDEX('Refrigerant GWPs'!$G$2:$G$154,MATCH(Y657,'Refrigerant GWPs'!$A$2:$A$154,0))))</f>
        <v/>
      </c>
      <c r="DF657" s="146" t="str">
        <f>IF(W657&lt;&gt;"AR","",INDEX('Device Refrigerant Leakage'!$E$2:$E$42,MATCH(X657,'Device Refrigerant Leakage'!$B$2:$B$42,0)))</f>
        <v/>
      </c>
      <c r="DG657" s="146" t="str">
        <f>IF(W657&lt;&gt;"AR","",INDEX('Device Refrigerant Leakage'!$F$2:$F$42,MATCH(X657,'Device Refrigerant Leakage'!$B$2:$B$42,0)))</f>
        <v/>
      </c>
      <c r="DH657" s="146" t="str">
        <f>IF(W657&lt;&gt;"AR","",INDEX('Device Refrigerant Leakage'!$G$2:$G$42,MATCH(X657,'Device Refrigerant Leakage'!$B$2:$B$42,0)))</f>
        <v/>
      </c>
      <c r="DI657" s="146" t="str">
        <f>IF(W657&lt;&gt;"AR","",J657*INDEX('Device Refrigerant Leakage'!$D$2:$D$42,MATCH(X657,'Device Refrigerant Leakage'!$B$2:$B$42,0))*DF657/2204.62*DE657)</f>
        <v/>
      </c>
      <c r="DJ657" s="146" t="str">
        <f>IF(W657&lt;&gt;"AR","",J657*(INDEX('Device Refrigerant Leakage'!$D$2:$D$42,MATCH(X657,'Device Refrigerant Leakage'!$B$2:$B$42,0))-(INDEX('Device Refrigerant Leakage'!$D$2:$D$42,MATCH(X657,'Device Refrigerant Leakage'!$B$2:$B$42,0)))*DH657*DF657)*DG657/2204.62*DE657)</f>
        <v/>
      </c>
      <c r="DK657" s="146" t="str">
        <f>IF(W657&lt;&gt;"AR","",DI657*(K657-AB657)+'Fuel Sub Calcs-Deemed'!DJ657*((K657-AB657)/INDEX('Device Refrigerant Leakage'!$C$2:$C$42,MATCH('Fuel Sub Calcs-Deemed'!X657,'Device Refrigerant Leakage'!$B$2:$B$42,0))))</f>
        <v/>
      </c>
      <c r="DM657" s="56">
        <v>643</v>
      </c>
      <c r="DN657" s="67" t="e">
        <f t="shared" si="806"/>
        <v>#N/A</v>
      </c>
      <c r="DO657" s="45" t="e">
        <f t="shared" si="807"/>
        <v>#N/A</v>
      </c>
      <c r="DP657" s="67" t="e">
        <f t="shared" si="808"/>
        <v>#N/A</v>
      </c>
      <c r="DQ657" s="45" t="e">
        <f t="shared" si="809"/>
        <v>#N/A</v>
      </c>
      <c r="DR657" s="69" t="e">
        <f t="shared" si="810"/>
        <v>#N/A</v>
      </c>
      <c r="DS657" s="34"/>
      <c r="DT657" s="67" t="e">
        <f>((BX657*CJ657)+IF($W657=MAT_AR,(BZ657*CL657),0))*(1+Reference!$E$50+Reference!$E$51)</f>
        <v>#N/A</v>
      </c>
      <c r="DU657" s="67">
        <f>((BY657*CK657)+IF($W657=MAT_AR,(CA657*CM657),0))*(1+Reference!$G$50+Reference!$G$51)</f>
        <v>0</v>
      </c>
      <c r="DV657" s="67" t="e">
        <f t="shared" si="811"/>
        <v>#VALUE!</v>
      </c>
      <c r="DX657" s="56">
        <v>643</v>
      </c>
      <c r="DY657" s="67">
        <f t="shared" si="812"/>
        <v>0</v>
      </c>
      <c r="DZ657" s="45" t="e">
        <f>VLOOKUP($R657,Dropdown!$C$3:$D$4,2,FALSE)</f>
        <v>#N/A</v>
      </c>
      <c r="EA657" s="68">
        <f t="shared" si="813"/>
        <v>0</v>
      </c>
      <c r="EB657" s="68" t="str">
        <f t="shared" si="814"/>
        <v>N/A</v>
      </c>
      <c r="EC657" s="68">
        <f t="shared" si="815"/>
        <v>0</v>
      </c>
      <c r="ED657" s="68" t="str">
        <f t="shared" si="785"/>
        <v>N/A</v>
      </c>
      <c r="EF657" s="56">
        <v>643</v>
      </c>
      <c r="EG657" s="46">
        <f t="shared" si="816"/>
        <v>0</v>
      </c>
      <c r="EH657" s="68" t="e">
        <f t="shared" si="817"/>
        <v>#N/A</v>
      </c>
      <c r="EI657" s="68" t="e">
        <f t="shared" si="818"/>
        <v>#N/A</v>
      </c>
      <c r="EJ657" s="68" t="e">
        <f t="shared" si="819"/>
        <v>#N/A</v>
      </c>
      <c r="EK657" s="68" t="e">
        <f t="shared" si="820"/>
        <v>#N/A</v>
      </c>
      <c r="EL657" s="46">
        <f t="shared" si="821"/>
        <v>0</v>
      </c>
      <c r="EM657" s="46">
        <f t="shared" si="822"/>
        <v>0</v>
      </c>
    </row>
    <row r="658" spans="1:143">
      <c r="A658" s="89"/>
      <c r="B658" s="89"/>
      <c r="C658" s="89"/>
      <c r="D658" s="89"/>
      <c r="E658" s="89"/>
      <c r="F658" s="89"/>
      <c r="G658" s="34"/>
      <c r="H658" s="56">
        <f t="shared" si="823"/>
        <v>644</v>
      </c>
      <c r="I658" s="165"/>
      <c r="J658" s="163"/>
      <c r="K658" s="163"/>
      <c r="L658" s="164"/>
      <c r="M658" s="155"/>
      <c r="N658" s="155"/>
      <c r="O658" s="144"/>
      <c r="P658" s="159" t="str">
        <f>IFERROR(IF(O658&lt;&gt;"User Specified",IF(O658&lt;&gt;"", INDEX('Refrigerant GWPs'!$G$2:$G$154,MATCH(O658,'Refrigerant GWPs'!$A$2:$A$154,0)),""),U658),0)</f>
        <v/>
      </c>
      <c r="Q658" s="155"/>
      <c r="R658" s="155"/>
      <c r="S658" s="144"/>
      <c r="T658" s="159" t="str">
        <f>IF(S658&lt;&gt;"User Specified",IF(AND(S658&lt;&gt;"User Specified",S658&lt;&gt;""), INDEX('Refrigerant GWPs'!$G$2:$G$154,MATCH(S658,'Refrigerant GWPs'!$A$2:$A$154,0)),""),V658)</f>
        <v/>
      </c>
      <c r="U658" s="144"/>
      <c r="V658" s="144"/>
      <c r="W658" s="155"/>
      <c r="X658" s="155"/>
      <c r="Y658" s="144"/>
      <c r="Z658" s="159" t="str">
        <f>IF(AND(Y658&lt;&gt;"User Specified",Y658&lt;&gt;""), INDEX('Refrigerant GWPs'!$G$2:$G$154,MATCH(Y658,'Refrigerant GWPs'!$A$2:$A$154,0)),"")</f>
        <v/>
      </c>
      <c r="AA658" s="155"/>
      <c r="AB658" s="156"/>
      <c r="AC658" s="66"/>
      <c r="AD658" s="66"/>
      <c r="AE658" s="66"/>
      <c r="AF658" s="66"/>
      <c r="AG658" s="66"/>
      <c r="AH658" s="66"/>
      <c r="AI658" s="34"/>
      <c r="AJ658" s="88">
        <f t="shared" si="786"/>
        <v>0</v>
      </c>
      <c r="AK658" s="88">
        <f t="shared" si="787"/>
        <v>0</v>
      </c>
      <c r="AL658" s="88">
        <v>0</v>
      </c>
      <c r="AM658" s="88">
        <v>0</v>
      </c>
      <c r="AN658" s="81" t="str">
        <f t="shared" si="757"/>
        <v/>
      </c>
      <c r="AO658" s="88">
        <f t="shared" si="788"/>
        <v>0</v>
      </c>
      <c r="AP658" s="88">
        <f t="shared" si="789"/>
        <v>0</v>
      </c>
      <c r="AQ658" s="81" t="str">
        <f t="shared" si="790"/>
        <v/>
      </c>
      <c r="AS658" s="41" t="b">
        <f t="shared" si="791"/>
        <v>1</v>
      </c>
      <c r="AT658" s="38">
        <f t="shared" si="792"/>
        <v>0</v>
      </c>
      <c r="AU658" s="60">
        <f t="shared" si="793"/>
        <v>0</v>
      </c>
      <c r="AV658" s="41">
        <f t="shared" si="794"/>
        <v>0</v>
      </c>
      <c r="AW658" s="41" t="b">
        <f t="shared" si="795"/>
        <v>0</v>
      </c>
      <c r="AX658" t="str">
        <f t="shared" si="796"/>
        <v>+00</v>
      </c>
      <c r="AY658" t="str">
        <f t="shared" si="797"/>
        <v>+00</v>
      </c>
      <c r="BA658" s="47" t="b">
        <f t="shared" si="758"/>
        <v>1</v>
      </c>
      <c r="BB658" s="42" t="b">
        <f t="shared" si="759"/>
        <v>1</v>
      </c>
      <c r="BC658" s="42" t="b">
        <f t="shared" si="760"/>
        <v>0</v>
      </c>
      <c r="BD658" s="42" t="b">
        <f t="shared" si="761"/>
        <v>0</v>
      </c>
      <c r="BE658" s="70">
        <f t="shared" si="762"/>
        <v>0</v>
      </c>
      <c r="BF658" s="70">
        <f t="shared" si="763"/>
        <v>0</v>
      </c>
      <c r="BG658" s="34"/>
      <c r="BI658" s="47" t="b">
        <f t="shared" si="764"/>
        <v>1</v>
      </c>
      <c r="BJ658" s="47" t="b">
        <f t="shared" si="765"/>
        <v>1</v>
      </c>
      <c r="BK658" s="42" t="b">
        <f t="shared" si="766"/>
        <v>0</v>
      </c>
      <c r="BL658" s="42" t="b">
        <f t="shared" si="767"/>
        <v>0</v>
      </c>
      <c r="BM658" s="42">
        <f t="shared" si="768"/>
        <v>0</v>
      </c>
      <c r="BN658" s="42">
        <f t="shared" si="769"/>
        <v>0</v>
      </c>
      <c r="BP658" t="e">
        <f t="shared" si="770"/>
        <v>#N/A</v>
      </c>
      <c r="BQ658" t="e">
        <f t="shared" si="771"/>
        <v>#N/A</v>
      </c>
      <c r="BR658" t="e">
        <f t="shared" si="772"/>
        <v>#N/A</v>
      </c>
      <c r="BT658" s="60">
        <f t="shared" si="773"/>
        <v>0</v>
      </c>
      <c r="BU658" s="60">
        <f t="shared" si="774"/>
        <v>0</v>
      </c>
      <c r="BV658" s="60">
        <f t="shared" si="775"/>
        <v>0</v>
      </c>
      <c r="BW658" s="60">
        <f t="shared" si="776"/>
        <v>0</v>
      </c>
      <c r="BX658" s="60">
        <f t="shared" si="777"/>
        <v>0</v>
      </c>
      <c r="BY658" s="60">
        <f t="shared" si="778"/>
        <v>0</v>
      </c>
      <c r="BZ658" s="60">
        <f t="shared" si="779"/>
        <v>0</v>
      </c>
      <c r="CA658" s="60">
        <f t="shared" si="780"/>
        <v>0</v>
      </c>
      <c r="CB658" s="60" t="e">
        <f t="shared" si="798"/>
        <v>#N/A</v>
      </c>
      <c r="CC658" s="60">
        <f t="shared" si="799"/>
        <v>100000</v>
      </c>
      <c r="CD658" s="60" t="e">
        <f t="shared" si="800"/>
        <v>#N/A</v>
      </c>
      <c r="CE658" s="60">
        <f t="shared" si="801"/>
        <v>100000</v>
      </c>
      <c r="CF658" s="83" t="e">
        <f t="shared" si="781"/>
        <v>#N/A</v>
      </c>
      <c r="CG658" s="83">
        <f t="shared" si="782"/>
        <v>0</v>
      </c>
      <c r="CH658" s="83" t="e">
        <f t="shared" si="783"/>
        <v>#N/A</v>
      </c>
      <c r="CI658" s="83">
        <f t="shared" si="784"/>
        <v>0</v>
      </c>
      <c r="CJ658" s="86" t="e">
        <f t="shared" si="802"/>
        <v>#N/A</v>
      </c>
      <c r="CK658" s="82">
        <f t="shared" si="803"/>
        <v>5.3070370403969858E-3</v>
      </c>
      <c r="CL658" s="82" t="e">
        <f t="shared" si="804"/>
        <v>#N/A</v>
      </c>
      <c r="CM658" s="82">
        <f t="shared" si="805"/>
        <v>5.3070370403969858E-3</v>
      </c>
      <c r="CO658" s="149" t="str">
        <f>IF($I658&lt;&gt;"",IF(O658="User Specified",U658,INDEX('Refrigerant GWPs'!$G$2:$G$156,MATCH(O658,'Refrigerant GWPs'!$A$2:$A$156,0))),"")</f>
        <v/>
      </c>
      <c r="CP658" s="138" t="str">
        <f>IF($I658&lt;&gt;"",INDEX('Device Refrigerant Leakage'!$E$2:$E$42,MATCH($M658,'Device Refrigerant Leakage'!$B$2:$B$42,0)),"")</f>
        <v/>
      </c>
      <c r="CQ658" s="138" t="str">
        <f>IF($I658&lt;&gt;"",INDEX('Device Refrigerant Leakage'!$F$2:$F$42,MATCH($M658,'Device Refrigerant Leakage'!$B$2:$B$42,0)),"")</f>
        <v/>
      </c>
      <c r="CR658" s="145" t="str">
        <f>IF($I658&lt;&gt;"",INDEX('Device Refrigerant Leakage'!$G$2:$G$42,MATCH($M658,'Device Refrigerant Leakage'!$B$2:$B$42,0)),"")</f>
        <v/>
      </c>
      <c r="CS658" s="145" t="str">
        <f>IF($I658&lt;&gt;"",INDEX('Device Refrigerant Leakage'!$D$2:$D$42,MATCH($M658,'Device Refrigerant Leakage'!$B$2:$B$42,0))*CP658/2204.62*CO658,"")</f>
        <v/>
      </c>
      <c r="CT658" s="145" t="str">
        <f>IF($I658&lt;&gt;"",J658*(INDEX('Device Refrigerant Leakage'!$D$2:$D$42,MATCH($M658,'Device Refrigerant Leakage'!$B$2:$B$42,0))-(INDEX('Device Refrigerant Leakage'!$D$2:$D$42,MATCH($M658,'Device Refrigerant Leakage'!$B$2:$B$42,0)))*CR658*CP658)*CQ658/2204.62*CO658,"")</f>
        <v/>
      </c>
      <c r="CU658" s="135" t="str">
        <f>IF($I658&lt;&gt;"",J658*IF(W658&lt;&gt;"AR",(CS658*K658)+CT658,(CS658*AB658)+CT658*(AB658/INDEX('Device Refrigerant Leakage'!$C$2:$C$42,MATCH($M658,'Device Refrigerant Leakage'!$B$2:$B$42,0)))),"")</f>
        <v/>
      </c>
      <c r="CW658" s="135" t="str">
        <f>IF($I658&lt;&gt;"",IF(S658="User Specified",V658,INDEX('Refrigerant GWPs'!$G$2:$G$156,MATCH(S658,'Refrigerant GWPs'!$A$2:$A$157,0))),"")</f>
        <v/>
      </c>
      <c r="CX658" s="138" t="str">
        <f>IF($I658&lt;&gt;"",INDEX('Device Refrigerant Leakage'!$E$2:$E$42,MATCH($Q658,'Device Refrigerant Leakage'!$B$2:$B$42,0)),"")</f>
        <v/>
      </c>
      <c r="CY658" s="138" t="str">
        <f>IF($I658&lt;&gt;"",INDEX('Device Refrigerant Leakage'!$F$2:$F$42,MATCH($Q658,'Device Refrigerant Leakage'!$B$2:$B$42,0)),"")</f>
        <v/>
      </c>
      <c r="CZ658" s="145" t="str">
        <f>IF($I658&lt;&gt;"",INDEX('Device Refrigerant Leakage'!$G$2:$G$42,MATCH($Q658,'Device Refrigerant Leakage'!$B$2:$B$42,0)),"")</f>
        <v/>
      </c>
      <c r="DA658" s="145" t="str">
        <f>IF($I658&lt;&gt;"",J658*INDEX('Device Refrigerant Leakage'!$D$2:$D$42,MATCH($Q658,'Device Refrigerant Leakage'!$B$2:$B$42,0))*CX658/2204.62*CW658,"")</f>
        <v/>
      </c>
      <c r="DB658" s="145" t="str">
        <f>IF($I658&lt;&gt;"",J658*(INDEX('Device Refrigerant Leakage'!$D$2:$D$42,MATCH($Q658,'Device Refrigerant Leakage'!$B$2:$B$42,0))-(INDEX('Device Refrigerant Leakage'!$D$2:$D$42,MATCH($Q658,'Device Refrigerant Leakage'!$B$2:$B$42,0)))*CZ658*CX658)*CY658/2204.62*CW658,"")</f>
        <v/>
      </c>
      <c r="DC658" s="135" t="str">
        <f t="shared" si="824"/>
        <v/>
      </c>
      <c r="DE658" s="146" t="str">
        <f>IF(W658&lt;&gt;"AR","",IF(Y658="User Specified", AA658, INDEX('Refrigerant GWPs'!$G$2:$G$154,MATCH(Y658,'Refrigerant GWPs'!$A$2:$A$154,0))))</f>
        <v/>
      </c>
      <c r="DF658" s="146" t="str">
        <f>IF(W658&lt;&gt;"AR","",INDEX('Device Refrigerant Leakage'!$E$2:$E$42,MATCH(X658,'Device Refrigerant Leakage'!$B$2:$B$42,0)))</f>
        <v/>
      </c>
      <c r="DG658" s="146" t="str">
        <f>IF(W658&lt;&gt;"AR","",INDEX('Device Refrigerant Leakage'!$F$2:$F$42,MATCH(X658,'Device Refrigerant Leakage'!$B$2:$B$42,0)))</f>
        <v/>
      </c>
      <c r="DH658" s="146" t="str">
        <f>IF(W658&lt;&gt;"AR","",INDEX('Device Refrigerant Leakage'!$G$2:$G$42,MATCH(X658,'Device Refrigerant Leakage'!$B$2:$B$42,0)))</f>
        <v/>
      </c>
      <c r="DI658" s="146" t="str">
        <f>IF(W658&lt;&gt;"AR","",J658*INDEX('Device Refrigerant Leakage'!$D$2:$D$42,MATCH(X658,'Device Refrigerant Leakage'!$B$2:$B$42,0))*DF658/2204.62*DE658)</f>
        <v/>
      </c>
      <c r="DJ658" s="146" t="str">
        <f>IF(W658&lt;&gt;"AR","",J658*(INDEX('Device Refrigerant Leakage'!$D$2:$D$42,MATCH(X658,'Device Refrigerant Leakage'!$B$2:$B$42,0))-(INDEX('Device Refrigerant Leakage'!$D$2:$D$42,MATCH(X658,'Device Refrigerant Leakage'!$B$2:$B$42,0)))*DH658*DF658)*DG658/2204.62*DE658)</f>
        <v/>
      </c>
      <c r="DK658" s="146" t="str">
        <f>IF(W658&lt;&gt;"AR","",DI658*(K658-AB658)+'Fuel Sub Calcs-Deemed'!DJ658*((K658-AB658)/INDEX('Device Refrigerant Leakage'!$C$2:$C$42,MATCH('Fuel Sub Calcs-Deemed'!X658,'Device Refrigerant Leakage'!$B$2:$B$42,0))))</f>
        <v/>
      </c>
      <c r="DM658" s="56">
        <v>644</v>
      </c>
      <c r="DN658" s="67" t="e">
        <f t="shared" si="806"/>
        <v>#N/A</v>
      </c>
      <c r="DO658" s="45" t="e">
        <f t="shared" si="807"/>
        <v>#N/A</v>
      </c>
      <c r="DP658" s="67" t="e">
        <f t="shared" si="808"/>
        <v>#N/A</v>
      </c>
      <c r="DQ658" s="45" t="e">
        <f t="shared" si="809"/>
        <v>#N/A</v>
      </c>
      <c r="DR658" s="69" t="e">
        <f t="shared" si="810"/>
        <v>#N/A</v>
      </c>
      <c r="DS658" s="34"/>
      <c r="DT658" s="67" t="e">
        <f>((BX658*CJ658)+IF($W658=MAT_AR,(BZ658*CL658),0))*(1+Reference!$E$50+Reference!$E$51)</f>
        <v>#N/A</v>
      </c>
      <c r="DU658" s="67">
        <f>((BY658*CK658)+IF($W658=MAT_AR,(CA658*CM658),0))*(1+Reference!$G$50+Reference!$G$51)</f>
        <v>0</v>
      </c>
      <c r="DV658" s="67" t="e">
        <f t="shared" si="811"/>
        <v>#VALUE!</v>
      </c>
      <c r="DX658" s="56">
        <v>644</v>
      </c>
      <c r="DY658" s="67">
        <f t="shared" si="812"/>
        <v>0</v>
      </c>
      <c r="DZ658" s="45" t="e">
        <f>VLOOKUP($R658,Dropdown!$C$3:$D$4,2,FALSE)</f>
        <v>#N/A</v>
      </c>
      <c r="EA658" s="68">
        <f t="shared" si="813"/>
        <v>0</v>
      </c>
      <c r="EB658" s="68" t="str">
        <f t="shared" si="814"/>
        <v>N/A</v>
      </c>
      <c r="EC658" s="68">
        <f t="shared" si="815"/>
        <v>0</v>
      </c>
      <c r="ED658" s="68" t="str">
        <f t="shared" si="785"/>
        <v>N/A</v>
      </c>
      <c r="EF658" s="56">
        <v>644</v>
      </c>
      <c r="EG658" s="46">
        <f t="shared" si="816"/>
        <v>0</v>
      </c>
      <c r="EH658" s="68" t="e">
        <f t="shared" si="817"/>
        <v>#N/A</v>
      </c>
      <c r="EI658" s="68" t="e">
        <f t="shared" si="818"/>
        <v>#N/A</v>
      </c>
      <c r="EJ658" s="68" t="e">
        <f t="shared" si="819"/>
        <v>#N/A</v>
      </c>
      <c r="EK658" s="68" t="e">
        <f t="shared" si="820"/>
        <v>#N/A</v>
      </c>
      <c r="EL658" s="46">
        <f t="shared" si="821"/>
        <v>0</v>
      </c>
      <c r="EM658" s="46">
        <f t="shared" si="822"/>
        <v>0</v>
      </c>
    </row>
    <row r="659" spans="1:143">
      <c r="A659" s="89"/>
      <c r="B659" s="89"/>
      <c r="C659" s="89"/>
      <c r="D659" s="89"/>
      <c r="E659" s="89"/>
      <c r="F659" s="89"/>
      <c r="G659" s="34"/>
      <c r="H659" s="56">
        <f t="shared" si="823"/>
        <v>645</v>
      </c>
      <c r="I659" s="165"/>
      <c r="J659" s="163"/>
      <c r="K659" s="163"/>
      <c r="L659" s="164"/>
      <c r="M659" s="155"/>
      <c r="N659" s="155"/>
      <c r="O659" s="144"/>
      <c r="P659" s="159" t="str">
        <f>IFERROR(IF(O659&lt;&gt;"User Specified",IF(O659&lt;&gt;"", INDEX('Refrigerant GWPs'!$G$2:$G$154,MATCH(O659,'Refrigerant GWPs'!$A$2:$A$154,0)),""),U659),0)</f>
        <v/>
      </c>
      <c r="Q659" s="155"/>
      <c r="R659" s="155"/>
      <c r="S659" s="144"/>
      <c r="T659" s="159" t="str">
        <f>IF(S659&lt;&gt;"User Specified",IF(AND(S659&lt;&gt;"User Specified",S659&lt;&gt;""), INDEX('Refrigerant GWPs'!$G$2:$G$154,MATCH(S659,'Refrigerant GWPs'!$A$2:$A$154,0)),""),V659)</f>
        <v/>
      </c>
      <c r="U659" s="144"/>
      <c r="V659" s="144"/>
      <c r="W659" s="155"/>
      <c r="X659" s="155"/>
      <c r="Y659" s="144"/>
      <c r="Z659" s="159" t="str">
        <f>IF(AND(Y659&lt;&gt;"User Specified",Y659&lt;&gt;""), INDEX('Refrigerant GWPs'!$G$2:$G$154,MATCH(Y659,'Refrigerant GWPs'!$A$2:$A$154,0)),"")</f>
        <v/>
      </c>
      <c r="AA659" s="155"/>
      <c r="AB659" s="156"/>
      <c r="AC659" s="66"/>
      <c r="AD659" s="66"/>
      <c r="AE659" s="66"/>
      <c r="AF659" s="66"/>
      <c r="AG659" s="66"/>
      <c r="AH659" s="66"/>
      <c r="AI659" s="34"/>
      <c r="AJ659" s="88">
        <f t="shared" si="786"/>
        <v>0</v>
      </c>
      <c r="AK659" s="88">
        <f t="shared" si="787"/>
        <v>0</v>
      </c>
      <c r="AL659" s="88">
        <v>0</v>
      </c>
      <c r="AM659" s="88">
        <v>0</v>
      </c>
      <c r="AN659" s="81" t="str">
        <f t="shared" si="757"/>
        <v/>
      </c>
      <c r="AO659" s="88">
        <f t="shared" si="788"/>
        <v>0</v>
      </c>
      <c r="AP659" s="88">
        <f t="shared" si="789"/>
        <v>0</v>
      </c>
      <c r="AQ659" s="81" t="str">
        <f t="shared" si="790"/>
        <v/>
      </c>
      <c r="AS659" s="41" t="b">
        <f t="shared" si="791"/>
        <v>1</v>
      </c>
      <c r="AT659" s="38">
        <f t="shared" si="792"/>
        <v>0</v>
      </c>
      <c r="AU659" s="60">
        <f t="shared" si="793"/>
        <v>0</v>
      </c>
      <c r="AV659" s="41">
        <f t="shared" si="794"/>
        <v>0</v>
      </c>
      <c r="AW659" s="41" t="b">
        <f t="shared" si="795"/>
        <v>0</v>
      </c>
      <c r="AX659" t="str">
        <f t="shared" si="796"/>
        <v>+00</v>
      </c>
      <c r="AY659" t="str">
        <f t="shared" si="797"/>
        <v>+00</v>
      </c>
      <c r="BA659" s="47" t="b">
        <f t="shared" si="758"/>
        <v>1</v>
      </c>
      <c r="BB659" s="42" t="b">
        <f t="shared" si="759"/>
        <v>1</v>
      </c>
      <c r="BC659" s="42" t="b">
        <f t="shared" si="760"/>
        <v>0</v>
      </c>
      <c r="BD659" s="42" t="b">
        <f t="shared" si="761"/>
        <v>0</v>
      </c>
      <c r="BE659" s="70">
        <f t="shared" si="762"/>
        <v>0</v>
      </c>
      <c r="BF659" s="70">
        <f t="shared" si="763"/>
        <v>0</v>
      </c>
      <c r="BG659" s="34"/>
      <c r="BI659" s="47" t="b">
        <f t="shared" si="764"/>
        <v>1</v>
      </c>
      <c r="BJ659" s="47" t="b">
        <f t="shared" si="765"/>
        <v>1</v>
      </c>
      <c r="BK659" s="42" t="b">
        <f t="shared" si="766"/>
        <v>0</v>
      </c>
      <c r="BL659" s="42" t="b">
        <f t="shared" si="767"/>
        <v>0</v>
      </c>
      <c r="BM659" s="42">
        <f t="shared" si="768"/>
        <v>0</v>
      </c>
      <c r="BN659" s="42">
        <f t="shared" si="769"/>
        <v>0</v>
      </c>
      <c r="BP659" t="e">
        <f t="shared" si="770"/>
        <v>#N/A</v>
      </c>
      <c r="BQ659" t="e">
        <f t="shared" si="771"/>
        <v>#N/A</v>
      </c>
      <c r="BR659" t="e">
        <f t="shared" si="772"/>
        <v>#N/A</v>
      </c>
      <c r="BT659" s="60">
        <f t="shared" si="773"/>
        <v>0</v>
      </c>
      <c r="BU659" s="60">
        <f t="shared" si="774"/>
        <v>0</v>
      </c>
      <c r="BV659" s="60">
        <f t="shared" si="775"/>
        <v>0</v>
      </c>
      <c r="BW659" s="60">
        <f t="shared" si="776"/>
        <v>0</v>
      </c>
      <c r="BX659" s="60">
        <f t="shared" si="777"/>
        <v>0</v>
      </c>
      <c r="BY659" s="60">
        <f t="shared" si="778"/>
        <v>0</v>
      </c>
      <c r="BZ659" s="60">
        <f t="shared" si="779"/>
        <v>0</v>
      </c>
      <c r="CA659" s="60">
        <f t="shared" si="780"/>
        <v>0</v>
      </c>
      <c r="CB659" s="60" t="e">
        <f t="shared" si="798"/>
        <v>#N/A</v>
      </c>
      <c r="CC659" s="60">
        <f t="shared" si="799"/>
        <v>100000</v>
      </c>
      <c r="CD659" s="60" t="e">
        <f t="shared" si="800"/>
        <v>#N/A</v>
      </c>
      <c r="CE659" s="60">
        <f t="shared" si="801"/>
        <v>100000</v>
      </c>
      <c r="CF659" s="83" t="e">
        <f t="shared" si="781"/>
        <v>#N/A</v>
      </c>
      <c r="CG659" s="83">
        <f t="shared" si="782"/>
        <v>0</v>
      </c>
      <c r="CH659" s="83" t="e">
        <f t="shared" si="783"/>
        <v>#N/A</v>
      </c>
      <c r="CI659" s="83">
        <f t="shared" si="784"/>
        <v>0</v>
      </c>
      <c r="CJ659" s="86" t="e">
        <f t="shared" si="802"/>
        <v>#N/A</v>
      </c>
      <c r="CK659" s="82">
        <f t="shared" si="803"/>
        <v>5.3070370403969858E-3</v>
      </c>
      <c r="CL659" s="82" t="e">
        <f t="shared" si="804"/>
        <v>#N/A</v>
      </c>
      <c r="CM659" s="82">
        <f t="shared" si="805"/>
        <v>5.3070370403969858E-3</v>
      </c>
      <c r="CO659" s="149" t="str">
        <f>IF($I659&lt;&gt;"",IF(O659="User Specified",U659,INDEX('Refrigerant GWPs'!$G$2:$G$156,MATCH(O659,'Refrigerant GWPs'!$A$2:$A$156,0))),"")</f>
        <v/>
      </c>
      <c r="CP659" s="138" t="str">
        <f>IF($I659&lt;&gt;"",INDEX('Device Refrigerant Leakage'!$E$2:$E$42,MATCH($M659,'Device Refrigerant Leakage'!$B$2:$B$42,0)),"")</f>
        <v/>
      </c>
      <c r="CQ659" s="138" t="str">
        <f>IF($I659&lt;&gt;"",INDEX('Device Refrigerant Leakage'!$F$2:$F$42,MATCH($M659,'Device Refrigerant Leakage'!$B$2:$B$42,0)),"")</f>
        <v/>
      </c>
      <c r="CR659" s="145" t="str">
        <f>IF($I659&lt;&gt;"",INDEX('Device Refrigerant Leakage'!$G$2:$G$42,MATCH($M659,'Device Refrigerant Leakage'!$B$2:$B$42,0)),"")</f>
        <v/>
      </c>
      <c r="CS659" s="145" t="str">
        <f>IF($I659&lt;&gt;"",INDEX('Device Refrigerant Leakage'!$D$2:$D$42,MATCH($M659,'Device Refrigerant Leakage'!$B$2:$B$42,0))*CP659/2204.62*CO659,"")</f>
        <v/>
      </c>
      <c r="CT659" s="145" t="str">
        <f>IF($I659&lt;&gt;"",J659*(INDEX('Device Refrigerant Leakage'!$D$2:$D$42,MATCH($M659,'Device Refrigerant Leakage'!$B$2:$B$42,0))-(INDEX('Device Refrigerant Leakage'!$D$2:$D$42,MATCH($M659,'Device Refrigerant Leakage'!$B$2:$B$42,0)))*CR659*CP659)*CQ659/2204.62*CO659,"")</f>
        <v/>
      </c>
      <c r="CU659" s="135" t="str">
        <f>IF($I659&lt;&gt;"",J659*IF(W659&lt;&gt;"AR",(CS659*K659)+CT659,(CS659*AB659)+CT659*(AB659/INDEX('Device Refrigerant Leakage'!$C$2:$C$42,MATCH($M659,'Device Refrigerant Leakage'!$B$2:$B$42,0)))),"")</f>
        <v/>
      </c>
      <c r="CW659" s="135" t="str">
        <f>IF($I659&lt;&gt;"",IF(S659="User Specified",V659,INDEX('Refrigerant GWPs'!$G$2:$G$156,MATCH(S659,'Refrigerant GWPs'!$A$2:$A$157,0))),"")</f>
        <v/>
      </c>
      <c r="CX659" s="138" t="str">
        <f>IF($I659&lt;&gt;"",INDEX('Device Refrigerant Leakage'!$E$2:$E$42,MATCH($Q659,'Device Refrigerant Leakage'!$B$2:$B$42,0)),"")</f>
        <v/>
      </c>
      <c r="CY659" s="138" t="str">
        <f>IF($I659&lt;&gt;"",INDEX('Device Refrigerant Leakage'!$F$2:$F$42,MATCH($Q659,'Device Refrigerant Leakage'!$B$2:$B$42,0)),"")</f>
        <v/>
      </c>
      <c r="CZ659" s="145" t="str">
        <f>IF($I659&lt;&gt;"",INDEX('Device Refrigerant Leakage'!$G$2:$G$42,MATCH($Q659,'Device Refrigerant Leakage'!$B$2:$B$42,0)),"")</f>
        <v/>
      </c>
      <c r="DA659" s="145" t="str">
        <f>IF($I659&lt;&gt;"",J659*INDEX('Device Refrigerant Leakage'!$D$2:$D$42,MATCH($Q659,'Device Refrigerant Leakage'!$B$2:$B$42,0))*CX659/2204.62*CW659,"")</f>
        <v/>
      </c>
      <c r="DB659" s="145" t="str">
        <f>IF($I659&lt;&gt;"",J659*(INDEX('Device Refrigerant Leakage'!$D$2:$D$42,MATCH($Q659,'Device Refrigerant Leakage'!$B$2:$B$42,0))-(INDEX('Device Refrigerant Leakage'!$D$2:$D$42,MATCH($Q659,'Device Refrigerant Leakage'!$B$2:$B$42,0)))*CZ659*CX659)*CY659/2204.62*CW659,"")</f>
        <v/>
      </c>
      <c r="DC659" s="135" t="str">
        <f t="shared" si="824"/>
        <v/>
      </c>
      <c r="DE659" s="146" t="str">
        <f>IF(W659&lt;&gt;"AR","",IF(Y659="User Specified", AA659, INDEX('Refrigerant GWPs'!$G$2:$G$154,MATCH(Y659,'Refrigerant GWPs'!$A$2:$A$154,0))))</f>
        <v/>
      </c>
      <c r="DF659" s="146" t="str">
        <f>IF(W659&lt;&gt;"AR","",INDEX('Device Refrigerant Leakage'!$E$2:$E$42,MATCH(X659,'Device Refrigerant Leakage'!$B$2:$B$42,0)))</f>
        <v/>
      </c>
      <c r="DG659" s="146" t="str">
        <f>IF(W659&lt;&gt;"AR","",INDEX('Device Refrigerant Leakage'!$F$2:$F$42,MATCH(X659,'Device Refrigerant Leakage'!$B$2:$B$42,0)))</f>
        <v/>
      </c>
      <c r="DH659" s="146" t="str">
        <f>IF(W659&lt;&gt;"AR","",INDEX('Device Refrigerant Leakage'!$G$2:$G$42,MATCH(X659,'Device Refrigerant Leakage'!$B$2:$B$42,0)))</f>
        <v/>
      </c>
      <c r="DI659" s="146" t="str">
        <f>IF(W659&lt;&gt;"AR","",J659*INDEX('Device Refrigerant Leakage'!$D$2:$D$42,MATCH(X659,'Device Refrigerant Leakage'!$B$2:$B$42,0))*DF659/2204.62*DE659)</f>
        <v/>
      </c>
      <c r="DJ659" s="146" t="str">
        <f>IF(W659&lt;&gt;"AR","",J659*(INDEX('Device Refrigerant Leakage'!$D$2:$D$42,MATCH(X659,'Device Refrigerant Leakage'!$B$2:$B$42,0))-(INDEX('Device Refrigerant Leakage'!$D$2:$D$42,MATCH(X659,'Device Refrigerant Leakage'!$B$2:$B$42,0)))*DH659*DF659)*DG659/2204.62*DE659)</f>
        <v/>
      </c>
      <c r="DK659" s="146" t="str">
        <f>IF(W659&lt;&gt;"AR","",DI659*(K659-AB659)+'Fuel Sub Calcs-Deemed'!DJ659*((K659-AB659)/INDEX('Device Refrigerant Leakage'!$C$2:$C$42,MATCH('Fuel Sub Calcs-Deemed'!X659,'Device Refrigerant Leakage'!$B$2:$B$42,0))))</f>
        <v/>
      </c>
      <c r="DM659" s="56">
        <v>645</v>
      </c>
      <c r="DN659" s="67" t="e">
        <f t="shared" si="806"/>
        <v>#N/A</v>
      </c>
      <c r="DO659" s="45" t="e">
        <f t="shared" si="807"/>
        <v>#N/A</v>
      </c>
      <c r="DP659" s="67" t="e">
        <f t="shared" si="808"/>
        <v>#N/A</v>
      </c>
      <c r="DQ659" s="45" t="e">
        <f t="shared" si="809"/>
        <v>#N/A</v>
      </c>
      <c r="DR659" s="69" t="e">
        <f t="shared" si="810"/>
        <v>#N/A</v>
      </c>
      <c r="DS659" s="34"/>
      <c r="DT659" s="67" t="e">
        <f>((BX659*CJ659)+IF($W659=MAT_AR,(BZ659*CL659),0))*(1+Reference!$E$50+Reference!$E$51)</f>
        <v>#N/A</v>
      </c>
      <c r="DU659" s="67">
        <f>((BY659*CK659)+IF($W659=MAT_AR,(CA659*CM659),0))*(1+Reference!$G$50+Reference!$G$51)</f>
        <v>0</v>
      </c>
      <c r="DV659" s="67" t="e">
        <f t="shared" si="811"/>
        <v>#VALUE!</v>
      </c>
      <c r="DX659" s="56">
        <v>645</v>
      </c>
      <c r="DY659" s="67">
        <f t="shared" si="812"/>
        <v>0</v>
      </c>
      <c r="DZ659" s="45" t="e">
        <f>VLOOKUP($R659,Dropdown!$C$3:$D$4,2,FALSE)</f>
        <v>#N/A</v>
      </c>
      <c r="EA659" s="68">
        <f t="shared" si="813"/>
        <v>0</v>
      </c>
      <c r="EB659" s="68" t="str">
        <f t="shared" si="814"/>
        <v>N/A</v>
      </c>
      <c r="EC659" s="68">
        <f t="shared" si="815"/>
        <v>0</v>
      </c>
      <c r="ED659" s="68" t="str">
        <f t="shared" si="785"/>
        <v>N/A</v>
      </c>
      <c r="EF659" s="56">
        <v>645</v>
      </c>
      <c r="EG659" s="46">
        <f t="shared" si="816"/>
        <v>0</v>
      </c>
      <c r="EH659" s="68" t="e">
        <f t="shared" si="817"/>
        <v>#N/A</v>
      </c>
      <c r="EI659" s="68" t="e">
        <f t="shared" si="818"/>
        <v>#N/A</v>
      </c>
      <c r="EJ659" s="68" t="e">
        <f t="shared" si="819"/>
        <v>#N/A</v>
      </c>
      <c r="EK659" s="68" t="e">
        <f t="shared" si="820"/>
        <v>#N/A</v>
      </c>
      <c r="EL659" s="46">
        <f t="shared" si="821"/>
        <v>0</v>
      </c>
      <c r="EM659" s="46">
        <f t="shared" si="822"/>
        <v>0</v>
      </c>
    </row>
    <row r="660" spans="1:143">
      <c r="A660" s="89"/>
      <c r="B660" s="89"/>
      <c r="C660" s="89"/>
      <c r="D660" s="89"/>
      <c r="E660" s="89"/>
      <c r="F660" s="89"/>
      <c r="G660" s="34"/>
      <c r="H660" s="56">
        <f t="shared" si="823"/>
        <v>646</v>
      </c>
      <c r="I660" s="165"/>
      <c r="J660" s="163"/>
      <c r="K660" s="163"/>
      <c r="L660" s="164"/>
      <c r="M660" s="155"/>
      <c r="N660" s="155"/>
      <c r="O660" s="144"/>
      <c r="P660" s="159" t="str">
        <f>IFERROR(IF(O660&lt;&gt;"User Specified",IF(O660&lt;&gt;"", INDEX('Refrigerant GWPs'!$G$2:$G$154,MATCH(O660,'Refrigerant GWPs'!$A$2:$A$154,0)),""),U660),0)</f>
        <v/>
      </c>
      <c r="Q660" s="155"/>
      <c r="R660" s="155"/>
      <c r="S660" s="144"/>
      <c r="T660" s="159" t="str">
        <f>IF(S660&lt;&gt;"User Specified",IF(AND(S660&lt;&gt;"User Specified",S660&lt;&gt;""), INDEX('Refrigerant GWPs'!$G$2:$G$154,MATCH(S660,'Refrigerant GWPs'!$A$2:$A$154,0)),""),V660)</f>
        <v/>
      </c>
      <c r="U660" s="144"/>
      <c r="V660" s="144"/>
      <c r="W660" s="155"/>
      <c r="X660" s="155"/>
      <c r="Y660" s="144"/>
      <c r="Z660" s="159" t="str">
        <f>IF(AND(Y660&lt;&gt;"User Specified",Y660&lt;&gt;""), INDEX('Refrigerant GWPs'!$G$2:$G$154,MATCH(Y660,'Refrigerant GWPs'!$A$2:$A$154,0)),"")</f>
        <v/>
      </c>
      <c r="AA660" s="155"/>
      <c r="AB660" s="156"/>
      <c r="AC660" s="66"/>
      <c r="AD660" s="66"/>
      <c r="AE660" s="66"/>
      <c r="AF660" s="66"/>
      <c r="AG660" s="66"/>
      <c r="AH660" s="66"/>
      <c r="AI660" s="34"/>
      <c r="AJ660" s="88">
        <f t="shared" si="786"/>
        <v>0</v>
      </c>
      <c r="AK660" s="88">
        <f t="shared" si="787"/>
        <v>0</v>
      </c>
      <c r="AL660" s="88">
        <v>0</v>
      </c>
      <c r="AM660" s="88">
        <v>0</v>
      </c>
      <c r="AN660" s="81" t="str">
        <f t="shared" si="757"/>
        <v/>
      </c>
      <c r="AO660" s="88">
        <f t="shared" si="788"/>
        <v>0</v>
      </c>
      <c r="AP660" s="88">
        <f t="shared" si="789"/>
        <v>0</v>
      </c>
      <c r="AQ660" s="81" t="str">
        <f t="shared" si="790"/>
        <v/>
      </c>
      <c r="AS660" s="41" t="b">
        <f t="shared" si="791"/>
        <v>1</v>
      </c>
      <c r="AT660" s="38">
        <f t="shared" si="792"/>
        <v>0</v>
      </c>
      <c r="AU660" s="60">
        <f t="shared" si="793"/>
        <v>0</v>
      </c>
      <c r="AV660" s="41">
        <f t="shared" si="794"/>
        <v>0</v>
      </c>
      <c r="AW660" s="41" t="b">
        <f t="shared" si="795"/>
        <v>0</v>
      </c>
      <c r="AX660" t="str">
        <f t="shared" si="796"/>
        <v>+00</v>
      </c>
      <c r="AY660" t="str">
        <f t="shared" si="797"/>
        <v>+00</v>
      </c>
      <c r="BA660" s="47" t="b">
        <f t="shared" si="758"/>
        <v>1</v>
      </c>
      <c r="BB660" s="42" t="b">
        <f t="shared" si="759"/>
        <v>1</v>
      </c>
      <c r="BC660" s="42" t="b">
        <f t="shared" si="760"/>
        <v>0</v>
      </c>
      <c r="BD660" s="42" t="b">
        <f t="shared" si="761"/>
        <v>0</v>
      </c>
      <c r="BE660" s="70">
        <f t="shared" si="762"/>
        <v>0</v>
      </c>
      <c r="BF660" s="70">
        <f t="shared" si="763"/>
        <v>0</v>
      </c>
      <c r="BG660" s="34"/>
      <c r="BI660" s="47" t="b">
        <f t="shared" si="764"/>
        <v>1</v>
      </c>
      <c r="BJ660" s="47" t="b">
        <f t="shared" si="765"/>
        <v>1</v>
      </c>
      <c r="BK660" s="42" t="b">
        <f t="shared" si="766"/>
        <v>0</v>
      </c>
      <c r="BL660" s="42" t="b">
        <f t="shared" si="767"/>
        <v>0</v>
      </c>
      <c r="BM660" s="42">
        <f t="shared" si="768"/>
        <v>0</v>
      </c>
      <c r="BN660" s="42">
        <f t="shared" si="769"/>
        <v>0</v>
      </c>
      <c r="BP660" t="e">
        <f t="shared" si="770"/>
        <v>#N/A</v>
      </c>
      <c r="BQ660" t="e">
        <f t="shared" si="771"/>
        <v>#N/A</v>
      </c>
      <c r="BR660" t="e">
        <f t="shared" si="772"/>
        <v>#N/A</v>
      </c>
      <c r="BT660" s="60">
        <f t="shared" si="773"/>
        <v>0</v>
      </c>
      <c r="BU660" s="60">
        <f t="shared" si="774"/>
        <v>0</v>
      </c>
      <c r="BV660" s="60">
        <f t="shared" si="775"/>
        <v>0</v>
      </c>
      <c r="BW660" s="60">
        <f t="shared" si="776"/>
        <v>0</v>
      </c>
      <c r="BX660" s="60">
        <f t="shared" si="777"/>
        <v>0</v>
      </c>
      <c r="BY660" s="60">
        <f t="shared" si="778"/>
        <v>0</v>
      </c>
      <c r="BZ660" s="60">
        <f t="shared" si="779"/>
        <v>0</v>
      </c>
      <c r="CA660" s="60">
        <f t="shared" si="780"/>
        <v>0</v>
      </c>
      <c r="CB660" s="60" t="e">
        <f t="shared" si="798"/>
        <v>#N/A</v>
      </c>
      <c r="CC660" s="60">
        <f t="shared" si="799"/>
        <v>100000</v>
      </c>
      <c r="CD660" s="60" t="e">
        <f t="shared" si="800"/>
        <v>#N/A</v>
      </c>
      <c r="CE660" s="60">
        <f t="shared" si="801"/>
        <v>100000</v>
      </c>
      <c r="CF660" s="83" t="e">
        <f t="shared" si="781"/>
        <v>#N/A</v>
      </c>
      <c r="CG660" s="83">
        <f t="shared" si="782"/>
        <v>0</v>
      </c>
      <c r="CH660" s="83" t="e">
        <f t="shared" si="783"/>
        <v>#N/A</v>
      </c>
      <c r="CI660" s="83">
        <f t="shared" si="784"/>
        <v>0</v>
      </c>
      <c r="CJ660" s="86" t="e">
        <f t="shared" si="802"/>
        <v>#N/A</v>
      </c>
      <c r="CK660" s="82">
        <f t="shared" si="803"/>
        <v>5.3070370403969858E-3</v>
      </c>
      <c r="CL660" s="82" t="e">
        <f t="shared" si="804"/>
        <v>#N/A</v>
      </c>
      <c r="CM660" s="82">
        <f t="shared" si="805"/>
        <v>5.3070370403969858E-3</v>
      </c>
      <c r="CO660" s="149" t="str">
        <f>IF($I660&lt;&gt;"",IF(O660="User Specified",U660,INDEX('Refrigerant GWPs'!$G$2:$G$156,MATCH(O660,'Refrigerant GWPs'!$A$2:$A$156,0))),"")</f>
        <v/>
      </c>
      <c r="CP660" s="138" t="str">
        <f>IF($I660&lt;&gt;"",INDEX('Device Refrigerant Leakage'!$E$2:$E$42,MATCH($M660,'Device Refrigerant Leakage'!$B$2:$B$42,0)),"")</f>
        <v/>
      </c>
      <c r="CQ660" s="138" t="str">
        <f>IF($I660&lt;&gt;"",INDEX('Device Refrigerant Leakage'!$F$2:$F$42,MATCH($M660,'Device Refrigerant Leakage'!$B$2:$B$42,0)),"")</f>
        <v/>
      </c>
      <c r="CR660" s="145" t="str">
        <f>IF($I660&lt;&gt;"",INDEX('Device Refrigerant Leakage'!$G$2:$G$42,MATCH($M660,'Device Refrigerant Leakage'!$B$2:$B$42,0)),"")</f>
        <v/>
      </c>
      <c r="CS660" s="145" t="str">
        <f>IF($I660&lt;&gt;"",INDEX('Device Refrigerant Leakage'!$D$2:$D$42,MATCH($M660,'Device Refrigerant Leakage'!$B$2:$B$42,0))*CP660/2204.62*CO660,"")</f>
        <v/>
      </c>
      <c r="CT660" s="145" t="str">
        <f>IF($I660&lt;&gt;"",J660*(INDEX('Device Refrigerant Leakage'!$D$2:$D$42,MATCH($M660,'Device Refrigerant Leakage'!$B$2:$B$42,0))-(INDEX('Device Refrigerant Leakage'!$D$2:$D$42,MATCH($M660,'Device Refrigerant Leakage'!$B$2:$B$42,0)))*CR660*CP660)*CQ660/2204.62*CO660,"")</f>
        <v/>
      </c>
      <c r="CU660" s="135" t="str">
        <f>IF($I660&lt;&gt;"",J660*IF(W660&lt;&gt;"AR",(CS660*K660)+CT660,(CS660*AB660)+CT660*(AB660/INDEX('Device Refrigerant Leakage'!$C$2:$C$42,MATCH($M660,'Device Refrigerant Leakage'!$B$2:$B$42,0)))),"")</f>
        <v/>
      </c>
      <c r="CW660" s="135" t="str">
        <f>IF($I660&lt;&gt;"",IF(S660="User Specified",V660,INDEX('Refrigerant GWPs'!$G$2:$G$156,MATCH(S660,'Refrigerant GWPs'!$A$2:$A$157,0))),"")</f>
        <v/>
      </c>
      <c r="CX660" s="138" t="str">
        <f>IF($I660&lt;&gt;"",INDEX('Device Refrigerant Leakage'!$E$2:$E$42,MATCH($Q660,'Device Refrigerant Leakage'!$B$2:$B$42,0)),"")</f>
        <v/>
      </c>
      <c r="CY660" s="138" t="str">
        <f>IF($I660&lt;&gt;"",INDEX('Device Refrigerant Leakage'!$F$2:$F$42,MATCH($Q660,'Device Refrigerant Leakage'!$B$2:$B$42,0)),"")</f>
        <v/>
      </c>
      <c r="CZ660" s="145" t="str">
        <f>IF($I660&lt;&gt;"",INDEX('Device Refrigerant Leakage'!$G$2:$G$42,MATCH($Q660,'Device Refrigerant Leakage'!$B$2:$B$42,0)),"")</f>
        <v/>
      </c>
      <c r="DA660" s="145" t="str">
        <f>IF($I660&lt;&gt;"",J660*INDEX('Device Refrigerant Leakage'!$D$2:$D$42,MATCH($Q660,'Device Refrigerant Leakage'!$B$2:$B$42,0))*CX660/2204.62*CW660,"")</f>
        <v/>
      </c>
      <c r="DB660" s="145" t="str">
        <f>IF($I660&lt;&gt;"",J660*(INDEX('Device Refrigerant Leakage'!$D$2:$D$42,MATCH($Q660,'Device Refrigerant Leakage'!$B$2:$B$42,0))-(INDEX('Device Refrigerant Leakage'!$D$2:$D$42,MATCH($Q660,'Device Refrigerant Leakage'!$B$2:$B$42,0)))*CZ660*CX660)*CY660/2204.62*CW660,"")</f>
        <v/>
      </c>
      <c r="DC660" s="135" t="str">
        <f t="shared" si="824"/>
        <v/>
      </c>
      <c r="DE660" s="146" t="str">
        <f>IF(W660&lt;&gt;"AR","",IF(Y660="User Specified", AA660, INDEX('Refrigerant GWPs'!$G$2:$G$154,MATCH(Y660,'Refrigerant GWPs'!$A$2:$A$154,0))))</f>
        <v/>
      </c>
      <c r="DF660" s="146" t="str">
        <f>IF(W660&lt;&gt;"AR","",INDEX('Device Refrigerant Leakage'!$E$2:$E$42,MATCH(X660,'Device Refrigerant Leakage'!$B$2:$B$42,0)))</f>
        <v/>
      </c>
      <c r="DG660" s="146" t="str">
        <f>IF(W660&lt;&gt;"AR","",INDEX('Device Refrigerant Leakage'!$F$2:$F$42,MATCH(X660,'Device Refrigerant Leakage'!$B$2:$B$42,0)))</f>
        <v/>
      </c>
      <c r="DH660" s="146" t="str">
        <f>IF(W660&lt;&gt;"AR","",INDEX('Device Refrigerant Leakage'!$G$2:$G$42,MATCH(X660,'Device Refrigerant Leakage'!$B$2:$B$42,0)))</f>
        <v/>
      </c>
      <c r="DI660" s="146" t="str">
        <f>IF(W660&lt;&gt;"AR","",J660*INDEX('Device Refrigerant Leakage'!$D$2:$D$42,MATCH(X660,'Device Refrigerant Leakage'!$B$2:$B$42,0))*DF660/2204.62*DE660)</f>
        <v/>
      </c>
      <c r="DJ660" s="146" t="str">
        <f>IF(W660&lt;&gt;"AR","",J660*(INDEX('Device Refrigerant Leakage'!$D$2:$D$42,MATCH(X660,'Device Refrigerant Leakage'!$B$2:$B$42,0))-(INDEX('Device Refrigerant Leakage'!$D$2:$D$42,MATCH(X660,'Device Refrigerant Leakage'!$B$2:$B$42,0)))*DH660*DF660)*DG660/2204.62*DE660)</f>
        <v/>
      </c>
      <c r="DK660" s="146" t="str">
        <f>IF(W660&lt;&gt;"AR","",DI660*(K660-AB660)+'Fuel Sub Calcs-Deemed'!DJ660*((K660-AB660)/INDEX('Device Refrigerant Leakage'!$C$2:$C$42,MATCH('Fuel Sub Calcs-Deemed'!X660,'Device Refrigerant Leakage'!$B$2:$B$42,0))))</f>
        <v/>
      </c>
      <c r="DM660" s="56">
        <v>646</v>
      </c>
      <c r="DN660" s="67" t="e">
        <f t="shared" si="806"/>
        <v>#N/A</v>
      </c>
      <c r="DO660" s="45" t="e">
        <f t="shared" si="807"/>
        <v>#N/A</v>
      </c>
      <c r="DP660" s="67" t="e">
        <f t="shared" si="808"/>
        <v>#N/A</v>
      </c>
      <c r="DQ660" s="45" t="e">
        <f t="shared" si="809"/>
        <v>#N/A</v>
      </c>
      <c r="DR660" s="69" t="e">
        <f t="shared" si="810"/>
        <v>#N/A</v>
      </c>
      <c r="DS660" s="34"/>
      <c r="DT660" s="67" t="e">
        <f>((BX660*CJ660)+IF($W660=MAT_AR,(BZ660*CL660),0))*(1+Reference!$E$50+Reference!$E$51)</f>
        <v>#N/A</v>
      </c>
      <c r="DU660" s="67">
        <f>((BY660*CK660)+IF($W660=MAT_AR,(CA660*CM660),0))*(1+Reference!$G$50+Reference!$G$51)</f>
        <v>0</v>
      </c>
      <c r="DV660" s="67" t="e">
        <f t="shared" si="811"/>
        <v>#VALUE!</v>
      </c>
      <c r="DX660" s="56">
        <v>646</v>
      </c>
      <c r="DY660" s="67">
        <f t="shared" si="812"/>
        <v>0</v>
      </c>
      <c r="DZ660" s="45" t="e">
        <f>VLOOKUP($R660,Dropdown!$C$3:$D$4,2,FALSE)</f>
        <v>#N/A</v>
      </c>
      <c r="EA660" s="68">
        <f t="shared" si="813"/>
        <v>0</v>
      </c>
      <c r="EB660" s="68" t="str">
        <f t="shared" si="814"/>
        <v>N/A</v>
      </c>
      <c r="EC660" s="68">
        <f t="shared" si="815"/>
        <v>0</v>
      </c>
      <c r="ED660" s="68" t="str">
        <f t="shared" si="785"/>
        <v>N/A</v>
      </c>
      <c r="EF660" s="56">
        <v>646</v>
      </c>
      <c r="EG660" s="46">
        <f t="shared" si="816"/>
        <v>0</v>
      </c>
      <c r="EH660" s="68" t="e">
        <f t="shared" si="817"/>
        <v>#N/A</v>
      </c>
      <c r="EI660" s="68" t="e">
        <f t="shared" si="818"/>
        <v>#N/A</v>
      </c>
      <c r="EJ660" s="68" t="e">
        <f t="shared" si="819"/>
        <v>#N/A</v>
      </c>
      <c r="EK660" s="68" t="e">
        <f t="shared" si="820"/>
        <v>#N/A</v>
      </c>
      <c r="EL660" s="46">
        <f t="shared" si="821"/>
        <v>0</v>
      </c>
      <c r="EM660" s="46">
        <f t="shared" si="822"/>
        <v>0</v>
      </c>
    </row>
    <row r="661" spans="1:143">
      <c r="A661" s="89"/>
      <c r="B661" s="89"/>
      <c r="C661" s="89"/>
      <c r="D661" s="89"/>
      <c r="E661" s="89"/>
      <c r="F661" s="89"/>
      <c r="G661" s="34"/>
      <c r="H661" s="56">
        <f t="shared" si="823"/>
        <v>647</v>
      </c>
      <c r="I661" s="165"/>
      <c r="J661" s="163"/>
      <c r="K661" s="163"/>
      <c r="L661" s="164"/>
      <c r="M661" s="155"/>
      <c r="N661" s="155"/>
      <c r="O661" s="144"/>
      <c r="P661" s="159" t="str">
        <f>IFERROR(IF(O661&lt;&gt;"User Specified",IF(O661&lt;&gt;"", INDEX('Refrigerant GWPs'!$G$2:$G$154,MATCH(O661,'Refrigerant GWPs'!$A$2:$A$154,0)),""),U661),0)</f>
        <v/>
      </c>
      <c r="Q661" s="155"/>
      <c r="R661" s="155"/>
      <c r="S661" s="144"/>
      <c r="T661" s="159" t="str">
        <f>IF(S661&lt;&gt;"User Specified",IF(AND(S661&lt;&gt;"User Specified",S661&lt;&gt;""), INDEX('Refrigerant GWPs'!$G$2:$G$154,MATCH(S661,'Refrigerant GWPs'!$A$2:$A$154,0)),""),V661)</f>
        <v/>
      </c>
      <c r="U661" s="144"/>
      <c r="V661" s="144"/>
      <c r="W661" s="155"/>
      <c r="X661" s="155"/>
      <c r="Y661" s="144"/>
      <c r="Z661" s="159" t="str">
        <f>IF(AND(Y661&lt;&gt;"User Specified",Y661&lt;&gt;""), INDEX('Refrigerant GWPs'!$G$2:$G$154,MATCH(Y661,'Refrigerant GWPs'!$A$2:$A$154,0)),"")</f>
        <v/>
      </c>
      <c r="AA661" s="155"/>
      <c r="AB661" s="156"/>
      <c r="AC661" s="66"/>
      <c r="AD661" s="66"/>
      <c r="AE661" s="66"/>
      <c r="AF661" s="66"/>
      <c r="AG661" s="66"/>
      <c r="AH661" s="66"/>
      <c r="AI661" s="34"/>
      <c r="AJ661" s="88">
        <f t="shared" si="786"/>
        <v>0</v>
      </c>
      <c r="AK661" s="88">
        <f t="shared" si="787"/>
        <v>0</v>
      </c>
      <c r="AL661" s="88">
        <v>0</v>
      </c>
      <c r="AM661" s="88">
        <v>0</v>
      </c>
      <c r="AN661" s="81" t="str">
        <f t="shared" si="757"/>
        <v/>
      </c>
      <c r="AO661" s="88">
        <f t="shared" si="788"/>
        <v>0</v>
      </c>
      <c r="AP661" s="88">
        <f t="shared" si="789"/>
        <v>0</v>
      </c>
      <c r="AQ661" s="81" t="str">
        <f t="shared" si="790"/>
        <v/>
      </c>
      <c r="AS661" s="41" t="b">
        <f t="shared" si="791"/>
        <v>1</v>
      </c>
      <c r="AT661" s="38">
        <f t="shared" si="792"/>
        <v>0</v>
      </c>
      <c r="AU661" s="60">
        <f t="shared" si="793"/>
        <v>0</v>
      </c>
      <c r="AV661" s="41">
        <f t="shared" si="794"/>
        <v>0</v>
      </c>
      <c r="AW661" s="41" t="b">
        <f t="shared" si="795"/>
        <v>0</v>
      </c>
      <c r="AX661" t="str">
        <f t="shared" si="796"/>
        <v>+00</v>
      </c>
      <c r="AY661" t="str">
        <f t="shared" si="797"/>
        <v>+00</v>
      </c>
      <c r="BA661" s="47" t="b">
        <f t="shared" si="758"/>
        <v>1</v>
      </c>
      <c r="BB661" s="42" t="b">
        <f t="shared" si="759"/>
        <v>1</v>
      </c>
      <c r="BC661" s="42" t="b">
        <f t="shared" si="760"/>
        <v>0</v>
      </c>
      <c r="BD661" s="42" t="b">
        <f t="shared" si="761"/>
        <v>0</v>
      </c>
      <c r="BE661" s="70">
        <f t="shared" si="762"/>
        <v>0</v>
      </c>
      <c r="BF661" s="70">
        <f t="shared" si="763"/>
        <v>0</v>
      </c>
      <c r="BG661" s="34"/>
      <c r="BI661" s="47" t="b">
        <f t="shared" si="764"/>
        <v>1</v>
      </c>
      <c r="BJ661" s="47" t="b">
        <f t="shared" si="765"/>
        <v>1</v>
      </c>
      <c r="BK661" s="42" t="b">
        <f t="shared" si="766"/>
        <v>0</v>
      </c>
      <c r="BL661" s="42" t="b">
        <f t="shared" si="767"/>
        <v>0</v>
      </c>
      <c r="BM661" s="42">
        <f t="shared" si="768"/>
        <v>0</v>
      </c>
      <c r="BN661" s="42">
        <f t="shared" si="769"/>
        <v>0</v>
      </c>
      <c r="BP661" t="e">
        <f t="shared" si="770"/>
        <v>#N/A</v>
      </c>
      <c r="BQ661" t="e">
        <f t="shared" si="771"/>
        <v>#N/A</v>
      </c>
      <c r="BR661" t="e">
        <f t="shared" si="772"/>
        <v>#N/A</v>
      </c>
      <c r="BT661" s="60">
        <f t="shared" si="773"/>
        <v>0</v>
      </c>
      <c r="BU661" s="60">
        <f t="shared" si="774"/>
        <v>0</v>
      </c>
      <c r="BV661" s="60">
        <f t="shared" si="775"/>
        <v>0</v>
      </c>
      <c r="BW661" s="60">
        <f t="shared" si="776"/>
        <v>0</v>
      </c>
      <c r="BX661" s="60">
        <f t="shared" si="777"/>
        <v>0</v>
      </c>
      <c r="BY661" s="60">
        <f t="shared" si="778"/>
        <v>0</v>
      </c>
      <c r="BZ661" s="60">
        <f t="shared" si="779"/>
        <v>0</v>
      </c>
      <c r="CA661" s="60">
        <f t="shared" si="780"/>
        <v>0</v>
      </c>
      <c r="CB661" s="60" t="e">
        <f t="shared" si="798"/>
        <v>#N/A</v>
      </c>
      <c r="CC661" s="60">
        <f t="shared" si="799"/>
        <v>100000</v>
      </c>
      <c r="CD661" s="60" t="e">
        <f t="shared" si="800"/>
        <v>#N/A</v>
      </c>
      <c r="CE661" s="60">
        <f t="shared" si="801"/>
        <v>100000</v>
      </c>
      <c r="CF661" s="83" t="e">
        <f t="shared" si="781"/>
        <v>#N/A</v>
      </c>
      <c r="CG661" s="83">
        <f t="shared" si="782"/>
        <v>0</v>
      </c>
      <c r="CH661" s="83" t="e">
        <f t="shared" si="783"/>
        <v>#N/A</v>
      </c>
      <c r="CI661" s="83">
        <f t="shared" si="784"/>
        <v>0</v>
      </c>
      <c r="CJ661" s="86" t="e">
        <f t="shared" si="802"/>
        <v>#N/A</v>
      </c>
      <c r="CK661" s="82">
        <f t="shared" si="803"/>
        <v>5.3070370403969858E-3</v>
      </c>
      <c r="CL661" s="82" t="e">
        <f t="shared" si="804"/>
        <v>#N/A</v>
      </c>
      <c r="CM661" s="82">
        <f t="shared" si="805"/>
        <v>5.3070370403969858E-3</v>
      </c>
      <c r="CO661" s="149" t="str">
        <f>IF($I661&lt;&gt;"",IF(O661="User Specified",U661,INDEX('Refrigerant GWPs'!$G$2:$G$156,MATCH(O661,'Refrigerant GWPs'!$A$2:$A$156,0))),"")</f>
        <v/>
      </c>
      <c r="CP661" s="138" t="str">
        <f>IF($I661&lt;&gt;"",INDEX('Device Refrigerant Leakage'!$E$2:$E$42,MATCH($M661,'Device Refrigerant Leakage'!$B$2:$B$42,0)),"")</f>
        <v/>
      </c>
      <c r="CQ661" s="138" t="str">
        <f>IF($I661&lt;&gt;"",INDEX('Device Refrigerant Leakage'!$F$2:$F$42,MATCH($M661,'Device Refrigerant Leakage'!$B$2:$B$42,0)),"")</f>
        <v/>
      </c>
      <c r="CR661" s="145" t="str">
        <f>IF($I661&lt;&gt;"",INDEX('Device Refrigerant Leakage'!$G$2:$G$42,MATCH($M661,'Device Refrigerant Leakage'!$B$2:$B$42,0)),"")</f>
        <v/>
      </c>
      <c r="CS661" s="145" t="str">
        <f>IF($I661&lt;&gt;"",INDEX('Device Refrigerant Leakage'!$D$2:$D$42,MATCH($M661,'Device Refrigerant Leakage'!$B$2:$B$42,0))*CP661/2204.62*CO661,"")</f>
        <v/>
      </c>
      <c r="CT661" s="145" t="str">
        <f>IF($I661&lt;&gt;"",J661*(INDEX('Device Refrigerant Leakage'!$D$2:$D$42,MATCH($M661,'Device Refrigerant Leakage'!$B$2:$B$42,0))-(INDEX('Device Refrigerant Leakage'!$D$2:$D$42,MATCH($M661,'Device Refrigerant Leakage'!$B$2:$B$42,0)))*CR661*CP661)*CQ661/2204.62*CO661,"")</f>
        <v/>
      </c>
      <c r="CU661" s="135" t="str">
        <f>IF($I661&lt;&gt;"",J661*IF(W661&lt;&gt;"AR",(CS661*K661)+CT661,(CS661*AB661)+CT661*(AB661/INDEX('Device Refrigerant Leakage'!$C$2:$C$42,MATCH($M661,'Device Refrigerant Leakage'!$B$2:$B$42,0)))),"")</f>
        <v/>
      </c>
      <c r="CW661" s="135" t="str">
        <f>IF($I661&lt;&gt;"",IF(S661="User Specified",V661,INDEX('Refrigerant GWPs'!$G$2:$G$156,MATCH(S661,'Refrigerant GWPs'!$A$2:$A$157,0))),"")</f>
        <v/>
      </c>
      <c r="CX661" s="138" t="str">
        <f>IF($I661&lt;&gt;"",INDEX('Device Refrigerant Leakage'!$E$2:$E$42,MATCH($Q661,'Device Refrigerant Leakage'!$B$2:$B$42,0)),"")</f>
        <v/>
      </c>
      <c r="CY661" s="138" t="str">
        <f>IF($I661&lt;&gt;"",INDEX('Device Refrigerant Leakage'!$F$2:$F$42,MATCH($Q661,'Device Refrigerant Leakage'!$B$2:$B$42,0)),"")</f>
        <v/>
      </c>
      <c r="CZ661" s="145" t="str">
        <f>IF($I661&lt;&gt;"",INDEX('Device Refrigerant Leakage'!$G$2:$G$42,MATCH($Q661,'Device Refrigerant Leakage'!$B$2:$B$42,0)),"")</f>
        <v/>
      </c>
      <c r="DA661" s="145" t="str">
        <f>IF($I661&lt;&gt;"",J661*INDEX('Device Refrigerant Leakage'!$D$2:$D$42,MATCH($Q661,'Device Refrigerant Leakage'!$B$2:$B$42,0))*CX661/2204.62*CW661,"")</f>
        <v/>
      </c>
      <c r="DB661" s="145" t="str">
        <f>IF($I661&lt;&gt;"",J661*(INDEX('Device Refrigerant Leakage'!$D$2:$D$42,MATCH($Q661,'Device Refrigerant Leakage'!$B$2:$B$42,0))-(INDEX('Device Refrigerant Leakage'!$D$2:$D$42,MATCH($Q661,'Device Refrigerant Leakage'!$B$2:$B$42,0)))*CZ661*CX661)*CY661/2204.62*CW661,"")</f>
        <v/>
      </c>
      <c r="DC661" s="135" t="str">
        <f t="shared" si="824"/>
        <v/>
      </c>
      <c r="DE661" s="146" t="str">
        <f>IF(W661&lt;&gt;"AR","",IF(Y661="User Specified", AA661, INDEX('Refrigerant GWPs'!$G$2:$G$154,MATCH(Y661,'Refrigerant GWPs'!$A$2:$A$154,0))))</f>
        <v/>
      </c>
      <c r="DF661" s="146" t="str">
        <f>IF(W661&lt;&gt;"AR","",INDEX('Device Refrigerant Leakage'!$E$2:$E$42,MATCH(X661,'Device Refrigerant Leakage'!$B$2:$B$42,0)))</f>
        <v/>
      </c>
      <c r="DG661" s="146" t="str">
        <f>IF(W661&lt;&gt;"AR","",INDEX('Device Refrigerant Leakage'!$F$2:$F$42,MATCH(X661,'Device Refrigerant Leakage'!$B$2:$B$42,0)))</f>
        <v/>
      </c>
      <c r="DH661" s="146" t="str">
        <f>IF(W661&lt;&gt;"AR","",INDEX('Device Refrigerant Leakage'!$G$2:$G$42,MATCH(X661,'Device Refrigerant Leakage'!$B$2:$B$42,0)))</f>
        <v/>
      </c>
      <c r="DI661" s="146" t="str">
        <f>IF(W661&lt;&gt;"AR","",J661*INDEX('Device Refrigerant Leakage'!$D$2:$D$42,MATCH(X661,'Device Refrigerant Leakage'!$B$2:$B$42,0))*DF661/2204.62*DE661)</f>
        <v/>
      </c>
      <c r="DJ661" s="146" t="str">
        <f>IF(W661&lt;&gt;"AR","",J661*(INDEX('Device Refrigerant Leakage'!$D$2:$D$42,MATCH(X661,'Device Refrigerant Leakage'!$B$2:$B$42,0))-(INDEX('Device Refrigerant Leakage'!$D$2:$D$42,MATCH(X661,'Device Refrigerant Leakage'!$B$2:$B$42,0)))*DH661*DF661)*DG661/2204.62*DE661)</f>
        <v/>
      </c>
      <c r="DK661" s="146" t="str">
        <f>IF(W661&lt;&gt;"AR","",DI661*(K661-AB661)+'Fuel Sub Calcs-Deemed'!DJ661*((K661-AB661)/INDEX('Device Refrigerant Leakage'!$C$2:$C$42,MATCH('Fuel Sub Calcs-Deemed'!X661,'Device Refrigerant Leakage'!$B$2:$B$42,0))))</f>
        <v/>
      </c>
      <c r="DM661" s="56">
        <v>647</v>
      </c>
      <c r="DN661" s="67" t="e">
        <f t="shared" si="806"/>
        <v>#N/A</v>
      </c>
      <c r="DO661" s="45" t="e">
        <f t="shared" si="807"/>
        <v>#N/A</v>
      </c>
      <c r="DP661" s="67" t="e">
        <f t="shared" si="808"/>
        <v>#N/A</v>
      </c>
      <c r="DQ661" s="45" t="e">
        <f t="shared" si="809"/>
        <v>#N/A</v>
      </c>
      <c r="DR661" s="69" t="e">
        <f t="shared" si="810"/>
        <v>#N/A</v>
      </c>
      <c r="DS661" s="34"/>
      <c r="DT661" s="67" t="e">
        <f>((BX661*CJ661)+IF($W661=MAT_AR,(BZ661*CL661),0))*(1+Reference!$E$50+Reference!$E$51)</f>
        <v>#N/A</v>
      </c>
      <c r="DU661" s="67">
        <f>((BY661*CK661)+IF($W661=MAT_AR,(CA661*CM661),0))*(1+Reference!$G$50+Reference!$G$51)</f>
        <v>0</v>
      </c>
      <c r="DV661" s="67" t="e">
        <f t="shared" si="811"/>
        <v>#VALUE!</v>
      </c>
      <c r="DX661" s="56">
        <v>647</v>
      </c>
      <c r="DY661" s="67">
        <f t="shared" si="812"/>
        <v>0</v>
      </c>
      <c r="DZ661" s="45" t="e">
        <f>VLOOKUP($R661,Dropdown!$C$3:$D$4,2,FALSE)</f>
        <v>#N/A</v>
      </c>
      <c r="EA661" s="68">
        <f t="shared" si="813"/>
        <v>0</v>
      </c>
      <c r="EB661" s="68" t="str">
        <f t="shared" si="814"/>
        <v>N/A</v>
      </c>
      <c r="EC661" s="68">
        <f t="shared" si="815"/>
        <v>0</v>
      </c>
      <c r="ED661" s="68" t="str">
        <f t="shared" si="785"/>
        <v>N/A</v>
      </c>
      <c r="EF661" s="56">
        <v>647</v>
      </c>
      <c r="EG661" s="46">
        <f t="shared" si="816"/>
        <v>0</v>
      </c>
      <c r="EH661" s="68" t="e">
        <f t="shared" si="817"/>
        <v>#N/A</v>
      </c>
      <c r="EI661" s="68" t="e">
        <f t="shared" si="818"/>
        <v>#N/A</v>
      </c>
      <c r="EJ661" s="68" t="e">
        <f t="shared" si="819"/>
        <v>#N/A</v>
      </c>
      <c r="EK661" s="68" t="e">
        <f t="shared" si="820"/>
        <v>#N/A</v>
      </c>
      <c r="EL661" s="46">
        <f t="shared" si="821"/>
        <v>0</v>
      </c>
      <c r="EM661" s="46">
        <f t="shared" si="822"/>
        <v>0</v>
      </c>
    </row>
    <row r="662" spans="1:143">
      <c r="A662" s="89"/>
      <c r="B662" s="89"/>
      <c r="C662" s="89"/>
      <c r="D662" s="89"/>
      <c r="E662" s="89"/>
      <c r="F662" s="89"/>
      <c r="G662" s="34"/>
      <c r="H662" s="56">
        <f t="shared" si="823"/>
        <v>648</v>
      </c>
      <c r="I662" s="165"/>
      <c r="J662" s="163"/>
      <c r="K662" s="163"/>
      <c r="L662" s="164"/>
      <c r="M662" s="155"/>
      <c r="N662" s="155"/>
      <c r="O662" s="144"/>
      <c r="P662" s="159" t="str">
        <f>IFERROR(IF(O662&lt;&gt;"User Specified",IF(O662&lt;&gt;"", INDEX('Refrigerant GWPs'!$G$2:$G$154,MATCH(O662,'Refrigerant GWPs'!$A$2:$A$154,0)),""),U662),0)</f>
        <v/>
      </c>
      <c r="Q662" s="155"/>
      <c r="R662" s="155"/>
      <c r="S662" s="144"/>
      <c r="T662" s="159" t="str">
        <f>IF(S662&lt;&gt;"User Specified",IF(AND(S662&lt;&gt;"User Specified",S662&lt;&gt;""), INDEX('Refrigerant GWPs'!$G$2:$G$154,MATCH(S662,'Refrigerant GWPs'!$A$2:$A$154,0)),""),V662)</f>
        <v/>
      </c>
      <c r="U662" s="144"/>
      <c r="V662" s="144"/>
      <c r="W662" s="155"/>
      <c r="X662" s="155"/>
      <c r="Y662" s="144"/>
      <c r="Z662" s="159" t="str">
        <f>IF(AND(Y662&lt;&gt;"User Specified",Y662&lt;&gt;""), INDEX('Refrigerant GWPs'!$G$2:$G$154,MATCH(Y662,'Refrigerant GWPs'!$A$2:$A$154,0)),"")</f>
        <v/>
      </c>
      <c r="AA662" s="155"/>
      <c r="AB662" s="156"/>
      <c r="AC662" s="66"/>
      <c r="AD662" s="66"/>
      <c r="AE662" s="66"/>
      <c r="AF662" s="66"/>
      <c r="AG662" s="66"/>
      <c r="AH662" s="66"/>
      <c r="AI662" s="34"/>
      <c r="AJ662" s="88">
        <f t="shared" si="786"/>
        <v>0</v>
      </c>
      <c r="AK662" s="88">
        <f t="shared" si="787"/>
        <v>0</v>
      </c>
      <c r="AL662" s="88">
        <v>0</v>
      </c>
      <c r="AM662" s="88">
        <v>0</v>
      </c>
      <c r="AN662" s="81" t="str">
        <f t="shared" si="757"/>
        <v/>
      </c>
      <c r="AO662" s="88">
        <f t="shared" si="788"/>
        <v>0</v>
      </c>
      <c r="AP662" s="88">
        <f t="shared" si="789"/>
        <v>0</v>
      </c>
      <c r="AQ662" s="81" t="str">
        <f t="shared" si="790"/>
        <v/>
      </c>
      <c r="AS662" s="41" t="b">
        <f t="shared" si="791"/>
        <v>1</v>
      </c>
      <c r="AT662" s="38">
        <f t="shared" si="792"/>
        <v>0</v>
      </c>
      <c r="AU662" s="60">
        <f t="shared" si="793"/>
        <v>0</v>
      </c>
      <c r="AV662" s="41">
        <f t="shared" si="794"/>
        <v>0</v>
      </c>
      <c r="AW662" s="41" t="b">
        <f t="shared" si="795"/>
        <v>0</v>
      </c>
      <c r="AX662" t="str">
        <f t="shared" si="796"/>
        <v>+00</v>
      </c>
      <c r="AY662" t="str">
        <f t="shared" si="797"/>
        <v>+00</v>
      </c>
      <c r="BA662" s="47" t="b">
        <f t="shared" si="758"/>
        <v>1</v>
      </c>
      <c r="BB662" s="42" t="b">
        <f t="shared" si="759"/>
        <v>1</v>
      </c>
      <c r="BC662" s="42" t="b">
        <f t="shared" si="760"/>
        <v>0</v>
      </c>
      <c r="BD662" s="42" t="b">
        <f t="shared" si="761"/>
        <v>0</v>
      </c>
      <c r="BE662" s="70">
        <f t="shared" si="762"/>
        <v>0</v>
      </c>
      <c r="BF662" s="70">
        <f t="shared" si="763"/>
        <v>0</v>
      </c>
      <c r="BG662" s="34"/>
      <c r="BI662" s="47" t="b">
        <f t="shared" si="764"/>
        <v>1</v>
      </c>
      <c r="BJ662" s="47" t="b">
        <f t="shared" si="765"/>
        <v>1</v>
      </c>
      <c r="BK662" s="42" t="b">
        <f t="shared" si="766"/>
        <v>0</v>
      </c>
      <c r="BL662" s="42" t="b">
        <f t="shared" si="767"/>
        <v>0</v>
      </c>
      <c r="BM662" s="42">
        <f t="shared" si="768"/>
        <v>0</v>
      </c>
      <c r="BN662" s="42">
        <f t="shared" si="769"/>
        <v>0</v>
      </c>
      <c r="BP662" t="e">
        <f t="shared" si="770"/>
        <v>#N/A</v>
      </c>
      <c r="BQ662" t="e">
        <f t="shared" si="771"/>
        <v>#N/A</v>
      </c>
      <c r="BR662" t="e">
        <f t="shared" si="772"/>
        <v>#N/A</v>
      </c>
      <c r="BT662" s="60">
        <f t="shared" si="773"/>
        <v>0</v>
      </c>
      <c r="BU662" s="60">
        <f t="shared" si="774"/>
        <v>0</v>
      </c>
      <c r="BV662" s="60">
        <f t="shared" si="775"/>
        <v>0</v>
      </c>
      <c r="BW662" s="60">
        <f t="shared" si="776"/>
        <v>0</v>
      </c>
      <c r="BX662" s="60">
        <f t="shared" si="777"/>
        <v>0</v>
      </c>
      <c r="BY662" s="60">
        <f t="shared" si="778"/>
        <v>0</v>
      </c>
      <c r="BZ662" s="60">
        <f t="shared" si="779"/>
        <v>0</v>
      </c>
      <c r="CA662" s="60">
        <f t="shared" si="780"/>
        <v>0</v>
      </c>
      <c r="CB662" s="60" t="e">
        <f t="shared" si="798"/>
        <v>#N/A</v>
      </c>
      <c r="CC662" s="60">
        <f t="shared" si="799"/>
        <v>100000</v>
      </c>
      <c r="CD662" s="60" t="e">
        <f t="shared" si="800"/>
        <v>#N/A</v>
      </c>
      <c r="CE662" s="60">
        <f t="shared" si="801"/>
        <v>100000</v>
      </c>
      <c r="CF662" s="83" t="e">
        <f t="shared" si="781"/>
        <v>#N/A</v>
      </c>
      <c r="CG662" s="83">
        <f t="shared" si="782"/>
        <v>0</v>
      </c>
      <c r="CH662" s="83" t="e">
        <f t="shared" si="783"/>
        <v>#N/A</v>
      </c>
      <c r="CI662" s="83">
        <f t="shared" si="784"/>
        <v>0</v>
      </c>
      <c r="CJ662" s="86" t="e">
        <f t="shared" si="802"/>
        <v>#N/A</v>
      </c>
      <c r="CK662" s="82">
        <f t="shared" si="803"/>
        <v>5.3070370403969858E-3</v>
      </c>
      <c r="CL662" s="82" t="e">
        <f t="shared" si="804"/>
        <v>#N/A</v>
      </c>
      <c r="CM662" s="82">
        <f t="shared" si="805"/>
        <v>5.3070370403969858E-3</v>
      </c>
      <c r="CO662" s="149" t="str">
        <f>IF($I662&lt;&gt;"",IF(O662="User Specified",U662,INDEX('Refrigerant GWPs'!$G$2:$G$156,MATCH(O662,'Refrigerant GWPs'!$A$2:$A$156,0))),"")</f>
        <v/>
      </c>
      <c r="CP662" s="138" t="str">
        <f>IF($I662&lt;&gt;"",INDEX('Device Refrigerant Leakage'!$E$2:$E$42,MATCH($M662,'Device Refrigerant Leakage'!$B$2:$B$42,0)),"")</f>
        <v/>
      </c>
      <c r="CQ662" s="138" t="str">
        <f>IF($I662&lt;&gt;"",INDEX('Device Refrigerant Leakage'!$F$2:$F$42,MATCH($M662,'Device Refrigerant Leakage'!$B$2:$B$42,0)),"")</f>
        <v/>
      </c>
      <c r="CR662" s="145" t="str">
        <f>IF($I662&lt;&gt;"",INDEX('Device Refrigerant Leakage'!$G$2:$G$42,MATCH($M662,'Device Refrigerant Leakage'!$B$2:$B$42,0)),"")</f>
        <v/>
      </c>
      <c r="CS662" s="145" t="str">
        <f>IF($I662&lt;&gt;"",INDEX('Device Refrigerant Leakage'!$D$2:$D$42,MATCH($M662,'Device Refrigerant Leakage'!$B$2:$B$42,0))*CP662/2204.62*CO662,"")</f>
        <v/>
      </c>
      <c r="CT662" s="145" t="str">
        <f>IF($I662&lt;&gt;"",J662*(INDEX('Device Refrigerant Leakage'!$D$2:$D$42,MATCH($M662,'Device Refrigerant Leakage'!$B$2:$B$42,0))-(INDEX('Device Refrigerant Leakage'!$D$2:$D$42,MATCH($M662,'Device Refrigerant Leakage'!$B$2:$B$42,0)))*CR662*CP662)*CQ662/2204.62*CO662,"")</f>
        <v/>
      </c>
      <c r="CU662" s="135" t="str">
        <f>IF($I662&lt;&gt;"",J662*IF(W662&lt;&gt;"AR",(CS662*K662)+CT662,(CS662*AB662)+CT662*(AB662/INDEX('Device Refrigerant Leakage'!$C$2:$C$42,MATCH($M662,'Device Refrigerant Leakage'!$B$2:$B$42,0)))),"")</f>
        <v/>
      </c>
      <c r="CW662" s="135" t="str">
        <f>IF($I662&lt;&gt;"",IF(S662="User Specified",V662,INDEX('Refrigerant GWPs'!$G$2:$G$156,MATCH(S662,'Refrigerant GWPs'!$A$2:$A$157,0))),"")</f>
        <v/>
      </c>
      <c r="CX662" s="138" t="str">
        <f>IF($I662&lt;&gt;"",INDEX('Device Refrigerant Leakage'!$E$2:$E$42,MATCH($Q662,'Device Refrigerant Leakage'!$B$2:$B$42,0)),"")</f>
        <v/>
      </c>
      <c r="CY662" s="138" t="str">
        <f>IF($I662&lt;&gt;"",INDEX('Device Refrigerant Leakage'!$F$2:$F$42,MATCH($Q662,'Device Refrigerant Leakage'!$B$2:$B$42,0)),"")</f>
        <v/>
      </c>
      <c r="CZ662" s="145" t="str">
        <f>IF($I662&lt;&gt;"",INDEX('Device Refrigerant Leakage'!$G$2:$G$42,MATCH($Q662,'Device Refrigerant Leakage'!$B$2:$B$42,0)),"")</f>
        <v/>
      </c>
      <c r="DA662" s="145" t="str">
        <f>IF($I662&lt;&gt;"",J662*INDEX('Device Refrigerant Leakage'!$D$2:$D$42,MATCH($Q662,'Device Refrigerant Leakage'!$B$2:$B$42,0))*CX662/2204.62*CW662,"")</f>
        <v/>
      </c>
      <c r="DB662" s="145" t="str">
        <f>IF($I662&lt;&gt;"",J662*(INDEX('Device Refrigerant Leakage'!$D$2:$D$42,MATCH($Q662,'Device Refrigerant Leakage'!$B$2:$B$42,0))-(INDEX('Device Refrigerant Leakage'!$D$2:$D$42,MATCH($Q662,'Device Refrigerant Leakage'!$B$2:$B$42,0)))*CZ662*CX662)*CY662/2204.62*CW662,"")</f>
        <v/>
      </c>
      <c r="DC662" s="135" t="str">
        <f t="shared" si="824"/>
        <v/>
      </c>
      <c r="DE662" s="146" t="str">
        <f>IF(W662&lt;&gt;"AR","",IF(Y662="User Specified", AA662, INDEX('Refrigerant GWPs'!$G$2:$G$154,MATCH(Y662,'Refrigerant GWPs'!$A$2:$A$154,0))))</f>
        <v/>
      </c>
      <c r="DF662" s="146" t="str">
        <f>IF(W662&lt;&gt;"AR","",INDEX('Device Refrigerant Leakage'!$E$2:$E$42,MATCH(X662,'Device Refrigerant Leakage'!$B$2:$B$42,0)))</f>
        <v/>
      </c>
      <c r="DG662" s="146" t="str">
        <f>IF(W662&lt;&gt;"AR","",INDEX('Device Refrigerant Leakage'!$F$2:$F$42,MATCH(X662,'Device Refrigerant Leakage'!$B$2:$B$42,0)))</f>
        <v/>
      </c>
      <c r="DH662" s="146" t="str">
        <f>IF(W662&lt;&gt;"AR","",INDEX('Device Refrigerant Leakage'!$G$2:$G$42,MATCH(X662,'Device Refrigerant Leakage'!$B$2:$B$42,0)))</f>
        <v/>
      </c>
      <c r="DI662" s="146" t="str">
        <f>IF(W662&lt;&gt;"AR","",J662*INDEX('Device Refrigerant Leakage'!$D$2:$D$42,MATCH(X662,'Device Refrigerant Leakage'!$B$2:$B$42,0))*DF662/2204.62*DE662)</f>
        <v/>
      </c>
      <c r="DJ662" s="146" t="str">
        <f>IF(W662&lt;&gt;"AR","",J662*(INDEX('Device Refrigerant Leakage'!$D$2:$D$42,MATCH(X662,'Device Refrigerant Leakage'!$B$2:$B$42,0))-(INDEX('Device Refrigerant Leakage'!$D$2:$D$42,MATCH(X662,'Device Refrigerant Leakage'!$B$2:$B$42,0)))*DH662*DF662)*DG662/2204.62*DE662)</f>
        <v/>
      </c>
      <c r="DK662" s="146" t="str">
        <f>IF(W662&lt;&gt;"AR","",DI662*(K662-AB662)+'Fuel Sub Calcs-Deemed'!DJ662*((K662-AB662)/INDEX('Device Refrigerant Leakage'!$C$2:$C$42,MATCH('Fuel Sub Calcs-Deemed'!X662,'Device Refrigerant Leakage'!$B$2:$B$42,0))))</f>
        <v/>
      </c>
      <c r="DM662" s="56">
        <v>648</v>
      </c>
      <c r="DN662" s="67" t="e">
        <f t="shared" si="806"/>
        <v>#N/A</v>
      </c>
      <c r="DO662" s="45" t="e">
        <f t="shared" si="807"/>
        <v>#N/A</v>
      </c>
      <c r="DP662" s="67" t="e">
        <f t="shared" si="808"/>
        <v>#N/A</v>
      </c>
      <c r="DQ662" s="45" t="e">
        <f t="shared" si="809"/>
        <v>#N/A</v>
      </c>
      <c r="DR662" s="69" t="e">
        <f t="shared" si="810"/>
        <v>#N/A</v>
      </c>
      <c r="DS662" s="34"/>
      <c r="DT662" s="67" t="e">
        <f>((BX662*CJ662)+IF($W662=MAT_AR,(BZ662*CL662),0))*(1+Reference!$E$50+Reference!$E$51)</f>
        <v>#N/A</v>
      </c>
      <c r="DU662" s="67">
        <f>((BY662*CK662)+IF($W662=MAT_AR,(CA662*CM662),0))*(1+Reference!$G$50+Reference!$G$51)</f>
        <v>0</v>
      </c>
      <c r="DV662" s="67" t="e">
        <f t="shared" si="811"/>
        <v>#VALUE!</v>
      </c>
      <c r="DX662" s="56">
        <v>648</v>
      </c>
      <c r="DY662" s="67">
        <f t="shared" si="812"/>
        <v>0</v>
      </c>
      <c r="DZ662" s="45" t="e">
        <f>VLOOKUP($R662,Dropdown!$C$3:$D$4,2,FALSE)</f>
        <v>#N/A</v>
      </c>
      <c r="EA662" s="68">
        <f t="shared" si="813"/>
        <v>0</v>
      </c>
      <c r="EB662" s="68" t="str">
        <f t="shared" si="814"/>
        <v>N/A</v>
      </c>
      <c r="EC662" s="68">
        <f t="shared" si="815"/>
        <v>0</v>
      </c>
      <c r="ED662" s="68" t="str">
        <f t="shared" si="785"/>
        <v>N/A</v>
      </c>
      <c r="EF662" s="56">
        <v>648</v>
      </c>
      <c r="EG662" s="46">
        <f t="shared" si="816"/>
        <v>0</v>
      </c>
      <c r="EH662" s="68" t="e">
        <f t="shared" si="817"/>
        <v>#N/A</v>
      </c>
      <c r="EI662" s="68" t="e">
        <f t="shared" si="818"/>
        <v>#N/A</v>
      </c>
      <c r="EJ662" s="68" t="e">
        <f t="shared" si="819"/>
        <v>#N/A</v>
      </c>
      <c r="EK662" s="68" t="e">
        <f t="shared" si="820"/>
        <v>#N/A</v>
      </c>
      <c r="EL662" s="46">
        <f t="shared" si="821"/>
        <v>0</v>
      </c>
      <c r="EM662" s="46">
        <f t="shared" si="822"/>
        <v>0</v>
      </c>
    </row>
    <row r="663" spans="1:143">
      <c r="A663" s="89"/>
      <c r="B663" s="89"/>
      <c r="C663" s="89"/>
      <c r="D663" s="89"/>
      <c r="E663" s="89"/>
      <c r="F663" s="89"/>
      <c r="G663" s="34"/>
      <c r="H663" s="56">
        <f t="shared" si="823"/>
        <v>649</v>
      </c>
      <c r="I663" s="165"/>
      <c r="J663" s="163"/>
      <c r="K663" s="163"/>
      <c r="L663" s="164"/>
      <c r="M663" s="155"/>
      <c r="N663" s="155"/>
      <c r="O663" s="144"/>
      <c r="P663" s="159" t="str">
        <f>IFERROR(IF(O663&lt;&gt;"User Specified",IF(O663&lt;&gt;"", INDEX('Refrigerant GWPs'!$G$2:$G$154,MATCH(O663,'Refrigerant GWPs'!$A$2:$A$154,0)),""),U663),0)</f>
        <v/>
      </c>
      <c r="Q663" s="155"/>
      <c r="R663" s="155"/>
      <c r="S663" s="144"/>
      <c r="T663" s="159" t="str">
        <f>IF(S663&lt;&gt;"User Specified",IF(AND(S663&lt;&gt;"User Specified",S663&lt;&gt;""), INDEX('Refrigerant GWPs'!$G$2:$G$154,MATCH(S663,'Refrigerant GWPs'!$A$2:$A$154,0)),""),V663)</f>
        <v/>
      </c>
      <c r="U663" s="144"/>
      <c r="V663" s="144"/>
      <c r="W663" s="155"/>
      <c r="X663" s="155"/>
      <c r="Y663" s="144"/>
      <c r="Z663" s="159" t="str">
        <f>IF(AND(Y663&lt;&gt;"User Specified",Y663&lt;&gt;""), INDEX('Refrigerant GWPs'!$G$2:$G$154,MATCH(Y663,'Refrigerant GWPs'!$A$2:$A$154,0)),"")</f>
        <v/>
      </c>
      <c r="AA663" s="155"/>
      <c r="AB663" s="156"/>
      <c r="AC663" s="66"/>
      <c r="AD663" s="66"/>
      <c r="AE663" s="66"/>
      <c r="AF663" s="66"/>
      <c r="AG663" s="66"/>
      <c r="AH663" s="66"/>
      <c r="AI663" s="34"/>
      <c r="AJ663" s="88">
        <f t="shared" si="786"/>
        <v>0</v>
      </c>
      <c r="AK663" s="88">
        <f t="shared" si="787"/>
        <v>0</v>
      </c>
      <c r="AL663" s="88">
        <v>0</v>
      </c>
      <c r="AM663" s="88">
        <v>0</v>
      </c>
      <c r="AN663" s="81" t="str">
        <f t="shared" ref="AN663:AN726" si="825">IF(OR(BC663:BD663),"Warning: Need to enter baseline and measure consumption","")</f>
        <v/>
      </c>
      <c r="AO663" s="88">
        <f t="shared" si="788"/>
        <v>0</v>
      </c>
      <c r="AP663" s="88">
        <f t="shared" si="789"/>
        <v>0</v>
      </c>
      <c r="AQ663" s="81" t="str">
        <f t="shared" si="790"/>
        <v/>
      </c>
      <c r="AS663" s="41" t="b">
        <f t="shared" si="791"/>
        <v>1</v>
      </c>
      <c r="AT663" s="38">
        <f t="shared" si="792"/>
        <v>0</v>
      </c>
      <c r="AU663" s="60">
        <f t="shared" si="793"/>
        <v>0</v>
      </c>
      <c r="AV663" s="41">
        <f t="shared" si="794"/>
        <v>0</v>
      </c>
      <c r="AW663" s="41" t="b">
        <f t="shared" si="795"/>
        <v>0</v>
      </c>
      <c r="AX663" t="str">
        <f t="shared" si="796"/>
        <v>+00</v>
      </c>
      <c r="AY663" t="str">
        <f t="shared" si="797"/>
        <v>+00</v>
      </c>
      <c r="BA663" s="47" t="b">
        <f t="shared" ref="BA663:BA726" si="826">NOT(OR(ISBLANK(AJ663),ISBLANK(AL663)))</f>
        <v>1</v>
      </c>
      <c r="BB663" s="42" t="b">
        <f t="shared" ref="BB663:BB726" si="827">NOT(OR(ISBLANK(AK663),ISBLANK(AM663)))</f>
        <v>1</v>
      </c>
      <c r="BC663" s="42" t="b">
        <f t="shared" ref="BC663:BC726" si="828">AND(NOT(BA663))</f>
        <v>0</v>
      </c>
      <c r="BD663" s="42" t="b">
        <f t="shared" ref="BD663:BD726" si="829">AND(NOT(BB663))</f>
        <v>0</v>
      </c>
      <c r="BE663" s="70">
        <f t="shared" ref="BE663:BE726" si="830">AJ663-AL663</f>
        <v>0</v>
      </c>
      <c r="BF663" s="70">
        <f t="shared" ref="BF663:BF726" si="831">AK663-AM663</f>
        <v>0</v>
      </c>
      <c r="BG663" s="34"/>
      <c r="BI663" s="47" t="b">
        <f t="shared" ref="BI663:BI726" si="832">NOT(OR(ISBLANK(AL663),ISBLANK(AO663)))</f>
        <v>1</v>
      </c>
      <c r="BJ663" s="47" t="b">
        <f t="shared" ref="BJ663:BJ726" si="833">NOT(OR(ISBLANK(AM663),ISBLANK(AP663)))</f>
        <v>1</v>
      </c>
      <c r="BK663" s="42" t="b">
        <f t="shared" ref="BK663:BK726" si="834">AND(NOT(BI663))</f>
        <v>0</v>
      </c>
      <c r="BL663" s="42" t="b">
        <f t="shared" ref="BL663:BL726" si="835">AND(NOT(BJ663))</f>
        <v>0</v>
      </c>
      <c r="BM663" s="42">
        <f t="shared" ref="BM663:BM726" si="836">IF(NOT(OR(ISBLANK(AO663),ISBLANK(AL663))),AO663-AL663,0)</f>
        <v>0</v>
      </c>
      <c r="BN663" s="42">
        <f t="shared" ref="BN663:BN726" si="837">IF(NOT(OR(ISBLANK(AP663),ISBLANK(AM663))),AP663-AM663,0)</f>
        <v>0</v>
      </c>
      <c r="BP663" t="e">
        <f t="shared" ref="BP663:BP726" si="838">(DN663&gt;=0)</f>
        <v>#N/A</v>
      </c>
      <c r="BQ663" t="e">
        <f t="shared" ref="BQ663:BQ726" si="839">(DP663&gt;=0)</f>
        <v>#N/A</v>
      </c>
      <c r="BR663" t="e">
        <f t="shared" ref="BR663:BR726" si="840">AND(BP663,BQ663)</f>
        <v>#N/A</v>
      </c>
      <c r="BT663" s="60">
        <f t="shared" ref="BT663:BT726" si="841">$J663*BE663</f>
        <v>0</v>
      </c>
      <c r="BU663" s="60">
        <f t="shared" ref="BU663:BU726" si="842">$J663*BF663</f>
        <v>0</v>
      </c>
      <c r="BV663" s="60">
        <f t="shared" ref="BV663:BV726" si="843">$J663*BM663</f>
        <v>0</v>
      </c>
      <c r="BW663" s="60">
        <f t="shared" ref="BW663:BW726" si="844">$J663*BN663</f>
        <v>0</v>
      </c>
      <c r="BX663" s="60">
        <f t="shared" ref="BX663:BX726" si="845">$AT663*BT663</f>
        <v>0</v>
      </c>
      <c r="BY663" s="60">
        <f t="shared" ref="BY663:BY726" si="846">$AT663*BU663</f>
        <v>0</v>
      </c>
      <c r="BZ663" s="60">
        <f t="shared" ref="BZ663:BZ726" si="847">$AU663*BV663</f>
        <v>0</v>
      </c>
      <c r="CA663" s="60">
        <f t="shared" ref="CA663:CA726" si="848">$AU663*BW663</f>
        <v>0</v>
      </c>
      <c r="CB663" s="60" t="e">
        <f t="shared" si="798"/>
        <v>#N/A</v>
      </c>
      <c r="CC663" s="60">
        <f t="shared" si="799"/>
        <v>100000</v>
      </c>
      <c r="CD663" s="60" t="e">
        <f t="shared" si="800"/>
        <v>#N/A</v>
      </c>
      <c r="CE663" s="60">
        <f t="shared" si="801"/>
        <v>100000</v>
      </c>
      <c r="CF663" s="83" t="e">
        <f t="shared" ref="CF663:CF726" si="849">$AT663*CB663/1000000</f>
        <v>#N/A</v>
      </c>
      <c r="CG663" s="83">
        <f t="shared" ref="CG663:CG726" si="850">$AT663*CC663/1000000</f>
        <v>0</v>
      </c>
      <c r="CH663" s="83" t="e">
        <f t="shared" ref="CH663:CH726" si="851">$AU663*CD663/1000000</f>
        <v>#N/A</v>
      </c>
      <c r="CI663" s="83">
        <f t="shared" ref="CI663:CI726" si="852">$AU663*CE663/1000000</f>
        <v>0</v>
      </c>
      <c r="CJ663" s="86" t="e">
        <f t="shared" si="802"/>
        <v>#N/A</v>
      </c>
      <c r="CK663" s="82">
        <f t="shared" si="803"/>
        <v>5.3070370403969858E-3</v>
      </c>
      <c r="CL663" s="82" t="e">
        <f t="shared" si="804"/>
        <v>#N/A</v>
      </c>
      <c r="CM663" s="82">
        <f t="shared" si="805"/>
        <v>5.3070370403969858E-3</v>
      </c>
      <c r="CO663" s="149" t="str">
        <f>IF($I663&lt;&gt;"",IF(O663="User Specified",U663,INDEX('Refrigerant GWPs'!$G$2:$G$156,MATCH(O663,'Refrigerant GWPs'!$A$2:$A$156,0))),"")</f>
        <v/>
      </c>
      <c r="CP663" s="138" t="str">
        <f>IF($I663&lt;&gt;"",INDEX('Device Refrigerant Leakage'!$E$2:$E$42,MATCH($M663,'Device Refrigerant Leakage'!$B$2:$B$42,0)),"")</f>
        <v/>
      </c>
      <c r="CQ663" s="138" t="str">
        <f>IF($I663&lt;&gt;"",INDEX('Device Refrigerant Leakage'!$F$2:$F$42,MATCH($M663,'Device Refrigerant Leakage'!$B$2:$B$42,0)),"")</f>
        <v/>
      </c>
      <c r="CR663" s="145" t="str">
        <f>IF($I663&lt;&gt;"",INDEX('Device Refrigerant Leakage'!$G$2:$G$42,MATCH($M663,'Device Refrigerant Leakage'!$B$2:$B$42,0)),"")</f>
        <v/>
      </c>
      <c r="CS663" s="145" t="str">
        <f>IF($I663&lt;&gt;"",INDEX('Device Refrigerant Leakage'!$D$2:$D$42,MATCH($M663,'Device Refrigerant Leakage'!$B$2:$B$42,0))*CP663/2204.62*CO663,"")</f>
        <v/>
      </c>
      <c r="CT663" s="145" t="str">
        <f>IF($I663&lt;&gt;"",J663*(INDEX('Device Refrigerant Leakage'!$D$2:$D$42,MATCH($M663,'Device Refrigerant Leakage'!$B$2:$B$42,0))-(INDEX('Device Refrigerant Leakage'!$D$2:$D$42,MATCH($M663,'Device Refrigerant Leakage'!$B$2:$B$42,0)))*CR663*CP663)*CQ663/2204.62*CO663,"")</f>
        <v/>
      </c>
      <c r="CU663" s="135" t="str">
        <f>IF($I663&lt;&gt;"",J663*IF(W663&lt;&gt;"AR",(CS663*K663)+CT663,(CS663*AB663)+CT663*(AB663/INDEX('Device Refrigerant Leakage'!$C$2:$C$42,MATCH($M663,'Device Refrigerant Leakage'!$B$2:$B$42,0)))),"")</f>
        <v/>
      </c>
      <c r="CW663" s="135" t="str">
        <f>IF($I663&lt;&gt;"",IF(S663="User Specified",V663,INDEX('Refrigerant GWPs'!$G$2:$G$156,MATCH(S663,'Refrigerant GWPs'!$A$2:$A$157,0))),"")</f>
        <v/>
      </c>
      <c r="CX663" s="138" t="str">
        <f>IF($I663&lt;&gt;"",INDEX('Device Refrigerant Leakage'!$E$2:$E$42,MATCH($Q663,'Device Refrigerant Leakage'!$B$2:$B$42,0)),"")</f>
        <v/>
      </c>
      <c r="CY663" s="138" t="str">
        <f>IF($I663&lt;&gt;"",INDEX('Device Refrigerant Leakage'!$F$2:$F$42,MATCH($Q663,'Device Refrigerant Leakage'!$B$2:$B$42,0)),"")</f>
        <v/>
      </c>
      <c r="CZ663" s="145" t="str">
        <f>IF($I663&lt;&gt;"",INDEX('Device Refrigerant Leakage'!$G$2:$G$42,MATCH($Q663,'Device Refrigerant Leakage'!$B$2:$B$42,0)),"")</f>
        <v/>
      </c>
      <c r="DA663" s="145" t="str">
        <f>IF($I663&lt;&gt;"",J663*INDEX('Device Refrigerant Leakage'!$D$2:$D$42,MATCH($Q663,'Device Refrigerant Leakage'!$B$2:$B$42,0))*CX663/2204.62*CW663,"")</f>
        <v/>
      </c>
      <c r="DB663" s="145" t="str">
        <f>IF($I663&lt;&gt;"",J663*(INDEX('Device Refrigerant Leakage'!$D$2:$D$42,MATCH($Q663,'Device Refrigerant Leakage'!$B$2:$B$42,0))-(INDEX('Device Refrigerant Leakage'!$D$2:$D$42,MATCH($Q663,'Device Refrigerant Leakage'!$B$2:$B$42,0)))*CZ663*CX663)*CY663/2204.62*CW663,"")</f>
        <v/>
      </c>
      <c r="DC663" s="135" t="str">
        <f t="shared" si="824"/>
        <v/>
      </c>
      <c r="DE663" s="146" t="str">
        <f>IF(W663&lt;&gt;"AR","",IF(Y663="User Specified", AA663, INDEX('Refrigerant GWPs'!$G$2:$G$154,MATCH(Y663,'Refrigerant GWPs'!$A$2:$A$154,0))))</f>
        <v/>
      </c>
      <c r="DF663" s="146" t="str">
        <f>IF(W663&lt;&gt;"AR","",INDEX('Device Refrigerant Leakage'!$E$2:$E$42,MATCH(X663,'Device Refrigerant Leakage'!$B$2:$B$42,0)))</f>
        <v/>
      </c>
      <c r="DG663" s="146" t="str">
        <f>IF(W663&lt;&gt;"AR","",INDEX('Device Refrigerant Leakage'!$F$2:$F$42,MATCH(X663,'Device Refrigerant Leakage'!$B$2:$B$42,0)))</f>
        <v/>
      </c>
      <c r="DH663" s="146" t="str">
        <f>IF(W663&lt;&gt;"AR","",INDEX('Device Refrigerant Leakage'!$G$2:$G$42,MATCH(X663,'Device Refrigerant Leakage'!$B$2:$B$42,0)))</f>
        <v/>
      </c>
      <c r="DI663" s="146" t="str">
        <f>IF(W663&lt;&gt;"AR","",J663*INDEX('Device Refrigerant Leakage'!$D$2:$D$42,MATCH(X663,'Device Refrigerant Leakage'!$B$2:$B$42,0))*DF663/2204.62*DE663)</f>
        <v/>
      </c>
      <c r="DJ663" s="146" t="str">
        <f>IF(W663&lt;&gt;"AR","",J663*(INDEX('Device Refrigerant Leakage'!$D$2:$D$42,MATCH(X663,'Device Refrigerant Leakage'!$B$2:$B$42,0))-(INDEX('Device Refrigerant Leakage'!$D$2:$D$42,MATCH(X663,'Device Refrigerant Leakage'!$B$2:$B$42,0)))*DH663*DF663)*DG663/2204.62*DE663)</f>
        <v/>
      </c>
      <c r="DK663" s="146" t="str">
        <f>IF(W663&lt;&gt;"AR","",DI663*(K663-AB663)+'Fuel Sub Calcs-Deemed'!DJ663*((K663-AB663)/INDEX('Device Refrigerant Leakage'!$C$2:$C$42,MATCH('Fuel Sub Calcs-Deemed'!X663,'Device Refrigerant Leakage'!$B$2:$B$42,0))))</f>
        <v/>
      </c>
      <c r="DM663" s="56">
        <v>649</v>
      </c>
      <c r="DN663" s="67" t="e">
        <f t="shared" si="806"/>
        <v>#N/A</v>
      </c>
      <c r="DO663" s="45" t="e">
        <f t="shared" si="807"/>
        <v>#N/A</v>
      </c>
      <c r="DP663" s="67" t="e">
        <f t="shared" si="808"/>
        <v>#N/A</v>
      </c>
      <c r="DQ663" s="45" t="e">
        <f t="shared" si="809"/>
        <v>#N/A</v>
      </c>
      <c r="DR663" s="69" t="e">
        <f t="shared" si="810"/>
        <v>#N/A</v>
      </c>
      <c r="DS663" s="34"/>
      <c r="DT663" s="67" t="e">
        <f>((BX663*CJ663)+IF($W663=MAT_AR,(BZ663*CL663),0))*(1+Reference!$E$50+Reference!$E$51)</f>
        <v>#N/A</v>
      </c>
      <c r="DU663" s="67">
        <f>((BY663*CK663)+IF($W663=MAT_AR,(CA663*CM663),0))*(1+Reference!$G$50+Reference!$G$51)</f>
        <v>0</v>
      </c>
      <c r="DV663" s="67" t="e">
        <f t="shared" si="811"/>
        <v>#VALUE!</v>
      </c>
      <c r="DX663" s="56">
        <v>649</v>
      </c>
      <c r="DY663" s="67">
        <f t="shared" si="812"/>
        <v>0</v>
      </c>
      <c r="DZ663" s="45" t="e">
        <f>VLOOKUP($R663,Dropdown!$C$3:$D$4,2,FALSE)</f>
        <v>#N/A</v>
      </c>
      <c r="EA663" s="68">
        <f t="shared" si="813"/>
        <v>0</v>
      </c>
      <c r="EB663" s="68" t="str">
        <f t="shared" si="814"/>
        <v>N/A</v>
      </c>
      <c r="EC663" s="68">
        <f t="shared" si="815"/>
        <v>0</v>
      </c>
      <c r="ED663" s="68" t="str">
        <f t="shared" ref="ED663:ED726" si="853">IF($R663=fuel_electricity,DY663*10^6/Btu_therm,"N/A")</f>
        <v>N/A</v>
      </c>
      <c r="EF663" s="56">
        <v>649</v>
      </c>
      <c r="EG663" s="46">
        <f t="shared" si="816"/>
        <v>0</v>
      </c>
      <c r="EH663" s="68" t="e">
        <f t="shared" si="817"/>
        <v>#N/A</v>
      </c>
      <c r="EI663" s="68" t="e">
        <f t="shared" si="818"/>
        <v>#N/A</v>
      </c>
      <c r="EJ663" s="68" t="e">
        <f t="shared" si="819"/>
        <v>#N/A</v>
      </c>
      <c r="EK663" s="68" t="e">
        <f t="shared" si="820"/>
        <v>#N/A</v>
      </c>
      <c r="EL663" s="46">
        <f t="shared" si="821"/>
        <v>0</v>
      </c>
      <c r="EM663" s="46">
        <f t="shared" si="822"/>
        <v>0</v>
      </c>
    </row>
    <row r="664" spans="1:143">
      <c r="A664" s="89"/>
      <c r="B664" s="89"/>
      <c r="C664" s="89"/>
      <c r="D664" s="89"/>
      <c r="E664" s="89"/>
      <c r="F664" s="89"/>
      <c r="G664" s="34"/>
      <c r="H664" s="56">
        <f t="shared" si="823"/>
        <v>650</v>
      </c>
      <c r="I664" s="165"/>
      <c r="J664" s="163"/>
      <c r="K664" s="163"/>
      <c r="L664" s="164"/>
      <c r="M664" s="155"/>
      <c r="N664" s="155"/>
      <c r="O664" s="144"/>
      <c r="P664" s="159" t="str">
        <f>IFERROR(IF(O664&lt;&gt;"User Specified",IF(O664&lt;&gt;"", INDEX('Refrigerant GWPs'!$G$2:$G$154,MATCH(O664,'Refrigerant GWPs'!$A$2:$A$154,0)),""),U664),0)</f>
        <v/>
      </c>
      <c r="Q664" s="155"/>
      <c r="R664" s="155"/>
      <c r="S664" s="144"/>
      <c r="T664" s="159" t="str">
        <f>IF(S664&lt;&gt;"User Specified",IF(AND(S664&lt;&gt;"User Specified",S664&lt;&gt;""), INDEX('Refrigerant GWPs'!$G$2:$G$154,MATCH(S664,'Refrigerant GWPs'!$A$2:$A$154,0)),""),V664)</f>
        <v/>
      </c>
      <c r="U664" s="144"/>
      <c r="V664" s="144"/>
      <c r="W664" s="155"/>
      <c r="X664" s="155"/>
      <c r="Y664" s="144"/>
      <c r="Z664" s="159" t="str">
        <f>IF(AND(Y664&lt;&gt;"User Specified",Y664&lt;&gt;""), INDEX('Refrigerant GWPs'!$G$2:$G$154,MATCH(Y664,'Refrigerant GWPs'!$A$2:$A$154,0)),"")</f>
        <v/>
      </c>
      <c r="AA664" s="155"/>
      <c r="AB664" s="156"/>
      <c r="AC664" s="66"/>
      <c r="AD664" s="66"/>
      <c r="AE664" s="66"/>
      <c r="AF664" s="66"/>
      <c r="AG664" s="66"/>
      <c r="AH664" s="66"/>
      <c r="AI664" s="34"/>
      <c r="AJ664" s="88">
        <f t="shared" si="786"/>
        <v>0</v>
      </c>
      <c r="AK664" s="88">
        <f t="shared" si="787"/>
        <v>0</v>
      </c>
      <c r="AL664" s="88">
        <v>0</v>
      </c>
      <c r="AM664" s="88">
        <v>0</v>
      </c>
      <c r="AN664" s="81" t="str">
        <f t="shared" si="825"/>
        <v/>
      </c>
      <c r="AO664" s="88">
        <f t="shared" si="788"/>
        <v>0</v>
      </c>
      <c r="AP664" s="88">
        <f t="shared" si="789"/>
        <v>0</v>
      </c>
      <c r="AQ664" s="81" t="str">
        <f t="shared" si="790"/>
        <v/>
      </c>
      <c r="AS664" s="41" t="b">
        <f t="shared" si="791"/>
        <v>1</v>
      </c>
      <c r="AT664" s="38">
        <f t="shared" si="792"/>
        <v>0</v>
      </c>
      <c r="AU664" s="60">
        <f t="shared" si="793"/>
        <v>0</v>
      </c>
      <c r="AV664" s="41">
        <f t="shared" si="794"/>
        <v>0</v>
      </c>
      <c r="AW664" s="41" t="b">
        <f t="shared" si="795"/>
        <v>0</v>
      </c>
      <c r="AX664" t="str">
        <f t="shared" si="796"/>
        <v>+00</v>
      </c>
      <c r="AY664" t="str">
        <f t="shared" si="797"/>
        <v>+00</v>
      </c>
      <c r="BA664" s="47" t="b">
        <f t="shared" si="826"/>
        <v>1</v>
      </c>
      <c r="BB664" s="42" t="b">
        <f t="shared" si="827"/>
        <v>1</v>
      </c>
      <c r="BC664" s="42" t="b">
        <f t="shared" si="828"/>
        <v>0</v>
      </c>
      <c r="BD664" s="42" t="b">
        <f t="shared" si="829"/>
        <v>0</v>
      </c>
      <c r="BE664" s="70">
        <f t="shared" si="830"/>
        <v>0</v>
      </c>
      <c r="BF664" s="70">
        <f t="shared" si="831"/>
        <v>0</v>
      </c>
      <c r="BG664" s="34"/>
      <c r="BI664" s="47" t="b">
        <f t="shared" si="832"/>
        <v>1</v>
      </c>
      <c r="BJ664" s="47" t="b">
        <f t="shared" si="833"/>
        <v>1</v>
      </c>
      <c r="BK664" s="42" t="b">
        <f t="shared" si="834"/>
        <v>0</v>
      </c>
      <c r="BL664" s="42" t="b">
        <f t="shared" si="835"/>
        <v>0</v>
      </c>
      <c r="BM664" s="42">
        <f t="shared" si="836"/>
        <v>0</v>
      </c>
      <c r="BN664" s="42">
        <f t="shared" si="837"/>
        <v>0</v>
      </c>
      <c r="BP664" t="e">
        <f t="shared" si="838"/>
        <v>#N/A</v>
      </c>
      <c r="BQ664" t="e">
        <f t="shared" si="839"/>
        <v>#N/A</v>
      </c>
      <c r="BR664" t="e">
        <f t="shared" si="840"/>
        <v>#N/A</v>
      </c>
      <c r="BT664" s="60">
        <f t="shared" si="841"/>
        <v>0</v>
      </c>
      <c r="BU664" s="60">
        <f t="shared" si="842"/>
        <v>0</v>
      </c>
      <c r="BV664" s="60">
        <f t="shared" si="843"/>
        <v>0</v>
      </c>
      <c r="BW664" s="60">
        <f t="shared" si="844"/>
        <v>0</v>
      </c>
      <c r="BX664" s="60">
        <f t="shared" si="845"/>
        <v>0</v>
      </c>
      <c r="BY664" s="60">
        <f t="shared" si="846"/>
        <v>0</v>
      </c>
      <c r="BZ664" s="60">
        <f t="shared" si="847"/>
        <v>0</v>
      </c>
      <c r="CA664" s="60">
        <f t="shared" si="848"/>
        <v>0</v>
      </c>
      <c r="CB664" s="60" t="e">
        <f t="shared" si="798"/>
        <v>#N/A</v>
      </c>
      <c r="CC664" s="60">
        <f t="shared" si="799"/>
        <v>100000</v>
      </c>
      <c r="CD664" s="60" t="e">
        <f t="shared" si="800"/>
        <v>#N/A</v>
      </c>
      <c r="CE664" s="60">
        <f t="shared" si="801"/>
        <v>100000</v>
      </c>
      <c r="CF664" s="83" t="e">
        <f t="shared" si="849"/>
        <v>#N/A</v>
      </c>
      <c r="CG664" s="83">
        <f t="shared" si="850"/>
        <v>0</v>
      </c>
      <c r="CH664" s="83" t="e">
        <f t="shared" si="851"/>
        <v>#N/A</v>
      </c>
      <c r="CI664" s="83">
        <f t="shared" si="852"/>
        <v>0</v>
      </c>
      <c r="CJ664" s="86" t="e">
        <f t="shared" si="802"/>
        <v>#N/A</v>
      </c>
      <c r="CK664" s="82">
        <f t="shared" si="803"/>
        <v>5.3070370403969858E-3</v>
      </c>
      <c r="CL664" s="82" t="e">
        <f t="shared" si="804"/>
        <v>#N/A</v>
      </c>
      <c r="CM664" s="82">
        <f t="shared" si="805"/>
        <v>5.3070370403969858E-3</v>
      </c>
      <c r="CO664" s="149" t="str">
        <f>IF($I664&lt;&gt;"",IF(O664="User Specified",U664,INDEX('Refrigerant GWPs'!$G$2:$G$156,MATCH(O664,'Refrigerant GWPs'!$A$2:$A$156,0))),"")</f>
        <v/>
      </c>
      <c r="CP664" s="138" t="str">
        <f>IF($I664&lt;&gt;"",INDEX('Device Refrigerant Leakage'!$E$2:$E$42,MATCH($M664,'Device Refrigerant Leakage'!$B$2:$B$42,0)),"")</f>
        <v/>
      </c>
      <c r="CQ664" s="138" t="str">
        <f>IF($I664&lt;&gt;"",INDEX('Device Refrigerant Leakage'!$F$2:$F$42,MATCH($M664,'Device Refrigerant Leakage'!$B$2:$B$42,0)),"")</f>
        <v/>
      </c>
      <c r="CR664" s="145" t="str">
        <f>IF($I664&lt;&gt;"",INDEX('Device Refrigerant Leakage'!$G$2:$G$42,MATCH($M664,'Device Refrigerant Leakage'!$B$2:$B$42,0)),"")</f>
        <v/>
      </c>
      <c r="CS664" s="145" t="str">
        <f>IF($I664&lt;&gt;"",INDEX('Device Refrigerant Leakage'!$D$2:$D$42,MATCH($M664,'Device Refrigerant Leakage'!$B$2:$B$42,0))*CP664/2204.62*CO664,"")</f>
        <v/>
      </c>
      <c r="CT664" s="145" t="str">
        <f>IF($I664&lt;&gt;"",J664*(INDEX('Device Refrigerant Leakage'!$D$2:$D$42,MATCH($M664,'Device Refrigerant Leakage'!$B$2:$B$42,0))-(INDEX('Device Refrigerant Leakage'!$D$2:$D$42,MATCH($M664,'Device Refrigerant Leakage'!$B$2:$B$42,0)))*CR664*CP664)*CQ664/2204.62*CO664,"")</f>
        <v/>
      </c>
      <c r="CU664" s="135" t="str">
        <f>IF($I664&lt;&gt;"",J664*IF(W664&lt;&gt;"AR",(CS664*K664)+CT664,(CS664*AB664)+CT664*(AB664/INDEX('Device Refrigerant Leakage'!$C$2:$C$42,MATCH($M664,'Device Refrigerant Leakage'!$B$2:$B$42,0)))),"")</f>
        <v/>
      </c>
      <c r="CW664" s="135" t="str">
        <f>IF($I664&lt;&gt;"",IF(S664="User Specified",V664,INDEX('Refrigerant GWPs'!$G$2:$G$156,MATCH(S664,'Refrigerant GWPs'!$A$2:$A$157,0))),"")</f>
        <v/>
      </c>
      <c r="CX664" s="138" t="str">
        <f>IF($I664&lt;&gt;"",INDEX('Device Refrigerant Leakage'!$E$2:$E$42,MATCH($Q664,'Device Refrigerant Leakage'!$B$2:$B$42,0)),"")</f>
        <v/>
      </c>
      <c r="CY664" s="138" t="str">
        <f>IF($I664&lt;&gt;"",INDEX('Device Refrigerant Leakage'!$F$2:$F$42,MATCH($Q664,'Device Refrigerant Leakage'!$B$2:$B$42,0)),"")</f>
        <v/>
      </c>
      <c r="CZ664" s="145" t="str">
        <f>IF($I664&lt;&gt;"",INDEX('Device Refrigerant Leakage'!$G$2:$G$42,MATCH($Q664,'Device Refrigerant Leakage'!$B$2:$B$42,0)),"")</f>
        <v/>
      </c>
      <c r="DA664" s="145" t="str">
        <f>IF($I664&lt;&gt;"",J664*INDEX('Device Refrigerant Leakage'!$D$2:$D$42,MATCH($Q664,'Device Refrigerant Leakage'!$B$2:$B$42,0))*CX664/2204.62*CW664,"")</f>
        <v/>
      </c>
      <c r="DB664" s="145" t="str">
        <f>IF($I664&lt;&gt;"",J664*(INDEX('Device Refrigerant Leakage'!$D$2:$D$42,MATCH($Q664,'Device Refrigerant Leakage'!$B$2:$B$42,0))-(INDEX('Device Refrigerant Leakage'!$D$2:$D$42,MATCH($Q664,'Device Refrigerant Leakage'!$B$2:$B$42,0)))*CZ664*CX664)*CY664/2204.62*CW664,"")</f>
        <v/>
      </c>
      <c r="DC664" s="135" t="str">
        <f t="shared" si="824"/>
        <v/>
      </c>
      <c r="DE664" s="146" t="str">
        <f>IF(W664&lt;&gt;"AR","",IF(Y664="User Specified", AA664, INDEX('Refrigerant GWPs'!$G$2:$G$154,MATCH(Y664,'Refrigerant GWPs'!$A$2:$A$154,0))))</f>
        <v/>
      </c>
      <c r="DF664" s="146" t="str">
        <f>IF(W664&lt;&gt;"AR","",INDEX('Device Refrigerant Leakage'!$E$2:$E$42,MATCH(X664,'Device Refrigerant Leakage'!$B$2:$B$42,0)))</f>
        <v/>
      </c>
      <c r="DG664" s="146" t="str">
        <f>IF(W664&lt;&gt;"AR","",INDEX('Device Refrigerant Leakage'!$F$2:$F$42,MATCH(X664,'Device Refrigerant Leakage'!$B$2:$B$42,0)))</f>
        <v/>
      </c>
      <c r="DH664" s="146" t="str">
        <f>IF(W664&lt;&gt;"AR","",INDEX('Device Refrigerant Leakage'!$G$2:$G$42,MATCH(X664,'Device Refrigerant Leakage'!$B$2:$B$42,0)))</f>
        <v/>
      </c>
      <c r="DI664" s="146" t="str">
        <f>IF(W664&lt;&gt;"AR","",J664*INDEX('Device Refrigerant Leakage'!$D$2:$D$42,MATCH(X664,'Device Refrigerant Leakage'!$B$2:$B$42,0))*DF664/2204.62*DE664)</f>
        <v/>
      </c>
      <c r="DJ664" s="146" t="str">
        <f>IF(W664&lt;&gt;"AR","",J664*(INDEX('Device Refrigerant Leakage'!$D$2:$D$42,MATCH(X664,'Device Refrigerant Leakage'!$B$2:$B$42,0))-(INDEX('Device Refrigerant Leakage'!$D$2:$D$42,MATCH(X664,'Device Refrigerant Leakage'!$B$2:$B$42,0)))*DH664*DF664)*DG664/2204.62*DE664)</f>
        <v/>
      </c>
      <c r="DK664" s="146" t="str">
        <f>IF(W664&lt;&gt;"AR","",DI664*(K664-AB664)+'Fuel Sub Calcs-Deemed'!DJ664*((K664-AB664)/INDEX('Device Refrigerant Leakage'!$C$2:$C$42,MATCH('Fuel Sub Calcs-Deemed'!X664,'Device Refrigerant Leakage'!$B$2:$B$42,0))))</f>
        <v/>
      </c>
      <c r="DM664" s="56">
        <v>650</v>
      </c>
      <c r="DN664" s="67" t="e">
        <f t="shared" si="806"/>
        <v>#N/A</v>
      </c>
      <c r="DO664" s="45" t="e">
        <f t="shared" si="807"/>
        <v>#N/A</v>
      </c>
      <c r="DP664" s="67" t="e">
        <f t="shared" si="808"/>
        <v>#N/A</v>
      </c>
      <c r="DQ664" s="45" t="e">
        <f t="shared" si="809"/>
        <v>#N/A</v>
      </c>
      <c r="DR664" s="69" t="e">
        <f t="shared" si="810"/>
        <v>#N/A</v>
      </c>
      <c r="DS664" s="34"/>
      <c r="DT664" s="67" t="e">
        <f>((BX664*CJ664)+IF($W664=MAT_AR,(BZ664*CL664),0))*(1+Reference!$E$50+Reference!$E$51)</f>
        <v>#N/A</v>
      </c>
      <c r="DU664" s="67">
        <f>((BY664*CK664)+IF($W664=MAT_AR,(CA664*CM664),0))*(1+Reference!$G$50+Reference!$G$51)</f>
        <v>0</v>
      </c>
      <c r="DV664" s="67" t="e">
        <f t="shared" si="811"/>
        <v>#VALUE!</v>
      </c>
      <c r="DX664" s="56">
        <v>650</v>
      </c>
      <c r="DY664" s="67">
        <f t="shared" si="812"/>
        <v>0</v>
      </c>
      <c r="DZ664" s="45" t="e">
        <f>VLOOKUP($R664,Dropdown!$C$3:$D$4,2,FALSE)</f>
        <v>#N/A</v>
      </c>
      <c r="EA664" s="68">
        <f t="shared" si="813"/>
        <v>0</v>
      </c>
      <c r="EB664" s="68" t="str">
        <f t="shared" si="814"/>
        <v>N/A</v>
      </c>
      <c r="EC664" s="68">
        <f t="shared" si="815"/>
        <v>0</v>
      </c>
      <c r="ED664" s="68" t="str">
        <f t="shared" si="853"/>
        <v>N/A</v>
      </c>
      <c r="EF664" s="56">
        <v>650</v>
      </c>
      <c r="EG664" s="46">
        <f t="shared" si="816"/>
        <v>0</v>
      </c>
      <c r="EH664" s="68" t="e">
        <f t="shared" si="817"/>
        <v>#N/A</v>
      </c>
      <c r="EI664" s="68" t="e">
        <f t="shared" si="818"/>
        <v>#N/A</v>
      </c>
      <c r="EJ664" s="68" t="e">
        <f t="shared" si="819"/>
        <v>#N/A</v>
      </c>
      <c r="EK664" s="68" t="e">
        <f t="shared" si="820"/>
        <v>#N/A</v>
      </c>
      <c r="EL664" s="46">
        <f t="shared" si="821"/>
        <v>0</v>
      </c>
      <c r="EM664" s="46">
        <f t="shared" si="822"/>
        <v>0</v>
      </c>
    </row>
    <row r="665" spans="1:143">
      <c r="A665" s="89"/>
      <c r="B665" s="89"/>
      <c r="C665" s="89"/>
      <c r="D665" s="89"/>
      <c r="E665" s="89"/>
      <c r="F665" s="89"/>
      <c r="G665" s="34"/>
      <c r="H665" s="56">
        <f t="shared" si="823"/>
        <v>651</v>
      </c>
      <c r="I665" s="165"/>
      <c r="J665" s="163"/>
      <c r="K665" s="163"/>
      <c r="L665" s="164"/>
      <c r="M665" s="155"/>
      <c r="N665" s="155"/>
      <c r="O665" s="144"/>
      <c r="P665" s="159" t="str">
        <f>IFERROR(IF(O665&lt;&gt;"User Specified",IF(O665&lt;&gt;"", INDEX('Refrigerant GWPs'!$G$2:$G$154,MATCH(O665,'Refrigerant GWPs'!$A$2:$A$154,0)),""),U665),0)</f>
        <v/>
      </c>
      <c r="Q665" s="155"/>
      <c r="R665" s="155"/>
      <c r="S665" s="144"/>
      <c r="T665" s="159" t="str">
        <f>IF(S665&lt;&gt;"User Specified",IF(AND(S665&lt;&gt;"User Specified",S665&lt;&gt;""), INDEX('Refrigerant GWPs'!$G$2:$G$154,MATCH(S665,'Refrigerant GWPs'!$A$2:$A$154,0)),""),V665)</f>
        <v/>
      </c>
      <c r="U665" s="144"/>
      <c r="V665" s="144"/>
      <c r="W665" s="155"/>
      <c r="X665" s="155"/>
      <c r="Y665" s="144"/>
      <c r="Z665" s="159" t="str">
        <f>IF(AND(Y665&lt;&gt;"User Specified",Y665&lt;&gt;""), INDEX('Refrigerant GWPs'!$G$2:$G$154,MATCH(Y665,'Refrigerant GWPs'!$A$2:$A$154,0)),"")</f>
        <v/>
      </c>
      <c r="AA665" s="155"/>
      <c r="AB665" s="156"/>
      <c r="AC665" s="66"/>
      <c r="AD665" s="66"/>
      <c r="AE665" s="66"/>
      <c r="AF665" s="66"/>
      <c r="AG665" s="66"/>
      <c r="AH665" s="66"/>
      <c r="AI665" s="34"/>
      <c r="AJ665" s="88">
        <f t="shared" si="786"/>
        <v>0</v>
      </c>
      <c r="AK665" s="88">
        <f t="shared" si="787"/>
        <v>0</v>
      </c>
      <c r="AL665" s="88">
        <v>0</v>
      </c>
      <c r="AM665" s="88">
        <v>0</v>
      </c>
      <c r="AN665" s="81" t="str">
        <f t="shared" si="825"/>
        <v/>
      </c>
      <c r="AO665" s="88">
        <f t="shared" si="788"/>
        <v>0</v>
      </c>
      <c r="AP665" s="88">
        <f t="shared" si="789"/>
        <v>0</v>
      </c>
      <c r="AQ665" s="81" t="str">
        <f t="shared" si="790"/>
        <v/>
      </c>
      <c r="AS665" s="41" t="b">
        <f t="shared" si="791"/>
        <v>1</v>
      </c>
      <c r="AT665" s="38">
        <f t="shared" si="792"/>
        <v>0</v>
      </c>
      <c r="AU665" s="60">
        <f t="shared" si="793"/>
        <v>0</v>
      </c>
      <c r="AV665" s="41">
        <f t="shared" si="794"/>
        <v>0</v>
      </c>
      <c r="AW665" s="41" t="b">
        <f t="shared" si="795"/>
        <v>0</v>
      </c>
      <c r="AX665" t="str">
        <f t="shared" si="796"/>
        <v>+00</v>
      </c>
      <c r="AY665" t="str">
        <f t="shared" si="797"/>
        <v>+00</v>
      </c>
      <c r="BA665" s="47" t="b">
        <f t="shared" si="826"/>
        <v>1</v>
      </c>
      <c r="BB665" s="42" t="b">
        <f t="shared" si="827"/>
        <v>1</v>
      </c>
      <c r="BC665" s="42" t="b">
        <f t="shared" si="828"/>
        <v>0</v>
      </c>
      <c r="BD665" s="42" t="b">
        <f t="shared" si="829"/>
        <v>0</v>
      </c>
      <c r="BE665" s="70">
        <f t="shared" si="830"/>
        <v>0</v>
      </c>
      <c r="BF665" s="70">
        <f t="shared" si="831"/>
        <v>0</v>
      </c>
      <c r="BG665" s="34"/>
      <c r="BI665" s="47" t="b">
        <f t="shared" si="832"/>
        <v>1</v>
      </c>
      <c r="BJ665" s="47" t="b">
        <f t="shared" si="833"/>
        <v>1</v>
      </c>
      <c r="BK665" s="42" t="b">
        <f t="shared" si="834"/>
        <v>0</v>
      </c>
      <c r="BL665" s="42" t="b">
        <f t="shared" si="835"/>
        <v>0</v>
      </c>
      <c r="BM665" s="42">
        <f t="shared" si="836"/>
        <v>0</v>
      </c>
      <c r="BN665" s="42">
        <f t="shared" si="837"/>
        <v>0</v>
      </c>
      <c r="BP665" t="e">
        <f t="shared" si="838"/>
        <v>#N/A</v>
      </c>
      <c r="BQ665" t="e">
        <f t="shared" si="839"/>
        <v>#N/A</v>
      </c>
      <c r="BR665" t="e">
        <f t="shared" si="840"/>
        <v>#N/A</v>
      </c>
      <c r="BT665" s="60">
        <f t="shared" si="841"/>
        <v>0</v>
      </c>
      <c r="BU665" s="60">
        <f t="shared" si="842"/>
        <v>0</v>
      </c>
      <c r="BV665" s="60">
        <f t="shared" si="843"/>
        <v>0</v>
      </c>
      <c r="BW665" s="60">
        <f t="shared" si="844"/>
        <v>0</v>
      </c>
      <c r="BX665" s="60">
        <f t="shared" si="845"/>
        <v>0</v>
      </c>
      <c r="BY665" s="60">
        <f t="shared" si="846"/>
        <v>0</v>
      </c>
      <c r="BZ665" s="60">
        <f t="shared" si="847"/>
        <v>0</v>
      </c>
      <c r="CA665" s="60">
        <f t="shared" si="848"/>
        <v>0</v>
      </c>
      <c r="CB665" s="60" t="e">
        <f t="shared" si="798"/>
        <v>#N/A</v>
      </c>
      <c r="CC665" s="60">
        <f t="shared" si="799"/>
        <v>100000</v>
      </c>
      <c r="CD665" s="60" t="e">
        <f t="shared" si="800"/>
        <v>#N/A</v>
      </c>
      <c r="CE665" s="60">
        <f t="shared" si="801"/>
        <v>100000</v>
      </c>
      <c r="CF665" s="83" t="e">
        <f t="shared" si="849"/>
        <v>#N/A</v>
      </c>
      <c r="CG665" s="83">
        <f t="shared" si="850"/>
        <v>0</v>
      </c>
      <c r="CH665" s="83" t="e">
        <f t="shared" si="851"/>
        <v>#N/A</v>
      </c>
      <c r="CI665" s="83">
        <f t="shared" si="852"/>
        <v>0</v>
      </c>
      <c r="CJ665" s="86" t="e">
        <f t="shared" si="802"/>
        <v>#N/A</v>
      </c>
      <c r="CK665" s="82">
        <f t="shared" si="803"/>
        <v>5.3070370403969858E-3</v>
      </c>
      <c r="CL665" s="82" t="e">
        <f t="shared" si="804"/>
        <v>#N/A</v>
      </c>
      <c r="CM665" s="82">
        <f t="shared" si="805"/>
        <v>5.3070370403969858E-3</v>
      </c>
      <c r="CO665" s="149" t="str">
        <f>IF($I665&lt;&gt;"",IF(O665="User Specified",U665,INDEX('Refrigerant GWPs'!$G$2:$G$156,MATCH(O665,'Refrigerant GWPs'!$A$2:$A$156,0))),"")</f>
        <v/>
      </c>
      <c r="CP665" s="138" t="str">
        <f>IF($I665&lt;&gt;"",INDEX('Device Refrigerant Leakage'!$E$2:$E$42,MATCH($M665,'Device Refrigerant Leakage'!$B$2:$B$42,0)),"")</f>
        <v/>
      </c>
      <c r="CQ665" s="138" t="str">
        <f>IF($I665&lt;&gt;"",INDEX('Device Refrigerant Leakage'!$F$2:$F$42,MATCH($M665,'Device Refrigerant Leakage'!$B$2:$B$42,0)),"")</f>
        <v/>
      </c>
      <c r="CR665" s="145" t="str">
        <f>IF($I665&lt;&gt;"",INDEX('Device Refrigerant Leakage'!$G$2:$G$42,MATCH($M665,'Device Refrigerant Leakage'!$B$2:$B$42,0)),"")</f>
        <v/>
      </c>
      <c r="CS665" s="145" t="str">
        <f>IF($I665&lt;&gt;"",INDEX('Device Refrigerant Leakage'!$D$2:$D$42,MATCH($M665,'Device Refrigerant Leakage'!$B$2:$B$42,0))*CP665/2204.62*CO665,"")</f>
        <v/>
      </c>
      <c r="CT665" s="145" t="str">
        <f>IF($I665&lt;&gt;"",J665*(INDEX('Device Refrigerant Leakage'!$D$2:$D$42,MATCH($M665,'Device Refrigerant Leakage'!$B$2:$B$42,0))-(INDEX('Device Refrigerant Leakage'!$D$2:$D$42,MATCH($M665,'Device Refrigerant Leakage'!$B$2:$B$42,0)))*CR665*CP665)*CQ665/2204.62*CO665,"")</f>
        <v/>
      </c>
      <c r="CU665" s="135" t="str">
        <f>IF($I665&lt;&gt;"",J665*IF(W665&lt;&gt;"AR",(CS665*K665)+CT665,(CS665*AB665)+CT665*(AB665/INDEX('Device Refrigerant Leakage'!$C$2:$C$42,MATCH($M665,'Device Refrigerant Leakage'!$B$2:$B$42,0)))),"")</f>
        <v/>
      </c>
      <c r="CW665" s="135" t="str">
        <f>IF($I665&lt;&gt;"",IF(S665="User Specified",V665,INDEX('Refrigerant GWPs'!$G$2:$G$156,MATCH(S665,'Refrigerant GWPs'!$A$2:$A$157,0))),"")</f>
        <v/>
      </c>
      <c r="CX665" s="138" t="str">
        <f>IF($I665&lt;&gt;"",INDEX('Device Refrigerant Leakage'!$E$2:$E$42,MATCH($Q665,'Device Refrigerant Leakage'!$B$2:$B$42,0)),"")</f>
        <v/>
      </c>
      <c r="CY665" s="138" t="str">
        <f>IF($I665&lt;&gt;"",INDEX('Device Refrigerant Leakage'!$F$2:$F$42,MATCH($Q665,'Device Refrigerant Leakage'!$B$2:$B$42,0)),"")</f>
        <v/>
      </c>
      <c r="CZ665" s="145" t="str">
        <f>IF($I665&lt;&gt;"",INDEX('Device Refrigerant Leakage'!$G$2:$G$42,MATCH($Q665,'Device Refrigerant Leakage'!$B$2:$B$42,0)),"")</f>
        <v/>
      </c>
      <c r="DA665" s="145" t="str">
        <f>IF($I665&lt;&gt;"",J665*INDEX('Device Refrigerant Leakage'!$D$2:$D$42,MATCH($Q665,'Device Refrigerant Leakage'!$B$2:$B$42,0))*CX665/2204.62*CW665,"")</f>
        <v/>
      </c>
      <c r="DB665" s="145" t="str">
        <f>IF($I665&lt;&gt;"",J665*(INDEX('Device Refrigerant Leakage'!$D$2:$D$42,MATCH($Q665,'Device Refrigerant Leakage'!$B$2:$B$42,0))-(INDEX('Device Refrigerant Leakage'!$D$2:$D$42,MATCH($Q665,'Device Refrigerant Leakage'!$B$2:$B$42,0)))*CZ665*CX665)*CY665/2204.62*CW665,"")</f>
        <v/>
      </c>
      <c r="DC665" s="135" t="str">
        <f t="shared" si="824"/>
        <v/>
      </c>
      <c r="DE665" s="146" t="str">
        <f>IF(W665&lt;&gt;"AR","",IF(Y665="User Specified", AA665, INDEX('Refrigerant GWPs'!$G$2:$G$154,MATCH(Y665,'Refrigerant GWPs'!$A$2:$A$154,0))))</f>
        <v/>
      </c>
      <c r="DF665" s="146" t="str">
        <f>IF(W665&lt;&gt;"AR","",INDEX('Device Refrigerant Leakage'!$E$2:$E$42,MATCH(X665,'Device Refrigerant Leakage'!$B$2:$B$42,0)))</f>
        <v/>
      </c>
      <c r="DG665" s="146" t="str">
        <f>IF(W665&lt;&gt;"AR","",INDEX('Device Refrigerant Leakage'!$F$2:$F$42,MATCH(X665,'Device Refrigerant Leakage'!$B$2:$B$42,0)))</f>
        <v/>
      </c>
      <c r="DH665" s="146" t="str">
        <f>IF(W665&lt;&gt;"AR","",INDEX('Device Refrigerant Leakage'!$G$2:$G$42,MATCH(X665,'Device Refrigerant Leakage'!$B$2:$B$42,0)))</f>
        <v/>
      </c>
      <c r="DI665" s="146" t="str">
        <f>IF(W665&lt;&gt;"AR","",J665*INDEX('Device Refrigerant Leakage'!$D$2:$D$42,MATCH(X665,'Device Refrigerant Leakage'!$B$2:$B$42,0))*DF665/2204.62*DE665)</f>
        <v/>
      </c>
      <c r="DJ665" s="146" t="str">
        <f>IF(W665&lt;&gt;"AR","",J665*(INDEX('Device Refrigerant Leakage'!$D$2:$D$42,MATCH(X665,'Device Refrigerant Leakage'!$B$2:$B$42,0))-(INDEX('Device Refrigerant Leakage'!$D$2:$D$42,MATCH(X665,'Device Refrigerant Leakage'!$B$2:$B$42,0)))*DH665*DF665)*DG665/2204.62*DE665)</f>
        <v/>
      </c>
      <c r="DK665" s="146" t="str">
        <f>IF(W665&lt;&gt;"AR","",DI665*(K665-AB665)+'Fuel Sub Calcs-Deemed'!DJ665*((K665-AB665)/INDEX('Device Refrigerant Leakage'!$C$2:$C$42,MATCH('Fuel Sub Calcs-Deemed'!X665,'Device Refrigerant Leakage'!$B$2:$B$42,0))))</f>
        <v/>
      </c>
      <c r="DM665" s="56">
        <v>651</v>
      </c>
      <c r="DN665" s="67" t="e">
        <f t="shared" si="806"/>
        <v>#N/A</v>
      </c>
      <c r="DO665" s="45" t="e">
        <f t="shared" si="807"/>
        <v>#N/A</v>
      </c>
      <c r="DP665" s="67" t="e">
        <f t="shared" si="808"/>
        <v>#N/A</v>
      </c>
      <c r="DQ665" s="45" t="e">
        <f t="shared" si="809"/>
        <v>#N/A</v>
      </c>
      <c r="DR665" s="69" t="e">
        <f t="shared" si="810"/>
        <v>#N/A</v>
      </c>
      <c r="DS665" s="34"/>
      <c r="DT665" s="67" t="e">
        <f>((BX665*CJ665)+IF($W665=MAT_AR,(BZ665*CL665),0))*(1+Reference!$E$50+Reference!$E$51)</f>
        <v>#N/A</v>
      </c>
      <c r="DU665" s="67">
        <f>((BY665*CK665)+IF($W665=MAT_AR,(CA665*CM665),0))*(1+Reference!$G$50+Reference!$G$51)</f>
        <v>0</v>
      </c>
      <c r="DV665" s="67" t="e">
        <f t="shared" si="811"/>
        <v>#VALUE!</v>
      </c>
      <c r="DX665" s="56">
        <v>651</v>
      </c>
      <c r="DY665" s="67">
        <f t="shared" si="812"/>
        <v>0</v>
      </c>
      <c r="DZ665" s="45" t="e">
        <f>VLOOKUP($R665,Dropdown!$C$3:$D$4,2,FALSE)</f>
        <v>#N/A</v>
      </c>
      <c r="EA665" s="68">
        <f t="shared" si="813"/>
        <v>0</v>
      </c>
      <c r="EB665" s="68" t="str">
        <f t="shared" si="814"/>
        <v>N/A</v>
      </c>
      <c r="EC665" s="68">
        <f t="shared" si="815"/>
        <v>0</v>
      </c>
      <c r="ED665" s="68" t="str">
        <f t="shared" si="853"/>
        <v>N/A</v>
      </c>
      <c r="EF665" s="56">
        <v>651</v>
      </c>
      <c r="EG665" s="46">
        <f t="shared" si="816"/>
        <v>0</v>
      </c>
      <c r="EH665" s="68" t="e">
        <f t="shared" si="817"/>
        <v>#N/A</v>
      </c>
      <c r="EI665" s="68" t="e">
        <f t="shared" si="818"/>
        <v>#N/A</v>
      </c>
      <c r="EJ665" s="68" t="e">
        <f t="shared" si="819"/>
        <v>#N/A</v>
      </c>
      <c r="EK665" s="68" t="e">
        <f t="shared" si="820"/>
        <v>#N/A</v>
      </c>
      <c r="EL665" s="46">
        <f t="shared" si="821"/>
        <v>0</v>
      </c>
      <c r="EM665" s="46">
        <f t="shared" si="822"/>
        <v>0</v>
      </c>
    </row>
    <row r="666" spans="1:143">
      <c r="A666" s="89"/>
      <c r="B666" s="89"/>
      <c r="C666" s="89"/>
      <c r="D666" s="89"/>
      <c r="E666" s="89"/>
      <c r="F666" s="89"/>
      <c r="G666" s="34"/>
      <c r="H666" s="56">
        <f t="shared" si="823"/>
        <v>652</v>
      </c>
      <c r="I666" s="165"/>
      <c r="J666" s="163"/>
      <c r="K666" s="163"/>
      <c r="L666" s="164"/>
      <c r="M666" s="155"/>
      <c r="N666" s="155"/>
      <c r="O666" s="144"/>
      <c r="P666" s="159" t="str">
        <f>IFERROR(IF(O666&lt;&gt;"User Specified",IF(O666&lt;&gt;"", INDEX('Refrigerant GWPs'!$G$2:$G$154,MATCH(O666,'Refrigerant GWPs'!$A$2:$A$154,0)),""),U666),0)</f>
        <v/>
      </c>
      <c r="Q666" s="155"/>
      <c r="R666" s="155"/>
      <c r="S666" s="144"/>
      <c r="T666" s="159" t="str">
        <f>IF(S666&lt;&gt;"User Specified",IF(AND(S666&lt;&gt;"User Specified",S666&lt;&gt;""), INDEX('Refrigerant GWPs'!$G$2:$G$154,MATCH(S666,'Refrigerant GWPs'!$A$2:$A$154,0)),""),V666)</f>
        <v/>
      </c>
      <c r="U666" s="144"/>
      <c r="V666" s="144"/>
      <c r="W666" s="155"/>
      <c r="X666" s="155"/>
      <c r="Y666" s="144"/>
      <c r="Z666" s="159" t="str">
        <f>IF(AND(Y666&lt;&gt;"User Specified",Y666&lt;&gt;""), INDEX('Refrigerant GWPs'!$G$2:$G$154,MATCH(Y666,'Refrigerant GWPs'!$A$2:$A$154,0)),"")</f>
        <v/>
      </c>
      <c r="AA666" s="155"/>
      <c r="AB666" s="156"/>
      <c r="AC666" s="66"/>
      <c r="AD666" s="66"/>
      <c r="AE666" s="66"/>
      <c r="AF666" s="66"/>
      <c r="AG666" s="66"/>
      <c r="AH666" s="66"/>
      <c r="AI666" s="34"/>
      <c r="AJ666" s="88">
        <f t="shared" si="786"/>
        <v>0</v>
      </c>
      <c r="AK666" s="88">
        <f t="shared" si="787"/>
        <v>0</v>
      </c>
      <c r="AL666" s="88">
        <v>0</v>
      </c>
      <c r="AM666" s="88">
        <v>0</v>
      </c>
      <c r="AN666" s="81" t="str">
        <f t="shared" si="825"/>
        <v/>
      </c>
      <c r="AO666" s="88">
        <f t="shared" si="788"/>
        <v>0</v>
      </c>
      <c r="AP666" s="88">
        <f t="shared" si="789"/>
        <v>0</v>
      </c>
      <c r="AQ666" s="81" t="str">
        <f t="shared" si="790"/>
        <v/>
      </c>
      <c r="AS666" s="41" t="b">
        <f t="shared" si="791"/>
        <v>1</v>
      </c>
      <c r="AT666" s="38">
        <f t="shared" si="792"/>
        <v>0</v>
      </c>
      <c r="AU666" s="60">
        <f t="shared" si="793"/>
        <v>0</v>
      </c>
      <c r="AV666" s="41">
        <f t="shared" si="794"/>
        <v>0</v>
      </c>
      <c r="AW666" s="41" t="b">
        <f t="shared" si="795"/>
        <v>0</v>
      </c>
      <c r="AX666" t="str">
        <f t="shared" si="796"/>
        <v>+00</v>
      </c>
      <c r="AY666" t="str">
        <f t="shared" si="797"/>
        <v>+00</v>
      </c>
      <c r="BA666" s="47" t="b">
        <f t="shared" si="826"/>
        <v>1</v>
      </c>
      <c r="BB666" s="42" t="b">
        <f t="shared" si="827"/>
        <v>1</v>
      </c>
      <c r="BC666" s="42" t="b">
        <f t="shared" si="828"/>
        <v>0</v>
      </c>
      <c r="BD666" s="42" t="b">
        <f t="shared" si="829"/>
        <v>0</v>
      </c>
      <c r="BE666" s="70">
        <f t="shared" si="830"/>
        <v>0</v>
      </c>
      <c r="BF666" s="70">
        <f t="shared" si="831"/>
        <v>0</v>
      </c>
      <c r="BG666" s="34"/>
      <c r="BI666" s="47" t="b">
        <f t="shared" si="832"/>
        <v>1</v>
      </c>
      <c r="BJ666" s="47" t="b">
        <f t="shared" si="833"/>
        <v>1</v>
      </c>
      <c r="BK666" s="42" t="b">
        <f t="shared" si="834"/>
        <v>0</v>
      </c>
      <c r="BL666" s="42" t="b">
        <f t="shared" si="835"/>
        <v>0</v>
      </c>
      <c r="BM666" s="42">
        <f t="shared" si="836"/>
        <v>0</v>
      </c>
      <c r="BN666" s="42">
        <f t="shared" si="837"/>
        <v>0</v>
      </c>
      <c r="BP666" t="e">
        <f t="shared" si="838"/>
        <v>#N/A</v>
      </c>
      <c r="BQ666" t="e">
        <f t="shared" si="839"/>
        <v>#N/A</v>
      </c>
      <c r="BR666" t="e">
        <f t="shared" si="840"/>
        <v>#N/A</v>
      </c>
      <c r="BT666" s="60">
        <f t="shared" si="841"/>
        <v>0</v>
      </c>
      <c r="BU666" s="60">
        <f t="shared" si="842"/>
        <v>0</v>
      </c>
      <c r="BV666" s="60">
        <f t="shared" si="843"/>
        <v>0</v>
      </c>
      <c r="BW666" s="60">
        <f t="shared" si="844"/>
        <v>0</v>
      </c>
      <c r="BX666" s="60">
        <f t="shared" si="845"/>
        <v>0</v>
      </c>
      <c r="BY666" s="60">
        <f t="shared" si="846"/>
        <v>0</v>
      </c>
      <c r="BZ666" s="60">
        <f t="shared" si="847"/>
        <v>0</v>
      </c>
      <c r="CA666" s="60">
        <f t="shared" si="848"/>
        <v>0</v>
      </c>
      <c r="CB666" s="60" t="e">
        <f t="shared" si="798"/>
        <v>#N/A</v>
      </c>
      <c r="CC666" s="60">
        <f t="shared" si="799"/>
        <v>100000</v>
      </c>
      <c r="CD666" s="60" t="e">
        <f t="shared" si="800"/>
        <v>#N/A</v>
      </c>
      <c r="CE666" s="60">
        <f t="shared" si="801"/>
        <v>100000</v>
      </c>
      <c r="CF666" s="83" t="e">
        <f t="shared" si="849"/>
        <v>#N/A</v>
      </c>
      <c r="CG666" s="83">
        <f t="shared" si="850"/>
        <v>0</v>
      </c>
      <c r="CH666" s="83" t="e">
        <f t="shared" si="851"/>
        <v>#N/A</v>
      </c>
      <c r="CI666" s="83">
        <f t="shared" si="852"/>
        <v>0</v>
      </c>
      <c r="CJ666" s="86" t="e">
        <f t="shared" si="802"/>
        <v>#N/A</v>
      </c>
      <c r="CK666" s="82">
        <f t="shared" si="803"/>
        <v>5.3070370403969858E-3</v>
      </c>
      <c r="CL666" s="82" t="e">
        <f t="shared" si="804"/>
        <v>#N/A</v>
      </c>
      <c r="CM666" s="82">
        <f t="shared" si="805"/>
        <v>5.3070370403969858E-3</v>
      </c>
      <c r="CO666" s="149" t="str">
        <f>IF($I666&lt;&gt;"",IF(O666="User Specified",U666,INDEX('Refrigerant GWPs'!$G$2:$G$156,MATCH(O666,'Refrigerant GWPs'!$A$2:$A$156,0))),"")</f>
        <v/>
      </c>
      <c r="CP666" s="138" t="str">
        <f>IF($I666&lt;&gt;"",INDEX('Device Refrigerant Leakage'!$E$2:$E$42,MATCH($M666,'Device Refrigerant Leakage'!$B$2:$B$42,0)),"")</f>
        <v/>
      </c>
      <c r="CQ666" s="138" t="str">
        <f>IF($I666&lt;&gt;"",INDEX('Device Refrigerant Leakage'!$F$2:$F$42,MATCH($M666,'Device Refrigerant Leakage'!$B$2:$B$42,0)),"")</f>
        <v/>
      </c>
      <c r="CR666" s="145" t="str">
        <f>IF($I666&lt;&gt;"",INDEX('Device Refrigerant Leakage'!$G$2:$G$42,MATCH($M666,'Device Refrigerant Leakage'!$B$2:$B$42,0)),"")</f>
        <v/>
      </c>
      <c r="CS666" s="145" t="str">
        <f>IF($I666&lt;&gt;"",INDEX('Device Refrigerant Leakage'!$D$2:$D$42,MATCH($M666,'Device Refrigerant Leakage'!$B$2:$B$42,0))*CP666/2204.62*CO666,"")</f>
        <v/>
      </c>
      <c r="CT666" s="145" t="str">
        <f>IF($I666&lt;&gt;"",J666*(INDEX('Device Refrigerant Leakage'!$D$2:$D$42,MATCH($M666,'Device Refrigerant Leakage'!$B$2:$B$42,0))-(INDEX('Device Refrigerant Leakage'!$D$2:$D$42,MATCH($M666,'Device Refrigerant Leakage'!$B$2:$B$42,0)))*CR666*CP666)*CQ666/2204.62*CO666,"")</f>
        <v/>
      </c>
      <c r="CU666" s="135" t="str">
        <f>IF($I666&lt;&gt;"",J666*IF(W666&lt;&gt;"AR",(CS666*K666)+CT666,(CS666*AB666)+CT666*(AB666/INDEX('Device Refrigerant Leakage'!$C$2:$C$42,MATCH($M666,'Device Refrigerant Leakage'!$B$2:$B$42,0)))),"")</f>
        <v/>
      </c>
      <c r="CW666" s="135" t="str">
        <f>IF($I666&lt;&gt;"",IF(S666="User Specified",V666,INDEX('Refrigerant GWPs'!$G$2:$G$156,MATCH(S666,'Refrigerant GWPs'!$A$2:$A$157,0))),"")</f>
        <v/>
      </c>
      <c r="CX666" s="138" t="str">
        <f>IF($I666&lt;&gt;"",INDEX('Device Refrigerant Leakage'!$E$2:$E$42,MATCH($Q666,'Device Refrigerant Leakage'!$B$2:$B$42,0)),"")</f>
        <v/>
      </c>
      <c r="CY666" s="138" t="str">
        <f>IF($I666&lt;&gt;"",INDEX('Device Refrigerant Leakage'!$F$2:$F$42,MATCH($Q666,'Device Refrigerant Leakage'!$B$2:$B$42,0)),"")</f>
        <v/>
      </c>
      <c r="CZ666" s="145" t="str">
        <f>IF($I666&lt;&gt;"",INDEX('Device Refrigerant Leakage'!$G$2:$G$42,MATCH($Q666,'Device Refrigerant Leakage'!$B$2:$B$42,0)),"")</f>
        <v/>
      </c>
      <c r="DA666" s="145" t="str">
        <f>IF($I666&lt;&gt;"",J666*INDEX('Device Refrigerant Leakage'!$D$2:$D$42,MATCH($Q666,'Device Refrigerant Leakage'!$B$2:$B$42,0))*CX666/2204.62*CW666,"")</f>
        <v/>
      </c>
      <c r="DB666" s="145" t="str">
        <f>IF($I666&lt;&gt;"",J666*(INDEX('Device Refrigerant Leakage'!$D$2:$D$42,MATCH($Q666,'Device Refrigerant Leakage'!$B$2:$B$42,0))-(INDEX('Device Refrigerant Leakage'!$D$2:$D$42,MATCH($Q666,'Device Refrigerant Leakage'!$B$2:$B$42,0)))*CZ666*CX666)*CY666/2204.62*CW666,"")</f>
        <v/>
      </c>
      <c r="DC666" s="135" t="str">
        <f t="shared" si="824"/>
        <v/>
      </c>
      <c r="DE666" s="146" t="str">
        <f>IF(W666&lt;&gt;"AR","",IF(Y666="User Specified", AA666, INDEX('Refrigerant GWPs'!$G$2:$G$154,MATCH(Y666,'Refrigerant GWPs'!$A$2:$A$154,0))))</f>
        <v/>
      </c>
      <c r="DF666" s="146" t="str">
        <f>IF(W666&lt;&gt;"AR","",INDEX('Device Refrigerant Leakage'!$E$2:$E$42,MATCH(X666,'Device Refrigerant Leakage'!$B$2:$B$42,0)))</f>
        <v/>
      </c>
      <c r="DG666" s="146" t="str">
        <f>IF(W666&lt;&gt;"AR","",INDEX('Device Refrigerant Leakage'!$F$2:$F$42,MATCH(X666,'Device Refrigerant Leakage'!$B$2:$B$42,0)))</f>
        <v/>
      </c>
      <c r="DH666" s="146" t="str">
        <f>IF(W666&lt;&gt;"AR","",INDEX('Device Refrigerant Leakage'!$G$2:$G$42,MATCH(X666,'Device Refrigerant Leakage'!$B$2:$B$42,0)))</f>
        <v/>
      </c>
      <c r="DI666" s="146" t="str">
        <f>IF(W666&lt;&gt;"AR","",J666*INDEX('Device Refrigerant Leakage'!$D$2:$D$42,MATCH(X666,'Device Refrigerant Leakage'!$B$2:$B$42,0))*DF666/2204.62*DE666)</f>
        <v/>
      </c>
      <c r="DJ666" s="146" t="str">
        <f>IF(W666&lt;&gt;"AR","",J666*(INDEX('Device Refrigerant Leakage'!$D$2:$D$42,MATCH(X666,'Device Refrigerant Leakage'!$B$2:$B$42,0))-(INDEX('Device Refrigerant Leakage'!$D$2:$D$42,MATCH(X666,'Device Refrigerant Leakage'!$B$2:$B$42,0)))*DH666*DF666)*DG666/2204.62*DE666)</f>
        <v/>
      </c>
      <c r="DK666" s="146" t="str">
        <f>IF(W666&lt;&gt;"AR","",DI666*(K666-AB666)+'Fuel Sub Calcs-Deemed'!DJ666*((K666-AB666)/INDEX('Device Refrigerant Leakage'!$C$2:$C$42,MATCH('Fuel Sub Calcs-Deemed'!X666,'Device Refrigerant Leakage'!$B$2:$B$42,0))))</f>
        <v/>
      </c>
      <c r="DM666" s="56">
        <v>652</v>
      </c>
      <c r="DN666" s="67" t="e">
        <f t="shared" si="806"/>
        <v>#N/A</v>
      </c>
      <c r="DO666" s="45" t="e">
        <f t="shared" si="807"/>
        <v>#N/A</v>
      </c>
      <c r="DP666" s="67" t="e">
        <f t="shared" si="808"/>
        <v>#N/A</v>
      </c>
      <c r="DQ666" s="45" t="e">
        <f t="shared" si="809"/>
        <v>#N/A</v>
      </c>
      <c r="DR666" s="69" t="e">
        <f t="shared" si="810"/>
        <v>#N/A</v>
      </c>
      <c r="DS666" s="34"/>
      <c r="DT666" s="67" t="e">
        <f>((BX666*CJ666)+IF($W666=MAT_AR,(BZ666*CL666),0))*(1+Reference!$E$50+Reference!$E$51)</f>
        <v>#N/A</v>
      </c>
      <c r="DU666" s="67">
        <f>((BY666*CK666)+IF($W666=MAT_AR,(CA666*CM666),0))*(1+Reference!$G$50+Reference!$G$51)</f>
        <v>0</v>
      </c>
      <c r="DV666" s="67" t="e">
        <f t="shared" si="811"/>
        <v>#VALUE!</v>
      </c>
      <c r="DX666" s="56">
        <v>652</v>
      </c>
      <c r="DY666" s="67">
        <f t="shared" si="812"/>
        <v>0</v>
      </c>
      <c r="DZ666" s="45" t="e">
        <f>VLOOKUP($R666,Dropdown!$C$3:$D$4,2,FALSE)</f>
        <v>#N/A</v>
      </c>
      <c r="EA666" s="68">
        <f t="shared" si="813"/>
        <v>0</v>
      </c>
      <c r="EB666" s="68" t="str">
        <f t="shared" si="814"/>
        <v>N/A</v>
      </c>
      <c r="EC666" s="68">
        <f t="shared" si="815"/>
        <v>0</v>
      </c>
      <c r="ED666" s="68" t="str">
        <f t="shared" si="853"/>
        <v>N/A</v>
      </c>
      <c r="EF666" s="56">
        <v>652</v>
      </c>
      <c r="EG666" s="46">
        <f t="shared" si="816"/>
        <v>0</v>
      </c>
      <c r="EH666" s="68" t="e">
        <f t="shared" si="817"/>
        <v>#N/A</v>
      </c>
      <c r="EI666" s="68" t="e">
        <f t="shared" si="818"/>
        <v>#N/A</v>
      </c>
      <c r="EJ666" s="68" t="e">
        <f t="shared" si="819"/>
        <v>#N/A</v>
      </c>
      <c r="EK666" s="68" t="e">
        <f t="shared" si="820"/>
        <v>#N/A</v>
      </c>
      <c r="EL666" s="46">
        <f t="shared" si="821"/>
        <v>0</v>
      </c>
      <c r="EM666" s="46">
        <f t="shared" si="822"/>
        <v>0</v>
      </c>
    </row>
    <row r="667" spans="1:143">
      <c r="A667" s="89"/>
      <c r="B667" s="89"/>
      <c r="C667" s="89"/>
      <c r="D667" s="89"/>
      <c r="E667" s="89"/>
      <c r="F667" s="89"/>
      <c r="G667" s="34"/>
      <c r="H667" s="56">
        <f t="shared" si="823"/>
        <v>653</v>
      </c>
      <c r="I667" s="165"/>
      <c r="J667" s="163"/>
      <c r="K667" s="163"/>
      <c r="L667" s="164"/>
      <c r="M667" s="155"/>
      <c r="N667" s="155"/>
      <c r="O667" s="144"/>
      <c r="P667" s="159" t="str">
        <f>IFERROR(IF(O667&lt;&gt;"User Specified",IF(O667&lt;&gt;"", INDEX('Refrigerant GWPs'!$G$2:$G$154,MATCH(O667,'Refrigerant GWPs'!$A$2:$A$154,0)),""),U667),0)</f>
        <v/>
      </c>
      <c r="Q667" s="155"/>
      <c r="R667" s="155"/>
      <c r="S667" s="144"/>
      <c r="T667" s="159" t="str">
        <f>IF(S667&lt;&gt;"User Specified",IF(AND(S667&lt;&gt;"User Specified",S667&lt;&gt;""), INDEX('Refrigerant GWPs'!$G$2:$G$154,MATCH(S667,'Refrigerant GWPs'!$A$2:$A$154,0)),""),V667)</f>
        <v/>
      </c>
      <c r="U667" s="144"/>
      <c r="V667" s="144"/>
      <c r="W667" s="155"/>
      <c r="X667" s="155"/>
      <c r="Y667" s="144"/>
      <c r="Z667" s="159" t="str">
        <f>IF(AND(Y667&lt;&gt;"User Specified",Y667&lt;&gt;""), INDEX('Refrigerant GWPs'!$G$2:$G$154,MATCH(Y667,'Refrigerant GWPs'!$A$2:$A$154,0)),"")</f>
        <v/>
      </c>
      <c r="AA667" s="155"/>
      <c r="AB667" s="156"/>
      <c r="AC667" s="66"/>
      <c r="AD667" s="66"/>
      <c r="AE667" s="66"/>
      <c r="AF667" s="66"/>
      <c r="AG667" s="66"/>
      <c r="AH667" s="66"/>
      <c r="AI667" s="34"/>
      <c r="AJ667" s="88">
        <f t="shared" si="786"/>
        <v>0</v>
      </c>
      <c r="AK667" s="88">
        <f t="shared" si="787"/>
        <v>0</v>
      </c>
      <c r="AL667" s="88">
        <v>0</v>
      </c>
      <c r="AM667" s="88">
        <v>0</v>
      </c>
      <c r="AN667" s="81" t="str">
        <f t="shared" si="825"/>
        <v/>
      </c>
      <c r="AO667" s="88">
        <f t="shared" si="788"/>
        <v>0</v>
      </c>
      <c r="AP667" s="88">
        <f t="shared" si="789"/>
        <v>0</v>
      </c>
      <c r="AQ667" s="81" t="str">
        <f t="shared" si="790"/>
        <v/>
      </c>
      <c r="AS667" s="41" t="b">
        <f t="shared" si="791"/>
        <v>1</v>
      </c>
      <c r="AT667" s="38">
        <f t="shared" si="792"/>
        <v>0</v>
      </c>
      <c r="AU667" s="60">
        <f t="shared" si="793"/>
        <v>0</v>
      </c>
      <c r="AV667" s="41">
        <f t="shared" si="794"/>
        <v>0</v>
      </c>
      <c r="AW667" s="41" t="b">
        <f t="shared" si="795"/>
        <v>0</v>
      </c>
      <c r="AX667" t="str">
        <f t="shared" si="796"/>
        <v>+00</v>
      </c>
      <c r="AY667" t="str">
        <f t="shared" si="797"/>
        <v>+00</v>
      </c>
      <c r="BA667" s="47" t="b">
        <f t="shared" si="826"/>
        <v>1</v>
      </c>
      <c r="BB667" s="42" t="b">
        <f t="shared" si="827"/>
        <v>1</v>
      </c>
      <c r="BC667" s="42" t="b">
        <f t="shared" si="828"/>
        <v>0</v>
      </c>
      <c r="BD667" s="42" t="b">
        <f t="shared" si="829"/>
        <v>0</v>
      </c>
      <c r="BE667" s="70">
        <f t="shared" si="830"/>
        <v>0</v>
      </c>
      <c r="BF667" s="70">
        <f t="shared" si="831"/>
        <v>0</v>
      </c>
      <c r="BG667" s="34"/>
      <c r="BI667" s="47" t="b">
        <f t="shared" si="832"/>
        <v>1</v>
      </c>
      <c r="BJ667" s="47" t="b">
        <f t="shared" si="833"/>
        <v>1</v>
      </c>
      <c r="BK667" s="42" t="b">
        <f t="shared" si="834"/>
        <v>0</v>
      </c>
      <c r="BL667" s="42" t="b">
        <f t="shared" si="835"/>
        <v>0</v>
      </c>
      <c r="BM667" s="42">
        <f t="shared" si="836"/>
        <v>0</v>
      </c>
      <c r="BN667" s="42">
        <f t="shared" si="837"/>
        <v>0</v>
      </c>
      <c r="BP667" t="e">
        <f t="shared" si="838"/>
        <v>#N/A</v>
      </c>
      <c r="BQ667" t="e">
        <f t="shared" si="839"/>
        <v>#N/A</v>
      </c>
      <c r="BR667" t="e">
        <f t="shared" si="840"/>
        <v>#N/A</v>
      </c>
      <c r="BT667" s="60">
        <f t="shared" si="841"/>
        <v>0</v>
      </c>
      <c r="BU667" s="60">
        <f t="shared" si="842"/>
        <v>0</v>
      </c>
      <c r="BV667" s="60">
        <f t="shared" si="843"/>
        <v>0</v>
      </c>
      <c r="BW667" s="60">
        <f t="shared" si="844"/>
        <v>0</v>
      </c>
      <c r="BX667" s="60">
        <f t="shared" si="845"/>
        <v>0</v>
      </c>
      <c r="BY667" s="60">
        <f t="shared" si="846"/>
        <v>0</v>
      </c>
      <c r="BZ667" s="60">
        <f t="shared" si="847"/>
        <v>0</v>
      </c>
      <c r="CA667" s="60">
        <f t="shared" si="848"/>
        <v>0</v>
      </c>
      <c r="CB667" s="60" t="e">
        <f t="shared" si="798"/>
        <v>#N/A</v>
      </c>
      <c r="CC667" s="60">
        <f t="shared" si="799"/>
        <v>100000</v>
      </c>
      <c r="CD667" s="60" t="e">
        <f t="shared" si="800"/>
        <v>#N/A</v>
      </c>
      <c r="CE667" s="60">
        <f t="shared" si="801"/>
        <v>100000</v>
      </c>
      <c r="CF667" s="83" t="e">
        <f t="shared" si="849"/>
        <v>#N/A</v>
      </c>
      <c r="CG667" s="83">
        <f t="shared" si="850"/>
        <v>0</v>
      </c>
      <c r="CH667" s="83" t="e">
        <f t="shared" si="851"/>
        <v>#N/A</v>
      </c>
      <c r="CI667" s="83">
        <f t="shared" si="852"/>
        <v>0</v>
      </c>
      <c r="CJ667" s="86" t="e">
        <f t="shared" si="802"/>
        <v>#N/A</v>
      </c>
      <c r="CK667" s="82">
        <f t="shared" si="803"/>
        <v>5.3070370403969858E-3</v>
      </c>
      <c r="CL667" s="82" t="e">
        <f t="shared" si="804"/>
        <v>#N/A</v>
      </c>
      <c r="CM667" s="82">
        <f t="shared" si="805"/>
        <v>5.3070370403969858E-3</v>
      </c>
      <c r="CO667" s="149" t="str">
        <f>IF($I667&lt;&gt;"",IF(O667="User Specified",U667,INDEX('Refrigerant GWPs'!$G$2:$G$156,MATCH(O667,'Refrigerant GWPs'!$A$2:$A$156,0))),"")</f>
        <v/>
      </c>
      <c r="CP667" s="138" t="str">
        <f>IF($I667&lt;&gt;"",INDEX('Device Refrigerant Leakage'!$E$2:$E$42,MATCH($M667,'Device Refrigerant Leakage'!$B$2:$B$42,0)),"")</f>
        <v/>
      </c>
      <c r="CQ667" s="138" t="str">
        <f>IF($I667&lt;&gt;"",INDEX('Device Refrigerant Leakage'!$F$2:$F$42,MATCH($M667,'Device Refrigerant Leakage'!$B$2:$B$42,0)),"")</f>
        <v/>
      </c>
      <c r="CR667" s="145" t="str">
        <f>IF($I667&lt;&gt;"",INDEX('Device Refrigerant Leakage'!$G$2:$G$42,MATCH($M667,'Device Refrigerant Leakage'!$B$2:$B$42,0)),"")</f>
        <v/>
      </c>
      <c r="CS667" s="145" t="str">
        <f>IF($I667&lt;&gt;"",INDEX('Device Refrigerant Leakage'!$D$2:$D$42,MATCH($M667,'Device Refrigerant Leakage'!$B$2:$B$42,0))*CP667/2204.62*CO667,"")</f>
        <v/>
      </c>
      <c r="CT667" s="145" t="str">
        <f>IF($I667&lt;&gt;"",J667*(INDEX('Device Refrigerant Leakage'!$D$2:$D$42,MATCH($M667,'Device Refrigerant Leakage'!$B$2:$B$42,0))-(INDEX('Device Refrigerant Leakage'!$D$2:$D$42,MATCH($M667,'Device Refrigerant Leakage'!$B$2:$B$42,0)))*CR667*CP667)*CQ667/2204.62*CO667,"")</f>
        <v/>
      </c>
      <c r="CU667" s="135" t="str">
        <f>IF($I667&lt;&gt;"",J667*IF(W667&lt;&gt;"AR",(CS667*K667)+CT667,(CS667*AB667)+CT667*(AB667/INDEX('Device Refrigerant Leakage'!$C$2:$C$42,MATCH($M667,'Device Refrigerant Leakage'!$B$2:$B$42,0)))),"")</f>
        <v/>
      </c>
      <c r="CW667" s="135" t="str">
        <f>IF($I667&lt;&gt;"",IF(S667="User Specified",V667,INDEX('Refrigerant GWPs'!$G$2:$G$156,MATCH(S667,'Refrigerant GWPs'!$A$2:$A$157,0))),"")</f>
        <v/>
      </c>
      <c r="CX667" s="138" t="str">
        <f>IF($I667&lt;&gt;"",INDEX('Device Refrigerant Leakage'!$E$2:$E$42,MATCH($Q667,'Device Refrigerant Leakage'!$B$2:$B$42,0)),"")</f>
        <v/>
      </c>
      <c r="CY667" s="138" t="str">
        <f>IF($I667&lt;&gt;"",INDEX('Device Refrigerant Leakage'!$F$2:$F$42,MATCH($Q667,'Device Refrigerant Leakage'!$B$2:$B$42,0)),"")</f>
        <v/>
      </c>
      <c r="CZ667" s="145" t="str">
        <f>IF($I667&lt;&gt;"",INDEX('Device Refrigerant Leakage'!$G$2:$G$42,MATCH($Q667,'Device Refrigerant Leakage'!$B$2:$B$42,0)),"")</f>
        <v/>
      </c>
      <c r="DA667" s="145" t="str">
        <f>IF($I667&lt;&gt;"",J667*INDEX('Device Refrigerant Leakage'!$D$2:$D$42,MATCH($Q667,'Device Refrigerant Leakage'!$B$2:$B$42,0))*CX667/2204.62*CW667,"")</f>
        <v/>
      </c>
      <c r="DB667" s="145" t="str">
        <f>IF($I667&lt;&gt;"",J667*(INDEX('Device Refrigerant Leakage'!$D$2:$D$42,MATCH($Q667,'Device Refrigerant Leakage'!$B$2:$B$42,0))-(INDEX('Device Refrigerant Leakage'!$D$2:$D$42,MATCH($Q667,'Device Refrigerant Leakage'!$B$2:$B$42,0)))*CZ667*CX667)*CY667/2204.62*CW667,"")</f>
        <v/>
      </c>
      <c r="DC667" s="135" t="str">
        <f t="shared" si="824"/>
        <v/>
      </c>
      <c r="DE667" s="146" t="str">
        <f>IF(W667&lt;&gt;"AR","",IF(Y667="User Specified", AA667, INDEX('Refrigerant GWPs'!$G$2:$G$154,MATCH(Y667,'Refrigerant GWPs'!$A$2:$A$154,0))))</f>
        <v/>
      </c>
      <c r="DF667" s="146" t="str">
        <f>IF(W667&lt;&gt;"AR","",INDEX('Device Refrigerant Leakage'!$E$2:$E$42,MATCH(X667,'Device Refrigerant Leakage'!$B$2:$B$42,0)))</f>
        <v/>
      </c>
      <c r="DG667" s="146" t="str">
        <f>IF(W667&lt;&gt;"AR","",INDEX('Device Refrigerant Leakage'!$F$2:$F$42,MATCH(X667,'Device Refrigerant Leakage'!$B$2:$B$42,0)))</f>
        <v/>
      </c>
      <c r="DH667" s="146" t="str">
        <f>IF(W667&lt;&gt;"AR","",INDEX('Device Refrigerant Leakage'!$G$2:$G$42,MATCH(X667,'Device Refrigerant Leakage'!$B$2:$B$42,0)))</f>
        <v/>
      </c>
      <c r="DI667" s="146" t="str">
        <f>IF(W667&lt;&gt;"AR","",J667*INDEX('Device Refrigerant Leakage'!$D$2:$D$42,MATCH(X667,'Device Refrigerant Leakage'!$B$2:$B$42,0))*DF667/2204.62*DE667)</f>
        <v/>
      </c>
      <c r="DJ667" s="146" t="str">
        <f>IF(W667&lt;&gt;"AR","",J667*(INDEX('Device Refrigerant Leakage'!$D$2:$D$42,MATCH(X667,'Device Refrigerant Leakage'!$B$2:$B$42,0))-(INDEX('Device Refrigerant Leakage'!$D$2:$D$42,MATCH(X667,'Device Refrigerant Leakage'!$B$2:$B$42,0)))*DH667*DF667)*DG667/2204.62*DE667)</f>
        <v/>
      </c>
      <c r="DK667" s="146" t="str">
        <f>IF(W667&lt;&gt;"AR","",DI667*(K667-AB667)+'Fuel Sub Calcs-Deemed'!DJ667*((K667-AB667)/INDEX('Device Refrigerant Leakage'!$C$2:$C$42,MATCH('Fuel Sub Calcs-Deemed'!X667,'Device Refrigerant Leakage'!$B$2:$B$42,0))))</f>
        <v/>
      </c>
      <c r="DM667" s="56">
        <v>653</v>
      </c>
      <c r="DN667" s="67" t="e">
        <f t="shared" si="806"/>
        <v>#N/A</v>
      </c>
      <c r="DO667" s="45" t="e">
        <f t="shared" si="807"/>
        <v>#N/A</v>
      </c>
      <c r="DP667" s="67" t="e">
        <f t="shared" si="808"/>
        <v>#N/A</v>
      </c>
      <c r="DQ667" s="45" t="e">
        <f t="shared" si="809"/>
        <v>#N/A</v>
      </c>
      <c r="DR667" s="69" t="e">
        <f t="shared" si="810"/>
        <v>#N/A</v>
      </c>
      <c r="DS667" s="34"/>
      <c r="DT667" s="67" t="e">
        <f>((BX667*CJ667)+IF($W667=MAT_AR,(BZ667*CL667),0))*(1+Reference!$E$50+Reference!$E$51)</f>
        <v>#N/A</v>
      </c>
      <c r="DU667" s="67">
        <f>((BY667*CK667)+IF($W667=MAT_AR,(CA667*CM667),0))*(1+Reference!$G$50+Reference!$G$51)</f>
        <v>0</v>
      </c>
      <c r="DV667" s="67" t="e">
        <f t="shared" si="811"/>
        <v>#VALUE!</v>
      </c>
      <c r="DX667" s="56">
        <v>653</v>
      </c>
      <c r="DY667" s="67">
        <f t="shared" si="812"/>
        <v>0</v>
      </c>
      <c r="DZ667" s="45" t="e">
        <f>VLOOKUP($R667,Dropdown!$C$3:$D$4,2,FALSE)</f>
        <v>#N/A</v>
      </c>
      <c r="EA667" s="68">
        <f t="shared" si="813"/>
        <v>0</v>
      </c>
      <c r="EB667" s="68" t="str">
        <f t="shared" si="814"/>
        <v>N/A</v>
      </c>
      <c r="EC667" s="68">
        <f t="shared" si="815"/>
        <v>0</v>
      </c>
      <c r="ED667" s="68" t="str">
        <f t="shared" si="853"/>
        <v>N/A</v>
      </c>
      <c r="EF667" s="56">
        <v>653</v>
      </c>
      <c r="EG667" s="46">
        <f t="shared" si="816"/>
        <v>0</v>
      </c>
      <c r="EH667" s="68" t="e">
        <f t="shared" si="817"/>
        <v>#N/A</v>
      </c>
      <c r="EI667" s="68" t="e">
        <f t="shared" si="818"/>
        <v>#N/A</v>
      </c>
      <c r="EJ667" s="68" t="e">
        <f t="shared" si="819"/>
        <v>#N/A</v>
      </c>
      <c r="EK667" s="68" t="e">
        <f t="shared" si="820"/>
        <v>#N/A</v>
      </c>
      <c r="EL667" s="46">
        <f t="shared" si="821"/>
        <v>0</v>
      </c>
      <c r="EM667" s="46">
        <f t="shared" si="822"/>
        <v>0</v>
      </c>
    </row>
    <row r="668" spans="1:143">
      <c r="A668" s="89"/>
      <c r="B668" s="89"/>
      <c r="C668" s="89"/>
      <c r="D668" s="89"/>
      <c r="E668" s="89"/>
      <c r="F668" s="89"/>
      <c r="G668" s="34"/>
      <c r="H668" s="56">
        <f t="shared" si="823"/>
        <v>654</v>
      </c>
      <c r="I668" s="165"/>
      <c r="J668" s="163"/>
      <c r="K668" s="163"/>
      <c r="L668" s="164"/>
      <c r="M668" s="155"/>
      <c r="N668" s="155"/>
      <c r="O668" s="144"/>
      <c r="P668" s="159" t="str">
        <f>IFERROR(IF(O668&lt;&gt;"User Specified",IF(O668&lt;&gt;"", INDEX('Refrigerant GWPs'!$G$2:$G$154,MATCH(O668,'Refrigerant GWPs'!$A$2:$A$154,0)),""),U668),0)</f>
        <v/>
      </c>
      <c r="Q668" s="155"/>
      <c r="R668" s="155"/>
      <c r="S668" s="144"/>
      <c r="T668" s="159" t="str">
        <f>IF(S668&lt;&gt;"User Specified",IF(AND(S668&lt;&gt;"User Specified",S668&lt;&gt;""), INDEX('Refrigerant GWPs'!$G$2:$G$154,MATCH(S668,'Refrigerant GWPs'!$A$2:$A$154,0)),""),V668)</f>
        <v/>
      </c>
      <c r="U668" s="144"/>
      <c r="V668" s="144"/>
      <c r="W668" s="155"/>
      <c r="X668" s="155"/>
      <c r="Y668" s="144"/>
      <c r="Z668" s="159" t="str">
        <f>IF(AND(Y668&lt;&gt;"User Specified",Y668&lt;&gt;""), INDEX('Refrigerant GWPs'!$G$2:$G$154,MATCH(Y668,'Refrigerant GWPs'!$A$2:$A$154,0)),"")</f>
        <v/>
      </c>
      <c r="AA668" s="155"/>
      <c r="AB668" s="156"/>
      <c r="AC668" s="66"/>
      <c r="AD668" s="66"/>
      <c r="AE668" s="66"/>
      <c r="AF668" s="66"/>
      <c r="AG668" s="66"/>
      <c r="AH668" s="66"/>
      <c r="AI668" s="34"/>
      <c r="AJ668" s="88">
        <f t="shared" si="786"/>
        <v>0</v>
      </c>
      <c r="AK668" s="88">
        <f t="shared" si="787"/>
        <v>0</v>
      </c>
      <c r="AL668" s="88">
        <v>0</v>
      </c>
      <c r="AM668" s="88">
        <v>0</v>
      </c>
      <c r="AN668" s="81" t="str">
        <f t="shared" si="825"/>
        <v/>
      </c>
      <c r="AO668" s="88">
        <f t="shared" si="788"/>
        <v>0</v>
      </c>
      <c r="AP668" s="88">
        <f t="shared" si="789"/>
        <v>0</v>
      </c>
      <c r="AQ668" s="81" t="str">
        <f t="shared" si="790"/>
        <v/>
      </c>
      <c r="AS668" s="41" t="b">
        <f t="shared" si="791"/>
        <v>1</v>
      </c>
      <c r="AT668" s="38">
        <f t="shared" si="792"/>
        <v>0</v>
      </c>
      <c r="AU668" s="60">
        <f t="shared" si="793"/>
        <v>0</v>
      </c>
      <c r="AV668" s="41">
        <f t="shared" si="794"/>
        <v>0</v>
      </c>
      <c r="AW668" s="41" t="b">
        <f t="shared" si="795"/>
        <v>0</v>
      </c>
      <c r="AX668" t="str">
        <f t="shared" si="796"/>
        <v>+00</v>
      </c>
      <c r="AY668" t="str">
        <f t="shared" si="797"/>
        <v>+00</v>
      </c>
      <c r="BA668" s="47" t="b">
        <f t="shared" si="826"/>
        <v>1</v>
      </c>
      <c r="BB668" s="42" t="b">
        <f t="shared" si="827"/>
        <v>1</v>
      </c>
      <c r="BC668" s="42" t="b">
        <f t="shared" si="828"/>
        <v>0</v>
      </c>
      <c r="BD668" s="42" t="b">
        <f t="shared" si="829"/>
        <v>0</v>
      </c>
      <c r="BE668" s="70">
        <f t="shared" si="830"/>
        <v>0</v>
      </c>
      <c r="BF668" s="70">
        <f t="shared" si="831"/>
        <v>0</v>
      </c>
      <c r="BG668" s="34"/>
      <c r="BI668" s="47" t="b">
        <f t="shared" si="832"/>
        <v>1</v>
      </c>
      <c r="BJ668" s="47" t="b">
        <f t="shared" si="833"/>
        <v>1</v>
      </c>
      <c r="BK668" s="42" t="b">
        <f t="shared" si="834"/>
        <v>0</v>
      </c>
      <c r="BL668" s="42" t="b">
        <f t="shared" si="835"/>
        <v>0</v>
      </c>
      <c r="BM668" s="42">
        <f t="shared" si="836"/>
        <v>0</v>
      </c>
      <c r="BN668" s="42">
        <f t="shared" si="837"/>
        <v>0</v>
      </c>
      <c r="BP668" t="e">
        <f t="shared" si="838"/>
        <v>#N/A</v>
      </c>
      <c r="BQ668" t="e">
        <f t="shared" si="839"/>
        <v>#N/A</v>
      </c>
      <c r="BR668" t="e">
        <f t="shared" si="840"/>
        <v>#N/A</v>
      </c>
      <c r="BT668" s="60">
        <f t="shared" si="841"/>
        <v>0</v>
      </c>
      <c r="BU668" s="60">
        <f t="shared" si="842"/>
        <v>0</v>
      </c>
      <c r="BV668" s="60">
        <f t="shared" si="843"/>
        <v>0</v>
      </c>
      <c r="BW668" s="60">
        <f t="shared" si="844"/>
        <v>0</v>
      </c>
      <c r="BX668" s="60">
        <f t="shared" si="845"/>
        <v>0</v>
      </c>
      <c r="BY668" s="60">
        <f t="shared" si="846"/>
        <v>0</v>
      </c>
      <c r="BZ668" s="60">
        <f t="shared" si="847"/>
        <v>0</v>
      </c>
      <c r="CA668" s="60">
        <f t="shared" si="848"/>
        <v>0</v>
      </c>
      <c r="CB668" s="60" t="e">
        <f t="shared" si="798"/>
        <v>#N/A</v>
      </c>
      <c r="CC668" s="60">
        <f t="shared" si="799"/>
        <v>100000</v>
      </c>
      <c r="CD668" s="60" t="e">
        <f t="shared" si="800"/>
        <v>#N/A</v>
      </c>
      <c r="CE668" s="60">
        <f t="shared" si="801"/>
        <v>100000</v>
      </c>
      <c r="CF668" s="83" t="e">
        <f t="shared" si="849"/>
        <v>#N/A</v>
      </c>
      <c r="CG668" s="83">
        <f t="shared" si="850"/>
        <v>0</v>
      </c>
      <c r="CH668" s="83" t="e">
        <f t="shared" si="851"/>
        <v>#N/A</v>
      </c>
      <c r="CI668" s="83">
        <f t="shared" si="852"/>
        <v>0</v>
      </c>
      <c r="CJ668" s="86" t="e">
        <f t="shared" si="802"/>
        <v>#N/A</v>
      </c>
      <c r="CK668" s="82">
        <f t="shared" si="803"/>
        <v>5.3070370403969858E-3</v>
      </c>
      <c r="CL668" s="82" t="e">
        <f t="shared" si="804"/>
        <v>#N/A</v>
      </c>
      <c r="CM668" s="82">
        <f t="shared" si="805"/>
        <v>5.3070370403969858E-3</v>
      </c>
      <c r="CO668" s="149" t="str">
        <f>IF($I668&lt;&gt;"",IF(O668="User Specified",U668,INDEX('Refrigerant GWPs'!$G$2:$G$156,MATCH(O668,'Refrigerant GWPs'!$A$2:$A$156,0))),"")</f>
        <v/>
      </c>
      <c r="CP668" s="138" t="str">
        <f>IF($I668&lt;&gt;"",INDEX('Device Refrigerant Leakage'!$E$2:$E$42,MATCH($M668,'Device Refrigerant Leakage'!$B$2:$B$42,0)),"")</f>
        <v/>
      </c>
      <c r="CQ668" s="138" t="str">
        <f>IF($I668&lt;&gt;"",INDEX('Device Refrigerant Leakage'!$F$2:$F$42,MATCH($M668,'Device Refrigerant Leakage'!$B$2:$B$42,0)),"")</f>
        <v/>
      </c>
      <c r="CR668" s="145" t="str">
        <f>IF($I668&lt;&gt;"",INDEX('Device Refrigerant Leakage'!$G$2:$G$42,MATCH($M668,'Device Refrigerant Leakage'!$B$2:$B$42,0)),"")</f>
        <v/>
      </c>
      <c r="CS668" s="145" t="str">
        <f>IF($I668&lt;&gt;"",INDEX('Device Refrigerant Leakage'!$D$2:$D$42,MATCH($M668,'Device Refrigerant Leakage'!$B$2:$B$42,0))*CP668/2204.62*CO668,"")</f>
        <v/>
      </c>
      <c r="CT668" s="145" t="str">
        <f>IF($I668&lt;&gt;"",J668*(INDEX('Device Refrigerant Leakage'!$D$2:$D$42,MATCH($M668,'Device Refrigerant Leakage'!$B$2:$B$42,0))-(INDEX('Device Refrigerant Leakage'!$D$2:$D$42,MATCH($M668,'Device Refrigerant Leakage'!$B$2:$B$42,0)))*CR668*CP668)*CQ668/2204.62*CO668,"")</f>
        <v/>
      </c>
      <c r="CU668" s="135" t="str">
        <f>IF($I668&lt;&gt;"",J668*IF(W668&lt;&gt;"AR",(CS668*K668)+CT668,(CS668*AB668)+CT668*(AB668/INDEX('Device Refrigerant Leakage'!$C$2:$C$42,MATCH($M668,'Device Refrigerant Leakage'!$B$2:$B$42,0)))),"")</f>
        <v/>
      </c>
      <c r="CW668" s="135" t="str">
        <f>IF($I668&lt;&gt;"",IF(S668="User Specified",V668,INDEX('Refrigerant GWPs'!$G$2:$G$156,MATCH(S668,'Refrigerant GWPs'!$A$2:$A$157,0))),"")</f>
        <v/>
      </c>
      <c r="CX668" s="138" t="str">
        <f>IF($I668&lt;&gt;"",INDEX('Device Refrigerant Leakage'!$E$2:$E$42,MATCH($Q668,'Device Refrigerant Leakage'!$B$2:$B$42,0)),"")</f>
        <v/>
      </c>
      <c r="CY668" s="138" t="str">
        <f>IF($I668&lt;&gt;"",INDEX('Device Refrigerant Leakage'!$F$2:$F$42,MATCH($Q668,'Device Refrigerant Leakage'!$B$2:$B$42,0)),"")</f>
        <v/>
      </c>
      <c r="CZ668" s="145" t="str">
        <f>IF($I668&lt;&gt;"",INDEX('Device Refrigerant Leakage'!$G$2:$G$42,MATCH($Q668,'Device Refrigerant Leakage'!$B$2:$B$42,0)),"")</f>
        <v/>
      </c>
      <c r="DA668" s="145" t="str">
        <f>IF($I668&lt;&gt;"",J668*INDEX('Device Refrigerant Leakage'!$D$2:$D$42,MATCH($Q668,'Device Refrigerant Leakage'!$B$2:$B$42,0))*CX668/2204.62*CW668,"")</f>
        <v/>
      </c>
      <c r="DB668" s="145" t="str">
        <f>IF($I668&lt;&gt;"",J668*(INDEX('Device Refrigerant Leakage'!$D$2:$D$42,MATCH($Q668,'Device Refrigerant Leakage'!$B$2:$B$42,0))-(INDEX('Device Refrigerant Leakage'!$D$2:$D$42,MATCH($Q668,'Device Refrigerant Leakage'!$B$2:$B$42,0)))*CZ668*CX668)*CY668/2204.62*CW668,"")</f>
        <v/>
      </c>
      <c r="DC668" s="135" t="str">
        <f t="shared" si="824"/>
        <v/>
      </c>
      <c r="DE668" s="146" t="str">
        <f>IF(W668&lt;&gt;"AR","",IF(Y668="User Specified", AA668, INDEX('Refrigerant GWPs'!$G$2:$G$154,MATCH(Y668,'Refrigerant GWPs'!$A$2:$A$154,0))))</f>
        <v/>
      </c>
      <c r="DF668" s="146" t="str">
        <f>IF(W668&lt;&gt;"AR","",INDEX('Device Refrigerant Leakage'!$E$2:$E$42,MATCH(X668,'Device Refrigerant Leakage'!$B$2:$B$42,0)))</f>
        <v/>
      </c>
      <c r="DG668" s="146" t="str">
        <f>IF(W668&lt;&gt;"AR","",INDEX('Device Refrigerant Leakage'!$F$2:$F$42,MATCH(X668,'Device Refrigerant Leakage'!$B$2:$B$42,0)))</f>
        <v/>
      </c>
      <c r="DH668" s="146" t="str">
        <f>IF(W668&lt;&gt;"AR","",INDEX('Device Refrigerant Leakage'!$G$2:$G$42,MATCH(X668,'Device Refrigerant Leakage'!$B$2:$B$42,0)))</f>
        <v/>
      </c>
      <c r="DI668" s="146" t="str">
        <f>IF(W668&lt;&gt;"AR","",J668*INDEX('Device Refrigerant Leakage'!$D$2:$D$42,MATCH(X668,'Device Refrigerant Leakage'!$B$2:$B$42,0))*DF668/2204.62*DE668)</f>
        <v/>
      </c>
      <c r="DJ668" s="146" t="str">
        <f>IF(W668&lt;&gt;"AR","",J668*(INDEX('Device Refrigerant Leakage'!$D$2:$D$42,MATCH(X668,'Device Refrigerant Leakage'!$B$2:$B$42,0))-(INDEX('Device Refrigerant Leakage'!$D$2:$D$42,MATCH(X668,'Device Refrigerant Leakage'!$B$2:$B$42,0)))*DH668*DF668)*DG668/2204.62*DE668)</f>
        <v/>
      </c>
      <c r="DK668" s="146" t="str">
        <f>IF(W668&lt;&gt;"AR","",DI668*(K668-AB668)+'Fuel Sub Calcs-Deemed'!DJ668*((K668-AB668)/INDEX('Device Refrigerant Leakage'!$C$2:$C$42,MATCH('Fuel Sub Calcs-Deemed'!X668,'Device Refrigerant Leakage'!$B$2:$B$42,0))))</f>
        <v/>
      </c>
      <c r="DM668" s="56">
        <v>654</v>
      </c>
      <c r="DN668" s="67" t="e">
        <f t="shared" si="806"/>
        <v>#N/A</v>
      </c>
      <c r="DO668" s="45" t="e">
        <f t="shared" si="807"/>
        <v>#N/A</v>
      </c>
      <c r="DP668" s="67" t="e">
        <f t="shared" si="808"/>
        <v>#N/A</v>
      </c>
      <c r="DQ668" s="45" t="e">
        <f t="shared" si="809"/>
        <v>#N/A</v>
      </c>
      <c r="DR668" s="69" t="e">
        <f t="shared" si="810"/>
        <v>#N/A</v>
      </c>
      <c r="DS668" s="34"/>
      <c r="DT668" s="67" t="e">
        <f>((BX668*CJ668)+IF($W668=MAT_AR,(BZ668*CL668),0))*(1+Reference!$E$50+Reference!$E$51)</f>
        <v>#N/A</v>
      </c>
      <c r="DU668" s="67">
        <f>((BY668*CK668)+IF($W668=MAT_AR,(CA668*CM668),0))*(1+Reference!$G$50+Reference!$G$51)</f>
        <v>0</v>
      </c>
      <c r="DV668" s="67" t="e">
        <f t="shared" si="811"/>
        <v>#VALUE!</v>
      </c>
      <c r="DX668" s="56">
        <v>654</v>
      </c>
      <c r="DY668" s="67">
        <f t="shared" si="812"/>
        <v>0</v>
      </c>
      <c r="DZ668" s="45" t="e">
        <f>VLOOKUP($R668,Dropdown!$C$3:$D$4,2,FALSE)</f>
        <v>#N/A</v>
      </c>
      <c r="EA668" s="68">
        <f t="shared" si="813"/>
        <v>0</v>
      </c>
      <c r="EB668" s="68" t="str">
        <f t="shared" si="814"/>
        <v>N/A</v>
      </c>
      <c r="EC668" s="68">
        <f t="shared" si="815"/>
        <v>0</v>
      </c>
      <c r="ED668" s="68" t="str">
        <f t="shared" si="853"/>
        <v>N/A</v>
      </c>
      <c r="EF668" s="56">
        <v>654</v>
      </c>
      <c r="EG668" s="46">
        <f t="shared" si="816"/>
        <v>0</v>
      </c>
      <c r="EH668" s="68" t="e">
        <f t="shared" si="817"/>
        <v>#N/A</v>
      </c>
      <c r="EI668" s="68" t="e">
        <f t="shared" si="818"/>
        <v>#N/A</v>
      </c>
      <c r="EJ668" s="68" t="e">
        <f t="shared" si="819"/>
        <v>#N/A</v>
      </c>
      <c r="EK668" s="68" t="e">
        <f t="shared" si="820"/>
        <v>#N/A</v>
      </c>
      <c r="EL668" s="46">
        <f t="shared" si="821"/>
        <v>0</v>
      </c>
      <c r="EM668" s="46">
        <f t="shared" si="822"/>
        <v>0</v>
      </c>
    </row>
    <row r="669" spans="1:143">
      <c r="A669" s="89"/>
      <c r="B669" s="89"/>
      <c r="C669" s="89"/>
      <c r="D669" s="89"/>
      <c r="E669" s="89"/>
      <c r="F669" s="89"/>
      <c r="G669" s="34"/>
      <c r="H669" s="56">
        <f t="shared" si="823"/>
        <v>655</v>
      </c>
      <c r="I669" s="165"/>
      <c r="J669" s="163"/>
      <c r="K669" s="163"/>
      <c r="L669" s="164"/>
      <c r="M669" s="155"/>
      <c r="N669" s="155"/>
      <c r="O669" s="144"/>
      <c r="P669" s="159" t="str">
        <f>IFERROR(IF(O669&lt;&gt;"User Specified",IF(O669&lt;&gt;"", INDEX('Refrigerant GWPs'!$G$2:$G$154,MATCH(O669,'Refrigerant GWPs'!$A$2:$A$154,0)),""),U669),0)</f>
        <v/>
      </c>
      <c r="Q669" s="155"/>
      <c r="R669" s="155"/>
      <c r="S669" s="144"/>
      <c r="T669" s="159" t="str">
        <f>IF(S669&lt;&gt;"User Specified",IF(AND(S669&lt;&gt;"User Specified",S669&lt;&gt;""), INDEX('Refrigerant GWPs'!$G$2:$G$154,MATCH(S669,'Refrigerant GWPs'!$A$2:$A$154,0)),""),V669)</f>
        <v/>
      </c>
      <c r="U669" s="144"/>
      <c r="V669" s="144"/>
      <c r="W669" s="155"/>
      <c r="X669" s="155"/>
      <c r="Y669" s="144"/>
      <c r="Z669" s="159" t="str">
        <f>IF(AND(Y669&lt;&gt;"User Specified",Y669&lt;&gt;""), INDEX('Refrigerant GWPs'!$G$2:$G$154,MATCH(Y669,'Refrigerant GWPs'!$A$2:$A$154,0)),"")</f>
        <v/>
      </c>
      <c r="AA669" s="155"/>
      <c r="AB669" s="156"/>
      <c r="AC669" s="66"/>
      <c r="AD669" s="66"/>
      <c r="AE669" s="66"/>
      <c r="AF669" s="66"/>
      <c r="AG669" s="66"/>
      <c r="AH669" s="66"/>
      <c r="AI669" s="34"/>
      <c r="AJ669" s="88">
        <f t="shared" si="786"/>
        <v>0</v>
      </c>
      <c r="AK669" s="88">
        <f t="shared" si="787"/>
        <v>0</v>
      </c>
      <c r="AL669" s="88">
        <v>0</v>
      </c>
      <c r="AM669" s="88">
        <v>0</v>
      </c>
      <c r="AN669" s="81" t="str">
        <f t="shared" si="825"/>
        <v/>
      </c>
      <c r="AO669" s="88">
        <f t="shared" si="788"/>
        <v>0</v>
      </c>
      <c r="AP669" s="88">
        <f t="shared" si="789"/>
        <v>0</v>
      </c>
      <c r="AQ669" s="81" t="str">
        <f t="shared" si="790"/>
        <v/>
      </c>
      <c r="AS669" s="41" t="b">
        <f t="shared" si="791"/>
        <v>1</v>
      </c>
      <c r="AT669" s="38">
        <f t="shared" si="792"/>
        <v>0</v>
      </c>
      <c r="AU669" s="60">
        <f t="shared" si="793"/>
        <v>0</v>
      </c>
      <c r="AV669" s="41">
        <f t="shared" si="794"/>
        <v>0</v>
      </c>
      <c r="AW669" s="41" t="b">
        <f t="shared" si="795"/>
        <v>0</v>
      </c>
      <c r="AX669" t="str">
        <f t="shared" si="796"/>
        <v>+00</v>
      </c>
      <c r="AY669" t="str">
        <f t="shared" si="797"/>
        <v>+00</v>
      </c>
      <c r="BA669" s="47" t="b">
        <f t="shared" si="826"/>
        <v>1</v>
      </c>
      <c r="BB669" s="42" t="b">
        <f t="shared" si="827"/>
        <v>1</v>
      </c>
      <c r="BC669" s="42" t="b">
        <f t="shared" si="828"/>
        <v>0</v>
      </c>
      <c r="BD669" s="42" t="b">
        <f t="shared" si="829"/>
        <v>0</v>
      </c>
      <c r="BE669" s="70">
        <f t="shared" si="830"/>
        <v>0</v>
      </c>
      <c r="BF669" s="70">
        <f t="shared" si="831"/>
        <v>0</v>
      </c>
      <c r="BG669" s="34"/>
      <c r="BI669" s="47" t="b">
        <f t="shared" si="832"/>
        <v>1</v>
      </c>
      <c r="BJ669" s="47" t="b">
        <f t="shared" si="833"/>
        <v>1</v>
      </c>
      <c r="BK669" s="42" t="b">
        <f t="shared" si="834"/>
        <v>0</v>
      </c>
      <c r="BL669" s="42" t="b">
        <f t="shared" si="835"/>
        <v>0</v>
      </c>
      <c r="BM669" s="42">
        <f t="shared" si="836"/>
        <v>0</v>
      </c>
      <c r="BN669" s="42">
        <f t="shared" si="837"/>
        <v>0</v>
      </c>
      <c r="BP669" t="e">
        <f t="shared" si="838"/>
        <v>#N/A</v>
      </c>
      <c r="BQ669" t="e">
        <f t="shared" si="839"/>
        <v>#N/A</v>
      </c>
      <c r="BR669" t="e">
        <f t="shared" si="840"/>
        <v>#N/A</v>
      </c>
      <c r="BT669" s="60">
        <f t="shared" si="841"/>
        <v>0</v>
      </c>
      <c r="BU669" s="60">
        <f t="shared" si="842"/>
        <v>0</v>
      </c>
      <c r="BV669" s="60">
        <f t="shared" si="843"/>
        <v>0</v>
      </c>
      <c r="BW669" s="60">
        <f t="shared" si="844"/>
        <v>0</v>
      </c>
      <c r="BX669" s="60">
        <f t="shared" si="845"/>
        <v>0</v>
      </c>
      <c r="BY669" s="60">
        <f t="shared" si="846"/>
        <v>0</v>
      </c>
      <c r="BZ669" s="60">
        <f t="shared" si="847"/>
        <v>0</v>
      </c>
      <c r="CA669" s="60">
        <f t="shared" si="848"/>
        <v>0</v>
      </c>
      <c r="CB669" s="60" t="e">
        <f t="shared" si="798"/>
        <v>#N/A</v>
      </c>
      <c r="CC669" s="60">
        <f t="shared" si="799"/>
        <v>100000</v>
      </c>
      <c r="CD669" s="60" t="e">
        <f t="shared" si="800"/>
        <v>#N/A</v>
      </c>
      <c r="CE669" s="60">
        <f t="shared" si="801"/>
        <v>100000</v>
      </c>
      <c r="CF669" s="83" t="e">
        <f t="shared" si="849"/>
        <v>#N/A</v>
      </c>
      <c r="CG669" s="83">
        <f t="shared" si="850"/>
        <v>0</v>
      </c>
      <c r="CH669" s="83" t="e">
        <f t="shared" si="851"/>
        <v>#N/A</v>
      </c>
      <c r="CI669" s="83">
        <f t="shared" si="852"/>
        <v>0</v>
      </c>
      <c r="CJ669" s="86" t="e">
        <f t="shared" si="802"/>
        <v>#N/A</v>
      </c>
      <c r="CK669" s="82">
        <f t="shared" si="803"/>
        <v>5.3070370403969858E-3</v>
      </c>
      <c r="CL669" s="82" t="e">
        <f t="shared" si="804"/>
        <v>#N/A</v>
      </c>
      <c r="CM669" s="82">
        <f t="shared" si="805"/>
        <v>5.3070370403969858E-3</v>
      </c>
      <c r="CO669" s="149" t="str">
        <f>IF($I669&lt;&gt;"",IF(O669="User Specified",U669,INDEX('Refrigerant GWPs'!$G$2:$G$156,MATCH(O669,'Refrigerant GWPs'!$A$2:$A$156,0))),"")</f>
        <v/>
      </c>
      <c r="CP669" s="138" t="str">
        <f>IF($I669&lt;&gt;"",INDEX('Device Refrigerant Leakage'!$E$2:$E$42,MATCH($M669,'Device Refrigerant Leakage'!$B$2:$B$42,0)),"")</f>
        <v/>
      </c>
      <c r="CQ669" s="138" t="str">
        <f>IF($I669&lt;&gt;"",INDEX('Device Refrigerant Leakage'!$F$2:$F$42,MATCH($M669,'Device Refrigerant Leakage'!$B$2:$B$42,0)),"")</f>
        <v/>
      </c>
      <c r="CR669" s="145" t="str">
        <f>IF($I669&lt;&gt;"",INDEX('Device Refrigerant Leakage'!$G$2:$G$42,MATCH($M669,'Device Refrigerant Leakage'!$B$2:$B$42,0)),"")</f>
        <v/>
      </c>
      <c r="CS669" s="145" t="str">
        <f>IF($I669&lt;&gt;"",INDEX('Device Refrigerant Leakage'!$D$2:$D$42,MATCH($M669,'Device Refrigerant Leakage'!$B$2:$B$42,0))*CP669/2204.62*CO669,"")</f>
        <v/>
      </c>
      <c r="CT669" s="145" t="str">
        <f>IF($I669&lt;&gt;"",J669*(INDEX('Device Refrigerant Leakage'!$D$2:$D$42,MATCH($M669,'Device Refrigerant Leakage'!$B$2:$B$42,0))-(INDEX('Device Refrigerant Leakage'!$D$2:$D$42,MATCH($M669,'Device Refrigerant Leakage'!$B$2:$B$42,0)))*CR669*CP669)*CQ669/2204.62*CO669,"")</f>
        <v/>
      </c>
      <c r="CU669" s="135" t="str">
        <f>IF($I669&lt;&gt;"",J669*IF(W669&lt;&gt;"AR",(CS669*K669)+CT669,(CS669*AB669)+CT669*(AB669/INDEX('Device Refrigerant Leakage'!$C$2:$C$42,MATCH($M669,'Device Refrigerant Leakage'!$B$2:$B$42,0)))),"")</f>
        <v/>
      </c>
      <c r="CW669" s="135" t="str">
        <f>IF($I669&lt;&gt;"",IF(S669="User Specified",V669,INDEX('Refrigerant GWPs'!$G$2:$G$156,MATCH(S669,'Refrigerant GWPs'!$A$2:$A$157,0))),"")</f>
        <v/>
      </c>
      <c r="CX669" s="138" t="str">
        <f>IF($I669&lt;&gt;"",INDEX('Device Refrigerant Leakage'!$E$2:$E$42,MATCH($Q669,'Device Refrigerant Leakage'!$B$2:$B$42,0)),"")</f>
        <v/>
      </c>
      <c r="CY669" s="138" t="str">
        <f>IF($I669&lt;&gt;"",INDEX('Device Refrigerant Leakage'!$F$2:$F$42,MATCH($Q669,'Device Refrigerant Leakage'!$B$2:$B$42,0)),"")</f>
        <v/>
      </c>
      <c r="CZ669" s="145" t="str">
        <f>IF($I669&lt;&gt;"",INDEX('Device Refrigerant Leakage'!$G$2:$G$42,MATCH($Q669,'Device Refrigerant Leakage'!$B$2:$B$42,0)),"")</f>
        <v/>
      </c>
      <c r="DA669" s="145" t="str">
        <f>IF($I669&lt;&gt;"",J669*INDEX('Device Refrigerant Leakage'!$D$2:$D$42,MATCH($Q669,'Device Refrigerant Leakage'!$B$2:$B$42,0))*CX669/2204.62*CW669,"")</f>
        <v/>
      </c>
      <c r="DB669" s="145" t="str">
        <f>IF($I669&lt;&gt;"",J669*(INDEX('Device Refrigerant Leakage'!$D$2:$D$42,MATCH($Q669,'Device Refrigerant Leakage'!$B$2:$B$42,0))-(INDEX('Device Refrigerant Leakage'!$D$2:$D$42,MATCH($Q669,'Device Refrigerant Leakage'!$B$2:$B$42,0)))*CZ669*CX669)*CY669/2204.62*CW669,"")</f>
        <v/>
      </c>
      <c r="DC669" s="135" t="str">
        <f t="shared" si="824"/>
        <v/>
      </c>
      <c r="DE669" s="146" t="str">
        <f>IF(W669&lt;&gt;"AR","",IF(Y669="User Specified", AA669, INDEX('Refrigerant GWPs'!$G$2:$G$154,MATCH(Y669,'Refrigerant GWPs'!$A$2:$A$154,0))))</f>
        <v/>
      </c>
      <c r="DF669" s="146" t="str">
        <f>IF(W669&lt;&gt;"AR","",INDEX('Device Refrigerant Leakage'!$E$2:$E$42,MATCH(X669,'Device Refrigerant Leakage'!$B$2:$B$42,0)))</f>
        <v/>
      </c>
      <c r="DG669" s="146" t="str">
        <f>IF(W669&lt;&gt;"AR","",INDEX('Device Refrigerant Leakage'!$F$2:$F$42,MATCH(X669,'Device Refrigerant Leakage'!$B$2:$B$42,0)))</f>
        <v/>
      </c>
      <c r="DH669" s="146" t="str">
        <f>IF(W669&lt;&gt;"AR","",INDEX('Device Refrigerant Leakage'!$G$2:$G$42,MATCH(X669,'Device Refrigerant Leakage'!$B$2:$B$42,0)))</f>
        <v/>
      </c>
      <c r="DI669" s="146" t="str">
        <f>IF(W669&lt;&gt;"AR","",J669*INDEX('Device Refrigerant Leakage'!$D$2:$D$42,MATCH(X669,'Device Refrigerant Leakage'!$B$2:$B$42,0))*DF669/2204.62*DE669)</f>
        <v/>
      </c>
      <c r="DJ669" s="146" t="str">
        <f>IF(W669&lt;&gt;"AR","",J669*(INDEX('Device Refrigerant Leakage'!$D$2:$D$42,MATCH(X669,'Device Refrigerant Leakage'!$B$2:$B$42,0))-(INDEX('Device Refrigerant Leakage'!$D$2:$D$42,MATCH(X669,'Device Refrigerant Leakage'!$B$2:$B$42,0)))*DH669*DF669)*DG669/2204.62*DE669)</f>
        <v/>
      </c>
      <c r="DK669" s="146" t="str">
        <f>IF(W669&lt;&gt;"AR","",DI669*(K669-AB669)+'Fuel Sub Calcs-Deemed'!DJ669*((K669-AB669)/INDEX('Device Refrigerant Leakage'!$C$2:$C$42,MATCH('Fuel Sub Calcs-Deemed'!X669,'Device Refrigerant Leakage'!$B$2:$B$42,0))))</f>
        <v/>
      </c>
      <c r="DM669" s="56">
        <v>655</v>
      </c>
      <c r="DN669" s="67" t="e">
        <f t="shared" si="806"/>
        <v>#N/A</v>
      </c>
      <c r="DO669" s="45" t="e">
        <f t="shared" si="807"/>
        <v>#N/A</v>
      </c>
      <c r="DP669" s="67" t="e">
        <f t="shared" si="808"/>
        <v>#N/A</v>
      </c>
      <c r="DQ669" s="45" t="e">
        <f t="shared" si="809"/>
        <v>#N/A</v>
      </c>
      <c r="DR669" s="69" t="e">
        <f t="shared" si="810"/>
        <v>#N/A</v>
      </c>
      <c r="DS669" s="34"/>
      <c r="DT669" s="67" t="e">
        <f>((BX669*CJ669)+IF($W669=MAT_AR,(BZ669*CL669),0))*(1+Reference!$E$50+Reference!$E$51)</f>
        <v>#N/A</v>
      </c>
      <c r="DU669" s="67">
        <f>((BY669*CK669)+IF($W669=MAT_AR,(CA669*CM669),0))*(1+Reference!$G$50+Reference!$G$51)</f>
        <v>0</v>
      </c>
      <c r="DV669" s="67" t="e">
        <f t="shared" si="811"/>
        <v>#VALUE!</v>
      </c>
      <c r="DX669" s="56">
        <v>655</v>
      </c>
      <c r="DY669" s="67">
        <f t="shared" si="812"/>
        <v>0</v>
      </c>
      <c r="DZ669" s="45" t="e">
        <f>VLOOKUP($R669,Dropdown!$C$3:$D$4,2,FALSE)</f>
        <v>#N/A</v>
      </c>
      <c r="EA669" s="68">
        <f t="shared" si="813"/>
        <v>0</v>
      </c>
      <c r="EB669" s="68" t="str">
        <f t="shared" si="814"/>
        <v>N/A</v>
      </c>
      <c r="EC669" s="68">
        <f t="shared" si="815"/>
        <v>0</v>
      </c>
      <c r="ED669" s="68" t="str">
        <f t="shared" si="853"/>
        <v>N/A</v>
      </c>
      <c r="EF669" s="56">
        <v>655</v>
      </c>
      <c r="EG669" s="46">
        <f t="shared" si="816"/>
        <v>0</v>
      </c>
      <c r="EH669" s="68" t="e">
        <f t="shared" si="817"/>
        <v>#N/A</v>
      </c>
      <c r="EI669" s="68" t="e">
        <f t="shared" si="818"/>
        <v>#N/A</v>
      </c>
      <c r="EJ669" s="68" t="e">
        <f t="shared" si="819"/>
        <v>#N/A</v>
      </c>
      <c r="EK669" s="68" t="e">
        <f t="shared" si="820"/>
        <v>#N/A</v>
      </c>
      <c r="EL669" s="46">
        <f t="shared" si="821"/>
        <v>0</v>
      </c>
      <c r="EM669" s="46">
        <f t="shared" si="822"/>
        <v>0</v>
      </c>
    </row>
    <row r="670" spans="1:143">
      <c r="A670" s="89"/>
      <c r="B670" s="89"/>
      <c r="C670" s="89"/>
      <c r="D670" s="89"/>
      <c r="E670" s="89"/>
      <c r="F670" s="89"/>
      <c r="G670" s="34"/>
      <c r="H670" s="56">
        <f t="shared" si="823"/>
        <v>656</v>
      </c>
      <c r="I670" s="165"/>
      <c r="J670" s="163"/>
      <c r="K670" s="163"/>
      <c r="L670" s="164"/>
      <c r="M670" s="155"/>
      <c r="N670" s="155"/>
      <c r="O670" s="144"/>
      <c r="P670" s="159" t="str">
        <f>IFERROR(IF(O670&lt;&gt;"User Specified",IF(O670&lt;&gt;"", INDEX('Refrigerant GWPs'!$G$2:$G$154,MATCH(O670,'Refrigerant GWPs'!$A$2:$A$154,0)),""),U670),0)</f>
        <v/>
      </c>
      <c r="Q670" s="155"/>
      <c r="R670" s="155"/>
      <c r="S670" s="144"/>
      <c r="T670" s="159" t="str">
        <f>IF(S670&lt;&gt;"User Specified",IF(AND(S670&lt;&gt;"User Specified",S670&lt;&gt;""), INDEX('Refrigerant GWPs'!$G$2:$G$154,MATCH(S670,'Refrigerant GWPs'!$A$2:$A$154,0)),""),V670)</f>
        <v/>
      </c>
      <c r="U670" s="144"/>
      <c r="V670" s="144"/>
      <c r="W670" s="155"/>
      <c r="X670" s="155"/>
      <c r="Y670" s="144"/>
      <c r="Z670" s="159" t="str">
        <f>IF(AND(Y670&lt;&gt;"User Specified",Y670&lt;&gt;""), INDEX('Refrigerant GWPs'!$G$2:$G$154,MATCH(Y670,'Refrigerant GWPs'!$A$2:$A$154,0)),"")</f>
        <v/>
      </c>
      <c r="AA670" s="155"/>
      <c r="AB670" s="156"/>
      <c r="AC670" s="66"/>
      <c r="AD670" s="66"/>
      <c r="AE670" s="66"/>
      <c r="AF670" s="66"/>
      <c r="AG670" s="66"/>
      <c r="AH670" s="66"/>
      <c r="AI670" s="34"/>
      <c r="AJ670" s="88">
        <f t="shared" si="786"/>
        <v>0</v>
      </c>
      <c r="AK670" s="88">
        <f t="shared" si="787"/>
        <v>0</v>
      </c>
      <c r="AL670" s="88">
        <v>0</v>
      </c>
      <c r="AM670" s="88">
        <v>0</v>
      </c>
      <c r="AN670" s="81" t="str">
        <f t="shared" si="825"/>
        <v/>
      </c>
      <c r="AO670" s="88">
        <f t="shared" si="788"/>
        <v>0</v>
      </c>
      <c r="AP670" s="88">
        <f t="shared" si="789"/>
        <v>0</v>
      </c>
      <c r="AQ670" s="81" t="str">
        <f t="shared" si="790"/>
        <v/>
      </c>
      <c r="AS670" s="41" t="b">
        <f t="shared" si="791"/>
        <v>1</v>
      </c>
      <c r="AT670" s="38">
        <f t="shared" si="792"/>
        <v>0</v>
      </c>
      <c r="AU670" s="60">
        <f t="shared" si="793"/>
        <v>0</v>
      </c>
      <c r="AV670" s="41">
        <f t="shared" si="794"/>
        <v>0</v>
      </c>
      <c r="AW670" s="41" t="b">
        <f t="shared" si="795"/>
        <v>0</v>
      </c>
      <c r="AX670" t="str">
        <f t="shared" si="796"/>
        <v>+00</v>
      </c>
      <c r="AY670" t="str">
        <f t="shared" si="797"/>
        <v>+00</v>
      </c>
      <c r="BA670" s="47" t="b">
        <f t="shared" si="826"/>
        <v>1</v>
      </c>
      <c r="BB670" s="42" t="b">
        <f t="shared" si="827"/>
        <v>1</v>
      </c>
      <c r="BC670" s="42" t="b">
        <f t="shared" si="828"/>
        <v>0</v>
      </c>
      <c r="BD670" s="42" t="b">
        <f t="shared" si="829"/>
        <v>0</v>
      </c>
      <c r="BE670" s="70">
        <f t="shared" si="830"/>
        <v>0</v>
      </c>
      <c r="BF670" s="70">
        <f t="shared" si="831"/>
        <v>0</v>
      </c>
      <c r="BG670" s="34"/>
      <c r="BI670" s="47" t="b">
        <f t="shared" si="832"/>
        <v>1</v>
      </c>
      <c r="BJ670" s="47" t="b">
        <f t="shared" si="833"/>
        <v>1</v>
      </c>
      <c r="BK670" s="42" t="b">
        <f t="shared" si="834"/>
        <v>0</v>
      </c>
      <c r="BL670" s="42" t="b">
        <f t="shared" si="835"/>
        <v>0</v>
      </c>
      <c r="BM670" s="42">
        <f t="shared" si="836"/>
        <v>0</v>
      </c>
      <c r="BN670" s="42">
        <f t="shared" si="837"/>
        <v>0</v>
      </c>
      <c r="BP670" t="e">
        <f t="shared" si="838"/>
        <v>#N/A</v>
      </c>
      <c r="BQ670" t="e">
        <f t="shared" si="839"/>
        <v>#N/A</v>
      </c>
      <c r="BR670" t="e">
        <f t="shared" si="840"/>
        <v>#N/A</v>
      </c>
      <c r="BT670" s="60">
        <f t="shared" si="841"/>
        <v>0</v>
      </c>
      <c r="BU670" s="60">
        <f t="shared" si="842"/>
        <v>0</v>
      </c>
      <c r="BV670" s="60">
        <f t="shared" si="843"/>
        <v>0</v>
      </c>
      <c r="BW670" s="60">
        <f t="shared" si="844"/>
        <v>0</v>
      </c>
      <c r="BX670" s="60">
        <f t="shared" si="845"/>
        <v>0</v>
      </c>
      <c r="BY670" s="60">
        <f t="shared" si="846"/>
        <v>0</v>
      </c>
      <c r="BZ670" s="60">
        <f t="shared" si="847"/>
        <v>0</v>
      </c>
      <c r="CA670" s="60">
        <f t="shared" si="848"/>
        <v>0</v>
      </c>
      <c r="CB670" s="60" t="e">
        <f t="shared" si="798"/>
        <v>#N/A</v>
      </c>
      <c r="CC670" s="60">
        <f t="shared" si="799"/>
        <v>100000</v>
      </c>
      <c r="CD670" s="60" t="e">
        <f t="shared" si="800"/>
        <v>#N/A</v>
      </c>
      <c r="CE670" s="60">
        <f t="shared" si="801"/>
        <v>100000</v>
      </c>
      <c r="CF670" s="83" t="e">
        <f t="shared" si="849"/>
        <v>#N/A</v>
      </c>
      <c r="CG670" s="83">
        <f t="shared" si="850"/>
        <v>0</v>
      </c>
      <c r="CH670" s="83" t="e">
        <f t="shared" si="851"/>
        <v>#N/A</v>
      </c>
      <c r="CI670" s="83">
        <f t="shared" si="852"/>
        <v>0</v>
      </c>
      <c r="CJ670" s="86" t="e">
        <f t="shared" si="802"/>
        <v>#N/A</v>
      </c>
      <c r="CK670" s="82">
        <f t="shared" si="803"/>
        <v>5.3070370403969858E-3</v>
      </c>
      <c r="CL670" s="82" t="e">
        <f t="shared" si="804"/>
        <v>#N/A</v>
      </c>
      <c r="CM670" s="82">
        <f t="shared" si="805"/>
        <v>5.3070370403969858E-3</v>
      </c>
      <c r="CO670" s="149" t="str">
        <f>IF($I670&lt;&gt;"",IF(O670="User Specified",U670,INDEX('Refrigerant GWPs'!$G$2:$G$156,MATCH(O670,'Refrigerant GWPs'!$A$2:$A$156,0))),"")</f>
        <v/>
      </c>
      <c r="CP670" s="138" t="str">
        <f>IF($I670&lt;&gt;"",INDEX('Device Refrigerant Leakage'!$E$2:$E$42,MATCH($M670,'Device Refrigerant Leakage'!$B$2:$B$42,0)),"")</f>
        <v/>
      </c>
      <c r="CQ670" s="138" t="str">
        <f>IF($I670&lt;&gt;"",INDEX('Device Refrigerant Leakage'!$F$2:$F$42,MATCH($M670,'Device Refrigerant Leakage'!$B$2:$B$42,0)),"")</f>
        <v/>
      </c>
      <c r="CR670" s="145" t="str">
        <f>IF($I670&lt;&gt;"",INDEX('Device Refrigerant Leakage'!$G$2:$G$42,MATCH($M670,'Device Refrigerant Leakage'!$B$2:$B$42,0)),"")</f>
        <v/>
      </c>
      <c r="CS670" s="145" t="str">
        <f>IF($I670&lt;&gt;"",INDEX('Device Refrigerant Leakage'!$D$2:$D$42,MATCH($M670,'Device Refrigerant Leakage'!$B$2:$B$42,0))*CP670/2204.62*CO670,"")</f>
        <v/>
      </c>
      <c r="CT670" s="145" t="str">
        <f>IF($I670&lt;&gt;"",J670*(INDEX('Device Refrigerant Leakage'!$D$2:$D$42,MATCH($M670,'Device Refrigerant Leakage'!$B$2:$B$42,0))-(INDEX('Device Refrigerant Leakage'!$D$2:$D$42,MATCH($M670,'Device Refrigerant Leakage'!$B$2:$B$42,0)))*CR670*CP670)*CQ670/2204.62*CO670,"")</f>
        <v/>
      </c>
      <c r="CU670" s="135" t="str">
        <f>IF($I670&lt;&gt;"",J670*IF(W670&lt;&gt;"AR",(CS670*K670)+CT670,(CS670*AB670)+CT670*(AB670/INDEX('Device Refrigerant Leakage'!$C$2:$C$42,MATCH($M670,'Device Refrigerant Leakage'!$B$2:$B$42,0)))),"")</f>
        <v/>
      </c>
      <c r="CW670" s="135" t="str">
        <f>IF($I670&lt;&gt;"",IF(S670="User Specified",V670,INDEX('Refrigerant GWPs'!$G$2:$G$156,MATCH(S670,'Refrigerant GWPs'!$A$2:$A$157,0))),"")</f>
        <v/>
      </c>
      <c r="CX670" s="138" t="str">
        <f>IF($I670&lt;&gt;"",INDEX('Device Refrigerant Leakage'!$E$2:$E$42,MATCH($Q670,'Device Refrigerant Leakage'!$B$2:$B$42,0)),"")</f>
        <v/>
      </c>
      <c r="CY670" s="138" t="str">
        <f>IF($I670&lt;&gt;"",INDEX('Device Refrigerant Leakage'!$F$2:$F$42,MATCH($Q670,'Device Refrigerant Leakage'!$B$2:$B$42,0)),"")</f>
        <v/>
      </c>
      <c r="CZ670" s="145" t="str">
        <f>IF($I670&lt;&gt;"",INDEX('Device Refrigerant Leakage'!$G$2:$G$42,MATCH($Q670,'Device Refrigerant Leakage'!$B$2:$B$42,0)),"")</f>
        <v/>
      </c>
      <c r="DA670" s="145" t="str">
        <f>IF($I670&lt;&gt;"",J670*INDEX('Device Refrigerant Leakage'!$D$2:$D$42,MATCH($Q670,'Device Refrigerant Leakage'!$B$2:$B$42,0))*CX670/2204.62*CW670,"")</f>
        <v/>
      </c>
      <c r="DB670" s="145" t="str">
        <f>IF($I670&lt;&gt;"",J670*(INDEX('Device Refrigerant Leakage'!$D$2:$D$42,MATCH($Q670,'Device Refrigerant Leakage'!$B$2:$B$42,0))-(INDEX('Device Refrigerant Leakage'!$D$2:$D$42,MATCH($Q670,'Device Refrigerant Leakage'!$B$2:$B$42,0)))*CZ670*CX670)*CY670/2204.62*CW670,"")</f>
        <v/>
      </c>
      <c r="DC670" s="135" t="str">
        <f t="shared" si="824"/>
        <v/>
      </c>
      <c r="DE670" s="146" t="str">
        <f>IF(W670&lt;&gt;"AR","",IF(Y670="User Specified", AA670, INDEX('Refrigerant GWPs'!$G$2:$G$154,MATCH(Y670,'Refrigerant GWPs'!$A$2:$A$154,0))))</f>
        <v/>
      </c>
      <c r="DF670" s="146" t="str">
        <f>IF(W670&lt;&gt;"AR","",INDEX('Device Refrigerant Leakage'!$E$2:$E$42,MATCH(X670,'Device Refrigerant Leakage'!$B$2:$B$42,0)))</f>
        <v/>
      </c>
      <c r="DG670" s="146" t="str">
        <f>IF(W670&lt;&gt;"AR","",INDEX('Device Refrigerant Leakage'!$F$2:$F$42,MATCH(X670,'Device Refrigerant Leakage'!$B$2:$B$42,0)))</f>
        <v/>
      </c>
      <c r="DH670" s="146" t="str">
        <f>IF(W670&lt;&gt;"AR","",INDEX('Device Refrigerant Leakage'!$G$2:$G$42,MATCH(X670,'Device Refrigerant Leakage'!$B$2:$B$42,0)))</f>
        <v/>
      </c>
      <c r="DI670" s="146" t="str">
        <f>IF(W670&lt;&gt;"AR","",J670*INDEX('Device Refrigerant Leakage'!$D$2:$D$42,MATCH(X670,'Device Refrigerant Leakage'!$B$2:$B$42,0))*DF670/2204.62*DE670)</f>
        <v/>
      </c>
      <c r="DJ670" s="146" t="str">
        <f>IF(W670&lt;&gt;"AR","",J670*(INDEX('Device Refrigerant Leakage'!$D$2:$D$42,MATCH(X670,'Device Refrigerant Leakage'!$B$2:$B$42,0))-(INDEX('Device Refrigerant Leakage'!$D$2:$D$42,MATCH(X670,'Device Refrigerant Leakage'!$B$2:$B$42,0)))*DH670*DF670)*DG670/2204.62*DE670)</f>
        <v/>
      </c>
      <c r="DK670" s="146" t="str">
        <f>IF(W670&lt;&gt;"AR","",DI670*(K670-AB670)+'Fuel Sub Calcs-Deemed'!DJ670*((K670-AB670)/INDEX('Device Refrigerant Leakage'!$C$2:$C$42,MATCH('Fuel Sub Calcs-Deemed'!X670,'Device Refrigerant Leakage'!$B$2:$B$42,0))))</f>
        <v/>
      </c>
      <c r="DM670" s="56">
        <v>656</v>
      </c>
      <c r="DN670" s="67" t="e">
        <f t="shared" si="806"/>
        <v>#N/A</v>
      </c>
      <c r="DO670" s="45" t="e">
        <f t="shared" si="807"/>
        <v>#N/A</v>
      </c>
      <c r="DP670" s="67" t="e">
        <f t="shared" si="808"/>
        <v>#N/A</v>
      </c>
      <c r="DQ670" s="45" t="e">
        <f t="shared" si="809"/>
        <v>#N/A</v>
      </c>
      <c r="DR670" s="69" t="e">
        <f t="shared" si="810"/>
        <v>#N/A</v>
      </c>
      <c r="DS670" s="34"/>
      <c r="DT670" s="67" t="e">
        <f>((BX670*CJ670)+IF($W670=MAT_AR,(BZ670*CL670),0))*(1+Reference!$E$50+Reference!$E$51)</f>
        <v>#N/A</v>
      </c>
      <c r="DU670" s="67">
        <f>((BY670*CK670)+IF($W670=MAT_AR,(CA670*CM670),0))*(1+Reference!$G$50+Reference!$G$51)</f>
        <v>0</v>
      </c>
      <c r="DV670" s="67" t="e">
        <f t="shared" si="811"/>
        <v>#VALUE!</v>
      </c>
      <c r="DX670" s="56">
        <v>656</v>
      </c>
      <c r="DY670" s="67">
        <f t="shared" si="812"/>
        <v>0</v>
      </c>
      <c r="DZ670" s="45" t="e">
        <f>VLOOKUP($R670,Dropdown!$C$3:$D$4,2,FALSE)</f>
        <v>#N/A</v>
      </c>
      <c r="EA670" s="68">
        <f t="shared" si="813"/>
        <v>0</v>
      </c>
      <c r="EB670" s="68" t="str">
        <f t="shared" si="814"/>
        <v>N/A</v>
      </c>
      <c r="EC670" s="68">
        <f t="shared" si="815"/>
        <v>0</v>
      </c>
      <c r="ED670" s="68" t="str">
        <f t="shared" si="853"/>
        <v>N/A</v>
      </c>
      <c r="EF670" s="56">
        <v>656</v>
      </c>
      <c r="EG670" s="46">
        <f t="shared" si="816"/>
        <v>0</v>
      </c>
      <c r="EH670" s="68" t="e">
        <f t="shared" si="817"/>
        <v>#N/A</v>
      </c>
      <c r="EI670" s="68" t="e">
        <f t="shared" si="818"/>
        <v>#N/A</v>
      </c>
      <c r="EJ670" s="68" t="e">
        <f t="shared" si="819"/>
        <v>#N/A</v>
      </c>
      <c r="EK670" s="68" t="e">
        <f t="shared" si="820"/>
        <v>#N/A</v>
      </c>
      <c r="EL670" s="46">
        <f t="shared" si="821"/>
        <v>0</v>
      </c>
      <c r="EM670" s="46">
        <f t="shared" si="822"/>
        <v>0</v>
      </c>
    </row>
    <row r="671" spans="1:143">
      <c r="A671" s="89"/>
      <c r="B671" s="89"/>
      <c r="C671" s="89"/>
      <c r="D671" s="89"/>
      <c r="E671" s="89"/>
      <c r="F671" s="89"/>
      <c r="G671" s="34"/>
      <c r="H671" s="56">
        <f t="shared" si="823"/>
        <v>657</v>
      </c>
      <c r="I671" s="165"/>
      <c r="J671" s="163"/>
      <c r="K671" s="163"/>
      <c r="L671" s="164"/>
      <c r="M671" s="155"/>
      <c r="N671" s="155"/>
      <c r="O671" s="144"/>
      <c r="P671" s="159" t="str">
        <f>IFERROR(IF(O671&lt;&gt;"User Specified",IF(O671&lt;&gt;"", INDEX('Refrigerant GWPs'!$G$2:$G$154,MATCH(O671,'Refrigerant GWPs'!$A$2:$A$154,0)),""),U671),0)</f>
        <v/>
      </c>
      <c r="Q671" s="155"/>
      <c r="R671" s="155"/>
      <c r="S671" s="144"/>
      <c r="T671" s="159" t="str">
        <f>IF(S671&lt;&gt;"User Specified",IF(AND(S671&lt;&gt;"User Specified",S671&lt;&gt;""), INDEX('Refrigerant GWPs'!$G$2:$G$154,MATCH(S671,'Refrigerant GWPs'!$A$2:$A$154,0)),""),V671)</f>
        <v/>
      </c>
      <c r="U671" s="144"/>
      <c r="V671" s="144"/>
      <c r="W671" s="155"/>
      <c r="X671" s="155"/>
      <c r="Y671" s="144"/>
      <c r="Z671" s="159" t="str">
        <f>IF(AND(Y671&lt;&gt;"User Specified",Y671&lt;&gt;""), INDEX('Refrigerant GWPs'!$G$2:$G$154,MATCH(Y671,'Refrigerant GWPs'!$A$2:$A$154,0)),"")</f>
        <v/>
      </c>
      <c r="AA671" s="155"/>
      <c r="AB671" s="156"/>
      <c r="AC671" s="66"/>
      <c r="AD671" s="66"/>
      <c r="AE671" s="66"/>
      <c r="AF671" s="66"/>
      <c r="AG671" s="66"/>
      <c r="AH671" s="66"/>
      <c r="AI671" s="34"/>
      <c r="AJ671" s="88">
        <f t="shared" si="786"/>
        <v>0</v>
      </c>
      <c r="AK671" s="88">
        <f t="shared" si="787"/>
        <v>0</v>
      </c>
      <c r="AL671" s="88">
        <v>0</v>
      </c>
      <c r="AM671" s="88">
        <v>0</v>
      </c>
      <c r="AN671" s="81" t="str">
        <f t="shared" si="825"/>
        <v/>
      </c>
      <c r="AO671" s="88">
        <f t="shared" si="788"/>
        <v>0</v>
      </c>
      <c r="AP671" s="88">
        <f t="shared" si="789"/>
        <v>0</v>
      </c>
      <c r="AQ671" s="81" t="str">
        <f t="shared" si="790"/>
        <v/>
      </c>
      <c r="AS671" s="41" t="b">
        <f t="shared" si="791"/>
        <v>1</v>
      </c>
      <c r="AT671" s="38">
        <f t="shared" si="792"/>
        <v>0</v>
      </c>
      <c r="AU671" s="60">
        <f t="shared" si="793"/>
        <v>0</v>
      </c>
      <c r="AV671" s="41">
        <f t="shared" si="794"/>
        <v>0</v>
      </c>
      <c r="AW671" s="41" t="b">
        <f t="shared" si="795"/>
        <v>0</v>
      </c>
      <c r="AX671" t="str">
        <f t="shared" si="796"/>
        <v>+00</v>
      </c>
      <c r="AY671" t="str">
        <f t="shared" si="797"/>
        <v>+00</v>
      </c>
      <c r="BA671" s="47" t="b">
        <f t="shared" si="826"/>
        <v>1</v>
      </c>
      <c r="BB671" s="42" t="b">
        <f t="shared" si="827"/>
        <v>1</v>
      </c>
      <c r="BC671" s="42" t="b">
        <f t="shared" si="828"/>
        <v>0</v>
      </c>
      <c r="BD671" s="42" t="b">
        <f t="shared" si="829"/>
        <v>0</v>
      </c>
      <c r="BE671" s="70">
        <f t="shared" si="830"/>
        <v>0</v>
      </c>
      <c r="BF671" s="70">
        <f t="shared" si="831"/>
        <v>0</v>
      </c>
      <c r="BG671" s="34"/>
      <c r="BI671" s="47" t="b">
        <f t="shared" si="832"/>
        <v>1</v>
      </c>
      <c r="BJ671" s="47" t="b">
        <f t="shared" si="833"/>
        <v>1</v>
      </c>
      <c r="BK671" s="42" t="b">
        <f t="shared" si="834"/>
        <v>0</v>
      </c>
      <c r="BL671" s="42" t="b">
        <f t="shared" si="835"/>
        <v>0</v>
      </c>
      <c r="BM671" s="42">
        <f t="shared" si="836"/>
        <v>0</v>
      </c>
      <c r="BN671" s="42">
        <f t="shared" si="837"/>
        <v>0</v>
      </c>
      <c r="BP671" t="e">
        <f t="shared" si="838"/>
        <v>#N/A</v>
      </c>
      <c r="BQ671" t="e">
        <f t="shared" si="839"/>
        <v>#N/A</v>
      </c>
      <c r="BR671" t="e">
        <f t="shared" si="840"/>
        <v>#N/A</v>
      </c>
      <c r="BT671" s="60">
        <f t="shared" si="841"/>
        <v>0</v>
      </c>
      <c r="BU671" s="60">
        <f t="shared" si="842"/>
        <v>0</v>
      </c>
      <c r="BV671" s="60">
        <f t="shared" si="843"/>
        <v>0</v>
      </c>
      <c r="BW671" s="60">
        <f t="shared" si="844"/>
        <v>0</v>
      </c>
      <c r="BX671" s="60">
        <f t="shared" si="845"/>
        <v>0</v>
      </c>
      <c r="BY671" s="60">
        <f t="shared" si="846"/>
        <v>0</v>
      </c>
      <c r="BZ671" s="60">
        <f t="shared" si="847"/>
        <v>0</v>
      </c>
      <c r="CA671" s="60">
        <f t="shared" si="848"/>
        <v>0</v>
      </c>
      <c r="CB671" s="60" t="e">
        <f t="shared" si="798"/>
        <v>#N/A</v>
      </c>
      <c r="CC671" s="60">
        <f t="shared" si="799"/>
        <v>100000</v>
      </c>
      <c r="CD671" s="60" t="e">
        <f t="shared" si="800"/>
        <v>#N/A</v>
      </c>
      <c r="CE671" s="60">
        <f t="shared" si="801"/>
        <v>100000</v>
      </c>
      <c r="CF671" s="83" t="e">
        <f t="shared" si="849"/>
        <v>#N/A</v>
      </c>
      <c r="CG671" s="83">
        <f t="shared" si="850"/>
        <v>0</v>
      </c>
      <c r="CH671" s="83" t="e">
        <f t="shared" si="851"/>
        <v>#N/A</v>
      </c>
      <c r="CI671" s="83">
        <f t="shared" si="852"/>
        <v>0</v>
      </c>
      <c r="CJ671" s="86" t="e">
        <f t="shared" si="802"/>
        <v>#N/A</v>
      </c>
      <c r="CK671" s="82">
        <f t="shared" si="803"/>
        <v>5.3070370403969858E-3</v>
      </c>
      <c r="CL671" s="82" t="e">
        <f t="shared" si="804"/>
        <v>#N/A</v>
      </c>
      <c r="CM671" s="82">
        <f t="shared" si="805"/>
        <v>5.3070370403969858E-3</v>
      </c>
      <c r="CO671" s="149" t="str">
        <f>IF($I671&lt;&gt;"",IF(O671="User Specified",U671,INDEX('Refrigerant GWPs'!$G$2:$G$156,MATCH(O671,'Refrigerant GWPs'!$A$2:$A$156,0))),"")</f>
        <v/>
      </c>
      <c r="CP671" s="138" t="str">
        <f>IF($I671&lt;&gt;"",INDEX('Device Refrigerant Leakage'!$E$2:$E$42,MATCH($M671,'Device Refrigerant Leakage'!$B$2:$B$42,0)),"")</f>
        <v/>
      </c>
      <c r="CQ671" s="138" t="str">
        <f>IF($I671&lt;&gt;"",INDEX('Device Refrigerant Leakage'!$F$2:$F$42,MATCH($M671,'Device Refrigerant Leakage'!$B$2:$B$42,0)),"")</f>
        <v/>
      </c>
      <c r="CR671" s="145" t="str">
        <f>IF($I671&lt;&gt;"",INDEX('Device Refrigerant Leakage'!$G$2:$G$42,MATCH($M671,'Device Refrigerant Leakage'!$B$2:$B$42,0)),"")</f>
        <v/>
      </c>
      <c r="CS671" s="145" t="str">
        <f>IF($I671&lt;&gt;"",INDEX('Device Refrigerant Leakage'!$D$2:$D$42,MATCH($M671,'Device Refrigerant Leakage'!$B$2:$B$42,0))*CP671/2204.62*CO671,"")</f>
        <v/>
      </c>
      <c r="CT671" s="145" t="str">
        <f>IF($I671&lt;&gt;"",J671*(INDEX('Device Refrigerant Leakage'!$D$2:$D$42,MATCH($M671,'Device Refrigerant Leakage'!$B$2:$B$42,0))-(INDEX('Device Refrigerant Leakage'!$D$2:$D$42,MATCH($M671,'Device Refrigerant Leakage'!$B$2:$B$42,0)))*CR671*CP671)*CQ671/2204.62*CO671,"")</f>
        <v/>
      </c>
      <c r="CU671" s="135" t="str">
        <f>IF($I671&lt;&gt;"",J671*IF(W671&lt;&gt;"AR",(CS671*K671)+CT671,(CS671*AB671)+CT671*(AB671/INDEX('Device Refrigerant Leakage'!$C$2:$C$42,MATCH($M671,'Device Refrigerant Leakage'!$B$2:$B$42,0)))),"")</f>
        <v/>
      </c>
      <c r="CW671" s="135" t="str">
        <f>IF($I671&lt;&gt;"",IF(S671="User Specified",V671,INDEX('Refrigerant GWPs'!$G$2:$G$156,MATCH(S671,'Refrigerant GWPs'!$A$2:$A$157,0))),"")</f>
        <v/>
      </c>
      <c r="CX671" s="138" t="str">
        <f>IF($I671&lt;&gt;"",INDEX('Device Refrigerant Leakage'!$E$2:$E$42,MATCH($Q671,'Device Refrigerant Leakage'!$B$2:$B$42,0)),"")</f>
        <v/>
      </c>
      <c r="CY671" s="138" t="str">
        <f>IF($I671&lt;&gt;"",INDEX('Device Refrigerant Leakage'!$F$2:$F$42,MATCH($Q671,'Device Refrigerant Leakage'!$B$2:$B$42,0)),"")</f>
        <v/>
      </c>
      <c r="CZ671" s="145" t="str">
        <f>IF($I671&lt;&gt;"",INDEX('Device Refrigerant Leakage'!$G$2:$G$42,MATCH($Q671,'Device Refrigerant Leakage'!$B$2:$B$42,0)),"")</f>
        <v/>
      </c>
      <c r="DA671" s="145" t="str">
        <f>IF($I671&lt;&gt;"",J671*INDEX('Device Refrigerant Leakage'!$D$2:$D$42,MATCH($Q671,'Device Refrigerant Leakage'!$B$2:$B$42,0))*CX671/2204.62*CW671,"")</f>
        <v/>
      </c>
      <c r="DB671" s="145" t="str">
        <f>IF($I671&lt;&gt;"",J671*(INDEX('Device Refrigerant Leakage'!$D$2:$D$42,MATCH($Q671,'Device Refrigerant Leakage'!$B$2:$B$42,0))-(INDEX('Device Refrigerant Leakage'!$D$2:$D$42,MATCH($Q671,'Device Refrigerant Leakage'!$B$2:$B$42,0)))*CZ671*CX671)*CY671/2204.62*CW671,"")</f>
        <v/>
      </c>
      <c r="DC671" s="135" t="str">
        <f t="shared" si="824"/>
        <v/>
      </c>
      <c r="DE671" s="146" t="str">
        <f>IF(W671&lt;&gt;"AR","",IF(Y671="User Specified", AA671, INDEX('Refrigerant GWPs'!$G$2:$G$154,MATCH(Y671,'Refrigerant GWPs'!$A$2:$A$154,0))))</f>
        <v/>
      </c>
      <c r="DF671" s="146" t="str">
        <f>IF(W671&lt;&gt;"AR","",INDEX('Device Refrigerant Leakage'!$E$2:$E$42,MATCH(X671,'Device Refrigerant Leakage'!$B$2:$B$42,0)))</f>
        <v/>
      </c>
      <c r="DG671" s="146" t="str">
        <f>IF(W671&lt;&gt;"AR","",INDEX('Device Refrigerant Leakage'!$F$2:$F$42,MATCH(X671,'Device Refrigerant Leakage'!$B$2:$B$42,0)))</f>
        <v/>
      </c>
      <c r="DH671" s="146" t="str">
        <f>IF(W671&lt;&gt;"AR","",INDEX('Device Refrigerant Leakage'!$G$2:$G$42,MATCH(X671,'Device Refrigerant Leakage'!$B$2:$B$42,0)))</f>
        <v/>
      </c>
      <c r="DI671" s="146" t="str">
        <f>IF(W671&lt;&gt;"AR","",J671*INDEX('Device Refrigerant Leakage'!$D$2:$D$42,MATCH(X671,'Device Refrigerant Leakage'!$B$2:$B$42,0))*DF671/2204.62*DE671)</f>
        <v/>
      </c>
      <c r="DJ671" s="146" t="str">
        <f>IF(W671&lt;&gt;"AR","",J671*(INDEX('Device Refrigerant Leakage'!$D$2:$D$42,MATCH(X671,'Device Refrigerant Leakage'!$B$2:$B$42,0))-(INDEX('Device Refrigerant Leakage'!$D$2:$D$42,MATCH(X671,'Device Refrigerant Leakage'!$B$2:$B$42,0)))*DH671*DF671)*DG671/2204.62*DE671)</f>
        <v/>
      </c>
      <c r="DK671" s="146" t="str">
        <f>IF(W671&lt;&gt;"AR","",DI671*(K671-AB671)+'Fuel Sub Calcs-Deemed'!DJ671*((K671-AB671)/INDEX('Device Refrigerant Leakage'!$C$2:$C$42,MATCH('Fuel Sub Calcs-Deemed'!X671,'Device Refrigerant Leakage'!$B$2:$B$42,0))))</f>
        <v/>
      </c>
      <c r="DM671" s="56">
        <v>657</v>
      </c>
      <c r="DN671" s="67" t="e">
        <f t="shared" si="806"/>
        <v>#N/A</v>
      </c>
      <c r="DO671" s="45" t="e">
        <f t="shared" si="807"/>
        <v>#N/A</v>
      </c>
      <c r="DP671" s="67" t="e">
        <f t="shared" si="808"/>
        <v>#N/A</v>
      </c>
      <c r="DQ671" s="45" t="e">
        <f t="shared" si="809"/>
        <v>#N/A</v>
      </c>
      <c r="DR671" s="69" t="e">
        <f t="shared" si="810"/>
        <v>#N/A</v>
      </c>
      <c r="DS671" s="34"/>
      <c r="DT671" s="67" t="e">
        <f>((BX671*CJ671)+IF($W671=MAT_AR,(BZ671*CL671),0))*(1+Reference!$E$50+Reference!$E$51)</f>
        <v>#N/A</v>
      </c>
      <c r="DU671" s="67">
        <f>((BY671*CK671)+IF($W671=MAT_AR,(CA671*CM671),0))*(1+Reference!$G$50+Reference!$G$51)</f>
        <v>0</v>
      </c>
      <c r="DV671" s="67" t="e">
        <f t="shared" si="811"/>
        <v>#VALUE!</v>
      </c>
      <c r="DX671" s="56">
        <v>657</v>
      </c>
      <c r="DY671" s="67">
        <f t="shared" si="812"/>
        <v>0</v>
      </c>
      <c r="DZ671" s="45" t="e">
        <f>VLOOKUP($R671,Dropdown!$C$3:$D$4,2,FALSE)</f>
        <v>#N/A</v>
      </c>
      <c r="EA671" s="68">
        <f t="shared" si="813"/>
        <v>0</v>
      </c>
      <c r="EB671" s="68" t="str">
        <f t="shared" si="814"/>
        <v>N/A</v>
      </c>
      <c r="EC671" s="68">
        <f t="shared" si="815"/>
        <v>0</v>
      </c>
      <c r="ED671" s="68" t="str">
        <f t="shared" si="853"/>
        <v>N/A</v>
      </c>
      <c r="EF671" s="56">
        <v>657</v>
      </c>
      <c r="EG671" s="46">
        <f t="shared" si="816"/>
        <v>0</v>
      </c>
      <c r="EH671" s="68" t="e">
        <f t="shared" si="817"/>
        <v>#N/A</v>
      </c>
      <c r="EI671" s="68" t="e">
        <f t="shared" si="818"/>
        <v>#N/A</v>
      </c>
      <c r="EJ671" s="68" t="e">
        <f t="shared" si="819"/>
        <v>#N/A</v>
      </c>
      <c r="EK671" s="68" t="e">
        <f t="shared" si="820"/>
        <v>#N/A</v>
      </c>
      <c r="EL671" s="46">
        <f t="shared" si="821"/>
        <v>0</v>
      </c>
      <c r="EM671" s="46">
        <f t="shared" si="822"/>
        <v>0</v>
      </c>
    </row>
    <row r="672" spans="1:143">
      <c r="A672" s="89"/>
      <c r="B672" s="89"/>
      <c r="C672" s="89"/>
      <c r="D672" s="89"/>
      <c r="E672" s="89"/>
      <c r="F672" s="89"/>
      <c r="G672" s="34"/>
      <c r="H672" s="56">
        <f t="shared" si="823"/>
        <v>658</v>
      </c>
      <c r="I672" s="165"/>
      <c r="J672" s="163"/>
      <c r="K672" s="163"/>
      <c r="L672" s="164"/>
      <c r="M672" s="155"/>
      <c r="N672" s="155"/>
      <c r="O672" s="144"/>
      <c r="P672" s="159" t="str">
        <f>IFERROR(IF(O672&lt;&gt;"User Specified",IF(O672&lt;&gt;"", INDEX('Refrigerant GWPs'!$G$2:$G$154,MATCH(O672,'Refrigerant GWPs'!$A$2:$A$154,0)),""),U672),0)</f>
        <v/>
      </c>
      <c r="Q672" s="155"/>
      <c r="R672" s="155"/>
      <c r="S672" s="144"/>
      <c r="T672" s="159" t="str">
        <f>IF(S672&lt;&gt;"User Specified",IF(AND(S672&lt;&gt;"User Specified",S672&lt;&gt;""), INDEX('Refrigerant GWPs'!$G$2:$G$154,MATCH(S672,'Refrigerant GWPs'!$A$2:$A$154,0)),""),V672)</f>
        <v/>
      </c>
      <c r="U672" s="144"/>
      <c r="V672" s="144"/>
      <c r="W672" s="155"/>
      <c r="X672" s="155"/>
      <c r="Y672" s="144"/>
      <c r="Z672" s="159" t="str">
        <f>IF(AND(Y672&lt;&gt;"User Specified",Y672&lt;&gt;""), INDEX('Refrigerant GWPs'!$G$2:$G$154,MATCH(Y672,'Refrigerant GWPs'!$A$2:$A$154,0)),"")</f>
        <v/>
      </c>
      <c r="AA672" s="155"/>
      <c r="AB672" s="156"/>
      <c r="AC672" s="66"/>
      <c r="AD672" s="66"/>
      <c r="AE672" s="66"/>
      <c r="AF672" s="66"/>
      <c r="AG672" s="66"/>
      <c r="AH672" s="66"/>
      <c r="AI672" s="34"/>
      <c r="AJ672" s="88">
        <f t="shared" si="786"/>
        <v>0</v>
      </c>
      <c r="AK672" s="88">
        <f t="shared" si="787"/>
        <v>0</v>
      </c>
      <c r="AL672" s="88">
        <v>0</v>
      </c>
      <c r="AM672" s="88">
        <v>0</v>
      </c>
      <c r="AN672" s="81" t="str">
        <f t="shared" si="825"/>
        <v/>
      </c>
      <c r="AO672" s="88">
        <f t="shared" si="788"/>
        <v>0</v>
      </c>
      <c r="AP672" s="88">
        <f t="shared" si="789"/>
        <v>0</v>
      </c>
      <c r="AQ672" s="81" t="str">
        <f t="shared" si="790"/>
        <v/>
      </c>
      <c r="AS672" s="41" t="b">
        <f t="shared" si="791"/>
        <v>1</v>
      </c>
      <c r="AT672" s="38">
        <f t="shared" si="792"/>
        <v>0</v>
      </c>
      <c r="AU672" s="60">
        <f t="shared" si="793"/>
        <v>0</v>
      </c>
      <c r="AV672" s="41">
        <f t="shared" si="794"/>
        <v>0</v>
      </c>
      <c r="AW672" s="41" t="b">
        <f t="shared" si="795"/>
        <v>0</v>
      </c>
      <c r="AX672" t="str">
        <f t="shared" si="796"/>
        <v>+00</v>
      </c>
      <c r="AY672" t="str">
        <f t="shared" si="797"/>
        <v>+00</v>
      </c>
      <c r="BA672" s="47" t="b">
        <f t="shared" si="826"/>
        <v>1</v>
      </c>
      <c r="BB672" s="42" t="b">
        <f t="shared" si="827"/>
        <v>1</v>
      </c>
      <c r="BC672" s="42" t="b">
        <f t="shared" si="828"/>
        <v>0</v>
      </c>
      <c r="BD672" s="42" t="b">
        <f t="shared" si="829"/>
        <v>0</v>
      </c>
      <c r="BE672" s="70">
        <f t="shared" si="830"/>
        <v>0</v>
      </c>
      <c r="BF672" s="70">
        <f t="shared" si="831"/>
        <v>0</v>
      </c>
      <c r="BG672" s="34"/>
      <c r="BI672" s="47" t="b">
        <f t="shared" si="832"/>
        <v>1</v>
      </c>
      <c r="BJ672" s="47" t="b">
        <f t="shared" si="833"/>
        <v>1</v>
      </c>
      <c r="BK672" s="42" t="b">
        <f t="shared" si="834"/>
        <v>0</v>
      </c>
      <c r="BL672" s="42" t="b">
        <f t="shared" si="835"/>
        <v>0</v>
      </c>
      <c r="BM672" s="42">
        <f t="shared" si="836"/>
        <v>0</v>
      </c>
      <c r="BN672" s="42">
        <f t="shared" si="837"/>
        <v>0</v>
      </c>
      <c r="BP672" t="e">
        <f t="shared" si="838"/>
        <v>#N/A</v>
      </c>
      <c r="BQ672" t="e">
        <f t="shared" si="839"/>
        <v>#N/A</v>
      </c>
      <c r="BR672" t="e">
        <f t="shared" si="840"/>
        <v>#N/A</v>
      </c>
      <c r="BT672" s="60">
        <f t="shared" si="841"/>
        <v>0</v>
      </c>
      <c r="BU672" s="60">
        <f t="shared" si="842"/>
        <v>0</v>
      </c>
      <c r="BV672" s="60">
        <f t="shared" si="843"/>
        <v>0</v>
      </c>
      <c r="BW672" s="60">
        <f t="shared" si="844"/>
        <v>0</v>
      </c>
      <c r="BX672" s="60">
        <f t="shared" si="845"/>
        <v>0</v>
      </c>
      <c r="BY672" s="60">
        <f t="shared" si="846"/>
        <v>0</v>
      </c>
      <c r="BZ672" s="60">
        <f t="shared" si="847"/>
        <v>0</v>
      </c>
      <c r="CA672" s="60">
        <f t="shared" si="848"/>
        <v>0</v>
      </c>
      <c r="CB672" s="60" t="e">
        <f t="shared" si="798"/>
        <v>#N/A</v>
      </c>
      <c r="CC672" s="60">
        <f t="shared" si="799"/>
        <v>100000</v>
      </c>
      <c r="CD672" s="60" t="e">
        <f t="shared" si="800"/>
        <v>#N/A</v>
      </c>
      <c r="CE672" s="60">
        <f t="shared" si="801"/>
        <v>100000</v>
      </c>
      <c r="CF672" s="83" t="e">
        <f t="shared" si="849"/>
        <v>#N/A</v>
      </c>
      <c r="CG672" s="83">
        <f t="shared" si="850"/>
        <v>0</v>
      </c>
      <c r="CH672" s="83" t="e">
        <f t="shared" si="851"/>
        <v>#N/A</v>
      </c>
      <c r="CI672" s="83">
        <f t="shared" si="852"/>
        <v>0</v>
      </c>
      <c r="CJ672" s="86" t="e">
        <f t="shared" si="802"/>
        <v>#N/A</v>
      </c>
      <c r="CK672" s="82">
        <f t="shared" si="803"/>
        <v>5.3070370403969858E-3</v>
      </c>
      <c r="CL672" s="82" t="e">
        <f t="shared" si="804"/>
        <v>#N/A</v>
      </c>
      <c r="CM672" s="82">
        <f t="shared" si="805"/>
        <v>5.3070370403969858E-3</v>
      </c>
      <c r="CO672" s="149" t="str">
        <f>IF($I672&lt;&gt;"",IF(O672="User Specified",U672,INDEX('Refrigerant GWPs'!$G$2:$G$156,MATCH(O672,'Refrigerant GWPs'!$A$2:$A$156,0))),"")</f>
        <v/>
      </c>
      <c r="CP672" s="138" t="str">
        <f>IF($I672&lt;&gt;"",INDEX('Device Refrigerant Leakage'!$E$2:$E$42,MATCH($M672,'Device Refrigerant Leakage'!$B$2:$B$42,0)),"")</f>
        <v/>
      </c>
      <c r="CQ672" s="138" t="str">
        <f>IF($I672&lt;&gt;"",INDEX('Device Refrigerant Leakage'!$F$2:$F$42,MATCH($M672,'Device Refrigerant Leakage'!$B$2:$B$42,0)),"")</f>
        <v/>
      </c>
      <c r="CR672" s="145" t="str">
        <f>IF($I672&lt;&gt;"",INDEX('Device Refrigerant Leakage'!$G$2:$G$42,MATCH($M672,'Device Refrigerant Leakage'!$B$2:$B$42,0)),"")</f>
        <v/>
      </c>
      <c r="CS672" s="145" t="str">
        <f>IF($I672&lt;&gt;"",INDEX('Device Refrigerant Leakage'!$D$2:$D$42,MATCH($M672,'Device Refrigerant Leakage'!$B$2:$B$42,0))*CP672/2204.62*CO672,"")</f>
        <v/>
      </c>
      <c r="CT672" s="145" t="str">
        <f>IF($I672&lt;&gt;"",J672*(INDEX('Device Refrigerant Leakage'!$D$2:$D$42,MATCH($M672,'Device Refrigerant Leakage'!$B$2:$B$42,0))-(INDEX('Device Refrigerant Leakage'!$D$2:$D$42,MATCH($M672,'Device Refrigerant Leakage'!$B$2:$B$42,0)))*CR672*CP672)*CQ672/2204.62*CO672,"")</f>
        <v/>
      </c>
      <c r="CU672" s="135" t="str">
        <f>IF($I672&lt;&gt;"",J672*IF(W672&lt;&gt;"AR",(CS672*K672)+CT672,(CS672*AB672)+CT672*(AB672/INDEX('Device Refrigerant Leakage'!$C$2:$C$42,MATCH($M672,'Device Refrigerant Leakage'!$B$2:$B$42,0)))),"")</f>
        <v/>
      </c>
      <c r="CW672" s="135" t="str">
        <f>IF($I672&lt;&gt;"",IF(S672="User Specified",V672,INDEX('Refrigerant GWPs'!$G$2:$G$156,MATCH(S672,'Refrigerant GWPs'!$A$2:$A$157,0))),"")</f>
        <v/>
      </c>
      <c r="CX672" s="138" t="str">
        <f>IF($I672&lt;&gt;"",INDEX('Device Refrigerant Leakage'!$E$2:$E$42,MATCH($Q672,'Device Refrigerant Leakage'!$B$2:$B$42,0)),"")</f>
        <v/>
      </c>
      <c r="CY672" s="138" t="str">
        <f>IF($I672&lt;&gt;"",INDEX('Device Refrigerant Leakage'!$F$2:$F$42,MATCH($Q672,'Device Refrigerant Leakage'!$B$2:$B$42,0)),"")</f>
        <v/>
      </c>
      <c r="CZ672" s="145" t="str">
        <f>IF($I672&lt;&gt;"",INDEX('Device Refrigerant Leakage'!$G$2:$G$42,MATCH($Q672,'Device Refrigerant Leakage'!$B$2:$B$42,0)),"")</f>
        <v/>
      </c>
      <c r="DA672" s="145" t="str">
        <f>IF($I672&lt;&gt;"",J672*INDEX('Device Refrigerant Leakage'!$D$2:$D$42,MATCH($Q672,'Device Refrigerant Leakage'!$B$2:$B$42,0))*CX672/2204.62*CW672,"")</f>
        <v/>
      </c>
      <c r="DB672" s="145" t="str">
        <f>IF($I672&lt;&gt;"",J672*(INDEX('Device Refrigerant Leakage'!$D$2:$D$42,MATCH($Q672,'Device Refrigerant Leakage'!$B$2:$B$42,0))-(INDEX('Device Refrigerant Leakage'!$D$2:$D$42,MATCH($Q672,'Device Refrigerant Leakage'!$B$2:$B$42,0)))*CZ672*CX672)*CY672/2204.62*CW672,"")</f>
        <v/>
      </c>
      <c r="DC672" s="135" t="str">
        <f t="shared" si="824"/>
        <v/>
      </c>
      <c r="DE672" s="146" t="str">
        <f>IF(W672&lt;&gt;"AR","",IF(Y672="User Specified", AA672, INDEX('Refrigerant GWPs'!$G$2:$G$154,MATCH(Y672,'Refrigerant GWPs'!$A$2:$A$154,0))))</f>
        <v/>
      </c>
      <c r="DF672" s="146" t="str">
        <f>IF(W672&lt;&gt;"AR","",INDEX('Device Refrigerant Leakage'!$E$2:$E$42,MATCH(X672,'Device Refrigerant Leakage'!$B$2:$B$42,0)))</f>
        <v/>
      </c>
      <c r="DG672" s="146" t="str">
        <f>IF(W672&lt;&gt;"AR","",INDEX('Device Refrigerant Leakage'!$F$2:$F$42,MATCH(X672,'Device Refrigerant Leakage'!$B$2:$B$42,0)))</f>
        <v/>
      </c>
      <c r="DH672" s="146" t="str">
        <f>IF(W672&lt;&gt;"AR","",INDEX('Device Refrigerant Leakage'!$G$2:$G$42,MATCH(X672,'Device Refrigerant Leakage'!$B$2:$B$42,0)))</f>
        <v/>
      </c>
      <c r="DI672" s="146" t="str">
        <f>IF(W672&lt;&gt;"AR","",J672*INDEX('Device Refrigerant Leakage'!$D$2:$D$42,MATCH(X672,'Device Refrigerant Leakage'!$B$2:$B$42,0))*DF672/2204.62*DE672)</f>
        <v/>
      </c>
      <c r="DJ672" s="146" t="str">
        <f>IF(W672&lt;&gt;"AR","",J672*(INDEX('Device Refrigerant Leakage'!$D$2:$D$42,MATCH(X672,'Device Refrigerant Leakage'!$B$2:$B$42,0))-(INDEX('Device Refrigerant Leakage'!$D$2:$D$42,MATCH(X672,'Device Refrigerant Leakage'!$B$2:$B$42,0)))*DH672*DF672)*DG672/2204.62*DE672)</f>
        <v/>
      </c>
      <c r="DK672" s="146" t="str">
        <f>IF(W672&lt;&gt;"AR","",DI672*(K672-AB672)+'Fuel Sub Calcs-Deemed'!DJ672*((K672-AB672)/INDEX('Device Refrigerant Leakage'!$C$2:$C$42,MATCH('Fuel Sub Calcs-Deemed'!X672,'Device Refrigerant Leakage'!$B$2:$B$42,0))))</f>
        <v/>
      </c>
      <c r="DM672" s="56">
        <v>658</v>
      </c>
      <c r="DN672" s="67" t="e">
        <f t="shared" si="806"/>
        <v>#N/A</v>
      </c>
      <c r="DO672" s="45" t="e">
        <f t="shared" si="807"/>
        <v>#N/A</v>
      </c>
      <c r="DP672" s="67" t="e">
        <f t="shared" si="808"/>
        <v>#N/A</v>
      </c>
      <c r="DQ672" s="45" t="e">
        <f t="shared" si="809"/>
        <v>#N/A</v>
      </c>
      <c r="DR672" s="69" t="e">
        <f t="shared" si="810"/>
        <v>#N/A</v>
      </c>
      <c r="DS672" s="34"/>
      <c r="DT672" s="67" t="e">
        <f>((BX672*CJ672)+IF($W672=MAT_AR,(BZ672*CL672),0))*(1+Reference!$E$50+Reference!$E$51)</f>
        <v>#N/A</v>
      </c>
      <c r="DU672" s="67">
        <f>((BY672*CK672)+IF($W672=MAT_AR,(CA672*CM672),0))*(1+Reference!$G$50+Reference!$G$51)</f>
        <v>0</v>
      </c>
      <c r="DV672" s="67" t="e">
        <f t="shared" si="811"/>
        <v>#VALUE!</v>
      </c>
      <c r="DX672" s="56">
        <v>658</v>
      </c>
      <c r="DY672" s="67">
        <f t="shared" si="812"/>
        <v>0</v>
      </c>
      <c r="DZ672" s="45" t="e">
        <f>VLOOKUP($R672,Dropdown!$C$3:$D$4,2,FALSE)</f>
        <v>#N/A</v>
      </c>
      <c r="EA672" s="68">
        <f t="shared" si="813"/>
        <v>0</v>
      </c>
      <c r="EB672" s="68" t="str">
        <f t="shared" si="814"/>
        <v>N/A</v>
      </c>
      <c r="EC672" s="68">
        <f t="shared" si="815"/>
        <v>0</v>
      </c>
      <c r="ED672" s="68" t="str">
        <f t="shared" si="853"/>
        <v>N/A</v>
      </c>
      <c r="EF672" s="56">
        <v>658</v>
      </c>
      <c r="EG672" s="46">
        <f t="shared" si="816"/>
        <v>0</v>
      </c>
      <c r="EH672" s="68" t="e">
        <f t="shared" si="817"/>
        <v>#N/A</v>
      </c>
      <c r="EI672" s="68" t="e">
        <f t="shared" si="818"/>
        <v>#N/A</v>
      </c>
      <c r="EJ672" s="68" t="e">
        <f t="shared" si="819"/>
        <v>#N/A</v>
      </c>
      <c r="EK672" s="68" t="e">
        <f t="shared" si="820"/>
        <v>#N/A</v>
      </c>
      <c r="EL672" s="46">
        <f t="shared" si="821"/>
        <v>0</v>
      </c>
      <c r="EM672" s="46">
        <f t="shared" si="822"/>
        <v>0</v>
      </c>
    </row>
    <row r="673" spans="1:143">
      <c r="A673" s="89"/>
      <c r="B673" s="89"/>
      <c r="C673" s="89"/>
      <c r="D673" s="89"/>
      <c r="E673" s="89"/>
      <c r="F673" s="89"/>
      <c r="G673" s="34"/>
      <c r="H673" s="56">
        <f t="shared" si="823"/>
        <v>659</v>
      </c>
      <c r="I673" s="165"/>
      <c r="J673" s="163"/>
      <c r="K673" s="163"/>
      <c r="L673" s="164"/>
      <c r="M673" s="155"/>
      <c r="N673" s="155"/>
      <c r="O673" s="144"/>
      <c r="P673" s="159" t="str">
        <f>IFERROR(IF(O673&lt;&gt;"User Specified",IF(O673&lt;&gt;"", INDEX('Refrigerant GWPs'!$G$2:$G$154,MATCH(O673,'Refrigerant GWPs'!$A$2:$A$154,0)),""),U673),0)</f>
        <v/>
      </c>
      <c r="Q673" s="155"/>
      <c r="R673" s="155"/>
      <c r="S673" s="144"/>
      <c r="T673" s="159" t="str">
        <f>IF(S673&lt;&gt;"User Specified",IF(AND(S673&lt;&gt;"User Specified",S673&lt;&gt;""), INDEX('Refrigerant GWPs'!$G$2:$G$154,MATCH(S673,'Refrigerant GWPs'!$A$2:$A$154,0)),""),V673)</f>
        <v/>
      </c>
      <c r="U673" s="144"/>
      <c r="V673" s="144"/>
      <c r="W673" s="155"/>
      <c r="X673" s="155"/>
      <c r="Y673" s="144"/>
      <c r="Z673" s="159" t="str">
        <f>IF(AND(Y673&lt;&gt;"User Specified",Y673&lt;&gt;""), INDEX('Refrigerant GWPs'!$G$2:$G$154,MATCH(Y673,'Refrigerant GWPs'!$A$2:$A$154,0)),"")</f>
        <v/>
      </c>
      <c r="AA673" s="155"/>
      <c r="AB673" s="156"/>
      <c r="AC673" s="66"/>
      <c r="AD673" s="66"/>
      <c r="AE673" s="66"/>
      <c r="AF673" s="66"/>
      <c r="AG673" s="66"/>
      <c r="AH673" s="66"/>
      <c r="AI673" s="34"/>
      <c r="AJ673" s="88">
        <f t="shared" si="786"/>
        <v>0</v>
      </c>
      <c r="AK673" s="88">
        <f t="shared" si="787"/>
        <v>0</v>
      </c>
      <c r="AL673" s="88">
        <v>0</v>
      </c>
      <c r="AM673" s="88">
        <v>0</v>
      </c>
      <c r="AN673" s="81" t="str">
        <f t="shared" si="825"/>
        <v/>
      </c>
      <c r="AO673" s="88">
        <f t="shared" si="788"/>
        <v>0</v>
      </c>
      <c r="AP673" s="88">
        <f t="shared" si="789"/>
        <v>0</v>
      </c>
      <c r="AQ673" s="81" t="str">
        <f t="shared" si="790"/>
        <v/>
      </c>
      <c r="AS673" s="41" t="b">
        <f t="shared" si="791"/>
        <v>1</v>
      </c>
      <c r="AT673" s="38">
        <f t="shared" si="792"/>
        <v>0</v>
      </c>
      <c r="AU673" s="60">
        <f t="shared" si="793"/>
        <v>0</v>
      </c>
      <c r="AV673" s="41">
        <f t="shared" si="794"/>
        <v>0</v>
      </c>
      <c r="AW673" s="41" t="b">
        <f t="shared" si="795"/>
        <v>0</v>
      </c>
      <c r="AX673" t="str">
        <f t="shared" si="796"/>
        <v>+00</v>
      </c>
      <c r="AY673" t="str">
        <f t="shared" si="797"/>
        <v>+00</v>
      </c>
      <c r="BA673" s="47" t="b">
        <f t="shared" si="826"/>
        <v>1</v>
      </c>
      <c r="BB673" s="42" t="b">
        <f t="shared" si="827"/>
        <v>1</v>
      </c>
      <c r="BC673" s="42" t="b">
        <f t="shared" si="828"/>
        <v>0</v>
      </c>
      <c r="BD673" s="42" t="b">
        <f t="shared" si="829"/>
        <v>0</v>
      </c>
      <c r="BE673" s="70">
        <f t="shared" si="830"/>
        <v>0</v>
      </c>
      <c r="BF673" s="70">
        <f t="shared" si="831"/>
        <v>0</v>
      </c>
      <c r="BG673" s="34"/>
      <c r="BI673" s="47" t="b">
        <f t="shared" si="832"/>
        <v>1</v>
      </c>
      <c r="BJ673" s="47" t="b">
        <f t="shared" si="833"/>
        <v>1</v>
      </c>
      <c r="BK673" s="42" t="b">
        <f t="shared" si="834"/>
        <v>0</v>
      </c>
      <c r="BL673" s="42" t="b">
        <f t="shared" si="835"/>
        <v>0</v>
      </c>
      <c r="BM673" s="42">
        <f t="shared" si="836"/>
        <v>0</v>
      </c>
      <c r="BN673" s="42">
        <f t="shared" si="837"/>
        <v>0</v>
      </c>
      <c r="BP673" t="e">
        <f t="shared" si="838"/>
        <v>#N/A</v>
      </c>
      <c r="BQ673" t="e">
        <f t="shared" si="839"/>
        <v>#N/A</v>
      </c>
      <c r="BR673" t="e">
        <f t="shared" si="840"/>
        <v>#N/A</v>
      </c>
      <c r="BT673" s="60">
        <f t="shared" si="841"/>
        <v>0</v>
      </c>
      <c r="BU673" s="60">
        <f t="shared" si="842"/>
        <v>0</v>
      </c>
      <c r="BV673" s="60">
        <f t="shared" si="843"/>
        <v>0</v>
      </c>
      <c r="BW673" s="60">
        <f t="shared" si="844"/>
        <v>0</v>
      </c>
      <c r="BX673" s="60">
        <f t="shared" si="845"/>
        <v>0</v>
      </c>
      <c r="BY673" s="60">
        <f t="shared" si="846"/>
        <v>0</v>
      </c>
      <c r="BZ673" s="60">
        <f t="shared" si="847"/>
        <v>0</v>
      </c>
      <c r="CA673" s="60">
        <f t="shared" si="848"/>
        <v>0</v>
      </c>
      <c r="CB673" s="60" t="e">
        <f t="shared" si="798"/>
        <v>#N/A</v>
      </c>
      <c r="CC673" s="60">
        <f t="shared" si="799"/>
        <v>100000</v>
      </c>
      <c r="CD673" s="60" t="e">
        <f t="shared" si="800"/>
        <v>#N/A</v>
      </c>
      <c r="CE673" s="60">
        <f t="shared" si="801"/>
        <v>100000</v>
      </c>
      <c r="CF673" s="83" t="e">
        <f t="shared" si="849"/>
        <v>#N/A</v>
      </c>
      <c r="CG673" s="83">
        <f t="shared" si="850"/>
        <v>0</v>
      </c>
      <c r="CH673" s="83" t="e">
        <f t="shared" si="851"/>
        <v>#N/A</v>
      </c>
      <c r="CI673" s="83">
        <f t="shared" si="852"/>
        <v>0</v>
      </c>
      <c r="CJ673" s="86" t="e">
        <f t="shared" si="802"/>
        <v>#N/A</v>
      </c>
      <c r="CK673" s="82">
        <f t="shared" si="803"/>
        <v>5.3070370403969858E-3</v>
      </c>
      <c r="CL673" s="82" t="e">
        <f t="shared" si="804"/>
        <v>#N/A</v>
      </c>
      <c r="CM673" s="82">
        <f t="shared" si="805"/>
        <v>5.3070370403969858E-3</v>
      </c>
      <c r="CO673" s="149" t="str">
        <f>IF($I673&lt;&gt;"",IF(O673="User Specified",U673,INDEX('Refrigerant GWPs'!$G$2:$G$156,MATCH(O673,'Refrigerant GWPs'!$A$2:$A$156,0))),"")</f>
        <v/>
      </c>
      <c r="CP673" s="138" t="str">
        <f>IF($I673&lt;&gt;"",INDEX('Device Refrigerant Leakage'!$E$2:$E$42,MATCH($M673,'Device Refrigerant Leakage'!$B$2:$B$42,0)),"")</f>
        <v/>
      </c>
      <c r="CQ673" s="138" t="str">
        <f>IF($I673&lt;&gt;"",INDEX('Device Refrigerant Leakage'!$F$2:$F$42,MATCH($M673,'Device Refrigerant Leakage'!$B$2:$B$42,0)),"")</f>
        <v/>
      </c>
      <c r="CR673" s="145" t="str">
        <f>IF($I673&lt;&gt;"",INDEX('Device Refrigerant Leakage'!$G$2:$G$42,MATCH($M673,'Device Refrigerant Leakage'!$B$2:$B$42,0)),"")</f>
        <v/>
      </c>
      <c r="CS673" s="145" t="str">
        <f>IF($I673&lt;&gt;"",INDEX('Device Refrigerant Leakage'!$D$2:$D$42,MATCH($M673,'Device Refrigerant Leakage'!$B$2:$B$42,0))*CP673/2204.62*CO673,"")</f>
        <v/>
      </c>
      <c r="CT673" s="145" t="str">
        <f>IF($I673&lt;&gt;"",J673*(INDEX('Device Refrigerant Leakage'!$D$2:$D$42,MATCH($M673,'Device Refrigerant Leakage'!$B$2:$B$42,0))-(INDEX('Device Refrigerant Leakage'!$D$2:$D$42,MATCH($M673,'Device Refrigerant Leakage'!$B$2:$B$42,0)))*CR673*CP673)*CQ673/2204.62*CO673,"")</f>
        <v/>
      </c>
      <c r="CU673" s="135" t="str">
        <f>IF($I673&lt;&gt;"",J673*IF(W673&lt;&gt;"AR",(CS673*K673)+CT673,(CS673*AB673)+CT673*(AB673/INDEX('Device Refrigerant Leakage'!$C$2:$C$42,MATCH($M673,'Device Refrigerant Leakage'!$B$2:$B$42,0)))),"")</f>
        <v/>
      </c>
      <c r="CW673" s="135" t="str">
        <f>IF($I673&lt;&gt;"",IF(S673="User Specified",V673,INDEX('Refrigerant GWPs'!$G$2:$G$156,MATCH(S673,'Refrigerant GWPs'!$A$2:$A$157,0))),"")</f>
        <v/>
      </c>
      <c r="CX673" s="138" t="str">
        <f>IF($I673&lt;&gt;"",INDEX('Device Refrigerant Leakage'!$E$2:$E$42,MATCH($Q673,'Device Refrigerant Leakage'!$B$2:$B$42,0)),"")</f>
        <v/>
      </c>
      <c r="CY673" s="138" t="str">
        <f>IF($I673&lt;&gt;"",INDEX('Device Refrigerant Leakage'!$F$2:$F$42,MATCH($Q673,'Device Refrigerant Leakage'!$B$2:$B$42,0)),"")</f>
        <v/>
      </c>
      <c r="CZ673" s="145" t="str">
        <f>IF($I673&lt;&gt;"",INDEX('Device Refrigerant Leakage'!$G$2:$G$42,MATCH($Q673,'Device Refrigerant Leakage'!$B$2:$B$42,0)),"")</f>
        <v/>
      </c>
      <c r="DA673" s="145" t="str">
        <f>IF($I673&lt;&gt;"",J673*INDEX('Device Refrigerant Leakage'!$D$2:$D$42,MATCH($Q673,'Device Refrigerant Leakage'!$B$2:$B$42,0))*CX673/2204.62*CW673,"")</f>
        <v/>
      </c>
      <c r="DB673" s="145" t="str">
        <f>IF($I673&lt;&gt;"",J673*(INDEX('Device Refrigerant Leakage'!$D$2:$D$42,MATCH($Q673,'Device Refrigerant Leakage'!$B$2:$B$42,0))-(INDEX('Device Refrigerant Leakage'!$D$2:$D$42,MATCH($Q673,'Device Refrigerant Leakage'!$B$2:$B$42,0)))*CZ673*CX673)*CY673/2204.62*CW673,"")</f>
        <v/>
      </c>
      <c r="DC673" s="135" t="str">
        <f t="shared" si="824"/>
        <v/>
      </c>
      <c r="DE673" s="146" t="str">
        <f>IF(W673&lt;&gt;"AR","",IF(Y673="User Specified", AA673, INDEX('Refrigerant GWPs'!$G$2:$G$154,MATCH(Y673,'Refrigerant GWPs'!$A$2:$A$154,0))))</f>
        <v/>
      </c>
      <c r="DF673" s="146" t="str">
        <f>IF(W673&lt;&gt;"AR","",INDEX('Device Refrigerant Leakage'!$E$2:$E$42,MATCH(X673,'Device Refrigerant Leakage'!$B$2:$B$42,0)))</f>
        <v/>
      </c>
      <c r="DG673" s="146" t="str">
        <f>IF(W673&lt;&gt;"AR","",INDEX('Device Refrigerant Leakage'!$F$2:$F$42,MATCH(X673,'Device Refrigerant Leakage'!$B$2:$B$42,0)))</f>
        <v/>
      </c>
      <c r="DH673" s="146" t="str">
        <f>IF(W673&lt;&gt;"AR","",INDEX('Device Refrigerant Leakage'!$G$2:$G$42,MATCH(X673,'Device Refrigerant Leakage'!$B$2:$B$42,0)))</f>
        <v/>
      </c>
      <c r="DI673" s="146" t="str">
        <f>IF(W673&lt;&gt;"AR","",J673*INDEX('Device Refrigerant Leakage'!$D$2:$D$42,MATCH(X673,'Device Refrigerant Leakage'!$B$2:$B$42,0))*DF673/2204.62*DE673)</f>
        <v/>
      </c>
      <c r="DJ673" s="146" t="str">
        <f>IF(W673&lt;&gt;"AR","",J673*(INDEX('Device Refrigerant Leakage'!$D$2:$D$42,MATCH(X673,'Device Refrigerant Leakage'!$B$2:$B$42,0))-(INDEX('Device Refrigerant Leakage'!$D$2:$D$42,MATCH(X673,'Device Refrigerant Leakage'!$B$2:$B$42,0)))*DH673*DF673)*DG673/2204.62*DE673)</f>
        <v/>
      </c>
      <c r="DK673" s="146" t="str">
        <f>IF(W673&lt;&gt;"AR","",DI673*(K673-AB673)+'Fuel Sub Calcs-Deemed'!DJ673*((K673-AB673)/INDEX('Device Refrigerant Leakage'!$C$2:$C$42,MATCH('Fuel Sub Calcs-Deemed'!X673,'Device Refrigerant Leakage'!$B$2:$B$42,0))))</f>
        <v/>
      </c>
      <c r="DM673" s="56">
        <v>659</v>
      </c>
      <c r="DN673" s="67" t="e">
        <f t="shared" si="806"/>
        <v>#N/A</v>
      </c>
      <c r="DO673" s="45" t="e">
        <f t="shared" si="807"/>
        <v>#N/A</v>
      </c>
      <c r="DP673" s="67" t="e">
        <f t="shared" si="808"/>
        <v>#N/A</v>
      </c>
      <c r="DQ673" s="45" t="e">
        <f t="shared" si="809"/>
        <v>#N/A</v>
      </c>
      <c r="DR673" s="69" t="e">
        <f t="shared" si="810"/>
        <v>#N/A</v>
      </c>
      <c r="DS673" s="34"/>
      <c r="DT673" s="67" t="e">
        <f>((BX673*CJ673)+IF($W673=MAT_AR,(BZ673*CL673),0))*(1+Reference!$E$50+Reference!$E$51)</f>
        <v>#N/A</v>
      </c>
      <c r="DU673" s="67">
        <f>((BY673*CK673)+IF($W673=MAT_AR,(CA673*CM673),0))*(1+Reference!$G$50+Reference!$G$51)</f>
        <v>0</v>
      </c>
      <c r="DV673" s="67" t="e">
        <f t="shared" si="811"/>
        <v>#VALUE!</v>
      </c>
      <c r="DX673" s="56">
        <v>659</v>
      </c>
      <c r="DY673" s="67">
        <f t="shared" si="812"/>
        <v>0</v>
      </c>
      <c r="DZ673" s="45" t="e">
        <f>VLOOKUP($R673,Dropdown!$C$3:$D$4,2,FALSE)</f>
        <v>#N/A</v>
      </c>
      <c r="EA673" s="68">
        <f t="shared" si="813"/>
        <v>0</v>
      </c>
      <c r="EB673" s="68" t="str">
        <f t="shared" si="814"/>
        <v>N/A</v>
      </c>
      <c r="EC673" s="68">
        <f t="shared" si="815"/>
        <v>0</v>
      </c>
      <c r="ED673" s="68" t="str">
        <f t="shared" si="853"/>
        <v>N/A</v>
      </c>
      <c r="EF673" s="56">
        <v>659</v>
      </c>
      <c r="EG673" s="46">
        <f t="shared" si="816"/>
        <v>0</v>
      </c>
      <c r="EH673" s="68" t="e">
        <f t="shared" si="817"/>
        <v>#N/A</v>
      </c>
      <c r="EI673" s="68" t="e">
        <f t="shared" si="818"/>
        <v>#N/A</v>
      </c>
      <c r="EJ673" s="68" t="e">
        <f t="shared" si="819"/>
        <v>#N/A</v>
      </c>
      <c r="EK673" s="68" t="e">
        <f t="shared" si="820"/>
        <v>#N/A</v>
      </c>
      <c r="EL673" s="46">
        <f t="shared" si="821"/>
        <v>0</v>
      </c>
      <c r="EM673" s="46">
        <f t="shared" si="822"/>
        <v>0</v>
      </c>
    </row>
    <row r="674" spans="1:143">
      <c r="A674" s="89"/>
      <c r="B674" s="89"/>
      <c r="C674" s="89"/>
      <c r="D674" s="89"/>
      <c r="E674" s="89"/>
      <c r="F674" s="89"/>
      <c r="G674" s="34"/>
      <c r="H674" s="56">
        <f t="shared" si="823"/>
        <v>660</v>
      </c>
      <c r="I674" s="165"/>
      <c r="J674" s="163"/>
      <c r="K674" s="163"/>
      <c r="L674" s="164"/>
      <c r="M674" s="155"/>
      <c r="N674" s="155"/>
      <c r="O674" s="144"/>
      <c r="P674" s="159" t="str">
        <f>IFERROR(IF(O674&lt;&gt;"User Specified",IF(O674&lt;&gt;"", INDEX('Refrigerant GWPs'!$G$2:$G$154,MATCH(O674,'Refrigerant GWPs'!$A$2:$A$154,0)),""),U674),0)</f>
        <v/>
      </c>
      <c r="Q674" s="155"/>
      <c r="R674" s="155"/>
      <c r="S674" s="144"/>
      <c r="T674" s="159" t="str">
        <f>IF(S674&lt;&gt;"User Specified",IF(AND(S674&lt;&gt;"User Specified",S674&lt;&gt;""), INDEX('Refrigerant GWPs'!$G$2:$G$154,MATCH(S674,'Refrigerant GWPs'!$A$2:$A$154,0)),""),V674)</f>
        <v/>
      </c>
      <c r="U674" s="144"/>
      <c r="V674" s="144"/>
      <c r="W674" s="155"/>
      <c r="X674" s="155"/>
      <c r="Y674" s="144"/>
      <c r="Z674" s="159" t="str">
        <f>IF(AND(Y674&lt;&gt;"User Specified",Y674&lt;&gt;""), INDEX('Refrigerant GWPs'!$G$2:$G$154,MATCH(Y674,'Refrigerant GWPs'!$A$2:$A$154,0)),"")</f>
        <v/>
      </c>
      <c r="AA674" s="155"/>
      <c r="AB674" s="156"/>
      <c r="AC674" s="66"/>
      <c r="AD674" s="66"/>
      <c r="AE674" s="66"/>
      <c r="AF674" s="66"/>
      <c r="AG674" s="66"/>
      <c r="AH674" s="66"/>
      <c r="AI674" s="34"/>
      <c r="AJ674" s="88">
        <f t="shared" si="786"/>
        <v>0</v>
      </c>
      <c r="AK674" s="88">
        <f t="shared" si="787"/>
        <v>0</v>
      </c>
      <c r="AL674" s="88">
        <v>0</v>
      </c>
      <c r="AM674" s="88">
        <v>0</v>
      </c>
      <c r="AN674" s="81" t="str">
        <f t="shared" si="825"/>
        <v/>
      </c>
      <c r="AO674" s="88">
        <f t="shared" si="788"/>
        <v>0</v>
      </c>
      <c r="AP674" s="88">
        <f t="shared" si="789"/>
        <v>0</v>
      </c>
      <c r="AQ674" s="81" t="str">
        <f t="shared" si="790"/>
        <v/>
      </c>
      <c r="AS674" s="41" t="b">
        <f t="shared" si="791"/>
        <v>1</v>
      </c>
      <c r="AT674" s="38">
        <f t="shared" si="792"/>
        <v>0</v>
      </c>
      <c r="AU674" s="60">
        <f t="shared" si="793"/>
        <v>0</v>
      </c>
      <c r="AV674" s="41">
        <f t="shared" si="794"/>
        <v>0</v>
      </c>
      <c r="AW674" s="41" t="b">
        <f t="shared" si="795"/>
        <v>0</v>
      </c>
      <c r="AX674" t="str">
        <f t="shared" si="796"/>
        <v>+00</v>
      </c>
      <c r="AY674" t="str">
        <f t="shared" si="797"/>
        <v>+00</v>
      </c>
      <c r="BA674" s="47" t="b">
        <f t="shared" si="826"/>
        <v>1</v>
      </c>
      <c r="BB674" s="42" t="b">
        <f t="shared" si="827"/>
        <v>1</v>
      </c>
      <c r="BC674" s="42" t="b">
        <f t="shared" si="828"/>
        <v>0</v>
      </c>
      <c r="BD674" s="42" t="b">
        <f t="shared" si="829"/>
        <v>0</v>
      </c>
      <c r="BE674" s="70">
        <f t="shared" si="830"/>
        <v>0</v>
      </c>
      <c r="BF674" s="70">
        <f t="shared" si="831"/>
        <v>0</v>
      </c>
      <c r="BG674" s="34"/>
      <c r="BI674" s="47" t="b">
        <f t="shared" si="832"/>
        <v>1</v>
      </c>
      <c r="BJ674" s="47" t="b">
        <f t="shared" si="833"/>
        <v>1</v>
      </c>
      <c r="BK674" s="42" t="b">
        <f t="shared" si="834"/>
        <v>0</v>
      </c>
      <c r="BL674" s="42" t="b">
        <f t="shared" si="835"/>
        <v>0</v>
      </c>
      <c r="BM674" s="42">
        <f t="shared" si="836"/>
        <v>0</v>
      </c>
      <c r="BN674" s="42">
        <f t="shared" si="837"/>
        <v>0</v>
      </c>
      <c r="BP674" t="e">
        <f t="shared" si="838"/>
        <v>#N/A</v>
      </c>
      <c r="BQ674" t="e">
        <f t="shared" si="839"/>
        <v>#N/A</v>
      </c>
      <c r="BR674" t="e">
        <f t="shared" si="840"/>
        <v>#N/A</v>
      </c>
      <c r="BT674" s="60">
        <f t="shared" si="841"/>
        <v>0</v>
      </c>
      <c r="BU674" s="60">
        <f t="shared" si="842"/>
        <v>0</v>
      </c>
      <c r="BV674" s="60">
        <f t="shared" si="843"/>
        <v>0</v>
      </c>
      <c r="BW674" s="60">
        <f t="shared" si="844"/>
        <v>0</v>
      </c>
      <c r="BX674" s="60">
        <f t="shared" si="845"/>
        <v>0</v>
      </c>
      <c r="BY674" s="60">
        <f t="shared" si="846"/>
        <v>0</v>
      </c>
      <c r="BZ674" s="60">
        <f t="shared" si="847"/>
        <v>0</v>
      </c>
      <c r="CA674" s="60">
        <f t="shared" si="848"/>
        <v>0</v>
      </c>
      <c r="CB674" s="60" t="e">
        <f t="shared" si="798"/>
        <v>#N/A</v>
      </c>
      <c r="CC674" s="60">
        <f t="shared" si="799"/>
        <v>100000</v>
      </c>
      <c r="CD674" s="60" t="e">
        <f t="shared" si="800"/>
        <v>#N/A</v>
      </c>
      <c r="CE674" s="60">
        <f t="shared" si="801"/>
        <v>100000</v>
      </c>
      <c r="CF674" s="83" t="e">
        <f t="shared" si="849"/>
        <v>#N/A</v>
      </c>
      <c r="CG674" s="83">
        <f t="shared" si="850"/>
        <v>0</v>
      </c>
      <c r="CH674" s="83" t="e">
        <f t="shared" si="851"/>
        <v>#N/A</v>
      </c>
      <c r="CI674" s="83">
        <f t="shared" si="852"/>
        <v>0</v>
      </c>
      <c r="CJ674" s="86" t="e">
        <f t="shared" si="802"/>
        <v>#N/A</v>
      </c>
      <c r="CK674" s="82">
        <f t="shared" si="803"/>
        <v>5.3070370403969858E-3</v>
      </c>
      <c r="CL674" s="82" t="e">
        <f t="shared" si="804"/>
        <v>#N/A</v>
      </c>
      <c r="CM674" s="82">
        <f t="shared" si="805"/>
        <v>5.3070370403969858E-3</v>
      </c>
      <c r="CO674" s="149" t="str">
        <f>IF($I674&lt;&gt;"",IF(O674="User Specified",U674,INDEX('Refrigerant GWPs'!$G$2:$G$156,MATCH(O674,'Refrigerant GWPs'!$A$2:$A$156,0))),"")</f>
        <v/>
      </c>
      <c r="CP674" s="138" t="str">
        <f>IF($I674&lt;&gt;"",INDEX('Device Refrigerant Leakage'!$E$2:$E$42,MATCH($M674,'Device Refrigerant Leakage'!$B$2:$B$42,0)),"")</f>
        <v/>
      </c>
      <c r="CQ674" s="138" t="str">
        <f>IF($I674&lt;&gt;"",INDEX('Device Refrigerant Leakage'!$F$2:$F$42,MATCH($M674,'Device Refrigerant Leakage'!$B$2:$B$42,0)),"")</f>
        <v/>
      </c>
      <c r="CR674" s="145" t="str">
        <f>IF($I674&lt;&gt;"",INDEX('Device Refrigerant Leakage'!$G$2:$G$42,MATCH($M674,'Device Refrigerant Leakage'!$B$2:$B$42,0)),"")</f>
        <v/>
      </c>
      <c r="CS674" s="145" t="str">
        <f>IF($I674&lt;&gt;"",INDEX('Device Refrigerant Leakage'!$D$2:$D$42,MATCH($M674,'Device Refrigerant Leakage'!$B$2:$B$42,0))*CP674/2204.62*CO674,"")</f>
        <v/>
      </c>
      <c r="CT674" s="145" t="str">
        <f>IF($I674&lt;&gt;"",J674*(INDEX('Device Refrigerant Leakage'!$D$2:$D$42,MATCH($M674,'Device Refrigerant Leakage'!$B$2:$B$42,0))-(INDEX('Device Refrigerant Leakage'!$D$2:$D$42,MATCH($M674,'Device Refrigerant Leakage'!$B$2:$B$42,0)))*CR674*CP674)*CQ674/2204.62*CO674,"")</f>
        <v/>
      </c>
      <c r="CU674" s="135" t="str">
        <f>IF($I674&lt;&gt;"",J674*IF(W674&lt;&gt;"AR",(CS674*K674)+CT674,(CS674*AB674)+CT674*(AB674/INDEX('Device Refrigerant Leakage'!$C$2:$C$42,MATCH($M674,'Device Refrigerant Leakage'!$B$2:$B$42,0)))),"")</f>
        <v/>
      </c>
      <c r="CW674" s="135" t="str">
        <f>IF($I674&lt;&gt;"",IF(S674="User Specified",V674,INDEX('Refrigerant GWPs'!$G$2:$G$156,MATCH(S674,'Refrigerant GWPs'!$A$2:$A$157,0))),"")</f>
        <v/>
      </c>
      <c r="CX674" s="138" t="str">
        <f>IF($I674&lt;&gt;"",INDEX('Device Refrigerant Leakage'!$E$2:$E$42,MATCH($Q674,'Device Refrigerant Leakage'!$B$2:$B$42,0)),"")</f>
        <v/>
      </c>
      <c r="CY674" s="138" t="str">
        <f>IF($I674&lt;&gt;"",INDEX('Device Refrigerant Leakage'!$F$2:$F$42,MATCH($Q674,'Device Refrigerant Leakage'!$B$2:$B$42,0)),"")</f>
        <v/>
      </c>
      <c r="CZ674" s="145" t="str">
        <f>IF($I674&lt;&gt;"",INDEX('Device Refrigerant Leakage'!$G$2:$G$42,MATCH($Q674,'Device Refrigerant Leakage'!$B$2:$B$42,0)),"")</f>
        <v/>
      </c>
      <c r="DA674" s="145" t="str">
        <f>IF($I674&lt;&gt;"",J674*INDEX('Device Refrigerant Leakage'!$D$2:$D$42,MATCH($Q674,'Device Refrigerant Leakage'!$B$2:$B$42,0))*CX674/2204.62*CW674,"")</f>
        <v/>
      </c>
      <c r="DB674" s="145" t="str">
        <f>IF($I674&lt;&gt;"",J674*(INDEX('Device Refrigerant Leakage'!$D$2:$D$42,MATCH($Q674,'Device Refrigerant Leakage'!$B$2:$B$42,0))-(INDEX('Device Refrigerant Leakage'!$D$2:$D$42,MATCH($Q674,'Device Refrigerant Leakage'!$B$2:$B$42,0)))*CZ674*CX674)*CY674/2204.62*CW674,"")</f>
        <v/>
      </c>
      <c r="DC674" s="135" t="str">
        <f t="shared" si="824"/>
        <v/>
      </c>
      <c r="DE674" s="146" t="str">
        <f>IF(W674&lt;&gt;"AR","",IF(Y674="User Specified", AA674, INDEX('Refrigerant GWPs'!$G$2:$G$154,MATCH(Y674,'Refrigerant GWPs'!$A$2:$A$154,0))))</f>
        <v/>
      </c>
      <c r="DF674" s="146" t="str">
        <f>IF(W674&lt;&gt;"AR","",INDEX('Device Refrigerant Leakage'!$E$2:$E$42,MATCH(X674,'Device Refrigerant Leakage'!$B$2:$B$42,0)))</f>
        <v/>
      </c>
      <c r="DG674" s="146" t="str">
        <f>IF(W674&lt;&gt;"AR","",INDEX('Device Refrigerant Leakage'!$F$2:$F$42,MATCH(X674,'Device Refrigerant Leakage'!$B$2:$B$42,0)))</f>
        <v/>
      </c>
      <c r="DH674" s="146" t="str">
        <f>IF(W674&lt;&gt;"AR","",INDEX('Device Refrigerant Leakage'!$G$2:$G$42,MATCH(X674,'Device Refrigerant Leakage'!$B$2:$B$42,0)))</f>
        <v/>
      </c>
      <c r="DI674" s="146" t="str">
        <f>IF(W674&lt;&gt;"AR","",J674*INDEX('Device Refrigerant Leakage'!$D$2:$D$42,MATCH(X674,'Device Refrigerant Leakage'!$B$2:$B$42,0))*DF674/2204.62*DE674)</f>
        <v/>
      </c>
      <c r="DJ674" s="146" t="str">
        <f>IF(W674&lt;&gt;"AR","",J674*(INDEX('Device Refrigerant Leakage'!$D$2:$D$42,MATCH(X674,'Device Refrigerant Leakage'!$B$2:$B$42,0))-(INDEX('Device Refrigerant Leakage'!$D$2:$D$42,MATCH(X674,'Device Refrigerant Leakage'!$B$2:$B$42,0)))*DH674*DF674)*DG674/2204.62*DE674)</f>
        <v/>
      </c>
      <c r="DK674" s="146" t="str">
        <f>IF(W674&lt;&gt;"AR","",DI674*(K674-AB674)+'Fuel Sub Calcs-Deemed'!DJ674*((K674-AB674)/INDEX('Device Refrigerant Leakage'!$C$2:$C$42,MATCH('Fuel Sub Calcs-Deemed'!X674,'Device Refrigerant Leakage'!$B$2:$B$42,0))))</f>
        <v/>
      </c>
      <c r="DM674" s="56">
        <v>660</v>
      </c>
      <c r="DN674" s="67" t="e">
        <f t="shared" si="806"/>
        <v>#N/A</v>
      </c>
      <c r="DO674" s="45" t="e">
        <f t="shared" si="807"/>
        <v>#N/A</v>
      </c>
      <c r="DP674" s="67" t="e">
        <f t="shared" si="808"/>
        <v>#N/A</v>
      </c>
      <c r="DQ674" s="45" t="e">
        <f t="shared" si="809"/>
        <v>#N/A</v>
      </c>
      <c r="DR674" s="69" t="e">
        <f t="shared" si="810"/>
        <v>#N/A</v>
      </c>
      <c r="DS674" s="34"/>
      <c r="DT674" s="67" t="e">
        <f>((BX674*CJ674)+IF($W674=MAT_AR,(BZ674*CL674),0))*(1+Reference!$E$50+Reference!$E$51)</f>
        <v>#N/A</v>
      </c>
      <c r="DU674" s="67">
        <f>((BY674*CK674)+IF($W674=MAT_AR,(CA674*CM674),0))*(1+Reference!$G$50+Reference!$G$51)</f>
        <v>0</v>
      </c>
      <c r="DV674" s="67" t="e">
        <f t="shared" si="811"/>
        <v>#VALUE!</v>
      </c>
      <c r="DX674" s="56">
        <v>660</v>
      </c>
      <c r="DY674" s="67">
        <f t="shared" si="812"/>
        <v>0</v>
      </c>
      <c r="DZ674" s="45" t="e">
        <f>VLOOKUP($R674,Dropdown!$C$3:$D$4,2,FALSE)</f>
        <v>#N/A</v>
      </c>
      <c r="EA674" s="68">
        <f t="shared" si="813"/>
        <v>0</v>
      </c>
      <c r="EB674" s="68" t="str">
        <f t="shared" si="814"/>
        <v>N/A</v>
      </c>
      <c r="EC674" s="68">
        <f t="shared" si="815"/>
        <v>0</v>
      </c>
      <c r="ED674" s="68" t="str">
        <f t="shared" si="853"/>
        <v>N/A</v>
      </c>
      <c r="EF674" s="56">
        <v>660</v>
      </c>
      <c r="EG674" s="46">
        <f t="shared" si="816"/>
        <v>0</v>
      </c>
      <c r="EH674" s="68" t="e">
        <f t="shared" si="817"/>
        <v>#N/A</v>
      </c>
      <c r="EI674" s="68" t="e">
        <f t="shared" si="818"/>
        <v>#N/A</v>
      </c>
      <c r="EJ674" s="68" t="e">
        <f t="shared" si="819"/>
        <v>#N/A</v>
      </c>
      <c r="EK674" s="68" t="e">
        <f t="shared" si="820"/>
        <v>#N/A</v>
      </c>
      <c r="EL674" s="46">
        <f t="shared" si="821"/>
        <v>0</v>
      </c>
      <c r="EM674" s="46">
        <f t="shared" si="822"/>
        <v>0</v>
      </c>
    </row>
    <row r="675" spans="1:143">
      <c r="A675" s="89"/>
      <c r="B675" s="89"/>
      <c r="C675" s="89"/>
      <c r="D675" s="89"/>
      <c r="E675" s="89"/>
      <c r="F675" s="89"/>
      <c r="G675" s="34"/>
      <c r="H675" s="56">
        <f t="shared" si="823"/>
        <v>661</v>
      </c>
      <c r="I675" s="165"/>
      <c r="J675" s="163"/>
      <c r="K675" s="163"/>
      <c r="L675" s="164"/>
      <c r="M675" s="155"/>
      <c r="N675" s="155"/>
      <c r="O675" s="144"/>
      <c r="P675" s="159" t="str">
        <f>IFERROR(IF(O675&lt;&gt;"User Specified",IF(O675&lt;&gt;"", INDEX('Refrigerant GWPs'!$G$2:$G$154,MATCH(O675,'Refrigerant GWPs'!$A$2:$A$154,0)),""),U675),0)</f>
        <v/>
      </c>
      <c r="Q675" s="155"/>
      <c r="R675" s="155"/>
      <c r="S675" s="144"/>
      <c r="T675" s="159" t="str">
        <f>IF(S675&lt;&gt;"User Specified",IF(AND(S675&lt;&gt;"User Specified",S675&lt;&gt;""), INDEX('Refrigerant GWPs'!$G$2:$G$154,MATCH(S675,'Refrigerant GWPs'!$A$2:$A$154,0)),""),V675)</f>
        <v/>
      </c>
      <c r="U675" s="144"/>
      <c r="V675" s="144"/>
      <c r="W675" s="155"/>
      <c r="X675" s="155"/>
      <c r="Y675" s="144"/>
      <c r="Z675" s="159" t="str">
        <f>IF(AND(Y675&lt;&gt;"User Specified",Y675&lt;&gt;""), INDEX('Refrigerant GWPs'!$G$2:$G$154,MATCH(Y675,'Refrigerant GWPs'!$A$2:$A$154,0)),"")</f>
        <v/>
      </c>
      <c r="AA675" s="155"/>
      <c r="AB675" s="156"/>
      <c r="AC675" s="66"/>
      <c r="AD675" s="66"/>
      <c r="AE675" s="66"/>
      <c r="AF675" s="66"/>
      <c r="AG675" s="66"/>
      <c r="AH675" s="66"/>
      <c r="AI675" s="34"/>
      <c r="AJ675" s="88">
        <f t="shared" si="786"/>
        <v>0</v>
      </c>
      <c r="AK675" s="88">
        <f t="shared" si="787"/>
        <v>0</v>
      </c>
      <c r="AL675" s="88">
        <v>0</v>
      </c>
      <c r="AM675" s="88">
        <v>0</v>
      </c>
      <c r="AN675" s="81" t="str">
        <f t="shared" si="825"/>
        <v/>
      </c>
      <c r="AO675" s="88">
        <f t="shared" si="788"/>
        <v>0</v>
      </c>
      <c r="AP675" s="88">
        <f t="shared" si="789"/>
        <v>0</v>
      </c>
      <c r="AQ675" s="81" t="str">
        <f t="shared" si="790"/>
        <v/>
      </c>
      <c r="AS675" s="41" t="b">
        <f t="shared" si="791"/>
        <v>1</v>
      </c>
      <c r="AT675" s="38">
        <f t="shared" si="792"/>
        <v>0</v>
      </c>
      <c r="AU675" s="60">
        <f t="shared" si="793"/>
        <v>0</v>
      </c>
      <c r="AV675" s="41">
        <f t="shared" si="794"/>
        <v>0</v>
      </c>
      <c r="AW675" s="41" t="b">
        <f t="shared" si="795"/>
        <v>0</v>
      </c>
      <c r="AX675" t="str">
        <f t="shared" si="796"/>
        <v>+00</v>
      </c>
      <c r="AY675" t="str">
        <f t="shared" si="797"/>
        <v>+00</v>
      </c>
      <c r="BA675" s="47" t="b">
        <f t="shared" si="826"/>
        <v>1</v>
      </c>
      <c r="BB675" s="42" t="b">
        <f t="shared" si="827"/>
        <v>1</v>
      </c>
      <c r="BC675" s="42" t="b">
        <f t="shared" si="828"/>
        <v>0</v>
      </c>
      <c r="BD675" s="42" t="b">
        <f t="shared" si="829"/>
        <v>0</v>
      </c>
      <c r="BE675" s="70">
        <f t="shared" si="830"/>
        <v>0</v>
      </c>
      <c r="BF675" s="70">
        <f t="shared" si="831"/>
        <v>0</v>
      </c>
      <c r="BG675" s="34"/>
      <c r="BI675" s="47" t="b">
        <f t="shared" si="832"/>
        <v>1</v>
      </c>
      <c r="BJ675" s="47" t="b">
        <f t="shared" si="833"/>
        <v>1</v>
      </c>
      <c r="BK675" s="42" t="b">
        <f t="shared" si="834"/>
        <v>0</v>
      </c>
      <c r="BL675" s="42" t="b">
        <f t="shared" si="835"/>
        <v>0</v>
      </c>
      <c r="BM675" s="42">
        <f t="shared" si="836"/>
        <v>0</v>
      </c>
      <c r="BN675" s="42">
        <f t="shared" si="837"/>
        <v>0</v>
      </c>
      <c r="BP675" t="e">
        <f t="shared" si="838"/>
        <v>#N/A</v>
      </c>
      <c r="BQ675" t="e">
        <f t="shared" si="839"/>
        <v>#N/A</v>
      </c>
      <c r="BR675" t="e">
        <f t="shared" si="840"/>
        <v>#N/A</v>
      </c>
      <c r="BT675" s="60">
        <f t="shared" si="841"/>
        <v>0</v>
      </c>
      <c r="BU675" s="60">
        <f t="shared" si="842"/>
        <v>0</v>
      </c>
      <c r="BV675" s="60">
        <f t="shared" si="843"/>
        <v>0</v>
      </c>
      <c r="BW675" s="60">
        <f t="shared" si="844"/>
        <v>0</v>
      </c>
      <c r="BX675" s="60">
        <f t="shared" si="845"/>
        <v>0</v>
      </c>
      <c r="BY675" s="60">
        <f t="shared" si="846"/>
        <v>0</v>
      </c>
      <c r="BZ675" s="60">
        <f t="shared" si="847"/>
        <v>0</v>
      </c>
      <c r="CA675" s="60">
        <f t="shared" si="848"/>
        <v>0</v>
      </c>
      <c r="CB675" s="60" t="e">
        <f t="shared" si="798"/>
        <v>#N/A</v>
      </c>
      <c r="CC675" s="60">
        <f t="shared" si="799"/>
        <v>100000</v>
      </c>
      <c r="CD675" s="60" t="e">
        <f t="shared" si="800"/>
        <v>#N/A</v>
      </c>
      <c r="CE675" s="60">
        <f t="shared" si="801"/>
        <v>100000</v>
      </c>
      <c r="CF675" s="83" t="e">
        <f t="shared" si="849"/>
        <v>#N/A</v>
      </c>
      <c r="CG675" s="83">
        <f t="shared" si="850"/>
        <v>0</v>
      </c>
      <c r="CH675" s="83" t="e">
        <f t="shared" si="851"/>
        <v>#N/A</v>
      </c>
      <c r="CI675" s="83">
        <f t="shared" si="852"/>
        <v>0</v>
      </c>
      <c r="CJ675" s="86" t="e">
        <f t="shared" si="802"/>
        <v>#N/A</v>
      </c>
      <c r="CK675" s="82">
        <f t="shared" si="803"/>
        <v>5.3070370403969858E-3</v>
      </c>
      <c r="CL675" s="82" t="e">
        <f t="shared" si="804"/>
        <v>#N/A</v>
      </c>
      <c r="CM675" s="82">
        <f t="shared" si="805"/>
        <v>5.3070370403969858E-3</v>
      </c>
      <c r="CO675" s="149" t="str">
        <f>IF($I675&lt;&gt;"",IF(O675="User Specified",U675,INDEX('Refrigerant GWPs'!$G$2:$G$156,MATCH(O675,'Refrigerant GWPs'!$A$2:$A$156,0))),"")</f>
        <v/>
      </c>
      <c r="CP675" s="138" t="str">
        <f>IF($I675&lt;&gt;"",INDEX('Device Refrigerant Leakage'!$E$2:$E$42,MATCH($M675,'Device Refrigerant Leakage'!$B$2:$B$42,0)),"")</f>
        <v/>
      </c>
      <c r="CQ675" s="138" t="str">
        <f>IF($I675&lt;&gt;"",INDEX('Device Refrigerant Leakage'!$F$2:$F$42,MATCH($M675,'Device Refrigerant Leakage'!$B$2:$B$42,0)),"")</f>
        <v/>
      </c>
      <c r="CR675" s="145" t="str">
        <f>IF($I675&lt;&gt;"",INDEX('Device Refrigerant Leakage'!$G$2:$G$42,MATCH($M675,'Device Refrigerant Leakage'!$B$2:$B$42,0)),"")</f>
        <v/>
      </c>
      <c r="CS675" s="145" t="str">
        <f>IF($I675&lt;&gt;"",INDEX('Device Refrigerant Leakage'!$D$2:$D$42,MATCH($M675,'Device Refrigerant Leakage'!$B$2:$B$42,0))*CP675/2204.62*CO675,"")</f>
        <v/>
      </c>
      <c r="CT675" s="145" t="str">
        <f>IF($I675&lt;&gt;"",J675*(INDEX('Device Refrigerant Leakage'!$D$2:$D$42,MATCH($M675,'Device Refrigerant Leakage'!$B$2:$B$42,0))-(INDEX('Device Refrigerant Leakage'!$D$2:$D$42,MATCH($M675,'Device Refrigerant Leakage'!$B$2:$B$42,0)))*CR675*CP675)*CQ675/2204.62*CO675,"")</f>
        <v/>
      </c>
      <c r="CU675" s="135" t="str">
        <f>IF($I675&lt;&gt;"",J675*IF(W675&lt;&gt;"AR",(CS675*K675)+CT675,(CS675*AB675)+CT675*(AB675/INDEX('Device Refrigerant Leakage'!$C$2:$C$42,MATCH($M675,'Device Refrigerant Leakage'!$B$2:$B$42,0)))),"")</f>
        <v/>
      </c>
      <c r="CW675" s="135" t="str">
        <f>IF($I675&lt;&gt;"",IF(S675="User Specified",V675,INDEX('Refrigerant GWPs'!$G$2:$G$156,MATCH(S675,'Refrigerant GWPs'!$A$2:$A$157,0))),"")</f>
        <v/>
      </c>
      <c r="CX675" s="138" t="str">
        <f>IF($I675&lt;&gt;"",INDEX('Device Refrigerant Leakage'!$E$2:$E$42,MATCH($Q675,'Device Refrigerant Leakage'!$B$2:$B$42,0)),"")</f>
        <v/>
      </c>
      <c r="CY675" s="138" t="str">
        <f>IF($I675&lt;&gt;"",INDEX('Device Refrigerant Leakage'!$F$2:$F$42,MATCH($Q675,'Device Refrigerant Leakage'!$B$2:$B$42,0)),"")</f>
        <v/>
      </c>
      <c r="CZ675" s="145" t="str">
        <f>IF($I675&lt;&gt;"",INDEX('Device Refrigerant Leakage'!$G$2:$G$42,MATCH($Q675,'Device Refrigerant Leakage'!$B$2:$B$42,0)),"")</f>
        <v/>
      </c>
      <c r="DA675" s="145" t="str">
        <f>IF($I675&lt;&gt;"",J675*INDEX('Device Refrigerant Leakage'!$D$2:$D$42,MATCH($Q675,'Device Refrigerant Leakage'!$B$2:$B$42,0))*CX675/2204.62*CW675,"")</f>
        <v/>
      </c>
      <c r="DB675" s="145" t="str">
        <f>IF($I675&lt;&gt;"",J675*(INDEX('Device Refrigerant Leakage'!$D$2:$D$42,MATCH($Q675,'Device Refrigerant Leakage'!$B$2:$B$42,0))-(INDEX('Device Refrigerant Leakage'!$D$2:$D$42,MATCH($Q675,'Device Refrigerant Leakage'!$B$2:$B$42,0)))*CZ675*CX675)*CY675/2204.62*CW675,"")</f>
        <v/>
      </c>
      <c r="DC675" s="135" t="str">
        <f t="shared" si="824"/>
        <v/>
      </c>
      <c r="DE675" s="146" t="str">
        <f>IF(W675&lt;&gt;"AR","",IF(Y675="User Specified", AA675, INDEX('Refrigerant GWPs'!$G$2:$G$154,MATCH(Y675,'Refrigerant GWPs'!$A$2:$A$154,0))))</f>
        <v/>
      </c>
      <c r="DF675" s="146" t="str">
        <f>IF(W675&lt;&gt;"AR","",INDEX('Device Refrigerant Leakage'!$E$2:$E$42,MATCH(X675,'Device Refrigerant Leakage'!$B$2:$B$42,0)))</f>
        <v/>
      </c>
      <c r="DG675" s="146" t="str">
        <f>IF(W675&lt;&gt;"AR","",INDEX('Device Refrigerant Leakage'!$F$2:$F$42,MATCH(X675,'Device Refrigerant Leakage'!$B$2:$B$42,0)))</f>
        <v/>
      </c>
      <c r="DH675" s="146" t="str">
        <f>IF(W675&lt;&gt;"AR","",INDEX('Device Refrigerant Leakage'!$G$2:$G$42,MATCH(X675,'Device Refrigerant Leakage'!$B$2:$B$42,0)))</f>
        <v/>
      </c>
      <c r="DI675" s="146" t="str">
        <f>IF(W675&lt;&gt;"AR","",J675*INDEX('Device Refrigerant Leakage'!$D$2:$D$42,MATCH(X675,'Device Refrigerant Leakage'!$B$2:$B$42,0))*DF675/2204.62*DE675)</f>
        <v/>
      </c>
      <c r="DJ675" s="146" t="str">
        <f>IF(W675&lt;&gt;"AR","",J675*(INDEX('Device Refrigerant Leakage'!$D$2:$D$42,MATCH(X675,'Device Refrigerant Leakage'!$B$2:$B$42,0))-(INDEX('Device Refrigerant Leakage'!$D$2:$D$42,MATCH(X675,'Device Refrigerant Leakage'!$B$2:$B$42,0)))*DH675*DF675)*DG675/2204.62*DE675)</f>
        <v/>
      </c>
      <c r="DK675" s="146" t="str">
        <f>IF(W675&lt;&gt;"AR","",DI675*(K675-AB675)+'Fuel Sub Calcs-Deemed'!DJ675*((K675-AB675)/INDEX('Device Refrigerant Leakage'!$C$2:$C$42,MATCH('Fuel Sub Calcs-Deemed'!X675,'Device Refrigerant Leakage'!$B$2:$B$42,0))))</f>
        <v/>
      </c>
      <c r="DM675" s="56">
        <v>661</v>
      </c>
      <c r="DN675" s="67" t="e">
        <f t="shared" si="806"/>
        <v>#N/A</v>
      </c>
      <c r="DO675" s="45" t="e">
        <f t="shared" si="807"/>
        <v>#N/A</v>
      </c>
      <c r="DP675" s="67" t="e">
        <f t="shared" si="808"/>
        <v>#N/A</v>
      </c>
      <c r="DQ675" s="45" t="e">
        <f t="shared" si="809"/>
        <v>#N/A</v>
      </c>
      <c r="DR675" s="69" t="e">
        <f t="shared" si="810"/>
        <v>#N/A</v>
      </c>
      <c r="DS675" s="34"/>
      <c r="DT675" s="67" t="e">
        <f>((BX675*CJ675)+IF($W675=MAT_AR,(BZ675*CL675),0))*(1+Reference!$E$50+Reference!$E$51)</f>
        <v>#N/A</v>
      </c>
      <c r="DU675" s="67">
        <f>((BY675*CK675)+IF($W675=MAT_AR,(CA675*CM675),0))*(1+Reference!$G$50+Reference!$G$51)</f>
        <v>0</v>
      </c>
      <c r="DV675" s="67" t="e">
        <f t="shared" si="811"/>
        <v>#VALUE!</v>
      </c>
      <c r="DX675" s="56">
        <v>661</v>
      </c>
      <c r="DY675" s="67">
        <f t="shared" si="812"/>
        <v>0</v>
      </c>
      <c r="DZ675" s="45" t="e">
        <f>VLOOKUP($R675,Dropdown!$C$3:$D$4,2,FALSE)</f>
        <v>#N/A</v>
      </c>
      <c r="EA675" s="68">
        <f t="shared" si="813"/>
        <v>0</v>
      </c>
      <c r="EB675" s="68" t="str">
        <f t="shared" si="814"/>
        <v>N/A</v>
      </c>
      <c r="EC675" s="68">
        <f t="shared" si="815"/>
        <v>0</v>
      </c>
      <c r="ED675" s="68" t="str">
        <f t="shared" si="853"/>
        <v>N/A</v>
      </c>
      <c r="EF675" s="56">
        <v>661</v>
      </c>
      <c r="EG675" s="46">
        <f t="shared" si="816"/>
        <v>0</v>
      </c>
      <c r="EH675" s="68" t="e">
        <f t="shared" si="817"/>
        <v>#N/A</v>
      </c>
      <c r="EI675" s="68" t="e">
        <f t="shared" si="818"/>
        <v>#N/A</v>
      </c>
      <c r="EJ675" s="68" t="e">
        <f t="shared" si="819"/>
        <v>#N/A</v>
      </c>
      <c r="EK675" s="68" t="e">
        <f t="shared" si="820"/>
        <v>#N/A</v>
      </c>
      <c r="EL675" s="46">
        <f t="shared" si="821"/>
        <v>0</v>
      </c>
      <c r="EM675" s="46">
        <f t="shared" si="822"/>
        <v>0</v>
      </c>
    </row>
    <row r="676" spans="1:143">
      <c r="A676" s="89"/>
      <c r="B676" s="89"/>
      <c r="C676" s="89"/>
      <c r="D676" s="89"/>
      <c r="E676" s="89"/>
      <c r="F676" s="89"/>
      <c r="G676" s="34"/>
      <c r="H676" s="56">
        <f t="shared" si="823"/>
        <v>662</v>
      </c>
      <c r="I676" s="165"/>
      <c r="J676" s="163"/>
      <c r="K676" s="163"/>
      <c r="L676" s="164"/>
      <c r="M676" s="155"/>
      <c r="N676" s="155"/>
      <c r="O676" s="144"/>
      <c r="P676" s="159" t="str">
        <f>IFERROR(IF(O676&lt;&gt;"User Specified",IF(O676&lt;&gt;"", INDEX('Refrigerant GWPs'!$G$2:$G$154,MATCH(O676,'Refrigerant GWPs'!$A$2:$A$154,0)),""),U676),0)</f>
        <v/>
      </c>
      <c r="Q676" s="155"/>
      <c r="R676" s="155"/>
      <c r="S676" s="144"/>
      <c r="T676" s="159" t="str">
        <f>IF(S676&lt;&gt;"User Specified",IF(AND(S676&lt;&gt;"User Specified",S676&lt;&gt;""), INDEX('Refrigerant GWPs'!$G$2:$G$154,MATCH(S676,'Refrigerant GWPs'!$A$2:$A$154,0)),""),V676)</f>
        <v/>
      </c>
      <c r="U676" s="144"/>
      <c r="V676" s="144"/>
      <c r="W676" s="155"/>
      <c r="X676" s="155"/>
      <c r="Y676" s="144"/>
      <c r="Z676" s="159" t="str">
        <f>IF(AND(Y676&lt;&gt;"User Specified",Y676&lt;&gt;""), INDEX('Refrigerant GWPs'!$G$2:$G$154,MATCH(Y676,'Refrigerant GWPs'!$A$2:$A$154,0)),"")</f>
        <v/>
      </c>
      <c r="AA676" s="155"/>
      <c r="AB676" s="156"/>
      <c r="AC676" s="66"/>
      <c r="AD676" s="66"/>
      <c r="AE676" s="66"/>
      <c r="AF676" s="66"/>
      <c r="AG676" s="66"/>
      <c r="AH676" s="66"/>
      <c r="AI676" s="34"/>
      <c r="AJ676" s="88">
        <f t="shared" si="786"/>
        <v>0</v>
      </c>
      <c r="AK676" s="88">
        <f t="shared" si="787"/>
        <v>0</v>
      </c>
      <c r="AL676" s="88">
        <v>0</v>
      </c>
      <c r="AM676" s="88">
        <v>0</v>
      </c>
      <c r="AN676" s="81" t="str">
        <f t="shared" si="825"/>
        <v/>
      </c>
      <c r="AO676" s="88">
        <f t="shared" si="788"/>
        <v>0</v>
      </c>
      <c r="AP676" s="88">
        <f t="shared" si="789"/>
        <v>0</v>
      </c>
      <c r="AQ676" s="81" t="str">
        <f t="shared" si="790"/>
        <v/>
      </c>
      <c r="AS676" s="41" t="b">
        <f t="shared" si="791"/>
        <v>1</v>
      </c>
      <c r="AT676" s="38">
        <f t="shared" si="792"/>
        <v>0</v>
      </c>
      <c r="AU676" s="60">
        <f t="shared" si="793"/>
        <v>0</v>
      </c>
      <c r="AV676" s="41">
        <f t="shared" si="794"/>
        <v>0</v>
      </c>
      <c r="AW676" s="41" t="b">
        <f t="shared" si="795"/>
        <v>0</v>
      </c>
      <c r="AX676" t="str">
        <f t="shared" si="796"/>
        <v>+00</v>
      </c>
      <c r="AY676" t="str">
        <f t="shared" si="797"/>
        <v>+00</v>
      </c>
      <c r="BA676" s="47" t="b">
        <f t="shared" si="826"/>
        <v>1</v>
      </c>
      <c r="BB676" s="42" t="b">
        <f t="shared" si="827"/>
        <v>1</v>
      </c>
      <c r="BC676" s="42" t="b">
        <f t="shared" si="828"/>
        <v>0</v>
      </c>
      <c r="BD676" s="42" t="b">
        <f t="shared" si="829"/>
        <v>0</v>
      </c>
      <c r="BE676" s="70">
        <f t="shared" si="830"/>
        <v>0</v>
      </c>
      <c r="BF676" s="70">
        <f t="shared" si="831"/>
        <v>0</v>
      </c>
      <c r="BG676" s="34"/>
      <c r="BI676" s="47" t="b">
        <f t="shared" si="832"/>
        <v>1</v>
      </c>
      <c r="BJ676" s="47" t="b">
        <f t="shared" si="833"/>
        <v>1</v>
      </c>
      <c r="BK676" s="42" t="b">
        <f t="shared" si="834"/>
        <v>0</v>
      </c>
      <c r="BL676" s="42" t="b">
        <f t="shared" si="835"/>
        <v>0</v>
      </c>
      <c r="BM676" s="42">
        <f t="shared" si="836"/>
        <v>0</v>
      </c>
      <c r="BN676" s="42">
        <f t="shared" si="837"/>
        <v>0</v>
      </c>
      <c r="BP676" t="e">
        <f t="shared" si="838"/>
        <v>#N/A</v>
      </c>
      <c r="BQ676" t="e">
        <f t="shared" si="839"/>
        <v>#N/A</v>
      </c>
      <c r="BR676" t="e">
        <f t="shared" si="840"/>
        <v>#N/A</v>
      </c>
      <c r="BT676" s="60">
        <f t="shared" si="841"/>
        <v>0</v>
      </c>
      <c r="BU676" s="60">
        <f t="shared" si="842"/>
        <v>0</v>
      </c>
      <c r="BV676" s="60">
        <f t="shared" si="843"/>
        <v>0</v>
      </c>
      <c r="BW676" s="60">
        <f t="shared" si="844"/>
        <v>0</v>
      </c>
      <c r="BX676" s="60">
        <f t="shared" si="845"/>
        <v>0</v>
      </c>
      <c r="BY676" s="60">
        <f t="shared" si="846"/>
        <v>0</v>
      </c>
      <c r="BZ676" s="60">
        <f t="shared" si="847"/>
        <v>0</v>
      </c>
      <c r="CA676" s="60">
        <f t="shared" si="848"/>
        <v>0</v>
      </c>
      <c r="CB676" s="60" t="e">
        <f t="shared" si="798"/>
        <v>#N/A</v>
      </c>
      <c r="CC676" s="60">
        <f t="shared" si="799"/>
        <v>100000</v>
      </c>
      <c r="CD676" s="60" t="e">
        <f t="shared" si="800"/>
        <v>#N/A</v>
      </c>
      <c r="CE676" s="60">
        <f t="shared" si="801"/>
        <v>100000</v>
      </c>
      <c r="CF676" s="83" t="e">
        <f t="shared" si="849"/>
        <v>#N/A</v>
      </c>
      <c r="CG676" s="83">
        <f t="shared" si="850"/>
        <v>0</v>
      </c>
      <c r="CH676" s="83" t="e">
        <f t="shared" si="851"/>
        <v>#N/A</v>
      </c>
      <c r="CI676" s="83">
        <f t="shared" si="852"/>
        <v>0</v>
      </c>
      <c r="CJ676" s="86" t="e">
        <f t="shared" si="802"/>
        <v>#N/A</v>
      </c>
      <c r="CK676" s="82">
        <f t="shared" si="803"/>
        <v>5.3070370403969858E-3</v>
      </c>
      <c r="CL676" s="82" t="e">
        <f t="shared" si="804"/>
        <v>#N/A</v>
      </c>
      <c r="CM676" s="82">
        <f t="shared" si="805"/>
        <v>5.3070370403969858E-3</v>
      </c>
      <c r="CO676" s="149" t="str">
        <f>IF($I676&lt;&gt;"",IF(O676="User Specified",U676,INDEX('Refrigerant GWPs'!$G$2:$G$156,MATCH(O676,'Refrigerant GWPs'!$A$2:$A$156,0))),"")</f>
        <v/>
      </c>
      <c r="CP676" s="138" t="str">
        <f>IF($I676&lt;&gt;"",INDEX('Device Refrigerant Leakage'!$E$2:$E$42,MATCH($M676,'Device Refrigerant Leakage'!$B$2:$B$42,0)),"")</f>
        <v/>
      </c>
      <c r="CQ676" s="138" t="str">
        <f>IF($I676&lt;&gt;"",INDEX('Device Refrigerant Leakage'!$F$2:$F$42,MATCH($M676,'Device Refrigerant Leakage'!$B$2:$B$42,0)),"")</f>
        <v/>
      </c>
      <c r="CR676" s="145" t="str">
        <f>IF($I676&lt;&gt;"",INDEX('Device Refrigerant Leakage'!$G$2:$G$42,MATCH($M676,'Device Refrigerant Leakage'!$B$2:$B$42,0)),"")</f>
        <v/>
      </c>
      <c r="CS676" s="145" t="str">
        <f>IF($I676&lt;&gt;"",INDEX('Device Refrigerant Leakage'!$D$2:$D$42,MATCH($M676,'Device Refrigerant Leakage'!$B$2:$B$42,0))*CP676/2204.62*CO676,"")</f>
        <v/>
      </c>
      <c r="CT676" s="145" t="str">
        <f>IF($I676&lt;&gt;"",J676*(INDEX('Device Refrigerant Leakage'!$D$2:$D$42,MATCH($M676,'Device Refrigerant Leakage'!$B$2:$B$42,0))-(INDEX('Device Refrigerant Leakage'!$D$2:$D$42,MATCH($M676,'Device Refrigerant Leakage'!$B$2:$B$42,0)))*CR676*CP676)*CQ676/2204.62*CO676,"")</f>
        <v/>
      </c>
      <c r="CU676" s="135" t="str">
        <f>IF($I676&lt;&gt;"",J676*IF(W676&lt;&gt;"AR",(CS676*K676)+CT676,(CS676*AB676)+CT676*(AB676/INDEX('Device Refrigerant Leakage'!$C$2:$C$42,MATCH($M676,'Device Refrigerant Leakage'!$B$2:$B$42,0)))),"")</f>
        <v/>
      </c>
      <c r="CW676" s="135" t="str">
        <f>IF($I676&lt;&gt;"",IF(S676="User Specified",V676,INDEX('Refrigerant GWPs'!$G$2:$G$156,MATCH(S676,'Refrigerant GWPs'!$A$2:$A$157,0))),"")</f>
        <v/>
      </c>
      <c r="CX676" s="138" t="str">
        <f>IF($I676&lt;&gt;"",INDEX('Device Refrigerant Leakage'!$E$2:$E$42,MATCH($Q676,'Device Refrigerant Leakage'!$B$2:$B$42,0)),"")</f>
        <v/>
      </c>
      <c r="CY676" s="138" t="str">
        <f>IF($I676&lt;&gt;"",INDEX('Device Refrigerant Leakage'!$F$2:$F$42,MATCH($Q676,'Device Refrigerant Leakage'!$B$2:$B$42,0)),"")</f>
        <v/>
      </c>
      <c r="CZ676" s="145" t="str">
        <f>IF($I676&lt;&gt;"",INDEX('Device Refrigerant Leakage'!$G$2:$G$42,MATCH($Q676,'Device Refrigerant Leakage'!$B$2:$B$42,0)),"")</f>
        <v/>
      </c>
      <c r="DA676" s="145" t="str">
        <f>IF($I676&lt;&gt;"",J676*INDEX('Device Refrigerant Leakage'!$D$2:$D$42,MATCH($Q676,'Device Refrigerant Leakage'!$B$2:$B$42,0))*CX676/2204.62*CW676,"")</f>
        <v/>
      </c>
      <c r="DB676" s="145" t="str">
        <f>IF($I676&lt;&gt;"",J676*(INDEX('Device Refrigerant Leakage'!$D$2:$D$42,MATCH($Q676,'Device Refrigerant Leakage'!$B$2:$B$42,0))-(INDEX('Device Refrigerant Leakage'!$D$2:$D$42,MATCH($Q676,'Device Refrigerant Leakage'!$B$2:$B$42,0)))*CZ676*CX676)*CY676/2204.62*CW676,"")</f>
        <v/>
      </c>
      <c r="DC676" s="135" t="str">
        <f t="shared" si="824"/>
        <v/>
      </c>
      <c r="DE676" s="146" t="str">
        <f>IF(W676&lt;&gt;"AR","",IF(Y676="User Specified", AA676, INDEX('Refrigerant GWPs'!$G$2:$G$154,MATCH(Y676,'Refrigerant GWPs'!$A$2:$A$154,0))))</f>
        <v/>
      </c>
      <c r="DF676" s="146" t="str">
        <f>IF(W676&lt;&gt;"AR","",INDEX('Device Refrigerant Leakage'!$E$2:$E$42,MATCH(X676,'Device Refrigerant Leakage'!$B$2:$B$42,0)))</f>
        <v/>
      </c>
      <c r="DG676" s="146" t="str">
        <f>IF(W676&lt;&gt;"AR","",INDEX('Device Refrigerant Leakage'!$F$2:$F$42,MATCH(X676,'Device Refrigerant Leakage'!$B$2:$B$42,0)))</f>
        <v/>
      </c>
      <c r="DH676" s="146" t="str">
        <f>IF(W676&lt;&gt;"AR","",INDEX('Device Refrigerant Leakage'!$G$2:$G$42,MATCH(X676,'Device Refrigerant Leakage'!$B$2:$B$42,0)))</f>
        <v/>
      </c>
      <c r="DI676" s="146" t="str">
        <f>IF(W676&lt;&gt;"AR","",J676*INDEX('Device Refrigerant Leakage'!$D$2:$D$42,MATCH(X676,'Device Refrigerant Leakage'!$B$2:$B$42,0))*DF676/2204.62*DE676)</f>
        <v/>
      </c>
      <c r="DJ676" s="146" t="str">
        <f>IF(W676&lt;&gt;"AR","",J676*(INDEX('Device Refrigerant Leakage'!$D$2:$D$42,MATCH(X676,'Device Refrigerant Leakage'!$B$2:$B$42,0))-(INDEX('Device Refrigerant Leakage'!$D$2:$D$42,MATCH(X676,'Device Refrigerant Leakage'!$B$2:$B$42,0)))*DH676*DF676)*DG676/2204.62*DE676)</f>
        <v/>
      </c>
      <c r="DK676" s="146" t="str">
        <f>IF(W676&lt;&gt;"AR","",DI676*(K676-AB676)+'Fuel Sub Calcs-Deemed'!DJ676*((K676-AB676)/INDEX('Device Refrigerant Leakage'!$C$2:$C$42,MATCH('Fuel Sub Calcs-Deemed'!X676,'Device Refrigerant Leakage'!$B$2:$B$42,0))))</f>
        <v/>
      </c>
      <c r="DM676" s="56">
        <v>662</v>
      </c>
      <c r="DN676" s="67" t="e">
        <f t="shared" si="806"/>
        <v>#N/A</v>
      </c>
      <c r="DO676" s="45" t="e">
        <f t="shared" si="807"/>
        <v>#N/A</v>
      </c>
      <c r="DP676" s="67" t="e">
        <f t="shared" si="808"/>
        <v>#N/A</v>
      </c>
      <c r="DQ676" s="45" t="e">
        <f t="shared" si="809"/>
        <v>#N/A</v>
      </c>
      <c r="DR676" s="69" t="e">
        <f t="shared" si="810"/>
        <v>#N/A</v>
      </c>
      <c r="DS676" s="34"/>
      <c r="DT676" s="67" t="e">
        <f>((BX676*CJ676)+IF($W676=MAT_AR,(BZ676*CL676),0))*(1+Reference!$E$50+Reference!$E$51)</f>
        <v>#N/A</v>
      </c>
      <c r="DU676" s="67">
        <f>((BY676*CK676)+IF($W676=MAT_AR,(CA676*CM676),0))*(1+Reference!$G$50+Reference!$G$51)</f>
        <v>0</v>
      </c>
      <c r="DV676" s="67" t="e">
        <f t="shared" si="811"/>
        <v>#VALUE!</v>
      </c>
      <c r="DX676" s="56">
        <v>662</v>
      </c>
      <c r="DY676" s="67">
        <f t="shared" si="812"/>
        <v>0</v>
      </c>
      <c r="DZ676" s="45" t="e">
        <f>VLOOKUP($R676,Dropdown!$C$3:$D$4,2,FALSE)</f>
        <v>#N/A</v>
      </c>
      <c r="EA676" s="68">
        <f t="shared" si="813"/>
        <v>0</v>
      </c>
      <c r="EB676" s="68" t="str">
        <f t="shared" si="814"/>
        <v>N/A</v>
      </c>
      <c r="EC676" s="68">
        <f t="shared" si="815"/>
        <v>0</v>
      </c>
      <c r="ED676" s="68" t="str">
        <f t="shared" si="853"/>
        <v>N/A</v>
      </c>
      <c r="EF676" s="56">
        <v>662</v>
      </c>
      <c r="EG676" s="46">
        <f t="shared" si="816"/>
        <v>0</v>
      </c>
      <c r="EH676" s="68" t="e">
        <f t="shared" si="817"/>
        <v>#N/A</v>
      </c>
      <c r="EI676" s="68" t="e">
        <f t="shared" si="818"/>
        <v>#N/A</v>
      </c>
      <c r="EJ676" s="68" t="e">
        <f t="shared" si="819"/>
        <v>#N/A</v>
      </c>
      <c r="EK676" s="68" t="e">
        <f t="shared" si="820"/>
        <v>#N/A</v>
      </c>
      <c r="EL676" s="46">
        <f t="shared" si="821"/>
        <v>0</v>
      </c>
      <c r="EM676" s="46">
        <f t="shared" si="822"/>
        <v>0</v>
      </c>
    </row>
    <row r="677" spans="1:143">
      <c r="A677" s="89"/>
      <c r="B677" s="89"/>
      <c r="C677" s="89"/>
      <c r="D677" s="89"/>
      <c r="E677" s="89"/>
      <c r="F677" s="89"/>
      <c r="G677" s="34"/>
      <c r="H677" s="56">
        <f t="shared" si="823"/>
        <v>663</v>
      </c>
      <c r="I677" s="165"/>
      <c r="J677" s="163"/>
      <c r="K677" s="163"/>
      <c r="L677" s="164"/>
      <c r="M677" s="155"/>
      <c r="N677" s="155"/>
      <c r="O677" s="144"/>
      <c r="P677" s="159" t="str">
        <f>IFERROR(IF(O677&lt;&gt;"User Specified",IF(O677&lt;&gt;"", INDEX('Refrigerant GWPs'!$G$2:$G$154,MATCH(O677,'Refrigerant GWPs'!$A$2:$A$154,0)),""),U677),0)</f>
        <v/>
      </c>
      <c r="Q677" s="155"/>
      <c r="R677" s="155"/>
      <c r="S677" s="144"/>
      <c r="T677" s="159" t="str">
        <f>IF(S677&lt;&gt;"User Specified",IF(AND(S677&lt;&gt;"User Specified",S677&lt;&gt;""), INDEX('Refrigerant GWPs'!$G$2:$G$154,MATCH(S677,'Refrigerant GWPs'!$A$2:$A$154,0)),""),V677)</f>
        <v/>
      </c>
      <c r="U677" s="144"/>
      <c r="V677" s="144"/>
      <c r="W677" s="155"/>
      <c r="X677" s="155"/>
      <c r="Y677" s="144"/>
      <c r="Z677" s="159" t="str">
        <f>IF(AND(Y677&lt;&gt;"User Specified",Y677&lt;&gt;""), INDEX('Refrigerant GWPs'!$G$2:$G$154,MATCH(Y677,'Refrigerant GWPs'!$A$2:$A$154,0)),"")</f>
        <v/>
      </c>
      <c r="AA677" s="155"/>
      <c r="AB677" s="156"/>
      <c r="AC677" s="66"/>
      <c r="AD677" s="66"/>
      <c r="AE677" s="66"/>
      <c r="AF677" s="66"/>
      <c r="AG677" s="66"/>
      <c r="AH677" s="66"/>
      <c r="AI677" s="34"/>
      <c r="AJ677" s="88">
        <f t="shared" si="786"/>
        <v>0</v>
      </c>
      <c r="AK677" s="88">
        <f t="shared" si="787"/>
        <v>0</v>
      </c>
      <c r="AL677" s="88">
        <v>0</v>
      </c>
      <c r="AM677" s="88">
        <v>0</v>
      </c>
      <c r="AN677" s="81" t="str">
        <f t="shared" si="825"/>
        <v/>
      </c>
      <c r="AO677" s="88">
        <f t="shared" si="788"/>
        <v>0</v>
      </c>
      <c r="AP677" s="88">
        <f t="shared" si="789"/>
        <v>0</v>
      </c>
      <c r="AQ677" s="81" t="str">
        <f t="shared" si="790"/>
        <v/>
      </c>
      <c r="AS677" s="41" t="b">
        <f t="shared" si="791"/>
        <v>1</v>
      </c>
      <c r="AT677" s="38">
        <f t="shared" si="792"/>
        <v>0</v>
      </c>
      <c r="AU677" s="60">
        <f t="shared" si="793"/>
        <v>0</v>
      </c>
      <c r="AV677" s="41">
        <f t="shared" si="794"/>
        <v>0</v>
      </c>
      <c r="AW677" s="41" t="b">
        <f t="shared" si="795"/>
        <v>0</v>
      </c>
      <c r="AX677" t="str">
        <f t="shared" si="796"/>
        <v>+00</v>
      </c>
      <c r="AY677" t="str">
        <f t="shared" si="797"/>
        <v>+00</v>
      </c>
      <c r="BA677" s="47" t="b">
        <f t="shared" si="826"/>
        <v>1</v>
      </c>
      <c r="BB677" s="42" t="b">
        <f t="shared" si="827"/>
        <v>1</v>
      </c>
      <c r="BC677" s="42" t="b">
        <f t="shared" si="828"/>
        <v>0</v>
      </c>
      <c r="BD677" s="42" t="b">
        <f t="shared" si="829"/>
        <v>0</v>
      </c>
      <c r="BE677" s="70">
        <f t="shared" si="830"/>
        <v>0</v>
      </c>
      <c r="BF677" s="70">
        <f t="shared" si="831"/>
        <v>0</v>
      </c>
      <c r="BG677" s="34"/>
      <c r="BI677" s="47" t="b">
        <f t="shared" si="832"/>
        <v>1</v>
      </c>
      <c r="BJ677" s="47" t="b">
        <f t="shared" si="833"/>
        <v>1</v>
      </c>
      <c r="BK677" s="42" t="b">
        <f t="shared" si="834"/>
        <v>0</v>
      </c>
      <c r="BL677" s="42" t="b">
        <f t="shared" si="835"/>
        <v>0</v>
      </c>
      <c r="BM677" s="42">
        <f t="shared" si="836"/>
        <v>0</v>
      </c>
      <c r="BN677" s="42">
        <f t="shared" si="837"/>
        <v>0</v>
      </c>
      <c r="BP677" t="e">
        <f t="shared" si="838"/>
        <v>#N/A</v>
      </c>
      <c r="BQ677" t="e">
        <f t="shared" si="839"/>
        <v>#N/A</v>
      </c>
      <c r="BR677" t="e">
        <f t="shared" si="840"/>
        <v>#N/A</v>
      </c>
      <c r="BT677" s="60">
        <f t="shared" si="841"/>
        <v>0</v>
      </c>
      <c r="BU677" s="60">
        <f t="shared" si="842"/>
        <v>0</v>
      </c>
      <c r="BV677" s="60">
        <f t="shared" si="843"/>
        <v>0</v>
      </c>
      <c r="BW677" s="60">
        <f t="shared" si="844"/>
        <v>0</v>
      </c>
      <c r="BX677" s="60">
        <f t="shared" si="845"/>
        <v>0</v>
      </c>
      <c r="BY677" s="60">
        <f t="shared" si="846"/>
        <v>0</v>
      </c>
      <c r="BZ677" s="60">
        <f t="shared" si="847"/>
        <v>0</v>
      </c>
      <c r="CA677" s="60">
        <f t="shared" si="848"/>
        <v>0</v>
      </c>
      <c r="CB677" s="60" t="e">
        <f t="shared" si="798"/>
        <v>#N/A</v>
      </c>
      <c r="CC677" s="60">
        <f t="shared" si="799"/>
        <v>100000</v>
      </c>
      <c r="CD677" s="60" t="e">
        <f t="shared" si="800"/>
        <v>#N/A</v>
      </c>
      <c r="CE677" s="60">
        <f t="shared" si="801"/>
        <v>100000</v>
      </c>
      <c r="CF677" s="83" t="e">
        <f t="shared" si="849"/>
        <v>#N/A</v>
      </c>
      <c r="CG677" s="83">
        <f t="shared" si="850"/>
        <v>0</v>
      </c>
      <c r="CH677" s="83" t="e">
        <f t="shared" si="851"/>
        <v>#N/A</v>
      </c>
      <c r="CI677" s="83">
        <f t="shared" si="852"/>
        <v>0</v>
      </c>
      <c r="CJ677" s="86" t="e">
        <f t="shared" si="802"/>
        <v>#N/A</v>
      </c>
      <c r="CK677" s="82">
        <f t="shared" si="803"/>
        <v>5.3070370403969858E-3</v>
      </c>
      <c r="CL677" s="82" t="e">
        <f t="shared" si="804"/>
        <v>#N/A</v>
      </c>
      <c r="CM677" s="82">
        <f t="shared" si="805"/>
        <v>5.3070370403969858E-3</v>
      </c>
      <c r="CO677" s="149" t="str">
        <f>IF($I677&lt;&gt;"",IF(O677="User Specified",U677,INDEX('Refrigerant GWPs'!$G$2:$G$156,MATCH(O677,'Refrigerant GWPs'!$A$2:$A$156,0))),"")</f>
        <v/>
      </c>
      <c r="CP677" s="138" t="str">
        <f>IF($I677&lt;&gt;"",INDEX('Device Refrigerant Leakage'!$E$2:$E$42,MATCH($M677,'Device Refrigerant Leakage'!$B$2:$B$42,0)),"")</f>
        <v/>
      </c>
      <c r="CQ677" s="138" t="str">
        <f>IF($I677&lt;&gt;"",INDEX('Device Refrigerant Leakage'!$F$2:$F$42,MATCH($M677,'Device Refrigerant Leakage'!$B$2:$B$42,0)),"")</f>
        <v/>
      </c>
      <c r="CR677" s="145" t="str">
        <f>IF($I677&lt;&gt;"",INDEX('Device Refrigerant Leakage'!$G$2:$G$42,MATCH($M677,'Device Refrigerant Leakage'!$B$2:$B$42,0)),"")</f>
        <v/>
      </c>
      <c r="CS677" s="145" t="str">
        <f>IF($I677&lt;&gt;"",INDEX('Device Refrigerant Leakage'!$D$2:$D$42,MATCH($M677,'Device Refrigerant Leakage'!$B$2:$B$42,0))*CP677/2204.62*CO677,"")</f>
        <v/>
      </c>
      <c r="CT677" s="145" t="str">
        <f>IF($I677&lt;&gt;"",J677*(INDEX('Device Refrigerant Leakage'!$D$2:$D$42,MATCH($M677,'Device Refrigerant Leakage'!$B$2:$B$42,0))-(INDEX('Device Refrigerant Leakage'!$D$2:$D$42,MATCH($M677,'Device Refrigerant Leakage'!$B$2:$B$42,0)))*CR677*CP677)*CQ677/2204.62*CO677,"")</f>
        <v/>
      </c>
      <c r="CU677" s="135" t="str">
        <f>IF($I677&lt;&gt;"",J677*IF(W677&lt;&gt;"AR",(CS677*K677)+CT677,(CS677*AB677)+CT677*(AB677/INDEX('Device Refrigerant Leakage'!$C$2:$C$42,MATCH($M677,'Device Refrigerant Leakage'!$B$2:$B$42,0)))),"")</f>
        <v/>
      </c>
      <c r="CW677" s="135" t="str">
        <f>IF($I677&lt;&gt;"",IF(S677="User Specified",V677,INDEX('Refrigerant GWPs'!$G$2:$G$156,MATCH(S677,'Refrigerant GWPs'!$A$2:$A$157,0))),"")</f>
        <v/>
      </c>
      <c r="CX677" s="138" t="str">
        <f>IF($I677&lt;&gt;"",INDEX('Device Refrigerant Leakage'!$E$2:$E$42,MATCH($Q677,'Device Refrigerant Leakage'!$B$2:$B$42,0)),"")</f>
        <v/>
      </c>
      <c r="CY677" s="138" t="str">
        <f>IF($I677&lt;&gt;"",INDEX('Device Refrigerant Leakage'!$F$2:$F$42,MATCH($Q677,'Device Refrigerant Leakage'!$B$2:$B$42,0)),"")</f>
        <v/>
      </c>
      <c r="CZ677" s="145" t="str">
        <f>IF($I677&lt;&gt;"",INDEX('Device Refrigerant Leakage'!$G$2:$G$42,MATCH($Q677,'Device Refrigerant Leakage'!$B$2:$B$42,0)),"")</f>
        <v/>
      </c>
      <c r="DA677" s="145" t="str">
        <f>IF($I677&lt;&gt;"",J677*INDEX('Device Refrigerant Leakage'!$D$2:$D$42,MATCH($Q677,'Device Refrigerant Leakage'!$B$2:$B$42,0))*CX677/2204.62*CW677,"")</f>
        <v/>
      </c>
      <c r="DB677" s="145" t="str">
        <f>IF($I677&lt;&gt;"",J677*(INDEX('Device Refrigerant Leakage'!$D$2:$D$42,MATCH($Q677,'Device Refrigerant Leakage'!$B$2:$B$42,0))-(INDEX('Device Refrigerant Leakage'!$D$2:$D$42,MATCH($Q677,'Device Refrigerant Leakage'!$B$2:$B$42,0)))*CZ677*CX677)*CY677/2204.62*CW677,"")</f>
        <v/>
      </c>
      <c r="DC677" s="135" t="str">
        <f t="shared" si="824"/>
        <v/>
      </c>
      <c r="DE677" s="146" t="str">
        <f>IF(W677&lt;&gt;"AR","",IF(Y677="User Specified", AA677, INDEX('Refrigerant GWPs'!$G$2:$G$154,MATCH(Y677,'Refrigerant GWPs'!$A$2:$A$154,0))))</f>
        <v/>
      </c>
      <c r="DF677" s="146" t="str">
        <f>IF(W677&lt;&gt;"AR","",INDEX('Device Refrigerant Leakage'!$E$2:$E$42,MATCH(X677,'Device Refrigerant Leakage'!$B$2:$B$42,0)))</f>
        <v/>
      </c>
      <c r="DG677" s="146" t="str">
        <f>IF(W677&lt;&gt;"AR","",INDEX('Device Refrigerant Leakage'!$F$2:$F$42,MATCH(X677,'Device Refrigerant Leakage'!$B$2:$B$42,0)))</f>
        <v/>
      </c>
      <c r="DH677" s="146" t="str">
        <f>IF(W677&lt;&gt;"AR","",INDEX('Device Refrigerant Leakage'!$G$2:$G$42,MATCH(X677,'Device Refrigerant Leakage'!$B$2:$B$42,0)))</f>
        <v/>
      </c>
      <c r="DI677" s="146" t="str">
        <f>IF(W677&lt;&gt;"AR","",J677*INDEX('Device Refrigerant Leakage'!$D$2:$D$42,MATCH(X677,'Device Refrigerant Leakage'!$B$2:$B$42,0))*DF677/2204.62*DE677)</f>
        <v/>
      </c>
      <c r="DJ677" s="146" t="str">
        <f>IF(W677&lt;&gt;"AR","",J677*(INDEX('Device Refrigerant Leakage'!$D$2:$D$42,MATCH(X677,'Device Refrigerant Leakage'!$B$2:$B$42,0))-(INDEX('Device Refrigerant Leakage'!$D$2:$D$42,MATCH(X677,'Device Refrigerant Leakage'!$B$2:$B$42,0)))*DH677*DF677)*DG677/2204.62*DE677)</f>
        <v/>
      </c>
      <c r="DK677" s="146" t="str">
        <f>IF(W677&lt;&gt;"AR","",DI677*(K677-AB677)+'Fuel Sub Calcs-Deemed'!DJ677*((K677-AB677)/INDEX('Device Refrigerant Leakage'!$C$2:$C$42,MATCH('Fuel Sub Calcs-Deemed'!X677,'Device Refrigerant Leakage'!$B$2:$B$42,0))))</f>
        <v/>
      </c>
      <c r="DM677" s="56">
        <v>663</v>
      </c>
      <c r="DN677" s="67" t="e">
        <f t="shared" si="806"/>
        <v>#N/A</v>
      </c>
      <c r="DO677" s="45" t="e">
        <f t="shared" si="807"/>
        <v>#N/A</v>
      </c>
      <c r="DP677" s="67" t="e">
        <f t="shared" si="808"/>
        <v>#N/A</v>
      </c>
      <c r="DQ677" s="45" t="e">
        <f t="shared" si="809"/>
        <v>#N/A</v>
      </c>
      <c r="DR677" s="69" t="e">
        <f t="shared" si="810"/>
        <v>#N/A</v>
      </c>
      <c r="DS677" s="34"/>
      <c r="DT677" s="67" t="e">
        <f>((BX677*CJ677)+IF($W677=MAT_AR,(BZ677*CL677),0))*(1+Reference!$E$50+Reference!$E$51)</f>
        <v>#N/A</v>
      </c>
      <c r="DU677" s="67">
        <f>((BY677*CK677)+IF($W677=MAT_AR,(CA677*CM677),0))*(1+Reference!$G$50+Reference!$G$51)</f>
        <v>0</v>
      </c>
      <c r="DV677" s="67" t="e">
        <f t="shared" si="811"/>
        <v>#VALUE!</v>
      </c>
      <c r="DX677" s="56">
        <v>663</v>
      </c>
      <c r="DY677" s="67">
        <f t="shared" si="812"/>
        <v>0</v>
      </c>
      <c r="DZ677" s="45" t="e">
        <f>VLOOKUP($R677,Dropdown!$C$3:$D$4,2,FALSE)</f>
        <v>#N/A</v>
      </c>
      <c r="EA677" s="68">
        <f t="shared" si="813"/>
        <v>0</v>
      </c>
      <c r="EB677" s="68" t="str">
        <f t="shared" si="814"/>
        <v>N/A</v>
      </c>
      <c r="EC677" s="68">
        <f t="shared" si="815"/>
        <v>0</v>
      </c>
      <c r="ED677" s="68" t="str">
        <f t="shared" si="853"/>
        <v>N/A</v>
      </c>
      <c r="EF677" s="56">
        <v>663</v>
      </c>
      <c r="EG677" s="46">
        <f t="shared" si="816"/>
        <v>0</v>
      </c>
      <c r="EH677" s="68" t="e">
        <f t="shared" si="817"/>
        <v>#N/A</v>
      </c>
      <c r="EI677" s="68" t="e">
        <f t="shared" si="818"/>
        <v>#N/A</v>
      </c>
      <c r="EJ677" s="68" t="e">
        <f t="shared" si="819"/>
        <v>#N/A</v>
      </c>
      <c r="EK677" s="68" t="e">
        <f t="shared" si="820"/>
        <v>#N/A</v>
      </c>
      <c r="EL677" s="46">
        <f t="shared" si="821"/>
        <v>0</v>
      </c>
      <c r="EM677" s="46">
        <f t="shared" si="822"/>
        <v>0</v>
      </c>
    </row>
    <row r="678" spans="1:143">
      <c r="A678" s="89"/>
      <c r="B678" s="89"/>
      <c r="C678" s="89"/>
      <c r="D678" s="89"/>
      <c r="E678" s="89"/>
      <c r="F678" s="89"/>
      <c r="G678" s="34"/>
      <c r="H678" s="56">
        <f t="shared" si="823"/>
        <v>664</v>
      </c>
      <c r="I678" s="165"/>
      <c r="J678" s="163"/>
      <c r="K678" s="163"/>
      <c r="L678" s="164"/>
      <c r="M678" s="155"/>
      <c r="N678" s="155"/>
      <c r="O678" s="144"/>
      <c r="P678" s="159" t="str">
        <f>IFERROR(IF(O678&lt;&gt;"User Specified",IF(O678&lt;&gt;"", INDEX('Refrigerant GWPs'!$G$2:$G$154,MATCH(O678,'Refrigerant GWPs'!$A$2:$A$154,0)),""),U678),0)</f>
        <v/>
      </c>
      <c r="Q678" s="155"/>
      <c r="R678" s="155"/>
      <c r="S678" s="144"/>
      <c r="T678" s="159" t="str">
        <f>IF(S678&lt;&gt;"User Specified",IF(AND(S678&lt;&gt;"User Specified",S678&lt;&gt;""), INDEX('Refrigerant GWPs'!$G$2:$G$154,MATCH(S678,'Refrigerant GWPs'!$A$2:$A$154,0)),""),V678)</f>
        <v/>
      </c>
      <c r="U678" s="144"/>
      <c r="V678" s="144"/>
      <c r="W678" s="155"/>
      <c r="X678" s="155"/>
      <c r="Y678" s="144"/>
      <c r="Z678" s="159" t="str">
        <f>IF(AND(Y678&lt;&gt;"User Specified",Y678&lt;&gt;""), INDEX('Refrigerant GWPs'!$G$2:$G$154,MATCH(Y678,'Refrigerant GWPs'!$A$2:$A$154,0)),"")</f>
        <v/>
      </c>
      <c r="AA678" s="155"/>
      <c r="AB678" s="156"/>
      <c r="AC678" s="66"/>
      <c r="AD678" s="66"/>
      <c r="AE678" s="66"/>
      <c r="AF678" s="66"/>
      <c r="AG678" s="66"/>
      <c r="AH678" s="66"/>
      <c r="AI678" s="34"/>
      <c r="AJ678" s="88">
        <f t="shared" si="786"/>
        <v>0</v>
      </c>
      <c r="AK678" s="88">
        <f t="shared" si="787"/>
        <v>0</v>
      </c>
      <c r="AL678" s="88">
        <v>0</v>
      </c>
      <c r="AM678" s="88">
        <v>0</v>
      </c>
      <c r="AN678" s="81" t="str">
        <f t="shared" si="825"/>
        <v/>
      </c>
      <c r="AO678" s="88">
        <f t="shared" si="788"/>
        <v>0</v>
      </c>
      <c r="AP678" s="88">
        <f t="shared" si="789"/>
        <v>0</v>
      </c>
      <c r="AQ678" s="81" t="str">
        <f t="shared" si="790"/>
        <v/>
      </c>
      <c r="AS678" s="41" t="b">
        <f t="shared" si="791"/>
        <v>1</v>
      </c>
      <c r="AT678" s="38">
        <f t="shared" si="792"/>
        <v>0</v>
      </c>
      <c r="AU678" s="60">
        <f t="shared" si="793"/>
        <v>0</v>
      </c>
      <c r="AV678" s="41">
        <f t="shared" si="794"/>
        <v>0</v>
      </c>
      <c r="AW678" s="41" t="b">
        <f t="shared" si="795"/>
        <v>0</v>
      </c>
      <c r="AX678" t="str">
        <f t="shared" si="796"/>
        <v>+00</v>
      </c>
      <c r="AY678" t="str">
        <f t="shared" si="797"/>
        <v>+00</v>
      </c>
      <c r="BA678" s="47" t="b">
        <f t="shared" si="826"/>
        <v>1</v>
      </c>
      <c r="BB678" s="42" t="b">
        <f t="shared" si="827"/>
        <v>1</v>
      </c>
      <c r="BC678" s="42" t="b">
        <f t="shared" si="828"/>
        <v>0</v>
      </c>
      <c r="BD678" s="42" t="b">
        <f t="shared" si="829"/>
        <v>0</v>
      </c>
      <c r="BE678" s="70">
        <f t="shared" si="830"/>
        <v>0</v>
      </c>
      <c r="BF678" s="70">
        <f t="shared" si="831"/>
        <v>0</v>
      </c>
      <c r="BG678" s="34"/>
      <c r="BI678" s="47" t="b">
        <f t="shared" si="832"/>
        <v>1</v>
      </c>
      <c r="BJ678" s="47" t="b">
        <f t="shared" si="833"/>
        <v>1</v>
      </c>
      <c r="BK678" s="42" t="b">
        <f t="shared" si="834"/>
        <v>0</v>
      </c>
      <c r="BL678" s="42" t="b">
        <f t="shared" si="835"/>
        <v>0</v>
      </c>
      <c r="BM678" s="42">
        <f t="shared" si="836"/>
        <v>0</v>
      </c>
      <c r="BN678" s="42">
        <f t="shared" si="837"/>
        <v>0</v>
      </c>
      <c r="BP678" t="e">
        <f t="shared" si="838"/>
        <v>#N/A</v>
      </c>
      <c r="BQ678" t="e">
        <f t="shared" si="839"/>
        <v>#N/A</v>
      </c>
      <c r="BR678" t="e">
        <f t="shared" si="840"/>
        <v>#N/A</v>
      </c>
      <c r="BT678" s="60">
        <f t="shared" si="841"/>
        <v>0</v>
      </c>
      <c r="BU678" s="60">
        <f t="shared" si="842"/>
        <v>0</v>
      </c>
      <c r="BV678" s="60">
        <f t="shared" si="843"/>
        <v>0</v>
      </c>
      <c r="BW678" s="60">
        <f t="shared" si="844"/>
        <v>0</v>
      </c>
      <c r="BX678" s="60">
        <f t="shared" si="845"/>
        <v>0</v>
      </c>
      <c r="BY678" s="60">
        <f t="shared" si="846"/>
        <v>0</v>
      </c>
      <c r="BZ678" s="60">
        <f t="shared" si="847"/>
        <v>0</v>
      </c>
      <c r="CA678" s="60">
        <f t="shared" si="848"/>
        <v>0</v>
      </c>
      <c r="CB678" s="60" t="e">
        <f t="shared" si="798"/>
        <v>#N/A</v>
      </c>
      <c r="CC678" s="60">
        <f t="shared" si="799"/>
        <v>100000</v>
      </c>
      <c r="CD678" s="60" t="e">
        <f t="shared" si="800"/>
        <v>#N/A</v>
      </c>
      <c r="CE678" s="60">
        <f t="shared" si="801"/>
        <v>100000</v>
      </c>
      <c r="CF678" s="83" t="e">
        <f t="shared" si="849"/>
        <v>#N/A</v>
      </c>
      <c r="CG678" s="83">
        <f t="shared" si="850"/>
        <v>0</v>
      </c>
      <c r="CH678" s="83" t="e">
        <f t="shared" si="851"/>
        <v>#N/A</v>
      </c>
      <c r="CI678" s="83">
        <f t="shared" si="852"/>
        <v>0</v>
      </c>
      <c r="CJ678" s="86" t="e">
        <f t="shared" si="802"/>
        <v>#N/A</v>
      </c>
      <c r="CK678" s="82">
        <f t="shared" si="803"/>
        <v>5.3070370403969858E-3</v>
      </c>
      <c r="CL678" s="82" t="e">
        <f t="shared" si="804"/>
        <v>#N/A</v>
      </c>
      <c r="CM678" s="82">
        <f t="shared" si="805"/>
        <v>5.3070370403969858E-3</v>
      </c>
      <c r="CO678" s="149" t="str">
        <f>IF($I678&lt;&gt;"",IF(O678="User Specified",U678,INDEX('Refrigerant GWPs'!$G$2:$G$156,MATCH(O678,'Refrigerant GWPs'!$A$2:$A$156,0))),"")</f>
        <v/>
      </c>
      <c r="CP678" s="138" t="str">
        <f>IF($I678&lt;&gt;"",INDEX('Device Refrigerant Leakage'!$E$2:$E$42,MATCH($M678,'Device Refrigerant Leakage'!$B$2:$B$42,0)),"")</f>
        <v/>
      </c>
      <c r="CQ678" s="138" t="str">
        <f>IF($I678&lt;&gt;"",INDEX('Device Refrigerant Leakage'!$F$2:$F$42,MATCH($M678,'Device Refrigerant Leakage'!$B$2:$B$42,0)),"")</f>
        <v/>
      </c>
      <c r="CR678" s="145" t="str">
        <f>IF($I678&lt;&gt;"",INDEX('Device Refrigerant Leakage'!$G$2:$G$42,MATCH($M678,'Device Refrigerant Leakage'!$B$2:$B$42,0)),"")</f>
        <v/>
      </c>
      <c r="CS678" s="145" t="str">
        <f>IF($I678&lt;&gt;"",INDEX('Device Refrigerant Leakage'!$D$2:$D$42,MATCH($M678,'Device Refrigerant Leakage'!$B$2:$B$42,0))*CP678/2204.62*CO678,"")</f>
        <v/>
      </c>
      <c r="CT678" s="145" t="str">
        <f>IF($I678&lt;&gt;"",J678*(INDEX('Device Refrigerant Leakage'!$D$2:$D$42,MATCH($M678,'Device Refrigerant Leakage'!$B$2:$B$42,0))-(INDEX('Device Refrigerant Leakage'!$D$2:$D$42,MATCH($M678,'Device Refrigerant Leakage'!$B$2:$B$42,0)))*CR678*CP678)*CQ678/2204.62*CO678,"")</f>
        <v/>
      </c>
      <c r="CU678" s="135" t="str">
        <f>IF($I678&lt;&gt;"",J678*IF(W678&lt;&gt;"AR",(CS678*K678)+CT678,(CS678*AB678)+CT678*(AB678/INDEX('Device Refrigerant Leakage'!$C$2:$C$42,MATCH($M678,'Device Refrigerant Leakage'!$B$2:$B$42,0)))),"")</f>
        <v/>
      </c>
      <c r="CW678" s="135" t="str">
        <f>IF($I678&lt;&gt;"",IF(S678="User Specified",V678,INDEX('Refrigerant GWPs'!$G$2:$G$156,MATCH(S678,'Refrigerant GWPs'!$A$2:$A$157,0))),"")</f>
        <v/>
      </c>
      <c r="CX678" s="138" t="str">
        <f>IF($I678&lt;&gt;"",INDEX('Device Refrigerant Leakage'!$E$2:$E$42,MATCH($Q678,'Device Refrigerant Leakage'!$B$2:$B$42,0)),"")</f>
        <v/>
      </c>
      <c r="CY678" s="138" t="str">
        <f>IF($I678&lt;&gt;"",INDEX('Device Refrigerant Leakage'!$F$2:$F$42,MATCH($Q678,'Device Refrigerant Leakage'!$B$2:$B$42,0)),"")</f>
        <v/>
      </c>
      <c r="CZ678" s="145" t="str">
        <f>IF($I678&lt;&gt;"",INDEX('Device Refrigerant Leakage'!$G$2:$G$42,MATCH($Q678,'Device Refrigerant Leakage'!$B$2:$B$42,0)),"")</f>
        <v/>
      </c>
      <c r="DA678" s="145" t="str">
        <f>IF($I678&lt;&gt;"",J678*INDEX('Device Refrigerant Leakage'!$D$2:$D$42,MATCH($Q678,'Device Refrigerant Leakage'!$B$2:$B$42,0))*CX678/2204.62*CW678,"")</f>
        <v/>
      </c>
      <c r="DB678" s="145" t="str">
        <f>IF($I678&lt;&gt;"",J678*(INDEX('Device Refrigerant Leakage'!$D$2:$D$42,MATCH($Q678,'Device Refrigerant Leakage'!$B$2:$B$42,0))-(INDEX('Device Refrigerant Leakage'!$D$2:$D$42,MATCH($Q678,'Device Refrigerant Leakage'!$B$2:$B$42,0)))*CZ678*CX678)*CY678/2204.62*CW678,"")</f>
        <v/>
      </c>
      <c r="DC678" s="135" t="str">
        <f t="shared" si="824"/>
        <v/>
      </c>
      <c r="DE678" s="146" t="str">
        <f>IF(W678&lt;&gt;"AR","",IF(Y678="User Specified", AA678, INDEX('Refrigerant GWPs'!$G$2:$G$154,MATCH(Y678,'Refrigerant GWPs'!$A$2:$A$154,0))))</f>
        <v/>
      </c>
      <c r="DF678" s="146" t="str">
        <f>IF(W678&lt;&gt;"AR","",INDEX('Device Refrigerant Leakage'!$E$2:$E$42,MATCH(X678,'Device Refrigerant Leakage'!$B$2:$B$42,0)))</f>
        <v/>
      </c>
      <c r="DG678" s="146" t="str">
        <f>IF(W678&lt;&gt;"AR","",INDEX('Device Refrigerant Leakage'!$F$2:$F$42,MATCH(X678,'Device Refrigerant Leakage'!$B$2:$B$42,0)))</f>
        <v/>
      </c>
      <c r="DH678" s="146" t="str">
        <f>IF(W678&lt;&gt;"AR","",INDEX('Device Refrigerant Leakage'!$G$2:$G$42,MATCH(X678,'Device Refrigerant Leakage'!$B$2:$B$42,0)))</f>
        <v/>
      </c>
      <c r="DI678" s="146" t="str">
        <f>IF(W678&lt;&gt;"AR","",J678*INDEX('Device Refrigerant Leakage'!$D$2:$D$42,MATCH(X678,'Device Refrigerant Leakage'!$B$2:$B$42,0))*DF678/2204.62*DE678)</f>
        <v/>
      </c>
      <c r="DJ678" s="146" t="str">
        <f>IF(W678&lt;&gt;"AR","",J678*(INDEX('Device Refrigerant Leakage'!$D$2:$D$42,MATCH(X678,'Device Refrigerant Leakage'!$B$2:$B$42,0))-(INDEX('Device Refrigerant Leakage'!$D$2:$D$42,MATCH(X678,'Device Refrigerant Leakage'!$B$2:$B$42,0)))*DH678*DF678)*DG678/2204.62*DE678)</f>
        <v/>
      </c>
      <c r="DK678" s="146" t="str">
        <f>IF(W678&lt;&gt;"AR","",DI678*(K678-AB678)+'Fuel Sub Calcs-Deemed'!DJ678*((K678-AB678)/INDEX('Device Refrigerant Leakage'!$C$2:$C$42,MATCH('Fuel Sub Calcs-Deemed'!X678,'Device Refrigerant Leakage'!$B$2:$B$42,0))))</f>
        <v/>
      </c>
      <c r="DM678" s="56">
        <v>664</v>
      </c>
      <c r="DN678" s="67" t="e">
        <f t="shared" si="806"/>
        <v>#N/A</v>
      </c>
      <c r="DO678" s="45" t="e">
        <f t="shared" si="807"/>
        <v>#N/A</v>
      </c>
      <c r="DP678" s="67" t="e">
        <f t="shared" si="808"/>
        <v>#N/A</v>
      </c>
      <c r="DQ678" s="45" t="e">
        <f t="shared" si="809"/>
        <v>#N/A</v>
      </c>
      <c r="DR678" s="69" t="e">
        <f t="shared" si="810"/>
        <v>#N/A</v>
      </c>
      <c r="DS678" s="34"/>
      <c r="DT678" s="67" t="e">
        <f>((BX678*CJ678)+IF($W678=MAT_AR,(BZ678*CL678),0))*(1+Reference!$E$50+Reference!$E$51)</f>
        <v>#N/A</v>
      </c>
      <c r="DU678" s="67">
        <f>((BY678*CK678)+IF($W678=MAT_AR,(CA678*CM678),0))*(1+Reference!$G$50+Reference!$G$51)</f>
        <v>0</v>
      </c>
      <c r="DV678" s="67" t="e">
        <f t="shared" si="811"/>
        <v>#VALUE!</v>
      </c>
      <c r="DX678" s="56">
        <v>664</v>
      </c>
      <c r="DY678" s="67">
        <f t="shared" si="812"/>
        <v>0</v>
      </c>
      <c r="DZ678" s="45" t="e">
        <f>VLOOKUP($R678,Dropdown!$C$3:$D$4,2,FALSE)</f>
        <v>#N/A</v>
      </c>
      <c r="EA678" s="68">
        <f t="shared" si="813"/>
        <v>0</v>
      </c>
      <c r="EB678" s="68" t="str">
        <f t="shared" si="814"/>
        <v>N/A</v>
      </c>
      <c r="EC678" s="68">
        <f t="shared" si="815"/>
        <v>0</v>
      </c>
      <c r="ED678" s="68" t="str">
        <f t="shared" si="853"/>
        <v>N/A</v>
      </c>
      <c r="EF678" s="56">
        <v>664</v>
      </c>
      <c r="EG678" s="46">
        <f t="shared" si="816"/>
        <v>0</v>
      </c>
      <c r="EH678" s="68" t="e">
        <f t="shared" si="817"/>
        <v>#N/A</v>
      </c>
      <c r="EI678" s="68" t="e">
        <f t="shared" si="818"/>
        <v>#N/A</v>
      </c>
      <c r="EJ678" s="68" t="e">
        <f t="shared" si="819"/>
        <v>#N/A</v>
      </c>
      <c r="EK678" s="68" t="e">
        <f t="shared" si="820"/>
        <v>#N/A</v>
      </c>
      <c r="EL678" s="46">
        <f t="shared" si="821"/>
        <v>0</v>
      </c>
      <c r="EM678" s="46">
        <f t="shared" si="822"/>
        <v>0</v>
      </c>
    </row>
    <row r="679" spans="1:143">
      <c r="A679" s="89"/>
      <c r="B679" s="89"/>
      <c r="C679" s="89"/>
      <c r="D679" s="89"/>
      <c r="E679" s="89"/>
      <c r="F679" s="89"/>
      <c r="G679" s="34"/>
      <c r="H679" s="56">
        <f t="shared" si="823"/>
        <v>665</v>
      </c>
      <c r="I679" s="165"/>
      <c r="J679" s="163"/>
      <c r="K679" s="163"/>
      <c r="L679" s="164"/>
      <c r="M679" s="155"/>
      <c r="N679" s="155"/>
      <c r="O679" s="144"/>
      <c r="P679" s="159" t="str">
        <f>IFERROR(IF(O679&lt;&gt;"User Specified",IF(O679&lt;&gt;"", INDEX('Refrigerant GWPs'!$G$2:$G$154,MATCH(O679,'Refrigerant GWPs'!$A$2:$A$154,0)),""),U679),0)</f>
        <v/>
      </c>
      <c r="Q679" s="155"/>
      <c r="R679" s="155"/>
      <c r="S679" s="144"/>
      <c r="T679" s="159" t="str">
        <f>IF(S679&lt;&gt;"User Specified",IF(AND(S679&lt;&gt;"User Specified",S679&lt;&gt;""), INDEX('Refrigerant GWPs'!$G$2:$G$154,MATCH(S679,'Refrigerant GWPs'!$A$2:$A$154,0)),""),V679)</f>
        <v/>
      </c>
      <c r="U679" s="144"/>
      <c r="V679" s="144"/>
      <c r="W679" s="155"/>
      <c r="X679" s="155"/>
      <c r="Y679" s="144"/>
      <c r="Z679" s="159" t="str">
        <f>IF(AND(Y679&lt;&gt;"User Specified",Y679&lt;&gt;""), INDEX('Refrigerant GWPs'!$G$2:$G$154,MATCH(Y679,'Refrigerant GWPs'!$A$2:$A$154,0)),"")</f>
        <v/>
      </c>
      <c r="AA679" s="155"/>
      <c r="AB679" s="156"/>
      <c r="AC679" s="66"/>
      <c r="AD679" s="66"/>
      <c r="AE679" s="66"/>
      <c r="AF679" s="66"/>
      <c r="AG679" s="66"/>
      <c r="AH679" s="66"/>
      <c r="AI679" s="34"/>
      <c r="AJ679" s="88">
        <f t="shared" si="786"/>
        <v>0</v>
      </c>
      <c r="AK679" s="88">
        <f t="shared" si="787"/>
        <v>0</v>
      </c>
      <c r="AL679" s="88">
        <v>0</v>
      </c>
      <c r="AM679" s="88">
        <v>0</v>
      </c>
      <c r="AN679" s="81" t="str">
        <f t="shared" si="825"/>
        <v/>
      </c>
      <c r="AO679" s="88">
        <f t="shared" si="788"/>
        <v>0</v>
      </c>
      <c r="AP679" s="88">
        <f t="shared" si="789"/>
        <v>0</v>
      </c>
      <c r="AQ679" s="81" t="str">
        <f t="shared" si="790"/>
        <v/>
      </c>
      <c r="AS679" s="41" t="b">
        <f t="shared" si="791"/>
        <v>1</v>
      </c>
      <c r="AT679" s="38">
        <f t="shared" si="792"/>
        <v>0</v>
      </c>
      <c r="AU679" s="60">
        <f t="shared" si="793"/>
        <v>0</v>
      </c>
      <c r="AV679" s="41">
        <f t="shared" si="794"/>
        <v>0</v>
      </c>
      <c r="AW679" s="41" t="b">
        <f t="shared" si="795"/>
        <v>0</v>
      </c>
      <c r="AX679" t="str">
        <f t="shared" si="796"/>
        <v>+00</v>
      </c>
      <c r="AY679" t="str">
        <f t="shared" si="797"/>
        <v>+00</v>
      </c>
      <c r="BA679" s="47" t="b">
        <f t="shared" si="826"/>
        <v>1</v>
      </c>
      <c r="BB679" s="42" t="b">
        <f t="shared" si="827"/>
        <v>1</v>
      </c>
      <c r="BC679" s="42" t="b">
        <f t="shared" si="828"/>
        <v>0</v>
      </c>
      <c r="BD679" s="42" t="b">
        <f t="shared" si="829"/>
        <v>0</v>
      </c>
      <c r="BE679" s="70">
        <f t="shared" si="830"/>
        <v>0</v>
      </c>
      <c r="BF679" s="70">
        <f t="shared" si="831"/>
        <v>0</v>
      </c>
      <c r="BG679" s="34"/>
      <c r="BI679" s="47" t="b">
        <f t="shared" si="832"/>
        <v>1</v>
      </c>
      <c r="BJ679" s="47" t="b">
        <f t="shared" si="833"/>
        <v>1</v>
      </c>
      <c r="BK679" s="42" t="b">
        <f t="shared" si="834"/>
        <v>0</v>
      </c>
      <c r="BL679" s="42" t="b">
        <f t="shared" si="835"/>
        <v>0</v>
      </c>
      <c r="BM679" s="42">
        <f t="shared" si="836"/>
        <v>0</v>
      </c>
      <c r="BN679" s="42">
        <f t="shared" si="837"/>
        <v>0</v>
      </c>
      <c r="BP679" t="e">
        <f t="shared" si="838"/>
        <v>#N/A</v>
      </c>
      <c r="BQ679" t="e">
        <f t="shared" si="839"/>
        <v>#N/A</v>
      </c>
      <c r="BR679" t="e">
        <f t="shared" si="840"/>
        <v>#N/A</v>
      </c>
      <c r="BT679" s="60">
        <f t="shared" si="841"/>
        <v>0</v>
      </c>
      <c r="BU679" s="60">
        <f t="shared" si="842"/>
        <v>0</v>
      </c>
      <c r="BV679" s="60">
        <f t="shared" si="843"/>
        <v>0</v>
      </c>
      <c r="BW679" s="60">
        <f t="shared" si="844"/>
        <v>0</v>
      </c>
      <c r="BX679" s="60">
        <f t="shared" si="845"/>
        <v>0</v>
      </c>
      <c r="BY679" s="60">
        <f t="shared" si="846"/>
        <v>0</v>
      </c>
      <c r="BZ679" s="60">
        <f t="shared" si="847"/>
        <v>0</v>
      </c>
      <c r="CA679" s="60">
        <f t="shared" si="848"/>
        <v>0</v>
      </c>
      <c r="CB679" s="60" t="e">
        <f t="shared" si="798"/>
        <v>#N/A</v>
      </c>
      <c r="CC679" s="60">
        <f t="shared" si="799"/>
        <v>100000</v>
      </c>
      <c r="CD679" s="60" t="e">
        <f t="shared" si="800"/>
        <v>#N/A</v>
      </c>
      <c r="CE679" s="60">
        <f t="shared" si="801"/>
        <v>100000</v>
      </c>
      <c r="CF679" s="83" t="e">
        <f t="shared" si="849"/>
        <v>#N/A</v>
      </c>
      <c r="CG679" s="83">
        <f t="shared" si="850"/>
        <v>0</v>
      </c>
      <c r="CH679" s="83" t="e">
        <f t="shared" si="851"/>
        <v>#N/A</v>
      </c>
      <c r="CI679" s="83">
        <f t="shared" si="852"/>
        <v>0</v>
      </c>
      <c r="CJ679" s="86" t="e">
        <f t="shared" si="802"/>
        <v>#N/A</v>
      </c>
      <c r="CK679" s="82">
        <f t="shared" si="803"/>
        <v>5.3070370403969858E-3</v>
      </c>
      <c r="CL679" s="82" t="e">
        <f t="shared" si="804"/>
        <v>#N/A</v>
      </c>
      <c r="CM679" s="82">
        <f t="shared" si="805"/>
        <v>5.3070370403969858E-3</v>
      </c>
      <c r="CO679" s="149" t="str">
        <f>IF($I679&lt;&gt;"",IF(O679="User Specified",U679,INDEX('Refrigerant GWPs'!$G$2:$G$156,MATCH(O679,'Refrigerant GWPs'!$A$2:$A$156,0))),"")</f>
        <v/>
      </c>
      <c r="CP679" s="138" t="str">
        <f>IF($I679&lt;&gt;"",INDEX('Device Refrigerant Leakage'!$E$2:$E$42,MATCH($M679,'Device Refrigerant Leakage'!$B$2:$B$42,0)),"")</f>
        <v/>
      </c>
      <c r="CQ679" s="138" t="str">
        <f>IF($I679&lt;&gt;"",INDEX('Device Refrigerant Leakage'!$F$2:$F$42,MATCH($M679,'Device Refrigerant Leakage'!$B$2:$B$42,0)),"")</f>
        <v/>
      </c>
      <c r="CR679" s="145" t="str">
        <f>IF($I679&lt;&gt;"",INDEX('Device Refrigerant Leakage'!$G$2:$G$42,MATCH($M679,'Device Refrigerant Leakage'!$B$2:$B$42,0)),"")</f>
        <v/>
      </c>
      <c r="CS679" s="145" t="str">
        <f>IF($I679&lt;&gt;"",INDEX('Device Refrigerant Leakage'!$D$2:$D$42,MATCH($M679,'Device Refrigerant Leakage'!$B$2:$B$42,0))*CP679/2204.62*CO679,"")</f>
        <v/>
      </c>
      <c r="CT679" s="145" t="str">
        <f>IF($I679&lt;&gt;"",J679*(INDEX('Device Refrigerant Leakage'!$D$2:$D$42,MATCH($M679,'Device Refrigerant Leakage'!$B$2:$B$42,0))-(INDEX('Device Refrigerant Leakage'!$D$2:$D$42,MATCH($M679,'Device Refrigerant Leakage'!$B$2:$B$42,0)))*CR679*CP679)*CQ679/2204.62*CO679,"")</f>
        <v/>
      </c>
      <c r="CU679" s="135" t="str">
        <f>IF($I679&lt;&gt;"",J679*IF(W679&lt;&gt;"AR",(CS679*K679)+CT679,(CS679*AB679)+CT679*(AB679/INDEX('Device Refrigerant Leakage'!$C$2:$C$42,MATCH($M679,'Device Refrigerant Leakage'!$B$2:$B$42,0)))),"")</f>
        <v/>
      </c>
      <c r="CW679" s="135" t="str">
        <f>IF($I679&lt;&gt;"",IF(S679="User Specified",V679,INDEX('Refrigerant GWPs'!$G$2:$G$156,MATCH(S679,'Refrigerant GWPs'!$A$2:$A$157,0))),"")</f>
        <v/>
      </c>
      <c r="CX679" s="138" t="str">
        <f>IF($I679&lt;&gt;"",INDEX('Device Refrigerant Leakage'!$E$2:$E$42,MATCH($Q679,'Device Refrigerant Leakage'!$B$2:$B$42,0)),"")</f>
        <v/>
      </c>
      <c r="CY679" s="138" t="str">
        <f>IF($I679&lt;&gt;"",INDEX('Device Refrigerant Leakage'!$F$2:$F$42,MATCH($Q679,'Device Refrigerant Leakage'!$B$2:$B$42,0)),"")</f>
        <v/>
      </c>
      <c r="CZ679" s="145" t="str">
        <f>IF($I679&lt;&gt;"",INDEX('Device Refrigerant Leakage'!$G$2:$G$42,MATCH($Q679,'Device Refrigerant Leakage'!$B$2:$B$42,0)),"")</f>
        <v/>
      </c>
      <c r="DA679" s="145" t="str">
        <f>IF($I679&lt;&gt;"",J679*INDEX('Device Refrigerant Leakage'!$D$2:$D$42,MATCH($Q679,'Device Refrigerant Leakage'!$B$2:$B$42,0))*CX679/2204.62*CW679,"")</f>
        <v/>
      </c>
      <c r="DB679" s="145" t="str">
        <f>IF($I679&lt;&gt;"",J679*(INDEX('Device Refrigerant Leakage'!$D$2:$D$42,MATCH($Q679,'Device Refrigerant Leakage'!$B$2:$B$42,0))-(INDEX('Device Refrigerant Leakage'!$D$2:$D$42,MATCH($Q679,'Device Refrigerant Leakage'!$B$2:$B$42,0)))*CZ679*CX679)*CY679/2204.62*CW679,"")</f>
        <v/>
      </c>
      <c r="DC679" s="135" t="str">
        <f t="shared" si="824"/>
        <v/>
      </c>
      <c r="DE679" s="146" t="str">
        <f>IF(W679&lt;&gt;"AR","",IF(Y679="User Specified", AA679, INDEX('Refrigerant GWPs'!$G$2:$G$154,MATCH(Y679,'Refrigerant GWPs'!$A$2:$A$154,0))))</f>
        <v/>
      </c>
      <c r="DF679" s="146" t="str">
        <f>IF(W679&lt;&gt;"AR","",INDEX('Device Refrigerant Leakage'!$E$2:$E$42,MATCH(X679,'Device Refrigerant Leakage'!$B$2:$B$42,0)))</f>
        <v/>
      </c>
      <c r="DG679" s="146" t="str">
        <f>IF(W679&lt;&gt;"AR","",INDEX('Device Refrigerant Leakage'!$F$2:$F$42,MATCH(X679,'Device Refrigerant Leakage'!$B$2:$B$42,0)))</f>
        <v/>
      </c>
      <c r="DH679" s="146" t="str">
        <f>IF(W679&lt;&gt;"AR","",INDEX('Device Refrigerant Leakage'!$G$2:$G$42,MATCH(X679,'Device Refrigerant Leakage'!$B$2:$B$42,0)))</f>
        <v/>
      </c>
      <c r="DI679" s="146" t="str">
        <f>IF(W679&lt;&gt;"AR","",J679*INDEX('Device Refrigerant Leakage'!$D$2:$D$42,MATCH(X679,'Device Refrigerant Leakage'!$B$2:$B$42,0))*DF679/2204.62*DE679)</f>
        <v/>
      </c>
      <c r="DJ679" s="146" t="str">
        <f>IF(W679&lt;&gt;"AR","",J679*(INDEX('Device Refrigerant Leakage'!$D$2:$D$42,MATCH(X679,'Device Refrigerant Leakage'!$B$2:$B$42,0))-(INDEX('Device Refrigerant Leakage'!$D$2:$D$42,MATCH(X679,'Device Refrigerant Leakage'!$B$2:$B$42,0)))*DH679*DF679)*DG679/2204.62*DE679)</f>
        <v/>
      </c>
      <c r="DK679" s="146" t="str">
        <f>IF(W679&lt;&gt;"AR","",DI679*(K679-AB679)+'Fuel Sub Calcs-Deemed'!DJ679*((K679-AB679)/INDEX('Device Refrigerant Leakage'!$C$2:$C$42,MATCH('Fuel Sub Calcs-Deemed'!X679,'Device Refrigerant Leakage'!$B$2:$B$42,0))))</f>
        <v/>
      </c>
      <c r="DM679" s="56">
        <v>665</v>
      </c>
      <c r="DN679" s="67" t="e">
        <f t="shared" si="806"/>
        <v>#N/A</v>
      </c>
      <c r="DO679" s="45" t="e">
        <f t="shared" si="807"/>
        <v>#N/A</v>
      </c>
      <c r="DP679" s="67" t="e">
        <f t="shared" si="808"/>
        <v>#N/A</v>
      </c>
      <c r="DQ679" s="45" t="e">
        <f t="shared" si="809"/>
        <v>#N/A</v>
      </c>
      <c r="DR679" s="69" t="e">
        <f t="shared" si="810"/>
        <v>#N/A</v>
      </c>
      <c r="DS679" s="34"/>
      <c r="DT679" s="67" t="e">
        <f>((BX679*CJ679)+IF($W679=MAT_AR,(BZ679*CL679),0))*(1+Reference!$E$50+Reference!$E$51)</f>
        <v>#N/A</v>
      </c>
      <c r="DU679" s="67">
        <f>((BY679*CK679)+IF($W679=MAT_AR,(CA679*CM679),0))*(1+Reference!$G$50+Reference!$G$51)</f>
        <v>0</v>
      </c>
      <c r="DV679" s="67" t="e">
        <f t="shared" si="811"/>
        <v>#VALUE!</v>
      </c>
      <c r="DX679" s="56">
        <v>665</v>
      </c>
      <c r="DY679" s="67">
        <f t="shared" si="812"/>
        <v>0</v>
      </c>
      <c r="DZ679" s="45" t="e">
        <f>VLOOKUP($R679,Dropdown!$C$3:$D$4,2,FALSE)</f>
        <v>#N/A</v>
      </c>
      <c r="EA679" s="68">
        <f t="shared" si="813"/>
        <v>0</v>
      </c>
      <c r="EB679" s="68" t="str">
        <f t="shared" si="814"/>
        <v>N/A</v>
      </c>
      <c r="EC679" s="68">
        <f t="shared" si="815"/>
        <v>0</v>
      </c>
      <c r="ED679" s="68" t="str">
        <f t="shared" si="853"/>
        <v>N/A</v>
      </c>
      <c r="EF679" s="56">
        <v>665</v>
      </c>
      <c r="EG679" s="46">
        <f t="shared" si="816"/>
        <v>0</v>
      </c>
      <c r="EH679" s="68" t="e">
        <f t="shared" si="817"/>
        <v>#N/A</v>
      </c>
      <c r="EI679" s="68" t="e">
        <f t="shared" si="818"/>
        <v>#N/A</v>
      </c>
      <c r="EJ679" s="68" t="e">
        <f t="shared" si="819"/>
        <v>#N/A</v>
      </c>
      <c r="EK679" s="68" t="e">
        <f t="shared" si="820"/>
        <v>#N/A</v>
      </c>
      <c r="EL679" s="46">
        <f t="shared" si="821"/>
        <v>0</v>
      </c>
      <c r="EM679" s="46">
        <f t="shared" si="822"/>
        <v>0</v>
      </c>
    </row>
    <row r="680" spans="1:143">
      <c r="A680" s="89"/>
      <c r="B680" s="89"/>
      <c r="C680" s="89"/>
      <c r="D680" s="89"/>
      <c r="E680" s="89"/>
      <c r="F680" s="89"/>
      <c r="G680" s="34"/>
      <c r="H680" s="56">
        <f t="shared" si="823"/>
        <v>666</v>
      </c>
      <c r="I680" s="165"/>
      <c r="J680" s="163"/>
      <c r="K680" s="163"/>
      <c r="L680" s="164"/>
      <c r="M680" s="155"/>
      <c r="N680" s="155"/>
      <c r="O680" s="144"/>
      <c r="P680" s="159" t="str">
        <f>IFERROR(IF(O680&lt;&gt;"User Specified",IF(O680&lt;&gt;"", INDEX('Refrigerant GWPs'!$G$2:$G$154,MATCH(O680,'Refrigerant GWPs'!$A$2:$A$154,0)),""),U680),0)</f>
        <v/>
      </c>
      <c r="Q680" s="155"/>
      <c r="R680" s="155"/>
      <c r="S680" s="144"/>
      <c r="T680" s="159" t="str">
        <f>IF(S680&lt;&gt;"User Specified",IF(AND(S680&lt;&gt;"User Specified",S680&lt;&gt;""), INDEX('Refrigerant GWPs'!$G$2:$G$154,MATCH(S680,'Refrigerant GWPs'!$A$2:$A$154,0)),""),V680)</f>
        <v/>
      </c>
      <c r="U680" s="144"/>
      <c r="V680" s="144"/>
      <c r="W680" s="155"/>
      <c r="X680" s="155"/>
      <c r="Y680" s="144"/>
      <c r="Z680" s="159" t="str">
        <f>IF(AND(Y680&lt;&gt;"User Specified",Y680&lt;&gt;""), INDEX('Refrigerant GWPs'!$G$2:$G$154,MATCH(Y680,'Refrigerant GWPs'!$A$2:$A$154,0)),"")</f>
        <v/>
      </c>
      <c r="AA680" s="155"/>
      <c r="AB680" s="156"/>
      <c r="AC680" s="66"/>
      <c r="AD680" s="66"/>
      <c r="AE680" s="66"/>
      <c r="AF680" s="66"/>
      <c r="AG680" s="66"/>
      <c r="AH680" s="66"/>
      <c r="AI680" s="34"/>
      <c r="AJ680" s="88">
        <f t="shared" si="786"/>
        <v>0</v>
      </c>
      <c r="AK680" s="88">
        <f t="shared" si="787"/>
        <v>0</v>
      </c>
      <c r="AL680" s="88">
        <v>0</v>
      </c>
      <c r="AM680" s="88">
        <v>0</v>
      </c>
      <c r="AN680" s="81" t="str">
        <f t="shared" si="825"/>
        <v/>
      </c>
      <c r="AO680" s="88">
        <f t="shared" si="788"/>
        <v>0</v>
      </c>
      <c r="AP680" s="88">
        <f t="shared" si="789"/>
        <v>0</v>
      </c>
      <c r="AQ680" s="81" t="str">
        <f t="shared" si="790"/>
        <v/>
      </c>
      <c r="AS680" s="41" t="b">
        <f t="shared" si="791"/>
        <v>1</v>
      </c>
      <c r="AT680" s="38">
        <f t="shared" si="792"/>
        <v>0</v>
      </c>
      <c r="AU680" s="60">
        <f t="shared" si="793"/>
        <v>0</v>
      </c>
      <c r="AV680" s="41">
        <f t="shared" si="794"/>
        <v>0</v>
      </c>
      <c r="AW680" s="41" t="b">
        <f t="shared" si="795"/>
        <v>0</v>
      </c>
      <c r="AX680" t="str">
        <f t="shared" si="796"/>
        <v>+00</v>
      </c>
      <c r="AY680" t="str">
        <f t="shared" si="797"/>
        <v>+00</v>
      </c>
      <c r="BA680" s="47" t="b">
        <f t="shared" si="826"/>
        <v>1</v>
      </c>
      <c r="BB680" s="42" t="b">
        <f t="shared" si="827"/>
        <v>1</v>
      </c>
      <c r="BC680" s="42" t="b">
        <f t="shared" si="828"/>
        <v>0</v>
      </c>
      <c r="BD680" s="42" t="b">
        <f t="shared" si="829"/>
        <v>0</v>
      </c>
      <c r="BE680" s="70">
        <f t="shared" si="830"/>
        <v>0</v>
      </c>
      <c r="BF680" s="70">
        <f t="shared" si="831"/>
        <v>0</v>
      </c>
      <c r="BG680" s="34"/>
      <c r="BI680" s="47" t="b">
        <f t="shared" si="832"/>
        <v>1</v>
      </c>
      <c r="BJ680" s="47" t="b">
        <f t="shared" si="833"/>
        <v>1</v>
      </c>
      <c r="BK680" s="42" t="b">
        <f t="shared" si="834"/>
        <v>0</v>
      </c>
      <c r="BL680" s="42" t="b">
        <f t="shared" si="835"/>
        <v>0</v>
      </c>
      <c r="BM680" s="42">
        <f t="shared" si="836"/>
        <v>0</v>
      </c>
      <c r="BN680" s="42">
        <f t="shared" si="837"/>
        <v>0</v>
      </c>
      <c r="BP680" t="e">
        <f t="shared" si="838"/>
        <v>#N/A</v>
      </c>
      <c r="BQ680" t="e">
        <f t="shared" si="839"/>
        <v>#N/A</v>
      </c>
      <c r="BR680" t="e">
        <f t="shared" si="840"/>
        <v>#N/A</v>
      </c>
      <c r="BT680" s="60">
        <f t="shared" si="841"/>
        <v>0</v>
      </c>
      <c r="BU680" s="60">
        <f t="shared" si="842"/>
        <v>0</v>
      </c>
      <c r="BV680" s="60">
        <f t="shared" si="843"/>
        <v>0</v>
      </c>
      <c r="BW680" s="60">
        <f t="shared" si="844"/>
        <v>0</v>
      </c>
      <c r="BX680" s="60">
        <f t="shared" si="845"/>
        <v>0</v>
      </c>
      <c r="BY680" s="60">
        <f t="shared" si="846"/>
        <v>0</v>
      </c>
      <c r="BZ680" s="60">
        <f t="shared" si="847"/>
        <v>0</v>
      </c>
      <c r="CA680" s="60">
        <f t="shared" si="848"/>
        <v>0</v>
      </c>
      <c r="CB680" s="60" t="e">
        <f t="shared" si="798"/>
        <v>#N/A</v>
      </c>
      <c r="CC680" s="60">
        <f t="shared" si="799"/>
        <v>100000</v>
      </c>
      <c r="CD680" s="60" t="e">
        <f t="shared" si="800"/>
        <v>#N/A</v>
      </c>
      <c r="CE680" s="60">
        <f t="shared" si="801"/>
        <v>100000</v>
      </c>
      <c r="CF680" s="83" t="e">
        <f t="shared" si="849"/>
        <v>#N/A</v>
      </c>
      <c r="CG680" s="83">
        <f t="shared" si="850"/>
        <v>0</v>
      </c>
      <c r="CH680" s="83" t="e">
        <f t="shared" si="851"/>
        <v>#N/A</v>
      </c>
      <c r="CI680" s="83">
        <f t="shared" si="852"/>
        <v>0</v>
      </c>
      <c r="CJ680" s="86" t="e">
        <f t="shared" si="802"/>
        <v>#N/A</v>
      </c>
      <c r="CK680" s="82">
        <f t="shared" si="803"/>
        <v>5.3070370403969858E-3</v>
      </c>
      <c r="CL680" s="82" t="e">
        <f t="shared" si="804"/>
        <v>#N/A</v>
      </c>
      <c r="CM680" s="82">
        <f t="shared" si="805"/>
        <v>5.3070370403969858E-3</v>
      </c>
      <c r="CO680" s="149" t="str">
        <f>IF($I680&lt;&gt;"",IF(O680="User Specified",U680,INDEX('Refrigerant GWPs'!$G$2:$G$156,MATCH(O680,'Refrigerant GWPs'!$A$2:$A$156,0))),"")</f>
        <v/>
      </c>
      <c r="CP680" s="138" t="str">
        <f>IF($I680&lt;&gt;"",INDEX('Device Refrigerant Leakage'!$E$2:$E$42,MATCH($M680,'Device Refrigerant Leakage'!$B$2:$B$42,0)),"")</f>
        <v/>
      </c>
      <c r="CQ680" s="138" t="str">
        <f>IF($I680&lt;&gt;"",INDEX('Device Refrigerant Leakage'!$F$2:$F$42,MATCH($M680,'Device Refrigerant Leakage'!$B$2:$B$42,0)),"")</f>
        <v/>
      </c>
      <c r="CR680" s="145" t="str">
        <f>IF($I680&lt;&gt;"",INDEX('Device Refrigerant Leakage'!$G$2:$G$42,MATCH($M680,'Device Refrigerant Leakage'!$B$2:$B$42,0)),"")</f>
        <v/>
      </c>
      <c r="CS680" s="145" t="str">
        <f>IF($I680&lt;&gt;"",INDEX('Device Refrigerant Leakage'!$D$2:$D$42,MATCH($M680,'Device Refrigerant Leakage'!$B$2:$B$42,0))*CP680/2204.62*CO680,"")</f>
        <v/>
      </c>
      <c r="CT680" s="145" t="str">
        <f>IF($I680&lt;&gt;"",J680*(INDEX('Device Refrigerant Leakage'!$D$2:$D$42,MATCH($M680,'Device Refrigerant Leakage'!$B$2:$B$42,0))-(INDEX('Device Refrigerant Leakage'!$D$2:$D$42,MATCH($M680,'Device Refrigerant Leakage'!$B$2:$B$42,0)))*CR680*CP680)*CQ680/2204.62*CO680,"")</f>
        <v/>
      </c>
      <c r="CU680" s="135" t="str">
        <f>IF($I680&lt;&gt;"",J680*IF(W680&lt;&gt;"AR",(CS680*K680)+CT680,(CS680*AB680)+CT680*(AB680/INDEX('Device Refrigerant Leakage'!$C$2:$C$42,MATCH($M680,'Device Refrigerant Leakage'!$B$2:$B$42,0)))),"")</f>
        <v/>
      </c>
      <c r="CW680" s="135" t="str">
        <f>IF($I680&lt;&gt;"",IF(S680="User Specified",V680,INDEX('Refrigerant GWPs'!$G$2:$G$156,MATCH(S680,'Refrigerant GWPs'!$A$2:$A$157,0))),"")</f>
        <v/>
      </c>
      <c r="CX680" s="138" t="str">
        <f>IF($I680&lt;&gt;"",INDEX('Device Refrigerant Leakage'!$E$2:$E$42,MATCH($Q680,'Device Refrigerant Leakage'!$B$2:$B$42,0)),"")</f>
        <v/>
      </c>
      <c r="CY680" s="138" t="str">
        <f>IF($I680&lt;&gt;"",INDEX('Device Refrigerant Leakage'!$F$2:$F$42,MATCH($Q680,'Device Refrigerant Leakage'!$B$2:$B$42,0)),"")</f>
        <v/>
      </c>
      <c r="CZ680" s="145" t="str">
        <f>IF($I680&lt;&gt;"",INDEX('Device Refrigerant Leakage'!$G$2:$G$42,MATCH($Q680,'Device Refrigerant Leakage'!$B$2:$B$42,0)),"")</f>
        <v/>
      </c>
      <c r="DA680" s="145" t="str">
        <f>IF($I680&lt;&gt;"",J680*INDEX('Device Refrigerant Leakage'!$D$2:$D$42,MATCH($Q680,'Device Refrigerant Leakage'!$B$2:$B$42,0))*CX680/2204.62*CW680,"")</f>
        <v/>
      </c>
      <c r="DB680" s="145" t="str">
        <f>IF($I680&lt;&gt;"",J680*(INDEX('Device Refrigerant Leakage'!$D$2:$D$42,MATCH($Q680,'Device Refrigerant Leakage'!$B$2:$B$42,0))-(INDEX('Device Refrigerant Leakage'!$D$2:$D$42,MATCH($Q680,'Device Refrigerant Leakage'!$B$2:$B$42,0)))*CZ680*CX680)*CY680/2204.62*CW680,"")</f>
        <v/>
      </c>
      <c r="DC680" s="135" t="str">
        <f t="shared" si="824"/>
        <v/>
      </c>
      <c r="DE680" s="146" t="str">
        <f>IF(W680&lt;&gt;"AR","",IF(Y680="User Specified", AA680, INDEX('Refrigerant GWPs'!$G$2:$G$154,MATCH(Y680,'Refrigerant GWPs'!$A$2:$A$154,0))))</f>
        <v/>
      </c>
      <c r="DF680" s="146" t="str">
        <f>IF(W680&lt;&gt;"AR","",INDEX('Device Refrigerant Leakage'!$E$2:$E$42,MATCH(X680,'Device Refrigerant Leakage'!$B$2:$B$42,0)))</f>
        <v/>
      </c>
      <c r="DG680" s="146" t="str">
        <f>IF(W680&lt;&gt;"AR","",INDEX('Device Refrigerant Leakage'!$F$2:$F$42,MATCH(X680,'Device Refrigerant Leakage'!$B$2:$B$42,0)))</f>
        <v/>
      </c>
      <c r="DH680" s="146" t="str">
        <f>IF(W680&lt;&gt;"AR","",INDEX('Device Refrigerant Leakage'!$G$2:$G$42,MATCH(X680,'Device Refrigerant Leakage'!$B$2:$B$42,0)))</f>
        <v/>
      </c>
      <c r="DI680" s="146" t="str">
        <f>IF(W680&lt;&gt;"AR","",J680*INDEX('Device Refrigerant Leakage'!$D$2:$D$42,MATCH(X680,'Device Refrigerant Leakage'!$B$2:$B$42,0))*DF680/2204.62*DE680)</f>
        <v/>
      </c>
      <c r="DJ680" s="146" t="str">
        <f>IF(W680&lt;&gt;"AR","",J680*(INDEX('Device Refrigerant Leakage'!$D$2:$D$42,MATCH(X680,'Device Refrigerant Leakage'!$B$2:$B$42,0))-(INDEX('Device Refrigerant Leakage'!$D$2:$D$42,MATCH(X680,'Device Refrigerant Leakage'!$B$2:$B$42,0)))*DH680*DF680)*DG680/2204.62*DE680)</f>
        <v/>
      </c>
      <c r="DK680" s="146" t="str">
        <f>IF(W680&lt;&gt;"AR","",DI680*(K680-AB680)+'Fuel Sub Calcs-Deemed'!DJ680*((K680-AB680)/INDEX('Device Refrigerant Leakage'!$C$2:$C$42,MATCH('Fuel Sub Calcs-Deemed'!X680,'Device Refrigerant Leakage'!$B$2:$B$42,0))))</f>
        <v/>
      </c>
      <c r="DM680" s="56">
        <v>666</v>
      </c>
      <c r="DN680" s="67" t="e">
        <f t="shared" si="806"/>
        <v>#N/A</v>
      </c>
      <c r="DO680" s="45" t="e">
        <f t="shared" si="807"/>
        <v>#N/A</v>
      </c>
      <c r="DP680" s="67" t="e">
        <f t="shared" si="808"/>
        <v>#N/A</v>
      </c>
      <c r="DQ680" s="45" t="e">
        <f t="shared" si="809"/>
        <v>#N/A</v>
      </c>
      <c r="DR680" s="69" t="e">
        <f t="shared" si="810"/>
        <v>#N/A</v>
      </c>
      <c r="DS680" s="34"/>
      <c r="DT680" s="67" t="e">
        <f>((BX680*CJ680)+IF($W680=MAT_AR,(BZ680*CL680),0))*(1+Reference!$E$50+Reference!$E$51)</f>
        <v>#N/A</v>
      </c>
      <c r="DU680" s="67">
        <f>((BY680*CK680)+IF($W680=MAT_AR,(CA680*CM680),0))*(1+Reference!$G$50+Reference!$G$51)</f>
        <v>0</v>
      </c>
      <c r="DV680" s="67" t="e">
        <f t="shared" si="811"/>
        <v>#VALUE!</v>
      </c>
      <c r="DX680" s="56">
        <v>666</v>
      </c>
      <c r="DY680" s="67">
        <f t="shared" si="812"/>
        <v>0</v>
      </c>
      <c r="DZ680" s="45" t="e">
        <f>VLOOKUP($R680,Dropdown!$C$3:$D$4,2,FALSE)</f>
        <v>#N/A</v>
      </c>
      <c r="EA680" s="68">
        <f t="shared" si="813"/>
        <v>0</v>
      </c>
      <c r="EB680" s="68" t="str">
        <f t="shared" si="814"/>
        <v>N/A</v>
      </c>
      <c r="EC680" s="68">
        <f t="shared" si="815"/>
        <v>0</v>
      </c>
      <c r="ED680" s="68" t="str">
        <f t="shared" si="853"/>
        <v>N/A</v>
      </c>
      <c r="EF680" s="56">
        <v>666</v>
      </c>
      <c r="EG680" s="46">
        <f t="shared" si="816"/>
        <v>0</v>
      </c>
      <c r="EH680" s="68" t="e">
        <f t="shared" si="817"/>
        <v>#N/A</v>
      </c>
      <c r="EI680" s="68" t="e">
        <f t="shared" si="818"/>
        <v>#N/A</v>
      </c>
      <c r="EJ680" s="68" t="e">
        <f t="shared" si="819"/>
        <v>#N/A</v>
      </c>
      <c r="EK680" s="68" t="e">
        <f t="shared" si="820"/>
        <v>#N/A</v>
      </c>
      <c r="EL680" s="46">
        <f t="shared" si="821"/>
        <v>0</v>
      </c>
      <c r="EM680" s="46">
        <f t="shared" si="822"/>
        <v>0</v>
      </c>
    </row>
    <row r="681" spans="1:143">
      <c r="A681" s="89"/>
      <c r="B681" s="89"/>
      <c r="C681" s="89"/>
      <c r="D681" s="89"/>
      <c r="E681" s="89"/>
      <c r="F681" s="89"/>
      <c r="G681" s="34"/>
      <c r="H681" s="56">
        <f t="shared" si="823"/>
        <v>667</v>
      </c>
      <c r="I681" s="165"/>
      <c r="J681" s="163"/>
      <c r="K681" s="163"/>
      <c r="L681" s="164"/>
      <c r="M681" s="155"/>
      <c r="N681" s="155"/>
      <c r="O681" s="144"/>
      <c r="P681" s="159" t="str">
        <f>IFERROR(IF(O681&lt;&gt;"User Specified",IF(O681&lt;&gt;"", INDEX('Refrigerant GWPs'!$G$2:$G$154,MATCH(O681,'Refrigerant GWPs'!$A$2:$A$154,0)),""),U681),0)</f>
        <v/>
      </c>
      <c r="Q681" s="155"/>
      <c r="R681" s="155"/>
      <c r="S681" s="144"/>
      <c r="T681" s="159" t="str">
        <f>IF(S681&lt;&gt;"User Specified",IF(AND(S681&lt;&gt;"User Specified",S681&lt;&gt;""), INDEX('Refrigerant GWPs'!$G$2:$G$154,MATCH(S681,'Refrigerant GWPs'!$A$2:$A$154,0)),""),V681)</f>
        <v/>
      </c>
      <c r="U681" s="144"/>
      <c r="V681" s="144"/>
      <c r="W681" s="155"/>
      <c r="X681" s="155"/>
      <c r="Y681" s="144"/>
      <c r="Z681" s="159" t="str">
        <f>IF(AND(Y681&lt;&gt;"User Specified",Y681&lt;&gt;""), INDEX('Refrigerant GWPs'!$G$2:$G$154,MATCH(Y681,'Refrigerant GWPs'!$A$2:$A$154,0)),"")</f>
        <v/>
      </c>
      <c r="AA681" s="155"/>
      <c r="AB681" s="156"/>
      <c r="AC681" s="66"/>
      <c r="AD681" s="66"/>
      <c r="AE681" s="66"/>
      <c r="AF681" s="66"/>
      <c r="AG681" s="66"/>
      <c r="AH681" s="66"/>
      <c r="AI681" s="34"/>
      <c r="AJ681" s="88">
        <f t="shared" si="786"/>
        <v>0</v>
      </c>
      <c r="AK681" s="88">
        <f t="shared" si="787"/>
        <v>0</v>
      </c>
      <c r="AL681" s="88">
        <v>0</v>
      </c>
      <c r="AM681" s="88">
        <v>0</v>
      </c>
      <c r="AN681" s="81" t="str">
        <f t="shared" si="825"/>
        <v/>
      </c>
      <c r="AO681" s="88">
        <f t="shared" si="788"/>
        <v>0</v>
      </c>
      <c r="AP681" s="88">
        <f t="shared" si="789"/>
        <v>0</v>
      </c>
      <c r="AQ681" s="81" t="str">
        <f t="shared" si="790"/>
        <v/>
      </c>
      <c r="AS681" s="41" t="b">
        <f t="shared" si="791"/>
        <v>1</v>
      </c>
      <c r="AT681" s="38">
        <f t="shared" si="792"/>
        <v>0</v>
      </c>
      <c r="AU681" s="60">
        <f t="shared" si="793"/>
        <v>0</v>
      </c>
      <c r="AV681" s="41">
        <f t="shared" si="794"/>
        <v>0</v>
      </c>
      <c r="AW681" s="41" t="b">
        <f t="shared" si="795"/>
        <v>0</v>
      </c>
      <c r="AX681" t="str">
        <f t="shared" si="796"/>
        <v>+00</v>
      </c>
      <c r="AY681" t="str">
        <f t="shared" si="797"/>
        <v>+00</v>
      </c>
      <c r="BA681" s="47" t="b">
        <f t="shared" si="826"/>
        <v>1</v>
      </c>
      <c r="BB681" s="42" t="b">
        <f t="shared" si="827"/>
        <v>1</v>
      </c>
      <c r="BC681" s="42" t="b">
        <f t="shared" si="828"/>
        <v>0</v>
      </c>
      <c r="BD681" s="42" t="b">
        <f t="shared" si="829"/>
        <v>0</v>
      </c>
      <c r="BE681" s="70">
        <f t="shared" si="830"/>
        <v>0</v>
      </c>
      <c r="BF681" s="70">
        <f t="shared" si="831"/>
        <v>0</v>
      </c>
      <c r="BG681" s="34"/>
      <c r="BI681" s="47" t="b">
        <f t="shared" si="832"/>
        <v>1</v>
      </c>
      <c r="BJ681" s="47" t="b">
        <f t="shared" si="833"/>
        <v>1</v>
      </c>
      <c r="BK681" s="42" t="b">
        <f t="shared" si="834"/>
        <v>0</v>
      </c>
      <c r="BL681" s="42" t="b">
        <f t="shared" si="835"/>
        <v>0</v>
      </c>
      <c r="BM681" s="42">
        <f t="shared" si="836"/>
        <v>0</v>
      </c>
      <c r="BN681" s="42">
        <f t="shared" si="837"/>
        <v>0</v>
      </c>
      <c r="BP681" t="e">
        <f t="shared" si="838"/>
        <v>#N/A</v>
      </c>
      <c r="BQ681" t="e">
        <f t="shared" si="839"/>
        <v>#N/A</v>
      </c>
      <c r="BR681" t="e">
        <f t="shared" si="840"/>
        <v>#N/A</v>
      </c>
      <c r="BT681" s="60">
        <f t="shared" si="841"/>
        <v>0</v>
      </c>
      <c r="BU681" s="60">
        <f t="shared" si="842"/>
        <v>0</v>
      </c>
      <c r="BV681" s="60">
        <f t="shared" si="843"/>
        <v>0</v>
      </c>
      <c r="BW681" s="60">
        <f t="shared" si="844"/>
        <v>0</v>
      </c>
      <c r="BX681" s="60">
        <f t="shared" si="845"/>
        <v>0</v>
      </c>
      <c r="BY681" s="60">
        <f t="shared" si="846"/>
        <v>0</v>
      </c>
      <c r="BZ681" s="60">
        <f t="shared" si="847"/>
        <v>0</v>
      </c>
      <c r="CA681" s="60">
        <f t="shared" si="848"/>
        <v>0</v>
      </c>
      <c r="CB681" s="60" t="e">
        <f t="shared" si="798"/>
        <v>#N/A</v>
      </c>
      <c r="CC681" s="60">
        <f t="shared" si="799"/>
        <v>100000</v>
      </c>
      <c r="CD681" s="60" t="e">
        <f t="shared" si="800"/>
        <v>#N/A</v>
      </c>
      <c r="CE681" s="60">
        <f t="shared" si="801"/>
        <v>100000</v>
      </c>
      <c r="CF681" s="83" t="e">
        <f t="shared" si="849"/>
        <v>#N/A</v>
      </c>
      <c r="CG681" s="83">
        <f t="shared" si="850"/>
        <v>0</v>
      </c>
      <c r="CH681" s="83" t="e">
        <f t="shared" si="851"/>
        <v>#N/A</v>
      </c>
      <c r="CI681" s="83">
        <f t="shared" si="852"/>
        <v>0</v>
      </c>
      <c r="CJ681" s="86" t="e">
        <f t="shared" si="802"/>
        <v>#N/A</v>
      </c>
      <c r="CK681" s="82">
        <f t="shared" si="803"/>
        <v>5.3070370403969858E-3</v>
      </c>
      <c r="CL681" s="82" t="e">
        <f t="shared" si="804"/>
        <v>#N/A</v>
      </c>
      <c r="CM681" s="82">
        <f t="shared" si="805"/>
        <v>5.3070370403969858E-3</v>
      </c>
      <c r="CO681" s="149" t="str">
        <f>IF($I681&lt;&gt;"",IF(O681="User Specified",U681,INDEX('Refrigerant GWPs'!$G$2:$G$156,MATCH(O681,'Refrigerant GWPs'!$A$2:$A$156,0))),"")</f>
        <v/>
      </c>
      <c r="CP681" s="138" t="str">
        <f>IF($I681&lt;&gt;"",INDEX('Device Refrigerant Leakage'!$E$2:$E$42,MATCH($M681,'Device Refrigerant Leakage'!$B$2:$B$42,0)),"")</f>
        <v/>
      </c>
      <c r="CQ681" s="138" t="str">
        <f>IF($I681&lt;&gt;"",INDEX('Device Refrigerant Leakage'!$F$2:$F$42,MATCH($M681,'Device Refrigerant Leakage'!$B$2:$B$42,0)),"")</f>
        <v/>
      </c>
      <c r="CR681" s="145" t="str">
        <f>IF($I681&lt;&gt;"",INDEX('Device Refrigerant Leakage'!$G$2:$G$42,MATCH($M681,'Device Refrigerant Leakage'!$B$2:$B$42,0)),"")</f>
        <v/>
      </c>
      <c r="CS681" s="145" t="str">
        <f>IF($I681&lt;&gt;"",INDEX('Device Refrigerant Leakage'!$D$2:$D$42,MATCH($M681,'Device Refrigerant Leakage'!$B$2:$B$42,0))*CP681/2204.62*CO681,"")</f>
        <v/>
      </c>
      <c r="CT681" s="145" t="str">
        <f>IF($I681&lt;&gt;"",J681*(INDEX('Device Refrigerant Leakage'!$D$2:$D$42,MATCH($M681,'Device Refrigerant Leakage'!$B$2:$B$42,0))-(INDEX('Device Refrigerant Leakage'!$D$2:$D$42,MATCH($M681,'Device Refrigerant Leakage'!$B$2:$B$42,0)))*CR681*CP681)*CQ681/2204.62*CO681,"")</f>
        <v/>
      </c>
      <c r="CU681" s="135" t="str">
        <f>IF($I681&lt;&gt;"",J681*IF(W681&lt;&gt;"AR",(CS681*K681)+CT681,(CS681*AB681)+CT681*(AB681/INDEX('Device Refrigerant Leakage'!$C$2:$C$42,MATCH($M681,'Device Refrigerant Leakage'!$B$2:$B$42,0)))),"")</f>
        <v/>
      </c>
      <c r="CW681" s="135" t="str">
        <f>IF($I681&lt;&gt;"",IF(S681="User Specified",V681,INDEX('Refrigerant GWPs'!$G$2:$G$156,MATCH(S681,'Refrigerant GWPs'!$A$2:$A$157,0))),"")</f>
        <v/>
      </c>
      <c r="CX681" s="138" t="str">
        <f>IF($I681&lt;&gt;"",INDEX('Device Refrigerant Leakage'!$E$2:$E$42,MATCH($Q681,'Device Refrigerant Leakage'!$B$2:$B$42,0)),"")</f>
        <v/>
      </c>
      <c r="CY681" s="138" t="str">
        <f>IF($I681&lt;&gt;"",INDEX('Device Refrigerant Leakage'!$F$2:$F$42,MATCH($Q681,'Device Refrigerant Leakage'!$B$2:$B$42,0)),"")</f>
        <v/>
      </c>
      <c r="CZ681" s="145" t="str">
        <f>IF($I681&lt;&gt;"",INDEX('Device Refrigerant Leakage'!$G$2:$G$42,MATCH($Q681,'Device Refrigerant Leakage'!$B$2:$B$42,0)),"")</f>
        <v/>
      </c>
      <c r="DA681" s="145" t="str">
        <f>IF($I681&lt;&gt;"",J681*INDEX('Device Refrigerant Leakage'!$D$2:$D$42,MATCH($Q681,'Device Refrigerant Leakage'!$B$2:$B$42,0))*CX681/2204.62*CW681,"")</f>
        <v/>
      </c>
      <c r="DB681" s="145" t="str">
        <f>IF($I681&lt;&gt;"",J681*(INDEX('Device Refrigerant Leakage'!$D$2:$D$42,MATCH($Q681,'Device Refrigerant Leakage'!$B$2:$B$42,0))-(INDEX('Device Refrigerant Leakage'!$D$2:$D$42,MATCH($Q681,'Device Refrigerant Leakage'!$B$2:$B$42,0)))*CZ681*CX681)*CY681/2204.62*CW681,"")</f>
        <v/>
      </c>
      <c r="DC681" s="135" t="str">
        <f t="shared" si="824"/>
        <v/>
      </c>
      <c r="DE681" s="146" t="str">
        <f>IF(W681&lt;&gt;"AR","",IF(Y681="User Specified", AA681, INDEX('Refrigerant GWPs'!$G$2:$G$154,MATCH(Y681,'Refrigerant GWPs'!$A$2:$A$154,0))))</f>
        <v/>
      </c>
      <c r="DF681" s="146" t="str">
        <f>IF(W681&lt;&gt;"AR","",INDEX('Device Refrigerant Leakage'!$E$2:$E$42,MATCH(X681,'Device Refrigerant Leakage'!$B$2:$B$42,0)))</f>
        <v/>
      </c>
      <c r="DG681" s="146" t="str">
        <f>IF(W681&lt;&gt;"AR","",INDEX('Device Refrigerant Leakage'!$F$2:$F$42,MATCH(X681,'Device Refrigerant Leakage'!$B$2:$B$42,0)))</f>
        <v/>
      </c>
      <c r="DH681" s="146" t="str">
        <f>IF(W681&lt;&gt;"AR","",INDEX('Device Refrigerant Leakage'!$G$2:$G$42,MATCH(X681,'Device Refrigerant Leakage'!$B$2:$B$42,0)))</f>
        <v/>
      </c>
      <c r="DI681" s="146" t="str">
        <f>IF(W681&lt;&gt;"AR","",J681*INDEX('Device Refrigerant Leakage'!$D$2:$D$42,MATCH(X681,'Device Refrigerant Leakage'!$B$2:$B$42,0))*DF681/2204.62*DE681)</f>
        <v/>
      </c>
      <c r="DJ681" s="146" t="str">
        <f>IF(W681&lt;&gt;"AR","",J681*(INDEX('Device Refrigerant Leakage'!$D$2:$D$42,MATCH(X681,'Device Refrigerant Leakage'!$B$2:$B$42,0))-(INDEX('Device Refrigerant Leakage'!$D$2:$D$42,MATCH(X681,'Device Refrigerant Leakage'!$B$2:$B$42,0)))*DH681*DF681)*DG681/2204.62*DE681)</f>
        <v/>
      </c>
      <c r="DK681" s="146" t="str">
        <f>IF(W681&lt;&gt;"AR","",DI681*(K681-AB681)+'Fuel Sub Calcs-Deemed'!DJ681*((K681-AB681)/INDEX('Device Refrigerant Leakage'!$C$2:$C$42,MATCH('Fuel Sub Calcs-Deemed'!X681,'Device Refrigerant Leakage'!$B$2:$B$42,0))))</f>
        <v/>
      </c>
      <c r="DM681" s="56">
        <v>667</v>
      </c>
      <c r="DN681" s="67" t="e">
        <f t="shared" si="806"/>
        <v>#N/A</v>
      </c>
      <c r="DO681" s="45" t="e">
        <f t="shared" si="807"/>
        <v>#N/A</v>
      </c>
      <c r="DP681" s="67" t="e">
        <f t="shared" si="808"/>
        <v>#N/A</v>
      </c>
      <c r="DQ681" s="45" t="e">
        <f t="shared" si="809"/>
        <v>#N/A</v>
      </c>
      <c r="DR681" s="69" t="e">
        <f t="shared" si="810"/>
        <v>#N/A</v>
      </c>
      <c r="DS681" s="34"/>
      <c r="DT681" s="67" t="e">
        <f>((BX681*CJ681)+IF($W681=MAT_AR,(BZ681*CL681),0))*(1+Reference!$E$50+Reference!$E$51)</f>
        <v>#N/A</v>
      </c>
      <c r="DU681" s="67">
        <f>((BY681*CK681)+IF($W681=MAT_AR,(CA681*CM681),0))*(1+Reference!$G$50+Reference!$G$51)</f>
        <v>0</v>
      </c>
      <c r="DV681" s="67" t="e">
        <f t="shared" si="811"/>
        <v>#VALUE!</v>
      </c>
      <c r="DX681" s="56">
        <v>667</v>
      </c>
      <c r="DY681" s="67">
        <f t="shared" si="812"/>
        <v>0</v>
      </c>
      <c r="DZ681" s="45" t="e">
        <f>VLOOKUP($R681,Dropdown!$C$3:$D$4,2,FALSE)</f>
        <v>#N/A</v>
      </c>
      <c r="EA681" s="68">
        <f t="shared" si="813"/>
        <v>0</v>
      </c>
      <c r="EB681" s="68" t="str">
        <f t="shared" si="814"/>
        <v>N/A</v>
      </c>
      <c r="EC681" s="68">
        <f t="shared" si="815"/>
        <v>0</v>
      </c>
      <c r="ED681" s="68" t="str">
        <f t="shared" si="853"/>
        <v>N/A</v>
      </c>
      <c r="EF681" s="56">
        <v>667</v>
      </c>
      <c r="EG681" s="46">
        <f t="shared" si="816"/>
        <v>0</v>
      </c>
      <c r="EH681" s="68" t="e">
        <f t="shared" si="817"/>
        <v>#N/A</v>
      </c>
      <c r="EI681" s="68" t="e">
        <f t="shared" si="818"/>
        <v>#N/A</v>
      </c>
      <c r="EJ681" s="68" t="e">
        <f t="shared" si="819"/>
        <v>#N/A</v>
      </c>
      <c r="EK681" s="68" t="e">
        <f t="shared" si="820"/>
        <v>#N/A</v>
      </c>
      <c r="EL681" s="46">
        <f t="shared" si="821"/>
        <v>0</v>
      </c>
      <c r="EM681" s="46">
        <f t="shared" si="822"/>
        <v>0</v>
      </c>
    </row>
    <row r="682" spans="1:143">
      <c r="A682" s="89"/>
      <c r="B682" s="89"/>
      <c r="C682" s="89"/>
      <c r="D682" s="89"/>
      <c r="E682" s="89"/>
      <c r="F682" s="89"/>
      <c r="G682" s="34"/>
      <c r="H682" s="56">
        <f t="shared" si="823"/>
        <v>668</v>
      </c>
      <c r="I682" s="165"/>
      <c r="J682" s="163"/>
      <c r="K682" s="163"/>
      <c r="L682" s="164"/>
      <c r="M682" s="155"/>
      <c r="N682" s="155"/>
      <c r="O682" s="144"/>
      <c r="P682" s="159" t="str">
        <f>IFERROR(IF(O682&lt;&gt;"User Specified",IF(O682&lt;&gt;"", INDEX('Refrigerant GWPs'!$G$2:$G$154,MATCH(O682,'Refrigerant GWPs'!$A$2:$A$154,0)),""),U682),0)</f>
        <v/>
      </c>
      <c r="Q682" s="155"/>
      <c r="R682" s="155"/>
      <c r="S682" s="144"/>
      <c r="T682" s="159" t="str">
        <f>IF(S682&lt;&gt;"User Specified",IF(AND(S682&lt;&gt;"User Specified",S682&lt;&gt;""), INDEX('Refrigerant GWPs'!$G$2:$G$154,MATCH(S682,'Refrigerant GWPs'!$A$2:$A$154,0)),""),V682)</f>
        <v/>
      </c>
      <c r="U682" s="144"/>
      <c r="V682" s="144"/>
      <c r="W682" s="155"/>
      <c r="X682" s="155"/>
      <c r="Y682" s="144"/>
      <c r="Z682" s="159" t="str">
        <f>IF(AND(Y682&lt;&gt;"User Specified",Y682&lt;&gt;""), INDEX('Refrigerant GWPs'!$G$2:$G$154,MATCH(Y682,'Refrigerant GWPs'!$A$2:$A$154,0)),"")</f>
        <v/>
      </c>
      <c r="AA682" s="155"/>
      <c r="AB682" s="156"/>
      <c r="AC682" s="66"/>
      <c r="AD682" s="66"/>
      <c r="AE682" s="66"/>
      <c r="AF682" s="66"/>
      <c r="AG682" s="66"/>
      <c r="AH682" s="66"/>
      <c r="AI682" s="34"/>
      <c r="AJ682" s="88">
        <f t="shared" si="786"/>
        <v>0</v>
      </c>
      <c r="AK682" s="88">
        <f t="shared" si="787"/>
        <v>0</v>
      </c>
      <c r="AL682" s="88">
        <v>0</v>
      </c>
      <c r="AM682" s="88">
        <v>0</v>
      </c>
      <c r="AN682" s="81" t="str">
        <f t="shared" si="825"/>
        <v/>
      </c>
      <c r="AO682" s="88">
        <f t="shared" si="788"/>
        <v>0</v>
      </c>
      <c r="AP682" s="88">
        <f t="shared" si="789"/>
        <v>0</v>
      </c>
      <c r="AQ682" s="81" t="str">
        <f t="shared" si="790"/>
        <v/>
      </c>
      <c r="AS682" s="41" t="b">
        <f t="shared" si="791"/>
        <v>1</v>
      </c>
      <c r="AT682" s="38">
        <f t="shared" si="792"/>
        <v>0</v>
      </c>
      <c r="AU682" s="60">
        <f t="shared" si="793"/>
        <v>0</v>
      </c>
      <c r="AV682" s="41">
        <f t="shared" si="794"/>
        <v>0</v>
      </c>
      <c r="AW682" s="41" t="b">
        <f t="shared" si="795"/>
        <v>0</v>
      </c>
      <c r="AX682" t="str">
        <f t="shared" si="796"/>
        <v>+00</v>
      </c>
      <c r="AY682" t="str">
        <f t="shared" si="797"/>
        <v>+00</v>
      </c>
      <c r="BA682" s="47" t="b">
        <f t="shared" si="826"/>
        <v>1</v>
      </c>
      <c r="BB682" s="42" t="b">
        <f t="shared" si="827"/>
        <v>1</v>
      </c>
      <c r="BC682" s="42" t="b">
        <f t="shared" si="828"/>
        <v>0</v>
      </c>
      <c r="BD682" s="42" t="b">
        <f t="shared" si="829"/>
        <v>0</v>
      </c>
      <c r="BE682" s="70">
        <f t="shared" si="830"/>
        <v>0</v>
      </c>
      <c r="BF682" s="70">
        <f t="shared" si="831"/>
        <v>0</v>
      </c>
      <c r="BG682" s="34"/>
      <c r="BI682" s="47" t="b">
        <f t="shared" si="832"/>
        <v>1</v>
      </c>
      <c r="BJ682" s="47" t="b">
        <f t="shared" si="833"/>
        <v>1</v>
      </c>
      <c r="BK682" s="42" t="b">
        <f t="shared" si="834"/>
        <v>0</v>
      </c>
      <c r="BL682" s="42" t="b">
        <f t="shared" si="835"/>
        <v>0</v>
      </c>
      <c r="BM682" s="42">
        <f t="shared" si="836"/>
        <v>0</v>
      </c>
      <c r="BN682" s="42">
        <f t="shared" si="837"/>
        <v>0</v>
      </c>
      <c r="BP682" t="e">
        <f t="shared" si="838"/>
        <v>#N/A</v>
      </c>
      <c r="BQ682" t="e">
        <f t="shared" si="839"/>
        <v>#N/A</v>
      </c>
      <c r="BR682" t="e">
        <f t="shared" si="840"/>
        <v>#N/A</v>
      </c>
      <c r="BT682" s="60">
        <f t="shared" si="841"/>
        <v>0</v>
      </c>
      <c r="BU682" s="60">
        <f t="shared" si="842"/>
        <v>0</v>
      </c>
      <c r="BV682" s="60">
        <f t="shared" si="843"/>
        <v>0</v>
      </c>
      <c r="BW682" s="60">
        <f t="shared" si="844"/>
        <v>0</v>
      </c>
      <c r="BX682" s="60">
        <f t="shared" si="845"/>
        <v>0</v>
      </c>
      <c r="BY682" s="60">
        <f t="shared" si="846"/>
        <v>0</v>
      </c>
      <c r="BZ682" s="60">
        <f t="shared" si="847"/>
        <v>0</v>
      </c>
      <c r="CA682" s="60">
        <f t="shared" si="848"/>
        <v>0</v>
      </c>
      <c r="CB682" s="60" t="e">
        <f t="shared" si="798"/>
        <v>#N/A</v>
      </c>
      <c r="CC682" s="60">
        <f t="shared" si="799"/>
        <v>100000</v>
      </c>
      <c r="CD682" s="60" t="e">
        <f t="shared" si="800"/>
        <v>#N/A</v>
      </c>
      <c r="CE682" s="60">
        <f t="shared" si="801"/>
        <v>100000</v>
      </c>
      <c r="CF682" s="83" t="e">
        <f t="shared" si="849"/>
        <v>#N/A</v>
      </c>
      <c r="CG682" s="83">
        <f t="shared" si="850"/>
        <v>0</v>
      </c>
      <c r="CH682" s="83" t="e">
        <f t="shared" si="851"/>
        <v>#N/A</v>
      </c>
      <c r="CI682" s="83">
        <f t="shared" si="852"/>
        <v>0</v>
      </c>
      <c r="CJ682" s="86" t="e">
        <f t="shared" si="802"/>
        <v>#N/A</v>
      </c>
      <c r="CK682" s="82">
        <f t="shared" si="803"/>
        <v>5.3070370403969858E-3</v>
      </c>
      <c r="CL682" s="82" t="e">
        <f t="shared" si="804"/>
        <v>#N/A</v>
      </c>
      <c r="CM682" s="82">
        <f t="shared" si="805"/>
        <v>5.3070370403969858E-3</v>
      </c>
      <c r="CO682" s="149" t="str">
        <f>IF($I682&lt;&gt;"",IF(O682="User Specified",U682,INDEX('Refrigerant GWPs'!$G$2:$G$156,MATCH(O682,'Refrigerant GWPs'!$A$2:$A$156,0))),"")</f>
        <v/>
      </c>
      <c r="CP682" s="138" t="str">
        <f>IF($I682&lt;&gt;"",INDEX('Device Refrigerant Leakage'!$E$2:$E$42,MATCH($M682,'Device Refrigerant Leakage'!$B$2:$B$42,0)),"")</f>
        <v/>
      </c>
      <c r="CQ682" s="138" t="str">
        <f>IF($I682&lt;&gt;"",INDEX('Device Refrigerant Leakage'!$F$2:$F$42,MATCH($M682,'Device Refrigerant Leakage'!$B$2:$B$42,0)),"")</f>
        <v/>
      </c>
      <c r="CR682" s="145" t="str">
        <f>IF($I682&lt;&gt;"",INDEX('Device Refrigerant Leakage'!$G$2:$G$42,MATCH($M682,'Device Refrigerant Leakage'!$B$2:$B$42,0)),"")</f>
        <v/>
      </c>
      <c r="CS682" s="145" t="str">
        <f>IF($I682&lt;&gt;"",INDEX('Device Refrigerant Leakage'!$D$2:$D$42,MATCH($M682,'Device Refrigerant Leakage'!$B$2:$B$42,0))*CP682/2204.62*CO682,"")</f>
        <v/>
      </c>
      <c r="CT682" s="145" t="str">
        <f>IF($I682&lt;&gt;"",J682*(INDEX('Device Refrigerant Leakage'!$D$2:$D$42,MATCH($M682,'Device Refrigerant Leakage'!$B$2:$B$42,0))-(INDEX('Device Refrigerant Leakage'!$D$2:$D$42,MATCH($M682,'Device Refrigerant Leakage'!$B$2:$B$42,0)))*CR682*CP682)*CQ682/2204.62*CO682,"")</f>
        <v/>
      </c>
      <c r="CU682" s="135" t="str">
        <f>IF($I682&lt;&gt;"",J682*IF(W682&lt;&gt;"AR",(CS682*K682)+CT682,(CS682*AB682)+CT682*(AB682/INDEX('Device Refrigerant Leakage'!$C$2:$C$42,MATCH($M682,'Device Refrigerant Leakage'!$B$2:$B$42,0)))),"")</f>
        <v/>
      </c>
      <c r="CW682" s="135" t="str">
        <f>IF($I682&lt;&gt;"",IF(S682="User Specified",V682,INDEX('Refrigerant GWPs'!$G$2:$G$156,MATCH(S682,'Refrigerant GWPs'!$A$2:$A$157,0))),"")</f>
        <v/>
      </c>
      <c r="CX682" s="138" t="str">
        <f>IF($I682&lt;&gt;"",INDEX('Device Refrigerant Leakage'!$E$2:$E$42,MATCH($Q682,'Device Refrigerant Leakage'!$B$2:$B$42,0)),"")</f>
        <v/>
      </c>
      <c r="CY682" s="138" t="str">
        <f>IF($I682&lt;&gt;"",INDEX('Device Refrigerant Leakage'!$F$2:$F$42,MATCH($Q682,'Device Refrigerant Leakage'!$B$2:$B$42,0)),"")</f>
        <v/>
      </c>
      <c r="CZ682" s="145" t="str">
        <f>IF($I682&lt;&gt;"",INDEX('Device Refrigerant Leakage'!$G$2:$G$42,MATCH($Q682,'Device Refrigerant Leakage'!$B$2:$B$42,0)),"")</f>
        <v/>
      </c>
      <c r="DA682" s="145" t="str">
        <f>IF($I682&lt;&gt;"",J682*INDEX('Device Refrigerant Leakage'!$D$2:$D$42,MATCH($Q682,'Device Refrigerant Leakage'!$B$2:$B$42,0))*CX682/2204.62*CW682,"")</f>
        <v/>
      </c>
      <c r="DB682" s="145" t="str">
        <f>IF($I682&lt;&gt;"",J682*(INDEX('Device Refrigerant Leakage'!$D$2:$D$42,MATCH($Q682,'Device Refrigerant Leakage'!$B$2:$B$42,0))-(INDEX('Device Refrigerant Leakage'!$D$2:$D$42,MATCH($Q682,'Device Refrigerant Leakage'!$B$2:$B$42,0)))*CZ682*CX682)*CY682/2204.62*CW682,"")</f>
        <v/>
      </c>
      <c r="DC682" s="135" t="str">
        <f t="shared" si="824"/>
        <v/>
      </c>
      <c r="DE682" s="146" t="str">
        <f>IF(W682&lt;&gt;"AR","",IF(Y682="User Specified", AA682, INDEX('Refrigerant GWPs'!$G$2:$G$154,MATCH(Y682,'Refrigerant GWPs'!$A$2:$A$154,0))))</f>
        <v/>
      </c>
      <c r="DF682" s="146" t="str">
        <f>IF(W682&lt;&gt;"AR","",INDEX('Device Refrigerant Leakage'!$E$2:$E$42,MATCH(X682,'Device Refrigerant Leakage'!$B$2:$B$42,0)))</f>
        <v/>
      </c>
      <c r="DG682" s="146" t="str">
        <f>IF(W682&lt;&gt;"AR","",INDEX('Device Refrigerant Leakage'!$F$2:$F$42,MATCH(X682,'Device Refrigerant Leakage'!$B$2:$B$42,0)))</f>
        <v/>
      </c>
      <c r="DH682" s="146" t="str">
        <f>IF(W682&lt;&gt;"AR","",INDEX('Device Refrigerant Leakage'!$G$2:$G$42,MATCH(X682,'Device Refrigerant Leakage'!$B$2:$B$42,0)))</f>
        <v/>
      </c>
      <c r="DI682" s="146" t="str">
        <f>IF(W682&lt;&gt;"AR","",J682*INDEX('Device Refrigerant Leakage'!$D$2:$D$42,MATCH(X682,'Device Refrigerant Leakage'!$B$2:$B$42,0))*DF682/2204.62*DE682)</f>
        <v/>
      </c>
      <c r="DJ682" s="146" t="str">
        <f>IF(W682&lt;&gt;"AR","",J682*(INDEX('Device Refrigerant Leakage'!$D$2:$D$42,MATCH(X682,'Device Refrigerant Leakage'!$B$2:$B$42,0))-(INDEX('Device Refrigerant Leakage'!$D$2:$D$42,MATCH(X682,'Device Refrigerant Leakage'!$B$2:$B$42,0)))*DH682*DF682)*DG682/2204.62*DE682)</f>
        <v/>
      </c>
      <c r="DK682" s="146" t="str">
        <f>IF(W682&lt;&gt;"AR","",DI682*(K682-AB682)+'Fuel Sub Calcs-Deemed'!DJ682*((K682-AB682)/INDEX('Device Refrigerant Leakage'!$C$2:$C$42,MATCH('Fuel Sub Calcs-Deemed'!X682,'Device Refrigerant Leakage'!$B$2:$B$42,0))))</f>
        <v/>
      </c>
      <c r="DM682" s="56">
        <v>668</v>
      </c>
      <c r="DN682" s="67" t="e">
        <f t="shared" si="806"/>
        <v>#N/A</v>
      </c>
      <c r="DO682" s="45" t="e">
        <f t="shared" si="807"/>
        <v>#N/A</v>
      </c>
      <c r="DP682" s="67" t="e">
        <f t="shared" si="808"/>
        <v>#N/A</v>
      </c>
      <c r="DQ682" s="45" t="e">
        <f t="shared" si="809"/>
        <v>#N/A</v>
      </c>
      <c r="DR682" s="69" t="e">
        <f t="shared" si="810"/>
        <v>#N/A</v>
      </c>
      <c r="DS682" s="34"/>
      <c r="DT682" s="67" t="e">
        <f>((BX682*CJ682)+IF($W682=MAT_AR,(BZ682*CL682),0))*(1+Reference!$E$50+Reference!$E$51)</f>
        <v>#N/A</v>
      </c>
      <c r="DU682" s="67">
        <f>((BY682*CK682)+IF($W682=MAT_AR,(CA682*CM682),0))*(1+Reference!$G$50+Reference!$G$51)</f>
        <v>0</v>
      </c>
      <c r="DV682" s="67" t="e">
        <f t="shared" si="811"/>
        <v>#VALUE!</v>
      </c>
      <c r="DX682" s="56">
        <v>668</v>
      </c>
      <c r="DY682" s="67">
        <f t="shared" si="812"/>
        <v>0</v>
      </c>
      <c r="DZ682" s="45" t="e">
        <f>VLOOKUP($R682,Dropdown!$C$3:$D$4,2,FALSE)</f>
        <v>#N/A</v>
      </c>
      <c r="EA682" s="68">
        <f t="shared" si="813"/>
        <v>0</v>
      </c>
      <c r="EB682" s="68" t="str">
        <f t="shared" si="814"/>
        <v>N/A</v>
      </c>
      <c r="EC682" s="68">
        <f t="shared" si="815"/>
        <v>0</v>
      </c>
      <c r="ED682" s="68" t="str">
        <f t="shared" si="853"/>
        <v>N/A</v>
      </c>
      <c r="EF682" s="56">
        <v>668</v>
      </c>
      <c r="EG682" s="46">
        <f t="shared" si="816"/>
        <v>0</v>
      </c>
      <c r="EH682" s="68" t="e">
        <f t="shared" si="817"/>
        <v>#N/A</v>
      </c>
      <c r="EI682" s="68" t="e">
        <f t="shared" si="818"/>
        <v>#N/A</v>
      </c>
      <c r="EJ682" s="68" t="e">
        <f t="shared" si="819"/>
        <v>#N/A</v>
      </c>
      <c r="EK682" s="68" t="e">
        <f t="shared" si="820"/>
        <v>#N/A</v>
      </c>
      <c r="EL682" s="46">
        <f t="shared" si="821"/>
        <v>0</v>
      </c>
      <c r="EM682" s="46">
        <f t="shared" si="822"/>
        <v>0</v>
      </c>
    </row>
    <row r="683" spans="1:143">
      <c r="A683" s="89"/>
      <c r="B683" s="89"/>
      <c r="C683" s="89"/>
      <c r="D683" s="89"/>
      <c r="E683" s="89"/>
      <c r="F683" s="89"/>
      <c r="G683" s="34"/>
      <c r="H683" s="56">
        <f t="shared" si="823"/>
        <v>669</v>
      </c>
      <c r="I683" s="165"/>
      <c r="J683" s="163"/>
      <c r="K683" s="163"/>
      <c r="L683" s="164"/>
      <c r="M683" s="155"/>
      <c r="N683" s="155"/>
      <c r="O683" s="144"/>
      <c r="P683" s="159" t="str">
        <f>IFERROR(IF(O683&lt;&gt;"User Specified",IF(O683&lt;&gt;"", INDEX('Refrigerant GWPs'!$G$2:$G$154,MATCH(O683,'Refrigerant GWPs'!$A$2:$A$154,0)),""),U683),0)</f>
        <v/>
      </c>
      <c r="Q683" s="155"/>
      <c r="R683" s="155"/>
      <c r="S683" s="144"/>
      <c r="T683" s="159" t="str">
        <f>IF(S683&lt;&gt;"User Specified",IF(AND(S683&lt;&gt;"User Specified",S683&lt;&gt;""), INDEX('Refrigerant GWPs'!$G$2:$G$154,MATCH(S683,'Refrigerant GWPs'!$A$2:$A$154,0)),""),V683)</f>
        <v/>
      </c>
      <c r="U683" s="144"/>
      <c r="V683" s="144"/>
      <c r="W683" s="155"/>
      <c r="X683" s="155"/>
      <c r="Y683" s="144"/>
      <c r="Z683" s="159" t="str">
        <f>IF(AND(Y683&lt;&gt;"User Specified",Y683&lt;&gt;""), INDEX('Refrigerant GWPs'!$G$2:$G$154,MATCH(Y683,'Refrigerant GWPs'!$A$2:$A$154,0)),"")</f>
        <v/>
      </c>
      <c r="AA683" s="155"/>
      <c r="AB683" s="156"/>
      <c r="AC683" s="66"/>
      <c r="AD683" s="66"/>
      <c r="AE683" s="66"/>
      <c r="AF683" s="66"/>
      <c r="AG683" s="66"/>
      <c r="AH683" s="66"/>
      <c r="AI683" s="34"/>
      <c r="AJ683" s="88">
        <f t="shared" si="786"/>
        <v>0</v>
      </c>
      <c r="AK683" s="88">
        <f t="shared" si="787"/>
        <v>0</v>
      </c>
      <c r="AL683" s="88">
        <v>0</v>
      </c>
      <c r="AM683" s="88">
        <v>0</v>
      </c>
      <c r="AN683" s="81" t="str">
        <f t="shared" si="825"/>
        <v/>
      </c>
      <c r="AO683" s="88">
        <f t="shared" si="788"/>
        <v>0</v>
      </c>
      <c r="AP683" s="88">
        <f t="shared" si="789"/>
        <v>0</v>
      </c>
      <c r="AQ683" s="81" t="str">
        <f t="shared" si="790"/>
        <v/>
      </c>
      <c r="AS683" s="41" t="b">
        <f t="shared" si="791"/>
        <v>1</v>
      </c>
      <c r="AT683" s="38">
        <f t="shared" si="792"/>
        <v>0</v>
      </c>
      <c r="AU683" s="60">
        <f t="shared" si="793"/>
        <v>0</v>
      </c>
      <c r="AV683" s="41">
        <f t="shared" si="794"/>
        <v>0</v>
      </c>
      <c r="AW683" s="41" t="b">
        <f t="shared" si="795"/>
        <v>0</v>
      </c>
      <c r="AX683" t="str">
        <f t="shared" si="796"/>
        <v>+00</v>
      </c>
      <c r="AY683" t="str">
        <f t="shared" si="797"/>
        <v>+00</v>
      </c>
      <c r="BA683" s="47" t="b">
        <f t="shared" si="826"/>
        <v>1</v>
      </c>
      <c r="BB683" s="42" t="b">
        <f t="shared" si="827"/>
        <v>1</v>
      </c>
      <c r="BC683" s="42" t="b">
        <f t="shared" si="828"/>
        <v>0</v>
      </c>
      <c r="BD683" s="42" t="b">
        <f t="shared" si="829"/>
        <v>0</v>
      </c>
      <c r="BE683" s="70">
        <f t="shared" si="830"/>
        <v>0</v>
      </c>
      <c r="BF683" s="70">
        <f t="shared" si="831"/>
        <v>0</v>
      </c>
      <c r="BG683" s="34"/>
      <c r="BI683" s="47" t="b">
        <f t="shared" si="832"/>
        <v>1</v>
      </c>
      <c r="BJ683" s="47" t="b">
        <f t="shared" si="833"/>
        <v>1</v>
      </c>
      <c r="BK683" s="42" t="b">
        <f t="shared" si="834"/>
        <v>0</v>
      </c>
      <c r="BL683" s="42" t="b">
        <f t="shared" si="835"/>
        <v>0</v>
      </c>
      <c r="BM683" s="42">
        <f t="shared" si="836"/>
        <v>0</v>
      </c>
      <c r="BN683" s="42">
        <f t="shared" si="837"/>
        <v>0</v>
      </c>
      <c r="BP683" t="e">
        <f t="shared" si="838"/>
        <v>#N/A</v>
      </c>
      <c r="BQ683" t="e">
        <f t="shared" si="839"/>
        <v>#N/A</v>
      </c>
      <c r="BR683" t="e">
        <f t="shared" si="840"/>
        <v>#N/A</v>
      </c>
      <c r="BT683" s="60">
        <f t="shared" si="841"/>
        <v>0</v>
      </c>
      <c r="BU683" s="60">
        <f t="shared" si="842"/>
        <v>0</v>
      </c>
      <c r="BV683" s="60">
        <f t="shared" si="843"/>
        <v>0</v>
      </c>
      <c r="BW683" s="60">
        <f t="shared" si="844"/>
        <v>0</v>
      </c>
      <c r="BX683" s="60">
        <f t="shared" si="845"/>
        <v>0</v>
      </c>
      <c r="BY683" s="60">
        <f t="shared" si="846"/>
        <v>0</v>
      </c>
      <c r="BZ683" s="60">
        <f t="shared" si="847"/>
        <v>0</v>
      </c>
      <c r="CA683" s="60">
        <f t="shared" si="848"/>
        <v>0</v>
      </c>
      <c r="CB683" s="60" t="e">
        <f t="shared" si="798"/>
        <v>#N/A</v>
      </c>
      <c r="CC683" s="60">
        <f t="shared" si="799"/>
        <v>100000</v>
      </c>
      <c r="CD683" s="60" t="e">
        <f t="shared" si="800"/>
        <v>#N/A</v>
      </c>
      <c r="CE683" s="60">
        <f t="shared" si="801"/>
        <v>100000</v>
      </c>
      <c r="CF683" s="83" t="e">
        <f t="shared" si="849"/>
        <v>#N/A</v>
      </c>
      <c r="CG683" s="83">
        <f t="shared" si="850"/>
        <v>0</v>
      </c>
      <c r="CH683" s="83" t="e">
        <f t="shared" si="851"/>
        <v>#N/A</v>
      </c>
      <c r="CI683" s="83">
        <f t="shared" si="852"/>
        <v>0</v>
      </c>
      <c r="CJ683" s="86" t="e">
        <f t="shared" si="802"/>
        <v>#N/A</v>
      </c>
      <c r="CK683" s="82">
        <f t="shared" si="803"/>
        <v>5.3070370403969858E-3</v>
      </c>
      <c r="CL683" s="82" t="e">
        <f t="shared" si="804"/>
        <v>#N/A</v>
      </c>
      <c r="CM683" s="82">
        <f t="shared" si="805"/>
        <v>5.3070370403969858E-3</v>
      </c>
      <c r="CO683" s="149" t="str">
        <f>IF($I683&lt;&gt;"",IF(O683="User Specified",U683,INDEX('Refrigerant GWPs'!$G$2:$G$156,MATCH(O683,'Refrigerant GWPs'!$A$2:$A$156,0))),"")</f>
        <v/>
      </c>
      <c r="CP683" s="138" t="str">
        <f>IF($I683&lt;&gt;"",INDEX('Device Refrigerant Leakage'!$E$2:$E$42,MATCH($M683,'Device Refrigerant Leakage'!$B$2:$B$42,0)),"")</f>
        <v/>
      </c>
      <c r="CQ683" s="138" t="str">
        <f>IF($I683&lt;&gt;"",INDEX('Device Refrigerant Leakage'!$F$2:$F$42,MATCH($M683,'Device Refrigerant Leakage'!$B$2:$B$42,0)),"")</f>
        <v/>
      </c>
      <c r="CR683" s="145" t="str">
        <f>IF($I683&lt;&gt;"",INDEX('Device Refrigerant Leakage'!$G$2:$G$42,MATCH($M683,'Device Refrigerant Leakage'!$B$2:$B$42,0)),"")</f>
        <v/>
      </c>
      <c r="CS683" s="145" t="str">
        <f>IF($I683&lt;&gt;"",INDEX('Device Refrigerant Leakage'!$D$2:$D$42,MATCH($M683,'Device Refrigerant Leakage'!$B$2:$B$42,0))*CP683/2204.62*CO683,"")</f>
        <v/>
      </c>
      <c r="CT683" s="145" t="str">
        <f>IF($I683&lt;&gt;"",J683*(INDEX('Device Refrigerant Leakage'!$D$2:$D$42,MATCH($M683,'Device Refrigerant Leakage'!$B$2:$B$42,0))-(INDEX('Device Refrigerant Leakage'!$D$2:$D$42,MATCH($M683,'Device Refrigerant Leakage'!$B$2:$B$42,0)))*CR683*CP683)*CQ683/2204.62*CO683,"")</f>
        <v/>
      </c>
      <c r="CU683" s="135" t="str">
        <f>IF($I683&lt;&gt;"",J683*IF(W683&lt;&gt;"AR",(CS683*K683)+CT683,(CS683*AB683)+CT683*(AB683/INDEX('Device Refrigerant Leakage'!$C$2:$C$42,MATCH($M683,'Device Refrigerant Leakage'!$B$2:$B$42,0)))),"")</f>
        <v/>
      </c>
      <c r="CW683" s="135" t="str">
        <f>IF($I683&lt;&gt;"",IF(S683="User Specified",V683,INDEX('Refrigerant GWPs'!$G$2:$G$156,MATCH(S683,'Refrigerant GWPs'!$A$2:$A$157,0))),"")</f>
        <v/>
      </c>
      <c r="CX683" s="138" t="str">
        <f>IF($I683&lt;&gt;"",INDEX('Device Refrigerant Leakage'!$E$2:$E$42,MATCH($Q683,'Device Refrigerant Leakage'!$B$2:$B$42,0)),"")</f>
        <v/>
      </c>
      <c r="CY683" s="138" t="str">
        <f>IF($I683&lt;&gt;"",INDEX('Device Refrigerant Leakage'!$F$2:$F$42,MATCH($Q683,'Device Refrigerant Leakage'!$B$2:$B$42,0)),"")</f>
        <v/>
      </c>
      <c r="CZ683" s="145" t="str">
        <f>IF($I683&lt;&gt;"",INDEX('Device Refrigerant Leakage'!$G$2:$G$42,MATCH($Q683,'Device Refrigerant Leakage'!$B$2:$B$42,0)),"")</f>
        <v/>
      </c>
      <c r="DA683" s="145" t="str">
        <f>IF($I683&lt;&gt;"",J683*INDEX('Device Refrigerant Leakage'!$D$2:$D$42,MATCH($Q683,'Device Refrigerant Leakage'!$B$2:$B$42,0))*CX683/2204.62*CW683,"")</f>
        <v/>
      </c>
      <c r="DB683" s="145" t="str">
        <f>IF($I683&lt;&gt;"",J683*(INDEX('Device Refrigerant Leakage'!$D$2:$D$42,MATCH($Q683,'Device Refrigerant Leakage'!$B$2:$B$42,0))-(INDEX('Device Refrigerant Leakage'!$D$2:$D$42,MATCH($Q683,'Device Refrigerant Leakage'!$B$2:$B$42,0)))*CZ683*CX683)*CY683/2204.62*CW683,"")</f>
        <v/>
      </c>
      <c r="DC683" s="135" t="str">
        <f t="shared" si="824"/>
        <v/>
      </c>
      <c r="DE683" s="146" t="str">
        <f>IF(W683&lt;&gt;"AR","",IF(Y683="User Specified", AA683, INDEX('Refrigerant GWPs'!$G$2:$G$154,MATCH(Y683,'Refrigerant GWPs'!$A$2:$A$154,0))))</f>
        <v/>
      </c>
      <c r="DF683" s="146" t="str">
        <f>IF(W683&lt;&gt;"AR","",INDEX('Device Refrigerant Leakage'!$E$2:$E$42,MATCH(X683,'Device Refrigerant Leakage'!$B$2:$B$42,0)))</f>
        <v/>
      </c>
      <c r="DG683" s="146" t="str">
        <f>IF(W683&lt;&gt;"AR","",INDEX('Device Refrigerant Leakage'!$F$2:$F$42,MATCH(X683,'Device Refrigerant Leakage'!$B$2:$B$42,0)))</f>
        <v/>
      </c>
      <c r="DH683" s="146" t="str">
        <f>IF(W683&lt;&gt;"AR","",INDEX('Device Refrigerant Leakage'!$G$2:$G$42,MATCH(X683,'Device Refrigerant Leakage'!$B$2:$B$42,0)))</f>
        <v/>
      </c>
      <c r="DI683" s="146" t="str">
        <f>IF(W683&lt;&gt;"AR","",J683*INDEX('Device Refrigerant Leakage'!$D$2:$D$42,MATCH(X683,'Device Refrigerant Leakage'!$B$2:$B$42,0))*DF683/2204.62*DE683)</f>
        <v/>
      </c>
      <c r="DJ683" s="146" t="str">
        <f>IF(W683&lt;&gt;"AR","",J683*(INDEX('Device Refrigerant Leakage'!$D$2:$D$42,MATCH(X683,'Device Refrigerant Leakage'!$B$2:$B$42,0))-(INDEX('Device Refrigerant Leakage'!$D$2:$D$42,MATCH(X683,'Device Refrigerant Leakage'!$B$2:$B$42,0)))*DH683*DF683)*DG683/2204.62*DE683)</f>
        <v/>
      </c>
      <c r="DK683" s="146" t="str">
        <f>IF(W683&lt;&gt;"AR","",DI683*(K683-AB683)+'Fuel Sub Calcs-Deemed'!DJ683*((K683-AB683)/INDEX('Device Refrigerant Leakage'!$C$2:$C$42,MATCH('Fuel Sub Calcs-Deemed'!X683,'Device Refrigerant Leakage'!$B$2:$B$42,0))))</f>
        <v/>
      </c>
      <c r="DM683" s="56">
        <v>669</v>
      </c>
      <c r="DN683" s="67" t="e">
        <f t="shared" si="806"/>
        <v>#N/A</v>
      </c>
      <c r="DO683" s="45" t="e">
        <f t="shared" si="807"/>
        <v>#N/A</v>
      </c>
      <c r="DP683" s="67" t="e">
        <f t="shared" si="808"/>
        <v>#N/A</v>
      </c>
      <c r="DQ683" s="45" t="e">
        <f t="shared" si="809"/>
        <v>#N/A</v>
      </c>
      <c r="DR683" s="69" t="e">
        <f t="shared" si="810"/>
        <v>#N/A</v>
      </c>
      <c r="DS683" s="34"/>
      <c r="DT683" s="67" t="e">
        <f>((BX683*CJ683)+IF($W683=MAT_AR,(BZ683*CL683),0))*(1+Reference!$E$50+Reference!$E$51)</f>
        <v>#N/A</v>
      </c>
      <c r="DU683" s="67">
        <f>((BY683*CK683)+IF($W683=MAT_AR,(CA683*CM683),0))*(1+Reference!$G$50+Reference!$G$51)</f>
        <v>0</v>
      </c>
      <c r="DV683" s="67" t="e">
        <f t="shared" si="811"/>
        <v>#VALUE!</v>
      </c>
      <c r="DX683" s="56">
        <v>669</v>
      </c>
      <c r="DY683" s="67">
        <f t="shared" si="812"/>
        <v>0</v>
      </c>
      <c r="DZ683" s="45" t="e">
        <f>VLOOKUP($R683,Dropdown!$C$3:$D$4,2,FALSE)</f>
        <v>#N/A</v>
      </c>
      <c r="EA683" s="68">
        <f t="shared" si="813"/>
        <v>0</v>
      </c>
      <c r="EB683" s="68" t="str">
        <f t="shared" si="814"/>
        <v>N/A</v>
      </c>
      <c r="EC683" s="68">
        <f t="shared" si="815"/>
        <v>0</v>
      </c>
      <c r="ED683" s="68" t="str">
        <f t="shared" si="853"/>
        <v>N/A</v>
      </c>
      <c r="EF683" s="56">
        <v>669</v>
      </c>
      <c r="EG683" s="46">
        <f t="shared" si="816"/>
        <v>0</v>
      </c>
      <c r="EH683" s="68" t="e">
        <f t="shared" si="817"/>
        <v>#N/A</v>
      </c>
      <c r="EI683" s="68" t="e">
        <f t="shared" si="818"/>
        <v>#N/A</v>
      </c>
      <c r="EJ683" s="68" t="e">
        <f t="shared" si="819"/>
        <v>#N/A</v>
      </c>
      <c r="EK683" s="68" t="e">
        <f t="shared" si="820"/>
        <v>#N/A</v>
      </c>
      <c r="EL683" s="46">
        <f t="shared" si="821"/>
        <v>0</v>
      </c>
      <c r="EM683" s="46">
        <f t="shared" si="822"/>
        <v>0</v>
      </c>
    </row>
    <row r="684" spans="1:143">
      <c r="A684" s="89"/>
      <c r="B684" s="89"/>
      <c r="C684" s="89"/>
      <c r="D684" s="89"/>
      <c r="E684" s="89"/>
      <c r="F684" s="89"/>
      <c r="G684" s="34"/>
      <c r="H684" s="56">
        <f t="shared" si="823"/>
        <v>670</v>
      </c>
      <c r="I684" s="165"/>
      <c r="J684" s="163"/>
      <c r="K684" s="163"/>
      <c r="L684" s="164"/>
      <c r="M684" s="155"/>
      <c r="N684" s="155"/>
      <c r="O684" s="144"/>
      <c r="P684" s="159" t="str">
        <f>IFERROR(IF(O684&lt;&gt;"User Specified",IF(O684&lt;&gt;"", INDEX('Refrigerant GWPs'!$G$2:$G$154,MATCH(O684,'Refrigerant GWPs'!$A$2:$A$154,0)),""),U684),0)</f>
        <v/>
      </c>
      <c r="Q684" s="155"/>
      <c r="R684" s="155"/>
      <c r="S684" s="144"/>
      <c r="T684" s="159" t="str">
        <f>IF(S684&lt;&gt;"User Specified",IF(AND(S684&lt;&gt;"User Specified",S684&lt;&gt;""), INDEX('Refrigerant GWPs'!$G$2:$G$154,MATCH(S684,'Refrigerant GWPs'!$A$2:$A$154,0)),""),V684)</f>
        <v/>
      </c>
      <c r="U684" s="144"/>
      <c r="V684" s="144"/>
      <c r="W684" s="155"/>
      <c r="X684" s="155"/>
      <c r="Y684" s="144"/>
      <c r="Z684" s="159" t="str">
        <f>IF(AND(Y684&lt;&gt;"User Specified",Y684&lt;&gt;""), INDEX('Refrigerant GWPs'!$G$2:$G$154,MATCH(Y684,'Refrigerant GWPs'!$A$2:$A$154,0)),"")</f>
        <v/>
      </c>
      <c r="AA684" s="155"/>
      <c r="AB684" s="156"/>
      <c r="AC684" s="66"/>
      <c r="AD684" s="66"/>
      <c r="AE684" s="66"/>
      <c r="AF684" s="66"/>
      <c r="AG684" s="66"/>
      <c r="AH684" s="66"/>
      <c r="AI684" s="34"/>
      <c r="AJ684" s="88">
        <f t="shared" si="786"/>
        <v>0</v>
      </c>
      <c r="AK684" s="88">
        <f t="shared" si="787"/>
        <v>0</v>
      </c>
      <c r="AL684" s="88">
        <v>0</v>
      </c>
      <c r="AM684" s="88">
        <v>0</v>
      </c>
      <c r="AN684" s="81" t="str">
        <f t="shared" si="825"/>
        <v/>
      </c>
      <c r="AO684" s="88">
        <f t="shared" si="788"/>
        <v>0</v>
      </c>
      <c r="AP684" s="88">
        <f t="shared" si="789"/>
        <v>0</v>
      </c>
      <c r="AQ684" s="81" t="str">
        <f t="shared" si="790"/>
        <v/>
      </c>
      <c r="AS684" s="41" t="b">
        <f t="shared" si="791"/>
        <v>1</v>
      </c>
      <c r="AT684" s="38">
        <f t="shared" si="792"/>
        <v>0</v>
      </c>
      <c r="AU684" s="60">
        <f t="shared" si="793"/>
        <v>0</v>
      </c>
      <c r="AV684" s="41">
        <f t="shared" si="794"/>
        <v>0</v>
      </c>
      <c r="AW684" s="41" t="b">
        <f t="shared" si="795"/>
        <v>0</v>
      </c>
      <c r="AX684" t="str">
        <f t="shared" si="796"/>
        <v>+00</v>
      </c>
      <c r="AY684" t="str">
        <f t="shared" si="797"/>
        <v>+00</v>
      </c>
      <c r="BA684" s="47" t="b">
        <f t="shared" si="826"/>
        <v>1</v>
      </c>
      <c r="BB684" s="42" t="b">
        <f t="shared" si="827"/>
        <v>1</v>
      </c>
      <c r="BC684" s="42" t="b">
        <f t="shared" si="828"/>
        <v>0</v>
      </c>
      <c r="BD684" s="42" t="b">
        <f t="shared" si="829"/>
        <v>0</v>
      </c>
      <c r="BE684" s="70">
        <f t="shared" si="830"/>
        <v>0</v>
      </c>
      <c r="BF684" s="70">
        <f t="shared" si="831"/>
        <v>0</v>
      </c>
      <c r="BG684" s="34"/>
      <c r="BI684" s="47" t="b">
        <f t="shared" si="832"/>
        <v>1</v>
      </c>
      <c r="BJ684" s="47" t="b">
        <f t="shared" si="833"/>
        <v>1</v>
      </c>
      <c r="BK684" s="42" t="b">
        <f t="shared" si="834"/>
        <v>0</v>
      </c>
      <c r="BL684" s="42" t="b">
        <f t="shared" si="835"/>
        <v>0</v>
      </c>
      <c r="BM684" s="42">
        <f t="shared" si="836"/>
        <v>0</v>
      </c>
      <c r="BN684" s="42">
        <f t="shared" si="837"/>
        <v>0</v>
      </c>
      <c r="BP684" t="e">
        <f t="shared" si="838"/>
        <v>#N/A</v>
      </c>
      <c r="BQ684" t="e">
        <f t="shared" si="839"/>
        <v>#N/A</v>
      </c>
      <c r="BR684" t="e">
        <f t="shared" si="840"/>
        <v>#N/A</v>
      </c>
      <c r="BT684" s="60">
        <f t="shared" si="841"/>
        <v>0</v>
      </c>
      <c r="BU684" s="60">
        <f t="shared" si="842"/>
        <v>0</v>
      </c>
      <c r="BV684" s="60">
        <f t="shared" si="843"/>
        <v>0</v>
      </c>
      <c r="BW684" s="60">
        <f t="shared" si="844"/>
        <v>0</v>
      </c>
      <c r="BX684" s="60">
        <f t="shared" si="845"/>
        <v>0</v>
      </c>
      <c r="BY684" s="60">
        <f t="shared" si="846"/>
        <v>0</v>
      </c>
      <c r="BZ684" s="60">
        <f t="shared" si="847"/>
        <v>0</v>
      </c>
      <c r="CA684" s="60">
        <f t="shared" si="848"/>
        <v>0</v>
      </c>
      <c r="CB684" s="60" t="e">
        <f t="shared" si="798"/>
        <v>#N/A</v>
      </c>
      <c r="CC684" s="60">
        <f t="shared" si="799"/>
        <v>100000</v>
      </c>
      <c r="CD684" s="60" t="e">
        <f t="shared" si="800"/>
        <v>#N/A</v>
      </c>
      <c r="CE684" s="60">
        <f t="shared" si="801"/>
        <v>100000</v>
      </c>
      <c r="CF684" s="83" t="e">
        <f t="shared" si="849"/>
        <v>#N/A</v>
      </c>
      <c r="CG684" s="83">
        <f t="shared" si="850"/>
        <v>0</v>
      </c>
      <c r="CH684" s="83" t="e">
        <f t="shared" si="851"/>
        <v>#N/A</v>
      </c>
      <c r="CI684" s="83">
        <f t="shared" si="852"/>
        <v>0</v>
      </c>
      <c r="CJ684" s="86" t="e">
        <f t="shared" si="802"/>
        <v>#N/A</v>
      </c>
      <c r="CK684" s="82">
        <f t="shared" si="803"/>
        <v>5.3070370403969858E-3</v>
      </c>
      <c r="CL684" s="82" t="e">
        <f t="shared" si="804"/>
        <v>#N/A</v>
      </c>
      <c r="CM684" s="82">
        <f t="shared" si="805"/>
        <v>5.3070370403969858E-3</v>
      </c>
      <c r="CO684" s="149" t="str">
        <f>IF($I684&lt;&gt;"",IF(O684="User Specified",U684,INDEX('Refrigerant GWPs'!$G$2:$G$156,MATCH(O684,'Refrigerant GWPs'!$A$2:$A$156,0))),"")</f>
        <v/>
      </c>
      <c r="CP684" s="138" t="str">
        <f>IF($I684&lt;&gt;"",INDEX('Device Refrigerant Leakage'!$E$2:$E$42,MATCH($M684,'Device Refrigerant Leakage'!$B$2:$B$42,0)),"")</f>
        <v/>
      </c>
      <c r="CQ684" s="138" t="str">
        <f>IF($I684&lt;&gt;"",INDEX('Device Refrigerant Leakage'!$F$2:$F$42,MATCH($M684,'Device Refrigerant Leakage'!$B$2:$B$42,0)),"")</f>
        <v/>
      </c>
      <c r="CR684" s="145" t="str">
        <f>IF($I684&lt;&gt;"",INDEX('Device Refrigerant Leakage'!$G$2:$G$42,MATCH($M684,'Device Refrigerant Leakage'!$B$2:$B$42,0)),"")</f>
        <v/>
      </c>
      <c r="CS684" s="145" t="str">
        <f>IF($I684&lt;&gt;"",INDEX('Device Refrigerant Leakage'!$D$2:$D$42,MATCH($M684,'Device Refrigerant Leakage'!$B$2:$B$42,0))*CP684/2204.62*CO684,"")</f>
        <v/>
      </c>
      <c r="CT684" s="145" t="str">
        <f>IF($I684&lt;&gt;"",J684*(INDEX('Device Refrigerant Leakage'!$D$2:$D$42,MATCH($M684,'Device Refrigerant Leakage'!$B$2:$B$42,0))-(INDEX('Device Refrigerant Leakage'!$D$2:$D$42,MATCH($M684,'Device Refrigerant Leakage'!$B$2:$B$42,0)))*CR684*CP684)*CQ684/2204.62*CO684,"")</f>
        <v/>
      </c>
      <c r="CU684" s="135" t="str">
        <f>IF($I684&lt;&gt;"",J684*IF(W684&lt;&gt;"AR",(CS684*K684)+CT684,(CS684*AB684)+CT684*(AB684/INDEX('Device Refrigerant Leakage'!$C$2:$C$42,MATCH($M684,'Device Refrigerant Leakage'!$B$2:$B$42,0)))),"")</f>
        <v/>
      </c>
      <c r="CW684" s="135" t="str">
        <f>IF($I684&lt;&gt;"",IF(S684="User Specified",V684,INDEX('Refrigerant GWPs'!$G$2:$G$156,MATCH(S684,'Refrigerant GWPs'!$A$2:$A$157,0))),"")</f>
        <v/>
      </c>
      <c r="CX684" s="138" t="str">
        <f>IF($I684&lt;&gt;"",INDEX('Device Refrigerant Leakage'!$E$2:$E$42,MATCH($Q684,'Device Refrigerant Leakage'!$B$2:$B$42,0)),"")</f>
        <v/>
      </c>
      <c r="CY684" s="138" t="str">
        <f>IF($I684&lt;&gt;"",INDEX('Device Refrigerant Leakage'!$F$2:$F$42,MATCH($Q684,'Device Refrigerant Leakage'!$B$2:$B$42,0)),"")</f>
        <v/>
      </c>
      <c r="CZ684" s="145" t="str">
        <f>IF($I684&lt;&gt;"",INDEX('Device Refrigerant Leakage'!$G$2:$G$42,MATCH($Q684,'Device Refrigerant Leakage'!$B$2:$B$42,0)),"")</f>
        <v/>
      </c>
      <c r="DA684" s="145" t="str">
        <f>IF($I684&lt;&gt;"",J684*INDEX('Device Refrigerant Leakage'!$D$2:$D$42,MATCH($Q684,'Device Refrigerant Leakage'!$B$2:$B$42,0))*CX684/2204.62*CW684,"")</f>
        <v/>
      </c>
      <c r="DB684" s="145" t="str">
        <f>IF($I684&lt;&gt;"",J684*(INDEX('Device Refrigerant Leakage'!$D$2:$D$42,MATCH($Q684,'Device Refrigerant Leakage'!$B$2:$B$42,0))-(INDEX('Device Refrigerant Leakage'!$D$2:$D$42,MATCH($Q684,'Device Refrigerant Leakage'!$B$2:$B$42,0)))*CZ684*CX684)*CY684/2204.62*CW684,"")</f>
        <v/>
      </c>
      <c r="DC684" s="135" t="str">
        <f t="shared" si="824"/>
        <v/>
      </c>
      <c r="DE684" s="146" t="str">
        <f>IF(W684&lt;&gt;"AR","",IF(Y684="User Specified", AA684, INDEX('Refrigerant GWPs'!$G$2:$G$154,MATCH(Y684,'Refrigerant GWPs'!$A$2:$A$154,0))))</f>
        <v/>
      </c>
      <c r="DF684" s="146" t="str">
        <f>IF(W684&lt;&gt;"AR","",INDEX('Device Refrigerant Leakage'!$E$2:$E$42,MATCH(X684,'Device Refrigerant Leakage'!$B$2:$B$42,0)))</f>
        <v/>
      </c>
      <c r="DG684" s="146" t="str">
        <f>IF(W684&lt;&gt;"AR","",INDEX('Device Refrigerant Leakage'!$F$2:$F$42,MATCH(X684,'Device Refrigerant Leakage'!$B$2:$B$42,0)))</f>
        <v/>
      </c>
      <c r="DH684" s="146" t="str">
        <f>IF(W684&lt;&gt;"AR","",INDEX('Device Refrigerant Leakage'!$G$2:$G$42,MATCH(X684,'Device Refrigerant Leakage'!$B$2:$B$42,0)))</f>
        <v/>
      </c>
      <c r="DI684" s="146" t="str">
        <f>IF(W684&lt;&gt;"AR","",J684*INDEX('Device Refrigerant Leakage'!$D$2:$D$42,MATCH(X684,'Device Refrigerant Leakage'!$B$2:$B$42,0))*DF684/2204.62*DE684)</f>
        <v/>
      </c>
      <c r="DJ684" s="146" t="str">
        <f>IF(W684&lt;&gt;"AR","",J684*(INDEX('Device Refrigerant Leakage'!$D$2:$D$42,MATCH(X684,'Device Refrigerant Leakage'!$B$2:$B$42,0))-(INDEX('Device Refrigerant Leakage'!$D$2:$D$42,MATCH(X684,'Device Refrigerant Leakage'!$B$2:$B$42,0)))*DH684*DF684)*DG684/2204.62*DE684)</f>
        <v/>
      </c>
      <c r="DK684" s="146" t="str">
        <f>IF(W684&lt;&gt;"AR","",DI684*(K684-AB684)+'Fuel Sub Calcs-Deemed'!DJ684*((K684-AB684)/INDEX('Device Refrigerant Leakage'!$C$2:$C$42,MATCH('Fuel Sub Calcs-Deemed'!X684,'Device Refrigerant Leakage'!$B$2:$B$42,0))))</f>
        <v/>
      </c>
      <c r="DM684" s="56">
        <v>670</v>
      </c>
      <c r="DN684" s="67" t="e">
        <f t="shared" si="806"/>
        <v>#N/A</v>
      </c>
      <c r="DO684" s="45" t="e">
        <f t="shared" si="807"/>
        <v>#N/A</v>
      </c>
      <c r="DP684" s="67" t="e">
        <f t="shared" si="808"/>
        <v>#N/A</v>
      </c>
      <c r="DQ684" s="45" t="e">
        <f t="shared" si="809"/>
        <v>#N/A</v>
      </c>
      <c r="DR684" s="69" t="e">
        <f t="shared" si="810"/>
        <v>#N/A</v>
      </c>
      <c r="DS684" s="34"/>
      <c r="DT684" s="67" t="e">
        <f>((BX684*CJ684)+IF($W684=MAT_AR,(BZ684*CL684),0))*(1+Reference!$E$50+Reference!$E$51)</f>
        <v>#N/A</v>
      </c>
      <c r="DU684" s="67">
        <f>((BY684*CK684)+IF($W684=MAT_AR,(CA684*CM684),0))*(1+Reference!$G$50+Reference!$G$51)</f>
        <v>0</v>
      </c>
      <c r="DV684" s="67" t="e">
        <f t="shared" si="811"/>
        <v>#VALUE!</v>
      </c>
      <c r="DX684" s="56">
        <v>670</v>
      </c>
      <c r="DY684" s="67">
        <f t="shared" si="812"/>
        <v>0</v>
      </c>
      <c r="DZ684" s="45" t="e">
        <f>VLOOKUP($R684,Dropdown!$C$3:$D$4,2,FALSE)</f>
        <v>#N/A</v>
      </c>
      <c r="EA684" s="68">
        <f t="shared" si="813"/>
        <v>0</v>
      </c>
      <c r="EB684" s="68" t="str">
        <f t="shared" si="814"/>
        <v>N/A</v>
      </c>
      <c r="EC684" s="68">
        <f t="shared" si="815"/>
        <v>0</v>
      </c>
      <c r="ED684" s="68" t="str">
        <f t="shared" si="853"/>
        <v>N/A</v>
      </c>
      <c r="EF684" s="56">
        <v>670</v>
      </c>
      <c r="EG684" s="46">
        <f t="shared" si="816"/>
        <v>0</v>
      </c>
      <c r="EH684" s="68" t="e">
        <f t="shared" si="817"/>
        <v>#N/A</v>
      </c>
      <c r="EI684" s="68" t="e">
        <f t="shared" si="818"/>
        <v>#N/A</v>
      </c>
      <c r="EJ684" s="68" t="e">
        <f t="shared" si="819"/>
        <v>#N/A</v>
      </c>
      <c r="EK684" s="68" t="e">
        <f t="shared" si="820"/>
        <v>#N/A</v>
      </c>
      <c r="EL684" s="46">
        <f t="shared" si="821"/>
        <v>0</v>
      </c>
      <c r="EM684" s="46">
        <f t="shared" si="822"/>
        <v>0</v>
      </c>
    </row>
    <row r="685" spans="1:143">
      <c r="A685" s="89"/>
      <c r="B685" s="89"/>
      <c r="C685" s="89"/>
      <c r="D685" s="89"/>
      <c r="E685" s="89"/>
      <c r="F685" s="89"/>
      <c r="G685" s="34"/>
      <c r="H685" s="56">
        <f t="shared" si="823"/>
        <v>671</v>
      </c>
      <c r="I685" s="165"/>
      <c r="J685" s="163"/>
      <c r="K685" s="163"/>
      <c r="L685" s="164"/>
      <c r="M685" s="155"/>
      <c r="N685" s="155"/>
      <c r="O685" s="144"/>
      <c r="P685" s="159" t="str">
        <f>IFERROR(IF(O685&lt;&gt;"User Specified",IF(O685&lt;&gt;"", INDEX('Refrigerant GWPs'!$G$2:$G$154,MATCH(O685,'Refrigerant GWPs'!$A$2:$A$154,0)),""),U685),0)</f>
        <v/>
      </c>
      <c r="Q685" s="155"/>
      <c r="R685" s="155"/>
      <c r="S685" s="144"/>
      <c r="T685" s="159" t="str">
        <f>IF(S685&lt;&gt;"User Specified",IF(AND(S685&lt;&gt;"User Specified",S685&lt;&gt;""), INDEX('Refrigerant GWPs'!$G$2:$G$154,MATCH(S685,'Refrigerant GWPs'!$A$2:$A$154,0)),""),V685)</f>
        <v/>
      </c>
      <c r="U685" s="144"/>
      <c r="V685" s="144"/>
      <c r="W685" s="155"/>
      <c r="X685" s="155"/>
      <c r="Y685" s="144"/>
      <c r="Z685" s="159" t="str">
        <f>IF(AND(Y685&lt;&gt;"User Specified",Y685&lt;&gt;""), INDEX('Refrigerant GWPs'!$G$2:$G$154,MATCH(Y685,'Refrigerant GWPs'!$A$2:$A$154,0)),"")</f>
        <v/>
      </c>
      <c r="AA685" s="155"/>
      <c r="AB685" s="156"/>
      <c r="AC685" s="66"/>
      <c r="AD685" s="66"/>
      <c r="AE685" s="66"/>
      <c r="AF685" s="66"/>
      <c r="AG685" s="66"/>
      <c r="AH685" s="66"/>
      <c r="AI685" s="34"/>
      <c r="AJ685" s="88">
        <f t="shared" si="786"/>
        <v>0</v>
      </c>
      <c r="AK685" s="88">
        <f t="shared" si="787"/>
        <v>0</v>
      </c>
      <c r="AL685" s="88">
        <v>0</v>
      </c>
      <c r="AM685" s="88">
        <v>0</v>
      </c>
      <c r="AN685" s="81" t="str">
        <f t="shared" si="825"/>
        <v/>
      </c>
      <c r="AO685" s="88">
        <f t="shared" si="788"/>
        <v>0</v>
      </c>
      <c r="AP685" s="88">
        <f t="shared" si="789"/>
        <v>0</v>
      </c>
      <c r="AQ685" s="81" t="str">
        <f t="shared" si="790"/>
        <v/>
      </c>
      <c r="AS685" s="41" t="b">
        <f t="shared" si="791"/>
        <v>1</v>
      </c>
      <c r="AT685" s="38">
        <f t="shared" si="792"/>
        <v>0</v>
      </c>
      <c r="AU685" s="60">
        <f t="shared" si="793"/>
        <v>0</v>
      </c>
      <c r="AV685" s="41">
        <f t="shared" si="794"/>
        <v>0</v>
      </c>
      <c r="AW685" s="41" t="b">
        <f t="shared" si="795"/>
        <v>0</v>
      </c>
      <c r="AX685" t="str">
        <f t="shared" si="796"/>
        <v>+00</v>
      </c>
      <c r="AY685" t="str">
        <f t="shared" si="797"/>
        <v>+00</v>
      </c>
      <c r="BA685" s="47" t="b">
        <f t="shared" si="826"/>
        <v>1</v>
      </c>
      <c r="BB685" s="42" t="b">
        <f t="shared" si="827"/>
        <v>1</v>
      </c>
      <c r="BC685" s="42" t="b">
        <f t="shared" si="828"/>
        <v>0</v>
      </c>
      <c r="BD685" s="42" t="b">
        <f t="shared" si="829"/>
        <v>0</v>
      </c>
      <c r="BE685" s="70">
        <f t="shared" si="830"/>
        <v>0</v>
      </c>
      <c r="BF685" s="70">
        <f t="shared" si="831"/>
        <v>0</v>
      </c>
      <c r="BG685" s="34"/>
      <c r="BI685" s="47" t="b">
        <f t="shared" si="832"/>
        <v>1</v>
      </c>
      <c r="BJ685" s="47" t="b">
        <f t="shared" si="833"/>
        <v>1</v>
      </c>
      <c r="BK685" s="42" t="b">
        <f t="shared" si="834"/>
        <v>0</v>
      </c>
      <c r="BL685" s="42" t="b">
        <f t="shared" si="835"/>
        <v>0</v>
      </c>
      <c r="BM685" s="42">
        <f t="shared" si="836"/>
        <v>0</v>
      </c>
      <c r="BN685" s="42">
        <f t="shared" si="837"/>
        <v>0</v>
      </c>
      <c r="BP685" t="e">
        <f t="shared" si="838"/>
        <v>#N/A</v>
      </c>
      <c r="BQ685" t="e">
        <f t="shared" si="839"/>
        <v>#N/A</v>
      </c>
      <c r="BR685" t="e">
        <f t="shared" si="840"/>
        <v>#N/A</v>
      </c>
      <c r="BT685" s="60">
        <f t="shared" si="841"/>
        <v>0</v>
      </c>
      <c r="BU685" s="60">
        <f t="shared" si="842"/>
        <v>0</v>
      </c>
      <c r="BV685" s="60">
        <f t="shared" si="843"/>
        <v>0</v>
      </c>
      <c r="BW685" s="60">
        <f t="shared" si="844"/>
        <v>0</v>
      </c>
      <c r="BX685" s="60">
        <f t="shared" si="845"/>
        <v>0</v>
      </c>
      <c r="BY685" s="60">
        <f t="shared" si="846"/>
        <v>0</v>
      </c>
      <c r="BZ685" s="60">
        <f t="shared" si="847"/>
        <v>0</v>
      </c>
      <c r="CA685" s="60">
        <f t="shared" si="848"/>
        <v>0</v>
      </c>
      <c r="CB685" s="60" t="e">
        <f t="shared" si="798"/>
        <v>#N/A</v>
      </c>
      <c r="CC685" s="60">
        <f t="shared" si="799"/>
        <v>100000</v>
      </c>
      <c r="CD685" s="60" t="e">
        <f t="shared" si="800"/>
        <v>#N/A</v>
      </c>
      <c r="CE685" s="60">
        <f t="shared" si="801"/>
        <v>100000</v>
      </c>
      <c r="CF685" s="83" t="e">
        <f t="shared" si="849"/>
        <v>#N/A</v>
      </c>
      <c r="CG685" s="83">
        <f t="shared" si="850"/>
        <v>0</v>
      </c>
      <c r="CH685" s="83" t="e">
        <f t="shared" si="851"/>
        <v>#N/A</v>
      </c>
      <c r="CI685" s="83">
        <f t="shared" si="852"/>
        <v>0</v>
      </c>
      <c r="CJ685" s="86" t="e">
        <f t="shared" si="802"/>
        <v>#N/A</v>
      </c>
      <c r="CK685" s="82">
        <f t="shared" si="803"/>
        <v>5.3070370403969858E-3</v>
      </c>
      <c r="CL685" s="82" t="e">
        <f t="shared" si="804"/>
        <v>#N/A</v>
      </c>
      <c r="CM685" s="82">
        <f t="shared" si="805"/>
        <v>5.3070370403969858E-3</v>
      </c>
      <c r="CO685" s="149" t="str">
        <f>IF($I685&lt;&gt;"",IF(O685="User Specified",U685,INDEX('Refrigerant GWPs'!$G$2:$G$156,MATCH(O685,'Refrigerant GWPs'!$A$2:$A$156,0))),"")</f>
        <v/>
      </c>
      <c r="CP685" s="138" t="str">
        <f>IF($I685&lt;&gt;"",INDEX('Device Refrigerant Leakage'!$E$2:$E$42,MATCH($M685,'Device Refrigerant Leakage'!$B$2:$B$42,0)),"")</f>
        <v/>
      </c>
      <c r="CQ685" s="138" t="str">
        <f>IF($I685&lt;&gt;"",INDEX('Device Refrigerant Leakage'!$F$2:$F$42,MATCH($M685,'Device Refrigerant Leakage'!$B$2:$B$42,0)),"")</f>
        <v/>
      </c>
      <c r="CR685" s="145" t="str">
        <f>IF($I685&lt;&gt;"",INDEX('Device Refrigerant Leakage'!$G$2:$G$42,MATCH($M685,'Device Refrigerant Leakage'!$B$2:$B$42,0)),"")</f>
        <v/>
      </c>
      <c r="CS685" s="145" t="str">
        <f>IF($I685&lt;&gt;"",INDEX('Device Refrigerant Leakage'!$D$2:$D$42,MATCH($M685,'Device Refrigerant Leakage'!$B$2:$B$42,0))*CP685/2204.62*CO685,"")</f>
        <v/>
      </c>
      <c r="CT685" s="145" t="str">
        <f>IF($I685&lt;&gt;"",J685*(INDEX('Device Refrigerant Leakage'!$D$2:$D$42,MATCH($M685,'Device Refrigerant Leakage'!$B$2:$B$42,0))-(INDEX('Device Refrigerant Leakage'!$D$2:$D$42,MATCH($M685,'Device Refrigerant Leakage'!$B$2:$B$42,0)))*CR685*CP685)*CQ685/2204.62*CO685,"")</f>
        <v/>
      </c>
      <c r="CU685" s="135" t="str">
        <f>IF($I685&lt;&gt;"",J685*IF(W685&lt;&gt;"AR",(CS685*K685)+CT685,(CS685*AB685)+CT685*(AB685/INDEX('Device Refrigerant Leakage'!$C$2:$C$42,MATCH($M685,'Device Refrigerant Leakage'!$B$2:$B$42,0)))),"")</f>
        <v/>
      </c>
      <c r="CW685" s="135" t="str">
        <f>IF($I685&lt;&gt;"",IF(S685="User Specified",V685,INDEX('Refrigerant GWPs'!$G$2:$G$156,MATCH(S685,'Refrigerant GWPs'!$A$2:$A$157,0))),"")</f>
        <v/>
      </c>
      <c r="CX685" s="138" t="str">
        <f>IF($I685&lt;&gt;"",INDEX('Device Refrigerant Leakage'!$E$2:$E$42,MATCH($Q685,'Device Refrigerant Leakage'!$B$2:$B$42,0)),"")</f>
        <v/>
      </c>
      <c r="CY685" s="138" t="str">
        <f>IF($I685&lt;&gt;"",INDEX('Device Refrigerant Leakage'!$F$2:$F$42,MATCH($Q685,'Device Refrigerant Leakage'!$B$2:$B$42,0)),"")</f>
        <v/>
      </c>
      <c r="CZ685" s="145" t="str">
        <f>IF($I685&lt;&gt;"",INDEX('Device Refrigerant Leakage'!$G$2:$G$42,MATCH($Q685,'Device Refrigerant Leakage'!$B$2:$B$42,0)),"")</f>
        <v/>
      </c>
      <c r="DA685" s="145" t="str">
        <f>IF($I685&lt;&gt;"",J685*INDEX('Device Refrigerant Leakage'!$D$2:$D$42,MATCH($Q685,'Device Refrigerant Leakage'!$B$2:$B$42,0))*CX685/2204.62*CW685,"")</f>
        <v/>
      </c>
      <c r="DB685" s="145" t="str">
        <f>IF($I685&lt;&gt;"",J685*(INDEX('Device Refrigerant Leakage'!$D$2:$D$42,MATCH($Q685,'Device Refrigerant Leakage'!$B$2:$B$42,0))-(INDEX('Device Refrigerant Leakage'!$D$2:$D$42,MATCH($Q685,'Device Refrigerant Leakage'!$B$2:$B$42,0)))*CZ685*CX685)*CY685/2204.62*CW685,"")</f>
        <v/>
      </c>
      <c r="DC685" s="135" t="str">
        <f t="shared" si="824"/>
        <v/>
      </c>
      <c r="DE685" s="146" t="str">
        <f>IF(W685&lt;&gt;"AR","",IF(Y685="User Specified", AA685, INDEX('Refrigerant GWPs'!$G$2:$G$154,MATCH(Y685,'Refrigerant GWPs'!$A$2:$A$154,0))))</f>
        <v/>
      </c>
      <c r="DF685" s="146" t="str">
        <f>IF(W685&lt;&gt;"AR","",INDEX('Device Refrigerant Leakage'!$E$2:$E$42,MATCH(X685,'Device Refrigerant Leakage'!$B$2:$B$42,0)))</f>
        <v/>
      </c>
      <c r="DG685" s="146" t="str">
        <f>IF(W685&lt;&gt;"AR","",INDEX('Device Refrigerant Leakage'!$F$2:$F$42,MATCH(X685,'Device Refrigerant Leakage'!$B$2:$B$42,0)))</f>
        <v/>
      </c>
      <c r="DH685" s="146" t="str">
        <f>IF(W685&lt;&gt;"AR","",INDEX('Device Refrigerant Leakage'!$G$2:$G$42,MATCH(X685,'Device Refrigerant Leakage'!$B$2:$B$42,0)))</f>
        <v/>
      </c>
      <c r="DI685" s="146" t="str">
        <f>IF(W685&lt;&gt;"AR","",J685*INDEX('Device Refrigerant Leakage'!$D$2:$D$42,MATCH(X685,'Device Refrigerant Leakage'!$B$2:$B$42,0))*DF685/2204.62*DE685)</f>
        <v/>
      </c>
      <c r="DJ685" s="146" t="str">
        <f>IF(W685&lt;&gt;"AR","",J685*(INDEX('Device Refrigerant Leakage'!$D$2:$D$42,MATCH(X685,'Device Refrigerant Leakage'!$B$2:$B$42,0))-(INDEX('Device Refrigerant Leakage'!$D$2:$D$42,MATCH(X685,'Device Refrigerant Leakage'!$B$2:$B$42,0)))*DH685*DF685)*DG685/2204.62*DE685)</f>
        <v/>
      </c>
      <c r="DK685" s="146" t="str">
        <f>IF(W685&lt;&gt;"AR","",DI685*(K685-AB685)+'Fuel Sub Calcs-Deemed'!DJ685*((K685-AB685)/INDEX('Device Refrigerant Leakage'!$C$2:$C$42,MATCH('Fuel Sub Calcs-Deemed'!X685,'Device Refrigerant Leakage'!$B$2:$B$42,0))))</f>
        <v/>
      </c>
      <c r="DM685" s="56">
        <v>671</v>
      </c>
      <c r="DN685" s="67" t="e">
        <f t="shared" si="806"/>
        <v>#N/A</v>
      </c>
      <c r="DO685" s="45" t="e">
        <f t="shared" si="807"/>
        <v>#N/A</v>
      </c>
      <c r="DP685" s="67" t="e">
        <f t="shared" si="808"/>
        <v>#N/A</v>
      </c>
      <c r="DQ685" s="45" t="e">
        <f t="shared" si="809"/>
        <v>#N/A</v>
      </c>
      <c r="DR685" s="69" t="e">
        <f t="shared" si="810"/>
        <v>#N/A</v>
      </c>
      <c r="DS685" s="34"/>
      <c r="DT685" s="67" t="e">
        <f>((BX685*CJ685)+IF($W685=MAT_AR,(BZ685*CL685),0))*(1+Reference!$E$50+Reference!$E$51)</f>
        <v>#N/A</v>
      </c>
      <c r="DU685" s="67">
        <f>((BY685*CK685)+IF($W685=MAT_AR,(CA685*CM685),0))*(1+Reference!$G$50+Reference!$G$51)</f>
        <v>0</v>
      </c>
      <c r="DV685" s="67" t="e">
        <f t="shared" si="811"/>
        <v>#VALUE!</v>
      </c>
      <c r="DX685" s="56">
        <v>671</v>
      </c>
      <c r="DY685" s="67">
        <f t="shared" si="812"/>
        <v>0</v>
      </c>
      <c r="DZ685" s="45" t="e">
        <f>VLOOKUP($R685,Dropdown!$C$3:$D$4,2,FALSE)</f>
        <v>#N/A</v>
      </c>
      <c r="EA685" s="68">
        <f t="shared" si="813"/>
        <v>0</v>
      </c>
      <c r="EB685" s="68" t="str">
        <f t="shared" si="814"/>
        <v>N/A</v>
      </c>
      <c r="EC685" s="68">
        <f t="shared" si="815"/>
        <v>0</v>
      </c>
      <c r="ED685" s="68" t="str">
        <f t="shared" si="853"/>
        <v>N/A</v>
      </c>
      <c r="EF685" s="56">
        <v>671</v>
      </c>
      <c r="EG685" s="46">
        <f t="shared" si="816"/>
        <v>0</v>
      </c>
      <c r="EH685" s="68" t="e">
        <f t="shared" si="817"/>
        <v>#N/A</v>
      </c>
      <c r="EI685" s="68" t="e">
        <f t="shared" si="818"/>
        <v>#N/A</v>
      </c>
      <c r="EJ685" s="68" t="e">
        <f t="shared" si="819"/>
        <v>#N/A</v>
      </c>
      <c r="EK685" s="68" t="e">
        <f t="shared" si="820"/>
        <v>#N/A</v>
      </c>
      <c r="EL685" s="46">
        <f t="shared" si="821"/>
        <v>0</v>
      </c>
      <c r="EM685" s="46">
        <f t="shared" si="822"/>
        <v>0</v>
      </c>
    </row>
    <row r="686" spans="1:143">
      <c r="A686" s="89"/>
      <c r="B686" s="89"/>
      <c r="C686" s="89"/>
      <c r="D686" s="89"/>
      <c r="E686" s="89"/>
      <c r="F686" s="89"/>
      <c r="G686" s="34"/>
      <c r="H686" s="56">
        <f t="shared" si="823"/>
        <v>672</v>
      </c>
      <c r="I686" s="165"/>
      <c r="J686" s="163"/>
      <c r="K686" s="163"/>
      <c r="L686" s="164"/>
      <c r="M686" s="155"/>
      <c r="N686" s="155"/>
      <c r="O686" s="144"/>
      <c r="P686" s="159" t="str">
        <f>IFERROR(IF(O686&lt;&gt;"User Specified",IF(O686&lt;&gt;"", INDEX('Refrigerant GWPs'!$G$2:$G$154,MATCH(O686,'Refrigerant GWPs'!$A$2:$A$154,0)),""),U686),0)</f>
        <v/>
      </c>
      <c r="Q686" s="155"/>
      <c r="R686" s="155"/>
      <c r="S686" s="144"/>
      <c r="T686" s="159" t="str">
        <f>IF(S686&lt;&gt;"User Specified",IF(AND(S686&lt;&gt;"User Specified",S686&lt;&gt;""), INDEX('Refrigerant GWPs'!$G$2:$G$154,MATCH(S686,'Refrigerant GWPs'!$A$2:$A$154,0)),""),V686)</f>
        <v/>
      </c>
      <c r="U686" s="144"/>
      <c r="V686" s="144"/>
      <c r="W686" s="155"/>
      <c r="X686" s="155"/>
      <c r="Y686" s="144"/>
      <c r="Z686" s="159" t="str">
        <f>IF(AND(Y686&lt;&gt;"User Specified",Y686&lt;&gt;""), INDEX('Refrigerant GWPs'!$G$2:$G$154,MATCH(Y686,'Refrigerant GWPs'!$A$2:$A$154,0)),"")</f>
        <v/>
      </c>
      <c r="AA686" s="155"/>
      <c r="AB686" s="156"/>
      <c r="AC686" s="66"/>
      <c r="AD686" s="66"/>
      <c r="AE686" s="66"/>
      <c r="AF686" s="66"/>
      <c r="AG686" s="66"/>
      <c r="AH686" s="66"/>
      <c r="AI686" s="34"/>
      <c r="AJ686" s="88">
        <f t="shared" si="786"/>
        <v>0</v>
      </c>
      <c r="AK686" s="88">
        <f t="shared" si="787"/>
        <v>0</v>
      </c>
      <c r="AL686" s="88">
        <v>0</v>
      </c>
      <c r="AM686" s="88">
        <v>0</v>
      </c>
      <c r="AN686" s="81" t="str">
        <f t="shared" si="825"/>
        <v/>
      </c>
      <c r="AO686" s="88">
        <f t="shared" si="788"/>
        <v>0</v>
      </c>
      <c r="AP686" s="88">
        <f t="shared" si="789"/>
        <v>0</v>
      </c>
      <c r="AQ686" s="81" t="str">
        <f t="shared" si="790"/>
        <v/>
      </c>
      <c r="AS686" s="41" t="b">
        <f t="shared" si="791"/>
        <v>1</v>
      </c>
      <c r="AT686" s="38">
        <f t="shared" si="792"/>
        <v>0</v>
      </c>
      <c r="AU686" s="60">
        <f t="shared" si="793"/>
        <v>0</v>
      </c>
      <c r="AV686" s="41">
        <f t="shared" si="794"/>
        <v>0</v>
      </c>
      <c r="AW686" s="41" t="b">
        <f t="shared" si="795"/>
        <v>0</v>
      </c>
      <c r="AX686" t="str">
        <f t="shared" si="796"/>
        <v>+00</v>
      </c>
      <c r="AY686" t="str">
        <f t="shared" si="797"/>
        <v>+00</v>
      </c>
      <c r="BA686" s="47" t="b">
        <f t="shared" si="826"/>
        <v>1</v>
      </c>
      <c r="BB686" s="42" t="b">
        <f t="shared" si="827"/>
        <v>1</v>
      </c>
      <c r="BC686" s="42" t="b">
        <f t="shared" si="828"/>
        <v>0</v>
      </c>
      <c r="BD686" s="42" t="b">
        <f t="shared" si="829"/>
        <v>0</v>
      </c>
      <c r="BE686" s="70">
        <f t="shared" si="830"/>
        <v>0</v>
      </c>
      <c r="BF686" s="70">
        <f t="shared" si="831"/>
        <v>0</v>
      </c>
      <c r="BG686" s="34"/>
      <c r="BI686" s="47" t="b">
        <f t="shared" si="832"/>
        <v>1</v>
      </c>
      <c r="BJ686" s="47" t="b">
        <f t="shared" si="833"/>
        <v>1</v>
      </c>
      <c r="BK686" s="42" t="b">
        <f t="shared" si="834"/>
        <v>0</v>
      </c>
      <c r="BL686" s="42" t="b">
        <f t="shared" si="835"/>
        <v>0</v>
      </c>
      <c r="BM686" s="42">
        <f t="shared" si="836"/>
        <v>0</v>
      </c>
      <c r="BN686" s="42">
        <f t="shared" si="837"/>
        <v>0</v>
      </c>
      <c r="BP686" t="e">
        <f t="shared" si="838"/>
        <v>#N/A</v>
      </c>
      <c r="BQ686" t="e">
        <f t="shared" si="839"/>
        <v>#N/A</v>
      </c>
      <c r="BR686" t="e">
        <f t="shared" si="840"/>
        <v>#N/A</v>
      </c>
      <c r="BT686" s="60">
        <f t="shared" si="841"/>
        <v>0</v>
      </c>
      <c r="BU686" s="60">
        <f t="shared" si="842"/>
        <v>0</v>
      </c>
      <c r="BV686" s="60">
        <f t="shared" si="843"/>
        <v>0</v>
      </c>
      <c r="BW686" s="60">
        <f t="shared" si="844"/>
        <v>0</v>
      </c>
      <c r="BX686" s="60">
        <f t="shared" si="845"/>
        <v>0</v>
      </c>
      <c r="BY686" s="60">
        <f t="shared" si="846"/>
        <v>0</v>
      </c>
      <c r="BZ686" s="60">
        <f t="shared" si="847"/>
        <v>0</v>
      </c>
      <c r="CA686" s="60">
        <f t="shared" si="848"/>
        <v>0</v>
      </c>
      <c r="CB686" s="60" t="e">
        <f t="shared" si="798"/>
        <v>#N/A</v>
      </c>
      <c r="CC686" s="60">
        <f t="shared" si="799"/>
        <v>100000</v>
      </c>
      <c r="CD686" s="60" t="e">
        <f t="shared" si="800"/>
        <v>#N/A</v>
      </c>
      <c r="CE686" s="60">
        <f t="shared" si="801"/>
        <v>100000</v>
      </c>
      <c r="CF686" s="83" t="e">
        <f t="shared" si="849"/>
        <v>#N/A</v>
      </c>
      <c r="CG686" s="83">
        <f t="shared" si="850"/>
        <v>0</v>
      </c>
      <c r="CH686" s="83" t="e">
        <f t="shared" si="851"/>
        <v>#N/A</v>
      </c>
      <c r="CI686" s="83">
        <f t="shared" si="852"/>
        <v>0</v>
      </c>
      <c r="CJ686" s="86" t="e">
        <f t="shared" si="802"/>
        <v>#N/A</v>
      </c>
      <c r="CK686" s="82">
        <f t="shared" si="803"/>
        <v>5.3070370403969858E-3</v>
      </c>
      <c r="CL686" s="82" t="e">
        <f t="shared" si="804"/>
        <v>#N/A</v>
      </c>
      <c r="CM686" s="82">
        <f t="shared" si="805"/>
        <v>5.3070370403969858E-3</v>
      </c>
      <c r="CO686" s="149" t="str">
        <f>IF($I686&lt;&gt;"",IF(O686="User Specified",U686,INDEX('Refrigerant GWPs'!$G$2:$G$156,MATCH(O686,'Refrigerant GWPs'!$A$2:$A$156,0))),"")</f>
        <v/>
      </c>
      <c r="CP686" s="138" t="str">
        <f>IF($I686&lt;&gt;"",INDEX('Device Refrigerant Leakage'!$E$2:$E$42,MATCH($M686,'Device Refrigerant Leakage'!$B$2:$B$42,0)),"")</f>
        <v/>
      </c>
      <c r="CQ686" s="138" t="str">
        <f>IF($I686&lt;&gt;"",INDEX('Device Refrigerant Leakage'!$F$2:$F$42,MATCH($M686,'Device Refrigerant Leakage'!$B$2:$B$42,0)),"")</f>
        <v/>
      </c>
      <c r="CR686" s="145" t="str">
        <f>IF($I686&lt;&gt;"",INDEX('Device Refrigerant Leakage'!$G$2:$G$42,MATCH($M686,'Device Refrigerant Leakage'!$B$2:$B$42,0)),"")</f>
        <v/>
      </c>
      <c r="CS686" s="145" t="str">
        <f>IF($I686&lt;&gt;"",INDEX('Device Refrigerant Leakage'!$D$2:$D$42,MATCH($M686,'Device Refrigerant Leakage'!$B$2:$B$42,0))*CP686/2204.62*CO686,"")</f>
        <v/>
      </c>
      <c r="CT686" s="145" t="str">
        <f>IF($I686&lt;&gt;"",J686*(INDEX('Device Refrigerant Leakage'!$D$2:$D$42,MATCH($M686,'Device Refrigerant Leakage'!$B$2:$B$42,0))-(INDEX('Device Refrigerant Leakage'!$D$2:$D$42,MATCH($M686,'Device Refrigerant Leakage'!$B$2:$B$42,0)))*CR686*CP686)*CQ686/2204.62*CO686,"")</f>
        <v/>
      </c>
      <c r="CU686" s="135" t="str">
        <f>IF($I686&lt;&gt;"",J686*IF(W686&lt;&gt;"AR",(CS686*K686)+CT686,(CS686*AB686)+CT686*(AB686/INDEX('Device Refrigerant Leakage'!$C$2:$C$42,MATCH($M686,'Device Refrigerant Leakage'!$B$2:$B$42,0)))),"")</f>
        <v/>
      </c>
      <c r="CW686" s="135" t="str">
        <f>IF($I686&lt;&gt;"",IF(S686="User Specified",V686,INDEX('Refrigerant GWPs'!$G$2:$G$156,MATCH(S686,'Refrigerant GWPs'!$A$2:$A$157,0))),"")</f>
        <v/>
      </c>
      <c r="CX686" s="138" t="str">
        <f>IF($I686&lt;&gt;"",INDEX('Device Refrigerant Leakage'!$E$2:$E$42,MATCH($Q686,'Device Refrigerant Leakage'!$B$2:$B$42,0)),"")</f>
        <v/>
      </c>
      <c r="CY686" s="138" t="str">
        <f>IF($I686&lt;&gt;"",INDEX('Device Refrigerant Leakage'!$F$2:$F$42,MATCH($Q686,'Device Refrigerant Leakage'!$B$2:$B$42,0)),"")</f>
        <v/>
      </c>
      <c r="CZ686" s="145" t="str">
        <f>IF($I686&lt;&gt;"",INDEX('Device Refrigerant Leakage'!$G$2:$G$42,MATCH($Q686,'Device Refrigerant Leakage'!$B$2:$B$42,0)),"")</f>
        <v/>
      </c>
      <c r="DA686" s="145" t="str">
        <f>IF($I686&lt;&gt;"",J686*INDEX('Device Refrigerant Leakage'!$D$2:$D$42,MATCH($Q686,'Device Refrigerant Leakage'!$B$2:$B$42,0))*CX686/2204.62*CW686,"")</f>
        <v/>
      </c>
      <c r="DB686" s="145" t="str">
        <f>IF($I686&lt;&gt;"",J686*(INDEX('Device Refrigerant Leakage'!$D$2:$D$42,MATCH($Q686,'Device Refrigerant Leakage'!$B$2:$B$42,0))-(INDEX('Device Refrigerant Leakage'!$D$2:$D$42,MATCH($Q686,'Device Refrigerant Leakage'!$B$2:$B$42,0)))*CZ686*CX686)*CY686/2204.62*CW686,"")</f>
        <v/>
      </c>
      <c r="DC686" s="135" t="str">
        <f t="shared" si="824"/>
        <v/>
      </c>
      <c r="DE686" s="146" t="str">
        <f>IF(W686&lt;&gt;"AR","",IF(Y686="User Specified", AA686, INDEX('Refrigerant GWPs'!$G$2:$G$154,MATCH(Y686,'Refrigerant GWPs'!$A$2:$A$154,0))))</f>
        <v/>
      </c>
      <c r="DF686" s="146" t="str">
        <f>IF(W686&lt;&gt;"AR","",INDEX('Device Refrigerant Leakage'!$E$2:$E$42,MATCH(X686,'Device Refrigerant Leakage'!$B$2:$B$42,0)))</f>
        <v/>
      </c>
      <c r="DG686" s="146" t="str">
        <f>IF(W686&lt;&gt;"AR","",INDEX('Device Refrigerant Leakage'!$F$2:$F$42,MATCH(X686,'Device Refrigerant Leakage'!$B$2:$B$42,0)))</f>
        <v/>
      </c>
      <c r="DH686" s="146" t="str">
        <f>IF(W686&lt;&gt;"AR","",INDEX('Device Refrigerant Leakage'!$G$2:$G$42,MATCH(X686,'Device Refrigerant Leakage'!$B$2:$B$42,0)))</f>
        <v/>
      </c>
      <c r="DI686" s="146" t="str">
        <f>IF(W686&lt;&gt;"AR","",J686*INDEX('Device Refrigerant Leakage'!$D$2:$D$42,MATCH(X686,'Device Refrigerant Leakage'!$B$2:$B$42,0))*DF686/2204.62*DE686)</f>
        <v/>
      </c>
      <c r="DJ686" s="146" t="str">
        <f>IF(W686&lt;&gt;"AR","",J686*(INDEX('Device Refrigerant Leakage'!$D$2:$D$42,MATCH(X686,'Device Refrigerant Leakage'!$B$2:$B$42,0))-(INDEX('Device Refrigerant Leakage'!$D$2:$D$42,MATCH(X686,'Device Refrigerant Leakage'!$B$2:$B$42,0)))*DH686*DF686)*DG686/2204.62*DE686)</f>
        <v/>
      </c>
      <c r="DK686" s="146" t="str">
        <f>IF(W686&lt;&gt;"AR","",DI686*(K686-AB686)+'Fuel Sub Calcs-Deemed'!DJ686*((K686-AB686)/INDEX('Device Refrigerant Leakage'!$C$2:$C$42,MATCH('Fuel Sub Calcs-Deemed'!X686,'Device Refrigerant Leakage'!$B$2:$B$42,0))))</f>
        <v/>
      </c>
      <c r="DM686" s="56">
        <v>672</v>
      </c>
      <c r="DN686" s="67" t="e">
        <f t="shared" si="806"/>
        <v>#N/A</v>
      </c>
      <c r="DO686" s="45" t="e">
        <f t="shared" si="807"/>
        <v>#N/A</v>
      </c>
      <c r="DP686" s="67" t="e">
        <f t="shared" si="808"/>
        <v>#N/A</v>
      </c>
      <c r="DQ686" s="45" t="e">
        <f t="shared" si="809"/>
        <v>#N/A</v>
      </c>
      <c r="DR686" s="69" t="e">
        <f t="shared" si="810"/>
        <v>#N/A</v>
      </c>
      <c r="DS686" s="34"/>
      <c r="DT686" s="67" t="e">
        <f>((BX686*CJ686)+IF($W686=MAT_AR,(BZ686*CL686),0))*(1+Reference!$E$50+Reference!$E$51)</f>
        <v>#N/A</v>
      </c>
      <c r="DU686" s="67">
        <f>((BY686*CK686)+IF($W686=MAT_AR,(CA686*CM686),0))*(1+Reference!$G$50+Reference!$G$51)</f>
        <v>0</v>
      </c>
      <c r="DV686" s="67" t="e">
        <f t="shared" si="811"/>
        <v>#VALUE!</v>
      </c>
      <c r="DX686" s="56">
        <v>672</v>
      </c>
      <c r="DY686" s="67">
        <f t="shared" si="812"/>
        <v>0</v>
      </c>
      <c r="DZ686" s="45" t="e">
        <f>VLOOKUP($R686,Dropdown!$C$3:$D$4,2,FALSE)</f>
        <v>#N/A</v>
      </c>
      <c r="EA686" s="68">
        <f t="shared" si="813"/>
        <v>0</v>
      </c>
      <c r="EB686" s="68" t="str">
        <f t="shared" si="814"/>
        <v>N/A</v>
      </c>
      <c r="EC686" s="68">
        <f t="shared" si="815"/>
        <v>0</v>
      </c>
      <c r="ED686" s="68" t="str">
        <f t="shared" si="853"/>
        <v>N/A</v>
      </c>
      <c r="EF686" s="56">
        <v>672</v>
      </c>
      <c r="EG686" s="46">
        <f t="shared" si="816"/>
        <v>0</v>
      </c>
      <c r="EH686" s="68" t="e">
        <f t="shared" si="817"/>
        <v>#N/A</v>
      </c>
      <c r="EI686" s="68" t="e">
        <f t="shared" si="818"/>
        <v>#N/A</v>
      </c>
      <c r="EJ686" s="68" t="e">
        <f t="shared" si="819"/>
        <v>#N/A</v>
      </c>
      <c r="EK686" s="68" t="e">
        <f t="shared" si="820"/>
        <v>#N/A</v>
      </c>
      <c r="EL686" s="46">
        <f t="shared" si="821"/>
        <v>0</v>
      </c>
      <c r="EM686" s="46">
        <f t="shared" si="822"/>
        <v>0</v>
      </c>
    </row>
    <row r="687" spans="1:143">
      <c r="A687" s="89"/>
      <c r="B687" s="89"/>
      <c r="C687" s="89"/>
      <c r="D687" s="89"/>
      <c r="E687" s="89"/>
      <c r="F687" s="89"/>
      <c r="G687" s="34"/>
      <c r="H687" s="56">
        <f t="shared" si="823"/>
        <v>673</v>
      </c>
      <c r="I687" s="165"/>
      <c r="J687" s="163"/>
      <c r="K687" s="163"/>
      <c r="L687" s="164"/>
      <c r="M687" s="155"/>
      <c r="N687" s="155"/>
      <c r="O687" s="144"/>
      <c r="P687" s="159" t="str">
        <f>IFERROR(IF(O687&lt;&gt;"User Specified",IF(O687&lt;&gt;"", INDEX('Refrigerant GWPs'!$G$2:$G$154,MATCH(O687,'Refrigerant GWPs'!$A$2:$A$154,0)),""),U687),0)</f>
        <v/>
      </c>
      <c r="Q687" s="155"/>
      <c r="R687" s="155"/>
      <c r="S687" s="144"/>
      <c r="T687" s="159" t="str">
        <f>IF(S687&lt;&gt;"User Specified",IF(AND(S687&lt;&gt;"User Specified",S687&lt;&gt;""), INDEX('Refrigerant GWPs'!$G$2:$G$154,MATCH(S687,'Refrigerant GWPs'!$A$2:$A$154,0)),""),V687)</f>
        <v/>
      </c>
      <c r="U687" s="144"/>
      <c r="V687" s="144"/>
      <c r="W687" s="155"/>
      <c r="X687" s="155"/>
      <c r="Y687" s="144"/>
      <c r="Z687" s="159" t="str">
        <f>IF(AND(Y687&lt;&gt;"User Specified",Y687&lt;&gt;""), INDEX('Refrigerant GWPs'!$G$2:$G$154,MATCH(Y687,'Refrigerant GWPs'!$A$2:$A$154,0)),"")</f>
        <v/>
      </c>
      <c r="AA687" s="155"/>
      <c r="AB687" s="156"/>
      <c r="AC687" s="66"/>
      <c r="AD687" s="66"/>
      <c r="AE687" s="66"/>
      <c r="AF687" s="66"/>
      <c r="AG687" s="66"/>
      <c r="AH687" s="66"/>
      <c r="AI687" s="34"/>
      <c r="AJ687" s="88">
        <f t="shared" si="786"/>
        <v>0</v>
      </c>
      <c r="AK687" s="88">
        <f t="shared" si="787"/>
        <v>0</v>
      </c>
      <c r="AL687" s="88">
        <v>0</v>
      </c>
      <c r="AM687" s="88">
        <v>0</v>
      </c>
      <c r="AN687" s="81" t="str">
        <f t="shared" si="825"/>
        <v/>
      </c>
      <c r="AO687" s="88">
        <f t="shared" si="788"/>
        <v>0</v>
      </c>
      <c r="AP687" s="88">
        <f t="shared" si="789"/>
        <v>0</v>
      </c>
      <c r="AQ687" s="81" t="str">
        <f t="shared" si="790"/>
        <v/>
      </c>
      <c r="AS687" s="41" t="b">
        <f t="shared" si="791"/>
        <v>1</v>
      </c>
      <c r="AT687" s="38">
        <f t="shared" si="792"/>
        <v>0</v>
      </c>
      <c r="AU687" s="60">
        <f t="shared" si="793"/>
        <v>0</v>
      </c>
      <c r="AV687" s="41">
        <f t="shared" si="794"/>
        <v>0</v>
      </c>
      <c r="AW687" s="41" t="b">
        <f t="shared" si="795"/>
        <v>0</v>
      </c>
      <c r="AX687" t="str">
        <f t="shared" si="796"/>
        <v>+00</v>
      </c>
      <c r="AY687" t="str">
        <f t="shared" si="797"/>
        <v>+00</v>
      </c>
      <c r="BA687" s="47" t="b">
        <f t="shared" si="826"/>
        <v>1</v>
      </c>
      <c r="BB687" s="42" t="b">
        <f t="shared" si="827"/>
        <v>1</v>
      </c>
      <c r="BC687" s="42" t="b">
        <f t="shared" si="828"/>
        <v>0</v>
      </c>
      <c r="BD687" s="42" t="b">
        <f t="shared" si="829"/>
        <v>0</v>
      </c>
      <c r="BE687" s="70">
        <f t="shared" si="830"/>
        <v>0</v>
      </c>
      <c r="BF687" s="70">
        <f t="shared" si="831"/>
        <v>0</v>
      </c>
      <c r="BG687" s="34"/>
      <c r="BI687" s="47" t="b">
        <f t="shared" si="832"/>
        <v>1</v>
      </c>
      <c r="BJ687" s="47" t="b">
        <f t="shared" si="833"/>
        <v>1</v>
      </c>
      <c r="BK687" s="42" t="b">
        <f t="shared" si="834"/>
        <v>0</v>
      </c>
      <c r="BL687" s="42" t="b">
        <f t="shared" si="835"/>
        <v>0</v>
      </c>
      <c r="BM687" s="42">
        <f t="shared" si="836"/>
        <v>0</v>
      </c>
      <c r="BN687" s="42">
        <f t="shared" si="837"/>
        <v>0</v>
      </c>
      <c r="BP687" t="e">
        <f t="shared" si="838"/>
        <v>#N/A</v>
      </c>
      <c r="BQ687" t="e">
        <f t="shared" si="839"/>
        <v>#N/A</v>
      </c>
      <c r="BR687" t="e">
        <f t="shared" si="840"/>
        <v>#N/A</v>
      </c>
      <c r="BT687" s="60">
        <f t="shared" si="841"/>
        <v>0</v>
      </c>
      <c r="BU687" s="60">
        <f t="shared" si="842"/>
        <v>0</v>
      </c>
      <c r="BV687" s="60">
        <f t="shared" si="843"/>
        <v>0</v>
      </c>
      <c r="BW687" s="60">
        <f t="shared" si="844"/>
        <v>0</v>
      </c>
      <c r="BX687" s="60">
        <f t="shared" si="845"/>
        <v>0</v>
      </c>
      <c r="BY687" s="60">
        <f t="shared" si="846"/>
        <v>0</v>
      </c>
      <c r="BZ687" s="60">
        <f t="shared" si="847"/>
        <v>0</v>
      </c>
      <c r="CA687" s="60">
        <f t="shared" si="848"/>
        <v>0</v>
      </c>
      <c r="CB687" s="60" t="e">
        <f t="shared" si="798"/>
        <v>#N/A</v>
      </c>
      <c r="CC687" s="60">
        <f t="shared" si="799"/>
        <v>100000</v>
      </c>
      <c r="CD687" s="60" t="e">
        <f t="shared" si="800"/>
        <v>#N/A</v>
      </c>
      <c r="CE687" s="60">
        <f t="shared" si="801"/>
        <v>100000</v>
      </c>
      <c r="CF687" s="83" t="e">
        <f t="shared" si="849"/>
        <v>#N/A</v>
      </c>
      <c r="CG687" s="83">
        <f t="shared" si="850"/>
        <v>0</v>
      </c>
      <c r="CH687" s="83" t="e">
        <f t="shared" si="851"/>
        <v>#N/A</v>
      </c>
      <c r="CI687" s="83">
        <f t="shared" si="852"/>
        <v>0</v>
      </c>
      <c r="CJ687" s="86" t="e">
        <f t="shared" si="802"/>
        <v>#N/A</v>
      </c>
      <c r="CK687" s="82">
        <f t="shared" si="803"/>
        <v>5.3070370403969858E-3</v>
      </c>
      <c r="CL687" s="82" t="e">
        <f t="shared" si="804"/>
        <v>#N/A</v>
      </c>
      <c r="CM687" s="82">
        <f t="shared" si="805"/>
        <v>5.3070370403969858E-3</v>
      </c>
      <c r="CO687" s="149" t="str">
        <f>IF($I687&lt;&gt;"",IF(O687="User Specified",U687,INDEX('Refrigerant GWPs'!$G$2:$G$156,MATCH(O687,'Refrigerant GWPs'!$A$2:$A$156,0))),"")</f>
        <v/>
      </c>
      <c r="CP687" s="138" t="str">
        <f>IF($I687&lt;&gt;"",INDEX('Device Refrigerant Leakage'!$E$2:$E$42,MATCH($M687,'Device Refrigerant Leakage'!$B$2:$B$42,0)),"")</f>
        <v/>
      </c>
      <c r="CQ687" s="138" t="str">
        <f>IF($I687&lt;&gt;"",INDEX('Device Refrigerant Leakage'!$F$2:$F$42,MATCH($M687,'Device Refrigerant Leakage'!$B$2:$B$42,0)),"")</f>
        <v/>
      </c>
      <c r="CR687" s="145" t="str">
        <f>IF($I687&lt;&gt;"",INDEX('Device Refrigerant Leakage'!$G$2:$G$42,MATCH($M687,'Device Refrigerant Leakage'!$B$2:$B$42,0)),"")</f>
        <v/>
      </c>
      <c r="CS687" s="145" t="str">
        <f>IF($I687&lt;&gt;"",INDEX('Device Refrigerant Leakage'!$D$2:$D$42,MATCH($M687,'Device Refrigerant Leakage'!$B$2:$B$42,0))*CP687/2204.62*CO687,"")</f>
        <v/>
      </c>
      <c r="CT687" s="145" t="str">
        <f>IF($I687&lt;&gt;"",J687*(INDEX('Device Refrigerant Leakage'!$D$2:$D$42,MATCH($M687,'Device Refrigerant Leakage'!$B$2:$B$42,0))-(INDEX('Device Refrigerant Leakage'!$D$2:$D$42,MATCH($M687,'Device Refrigerant Leakage'!$B$2:$B$42,0)))*CR687*CP687)*CQ687/2204.62*CO687,"")</f>
        <v/>
      </c>
      <c r="CU687" s="135" t="str">
        <f>IF($I687&lt;&gt;"",J687*IF(W687&lt;&gt;"AR",(CS687*K687)+CT687,(CS687*AB687)+CT687*(AB687/INDEX('Device Refrigerant Leakage'!$C$2:$C$42,MATCH($M687,'Device Refrigerant Leakage'!$B$2:$B$42,0)))),"")</f>
        <v/>
      </c>
      <c r="CW687" s="135" t="str">
        <f>IF($I687&lt;&gt;"",IF(S687="User Specified",V687,INDEX('Refrigerant GWPs'!$G$2:$G$156,MATCH(S687,'Refrigerant GWPs'!$A$2:$A$157,0))),"")</f>
        <v/>
      </c>
      <c r="CX687" s="138" t="str">
        <f>IF($I687&lt;&gt;"",INDEX('Device Refrigerant Leakage'!$E$2:$E$42,MATCH($Q687,'Device Refrigerant Leakage'!$B$2:$B$42,0)),"")</f>
        <v/>
      </c>
      <c r="CY687" s="138" t="str">
        <f>IF($I687&lt;&gt;"",INDEX('Device Refrigerant Leakage'!$F$2:$F$42,MATCH($Q687,'Device Refrigerant Leakage'!$B$2:$B$42,0)),"")</f>
        <v/>
      </c>
      <c r="CZ687" s="145" t="str">
        <f>IF($I687&lt;&gt;"",INDEX('Device Refrigerant Leakage'!$G$2:$G$42,MATCH($Q687,'Device Refrigerant Leakage'!$B$2:$B$42,0)),"")</f>
        <v/>
      </c>
      <c r="DA687" s="145" t="str">
        <f>IF($I687&lt;&gt;"",J687*INDEX('Device Refrigerant Leakage'!$D$2:$D$42,MATCH($Q687,'Device Refrigerant Leakage'!$B$2:$B$42,0))*CX687/2204.62*CW687,"")</f>
        <v/>
      </c>
      <c r="DB687" s="145" t="str">
        <f>IF($I687&lt;&gt;"",J687*(INDEX('Device Refrigerant Leakage'!$D$2:$D$42,MATCH($Q687,'Device Refrigerant Leakage'!$B$2:$B$42,0))-(INDEX('Device Refrigerant Leakage'!$D$2:$D$42,MATCH($Q687,'Device Refrigerant Leakage'!$B$2:$B$42,0)))*CZ687*CX687)*CY687/2204.62*CW687,"")</f>
        <v/>
      </c>
      <c r="DC687" s="135" t="str">
        <f t="shared" si="824"/>
        <v/>
      </c>
      <c r="DE687" s="146" t="str">
        <f>IF(W687&lt;&gt;"AR","",IF(Y687="User Specified", AA687, INDEX('Refrigerant GWPs'!$G$2:$G$154,MATCH(Y687,'Refrigerant GWPs'!$A$2:$A$154,0))))</f>
        <v/>
      </c>
      <c r="DF687" s="146" t="str">
        <f>IF(W687&lt;&gt;"AR","",INDEX('Device Refrigerant Leakage'!$E$2:$E$42,MATCH(X687,'Device Refrigerant Leakage'!$B$2:$B$42,0)))</f>
        <v/>
      </c>
      <c r="DG687" s="146" t="str">
        <f>IF(W687&lt;&gt;"AR","",INDEX('Device Refrigerant Leakage'!$F$2:$F$42,MATCH(X687,'Device Refrigerant Leakage'!$B$2:$B$42,0)))</f>
        <v/>
      </c>
      <c r="DH687" s="146" t="str">
        <f>IF(W687&lt;&gt;"AR","",INDEX('Device Refrigerant Leakage'!$G$2:$G$42,MATCH(X687,'Device Refrigerant Leakage'!$B$2:$B$42,0)))</f>
        <v/>
      </c>
      <c r="DI687" s="146" t="str">
        <f>IF(W687&lt;&gt;"AR","",J687*INDEX('Device Refrigerant Leakage'!$D$2:$D$42,MATCH(X687,'Device Refrigerant Leakage'!$B$2:$B$42,0))*DF687/2204.62*DE687)</f>
        <v/>
      </c>
      <c r="DJ687" s="146" t="str">
        <f>IF(W687&lt;&gt;"AR","",J687*(INDEX('Device Refrigerant Leakage'!$D$2:$D$42,MATCH(X687,'Device Refrigerant Leakage'!$B$2:$B$42,0))-(INDEX('Device Refrigerant Leakage'!$D$2:$D$42,MATCH(X687,'Device Refrigerant Leakage'!$B$2:$B$42,0)))*DH687*DF687)*DG687/2204.62*DE687)</f>
        <v/>
      </c>
      <c r="DK687" s="146" t="str">
        <f>IF(W687&lt;&gt;"AR","",DI687*(K687-AB687)+'Fuel Sub Calcs-Deemed'!DJ687*((K687-AB687)/INDEX('Device Refrigerant Leakage'!$C$2:$C$42,MATCH('Fuel Sub Calcs-Deemed'!X687,'Device Refrigerant Leakage'!$B$2:$B$42,0))))</f>
        <v/>
      </c>
      <c r="DM687" s="56">
        <v>673</v>
      </c>
      <c r="DN687" s="67" t="e">
        <f t="shared" si="806"/>
        <v>#N/A</v>
      </c>
      <c r="DO687" s="45" t="e">
        <f t="shared" si="807"/>
        <v>#N/A</v>
      </c>
      <c r="DP687" s="67" t="e">
        <f t="shared" si="808"/>
        <v>#N/A</v>
      </c>
      <c r="DQ687" s="45" t="e">
        <f t="shared" si="809"/>
        <v>#N/A</v>
      </c>
      <c r="DR687" s="69" t="e">
        <f t="shared" si="810"/>
        <v>#N/A</v>
      </c>
      <c r="DS687" s="34"/>
      <c r="DT687" s="67" t="e">
        <f>((BX687*CJ687)+IF($W687=MAT_AR,(BZ687*CL687),0))*(1+Reference!$E$50+Reference!$E$51)</f>
        <v>#N/A</v>
      </c>
      <c r="DU687" s="67">
        <f>((BY687*CK687)+IF($W687=MAT_AR,(CA687*CM687),0))*(1+Reference!$G$50+Reference!$G$51)</f>
        <v>0</v>
      </c>
      <c r="DV687" s="67" t="e">
        <f t="shared" si="811"/>
        <v>#VALUE!</v>
      </c>
      <c r="DX687" s="56">
        <v>673</v>
      </c>
      <c r="DY687" s="67">
        <f t="shared" si="812"/>
        <v>0</v>
      </c>
      <c r="DZ687" s="45" t="e">
        <f>VLOOKUP($R687,Dropdown!$C$3:$D$4,2,FALSE)</f>
        <v>#N/A</v>
      </c>
      <c r="EA687" s="68">
        <f t="shared" si="813"/>
        <v>0</v>
      </c>
      <c r="EB687" s="68" t="str">
        <f t="shared" si="814"/>
        <v>N/A</v>
      </c>
      <c r="EC687" s="68">
        <f t="shared" si="815"/>
        <v>0</v>
      </c>
      <c r="ED687" s="68" t="str">
        <f t="shared" si="853"/>
        <v>N/A</v>
      </c>
      <c r="EF687" s="56">
        <v>673</v>
      </c>
      <c r="EG687" s="46">
        <f t="shared" si="816"/>
        <v>0</v>
      </c>
      <c r="EH687" s="68" t="e">
        <f t="shared" si="817"/>
        <v>#N/A</v>
      </c>
      <c r="EI687" s="68" t="e">
        <f t="shared" si="818"/>
        <v>#N/A</v>
      </c>
      <c r="EJ687" s="68" t="e">
        <f t="shared" si="819"/>
        <v>#N/A</v>
      </c>
      <c r="EK687" s="68" t="e">
        <f t="shared" si="820"/>
        <v>#N/A</v>
      </c>
      <c r="EL687" s="46">
        <f t="shared" si="821"/>
        <v>0</v>
      </c>
      <c r="EM687" s="46">
        <f t="shared" si="822"/>
        <v>0</v>
      </c>
    </row>
    <row r="688" spans="1:143">
      <c r="A688" s="89"/>
      <c r="B688" s="89"/>
      <c r="C688" s="89"/>
      <c r="D688" s="89"/>
      <c r="E688" s="89"/>
      <c r="F688" s="89"/>
      <c r="G688" s="34"/>
      <c r="H688" s="56">
        <f t="shared" si="823"/>
        <v>674</v>
      </c>
      <c r="I688" s="165"/>
      <c r="J688" s="163"/>
      <c r="K688" s="163"/>
      <c r="L688" s="164"/>
      <c r="M688" s="155"/>
      <c r="N688" s="155"/>
      <c r="O688" s="144"/>
      <c r="P688" s="159" t="str">
        <f>IFERROR(IF(O688&lt;&gt;"User Specified",IF(O688&lt;&gt;"", INDEX('Refrigerant GWPs'!$G$2:$G$154,MATCH(O688,'Refrigerant GWPs'!$A$2:$A$154,0)),""),U688),0)</f>
        <v/>
      </c>
      <c r="Q688" s="155"/>
      <c r="R688" s="155"/>
      <c r="S688" s="144"/>
      <c r="T688" s="159" t="str">
        <f>IF(S688&lt;&gt;"User Specified",IF(AND(S688&lt;&gt;"User Specified",S688&lt;&gt;""), INDEX('Refrigerant GWPs'!$G$2:$G$154,MATCH(S688,'Refrigerant GWPs'!$A$2:$A$154,0)),""),V688)</f>
        <v/>
      </c>
      <c r="U688" s="144"/>
      <c r="V688" s="144"/>
      <c r="W688" s="155"/>
      <c r="X688" s="155"/>
      <c r="Y688" s="144"/>
      <c r="Z688" s="159" t="str">
        <f>IF(AND(Y688&lt;&gt;"User Specified",Y688&lt;&gt;""), INDEX('Refrigerant GWPs'!$G$2:$G$154,MATCH(Y688,'Refrigerant GWPs'!$A$2:$A$154,0)),"")</f>
        <v/>
      </c>
      <c r="AA688" s="155"/>
      <c r="AB688" s="156"/>
      <c r="AC688" s="66"/>
      <c r="AD688" s="66"/>
      <c r="AE688" s="66"/>
      <c r="AF688" s="66"/>
      <c r="AG688" s="66"/>
      <c r="AH688" s="66"/>
      <c r="AI688" s="34"/>
      <c r="AJ688" s="88">
        <f t="shared" si="786"/>
        <v>0</v>
      </c>
      <c r="AK688" s="88">
        <f t="shared" si="787"/>
        <v>0</v>
      </c>
      <c r="AL688" s="88">
        <v>0</v>
      </c>
      <c r="AM688" s="88">
        <v>0</v>
      </c>
      <c r="AN688" s="81" t="str">
        <f t="shared" si="825"/>
        <v/>
      </c>
      <c r="AO688" s="88">
        <f t="shared" si="788"/>
        <v>0</v>
      </c>
      <c r="AP688" s="88">
        <f t="shared" si="789"/>
        <v>0</v>
      </c>
      <c r="AQ688" s="81" t="str">
        <f t="shared" si="790"/>
        <v/>
      </c>
      <c r="AS688" s="41" t="b">
        <f t="shared" si="791"/>
        <v>1</v>
      </c>
      <c r="AT688" s="38">
        <f t="shared" si="792"/>
        <v>0</v>
      </c>
      <c r="AU688" s="60">
        <f t="shared" si="793"/>
        <v>0</v>
      </c>
      <c r="AV688" s="41">
        <f t="shared" si="794"/>
        <v>0</v>
      </c>
      <c r="AW688" s="41" t="b">
        <f t="shared" si="795"/>
        <v>0</v>
      </c>
      <c r="AX688" t="str">
        <f t="shared" si="796"/>
        <v>+00</v>
      </c>
      <c r="AY688" t="str">
        <f t="shared" si="797"/>
        <v>+00</v>
      </c>
      <c r="BA688" s="47" t="b">
        <f t="shared" si="826"/>
        <v>1</v>
      </c>
      <c r="BB688" s="42" t="b">
        <f t="shared" si="827"/>
        <v>1</v>
      </c>
      <c r="BC688" s="42" t="b">
        <f t="shared" si="828"/>
        <v>0</v>
      </c>
      <c r="BD688" s="42" t="b">
        <f t="shared" si="829"/>
        <v>0</v>
      </c>
      <c r="BE688" s="70">
        <f t="shared" si="830"/>
        <v>0</v>
      </c>
      <c r="BF688" s="70">
        <f t="shared" si="831"/>
        <v>0</v>
      </c>
      <c r="BG688" s="34"/>
      <c r="BI688" s="47" t="b">
        <f t="shared" si="832"/>
        <v>1</v>
      </c>
      <c r="BJ688" s="47" t="b">
        <f t="shared" si="833"/>
        <v>1</v>
      </c>
      <c r="BK688" s="42" t="b">
        <f t="shared" si="834"/>
        <v>0</v>
      </c>
      <c r="BL688" s="42" t="b">
        <f t="shared" si="835"/>
        <v>0</v>
      </c>
      <c r="BM688" s="42">
        <f t="shared" si="836"/>
        <v>0</v>
      </c>
      <c r="BN688" s="42">
        <f t="shared" si="837"/>
        <v>0</v>
      </c>
      <c r="BP688" t="e">
        <f t="shared" si="838"/>
        <v>#N/A</v>
      </c>
      <c r="BQ688" t="e">
        <f t="shared" si="839"/>
        <v>#N/A</v>
      </c>
      <c r="BR688" t="e">
        <f t="shared" si="840"/>
        <v>#N/A</v>
      </c>
      <c r="BT688" s="60">
        <f t="shared" si="841"/>
        <v>0</v>
      </c>
      <c r="BU688" s="60">
        <f t="shared" si="842"/>
        <v>0</v>
      </c>
      <c r="BV688" s="60">
        <f t="shared" si="843"/>
        <v>0</v>
      </c>
      <c r="BW688" s="60">
        <f t="shared" si="844"/>
        <v>0</v>
      </c>
      <c r="BX688" s="60">
        <f t="shared" si="845"/>
        <v>0</v>
      </c>
      <c r="BY688" s="60">
        <f t="shared" si="846"/>
        <v>0</v>
      </c>
      <c r="BZ688" s="60">
        <f t="shared" si="847"/>
        <v>0</v>
      </c>
      <c r="CA688" s="60">
        <f t="shared" si="848"/>
        <v>0</v>
      </c>
      <c r="CB688" s="60" t="e">
        <f t="shared" si="798"/>
        <v>#N/A</v>
      </c>
      <c r="CC688" s="60">
        <f t="shared" si="799"/>
        <v>100000</v>
      </c>
      <c r="CD688" s="60" t="e">
        <f t="shared" si="800"/>
        <v>#N/A</v>
      </c>
      <c r="CE688" s="60">
        <f t="shared" si="801"/>
        <v>100000</v>
      </c>
      <c r="CF688" s="83" t="e">
        <f t="shared" si="849"/>
        <v>#N/A</v>
      </c>
      <c r="CG688" s="83">
        <f t="shared" si="850"/>
        <v>0</v>
      </c>
      <c r="CH688" s="83" t="e">
        <f t="shared" si="851"/>
        <v>#N/A</v>
      </c>
      <c r="CI688" s="83">
        <f t="shared" si="852"/>
        <v>0</v>
      </c>
      <c r="CJ688" s="86" t="e">
        <f t="shared" si="802"/>
        <v>#N/A</v>
      </c>
      <c r="CK688" s="82">
        <f t="shared" si="803"/>
        <v>5.3070370403969858E-3</v>
      </c>
      <c r="CL688" s="82" t="e">
        <f t="shared" si="804"/>
        <v>#N/A</v>
      </c>
      <c r="CM688" s="82">
        <f t="shared" si="805"/>
        <v>5.3070370403969858E-3</v>
      </c>
      <c r="CO688" s="149" t="str">
        <f>IF($I688&lt;&gt;"",IF(O688="User Specified",U688,INDEX('Refrigerant GWPs'!$G$2:$G$156,MATCH(O688,'Refrigerant GWPs'!$A$2:$A$156,0))),"")</f>
        <v/>
      </c>
      <c r="CP688" s="138" t="str">
        <f>IF($I688&lt;&gt;"",INDEX('Device Refrigerant Leakage'!$E$2:$E$42,MATCH($M688,'Device Refrigerant Leakage'!$B$2:$B$42,0)),"")</f>
        <v/>
      </c>
      <c r="CQ688" s="138" t="str">
        <f>IF($I688&lt;&gt;"",INDEX('Device Refrigerant Leakage'!$F$2:$F$42,MATCH($M688,'Device Refrigerant Leakage'!$B$2:$B$42,0)),"")</f>
        <v/>
      </c>
      <c r="CR688" s="145" t="str">
        <f>IF($I688&lt;&gt;"",INDEX('Device Refrigerant Leakage'!$G$2:$G$42,MATCH($M688,'Device Refrigerant Leakage'!$B$2:$B$42,0)),"")</f>
        <v/>
      </c>
      <c r="CS688" s="145" t="str">
        <f>IF($I688&lt;&gt;"",INDEX('Device Refrigerant Leakage'!$D$2:$D$42,MATCH($M688,'Device Refrigerant Leakage'!$B$2:$B$42,0))*CP688/2204.62*CO688,"")</f>
        <v/>
      </c>
      <c r="CT688" s="145" t="str">
        <f>IF($I688&lt;&gt;"",J688*(INDEX('Device Refrigerant Leakage'!$D$2:$D$42,MATCH($M688,'Device Refrigerant Leakage'!$B$2:$B$42,0))-(INDEX('Device Refrigerant Leakage'!$D$2:$D$42,MATCH($M688,'Device Refrigerant Leakage'!$B$2:$B$42,0)))*CR688*CP688)*CQ688/2204.62*CO688,"")</f>
        <v/>
      </c>
      <c r="CU688" s="135" t="str">
        <f>IF($I688&lt;&gt;"",J688*IF(W688&lt;&gt;"AR",(CS688*K688)+CT688,(CS688*AB688)+CT688*(AB688/INDEX('Device Refrigerant Leakage'!$C$2:$C$42,MATCH($M688,'Device Refrigerant Leakage'!$B$2:$B$42,0)))),"")</f>
        <v/>
      </c>
      <c r="CW688" s="135" t="str">
        <f>IF($I688&lt;&gt;"",IF(S688="User Specified",V688,INDEX('Refrigerant GWPs'!$G$2:$G$156,MATCH(S688,'Refrigerant GWPs'!$A$2:$A$157,0))),"")</f>
        <v/>
      </c>
      <c r="CX688" s="138" t="str">
        <f>IF($I688&lt;&gt;"",INDEX('Device Refrigerant Leakage'!$E$2:$E$42,MATCH($Q688,'Device Refrigerant Leakage'!$B$2:$B$42,0)),"")</f>
        <v/>
      </c>
      <c r="CY688" s="138" t="str">
        <f>IF($I688&lt;&gt;"",INDEX('Device Refrigerant Leakage'!$F$2:$F$42,MATCH($Q688,'Device Refrigerant Leakage'!$B$2:$B$42,0)),"")</f>
        <v/>
      </c>
      <c r="CZ688" s="145" t="str">
        <f>IF($I688&lt;&gt;"",INDEX('Device Refrigerant Leakage'!$G$2:$G$42,MATCH($Q688,'Device Refrigerant Leakage'!$B$2:$B$42,0)),"")</f>
        <v/>
      </c>
      <c r="DA688" s="145" t="str">
        <f>IF($I688&lt;&gt;"",J688*INDEX('Device Refrigerant Leakage'!$D$2:$D$42,MATCH($Q688,'Device Refrigerant Leakage'!$B$2:$B$42,0))*CX688/2204.62*CW688,"")</f>
        <v/>
      </c>
      <c r="DB688" s="145" t="str">
        <f>IF($I688&lt;&gt;"",J688*(INDEX('Device Refrigerant Leakage'!$D$2:$D$42,MATCH($Q688,'Device Refrigerant Leakage'!$B$2:$B$42,0))-(INDEX('Device Refrigerant Leakage'!$D$2:$D$42,MATCH($Q688,'Device Refrigerant Leakage'!$B$2:$B$42,0)))*CZ688*CX688)*CY688/2204.62*CW688,"")</f>
        <v/>
      </c>
      <c r="DC688" s="135" t="str">
        <f t="shared" si="824"/>
        <v/>
      </c>
      <c r="DE688" s="146" t="str">
        <f>IF(W688&lt;&gt;"AR","",IF(Y688="User Specified", AA688, INDEX('Refrigerant GWPs'!$G$2:$G$154,MATCH(Y688,'Refrigerant GWPs'!$A$2:$A$154,0))))</f>
        <v/>
      </c>
      <c r="DF688" s="146" t="str">
        <f>IF(W688&lt;&gt;"AR","",INDEX('Device Refrigerant Leakage'!$E$2:$E$42,MATCH(X688,'Device Refrigerant Leakage'!$B$2:$B$42,0)))</f>
        <v/>
      </c>
      <c r="DG688" s="146" t="str">
        <f>IF(W688&lt;&gt;"AR","",INDEX('Device Refrigerant Leakage'!$F$2:$F$42,MATCH(X688,'Device Refrigerant Leakage'!$B$2:$B$42,0)))</f>
        <v/>
      </c>
      <c r="DH688" s="146" t="str">
        <f>IF(W688&lt;&gt;"AR","",INDEX('Device Refrigerant Leakage'!$G$2:$G$42,MATCH(X688,'Device Refrigerant Leakage'!$B$2:$B$42,0)))</f>
        <v/>
      </c>
      <c r="DI688" s="146" t="str">
        <f>IF(W688&lt;&gt;"AR","",J688*INDEX('Device Refrigerant Leakage'!$D$2:$D$42,MATCH(X688,'Device Refrigerant Leakage'!$B$2:$B$42,0))*DF688/2204.62*DE688)</f>
        <v/>
      </c>
      <c r="DJ688" s="146" t="str">
        <f>IF(W688&lt;&gt;"AR","",J688*(INDEX('Device Refrigerant Leakage'!$D$2:$D$42,MATCH(X688,'Device Refrigerant Leakage'!$B$2:$B$42,0))-(INDEX('Device Refrigerant Leakage'!$D$2:$D$42,MATCH(X688,'Device Refrigerant Leakage'!$B$2:$B$42,0)))*DH688*DF688)*DG688/2204.62*DE688)</f>
        <v/>
      </c>
      <c r="DK688" s="146" t="str">
        <f>IF(W688&lt;&gt;"AR","",DI688*(K688-AB688)+'Fuel Sub Calcs-Deemed'!DJ688*((K688-AB688)/INDEX('Device Refrigerant Leakage'!$C$2:$C$42,MATCH('Fuel Sub Calcs-Deemed'!X688,'Device Refrigerant Leakage'!$B$2:$B$42,0))))</f>
        <v/>
      </c>
      <c r="DM688" s="56">
        <v>674</v>
      </c>
      <c r="DN688" s="67" t="e">
        <f t="shared" si="806"/>
        <v>#N/A</v>
      </c>
      <c r="DO688" s="45" t="e">
        <f t="shared" si="807"/>
        <v>#N/A</v>
      </c>
      <c r="DP688" s="67" t="e">
        <f t="shared" si="808"/>
        <v>#N/A</v>
      </c>
      <c r="DQ688" s="45" t="e">
        <f t="shared" si="809"/>
        <v>#N/A</v>
      </c>
      <c r="DR688" s="69" t="e">
        <f t="shared" si="810"/>
        <v>#N/A</v>
      </c>
      <c r="DS688" s="34"/>
      <c r="DT688" s="67" t="e">
        <f>((BX688*CJ688)+IF($W688=MAT_AR,(BZ688*CL688),0))*(1+Reference!$E$50+Reference!$E$51)</f>
        <v>#N/A</v>
      </c>
      <c r="DU688" s="67">
        <f>((BY688*CK688)+IF($W688=MAT_AR,(CA688*CM688),0))*(1+Reference!$G$50+Reference!$G$51)</f>
        <v>0</v>
      </c>
      <c r="DV688" s="67" t="e">
        <f t="shared" si="811"/>
        <v>#VALUE!</v>
      </c>
      <c r="DX688" s="56">
        <v>674</v>
      </c>
      <c r="DY688" s="67">
        <f t="shared" si="812"/>
        <v>0</v>
      </c>
      <c r="DZ688" s="45" t="e">
        <f>VLOOKUP($R688,Dropdown!$C$3:$D$4,2,FALSE)</f>
        <v>#N/A</v>
      </c>
      <c r="EA688" s="68">
        <f t="shared" si="813"/>
        <v>0</v>
      </c>
      <c r="EB688" s="68" t="str">
        <f t="shared" si="814"/>
        <v>N/A</v>
      </c>
      <c r="EC688" s="68">
        <f t="shared" si="815"/>
        <v>0</v>
      </c>
      <c r="ED688" s="68" t="str">
        <f t="shared" si="853"/>
        <v>N/A</v>
      </c>
      <c r="EF688" s="56">
        <v>674</v>
      </c>
      <c r="EG688" s="46">
        <f t="shared" si="816"/>
        <v>0</v>
      </c>
      <c r="EH688" s="68" t="e">
        <f t="shared" si="817"/>
        <v>#N/A</v>
      </c>
      <c r="EI688" s="68" t="e">
        <f t="shared" si="818"/>
        <v>#N/A</v>
      </c>
      <c r="EJ688" s="68" t="e">
        <f t="shared" si="819"/>
        <v>#N/A</v>
      </c>
      <c r="EK688" s="68" t="e">
        <f t="shared" si="820"/>
        <v>#N/A</v>
      </c>
      <c r="EL688" s="46">
        <f t="shared" si="821"/>
        <v>0</v>
      </c>
      <c r="EM688" s="46">
        <f t="shared" si="822"/>
        <v>0</v>
      </c>
    </row>
    <row r="689" spans="1:143">
      <c r="A689" s="89"/>
      <c r="B689" s="89"/>
      <c r="C689" s="89"/>
      <c r="D689" s="89"/>
      <c r="E689" s="89"/>
      <c r="F689" s="89"/>
      <c r="G689" s="34"/>
      <c r="H689" s="56">
        <f t="shared" si="823"/>
        <v>675</v>
      </c>
      <c r="I689" s="165"/>
      <c r="J689" s="163"/>
      <c r="K689" s="163"/>
      <c r="L689" s="164"/>
      <c r="M689" s="155"/>
      <c r="N689" s="155"/>
      <c r="O689" s="144"/>
      <c r="P689" s="159" t="str">
        <f>IFERROR(IF(O689&lt;&gt;"User Specified",IF(O689&lt;&gt;"", INDEX('Refrigerant GWPs'!$G$2:$G$154,MATCH(O689,'Refrigerant GWPs'!$A$2:$A$154,0)),""),U689),0)</f>
        <v/>
      </c>
      <c r="Q689" s="155"/>
      <c r="R689" s="155"/>
      <c r="S689" s="144"/>
      <c r="T689" s="159" t="str">
        <f>IF(S689&lt;&gt;"User Specified",IF(AND(S689&lt;&gt;"User Specified",S689&lt;&gt;""), INDEX('Refrigerant GWPs'!$G$2:$G$154,MATCH(S689,'Refrigerant GWPs'!$A$2:$A$154,0)),""),V689)</f>
        <v/>
      </c>
      <c r="U689" s="144"/>
      <c r="V689" s="144"/>
      <c r="W689" s="155"/>
      <c r="X689" s="155"/>
      <c r="Y689" s="144"/>
      <c r="Z689" s="159" t="str">
        <f>IF(AND(Y689&lt;&gt;"User Specified",Y689&lt;&gt;""), INDEX('Refrigerant GWPs'!$G$2:$G$154,MATCH(Y689,'Refrigerant GWPs'!$A$2:$A$154,0)),"")</f>
        <v/>
      </c>
      <c r="AA689" s="155"/>
      <c r="AB689" s="156"/>
      <c r="AC689" s="66"/>
      <c r="AD689" s="66"/>
      <c r="AE689" s="66"/>
      <c r="AF689" s="66"/>
      <c r="AG689" s="66"/>
      <c r="AH689" s="66"/>
      <c r="AI689" s="34"/>
      <c r="AJ689" s="88">
        <f t="shared" si="786"/>
        <v>0</v>
      </c>
      <c r="AK689" s="88">
        <f t="shared" si="787"/>
        <v>0</v>
      </c>
      <c r="AL689" s="88">
        <v>0</v>
      </c>
      <c r="AM689" s="88">
        <v>0</v>
      </c>
      <c r="AN689" s="81" t="str">
        <f t="shared" si="825"/>
        <v/>
      </c>
      <c r="AO689" s="88">
        <f t="shared" si="788"/>
        <v>0</v>
      </c>
      <c r="AP689" s="88">
        <f t="shared" si="789"/>
        <v>0</v>
      </c>
      <c r="AQ689" s="81" t="str">
        <f t="shared" si="790"/>
        <v/>
      </c>
      <c r="AS689" s="41" t="b">
        <f t="shared" si="791"/>
        <v>1</v>
      </c>
      <c r="AT689" s="38">
        <f t="shared" si="792"/>
        <v>0</v>
      </c>
      <c r="AU689" s="60">
        <f t="shared" si="793"/>
        <v>0</v>
      </c>
      <c r="AV689" s="41">
        <f t="shared" si="794"/>
        <v>0</v>
      </c>
      <c r="AW689" s="41" t="b">
        <f t="shared" si="795"/>
        <v>0</v>
      </c>
      <c r="AX689" t="str">
        <f t="shared" si="796"/>
        <v>+00</v>
      </c>
      <c r="AY689" t="str">
        <f t="shared" si="797"/>
        <v>+00</v>
      </c>
      <c r="BA689" s="47" t="b">
        <f t="shared" si="826"/>
        <v>1</v>
      </c>
      <c r="BB689" s="42" t="b">
        <f t="shared" si="827"/>
        <v>1</v>
      </c>
      <c r="BC689" s="42" t="b">
        <f t="shared" si="828"/>
        <v>0</v>
      </c>
      <c r="BD689" s="42" t="b">
        <f t="shared" si="829"/>
        <v>0</v>
      </c>
      <c r="BE689" s="70">
        <f t="shared" si="830"/>
        <v>0</v>
      </c>
      <c r="BF689" s="70">
        <f t="shared" si="831"/>
        <v>0</v>
      </c>
      <c r="BG689" s="34"/>
      <c r="BI689" s="47" t="b">
        <f t="shared" si="832"/>
        <v>1</v>
      </c>
      <c r="BJ689" s="47" t="b">
        <f t="shared" si="833"/>
        <v>1</v>
      </c>
      <c r="BK689" s="42" t="b">
        <f t="shared" si="834"/>
        <v>0</v>
      </c>
      <c r="BL689" s="42" t="b">
        <f t="shared" si="835"/>
        <v>0</v>
      </c>
      <c r="BM689" s="42">
        <f t="shared" si="836"/>
        <v>0</v>
      </c>
      <c r="BN689" s="42">
        <f t="shared" si="837"/>
        <v>0</v>
      </c>
      <c r="BP689" t="e">
        <f t="shared" si="838"/>
        <v>#N/A</v>
      </c>
      <c r="BQ689" t="e">
        <f t="shared" si="839"/>
        <v>#N/A</v>
      </c>
      <c r="BR689" t="e">
        <f t="shared" si="840"/>
        <v>#N/A</v>
      </c>
      <c r="BT689" s="60">
        <f t="shared" si="841"/>
        <v>0</v>
      </c>
      <c r="BU689" s="60">
        <f t="shared" si="842"/>
        <v>0</v>
      </c>
      <c r="BV689" s="60">
        <f t="shared" si="843"/>
        <v>0</v>
      </c>
      <c r="BW689" s="60">
        <f t="shared" si="844"/>
        <v>0</v>
      </c>
      <c r="BX689" s="60">
        <f t="shared" si="845"/>
        <v>0</v>
      </c>
      <c r="BY689" s="60">
        <f t="shared" si="846"/>
        <v>0</v>
      </c>
      <c r="BZ689" s="60">
        <f t="shared" si="847"/>
        <v>0</v>
      </c>
      <c r="CA689" s="60">
        <f t="shared" si="848"/>
        <v>0</v>
      </c>
      <c r="CB689" s="60" t="e">
        <f t="shared" si="798"/>
        <v>#N/A</v>
      </c>
      <c r="CC689" s="60">
        <f t="shared" si="799"/>
        <v>100000</v>
      </c>
      <c r="CD689" s="60" t="e">
        <f t="shared" si="800"/>
        <v>#N/A</v>
      </c>
      <c r="CE689" s="60">
        <f t="shared" si="801"/>
        <v>100000</v>
      </c>
      <c r="CF689" s="83" t="e">
        <f t="shared" si="849"/>
        <v>#N/A</v>
      </c>
      <c r="CG689" s="83">
        <f t="shared" si="850"/>
        <v>0</v>
      </c>
      <c r="CH689" s="83" t="e">
        <f t="shared" si="851"/>
        <v>#N/A</v>
      </c>
      <c r="CI689" s="83">
        <f t="shared" si="852"/>
        <v>0</v>
      </c>
      <c r="CJ689" s="86" t="e">
        <f t="shared" si="802"/>
        <v>#N/A</v>
      </c>
      <c r="CK689" s="82">
        <f t="shared" si="803"/>
        <v>5.3070370403969858E-3</v>
      </c>
      <c r="CL689" s="82" t="e">
        <f t="shared" si="804"/>
        <v>#N/A</v>
      </c>
      <c r="CM689" s="82">
        <f t="shared" si="805"/>
        <v>5.3070370403969858E-3</v>
      </c>
      <c r="CO689" s="149" t="str">
        <f>IF($I689&lt;&gt;"",IF(O689="User Specified",U689,INDEX('Refrigerant GWPs'!$G$2:$G$156,MATCH(O689,'Refrigerant GWPs'!$A$2:$A$156,0))),"")</f>
        <v/>
      </c>
      <c r="CP689" s="138" t="str">
        <f>IF($I689&lt;&gt;"",INDEX('Device Refrigerant Leakage'!$E$2:$E$42,MATCH($M689,'Device Refrigerant Leakage'!$B$2:$B$42,0)),"")</f>
        <v/>
      </c>
      <c r="CQ689" s="138" t="str">
        <f>IF($I689&lt;&gt;"",INDEX('Device Refrigerant Leakage'!$F$2:$F$42,MATCH($M689,'Device Refrigerant Leakage'!$B$2:$B$42,0)),"")</f>
        <v/>
      </c>
      <c r="CR689" s="145" t="str">
        <f>IF($I689&lt;&gt;"",INDEX('Device Refrigerant Leakage'!$G$2:$G$42,MATCH($M689,'Device Refrigerant Leakage'!$B$2:$B$42,0)),"")</f>
        <v/>
      </c>
      <c r="CS689" s="145" t="str">
        <f>IF($I689&lt;&gt;"",INDEX('Device Refrigerant Leakage'!$D$2:$D$42,MATCH($M689,'Device Refrigerant Leakage'!$B$2:$B$42,0))*CP689/2204.62*CO689,"")</f>
        <v/>
      </c>
      <c r="CT689" s="145" t="str">
        <f>IF($I689&lt;&gt;"",J689*(INDEX('Device Refrigerant Leakage'!$D$2:$D$42,MATCH($M689,'Device Refrigerant Leakage'!$B$2:$B$42,0))-(INDEX('Device Refrigerant Leakage'!$D$2:$D$42,MATCH($M689,'Device Refrigerant Leakage'!$B$2:$B$42,0)))*CR689*CP689)*CQ689/2204.62*CO689,"")</f>
        <v/>
      </c>
      <c r="CU689" s="135" t="str">
        <f>IF($I689&lt;&gt;"",J689*IF(W689&lt;&gt;"AR",(CS689*K689)+CT689,(CS689*AB689)+CT689*(AB689/INDEX('Device Refrigerant Leakage'!$C$2:$C$42,MATCH($M689,'Device Refrigerant Leakage'!$B$2:$B$42,0)))),"")</f>
        <v/>
      </c>
      <c r="CW689" s="135" t="str">
        <f>IF($I689&lt;&gt;"",IF(S689="User Specified",V689,INDEX('Refrigerant GWPs'!$G$2:$G$156,MATCH(S689,'Refrigerant GWPs'!$A$2:$A$157,0))),"")</f>
        <v/>
      </c>
      <c r="CX689" s="138" t="str">
        <f>IF($I689&lt;&gt;"",INDEX('Device Refrigerant Leakage'!$E$2:$E$42,MATCH($Q689,'Device Refrigerant Leakage'!$B$2:$B$42,0)),"")</f>
        <v/>
      </c>
      <c r="CY689" s="138" t="str">
        <f>IF($I689&lt;&gt;"",INDEX('Device Refrigerant Leakage'!$F$2:$F$42,MATCH($Q689,'Device Refrigerant Leakage'!$B$2:$B$42,0)),"")</f>
        <v/>
      </c>
      <c r="CZ689" s="145" t="str">
        <f>IF($I689&lt;&gt;"",INDEX('Device Refrigerant Leakage'!$G$2:$G$42,MATCH($Q689,'Device Refrigerant Leakage'!$B$2:$B$42,0)),"")</f>
        <v/>
      </c>
      <c r="DA689" s="145" t="str">
        <f>IF($I689&lt;&gt;"",J689*INDEX('Device Refrigerant Leakage'!$D$2:$D$42,MATCH($Q689,'Device Refrigerant Leakage'!$B$2:$B$42,0))*CX689/2204.62*CW689,"")</f>
        <v/>
      </c>
      <c r="DB689" s="145" t="str">
        <f>IF($I689&lt;&gt;"",J689*(INDEX('Device Refrigerant Leakage'!$D$2:$D$42,MATCH($Q689,'Device Refrigerant Leakage'!$B$2:$B$42,0))-(INDEX('Device Refrigerant Leakage'!$D$2:$D$42,MATCH($Q689,'Device Refrigerant Leakage'!$B$2:$B$42,0)))*CZ689*CX689)*CY689/2204.62*CW689,"")</f>
        <v/>
      </c>
      <c r="DC689" s="135" t="str">
        <f t="shared" si="824"/>
        <v/>
      </c>
      <c r="DE689" s="146" t="str">
        <f>IF(W689&lt;&gt;"AR","",IF(Y689="User Specified", AA689, INDEX('Refrigerant GWPs'!$G$2:$G$154,MATCH(Y689,'Refrigerant GWPs'!$A$2:$A$154,0))))</f>
        <v/>
      </c>
      <c r="DF689" s="146" t="str">
        <f>IF(W689&lt;&gt;"AR","",INDEX('Device Refrigerant Leakage'!$E$2:$E$42,MATCH(X689,'Device Refrigerant Leakage'!$B$2:$B$42,0)))</f>
        <v/>
      </c>
      <c r="DG689" s="146" t="str">
        <f>IF(W689&lt;&gt;"AR","",INDEX('Device Refrigerant Leakage'!$F$2:$F$42,MATCH(X689,'Device Refrigerant Leakage'!$B$2:$B$42,0)))</f>
        <v/>
      </c>
      <c r="DH689" s="146" t="str">
        <f>IF(W689&lt;&gt;"AR","",INDEX('Device Refrigerant Leakage'!$G$2:$G$42,MATCH(X689,'Device Refrigerant Leakage'!$B$2:$B$42,0)))</f>
        <v/>
      </c>
      <c r="DI689" s="146" t="str">
        <f>IF(W689&lt;&gt;"AR","",J689*INDEX('Device Refrigerant Leakage'!$D$2:$D$42,MATCH(X689,'Device Refrigerant Leakage'!$B$2:$B$42,0))*DF689/2204.62*DE689)</f>
        <v/>
      </c>
      <c r="DJ689" s="146" t="str">
        <f>IF(W689&lt;&gt;"AR","",J689*(INDEX('Device Refrigerant Leakage'!$D$2:$D$42,MATCH(X689,'Device Refrigerant Leakage'!$B$2:$B$42,0))-(INDEX('Device Refrigerant Leakage'!$D$2:$D$42,MATCH(X689,'Device Refrigerant Leakage'!$B$2:$B$42,0)))*DH689*DF689)*DG689/2204.62*DE689)</f>
        <v/>
      </c>
      <c r="DK689" s="146" t="str">
        <f>IF(W689&lt;&gt;"AR","",DI689*(K689-AB689)+'Fuel Sub Calcs-Deemed'!DJ689*((K689-AB689)/INDEX('Device Refrigerant Leakage'!$C$2:$C$42,MATCH('Fuel Sub Calcs-Deemed'!X689,'Device Refrigerant Leakage'!$B$2:$B$42,0))))</f>
        <v/>
      </c>
      <c r="DM689" s="56">
        <v>675</v>
      </c>
      <c r="DN689" s="67" t="e">
        <f t="shared" si="806"/>
        <v>#N/A</v>
      </c>
      <c r="DO689" s="45" t="e">
        <f t="shared" si="807"/>
        <v>#N/A</v>
      </c>
      <c r="DP689" s="67" t="e">
        <f t="shared" si="808"/>
        <v>#N/A</v>
      </c>
      <c r="DQ689" s="45" t="e">
        <f t="shared" si="809"/>
        <v>#N/A</v>
      </c>
      <c r="DR689" s="69" t="e">
        <f t="shared" si="810"/>
        <v>#N/A</v>
      </c>
      <c r="DS689" s="34"/>
      <c r="DT689" s="67" t="e">
        <f>((BX689*CJ689)+IF($W689=MAT_AR,(BZ689*CL689),0))*(1+Reference!$E$50+Reference!$E$51)</f>
        <v>#N/A</v>
      </c>
      <c r="DU689" s="67">
        <f>((BY689*CK689)+IF($W689=MAT_AR,(CA689*CM689),0))*(1+Reference!$G$50+Reference!$G$51)</f>
        <v>0</v>
      </c>
      <c r="DV689" s="67" t="e">
        <f t="shared" si="811"/>
        <v>#VALUE!</v>
      </c>
      <c r="DX689" s="56">
        <v>675</v>
      </c>
      <c r="DY689" s="67">
        <f t="shared" si="812"/>
        <v>0</v>
      </c>
      <c r="DZ689" s="45" t="e">
        <f>VLOOKUP($R689,Dropdown!$C$3:$D$4,2,FALSE)</f>
        <v>#N/A</v>
      </c>
      <c r="EA689" s="68">
        <f t="shared" si="813"/>
        <v>0</v>
      </c>
      <c r="EB689" s="68" t="str">
        <f t="shared" si="814"/>
        <v>N/A</v>
      </c>
      <c r="EC689" s="68">
        <f t="shared" si="815"/>
        <v>0</v>
      </c>
      <c r="ED689" s="68" t="str">
        <f t="shared" si="853"/>
        <v>N/A</v>
      </c>
      <c r="EF689" s="56">
        <v>675</v>
      </c>
      <c r="EG689" s="46">
        <f t="shared" si="816"/>
        <v>0</v>
      </c>
      <c r="EH689" s="68" t="e">
        <f t="shared" si="817"/>
        <v>#N/A</v>
      </c>
      <c r="EI689" s="68" t="e">
        <f t="shared" si="818"/>
        <v>#N/A</v>
      </c>
      <c r="EJ689" s="68" t="e">
        <f t="shared" si="819"/>
        <v>#N/A</v>
      </c>
      <c r="EK689" s="68" t="e">
        <f t="shared" si="820"/>
        <v>#N/A</v>
      </c>
      <c r="EL689" s="46">
        <f t="shared" si="821"/>
        <v>0</v>
      </c>
      <c r="EM689" s="46">
        <f t="shared" si="822"/>
        <v>0</v>
      </c>
    </row>
    <row r="690" spans="1:143">
      <c r="A690" s="89"/>
      <c r="B690" s="89"/>
      <c r="C690" s="89"/>
      <c r="D690" s="89"/>
      <c r="E690" s="89"/>
      <c r="F690" s="89"/>
      <c r="G690" s="34"/>
      <c r="H690" s="56">
        <f t="shared" si="823"/>
        <v>676</v>
      </c>
      <c r="I690" s="165"/>
      <c r="J690" s="163"/>
      <c r="K690" s="163"/>
      <c r="L690" s="164"/>
      <c r="M690" s="155"/>
      <c r="N690" s="155"/>
      <c r="O690" s="144"/>
      <c r="P690" s="159" t="str">
        <f>IFERROR(IF(O690&lt;&gt;"User Specified",IF(O690&lt;&gt;"", INDEX('Refrigerant GWPs'!$G$2:$G$154,MATCH(O690,'Refrigerant GWPs'!$A$2:$A$154,0)),""),U690),0)</f>
        <v/>
      </c>
      <c r="Q690" s="155"/>
      <c r="R690" s="155"/>
      <c r="S690" s="144"/>
      <c r="T690" s="159" t="str">
        <f>IF(S690&lt;&gt;"User Specified",IF(AND(S690&lt;&gt;"User Specified",S690&lt;&gt;""), INDEX('Refrigerant GWPs'!$G$2:$G$154,MATCH(S690,'Refrigerant GWPs'!$A$2:$A$154,0)),""),V690)</f>
        <v/>
      </c>
      <c r="U690" s="144"/>
      <c r="V690" s="144"/>
      <c r="W690" s="155"/>
      <c r="X690" s="155"/>
      <c r="Y690" s="144"/>
      <c r="Z690" s="159" t="str">
        <f>IF(AND(Y690&lt;&gt;"User Specified",Y690&lt;&gt;""), INDEX('Refrigerant GWPs'!$G$2:$G$154,MATCH(Y690,'Refrigerant GWPs'!$A$2:$A$154,0)),"")</f>
        <v/>
      </c>
      <c r="AA690" s="155"/>
      <c r="AB690" s="156"/>
      <c r="AC690" s="66"/>
      <c r="AD690" s="66"/>
      <c r="AE690" s="66"/>
      <c r="AF690" s="66"/>
      <c r="AG690" s="66"/>
      <c r="AH690" s="66"/>
      <c r="AI690" s="34"/>
      <c r="AJ690" s="88">
        <f t="shared" si="786"/>
        <v>0</v>
      </c>
      <c r="AK690" s="88">
        <f t="shared" si="787"/>
        <v>0</v>
      </c>
      <c r="AL690" s="88">
        <v>0</v>
      </c>
      <c r="AM690" s="88">
        <v>0</v>
      </c>
      <c r="AN690" s="81" t="str">
        <f t="shared" si="825"/>
        <v/>
      </c>
      <c r="AO690" s="88">
        <f t="shared" si="788"/>
        <v>0</v>
      </c>
      <c r="AP690" s="88">
        <f t="shared" si="789"/>
        <v>0</v>
      </c>
      <c r="AQ690" s="81" t="str">
        <f t="shared" si="790"/>
        <v/>
      </c>
      <c r="AS690" s="41" t="b">
        <f t="shared" si="791"/>
        <v>1</v>
      </c>
      <c r="AT690" s="38">
        <f t="shared" si="792"/>
        <v>0</v>
      </c>
      <c r="AU690" s="60">
        <f t="shared" si="793"/>
        <v>0</v>
      </c>
      <c r="AV690" s="41">
        <f t="shared" si="794"/>
        <v>0</v>
      </c>
      <c r="AW690" s="41" t="b">
        <f t="shared" si="795"/>
        <v>0</v>
      </c>
      <c r="AX690" t="str">
        <f t="shared" si="796"/>
        <v>+00</v>
      </c>
      <c r="AY690" t="str">
        <f t="shared" si="797"/>
        <v>+00</v>
      </c>
      <c r="BA690" s="47" t="b">
        <f t="shared" si="826"/>
        <v>1</v>
      </c>
      <c r="BB690" s="42" t="b">
        <f t="shared" si="827"/>
        <v>1</v>
      </c>
      <c r="BC690" s="42" t="b">
        <f t="shared" si="828"/>
        <v>0</v>
      </c>
      <c r="BD690" s="42" t="b">
        <f t="shared" si="829"/>
        <v>0</v>
      </c>
      <c r="BE690" s="70">
        <f t="shared" si="830"/>
        <v>0</v>
      </c>
      <c r="BF690" s="70">
        <f t="shared" si="831"/>
        <v>0</v>
      </c>
      <c r="BG690" s="34"/>
      <c r="BI690" s="47" t="b">
        <f t="shared" si="832"/>
        <v>1</v>
      </c>
      <c r="BJ690" s="47" t="b">
        <f t="shared" si="833"/>
        <v>1</v>
      </c>
      <c r="BK690" s="42" t="b">
        <f t="shared" si="834"/>
        <v>0</v>
      </c>
      <c r="BL690" s="42" t="b">
        <f t="shared" si="835"/>
        <v>0</v>
      </c>
      <c r="BM690" s="42">
        <f t="shared" si="836"/>
        <v>0</v>
      </c>
      <c r="BN690" s="42">
        <f t="shared" si="837"/>
        <v>0</v>
      </c>
      <c r="BP690" t="e">
        <f t="shared" si="838"/>
        <v>#N/A</v>
      </c>
      <c r="BQ690" t="e">
        <f t="shared" si="839"/>
        <v>#N/A</v>
      </c>
      <c r="BR690" t="e">
        <f t="shared" si="840"/>
        <v>#N/A</v>
      </c>
      <c r="BT690" s="60">
        <f t="shared" si="841"/>
        <v>0</v>
      </c>
      <c r="BU690" s="60">
        <f t="shared" si="842"/>
        <v>0</v>
      </c>
      <c r="BV690" s="60">
        <f t="shared" si="843"/>
        <v>0</v>
      </c>
      <c r="BW690" s="60">
        <f t="shared" si="844"/>
        <v>0</v>
      </c>
      <c r="BX690" s="60">
        <f t="shared" si="845"/>
        <v>0</v>
      </c>
      <c r="BY690" s="60">
        <f t="shared" si="846"/>
        <v>0</v>
      </c>
      <c r="BZ690" s="60">
        <f t="shared" si="847"/>
        <v>0</v>
      </c>
      <c r="CA690" s="60">
        <f t="shared" si="848"/>
        <v>0</v>
      </c>
      <c r="CB690" s="60" t="e">
        <f t="shared" si="798"/>
        <v>#N/A</v>
      </c>
      <c r="CC690" s="60">
        <f t="shared" si="799"/>
        <v>100000</v>
      </c>
      <c r="CD690" s="60" t="e">
        <f t="shared" si="800"/>
        <v>#N/A</v>
      </c>
      <c r="CE690" s="60">
        <f t="shared" si="801"/>
        <v>100000</v>
      </c>
      <c r="CF690" s="83" t="e">
        <f t="shared" si="849"/>
        <v>#N/A</v>
      </c>
      <c r="CG690" s="83">
        <f t="shared" si="850"/>
        <v>0</v>
      </c>
      <c r="CH690" s="83" t="e">
        <f t="shared" si="851"/>
        <v>#N/A</v>
      </c>
      <c r="CI690" s="83">
        <f t="shared" si="852"/>
        <v>0</v>
      </c>
      <c r="CJ690" s="86" t="e">
        <f t="shared" si="802"/>
        <v>#N/A</v>
      </c>
      <c r="CK690" s="82">
        <f t="shared" si="803"/>
        <v>5.3070370403969858E-3</v>
      </c>
      <c r="CL690" s="82" t="e">
        <f t="shared" si="804"/>
        <v>#N/A</v>
      </c>
      <c r="CM690" s="82">
        <f t="shared" si="805"/>
        <v>5.3070370403969858E-3</v>
      </c>
      <c r="CO690" s="149" t="str">
        <f>IF($I690&lt;&gt;"",IF(O690="User Specified",U690,INDEX('Refrigerant GWPs'!$G$2:$G$156,MATCH(O690,'Refrigerant GWPs'!$A$2:$A$156,0))),"")</f>
        <v/>
      </c>
      <c r="CP690" s="138" t="str">
        <f>IF($I690&lt;&gt;"",INDEX('Device Refrigerant Leakage'!$E$2:$E$42,MATCH($M690,'Device Refrigerant Leakage'!$B$2:$B$42,0)),"")</f>
        <v/>
      </c>
      <c r="CQ690" s="138" t="str">
        <f>IF($I690&lt;&gt;"",INDEX('Device Refrigerant Leakage'!$F$2:$F$42,MATCH($M690,'Device Refrigerant Leakage'!$B$2:$B$42,0)),"")</f>
        <v/>
      </c>
      <c r="CR690" s="145" t="str">
        <f>IF($I690&lt;&gt;"",INDEX('Device Refrigerant Leakage'!$G$2:$G$42,MATCH($M690,'Device Refrigerant Leakage'!$B$2:$B$42,0)),"")</f>
        <v/>
      </c>
      <c r="CS690" s="145" t="str">
        <f>IF($I690&lt;&gt;"",INDEX('Device Refrigerant Leakage'!$D$2:$D$42,MATCH($M690,'Device Refrigerant Leakage'!$B$2:$B$42,0))*CP690/2204.62*CO690,"")</f>
        <v/>
      </c>
      <c r="CT690" s="145" t="str">
        <f>IF($I690&lt;&gt;"",J690*(INDEX('Device Refrigerant Leakage'!$D$2:$D$42,MATCH($M690,'Device Refrigerant Leakage'!$B$2:$B$42,0))-(INDEX('Device Refrigerant Leakage'!$D$2:$D$42,MATCH($M690,'Device Refrigerant Leakage'!$B$2:$B$42,0)))*CR690*CP690)*CQ690/2204.62*CO690,"")</f>
        <v/>
      </c>
      <c r="CU690" s="135" t="str">
        <f>IF($I690&lt;&gt;"",J690*IF(W690&lt;&gt;"AR",(CS690*K690)+CT690,(CS690*AB690)+CT690*(AB690/INDEX('Device Refrigerant Leakage'!$C$2:$C$42,MATCH($M690,'Device Refrigerant Leakage'!$B$2:$B$42,0)))),"")</f>
        <v/>
      </c>
      <c r="CW690" s="135" t="str">
        <f>IF($I690&lt;&gt;"",IF(S690="User Specified",V690,INDEX('Refrigerant GWPs'!$G$2:$G$156,MATCH(S690,'Refrigerant GWPs'!$A$2:$A$157,0))),"")</f>
        <v/>
      </c>
      <c r="CX690" s="138" t="str">
        <f>IF($I690&lt;&gt;"",INDEX('Device Refrigerant Leakage'!$E$2:$E$42,MATCH($Q690,'Device Refrigerant Leakage'!$B$2:$B$42,0)),"")</f>
        <v/>
      </c>
      <c r="CY690" s="138" t="str">
        <f>IF($I690&lt;&gt;"",INDEX('Device Refrigerant Leakage'!$F$2:$F$42,MATCH($Q690,'Device Refrigerant Leakage'!$B$2:$B$42,0)),"")</f>
        <v/>
      </c>
      <c r="CZ690" s="145" t="str">
        <f>IF($I690&lt;&gt;"",INDEX('Device Refrigerant Leakage'!$G$2:$G$42,MATCH($Q690,'Device Refrigerant Leakage'!$B$2:$B$42,0)),"")</f>
        <v/>
      </c>
      <c r="DA690" s="145" t="str">
        <f>IF($I690&lt;&gt;"",J690*INDEX('Device Refrigerant Leakage'!$D$2:$D$42,MATCH($Q690,'Device Refrigerant Leakage'!$B$2:$B$42,0))*CX690/2204.62*CW690,"")</f>
        <v/>
      </c>
      <c r="DB690" s="145" t="str">
        <f>IF($I690&lt;&gt;"",J690*(INDEX('Device Refrigerant Leakage'!$D$2:$D$42,MATCH($Q690,'Device Refrigerant Leakage'!$B$2:$B$42,0))-(INDEX('Device Refrigerant Leakage'!$D$2:$D$42,MATCH($Q690,'Device Refrigerant Leakage'!$B$2:$B$42,0)))*CZ690*CX690)*CY690/2204.62*CW690,"")</f>
        <v/>
      </c>
      <c r="DC690" s="135" t="str">
        <f t="shared" si="824"/>
        <v/>
      </c>
      <c r="DE690" s="146" t="str">
        <f>IF(W690&lt;&gt;"AR","",IF(Y690="User Specified", AA690, INDEX('Refrigerant GWPs'!$G$2:$G$154,MATCH(Y690,'Refrigerant GWPs'!$A$2:$A$154,0))))</f>
        <v/>
      </c>
      <c r="DF690" s="146" t="str">
        <f>IF(W690&lt;&gt;"AR","",INDEX('Device Refrigerant Leakage'!$E$2:$E$42,MATCH(X690,'Device Refrigerant Leakage'!$B$2:$B$42,0)))</f>
        <v/>
      </c>
      <c r="DG690" s="146" t="str">
        <f>IF(W690&lt;&gt;"AR","",INDEX('Device Refrigerant Leakage'!$F$2:$F$42,MATCH(X690,'Device Refrigerant Leakage'!$B$2:$B$42,0)))</f>
        <v/>
      </c>
      <c r="DH690" s="146" t="str">
        <f>IF(W690&lt;&gt;"AR","",INDEX('Device Refrigerant Leakage'!$G$2:$G$42,MATCH(X690,'Device Refrigerant Leakage'!$B$2:$B$42,0)))</f>
        <v/>
      </c>
      <c r="DI690" s="146" t="str">
        <f>IF(W690&lt;&gt;"AR","",J690*INDEX('Device Refrigerant Leakage'!$D$2:$D$42,MATCH(X690,'Device Refrigerant Leakage'!$B$2:$B$42,0))*DF690/2204.62*DE690)</f>
        <v/>
      </c>
      <c r="DJ690" s="146" t="str">
        <f>IF(W690&lt;&gt;"AR","",J690*(INDEX('Device Refrigerant Leakage'!$D$2:$D$42,MATCH(X690,'Device Refrigerant Leakage'!$B$2:$B$42,0))-(INDEX('Device Refrigerant Leakage'!$D$2:$D$42,MATCH(X690,'Device Refrigerant Leakage'!$B$2:$B$42,0)))*DH690*DF690)*DG690/2204.62*DE690)</f>
        <v/>
      </c>
      <c r="DK690" s="146" t="str">
        <f>IF(W690&lt;&gt;"AR","",DI690*(K690-AB690)+'Fuel Sub Calcs-Deemed'!DJ690*((K690-AB690)/INDEX('Device Refrigerant Leakage'!$C$2:$C$42,MATCH('Fuel Sub Calcs-Deemed'!X690,'Device Refrigerant Leakage'!$B$2:$B$42,0))))</f>
        <v/>
      </c>
      <c r="DM690" s="56">
        <v>676</v>
      </c>
      <c r="DN690" s="67" t="e">
        <f t="shared" si="806"/>
        <v>#N/A</v>
      </c>
      <c r="DO690" s="45" t="e">
        <f t="shared" si="807"/>
        <v>#N/A</v>
      </c>
      <c r="DP690" s="67" t="e">
        <f t="shared" si="808"/>
        <v>#N/A</v>
      </c>
      <c r="DQ690" s="45" t="e">
        <f t="shared" si="809"/>
        <v>#N/A</v>
      </c>
      <c r="DR690" s="69" t="e">
        <f t="shared" si="810"/>
        <v>#N/A</v>
      </c>
      <c r="DS690" s="34"/>
      <c r="DT690" s="67" t="e">
        <f>((BX690*CJ690)+IF($W690=MAT_AR,(BZ690*CL690),0))*(1+Reference!$E$50+Reference!$E$51)</f>
        <v>#N/A</v>
      </c>
      <c r="DU690" s="67">
        <f>((BY690*CK690)+IF($W690=MAT_AR,(CA690*CM690),0))*(1+Reference!$G$50+Reference!$G$51)</f>
        <v>0</v>
      </c>
      <c r="DV690" s="67" t="e">
        <f t="shared" si="811"/>
        <v>#VALUE!</v>
      </c>
      <c r="DX690" s="56">
        <v>676</v>
      </c>
      <c r="DY690" s="67">
        <f t="shared" si="812"/>
        <v>0</v>
      </c>
      <c r="DZ690" s="45" t="e">
        <f>VLOOKUP($R690,Dropdown!$C$3:$D$4,2,FALSE)</f>
        <v>#N/A</v>
      </c>
      <c r="EA690" s="68">
        <f t="shared" si="813"/>
        <v>0</v>
      </c>
      <c r="EB690" s="68" t="str">
        <f t="shared" si="814"/>
        <v>N/A</v>
      </c>
      <c r="EC690" s="68">
        <f t="shared" si="815"/>
        <v>0</v>
      </c>
      <c r="ED690" s="68" t="str">
        <f t="shared" si="853"/>
        <v>N/A</v>
      </c>
      <c r="EF690" s="56">
        <v>676</v>
      </c>
      <c r="EG690" s="46">
        <f t="shared" si="816"/>
        <v>0</v>
      </c>
      <c r="EH690" s="68" t="e">
        <f t="shared" si="817"/>
        <v>#N/A</v>
      </c>
      <c r="EI690" s="68" t="e">
        <f t="shared" si="818"/>
        <v>#N/A</v>
      </c>
      <c r="EJ690" s="68" t="e">
        <f t="shared" si="819"/>
        <v>#N/A</v>
      </c>
      <c r="EK690" s="68" t="e">
        <f t="shared" si="820"/>
        <v>#N/A</v>
      </c>
      <c r="EL690" s="46">
        <f t="shared" si="821"/>
        <v>0</v>
      </c>
      <c r="EM690" s="46">
        <f t="shared" si="822"/>
        <v>0</v>
      </c>
    </row>
    <row r="691" spans="1:143">
      <c r="A691" s="89"/>
      <c r="B691" s="89"/>
      <c r="C691" s="89"/>
      <c r="D691" s="89"/>
      <c r="E691" s="89"/>
      <c r="F691" s="89"/>
      <c r="G691" s="34"/>
      <c r="H691" s="56">
        <f t="shared" si="823"/>
        <v>677</v>
      </c>
      <c r="I691" s="165"/>
      <c r="J691" s="163"/>
      <c r="K691" s="163"/>
      <c r="L691" s="164"/>
      <c r="M691" s="155"/>
      <c r="N691" s="155"/>
      <c r="O691" s="144"/>
      <c r="P691" s="159" t="str">
        <f>IFERROR(IF(O691&lt;&gt;"User Specified",IF(O691&lt;&gt;"", INDEX('Refrigerant GWPs'!$G$2:$G$154,MATCH(O691,'Refrigerant GWPs'!$A$2:$A$154,0)),""),U691),0)</f>
        <v/>
      </c>
      <c r="Q691" s="155"/>
      <c r="R691" s="155"/>
      <c r="S691" s="144"/>
      <c r="T691" s="159" t="str">
        <f>IF(S691&lt;&gt;"User Specified",IF(AND(S691&lt;&gt;"User Specified",S691&lt;&gt;""), INDEX('Refrigerant GWPs'!$G$2:$G$154,MATCH(S691,'Refrigerant GWPs'!$A$2:$A$154,0)),""),V691)</f>
        <v/>
      </c>
      <c r="U691" s="144"/>
      <c r="V691" s="144"/>
      <c r="W691" s="155"/>
      <c r="X691" s="155"/>
      <c r="Y691" s="144"/>
      <c r="Z691" s="159" t="str">
        <f>IF(AND(Y691&lt;&gt;"User Specified",Y691&lt;&gt;""), INDEX('Refrigerant GWPs'!$G$2:$G$154,MATCH(Y691,'Refrigerant GWPs'!$A$2:$A$154,0)),"")</f>
        <v/>
      </c>
      <c r="AA691" s="155"/>
      <c r="AB691" s="156"/>
      <c r="AC691" s="66"/>
      <c r="AD691" s="66"/>
      <c r="AE691" s="66"/>
      <c r="AF691" s="66"/>
      <c r="AG691" s="66"/>
      <c r="AH691" s="66"/>
      <c r="AI691" s="34"/>
      <c r="AJ691" s="88">
        <f t="shared" si="786"/>
        <v>0</v>
      </c>
      <c r="AK691" s="88">
        <f t="shared" si="787"/>
        <v>0</v>
      </c>
      <c r="AL691" s="88">
        <v>0</v>
      </c>
      <c r="AM691" s="88">
        <v>0</v>
      </c>
      <c r="AN691" s="81" t="str">
        <f t="shared" si="825"/>
        <v/>
      </c>
      <c r="AO691" s="88">
        <f t="shared" si="788"/>
        <v>0</v>
      </c>
      <c r="AP691" s="88">
        <f t="shared" si="789"/>
        <v>0</v>
      </c>
      <c r="AQ691" s="81" t="str">
        <f t="shared" si="790"/>
        <v/>
      </c>
      <c r="AS691" s="41" t="b">
        <f t="shared" si="791"/>
        <v>1</v>
      </c>
      <c r="AT691" s="38">
        <f t="shared" si="792"/>
        <v>0</v>
      </c>
      <c r="AU691" s="60">
        <f t="shared" si="793"/>
        <v>0</v>
      </c>
      <c r="AV691" s="41">
        <f t="shared" si="794"/>
        <v>0</v>
      </c>
      <c r="AW691" s="41" t="b">
        <f t="shared" si="795"/>
        <v>0</v>
      </c>
      <c r="AX691" t="str">
        <f t="shared" si="796"/>
        <v>+00</v>
      </c>
      <c r="AY691" t="str">
        <f t="shared" si="797"/>
        <v>+00</v>
      </c>
      <c r="BA691" s="47" t="b">
        <f t="shared" si="826"/>
        <v>1</v>
      </c>
      <c r="BB691" s="42" t="b">
        <f t="shared" si="827"/>
        <v>1</v>
      </c>
      <c r="BC691" s="42" t="b">
        <f t="shared" si="828"/>
        <v>0</v>
      </c>
      <c r="BD691" s="42" t="b">
        <f t="shared" si="829"/>
        <v>0</v>
      </c>
      <c r="BE691" s="70">
        <f t="shared" si="830"/>
        <v>0</v>
      </c>
      <c r="BF691" s="70">
        <f t="shared" si="831"/>
        <v>0</v>
      </c>
      <c r="BG691" s="34"/>
      <c r="BI691" s="47" t="b">
        <f t="shared" si="832"/>
        <v>1</v>
      </c>
      <c r="BJ691" s="47" t="b">
        <f t="shared" si="833"/>
        <v>1</v>
      </c>
      <c r="BK691" s="42" t="b">
        <f t="shared" si="834"/>
        <v>0</v>
      </c>
      <c r="BL691" s="42" t="b">
        <f t="shared" si="835"/>
        <v>0</v>
      </c>
      <c r="BM691" s="42">
        <f t="shared" si="836"/>
        <v>0</v>
      </c>
      <c r="BN691" s="42">
        <f t="shared" si="837"/>
        <v>0</v>
      </c>
      <c r="BP691" t="e">
        <f t="shared" si="838"/>
        <v>#N/A</v>
      </c>
      <c r="BQ691" t="e">
        <f t="shared" si="839"/>
        <v>#N/A</v>
      </c>
      <c r="BR691" t="e">
        <f t="shared" si="840"/>
        <v>#N/A</v>
      </c>
      <c r="BT691" s="60">
        <f t="shared" si="841"/>
        <v>0</v>
      </c>
      <c r="BU691" s="60">
        <f t="shared" si="842"/>
        <v>0</v>
      </c>
      <c r="BV691" s="60">
        <f t="shared" si="843"/>
        <v>0</v>
      </c>
      <c r="BW691" s="60">
        <f t="shared" si="844"/>
        <v>0</v>
      </c>
      <c r="BX691" s="60">
        <f t="shared" si="845"/>
        <v>0</v>
      </c>
      <c r="BY691" s="60">
        <f t="shared" si="846"/>
        <v>0</v>
      </c>
      <c r="BZ691" s="60">
        <f t="shared" si="847"/>
        <v>0</v>
      </c>
      <c r="CA691" s="60">
        <f t="shared" si="848"/>
        <v>0</v>
      </c>
      <c r="CB691" s="60" t="e">
        <f t="shared" si="798"/>
        <v>#N/A</v>
      </c>
      <c r="CC691" s="60">
        <f t="shared" si="799"/>
        <v>100000</v>
      </c>
      <c r="CD691" s="60" t="e">
        <f t="shared" si="800"/>
        <v>#N/A</v>
      </c>
      <c r="CE691" s="60">
        <f t="shared" si="801"/>
        <v>100000</v>
      </c>
      <c r="CF691" s="83" t="e">
        <f t="shared" si="849"/>
        <v>#N/A</v>
      </c>
      <c r="CG691" s="83">
        <f t="shared" si="850"/>
        <v>0</v>
      </c>
      <c r="CH691" s="83" t="e">
        <f t="shared" si="851"/>
        <v>#N/A</v>
      </c>
      <c r="CI691" s="83">
        <f t="shared" si="852"/>
        <v>0</v>
      </c>
      <c r="CJ691" s="86" t="e">
        <f t="shared" si="802"/>
        <v>#N/A</v>
      </c>
      <c r="CK691" s="82">
        <f t="shared" si="803"/>
        <v>5.3070370403969858E-3</v>
      </c>
      <c r="CL691" s="82" t="e">
        <f t="shared" si="804"/>
        <v>#N/A</v>
      </c>
      <c r="CM691" s="82">
        <f t="shared" si="805"/>
        <v>5.3070370403969858E-3</v>
      </c>
      <c r="CO691" s="149" t="str">
        <f>IF($I691&lt;&gt;"",IF(O691="User Specified",U691,INDEX('Refrigerant GWPs'!$G$2:$G$156,MATCH(O691,'Refrigerant GWPs'!$A$2:$A$156,0))),"")</f>
        <v/>
      </c>
      <c r="CP691" s="138" t="str">
        <f>IF($I691&lt;&gt;"",INDEX('Device Refrigerant Leakage'!$E$2:$E$42,MATCH($M691,'Device Refrigerant Leakage'!$B$2:$B$42,0)),"")</f>
        <v/>
      </c>
      <c r="CQ691" s="138" t="str">
        <f>IF($I691&lt;&gt;"",INDEX('Device Refrigerant Leakage'!$F$2:$F$42,MATCH($M691,'Device Refrigerant Leakage'!$B$2:$B$42,0)),"")</f>
        <v/>
      </c>
      <c r="CR691" s="145" t="str">
        <f>IF($I691&lt;&gt;"",INDEX('Device Refrigerant Leakage'!$G$2:$G$42,MATCH($M691,'Device Refrigerant Leakage'!$B$2:$B$42,0)),"")</f>
        <v/>
      </c>
      <c r="CS691" s="145" t="str">
        <f>IF($I691&lt;&gt;"",INDEX('Device Refrigerant Leakage'!$D$2:$D$42,MATCH($M691,'Device Refrigerant Leakage'!$B$2:$B$42,0))*CP691/2204.62*CO691,"")</f>
        <v/>
      </c>
      <c r="CT691" s="145" t="str">
        <f>IF($I691&lt;&gt;"",J691*(INDEX('Device Refrigerant Leakage'!$D$2:$D$42,MATCH($M691,'Device Refrigerant Leakage'!$B$2:$B$42,0))-(INDEX('Device Refrigerant Leakage'!$D$2:$D$42,MATCH($M691,'Device Refrigerant Leakage'!$B$2:$B$42,0)))*CR691*CP691)*CQ691/2204.62*CO691,"")</f>
        <v/>
      </c>
      <c r="CU691" s="135" t="str">
        <f>IF($I691&lt;&gt;"",J691*IF(W691&lt;&gt;"AR",(CS691*K691)+CT691,(CS691*AB691)+CT691*(AB691/INDEX('Device Refrigerant Leakage'!$C$2:$C$42,MATCH($M691,'Device Refrigerant Leakage'!$B$2:$B$42,0)))),"")</f>
        <v/>
      </c>
      <c r="CW691" s="135" t="str">
        <f>IF($I691&lt;&gt;"",IF(S691="User Specified",V691,INDEX('Refrigerant GWPs'!$G$2:$G$156,MATCH(S691,'Refrigerant GWPs'!$A$2:$A$157,0))),"")</f>
        <v/>
      </c>
      <c r="CX691" s="138" t="str">
        <f>IF($I691&lt;&gt;"",INDEX('Device Refrigerant Leakage'!$E$2:$E$42,MATCH($Q691,'Device Refrigerant Leakage'!$B$2:$B$42,0)),"")</f>
        <v/>
      </c>
      <c r="CY691" s="138" t="str">
        <f>IF($I691&lt;&gt;"",INDEX('Device Refrigerant Leakage'!$F$2:$F$42,MATCH($Q691,'Device Refrigerant Leakage'!$B$2:$B$42,0)),"")</f>
        <v/>
      </c>
      <c r="CZ691" s="145" t="str">
        <f>IF($I691&lt;&gt;"",INDEX('Device Refrigerant Leakage'!$G$2:$G$42,MATCH($Q691,'Device Refrigerant Leakage'!$B$2:$B$42,0)),"")</f>
        <v/>
      </c>
      <c r="DA691" s="145" t="str">
        <f>IF($I691&lt;&gt;"",J691*INDEX('Device Refrigerant Leakage'!$D$2:$D$42,MATCH($Q691,'Device Refrigerant Leakage'!$B$2:$B$42,0))*CX691/2204.62*CW691,"")</f>
        <v/>
      </c>
      <c r="DB691" s="145" t="str">
        <f>IF($I691&lt;&gt;"",J691*(INDEX('Device Refrigerant Leakage'!$D$2:$D$42,MATCH($Q691,'Device Refrigerant Leakage'!$B$2:$B$42,0))-(INDEX('Device Refrigerant Leakage'!$D$2:$D$42,MATCH($Q691,'Device Refrigerant Leakage'!$B$2:$B$42,0)))*CZ691*CX691)*CY691/2204.62*CW691,"")</f>
        <v/>
      </c>
      <c r="DC691" s="135" t="str">
        <f t="shared" si="824"/>
        <v/>
      </c>
      <c r="DE691" s="146" t="str">
        <f>IF(W691&lt;&gt;"AR","",IF(Y691="User Specified", AA691, INDEX('Refrigerant GWPs'!$G$2:$G$154,MATCH(Y691,'Refrigerant GWPs'!$A$2:$A$154,0))))</f>
        <v/>
      </c>
      <c r="DF691" s="146" t="str">
        <f>IF(W691&lt;&gt;"AR","",INDEX('Device Refrigerant Leakage'!$E$2:$E$42,MATCH(X691,'Device Refrigerant Leakage'!$B$2:$B$42,0)))</f>
        <v/>
      </c>
      <c r="DG691" s="146" t="str">
        <f>IF(W691&lt;&gt;"AR","",INDEX('Device Refrigerant Leakage'!$F$2:$F$42,MATCH(X691,'Device Refrigerant Leakage'!$B$2:$B$42,0)))</f>
        <v/>
      </c>
      <c r="DH691" s="146" t="str">
        <f>IF(W691&lt;&gt;"AR","",INDEX('Device Refrigerant Leakage'!$G$2:$G$42,MATCH(X691,'Device Refrigerant Leakage'!$B$2:$B$42,0)))</f>
        <v/>
      </c>
      <c r="DI691" s="146" t="str">
        <f>IF(W691&lt;&gt;"AR","",J691*INDEX('Device Refrigerant Leakage'!$D$2:$D$42,MATCH(X691,'Device Refrigerant Leakage'!$B$2:$B$42,0))*DF691/2204.62*DE691)</f>
        <v/>
      </c>
      <c r="DJ691" s="146" t="str">
        <f>IF(W691&lt;&gt;"AR","",J691*(INDEX('Device Refrigerant Leakage'!$D$2:$D$42,MATCH(X691,'Device Refrigerant Leakage'!$B$2:$B$42,0))-(INDEX('Device Refrigerant Leakage'!$D$2:$D$42,MATCH(X691,'Device Refrigerant Leakage'!$B$2:$B$42,0)))*DH691*DF691)*DG691/2204.62*DE691)</f>
        <v/>
      </c>
      <c r="DK691" s="146" t="str">
        <f>IF(W691&lt;&gt;"AR","",DI691*(K691-AB691)+'Fuel Sub Calcs-Deemed'!DJ691*((K691-AB691)/INDEX('Device Refrigerant Leakage'!$C$2:$C$42,MATCH('Fuel Sub Calcs-Deemed'!X691,'Device Refrigerant Leakage'!$B$2:$B$42,0))))</f>
        <v/>
      </c>
      <c r="DM691" s="56">
        <v>677</v>
      </c>
      <c r="DN691" s="67" t="e">
        <f t="shared" si="806"/>
        <v>#N/A</v>
      </c>
      <c r="DO691" s="45" t="e">
        <f t="shared" si="807"/>
        <v>#N/A</v>
      </c>
      <c r="DP691" s="67" t="e">
        <f t="shared" si="808"/>
        <v>#N/A</v>
      </c>
      <c r="DQ691" s="45" t="e">
        <f t="shared" si="809"/>
        <v>#N/A</v>
      </c>
      <c r="DR691" s="69" t="e">
        <f t="shared" si="810"/>
        <v>#N/A</v>
      </c>
      <c r="DS691" s="34"/>
      <c r="DT691" s="67" t="e">
        <f>((BX691*CJ691)+IF($W691=MAT_AR,(BZ691*CL691),0))*(1+Reference!$E$50+Reference!$E$51)</f>
        <v>#N/A</v>
      </c>
      <c r="DU691" s="67">
        <f>((BY691*CK691)+IF($W691=MAT_AR,(CA691*CM691),0))*(1+Reference!$G$50+Reference!$G$51)</f>
        <v>0</v>
      </c>
      <c r="DV691" s="67" t="e">
        <f t="shared" si="811"/>
        <v>#VALUE!</v>
      </c>
      <c r="DX691" s="56">
        <v>677</v>
      </c>
      <c r="DY691" s="67">
        <f t="shared" si="812"/>
        <v>0</v>
      </c>
      <c r="DZ691" s="45" t="e">
        <f>VLOOKUP($R691,Dropdown!$C$3:$D$4,2,FALSE)</f>
        <v>#N/A</v>
      </c>
      <c r="EA691" s="68">
        <f t="shared" si="813"/>
        <v>0</v>
      </c>
      <c r="EB691" s="68" t="str">
        <f t="shared" si="814"/>
        <v>N/A</v>
      </c>
      <c r="EC691" s="68">
        <f t="shared" si="815"/>
        <v>0</v>
      </c>
      <c r="ED691" s="68" t="str">
        <f t="shared" si="853"/>
        <v>N/A</v>
      </c>
      <c r="EF691" s="56">
        <v>677</v>
      </c>
      <c r="EG691" s="46">
        <f t="shared" si="816"/>
        <v>0</v>
      </c>
      <c r="EH691" s="68" t="e">
        <f t="shared" si="817"/>
        <v>#N/A</v>
      </c>
      <c r="EI691" s="68" t="e">
        <f t="shared" si="818"/>
        <v>#N/A</v>
      </c>
      <c r="EJ691" s="68" t="e">
        <f t="shared" si="819"/>
        <v>#N/A</v>
      </c>
      <c r="EK691" s="68" t="e">
        <f t="shared" si="820"/>
        <v>#N/A</v>
      </c>
      <c r="EL691" s="46">
        <f t="shared" si="821"/>
        <v>0</v>
      </c>
      <c r="EM691" s="46">
        <f t="shared" si="822"/>
        <v>0</v>
      </c>
    </row>
    <row r="692" spans="1:143">
      <c r="A692" s="89"/>
      <c r="B692" s="89"/>
      <c r="C692" s="89"/>
      <c r="D692" s="89"/>
      <c r="E692" s="89"/>
      <c r="F692" s="89"/>
      <c r="G692" s="34"/>
      <c r="H692" s="56">
        <f t="shared" si="823"/>
        <v>678</v>
      </c>
      <c r="I692" s="165"/>
      <c r="J692" s="163"/>
      <c r="K692" s="163"/>
      <c r="L692" s="164"/>
      <c r="M692" s="155"/>
      <c r="N692" s="155"/>
      <c r="O692" s="144"/>
      <c r="P692" s="159" t="str">
        <f>IFERROR(IF(O692&lt;&gt;"User Specified",IF(O692&lt;&gt;"", INDEX('Refrigerant GWPs'!$G$2:$G$154,MATCH(O692,'Refrigerant GWPs'!$A$2:$A$154,0)),""),U692),0)</f>
        <v/>
      </c>
      <c r="Q692" s="155"/>
      <c r="R692" s="155"/>
      <c r="S692" s="144"/>
      <c r="T692" s="159" t="str">
        <f>IF(S692&lt;&gt;"User Specified",IF(AND(S692&lt;&gt;"User Specified",S692&lt;&gt;""), INDEX('Refrigerant GWPs'!$G$2:$G$154,MATCH(S692,'Refrigerant GWPs'!$A$2:$A$154,0)),""),V692)</f>
        <v/>
      </c>
      <c r="U692" s="144"/>
      <c r="V692" s="144"/>
      <c r="W692" s="155"/>
      <c r="X692" s="155"/>
      <c r="Y692" s="144"/>
      <c r="Z692" s="159" t="str">
        <f>IF(AND(Y692&lt;&gt;"User Specified",Y692&lt;&gt;""), INDEX('Refrigerant GWPs'!$G$2:$G$154,MATCH(Y692,'Refrigerant GWPs'!$A$2:$A$154,0)),"")</f>
        <v/>
      </c>
      <c r="AA692" s="155"/>
      <c r="AB692" s="156"/>
      <c r="AC692" s="66"/>
      <c r="AD692" s="66"/>
      <c r="AE692" s="66"/>
      <c r="AF692" s="66"/>
      <c r="AG692" s="66"/>
      <c r="AH692" s="66"/>
      <c r="AI692" s="34"/>
      <c r="AJ692" s="88">
        <f t="shared" si="786"/>
        <v>0</v>
      </c>
      <c r="AK692" s="88">
        <f t="shared" si="787"/>
        <v>0</v>
      </c>
      <c r="AL692" s="88">
        <v>0</v>
      </c>
      <c r="AM692" s="88">
        <v>0</v>
      </c>
      <c r="AN692" s="81" t="str">
        <f t="shared" si="825"/>
        <v/>
      </c>
      <c r="AO692" s="88">
        <f t="shared" si="788"/>
        <v>0</v>
      </c>
      <c r="AP692" s="88">
        <f t="shared" si="789"/>
        <v>0</v>
      </c>
      <c r="AQ692" s="81" t="str">
        <f t="shared" si="790"/>
        <v/>
      </c>
      <c r="AS692" s="41" t="b">
        <f t="shared" si="791"/>
        <v>1</v>
      </c>
      <c r="AT692" s="38">
        <f t="shared" si="792"/>
        <v>0</v>
      </c>
      <c r="AU692" s="60">
        <f t="shared" si="793"/>
        <v>0</v>
      </c>
      <c r="AV692" s="41">
        <f t="shared" si="794"/>
        <v>0</v>
      </c>
      <c r="AW692" s="41" t="b">
        <f t="shared" si="795"/>
        <v>0</v>
      </c>
      <c r="AX692" t="str">
        <f t="shared" si="796"/>
        <v>+00</v>
      </c>
      <c r="AY692" t="str">
        <f t="shared" si="797"/>
        <v>+00</v>
      </c>
      <c r="BA692" s="47" t="b">
        <f t="shared" si="826"/>
        <v>1</v>
      </c>
      <c r="BB692" s="42" t="b">
        <f t="shared" si="827"/>
        <v>1</v>
      </c>
      <c r="BC692" s="42" t="b">
        <f t="shared" si="828"/>
        <v>0</v>
      </c>
      <c r="BD692" s="42" t="b">
        <f t="shared" si="829"/>
        <v>0</v>
      </c>
      <c r="BE692" s="70">
        <f t="shared" si="830"/>
        <v>0</v>
      </c>
      <c r="BF692" s="70">
        <f t="shared" si="831"/>
        <v>0</v>
      </c>
      <c r="BG692" s="34"/>
      <c r="BI692" s="47" t="b">
        <f t="shared" si="832"/>
        <v>1</v>
      </c>
      <c r="BJ692" s="47" t="b">
        <f t="shared" si="833"/>
        <v>1</v>
      </c>
      <c r="BK692" s="42" t="b">
        <f t="shared" si="834"/>
        <v>0</v>
      </c>
      <c r="BL692" s="42" t="b">
        <f t="shared" si="835"/>
        <v>0</v>
      </c>
      <c r="BM692" s="42">
        <f t="shared" si="836"/>
        <v>0</v>
      </c>
      <c r="BN692" s="42">
        <f t="shared" si="837"/>
        <v>0</v>
      </c>
      <c r="BP692" t="e">
        <f t="shared" si="838"/>
        <v>#N/A</v>
      </c>
      <c r="BQ692" t="e">
        <f t="shared" si="839"/>
        <v>#N/A</v>
      </c>
      <c r="BR692" t="e">
        <f t="shared" si="840"/>
        <v>#N/A</v>
      </c>
      <c r="BT692" s="60">
        <f t="shared" si="841"/>
        <v>0</v>
      </c>
      <c r="BU692" s="60">
        <f t="shared" si="842"/>
        <v>0</v>
      </c>
      <c r="BV692" s="60">
        <f t="shared" si="843"/>
        <v>0</v>
      </c>
      <c r="BW692" s="60">
        <f t="shared" si="844"/>
        <v>0</v>
      </c>
      <c r="BX692" s="60">
        <f t="shared" si="845"/>
        <v>0</v>
      </c>
      <c r="BY692" s="60">
        <f t="shared" si="846"/>
        <v>0</v>
      </c>
      <c r="BZ692" s="60">
        <f t="shared" si="847"/>
        <v>0</v>
      </c>
      <c r="CA692" s="60">
        <f t="shared" si="848"/>
        <v>0</v>
      </c>
      <c r="CB692" s="60" t="e">
        <f t="shared" si="798"/>
        <v>#N/A</v>
      </c>
      <c r="CC692" s="60">
        <f t="shared" si="799"/>
        <v>100000</v>
      </c>
      <c r="CD692" s="60" t="e">
        <f t="shared" si="800"/>
        <v>#N/A</v>
      </c>
      <c r="CE692" s="60">
        <f t="shared" si="801"/>
        <v>100000</v>
      </c>
      <c r="CF692" s="83" t="e">
        <f t="shared" si="849"/>
        <v>#N/A</v>
      </c>
      <c r="CG692" s="83">
        <f t="shared" si="850"/>
        <v>0</v>
      </c>
      <c r="CH692" s="83" t="e">
        <f t="shared" si="851"/>
        <v>#N/A</v>
      </c>
      <c r="CI692" s="83">
        <f t="shared" si="852"/>
        <v>0</v>
      </c>
      <c r="CJ692" s="86" t="e">
        <f t="shared" si="802"/>
        <v>#N/A</v>
      </c>
      <c r="CK692" s="82">
        <f t="shared" si="803"/>
        <v>5.3070370403969858E-3</v>
      </c>
      <c r="CL692" s="82" t="e">
        <f t="shared" si="804"/>
        <v>#N/A</v>
      </c>
      <c r="CM692" s="82">
        <f t="shared" si="805"/>
        <v>5.3070370403969858E-3</v>
      </c>
      <c r="CO692" s="149" t="str">
        <f>IF($I692&lt;&gt;"",IF(O692="User Specified",U692,INDEX('Refrigerant GWPs'!$G$2:$G$156,MATCH(O692,'Refrigerant GWPs'!$A$2:$A$156,0))),"")</f>
        <v/>
      </c>
      <c r="CP692" s="138" t="str">
        <f>IF($I692&lt;&gt;"",INDEX('Device Refrigerant Leakage'!$E$2:$E$42,MATCH($M692,'Device Refrigerant Leakage'!$B$2:$B$42,0)),"")</f>
        <v/>
      </c>
      <c r="CQ692" s="138" t="str">
        <f>IF($I692&lt;&gt;"",INDEX('Device Refrigerant Leakage'!$F$2:$F$42,MATCH($M692,'Device Refrigerant Leakage'!$B$2:$B$42,0)),"")</f>
        <v/>
      </c>
      <c r="CR692" s="145" t="str">
        <f>IF($I692&lt;&gt;"",INDEX('Device Refrigerant Leakage'!$G$2:$G$42,MATCH($M692,'Device Refrigerant Leakage'!$B$2:$B$42,0)),"")</f>
        <v/>
      </c>
      <c r="CS692" s="145" t="str">
        <f>IF($I692&lt;&gt;"",INDEX('Device Refrigerant Leakage'!$D$2:$D$42,MATCH($M692,'Device Refrigerant Leakage'!$B$2:$B$42,0))*CP692/2204.62*CO692,"")</f>
        <v/>
      </c>
      <c r="CT692" s="145" t="str">
        <f>IF($I692&lt;&gt;"",J692*(INDEX('Device Refrigerant Leakage'!$D$2:$D$42,MATCH($M692,'Device Refrigerant Leakage'!$B$2:$B$42,0))-(INDEX('Device Refrigerant Leakage'!$D$2:$D$42,MATCH($M692,'Device Refrigerant Leakage'!$B$2:$B$42,0)))*CR692*CP692)*CQ692/2204.62*CO692,"")</f>
        <v/>
      </c>
      <c r="CU692" s="135" t="str">
        <f>IF($I692&lt;&gt;"",J692*IF(W692&lt;&gt;"AR",(CS692*K692)+CT692,(CS692*AB692)+CT692*(AB692/INDEX('Device Refrigerant Leakage'!$C$2:$C$42,MATCH($M692,'Device Refrigerant Leakage'!$B$2:$B$42,0)))),"")</f>
        <v/>
      </c>
      <c r="CW692" s="135" t="str">
        <f>IF($I692&lt;&gt;"",IF(S692="User Specified",V692,INDEX('Refrigerant GWPs'!$G$2:$G$156,MATCH(S692,'Refrigerant GWPs'!$A$2:$A$157,0))),"")</f>
        <v/>
      </c>
      <c r="CX692" s="138" t="str">
        <f>IF($I692&lt;&gt;"",INDEX('Device Refrigerant Leakage'!$E$2:$E$42,MATCH($Q692,'Device Refrigerant Leakage'!$B$2:$B$42,0)),"")</f>
        <v/>
      </c>
      <c r="CY692" s="138" t="str">
        <f>IF($I692&lt;&gt;"",INDEX('Device Refrigerant Leakage'!$F$2:$F$42,MATCH($Q692,'Device Refrigerant Leakage'!$B$2:$B$42,0)),"")</f>
        <v/>
      </c>
      <c r="CZ692" s="145" t="str">
        <f>IF($I692&lt;&gt;"",INDEX('Device Refrigerant Leakage'!$G$2:$G$42,MATCH($Q692,'Device Refrigerant Leakage'!$B$2:$B$42,0)),"")</f>
        <v/>
      </c>
      <c r="DA692" s="145" t="str">
        <f>IF($I692&lt;&gt;"",J692*INDEX('Device Refrigerant Leakage'!$D$2:$D$42,MATCH($Q692,'Device Refrigerant Leakage'!$B$2:$B$42,0))*CX692/2204.62*CW692,"")</f>
        <v/>
      </c>
      <c r="DB692" s="145" t="str">
        <f>IF($I692&lt;&gt;"",J692*(INDEX('Device Refrigerant Leakage'!$D$2:$D$42,MATCH($Q692,'Device Refrigerant Leakage'!$B$2:$B$42,0))-(INDEX('Device Refrigerant Leakage'!$D$2:$D$42,MATCH($Q692,'Device Refrigerant Leakage'!$B$2:$B$42,0)))*CZ692*CX692)*CY692/2204.62*CW692,"")</f>
        <v/>
      </c>
      <c r="DC692" s="135" t="str">
        <f t="shared" si="824"/>
        <v/>
      </c>
      <c r="DE692" s="146" t="str">
        <f>IF(W692&lt;&gt;"AR","",IF(Y692="User Specified", AA692, INDEX('Refrigerant GWPs'!$G$2:$G$154,MATCH(Y692,'Refrigerant GWPs'!$A$2:$A$154,0))))</f>
        <v/>
      </c>
      <c r="DF692" s="146" t="str">
        <f>IF(W692&lt;&gt;"AR","",INDEX('Device Refrigerant Leakage'!$E$2:$E$42,MATCH(X692,'Device Refrigerant Leakage'!$B$2:$B$42,0)))</f>
        <v/>
      </c>
      <c r="DG692" s="146" t="str">
        <f>IF(W692&lt;&gt;"AR","",INDEX('Device Refrigerant Leakage'!$F$2:$F$42,MATCH(X692,'Device Refrigerant Leakage'!$B$2:$B$42,0)))</f>
        <v/>
      </c>
      <c r="DH692" s="146" t="str">
        <f>IF(W692&lt;&gt;"AR","",INDEX('Device Refrigerant Leakage'!$G$2:$G$42,MATCH(X692,'Device Refrigerant Leakage'!$B$2:$B$42,0)))</f>
        <v/>
      </c>
      <c r="DI692" s="146" t="str">
        <f>IF(W692&lt;&gt;"AR","",J692*INDEX('Device Refrigerant Leakage'!$D$2:$D$42,MATCH(X692,'Device Refrigerant Leakage'!$B$2:$B$42,0))*DF692/2204.62*DE692)</f>
        <v/>
      </c>
      <c r="DJ692" s="146" t="str">
        <f>IF(W692&lt;&gt;"AR","",J692*(INDEX('Device Refrigerant Leakage'!$D$2:$D$42,MATCH(X692,'Device Refrigerant Leakage'!$B$2:$B$42,0))-(INDEX('Device Refrigerant Leakage'!$D$2:$D$42,MATCH(X692,'Device Refrigerant Leakage'!$B$2:$B$42,0)))*DH692*DF692)*DG692/2204.62*DE692)</f>
        <v/>
      </c>
      <c r="DK692" s="146" t="str">
        <f>IF(W692&lt;&gt;"AR","",DI692*(K692-AB692)+'Fuel Sub Calcs-Deemed'!DJ692*((K692-AB692)/INDEX('Device Refrigerant Leakage'!$C$2:$C$42,MATCH('Fuel Sub Calcs-Deemed'!X692,'Device Refrigerant Leakage'!$B$2:$B$42,0))))</f>
        <v/>
      </c>
      <c r="DM692" s="56">
        <v>678</v>
      </c>
      <c r="DN692" s="67" t="e">
        <f t="shared" si="806"/>
        <v>#N/A</v>
      </c>
      <c r="DO692" s="45" t="e">
        <f t="shared" si="807"/>
        <v>#N/A</v>
      </c>
      <c r="DP692" s="67" t="e">
        <f t="shared" si="808"/>
        <v>#N/A</v>
      </c>
      <c r="DQ692" s="45" t="e">
        <f t="shared" si="809"/>
        <v>#N/A</v>
      </c>
      <c r="DR692" s="69" t="e">
        <f t="shared" si="810"/>
        <v>#N/A</v>
      </c>
      <c r="DS692" s="34"/>
      <c r="DT692" s="67" t="e">
        <f>((BX692*CJ692)+IF($W692=MAT_AR,(BZ692*CL692),0))*(1+Reference!$E$50+Reference!$E$51)</f>
        <v>#N/A</v>
      </c>
      <c r="DU692" s="67">
        <f>((BY692*CK692)+IF($W692=MAT_AR,(CA692*CM692),0))*(1+Reference!$G$50+Reference!$G$51)</f>
        <v>0</v>
      </c>
      <c r="DV692" s="67" t="e">
        <f t="shared" si="811"/>
        <v>#VALUE!</v>
      </c>
      <c r="DX692" s="56">
        <v>678</v>
      </c>
      <c r="DY692" s="67">
        <f t="shared" si="812"/>
        <v>0</v>
      </c>
      <c r="DZ692" s="45" t="e">
        <f>VLOOKUP($R692,Dropdown!$C$3:$D$4,2,FALSE)</f>
        <v>#N/A</v>
      </c>
      <c r="EA692" s="68">
        <f t="shared" si="813"/>
        <v>0</v>
      </c>
      <c r="EB692" s="68" t="str">
        <f t="shared" si="814"/>
        <v>N/A</v>
      </c>
      <c r="EC692" s="68">
        <f t="shared" si="815"/>
        <v>0</v>
      </c>
      <c r="ED692" s="68" t="str">
        <f t="shared" si="853"/>
        <v>N/A</v>
      </c>
      <c r="EF692" s="56">
        <v>678</v>
      </c>
      <c r="EG692" s="46">
        <f t="shared" si="816"/>
        <v>0</v>
      </c>
      <c r="EH692" s="68" t="e">
        <f t="shared" si="817"/>
        <v>#N/A</v>
      </c>
      <c r="EI692" s="68" t="e">
        <f t="shared" si="818"/>
        <v>#N/A</v>
      </c>
      <c r="EJ692" s="68" t="e">
        <f t="shared" si="819"/>
        <v>#N/A</v>
      </c>
      <c r="EK692" s="68" t="e">
        <f t="shared" si="820"/>
        <v>#N/A</v>
      </c>
      <c r="EL692" s="46">
        <f t="shared" si="821"/>
        <v>0</v>
      </c>
      <c r="EM692" s="46">
        <f t="shared" si="822"/>
        <v>0</v>
      </c>
    </row>
    <row r="693" spans="1:143">
      <c r="A693" s="89"/>
      <c r="B693" s="89"/>
      <c r="C693" s="89"/>
      <c r="D693" s="89"/>
      <c r="E693" s="89"/>
      <c r="F693" s="89"/>
      <c r="G693" s="34"/>
      <c r="H693" s="56">
        <f t="shared" si="823"/>
        <v>679</v>
      </c>
      <c r="I693" s="165"/>
      <c r="J693" s="163"/>
      <c r="K693" s="163"/>
      <c r="L693" s="164"/>
      <c r="M693" s="155"/>
      <c r="N693" s="155"/>
      <c r="O693" s="144"/>
      <c r="P693" s="159" t="str">
        <f>IFERROR(IF(O693&lt;&gt;"User Specified",IF(O693&lt;&gt;"", INDEX('Refrigerant GWPs'!$G$2:$G$154,MATCH(O693,'Refrigerant GWPs'!$A$2:$A$154,0)),""),U693),0)</f>
        <v/>
      </c>
      <c r="Q693" s="155"/>
      <c r="R693" s="155"/>
      <c r="S693" s="144"/>
      <c r="T693" s="159" t="str">
        <f>IF(S693&lt;&gt;"User Specified",IF(AND(S693&lt;&gt;"User Specified",S693&lt;&gt;""), INDEX('Refrigerant GWPs'!$G$2:$G$154,MATCH(S693,'Refrigerant GWPs'!$A$2:$A$154,0)),""),V693)</f>
        <v/>
      </c>
      <c r="U693" s="144"/>
      <c r="V693" s="144"/>
      <c r="W693" s="155"/>
      <c r="X693" s="155"/>
      <c r="Y693" s="144"/>
      <c r="Z693" s="159" t="str">
        <f>IF(AND(Y693&lt;&gt;"User Specified",Y693&lt;&gt;""), INDEX('Refrigerant GWPs'!$G$2:$G$154,MATCH(Y693,'Refrigerant GWPs'!$A$2:$A$154,0)),"")</f>
        <v/>
      </c>
      <c r="AA693" s="155"/>
      <c r="AB693" s="156"/>
      <c r="AC693" s="66"/>
      <c r="AD693" s="66"/>
      <c r="AE693" s="66"/>
      <c r="AF693" s="66"/>
      <c r="AG693" s="66"/>
      <c r="AH693" s="66"/>
      <c r="AI693" s="34"/>
      <c r="AJ693" s="88">
        <f t="shared" si="786"/>
        <v>0</v>
      </c>
      <c r="AK693" s="88">
        <f t="shared" si="787"/>
        <v>0</v>
      </c>
      <c r="AL693" s="88">
        <v>0</v>
      </c>
      <c r="AM693" s="88">
        <v>0</v>
      </c>
      <c r="AN693" s="81" t="str">
        <f t="shared" si="825"/>
        <v/>
      </c>
      <c r="AO693" s="88">
        <f t="shared" si="788"/>
        <v>0</v>
      </c>
      <c r="AP693" s="88">
        <f t="shared" si="789"/>
        <v>0</v>
      </c>
      <c r="AQ693" s="81" t="str">
        <f t="shared" si="790"/>
        <v/>
      </c>
      <c r="AS693" s="41" t="b">
        <f t="shared" si="791"/>
        <v>1</v>
      </c>
      <c r="AT693" s="38">
        <f t="shared" si="792"/>
        <v>0</v>
      </c>
      <c r="AU693" s="60">
        <f t="shared" si="793"/>
        <v>0</v>
      </c>
      <c r="AV693" s="41">
        <f t="shared" si="794"/>
        <v>0</v>
      </c>
      <c r="AW693" s="41" t="b">
        <f t="shared" si="795"/>
        <v>0</v>
      </c>
      <c r="AX693" t="str">
        <f t="shared" si="796"/>
        <v>+00</v>
      </c>
      <c r="AY693" t="str">
        <f t="shared" si="797"/>
        <v>+00</v>
      </c>
      <c r="BA693" s="47" t="b">
        <f t="shared" si="826"/>
        <v>1</v>
      </c>
      <c r="BB693" s="42" t="b">
        <f t="shared" si="827"/>
        <v>1</v>
      </c>
      <c r="BC693" s="42" t="b">
        <f t="shared" si="828"/>
        <v>0</v>
      </c>
      <c r="BD693" s="42" t="b">
        <f t="shared" si="829"/>
        <v>0</v>
      </c>
      <c r="BE693" s="70">
        <f t="shared" si="830"/>
        <v>0</v>
      </c>
      <c r="BF693" s="70">
        <f t="shared" si="831"/>
        <v>0</v>
      </c>
      <c r="BG693" s="34"/>
      <c r="BI693" s="47" t="b">
        <f t="shared" si="832"/>
        <v>1</v>
      </c>
      <c r="BJ693" s="47" t="b">
        <f t="shared" si="833"/>
        <v>1</v>
      </c>
      <c r="BK693" s="42" t="b">
        <f t="shared" si="834"/>
        <v>0</v>
      </c>
      <c r="BL693" s="42" t="b">
        <f t="shared" si="835"/>
        <v>0</v>
      </c>
      <c r="BM693" s="42">
        <f t="shared" si="836"/>
        <v>0</v>
      </c>
      <c r="BN693" s="42">
        <f t="shared" si="837"/>
        <v>0</v>
      </c>
      <c r="BP693" t="e">
        <f t="shared" si="838"/>
        <v>#N/A</v>
      </c>
      <c r="BQ693" t="e">
        <f t="shared" si="839"/>
        <v>#N/A</v>
      </c>
      <c r="BR693" t="e">
        <f t="shared" si="840"/>
        <v>#N/A</v>
      </c>
      <c r="BT693" s="60">
        <f t="shared" si="841"/>
        <v>0</v>
      </c>
      <c r="BU693" s="60">
        <f t="shared" si="842"/>
        <v>0</v>
      </c>
      <c r="BV693" s="60">
        <f t="shared" si="843"/>
        <v>0</v>
      </c>
      <c r="BW693" s="60">
        <f t="shared" si="844"/>
        <v>0</v>
      </c>
      <c r="BX693" s="60">
        <f t="shared" si="845"/>
        <v>0</v>
      </c>
      <c r="BY693" s="60">
        <f t="shared" si="846"/>
        <v>0</v>
      </c>
      <c r="BZ693" s="60">
        <f t="shared" si="847"/>
        <v>0</v>
      </c>
      <c r="CA693" s="60">
        <f t="shared" si="848"/>
        <v>0</v>
      </c>
      <c r="CB693" s="60" t="e">
        <f t="shared" si="798"/>
        <v>#N/A</v>
      </c>
      <c r="CC693" s="60">
        <f t="shared" si="799"/>
        <v>100000</v>
      </c>
      <c r="CD693" s="60" t="e">
        <f t="shared" si="800"/>
        <v>#N/A</v>
      </c>
      <c r="CE693" s="60">
        <f t="shared" si="801"/>
        <v>100000</v>
      </c>
      <c r="CF693" s="83" t="e">
        <f t="shared" si="849"/>
        <v>#N/A</v>
      </c>
      <c r="CG693" s="83">
        <f t="shared" si="850"/>
        <v>0</v>
      </c>
      <c r="CH693" s="83" t="e">
        <f t="shared" si="851"/>
        <v>#N/A</v>
      </c>
      <c r="CI693" s="83">
        <f t="shared" si="852"/>
        <v>0</v>
      </c>
      <c r="CJ693" s="86" t="e">
        <f t="shared" si="802"/>
        <v>#N/A</v>
      </c>
      <c r="CK693" s="82">
        <f t="shared" si="803"/>
        <v>5.3070370403969858E-3</v>
      </c>
      <c r="CL693" s="82" t="e">
        <f t="shared" si="804"/>
        <v>#N/A</v>
      </c>
      <c r="CM693" s="82">
        <f t="shared" si="805"/>
        <v>5.3070370403969858E-3</v>
      </c>
      <c r="CO693" s="149" t="str">
        <f>IF($I693&lt;&gt;"",IF(O693="User Specified",U693,INDEX('Refrigerant GWPs'!$G$2:$G$156,MATCH(O693,'Refrigerant GWPs'!$A$2:$A$156,0))),"")</f>
        <v/>
      </c>
      <c r="CP693" s="138" t="str">
        <f>IF($I693&lt;&gt;"",INDEX('Device Refrigerant Leakage'!$E$2:$E$42,MATCH($M693,'Device Refrigerant Leakage'!$B$2:$B$42,0)),"")</f>
        <v/>
      </c>
      <c r="CQ693" s="138" t="str">
        <f>IF($I693&lt;&gt;"",INDEX('Device Refrigerant Leakage'!$F$2:$F$42,MATCH($M693,'Device Refrigerant Leakage'!$B$2:$B$42,0)),"")</f>
        <v/>
      </c>
      <c r="CR693" s="145" t="str">
        <f>IF($I693&lt;&gt;"",INDEX('Device Refrigerant Leakage'!$G$2:$G$42,MATCH($M693,'Device Refrigerant Leakage'!$B$2:$B$42,0)),"")</f>
        <v/>
      </c>
      <c r="CS693" s="145" t="str">
        <f>IF($I693&lt;&gt;"",INDEX('Device Refrigerant Leakage'!$D$2:$D$42,MATCH($M693,'Device Refrigerant Leakage'!$B$2:$B$42,0))*CP693/2204.62*CO693,"")</f>
        <v/>
      </c>
      <c r="CT693" s="145" t="str">
        <f>IF($I693&lt;&gt;"",J693*(INDEX('Device Refrigerant Leakage'!$D$2:$D$42,MATCH($M693,'Device Refrigerant Leakage'!$B$2:$B$42,0))-(INDEX('Device Refrigerant Leakage'!$D$2:$D$42,MATCH($M693,'Device Refrigerant Leakage'!$B$2:$B$42,0)))*CR693*CP693)*CQ693/2204.62*CO693,"")</f>
        <v/>
      </c>
      <c r="CU693" s="135" t="str">
        <f>IF($I693&lt;&gt;"",J693*IF(W693&lt;&gt;"AR",(CS693*K693)+CT693,(CS693*AB693)+CT693*(AB693/INDEX('Device Refrigerant Leakage'!$C$2:$C$42,MATCH($M693,'Device Refrigerant Leakage'!$B$2:$B$42,0)))),"")</f>
        <v/>
      </c>
      <c r="CW693" s="135" t="str">
        <f>IF($I693&lt;&gt;"",IF(S693="User Specified",V693,INDEX('Refrigerant GWPs'!$G$2:$G$156,MATCH(S693,'Refrigerant GWPs'!$A$2:$A$157,0))),"")</f>
        <v/>
      </c>
      <c r="CX693" s="138" t="str">
        <f>IF($I693&lt;&gt;"",INDEX('Device Refrigerant Leakage'!$E$2:$E$42,MATCH($Q693,'Device Refrigerant Leakage'!$B$2:$B$42,0)),"")</f>
        <v/>
      </c>
      <c r="CY693" s="138" t="str">
        <f>IF($I693&lt;&gt;"",INDEX('Device Refrigerant Leakage'!$F$2:$F$42,MATCH($Q693,'Device Refrigerant Leakage'!$B$2:$B$42,0)),"")</f>
        <v/>
      </c>
      <c r="CZ693" s="145" t="str">
        <f>IF($I693&lt;&gt;"",INDEX('Device Refrigerant Leakage'!$G$2:$G$42,MATCH($Q693,'Device Refrigerant Leakage'!$B$2:$B$42,0)),"")</f>
        <v/>
      </c>
      <c r="DA693" s="145" t="str">
        <f>IF($I693&lt;&gt;"",J693*INDEX('Device Refrigerant Leakage'!$D$2:$D$42,MATCH($Q693,'Device Refrigerant Leakage'!$B$2:$B$42,0))*CX693/2204.62*CW693,"")</f>
        <v/>
      </c>
      <c r="DB693" s="145" t="str">
        <f>IF($I693&lt;&gt;"",J693*(INDEX('Device Refrigerant Leakage'!$D$2:$D$42,MATCH($Q693,'Device Refrigerant Leakage'!$B$2:$B$42,0))-(INDEX('Device Refrigerant Leakage'!$D$2:$D$42,MATCH($Q693,'Device Refrigerant Leakage'!$B$2:$B$42,0)))*CZ693*CX693)*CY693/2204.62*CW693,"")</f>
        <v/>
      </c>
      <c r="DC693" s="135" t="str">
        <f t="shared" si="824"/>
        <v/>
      </c>
      <c r="DE693" s="146" t="str">
        <f>IF(W693&lt;&gt;"AR","",IF(Y693="User Specified", AA693, INDEX('Refrigerant GWPs'!$G$2:$G$154,MATCH(Y693,'Refrigerant GWPs'!$A$2:$A$154,0))))</f>
        <v/>
      </c>
      <c r="DF693" s="146" t="str">
        <f>IF(W693&lt;&gt;"AR","",INDEX('Device Refrigerant Leakage'!$E$2:$E$42,MATCH(X693,'Device Refrigerant Leakage'!$B$2:$B$42,0)))</f>
        <v/>
      </c>
      <c r="DG693" s="146" t="str">
        <f>IF(W693&lt;&gt;"AR","",INDEX('Device Refrigerant Leakage'!$F$2:$F$42,MATCH(X693,'Device Refrigerant Leakage'!$B$2:$B$42,0)))</f>
        <v/>
      </c>
      <c r="DH693" s="146" t="str">
        <f>IF(W693&lt;&gt;"AR","",INDEX('Device Refrigerant Leakage'!$G$2:$G$42,MATCH(X693,'Device Refrigerant Leakage'!$B$2:$B$42,0)))</f>
        <v/>
      </c>
      <c r="DI693" s="146" t="str">
        <f>IF(W693&lt;&gt;"AR","",J693*INDEX('Device Refrigerant Leakage'!$D$2:$D$42,MATCH(X693,'Device Refrigerant Leakage'!$B$2:$B$42,0))*DF693/2204.62*DE693)</f>
        <v/>
      </c>
      <c r="DJ693" s="146" t="str">
        <f>IF(W693&lt;&gt;"AR","",J693*(INDEX('Device Refrigerant Leakage'!$D$2:$D$42,MATCH(X693,'Device Refrigerant Leakage'!$B$2:$B$42,0))-(INDEX('Device Refrigerant Leakage'!$D$2:$D$42,MATCH(X693,'Device Refrigerant Leakage'!$B$2:$B$42,0)))*DH693*DF693)*DG693/2204.62*DE693)</f>
        <v/>
      </c>
      <c r="DK693" s="146" t="str">
        <f>IF(W693&lt;&gt;"AR","",DI693*(K693-AB693)+'Fuel Sub Calcs-Deemed'!DJ693*((K693-AB693)/INDEX('Device Refrigerant Leakage'!$C$2:$C$42,MATCH('Fuel Sub Calcs-Deemed'!X693,'Device Refrigerant Leakage'!$B$2:$B$42,0))))</f>
        <v/>
      </c>
      <c r="DM693" s="56">
        <v>679</v>
      </c>
      <c r="DN693" s="67" t="e">
        <f t="shared" si="806"/>
        <v>#N/A</v>
      </c>
      <c r="DO693" s="45" t="e">
        <f t="shared" si="807"/>
        <v>#N/A</v>
      </c>
      <c r="DP693" s="67" t="e">
        <f t="shared" si="808"/>
        <v>#N/A</v>
      </c>
      <c r="DQ693" s="45" t="e">
        <f t="shared" si="809"/>
        <v>#N/A</v>
      </c>
      <c r="DR693" s="69" t="e">
        <f t="shared" si="810"/>
        <v>#N/A</v>
      </c>
      <c r="DS693" s="34"/>
      <c r="DT693" s="67" t="e">
        <f>((BX693*CJ693)+IF($W693=MAT_AR,(BZ693*CL693),0))*(1+Reference!$E$50+Reference!$E$51)</f>
        <v>#N/A</v>
      </c>
      <c r="DU693" s="67">
        <f>((BY693*CK693)+IF($W693=MAT_AR,(CA693*CM693),0))*(1+Reference!$G$50+Reference!$G$51)</f>
        <v>0</v>
      </c>
      <c r="DV693" s="67" t="e">
        <f t="shared" si="811"/>
        <v>#VALUE!</v>
      </c>
      <c r="DX693" s="56">
        <v>679</v>
      </c>
      <c r="DY693" s="67">
        <f t="shared" si="812"/>
        <v>0</v>
      </c>
      <c r="DZ693" s="45" t="e">
        <f>VLOOKUP($R693,Dropdown!$C$3:$D$4,2,FALSE)</f>
        <v>#N/A</v>
      </c>
      <c r="EA693" s="68">
        <f t="shared" si="813"/>
        <v>0</v>
      </c>
      <c r="EB693" s="68" t="str">
        <f t="shared" si="814"/>
        <v>N/A</v>
      </c>
      <c r="EC693" s="68">
        <f t="shared" si="815"/>
        <v>0</v>
      </c>
      <c r="ED693" s="68" t="str">
        <f t="shared" si="853"/>
        <v>N/A</v>
      </c>
      <c r="EF693" s="56">
        <v>679</v>
      </c>
      <c r="EG693" s="46">
        <f t="shared" si="816"/>
        <v>0</v>
      </c>
      <c r="EH693" s="68" t="e">
        <f t="shared" si="817"/>
        <v>#N/A</v>
      </c>
      <c r="EI693" s="68" t="e">
        <f t="shared" si="818"/>
        <v>#N/A</v>
      </c>
      <c r="EJ693" s="68" t="e">
        <f t="shared" si="819"/>
        <v>#N/A</v>
      </c>
      <c r="EK693" s="68" t="e">
        <f t="shared" si="820"/>
        <v>#N/A</v>
      </c>
      <c r="EL693" s="46">
        <f t="shared" si="821"/>
        <v>0</v>
      </c>
      <c r="EM693" s="46">
        <f t="shared" si="822"/>
        <v>0</v>
      </c>
    </row>
    <row r="694" spans="1:143">
      <c r="A694" s="89"/>
      <c r="B694" s="89"/>
      <c r="C694" s="89"/>
      <c r="D694" s="89"/>
      <c r="E694" s="89"/>
      <c r="F694" s="89"/>
      <c r="G694" s="34"/>
      <c r="H694" s="56">
        <f t="shared" si="823"/>
        <v>680</v>
      </c>
      <c r="I694" s="165"/>
      <c r="J694" s="163"/>
      <c r="K694" s="163"/>
      <c r="L694" s="164"/>
      <c r="M694" s="155"/>
      <c r="N694" s="155"/>
      <c r="O694" s="144"/>
      <c r="P694" s="159" t="str">
        <f>IFERROR(IF(O694&lt;&gt;"User Specified",IF(O694&lt;&gt;"", INDEX('Refrigerant GWPs'!$G$2:$G$154,MATCH(O694,'Refrigerant GWPs'!$A$2:$A$154,0)),""),U694),0)</f>
        <v/>
      </c>
      <c r="Q694" s="155"/>
      <c r="R694" s="155"/>
      <c r="S694" s="144"/>
      <c r="T694" s="159" t="str">
        <f>IF(S694&lt;&gt;"User Specified",IF(AND(S694&lt;&gt;"User Specified",S694&lt;&gt;""), INDEX('Refrigerant GWPs'!$G$2:$G$154,MATCH(S694,'Refrigerant GWPs'!$A$2:$A$154,0)),""),V694)</f>
        <v/>
      </c>
      <c r="U694" s="144"/>
      <c r="V694" s="144"/>
      <c r="W694" s="155"/>
      <c r="X694" s="155"/>
      <c r="Y694" s="144"/>
      <c r="Z694" s="159" t="str">
        <f>IF(AND(Y694&lt;&gt;"User Specified",Y694&lt;&gt;""), INDEX('Refrigerant GWPs'!$G$2:$G$154,MATCH(Y694,'Refrigerant GWPs'!$A$2:$A$154,0)),"")</f>
        <v/>
      </c>
      <c r="AA694" s="155"/>
      <c r="AB694" s="156"/>
      <c r="AC694" s="66"/>
      <c r="AD694" s="66"/>
      <c r="AE694" s="66"/>
      <c r="AF694" s="66"/>
      <c r="AG694" s="66"/>
      <c r="AH694" s="66"/>
      <c r="AI694" s="34"/>
      <c r="AJ694" s="88">
        <f t="shared" si="786"/>
        <v>0</v>
      </c>
      <c r="AK694" s="88">
        <f t="shared" si="787"/>
        <v>0</v>
      </c>
      <c r="AL694" s="88">
        <v>0</v>
      </c>
      <c r="AM694" s="88">
        <v>0</v>
      </c>
      <c r="AN694" s="81" t="str">
        <f t="shared" si="825"/>
        <v/>
      </c>
      <c r="AO694" s="88">
        <f t="shared" si="788"/>
        <v>0</v>
      </c>
      <c r="AP694" s="88">
        <f t="shared" si="789"/>
        <v>0</v>
      </c>
      <c r="AQ694" s="81" t="str">
        <f t="shared" si="790"/>
        <v/>
      </c>
      <c r="AS694" s="41" t="b">
        <f t="shared" si="791"/>
        <v>1</v>
      </c>
      <c r="AT694" s="38">
        <f t="shared" si="792"/>
        <v>0</v>
      </c>
      <c r="AU694" s="60">
        <f t="shared" si="793"/>
        <v>0</v>
      </c>
      <c r="AV694" s="41">
        <f t="shared" si="794"/>
        <v>0</v>
      </c>
      <c r="AW694" s="41" t="b">
        <f t="shared" si="795"/>
        <v>0</v>
      </c>
      <c r="AX694" t="str">
        <f t="shared" si="796"/>
        <v>+00</v>
      </c>
      <c r="AY694" t="str">
        <f t="shared" si="797"/>
        <v>+00</v>
      </c>
      <c r="BA694" s="47" t="b">
        <f t="shared" si="826"/>
        <v>1</v>
      </c>
      <c r="BB694" s="42" t="b">
        <f t="shared" si="827"/>
        <v>1</v>
      </c>
      <c r="BC694" s="42" t="b">
        <f t="shared" si="828"/>
        <v>0</v>
      </c>
      <c r="BD694" s="42" t="b">
        <f t="shared" si="829"/>
        <v>0</v>
      </c>
      <c r="BE694" s="70">
        <f t="shared" si="830"/>
        <v>0</v>
      </c>
      <c r="BF694" s="70">
        <f t="shared" si="831"/>
        <v>0</v>
      </c>
      <c r="BG694" s="34"/>
      <c r="BI694" s="47" t="b">
        <f t="shared" si="832"/>
        <v>1</v>
      </c>
      <c r="BJ694" s="47" t="b">
        <f t="shared" si="833"/>
        <v>1</v>
      </c>
      <c r="BK694" s="42" t="b">
        <f t="shared" si="834"/>
        <v>0</v>
      </c>
      <c r="BL694" s="42" t="b">
        <f t="shared" si="835"/>
        <v>0</v>
      </c>
      <c r="BM694" s="42">
        <f t="shared" si="836"/>
        <v>0</v>
      </c>
      <c r="BN694" s="42">
        <f t="shared" si="837"/>
        <v>0</v>
      </c>
      <c r="BP694" t="e">
        <f t="shared" si="838"/>
        <v>#N/A</v>
      </c>
      <c r="BQ694" t="e">
        <f t="shared" si="839"/>
        <v>#N/A</v>
      </c>
      <c r="BR694" t="e">
        <f t="shared" si="840"/>
        <v>#N/A</v>
      </c>
      <c r="BT694" s="60">
        <f t="shared" si="841"/>
        <v>0</v>
      </c>
      <c r="BU694" s="60">
        <f t="shared" si="842"/>
        <v>0</v>
      </c>
      <c r="BV694" s="60">
        <f t="shared" si="843"/>
        <v>0</v>
      </c>
      <c r="BW694" s="60">
        <f t="shared" si="844"/>
        <v>0</v>
      </c>
      <c r="BX694" s="60">
        <f t="shared" si="845"/>
        <v>0</v>
      </c>
      <c r="BY694" s="60">
        <f t="shared" si="846"/>
        <v>0</v>
      </c>
      <c r="BZ694" s="60">
        <f t="shared" si="847"/>
        <v>0</v>
      </c>
      <c r="CA694" s="60">
        <f t="shared" si="848"/>
        <v>0</v>
      </c>
      <c r="CB694" s="60" t="e">
        <f t="shared" si="798"/>
        <v>#N/A</v>
      </c>
      <c r="CC694" s="60">
        <f t="shared" si="799"/>
        <v>100000</v>
      </c>
      <c r="CD694" s="60" t="e">
        <f t="shared" si="800"/>
        <v>#N/A</v>
      </c>
      <c r="CE694" s="60">
        <f t="shared" si="801"/>
        <v>100000</v>
      </c>
      <c r="CF694" s="83" t="e">
        <f t="shared" si="849"/>
        <v>#N/A</v>
      </c>
      <c r="CG694" s="83">
        <f t="shared" si="850"/>
        <v>0</v>
      </c>
      <c r="CH694" s="83" t="e">
        <f t="shared" si="851"/>
        <v>#N/A</v>
      </c>
      <c r="CI694" s="83">
        <f t="shared" si="852"/>
        <v>0</v>
      </c>
      <c r="CJ694" s="86" t="e">
        <f t="shared" si="802"/>
        <v>#N/A</v>
      </c>
      <c r="CK694" s="82">
        <f t="shared" si="803"/>
        <v>5.3070370403969858E-3</v>
      </c>
      <c r="CL694" s="82" t="e">
        <f t="shared" si="804"/>
        <v>#N/A</v>
      </c>
      <c r="CM694" s="82">
        <f t="shared" si="805"/>
        <v>5.3070370403969858E-3</v>
      </c>
      <c r="CO694" s="149" t="str">
        <f>IF($I694&lt;&gt;"",IF(O694="User Specified",U694,INDEX('Refrigerant GWPs'!$G$2:$G$156,MATCH(O694,'Refrigerant GWPs'!$A$2:$A$156,0))),"")</f>
        <v/>
      </c>
      <c r="CP694" s="138" t="str">
        <f>IF($I694&lt;&gt;"",INDEX('Device Refrigerant Leakage'!$E$2:$E$42,MATCH($M694,'Device Refrigerant Leakage'!$B$2:$B$42,0)),"")</f>
        <v/>
      </c>
      <c r="CQ694" s="138" t="str">
        <f>IF($I694&lt;&gt;"",INDEX('Device Refrigerant Leakage'!$F$2:$F$42,MATCH($M694,'Device Refrigerant Leakage'!$B$2:$B$42,0)),"")</f>
        <v/>
      </c>
      <c r="CR694" s="145" t="str">
        <f>IF($I694&lt;&gt;"",INDEX('Device Refrigerant Leakage'!$G$2:$G$42,MATCH($M694,'Device Refrigerant Leakage'!$B$2:$B$42,0)),"")</f>
        <v/>
      </c>
      <c r="CS694" s="145" t="str">
        <f>IF($I694&lt;&gt;"",INDEX('Device Refrigerant Leakage'!$D$2:$D$42,MATCH($M694,'Device Refrigerant Leakage'!$B$2:$B$42,0))*CP694/2204.62*CO694,"")</f>
        <v/>
      </c>
      <c r="CT694" s="145" t="str">
        <f>IF($I694&lt;&gt;"",J694*(INDEX('Device Refrigerant Leakage'!$D$2:$D$42,MATCH($M694,'Device Refrigerant Leakage'!$B$2:$B$42,0))-(INDEX('Device Refrigerant Leakage'!$D$2:$D$42,MATCH($M694,'Device Refrigerant Leakage'!$B$2:$B$42,0)))*CR694*CP694)*CQ694/2204.62*CO694,"")</f>
        <v/>
      </c>
      <c r="CU694" s="135" t="str">
        <f>IF($I694&lt;&gt;"",J694*IF(W694&lt;&gt;"AR",(CS694*K694)+CT694,(CS694*AB694)+CT694*(AB694/INDEX('Device Refrigerant Leakage'!$C$2:$C$42,MATCH($M694,'Device Refrigerant Leakage'!$B$2:$B$42,0)))),"")</f>
        <v/>
      </c>
      <c r="CW694" s="135" t="str">
        <f>IF($I694&lt;&gt;"",IF(S694="User Specified",V694,INDEX('Refrigerant GWPs'!$G$2:$G$156,MATCH(S694,'Refrigerant GWPs'!$A$2:$A$157,0))),"")</f>
        <v/>
      </c>
      <c r="CX694" s="138" t="str">
        <f>IF($I694&lt;&gt;"",INDEX('Device Refrigerant Leakage'!$E$2:$E$42,MATCH($Q694,'Device Refrigerant Leakage'!$B$2:$B$42,0)),"")</f>
        <v/>
      </c>
      <c r="CY694" s="138" t="str">
        <f>IF($I694&lt;&gt;"",INDEX('Device Refrigerant Leakage'!$F$2:$F$42,MATCH($Q694,'Device Refrigerant Leakage'!$B$2:$B$42,0)),"")</f>
        <v/>
      </c>
      <c r="CZ694" s="145" t="str">
        <f>IF($I694&lt;&gt;"",INDEX('Device Refrigerant Leakage'!$G$2:$G$42,MATCH($Q694,'Device Refrigerant Leakage'!$B$2:$B$42,0)),"")</f>
        <v/>
      </c>
      <c r="DA694" s="145" t="str">
        <f>IF($I694&lt;&gt;"",J694*INDEX('Device Refrigerant Leakage'!$D$2:$D$42,MATCH($Q694,'Device Refrigerant Leakage'!$B$2:$B$42,0))*CX694/2204.62*CW694,"")</f>
        <v/>
      </c>
      <c r="DB694" s="145" t="str">
        <f>IF($I694&lt;&gt;"",J694*(INDEX('Device Refrigerant Leakage'!$D$2:$D$42,MATCH($Q694,'Device Refrigerant Leakage'!$B$2:$B$42,0))-(INDEX('Device Refrigerant Leakage'!$D$2:$D$42,MATCH($Q694,'Device Refrigerant Leakage'!$B$2:$B$42,0)))*CZ694*CX694)*CY694/2204.62*CW694,"")</f>
        <v/>
      </c>
      <c r="DC694" s="135" t="str">
        <f t="shared" si="824"/>
        <v/>
      </c>
      <c r="DE694" s="146" t="str">
        <f>IF(W694&lt;&gt;"AR","",IF(Y694="User Specified", AA694, INDEX('Refrigerant GWPs'!$G$2:$G$154,MATCH(Y694,'Refrigerant GWPs'!$A$2:$A$154,0))))</f>
        <v/>
      </c>
      <c r="DF694" s="146" t="str">
        <f>IF(W694&lt;&gt;"AR","",INDEX('Device Refrigerant Leakage'!$E$2:$E$42,MATCH(X694,'Device Refrigerant Leakage'!$B$2:$B$42,0)))</f>
        <v/>
      </c>
      <c r="DG694" s="146" t="str">
        <f>IF(W694&lt;&gt;"AR","",INDEX('Device Refrigerant Leakage'!$F$2:$F$42,MATCH(X694,'Device Refrigerant Leakage'!$B$2:$B$42,0)))</f>
        <v/>
      </c>
      <c r="DH694" s="146" t="str">
        <f>IF(W694&lt;&gt;"AR","",INDEX('Device Refrigerant Leakage'!$G$2:$G$42,MATCH(X694,'Device Refrigerant Leakage'!$B$2:$B$42,0)))</f>
        <v/>
      </c>
      <c r="DI694" s="146" t="str">
        <f>IF(W694&lt;&gt;"AR","",J694*INDEX('Device Refrigerant Leakage'!$D$2:$D$42,MATCH(X694,'Device Refrigerant Leakage'!$B$2:$B$42,0))*DF694/2204.62*DE694)</f>
        <v/>
      </c>
      <c r="DJ694" s="146" t="str">
        <f>IF(W694&lt;&gt;"AR","",J694*(INDEX('Device Refrigerant Leakage'!$D$2:$D$42,MATCH(X694,'Device Refrigerant Leakage'!$B$2:$B$42,0))-(INDEX('Device Refrigerant Leakage'!$D$2:$D$42,MATCH(X694,'Device Refrigerant Leakage'!$B$2:$B$42,0)))*DH694*DF694)*DG694/2204.62*DE694)</f>
        <v/>
      </c>
      <c r="DK694" s="146" t="str">
        <f>IF(W694&lt;&gt;"AR","",DI694*(K694-AB694)+'Fuel Sub Calcs-Deemed'!DJ694*((K694-AB694)/INDEX('Device Refrigerant Leakage'!$C$2:$C$42,MATCH('Fuel Sub Calcs-Deemed'!X694,'Device Refrigerant Leakage'!$B$2:$B$42,0))))</f>
        <v/>
      </c>
      <c r="DM694" s="56">
        <v>680</v>
      </c>
      <c r="DN694" s="67" t="e">
        <f t="shared" si="806"/>
        <v>#N/A</v>
      </c>
      <c r="DO694" s="45" t="e">
        <f t="shared" si="807"/>
        <v>#N/A</v>
      </c>
      <c r="DP694" s="67" t="e">
        <f t="shared" si="808"/>
        <v>#N/A</v>
      </c>
      <c r="DQ694" s="45" t="e">
        <f t="shared" si="809"/>
        <v>#N/A</v>
      </c>
      <c r="DR694" s="69" t="e">
        <f t="shared" si="810"/>
        <v>#N/A</v>
      </c>
      <c r="DS694" s="34"/>
      <c r="DT694" s="67" t="e">
        <f>((BX694*CJ694)+IF($W694=MAT_AR,(BZ694*CL694),0))*(1+Reference!$E$50+Reference!$E$51)</f>
        <v>#N/A</v>
      </c>
      <c r="DU694" s="67">
        <f>((BY694*CK694)+IF($W694=MAT_AR,(CA694*CM694),0))*(1+Reference!$G$50+Reference!$G$51)</f>
        <v>0</v>
      </c>
      <c r="DV694" s="67" t="e">
        <f t="shared" si="811"/>
        <v>#VALUE!</v>
      </c>
      <c r="DX694" s="56">
        <v>680</v>
      </c>
      <c r="DY694" s="67">
        <f t="shared" si="812"/>
        <v>0</v>
      </c>
      <c r="DZ694" s="45" t="e">
        <f>VLOOKUP($R694,Dropdown!$C$3:$D$4,2,FALSE)</f>
        <v>#N/A</v>
      </c>
      <c r="EA694" s="68">
        <f t="shared" si="813"/>
        <v>0</v>
      </c>
      <c r="EB694" s="68" t="str">
        <f t="shared" si="814"/>
        <v>N/A</v>
      </c>
      <c r="EC694" s="68">
        <f t="shared" si="815"/>
        <v>0</v>
      </c>
      <c r="ED694" s="68" t="str">
        <f t="shared" si="853"/>
        <v>N/A</v>
      </c>
      <c r="EF694" s="56">
        <v>680</v>
      </c>
      <c r="EG694" s="46">
        <f t="shared" si="816"/>
        <v>0</v>
      </c>
      <c r="EH694" s="68" t="e">
        <f t="shared" si="817"/>
        <v>#N/A</v>
      </c>
      <c r="EI694" s="68" t="e">
        <f t="shared" si="818"/>
        <v>#N/A</v>
      </c>
      <c r="EJ694" s="68" t="e">
        <f t="shared" si="819"/>
        <v>#N/A</v>
      </c>
      <c r="EK694" s="68" t="e">
        <f t="shared" si="820"/>
        <v>#N/A</v>
      </c>
      <c r="EL694" s="46">
        <f t="shared" si="821"/>
        <v>0</v>
      </c>
      <c r="EM694" s="46">
        <f t="shared" si="822"/>
        <v>0</v>
      </c>
    </row>
    <row r="695" spans="1:143">
      <c r="A695" s="89"/>
      <c r="B695" s="89"/>
      <c r="C695" s="89"/>
      <c r="D695" s="89"/>
      <c r="E695" s="89"/>
      <c r="F695" s="89"/>
      <c r="G695" s="34"/>
      <c r="H695" s="56">
        <f t="shared" si="823"/>
        <v>681</v>
      </c>
      <c r="I695" s="165"/>
      <c r="J695" s="163"/>
      <c r="K695" s="163"/>
      <c r="L695" s="164"/>
      <c r="M695" s="155"/>
      <c r="N695" s="155"/>
      <c r="O695" s="144"/>
      <c r="P695" s="159" t="str">
        <f>IFERROR(IF(O695&lt;&gt;"User Specified",IF(O695&lt;&gt;"", INDEX('Refrigerant GWPs'!$G$2:$G$154,MATCH(O695,'Refrigerant GWPs'!$A$2:$A$154,0)),""),U695),0)</f>
        <v/>
      </c>
      <c r="Q695" s="155"/>
      <c r="R695" s="155"/>
      <c r="S695" s="144"/>
      <c r="T695" s="159" t="str">
        <f>IF(S695&lt;&gt;"User Specified",IF(AND(S695&lt;&gt;"User Specified",S695&lt;&gt;""), INDEX('Refrigerant GWPs'!$G$2:$G$154,MATCH(S695,'Refrigerant GWPs'!$A$2:$A$154,0)),""),V695)</f>
        <v/>
      </c>
      <c r="U695" s="144"/>
      <c r="V695" s="144"/>
      <c r="W695" s="155"/>
      <c r="X695" s="155"/>
      <c r="Y695" s="144"/>
      <c r="Z695" s="159" t="str">
        <f>IF(AND(Y695&lt;&gt;"User Specified",Y695&lt;&gt;""), INDEX('Refrigerant GWPs'!$G$2:$G$154,MATCH(Y695,'Refrigerant GWPs'!$A$2:$A$154,0)),"")</f>
        <v/>
      </c>
      <c r="AA695" s="155"/>
      <c r="AB695" s="156"/>
      <c r="AC695" s="66"/>
      <c r="AD695" s="66"/>
      <c r="AE695" s="66"/>
      <c r="AF695" s="66"/>
      <c r="AG695" s="66"/>
      <c r="AH695" s="66"/>
      <c r="AI695" s="34"/>
      <c r="AJ695" s="88">
        <f t="shared" si="786"/>
        <v>0</v>
      </c>
      <c r="AK695" s="88">
        <f t="shared" si="787"/>
        <v>0</v>
      </c>
      <c r="AL695" s="88">
        <v>0</v>
      </c>
      <c r="AM695" s="88">
        <v>0</v>
      </c>
      <c r="AN695" s="81" t="str">
        <f t="shared" si="825"/>
        <v/>
      </c>
      <c r="AO695" s="88">
        <f t="shared" si="788"/>
        <v>0</v>
      </c>
      <c r="AP695" s="88">
        <f t="shared" si="789"/>
        <v>0</v>
      </c>
      <c r="AQ695" s="81" t="str">
        <f t="shared" si="790"/>
        <v/>
      </c>
      <c r="AS695" s="41" t="b">
        <f t="shared" si="791"/>
        <v>1</v>
      </c>
      <c r="AT695" s="38">
        <f t="shared" si="792"/>
        <v>0</v>
      </c>
      <c r="AU695" s="60">
        <f t="shared" si="793"/>
        <v>0</v>
      </c>
      <c r="AV695" s="41">
        <f t="shared" si="794"/>
        <v>0</v>
      </c>
      <c r="AW695" s="41" t="b">
        <f t="shared" si="795"/>
        <v>0</v>
      </c>
      <c r="AX695" t="str">
        <f t="shared" si="796"/>
        <v>+00</v>
      </c>
      <c r="AY695" t="str">
        <f t="shared" si="797"/>
        <v>+00</v>
      </c>
      <c r="BA695" s="47" t="b">
        <f t="shared" si="826"/>
        <v>1</v>
      </c>
      <c r="BB695" s="42" t="b">
        <f t="shared" si="827"/>
        <v>1</v>
      </c>
      <c r="BC695" s="42" t="b">
        <f t="shared" si="828"/>
        <v>0</v>
      </c>
      <c r="BD695" s="42" t="b">
        <f t="shared" si="829"/>
        <v>0</v>
      </c>
      <c r="BE695" s="70">
        <f t="shared" si="830"/>
        <v>0</v>
      </c>
      <c r="BF695" s="70">
        <f t="shared" si="831"/>
        <v>0</v>
      </c>
      <c r="BG695" s="34"/>
      <c r="BI695" s="47" t="b">
        <f t="shared" si="832"/>
        <v>1</v>
      </c>
      <c r="BJ695" s="47" t="b">
        <f t="shared" si="833"/>
        <v>1</v>
      </c>
      <c r="BK695" s="42" t="b">
        <f t="shared" si="834"/>
        <v>0</v>
      </c>
      <c r="BL695" s="42" t="b">
        <f t="shared" si="835"/>
        <v>0</v>
      </c>
      <c r="BM695" s="42">
        <f t="shared" si="836"/>
        <v>0</v>
      </c>
      <c r="BN695" s="42">
        <f t="shared" si="837"/>
        <v>0</v>
      </c>
      <c r="BP695" t="e">
        <f t="shared" si="838"/>
        <v>#N/A</v>
      </c>
      <c r="BQ695" t="e">
        <f t="shared" si="839"/>
        <v>#N/A</v>
      </c>
      <c r="BR695" t="e">
        <f t="shared" si="840"/>
        <v>#N/A</v>
      </c>
      <c r="BT695" s="60">
        <f t="shared" si="841"/>
        <v>0</v>
      </c>
      <c r="BU695" s="60">
        <f t="shared" si="842"/>
        <v>0</v>
      </c>
      <c r="BV695" s="60">
        <f t="shared" si="843"/>
        <v>0</v>
      </c>
      <c r="BW695" s="60">
        <f t="shared" si="844"/>
        <v>0</v>
      </c>
      <c r="BX695" s="60">
        <f t="shared" si="845"/>
        <v>0</v>
      </c>
      <c r="BY695" s="60">
        <f t="shared" si="846"/>
        <v>0</v>
      </c>
      <c r="BZ695" s="60">
        <f t="shared" si="847"/>
        <v>0</v>
      </c>
      <c r="CA695" s="60">
        <f t="shared" si="848"/>
        <v>0</v>
      </c>
      <c r="CB695" s="60" t="e">
        <f t="shared" si="798"/>
        <v>#N/A</v>
      </c>
      <c r="CC695" s="60">
        <f t="shared" si="799"/>
        <v>100000</v>
      </c>
      <c r="CD695" s="60" t="e">
        <f t="shared" si="800"/>
        <v>#N/A</v>
      </c>
      <c r="CE695" s="60">
        <f t="shared" si="801"/>
        <v>100000</v>
      </c>
      <c r="CF695" s="83" t="e">
        <f t="shared" si="849"/>
        <v>#N/A</v>
      </c>
      <c r="CG695" s="83">
        <f t="shared" si="850"/>
        <v>0</v>
      </c>
      <c r="CH695" s="83" t="e">
        <f t="shared" si="851"/>
        <v>#N/A</v>
      </c>
      <c r="CI695" s="83">
        <f t="shared" si="852"/>
        <v>0</v>
      </c>
      <c r="CJ695" s="86" t="e">
        <f t="shared" si="802"/>
        <v>#N/A</v>
      </c>
      <c r="CK695" s="82">
        <f t="shared" si="803"/>
        <v>5.3070370403969858E-3</v>
      </c>
      <c r="CL695" s="82" t="e">
        <f t="shared" si="804"/>
        <v>#N/A</v>
      </c>
      <c r="CM695" s="82">
        <f t="shared" si="805"/>
        <v>5.3070370403969858E-3</v>
      </c>
      <c r="CO695" s="149" t="str">
        <f>IF($I695&lt;&gt;"",IF(O695="User Specified",U695,INDEX('Refrigerant GWPs'!$G$2:$G$156,MATCH(O695,'Refrigerant GWPs'!$A$2:$A$156,0))),"")</f>
        <v/>
      </c>
      <c r="CP695" s="138" t="str">
        <f>IF($I695&lt;&gt;"",INDEX('Device Refrigerant Leakage'!$E$2:$E$42,MATCH($M695,'Device Refrigerant Leakage'!$B$2:$B$42,0)),"")</f>
        <v/>
      </c>
      <c r="CQ695" s="138" t="str">
        <f>IF($I695&lt;&gt;"",INDEX('Device Refrigerant Leakage'!$F$2:$F$42,MATCH($M695,'Device Refrigerant Leakage'!$B$2:$B$42,0)),"")</f>
        <v/>
      </c>
      <c r="CR695" s="145" t="str">
        <f>IF($I695&lt;&gt;"",INDEX('Device Refrigerant Leakage'!$G$2:$G$42,MATCH($M695,'Device Refrigerant Leakage'!$B$2:$B$42,0)),"")</f>
        <v/>
      </c>
      <c r="CS695" s="145" t="str">
        <f>IF($I695&lt;&gt;"",INDEX('Device Refrigerant Leakage'!$D$2:$D$42,MATCH($M695,'Device Refrigerant Leakage'!$B$2:$B$42,0))*CP695/2204.62*CO695,"")</f>
        <v/>
      </c>
      <c r="CT695" s="145" t="str">
        <f>IF($I695&lt;&gt;"",J695*(INDEX('Device Refrigerant Leakage'!$D$2:$D$42,MATCH($M695,'Device Refrigerant Leakage'!$B$2:$B$42,0))-(INDEX('Device Refrigerant Leakage'!$D$2:$D$42,MATCH($M695,'Device Refrigerant Leakage'!$B$2:$B$42,0)))*CR695*CP695)*CQ695/2204.62*CO695,"")</f>
        <v/>
      </c>
      <c r="CU695" s="135" t="str">
        <f>IF($I695&lt;&gt;"",J695*IF(W695&lt;&gt;"AR",(CS695*K695)+CT695,(CS695*AB695)+CT695*(AB695/INDEX('Device Refrigerant Leakage'!$C$2:$C$42,MATCH($M695,'Device Refrigerant Leakage'!$B$2:$B$42,0)))),"")</f>
        <v/>
      </c>
      <c r="CW695" s="135" t="str">
        <f>IF($I695&lt;&gt;"",IF(S695="User Specified",V695,INDEX('Refrigerant GWPs'!$G$2:$G$156,MATCH(S695,'Refrigerant GWPs'!$A$2:$A$157,0))),"")</f>
        <v/>
      </c>
      <c r="CX695" s="138" t="str">
        <f>IF($I695&lt;&gt;"",INDEX('Device Refrigerant Leakage'!$E$2:$E$42,MATCH($Q695,'Device Refrigerant Leakage'!$B$2:$B$42,0)),"")</f>
        <v/>
      </c>
      <c r="CY695" s="138" t="str">
        <f>IF($I695&lt;&gt;"",INDEX('Device Refrigerant Leakage'!$F$2:$F$42,MATCH($Q695,'Device Refrigerant Leakage'!$B$2:$B$42,0)),"")</f>
        <v/>
      </c>
      <c r="CZ695" s="145" t="str">
        <f>IF($I695&lt;&gt;"",INDEX('Device Refrigerant Leakage'!$G$2:$G$42,MATCH($Q695,'Device Refrigerant Leakage'!$B$2:$B$42,0)),"")</f>
        <v/>
      </c>
      <c r="DA695" s="145" t="str">
        <f>IF($I695&lt;&gt;"",J695*INDEX('Device Refrigerant Leakage'!$D$2:$D$42,MATCH($Q695,'Device Refrigerant Leakage'!$B$2:$B$42,0))*CX695/2204.62*CW695,"")</f>
        <v/>
      </c>
      <c r="DB695" s="145" t="str">
        <f>IF($I695&lt;&gt;"",J695*(INDEX('Device Refrigerant Leakage'!$D$2:$D$42,MATCH($Q695,'Device Refrigerant Leakage'!$B$2:$B$42,0))-(INDEX('Device Refrigerant Leakage'!$D$2:$D$42,MATCH($Q695,'Device Refrigerant Leakage'!$B$2:$B$42,0)))*CZ695*CX695)*CY695/2204.62*CW695,"")</f>
        <v/>
      </c>
      <c r="DC695" s="135" t="str">
        <f t="shared" si="824"/>
        <v/>
      </c>
      <c r="DE695" s="146" t="str">
        <f>IF(W695&lt;&gt;"AR","",IF(Y695="User Specified", AA695, INDEX('Refrigerant GWPs'!$G$2:$G$154,MATCH(Y695,'Refrigerant GWPs'!$A$2:$A$154,0))))</f>
        <v/>
      </c>
      <c r="DF695" s="146" t="str">
        <f>IF(W695&lt;&gt;"AR","",INDEX('Device Refrigerant Leakage'!$E$2:$E$42,MATCH(X695,'Device Refrigerant Leakage'!$B$2:$B$42,0)))</f>
        <v/>
      </c>
      <c r="DG695" s="146" t="str">
        <f>IF(W695&lt;&gt;"AR","",INDEX('Device Refrigerant Leakage'!$F$2:$F$42,MATCH(X695,'Device Refrigerant Leakage'!$B$2:$B$42,0)))</f>
        <v/>
      </c>
      <c r="DH695" s="146" t="str">
        <f>IF(W695&lt;&gt;"AR","",INDEX('Device Refrigerant Leakage'!$G$2:$G$42,MATCH(X695,'Device Refrigerant Leakage'!$B$2:$B$42,0)))</f>
        <v/>
      </c>
      <c r="DI695" s="146" t="str">
        <f>IF(W695&lt;&gt;"AR","",J695*INDEX('Device Refrigerant Leakage'!$D$2:$D$42,MATCH(X695,'Device Refrigerant Leakage'!$B$2:$B$42,0))*DF695/2204.62*DE695)</f>
        <v/>
      </c>
      <c r="DJ695" s="146" t="str">
        <f>IF(W695&lt;&gt;"AR","",J695*(INDEX('Device Refrigerant Leakage'!$D$2:$D$42,MATCH(X695,'Device Refrigerant Leakage'!$B$2:$B$42,0))-(INDEX('Device Refrigerant Leakage'!$D$2:$D$42,MATCH(X695,'Device Refrigerant Leakage'!$B$2:$B$42,0)))*DH695*DF695)*DG695/2204.62*DE695)</f>
        <v/>
      </c>
      <c r="DK695" s="146" t="str">
        <f>IF(W695&lt;&gt;"AR","",DI695*(K695-AB695)+'Fuel Sub Calcs-Deemed'!DJ695*((K695-AB695)/INDEX('Device Refrigerant Leakage'!$C$2:$C$42,MATCH('Fuel Sub Calcs-Deemed'!X695,'Device Refrigerant Leakage'!$B$2:$B$42,0))))</f>
        <v/>
      </c>
      <c r="DM695" s="56">
        <v>681</v>
      </c>
      <c r="DN695" s="67" t="e">
        <f t="shared" si="806"/>
        <v>#N/A</v>
      </c>
      <c r="DO695" s="45" t="e">
        <f t="shared" si="807"/>
        <v>#N/A</v>
      </c>
      <c r="DP695" s="67" t="e">
        <f t="shared" si="808"/>
        <v>#N/A</v>
      </c>
      <c r="DQ695" s="45" t="e">
        <f t="shared" si="809"/>
        <v>#N/A</v>
      </c>
      <c r="DR695" s="69" t="e">
        <f t="shared" si="810"/>
        <v>#N/A</v>
      </c>
      <c r="DS695" s="34"/>
      <c r="DT695" s="67" t="e">
        <f>((BX695*CJ695)+IF($W695=MAT_AR,(BZ695*CL695),0))*(1+Reference!$E$50+Reference!$E$51)</f>
        <v>#N/A</v>
      </c>
      <c r="DU695" s="67">
        <f>((BY695*CK695)+IF($W695=MAT_AR,(CA695*CM695),0))*(1+Reference!$G$50+Reference!$G$51)</f>
        <v>0</v>
      </c>
      <c r="DV695" s="67" t="e">
        <f t="shared" si="811"/>
        <v>#VALUE!</v>
      </c>
      <c r="DX695" s="56">
        <v>681</v>
      </c>
      <c r="DY695" s="67">
        <f t="shared" si="812"/>
        <v>0</v>
      </c>
      <c r="DZ695" s="45" t="e">
        <f>VLOOKUP($R695,Dropdown!$C$3:$D$4,2,FALSE)</f>
        <v>#N/A</v>
      </c>
      <c r="EA695" s="68">
        <f t="shared" si="813"/>
        <v>0</v>
      </c>
      <c r="EB695" s="68" t="str">
        <f t="shared" si="814"/>
        <v>N/A</v>
      </c>
      <c r="EC695" s="68">
        <f t="shared" si="815"/>
        <v>0</v>
      </c>
      <c r="ED695" s="68" t="str">
        <f t="shared" si="853"/>
        <v>N/A</v>
      </c>
      <c r="EF695" s="56">
        <v>681</v>
      </c>
      <c r="EG695" s="46">
        <f t="shared" si="816"/>
        <v>0</v>
      </c>
      <c r="EH695" s="68" t="e">
        <f t="shared" si="817"/>
        <v>#N/A</v>
      </c>
      <c r="EI695" s="68" t="e">
        <f t="shared" si="818"/>
        <v>#N/A</v>
      </c>
      <c r="EJ695" s="68" t="e">
        <f t="shared" si="819"/>
        <v>#N/A</v>
      </c>
      <c r="EK695" s="68" t="e">
        <f t="shared" si="820"/>
        <v>#N/A</v>
      </c>
      <c r="EL695" s="46">
        <f t="shared" si="821"/>
        <v>0</v>
      </c>
      <c r="EM695" s="46">
        <f t="shared" si="822"/>
        <v>0</v>
      </c>
    </row>
    <row r="696" spans="1:143">
      <c r="A696" s="89"/>
      <c r="B696" s="89"/>
      <c r="C696" s="89"/>
      <c r="D696" s="89"/>
      <c r="E696" s="89"/>
      <c r="F696" s="89"/>
      <c r="G696" s="34"/>
      <c r="H696" s="56">
        <f t="shared" si="823"/>
        <v>682</v>
      </c>
      <c r="I696" s="165"/>
      <c r="J696" s="163"/>
      <c r="K696" s="163"/>
      <c r="L696" s="164"/>
      <c r="M696" s="155"/>
      <c r="N696" s="155"/>
      <c r="O696" s="144"/>
      <c r="P696" s="159" t="str">
        <f>IFERROR(IF(O696&lt;&gt;"User Specified",IF(O696&lt;&gt;"", INDEX('Refrigerant GWPs'!$G$2:$G$154,MATCH(O696,'Refrigerant GWPs'!$A$2:$A$154,0)),""),U696),0)</f>
        <v/>
      </c>
      <c r="Q696" s="155"/>
      <c r="R696" s="155"/>
      <c r="S696" s="144"/>
      <c r="T696" s="159" t="str">
        <f>IF(S696&lt;&gt;"User Specified",IF(AND(S696&lt;&gt;"User Specified",S696&lt;&gt;""), INDEX('Refrigerant GWPs'!$G$2:$G$154,MATCH(S696,'Refrigerant GWPs'!$A$2:$A$154,0)),""),V696)</f>
        <v/>
      </c>
      <c r="U696" s="144"/>
      <c r="V696" s="144"/>
      <c r="W696" s="155"/>
      <c r="X696" s="155"/>
      <c r="Y696" s="144"/>
      <c r="Z696" s="159" t="str">
        <f>IF(AND(Y696&lt;&gt;"User Specified",Y696&lt;&gt;""), INDEX('Refrigerant GWPs'!$G$2:$G$154,MATCH(Y696,'Refrigerant GWPs'!$A$2:$A$154,0)),"")</f>
        <v/>
      </c>
      <c r="AA696" s="155"/>
      <c r="AB696" s="156"/>
      <c r="AC696" s="66"/>
      <c r="AD696" s="66"/>
      <c r="AE696" s="66"/>
      <c r="AF696" s="66"/>
      <c r="AG696" s="66"/>
      <c r="AH696" s="66"/>
      <c r="AI696" s="34"/>
      <c r="AJ696" s="88">
        <f t="shared" si="786"/>
        <v>0</v>
      </c>
      <c r="AK696" s="88">
        <f t="shared" si="787"/>
        <v>0</v>
      </c>
      <c r="AL696" s="88">
        <v>0</v>
      </c>
      <c r="AM696" s="88">
        <v>0</v>
      </c>
      <c r="AN696" s="81" t="str">
        <f t="shared" si="825"/>
        <v/>
      </c>
      <c r="AO696" s="88">
        <f t="shared" si="788"/>
        <v>0</v>
      </c>
      <c r="AP696" s="88">
        <f t="shared" si="789"/>
        <v>0</v>
      </c>
      <c r="AQ696" s="81" t="str">
        <f t="shared" si="790"/>
        <v/>
      </c>
      <c r="AS696" s="41" t="b">
        <f t="shared" si="791"/>
        <v>1</v>
      </c>
      <c r="AT696" s="38">
        <f t="shared" si="792"/>
        <v>0</v>
      </c>
      <c r="AU696" s="60">
        <f t="shared" si="793"/>
        <v>0</v>
      </c>
      <c r="AV696" s="41">
        <f t="shared" si="794"/>
        <v>0</v>
      </c>
      <c r="AW696" s="41" t="b">
        <f t="shared" si="795"/>
        <v>0</v>
      </c>
      <c r="AX696" t="str">
        <f t="shared" si="796"/>
        <v>+00</v>
      </c>
      <c r="AY696" t="str">
        <f t="shared" si="797"/>
        <v>+00</v>
      </c>
      <c r="BA696" s="47" t="b">
        <f t="shared" si="826"/>
        <v>1</v>
      </c>
      <c r="BB696" s="42" t="b">
        <f t="shared" si="827"/>
        <v>1</v>
      </c>
      <c r="BC696" s="42" t="b">
        <f t="shared" si="828"/>
        <v>0</v>
      </c>
      <c r="BD696" s="42" t="b">
        <f t="shared" si="829"/>
        <v>0</v>
      </c>
      <c r="BE696" s="70">
        <f t="shared" si="830"/>
        <v>0</v>
      </c>
      <c r="BF696" s="70">
        <f t="shared" si="831"/>
        <v>0</v>
      </c>
      <c r="BG696" s="34"/>
      <c r="BI696" s="47" t="b">
        <f t="shared" si="832"/>
        <v>1</v>
      </c>
      <c r="BJ696" s="47" t="b">
        <f t="shared" si="833"/>
        <v>1</v>
      </c>
      <c r="BK696" s="42" t="b">
        <f t="shared" si="834"/>
        <v>0</v>
      </c>
      <c r="BL696" s="42" t="b">
        <f t="shared" si="835"/>
        <v>0</v>
      </c>
      <c r="BM696" s="42">
        <f t="shared" si="836"/>
        <v>0</v>
      </c>
      <c r="BN696" s="42">
        <f t="shared" si="837"/>
        <v>0</v>
      </c>
      <c r="BP696" t="e">
        <f t="shared" si="838"/>
        <v>#N/A</v>
      </c>
      <c r="BQ696" t="e">
        <f t="shared" si="839"/>
        <v>#N/A</v>
      </c>
      <c r="BR696" t="e">
        <f t="shared" si="840"/>
        <v>#N/A</v>
      </c>
      <c r="BT696" s="60">
        <f t="shared" si="841"/>
        <v>0</v>
      </c>
      <c r="BU696" s="60">
        <f t="shared" si="842"/>
        <v>0</v>
      </c>
      <c r="BV696" s="60">
        <f t="shared" si="843"/>
        <v>0</v>
      </c>
      <c r="BW696" s="60">
        <f t="shared" si="844"/>
        <v>0</v>
      </c>
      <c r="BX696" s="60">
        <f t="shared" si="845"/>
        <v>0</v>
      </c>
      <c r="BY696" s="60">
        <f t="shared" si="846"/>
        <v>0</v>
      </c>
      <c r="BZ696" s="60">
        <f t="shared" si="847"/>
        <v>0</v>
      </c>
      <c r="CA696" s="60">
        <f t="shared" si="848"/>
        <v>0</v>
      </c>
      <c r="CB696" s="60" t="e">
        <f t="shared" si="798"/>
        <v>#N/A</v>
      </c>
      <c r="CC696" s="60">
        <f t="shared" si="799"/>
        <v>100000</v>
      </c>
      <c r="CD696" s="60" t="e">
        <f t="shared" si="800"/>
        <v>#N/A</v>
      </c>
      <c r="CE696" s="60">
        <f t="shared" si="801"/>
        <v>100000</v>
      </c>
      <c r="CF696" s="83" t="e">
        <f t="shared" si="849"/>
        <v>#N/A</v>
      </c>
      <c r="CG696" s="83">
        <f t="shared" si="850"/>
        <v>0</v>
      </c>
      <c r="CH696" s="83" t="e">
        <f t="shared" si="851"/>
        <v>#N/A</v>
      </c>
      <c r="CI696" s="83">
        <f t="shared" si="852"/>
        <v>0</v>
      </c>
      <c r="CJ696" s="86" t="e">
        <f t="shared" si="802"/>
        <v>#N/A</v>
      </c>
      <c r="CK696" s="82">
        <f t="shared" si="803"/>
        <v>5.3070370403969858E-3</v>
      </c>
      <c r="CL696" s="82" t="e">
        <f t="shared" si="804"/>
        <v>#N/A</v>
      </c>
      <c r="CM696" s="82">
        <f t="shared" si="805"/>
        <v>5.3070370403969858E-3</v>
      </c>
      <c r="CO696" s="149" t="str">
        <f>IF($I696&lt;&gt;"",IF(O696="User Specified",U696,INDEX('Refrigerant GWPs'!$G$2:$G$156,MATCH(O696,'Refrigerant GWPs'!$A$2:$A$156,0))),"")</f>
        <v/>
      </c>
      <c r="CP696" s="138" t="str">
        <f>IF($I696&lt;&gt;"",INDEX('Device Refrigerant Leakage'!$E$2:$E$42,MATCH($M696,'Device Refrigerant Leakage'!$B$2:$B$42,0)),"")</f>
        <v/>
      </c>
      <c r="CQ696" s="138" t="str">
        <f>IF($I696&lt;&gt;"",INDEX('Device Refrigerant Leakage'!$F$2:$F$42,MATCH($M696,'Device Refrigerant Leakage'!$B$2:$B$42,0)),"")</f>
        <v/>
      </c>
      <c r="CR696" s="145" t="str">
        <f>IF($I696&lt;&gt;"",INDEX('Device Refrigerant Leakage'!$G$2:$G$42,MATCH($M696,'Device Refrigerant Leakage'!$B$2:$B$42,0)),"")</f>
        <v/>
      </c>
      <c r="CS696" s="145" t="str">
        <f>IF($I696&lt;&gt;"",INDEX('Device Refrigerant Leakage'!$D$2:$D$42,MATCH($M696,'Device Refrigerant Leakage'!$B$2:$B$42,0))*CP696/2204.62*CO696,"")</f>
        <v/>
      </c>
      <c r="CT696" s="145" t="str">
        <f>IF($I696&lt;&gt;"",J696*(INDEX('Device Refrigerant Leakage'!$D$2:$D$42,MATCH($M696,'Device Refrigerant Leakage'!$B$2:$B$42,0))-(INDEX('Device Refrigerant Leakage'!$D$2:$D$42,MATCH($M696,'Device Refrigerant Leakage'!$B$2:$B$42,0)))*CR696*CP696)*CQ696/2204.62*CO696,"")</f>
        <v/>
      </c>
      <c r="CU696" s="135" t="str">
        <f>IF($I696&lt;&gt;"",J696*IF(W696&lt;&gt;"AR",(CS696*K696)+CT696,(CS696*AB696)+CT696*(AB696/INDEX('Device Refrigerant Leakage'!$C$2:$C$42,MATCH($M696,'Device Refrigerant Leakage'!$B$2:$B$42,0)))),"")</f>
        <v/>
      </c>
      <c r="CW696" s="135" t="str">
        <f>IF($I696&lt;&gt;"",IF(S696="User Specified",V696,INDEX('Refrigerant GWPs'!$G$2:$G$156,MATCH(S696,'Refrigerant GWPs'!$A$2:$A$157,0))),"")</f>
        <v/>
      </c>
      <c r="CX696" s="138" t="str">
        <f>IF($I696&lt;&gt;"",INDEX('Device Refrigerant Leakage'!$E$2:$E$42,MATCH($Q696,'Device Refrigerant Leakage'!$B$2:$B$42,0)),"")</f>
        <v/>
      </c>
      <c r="CY696" s="138" t="str">
        <f>IF($I696&lt;&gt;"",INDEX('Device Refrigerant Leakage'!$F$2:$F$42,MATCH($Q696,'Device Refrigerant Leakage'!$B$2:$B$42,0)),"")</f>
        <v/>
      </c>
      <c r="CZ696" s="145" t="str">
        <f>IF($I696&lt;&gt;"",INDEX('Device Refrigerant Leakage'!$G$2:$G$42,MATCH($Q696,'Device Refrigerant Leakage'!$B$2:$B$42,0)),"")</f>
        <v/>
      </c>
      <c r="DA696" s="145" t="str">
        <f>IF($I696&lt;&gt;"",J696*INDEX('Device Refrigerant Leakage'!$D$2:$D$42,MATCH($Q696,'Device Refrigerant Leakage'!$B$2:$B$42,0))*CX696/2204.62*CW696,"")</f>
        <v/>
      </c>
      <c r="DB696" s="145" t="str">
        <f>IF($I696&lt;&gt;"",J696*(INDEX('Device Refrigerant Leakage'!$D$2:$D$42,MATCH($Q696,'Device Refrigerant Leakage'!$B$2:$B$42,0))-(INDEX('Device Refrigerant Leakage'!$D$2:$D$42,MATCH($Q696,'Device Refrigerant Leakage'!$B$2:$B$42,0)))*CZ696*CX696)*CY696/2204.62*CW696,"")</f>
        <v/>
      </c>
      <c r="DC696" s="135" t="str">
        <f t="shared" si="824"/>
        <v/>
      </c>
      <c r="DE696" s="146" t="str">
        <f>IF(W696&lt;&gt;"AR","",IF(Y696="User Specified", AA696, INDEX('Refrigerant GWPs'!$G$2:$G$154,MATCH(Y696,'Refrigerant GWPs'!$A$2:$A$154,0))))</f>
        <v/>
      </c>
      <c r="DF696" s="146" t="str">
        <f>IF(W696&lt;&gt;"AR","",INDEX('Device Refrigerant Leakage'!$E$2:$E$42,MATCH(X696,'Device Refrigerant Leakage'!$B$2:$B$42,0)))</f>
        <v/>
      </c>
      <c r="DG696" s="146" t="str">
        <f>IF(W696&lt;&gt;"AR","",INDEX('Device Refrigerant Leakage'!$F$2:$F$42,MATCH(X696,'Device Refrigerant Leakage'!$B$2:$B$42,0)))</f>
        <v/>
      </c>
      <c r="DH696" s="146" t="str">
        <f>IF(W696&lt;&gt;"AR","",INDEX('Device Refrigerant Leakage'!$G$2:$G$42,MATCH(X696,'Device Refrigerant Leakage'!$B$2:$B$42,0)))</f>
        <v/>
      </c>
      <c r="DI696" s="146" t="str">
        <f>IF(W696&lt;&gt;"AR","",J696*INDEX('Device Refrigerant Leakage'!$D$2:$D$42,MATCH(X696,'Device Refrigerant Leakage'!$B$2:$B$42,0))*DF696/2204.62*DE696)</f>
        <v/>
      </c>
      <c r="DJ696" s="146" t="str">
        <f>IF(W696&lt;&gt;"AR","",J696*(INDEX('Device Refrigerant Leakage'!$D$2:$D$42,MATCH(X696,'Device Refrigerant Leakage'!$B$2:$B$42,0))-(INDEX('Device Refrigerant Leakage'!$D$2:$D$42,MATCH(X696,'Device Refrigerant Leakage'!$B$2:$B$42,0)))*DH696*DF696)*DG696/2204.62*DE696)</f>
        <v/>
      </c>
      <c r="DK696" s="146" t="str">
        <f>IF(W696&lt;&gt;"AR","",DI696*(K696-AB696)+'Fuel Sub Calcs-Deemed'!DJ696*((K696-AB696)/INDEX('Device Refrigerant Leakage'!$C$2:$C$42,MATCH('Fuel Sub Calcs-Deemed'!X696,'Device Refrigerant Leakage'!$B$2:$B$42,0))))</f>
        <v/>
      </c>
      <c r="DM696" s="56">
        <v>682</v>
      </c>
      <c r="DN696" s="67" t="e">
        <f t="shared" si="806"/>
        <v>#N/A</v>
      </c>
      <c r="DO696" s="45" t="e">
        <f t="shared" si="807"/>
        <v>#N/A</v>
      </c>
      <c r="DP696" s="67" t="e">
        <f t="shared" si="808"/>
        <v>#N/A</v>
      </c>
      <c r="DQ696" s="45" t="e">
        <f t="shared" si="809"/>
        <v>#N/A</v>
      </c>
      <c r="DR696" s="69" t="e">
        <f t="shared" si="810"/>
        <v>#N/A</v>
      </c>
      <c r="DS696" s="34"/>
      <c r="DT696" s="67" t="e">
        <f>((BX696*CJ696)+IF($W696=MAT_AR,(BZ696*CL696),0))*(1+Reference!$E$50+Reference!$E$51)</f>
        <v>#N/A</v>
      </c>
      <c r="DU696" s="67">
        <f>((BY696*CK696)+IF($W696=MAT_AR,(CA696*CM696),0))*(1+Reference!$G$50+Reference!$G$51)</f>
        <v>0</v>
      </c>
      <c r="DV696" s="67" t="e">
        <f t="shared" si="811"/>
        <v>#VALUE!</v>
      </c>
      <c r="DX696" s="56">
        <v>682</v>
      </c>
      <c r="DY696" s="67">
        <f t="shared" si="812"/>
        <v>0</v>
      </c>
      <c r="DZ696" s="45" t="e">
        <f>VLOOKUP($R696,Dropdown!$C$3:$D$4,2,FALSE)</f>
        <v>#N/A</v>
      </c>
      <c r="EA696" s="68">
        <f t="shared" si="813"/>
        <v>0</v>
      </c>
      <c r="EB696" s="68" t="str">
        <f t="shared" si="814"/>
        <v>N/A</v>
      </c>
      <c r="EC696" s="68">
        <f t="shared" si="815"/>
        <v>0</v>
      </c>
      <c r="ED696" s="68" t="str">
        <f t="shared" si="853"/>
        <v>N/A</v>
      </c>
      <c r="EF696" s="56">
        <v>682</v>
      </c>
      <c r="EG696" s="46">
        <f t="shared" si="816"/>
        <v>0</v>
      </c>
      <c r="EH696" s="68" t="e">
        <f t="shared" si="817"/>
        <v>#N/A</v>
      </c>
      <c r="EI696" s="68" t="e">
        <f t="shared" si="818"/>
        <v>#N/A</v>
      </c>
      <c r="EJ696" s="68" t="e">
        <f t="shared" si="819"/>
        <v>#N/A</v>
      </c>
      <c r="EK696" s="68" t="e">
        <f t="shared" si="820"/>
        <v>#N/A</v>
      </c>
      <c r="EL696" s="46">
        <f t="shared" si="821"/>
        <v>0</v>
      </c>
      <c r="EM696" s="46">
        <f t="shared" si="822"/>
        <v>0</v>
      </c>
    </row>
    <row r="697" spans="1:143">
      <c r="A697" s="89"/>
      <c r="B697" s="89"/>
      <c r="C697" s="89"/>
      <c r="D697" s="89"/>
      <c r="E697" s="89"/>
      <c r="F697" s="89"/>
      <c r="G697" s="34"/>
      <c r="H697" s="56">
        <f t="shared" si="823"/>
        <v>683</v>
      </c>
      <c r="I697" s="165"/>
      <c r="J697" s="163"/>
      <c r="K697" s="163"/>
      <c r="L697" s="164"/>
      <c r="M697" s="155"/>
      <c r="N697" s="155"/>
      <c r="O697" s="144"/>
      <c r="P697" s="159" t="str">
        <f>IFERROR(IF(O697&lt;&gt;"User Specified",IF(O697&lt;&gt;"", INDEX('Refrigerant GWPs'!$G$2:$G$154,MATCH(O697,'Refrigerant GWPs'!$A$2:$A$154,0)),""),U697),0)</f>
        <v/>
      </c>
      <c r="Q697" s="155"/>
      <c r="R697" s="155"/>
      <c r="S697" s="144"/>
      <c r="T697" s="159" t="str">
        <f>IF(S697&lt;&gt;"User Specified",IF(AND(S697&lt;&gt;"User Specified",S697&lt;&gt;""), INDEX('Refrigerant GWPs'!$G$2:$G$154,MATCH(S697,'Refrigerant GWPs'!$A$2:$A$154,0)),""),V697)</f>
        <v/>
      </c>
      <c r="U697" s="144"/>
      <c r="V697" s="144"/>
      <c r="W697" s="155"/>
      <c r="X697" s="155"/>
      <c r="Y697" s="144"/>
      <c r="Z697" s="159" t="str">
        <f>IF(AND(Y697&lt;&gt;"User Specified",Y697&lt;&gt;""), INDEX('Refrigerant GWPs'!$G$2:$G$154,MATCH(Y697,'Refrigerant GWPs'!$A$2:$A$154,0)),"")</f>
        <v/>
      </c>
      <c r="AA697" s="155"/>
      <c r="AB697" s="156"/>
      <c r="AC697" s="66"/>
      <c r="AD697" s="66"/>
      <c r="AE697" s="66"/>
      <c r="AF697" s="66"/>
      <c r="AG697" s="66"/>
      <c r="AH697" s="66"/>
      <c r="AI697" s="34"/>
      <c r="AJ697" s="88">
        <f t="shared" si="786"/>
        <v>0</v>
      </c>
      <c r="AK697" s="88">
        <f t="shared" si="787"/>
        <v>0</v>
      </c>
      <c r="AL697" s="88">
        <v>0</v>
      </c>
      <c r="AM697" s="88">
        <v>0</v>
      </c>
      <c r="AN697" s="81" t="str">
        <f t="shared" si="825"/>
        <v/>
      </c>
      <c r="AO697" s="88">
        <f t="shared" si="788"/>
        <v>0</v>
      </c>
      <c r="AP697" s="88">
        <f t="shared" si="789"/>
        <v>0</v>
      </c>
      <c r="AQ697" s="81" t="str">
        <f t="shared" si="790"/>
        <v/>
      </c>
      <c r="AS697" s="41" t="b">
        <f t="shared" si="791"/>
        <v>1</v>
      </c>
      <c r="AT697" s="38">
        <f t="shared" si="792"/>
        <v>0</v>
      </c>
      <c r="AU697" s="60">
        <f t="shared" si="793"/>
        <v>0</v>
      </c>
      <c r="AV697" s="41">
        <f t="shared" si="794"/>
        <v>0</v>
      </c>
      <c r="AW697" s="41" t="b">
        <f t="shared" si="795"/>
        <v>0</v>
      </c>
      <c r="AX697" t="str">
        <f t="shared" si="796"/>
        <v>+00</v>
      </c>
      <c r="AY697" t="str">
        <f t="shared" si="797"/>
        <v>+00</v>
      </c>
      <c r="BA697" s="47" t="b">
        <f t="shared" si="826"/>
        <v>1</v>
      </c>
      <c r="BB697" s="42" t="b">
        <f t="shared" si="827"/>
        <v>1</v>
      </c>
      <c r="BC697" s="42" t="b">
        <f t="shared" si="828"/>
        <v>0</v>
      </c>
      <c r="BD697" s="42" t="b">
        <f t="shared" si="829"/>
        <v>0</v>
      </c>
      <c r="BE697" s="70">
        <f t="shared" si="830"/>
        <v>0</v>
      </c>
      <c r="BF697" s="70">
        <f t="shared" si="831"/>
        <v>0</v>
      </c>
      <c r="BG697" s="34"/>
      <c r="BI697" s="47" t="b">
        <f t="shared" si="832"/>
        <v>1</v>
      </c>
      <c r="BJ697" s="47" t="b">
        <f t="shared" si="833"/>
        <v>1</v>
      </c>
      <c r="BK697" s="42" t="b">
        <f t="shared" si="834"/>
        <v>0</v>
      </c>
      <c r="BL697" s="42" t="b">
        <f t="shared" si="835"/>
        <v>0</v>
      </c>
      <c r="BM697" s="42">
        <f t="shared" si="836"/>
        <v>0</v>
      </c>
      <c r="BN697" s="42">
        <f t="shared" si="837"/>
        <v>0</v>
      </c>
      <c r="BP697" t="e">
        <f t="shared" si="838"/>
        <v>#N/A</v>
      </c>
      <c r="BQ697" t="e">
        <f t="shared" si="839"/>
        <v>#N/A</v>
      </c>
      <c r="BR697" t="e">
        <f t="shared" si="840"/>
        <v>#N/A</v>
      </c>
      <c r="BT697" s="60">
        <f t="shared" si="841"/>
        <v>0</v>
      </c>
      <c r="BU697" s="60">
        <f t="shared" si="842"/>
        <v>0</v>
      </c>
      <c r="BV697" s="60">
        <f t="shared" si="843"/>
        <v>0</v>
      </c>
      <c r="BW697" s="60">
        <f t="shared" si="844"/>
        <v>0</v>
      </c>
      <c r="BX697" s="60">
        <f t="shared" si="845"/>
        <v>0</v>
      </c>
      <c r="BY697" s="60">
        <f t="shared" si="846"/>
        <v>0</v>
      </c>
      <c r="BZ697" s="60">
        <f t="shared" si="847"/>
        <v>0</v>
      </c>
      <c r="CA697" s="60">
        <f t="shared" si="848"/>
        <v>0</v>
      </c>
      <c r="CB697" s="60" t="e">
        <f t="shared" si="798"/>
        <v>#N/A</v>
      </c>
      <c r="CC697" s="60">
        <f t="shared" si="799"/>
        <v>100000</v>
      </c>
      <c r="CD697" s="60" t="e">
        <f t="shared" si="800"/>
        <v>#N/A</v>
      </c>
      <c r="CE697" s="60">
        <f t="shared" si="801"/>
        <v>100000</v>
      </c>
      <c r="CF697" s="83" t="e">
        <f t="shared" si="849"/>
        <v>#N/A</v>
      </c>
      <c r="CG697" s="83">
        <f t="shared" si="850"/>
        <v>0</v>
      </c>
      <c r="CH697" s="83" t="e">
        <f t="shared" si="851"/>
        <v>#N/A</v>
      </c>
      <c r="CI697" s="83">
        <f t="shared" si="852"/>
        <v>0</v>
      </c>
      <c r="CJ697" s="86" t="e">
        <f t="shared" si="802"/>
        <v>#N/A</v>
      </c>
      <c r="CK697" s="82">
        <f t="shared" si="803"/>
        <v>5.3070370403969858E-3</v>
      </c>
      <c r="CL697" s="82" t="e">
        <f t="shared" si="804"/>
        <v>#N/A</v>
      </c>
      <c r="CM697" s="82">
        <f t="shared" si="805"/>
        <v>5.3070370403969858E-3</v>
      </c>
      <c r="CO697" s="149" t="str">
        <f>IF($I697&lt;&gt;"",IF(O697="User Specified",U697,INDEX('Refrigerant GWPs'!$G$2:$G$156,MATCH(O697,'Refrigerant GWPs'!$A$2:$A$156,0))),"")</f>
        <v/>
      </c>
      <c r="CP697" s="138" t="str">
        <f>IF($I697&lt;&gt;"",INDEX('Device Refrigerant Leakage'!$E$2:$E$42,MATCH($M697,'Device Refrigerant Leakage'!$B$2:$B$42,0)),"")</f>
        <v/>
      </c>
      <c r="CQ697" s="138" t="str">
        <f>IF($I697&lt;&gt;"",INDEX('Device Refrigerant Leakage'!$F$2:$F$42,MATCH($M697,'Device Refrigerant Leakage'!$B$2:$B$42,0)),"")</f>
        <v/>
      </c>
      <c r="CR697" s="145" t="str">
        <f>IF($I697&lt;&gt;"",INDEX('Device Refrigerant Leakage'!$G$2:$G$42,MATCH($M697,'Device Refrigerant Leakage'!$B$2:$B$42,0)),"")</f>
        <v/>
      </c>
      <c r="CS697" s="145" t="str">
        <f>IF($I697&lt;&gt;"",INDEX('Device Refrigerant Leakage'!$D$2:$D$42,MATCH($M697,'Device Refrigerant Leakage'!$B$2:$B$42,0))*CP697/2204.62*CO697,"")</f>
        <v/>
      </c>
      <c r="CT697" s="145" t="str">
        <f>IF($I697&lt;&gt;"",J697*(INDEX('Device Refrigerant Leakage'!$D$2:$D$42,MATCH($M697,'Device Refrigerant Leakage'!$B$2:$B$42,0))-(INDEX('Device Refrigerant Leakage'!$D$2:$D$42,MATCH($M697,'Device Refrigerant Leakage'!$B$2:$B$42,0)))*CR697*CP697)*CQ697/2204.62*CO697,"")</f>
        <v/>
      </c>
      <c r="CU697" s="135" t="str">
        <f>IF($I697&lt;&gt;"",J697*IF(W697&lt;&gt;"AR",(CS697*K697)+CT697,(CS697*AB697)+CT697*(AB697/INDEX('Device Refrigerant Leakage'!$C$2:$C$42,MATCH($M697,'Device Refrigerant Leakage'!$B$2:$B$42,0)))),"")</f>
        <v/>
      </c>
      <c r="CW697" s="135" t="str">
        <f>IF($I697&lt;&gt;"",IF(S697="User Specified",V697,INDEX('Refrigerant GWPs'!$G$2:$G$156,MATCH(S697,'Refrigerant GWPs'!$A$2:$A$157,0))),"")</f>
        <v/>
      </c>
      <c r="CX697" s="138" t="str">
        <f>IF($I697&lt;&gt;"",INDEX('Device Refrigerant Leakage'!$E$2:$E$42,MATCH($Q697,'Device Refrigerant Leakage'!$B$2:$B$42,0)),"")</f>
        <v/>
      </c>
      <c r="CY697" s="138" t="str">
        <f>IF($I697&lt;&gt;"",INDEX('Device Refrigerant Leakage'!$F$2:$F$42,MATCH($Q697,'Device Refrigerant Leakage'!$B$2:$B$42,0)),"")</f>
        <v/>
      </c>
      <c r="CZ697" s="145" t="str">
        <f>IF($I697&lt;&gt;"",INDEX('Device Refrigerant Leakage'!$G$2:$G$42,MATCH($Q697,'Device Refrigerant Leakage'!$B$2:$B$42,0)),"")</f>
        <v/>
      </c>
      <c r="DA697" s="145" t="str">
        <f>IF($I697&lt;&gt;"",J697*INDEX('Device Refrigerant Leakage'!$D$2:$D$42,MATCH($Q697,'Device Refrigerant Leakage'!$B$2:$B$42,0))*CX697/2204.62*CW697,"")</f>
        <v/>
      </c>
      <c r="DB697" s="145" t="str">
        <f>IF($I697&lt;&gt;"",J697*(INDEX('Device Refrigerant Leakage'!$D$2:$D$42,MATCH($Q697,'Device Refrigerant Leakage'!$B$2:$B$42,0))-(INDEX('Device Refrigerant Leakage'!$D$2:$D$42,MATCH($Q697,'Device Refrigerant Leakage'!$B$2:$B$42,0)))*CZ697*CX697)*CY697/2204.62*CW697,"")</f>
        <v/>
      </c>
      <c r="DC697" s="135" t="str">
        <f t="shared" si="824"/>
        <v/>
      </c>
      <c r="DE697" s="146" t="str">
        <f>IF(W697&lt;&gt;"AR","",IF(Y697="User Specified", AA697, INDEX('Refrigerant GWPs'!$G$2:$G$154,MATCH(Y697,'Refrigerant GWPs'!$A$2:$A$154,0))))</f>
        <v/>
      </c>
      <c r="DF697" s="146" t="str">
        <f>IF(W697&lt;&gt;"AR","",INDEX('Device Refrigerant Leakage'!$E$2:$E$42,MATCH(X697,'Device Refrigerant Leakage'!$B$2:$B$42,0)))</f>
        <v/>
      </c>
      <c r="DG697" s="146" t="str">
        <f>IF(W697&lt;&gt;"AR","",INDEX('Device Refrigerant Leakage'!$F$2:$F$42,MATCH(X697,'Device Refrigerant Leakage'!$B$2:$B$42,0)))</f>
        <v/>
      </c>
      <c r="DH697" s="146" t="str">
        <f>IF(W697&lt;&gt;"AR","",INDEX('Device Refrigerant Leakage'!$G$2:$G$42,MATCH(X697,'Device Refrigerant Leakage'!$B$2:$B$42,0)))</f>
        <v/>
      </c>
      <c r="DI697" s="146" t="str">
        <f>IF(W697&lt;&gt;"AR","",J697*INDEX('Device Refrigerant Leakage'!$D$2:$D$42,MATCH(X697,'Device Refrigerant Leakage'!$B$2:$B$42,0))*DF697/2204.62*DE697)</f>
        <v/>
      </c>
      <c r="DJ697" s="146" t="str">
        <f>IF(W697&lt;&gt;"AR","",J697*(INDEX('Device Refrigerant Leakage'!$D$2:$D$42,MATCH(X697,'Device Refrigerant Leakage'!$B$2:$B$42,0))-(INDEX('Device Refrigerant Leakage'!$D$2:$D$42,MATCH(X697,'Device Refrigerant Leakage'!$B$2:$B$42,0)))*DH697*DF697)*DG697/2204.62*DE697)</f>
        <v/>
      </c>
      <c r="DK697" s="146" t="str">
        <f>IF(W697&lt;&gt;"AR","",DI697*(K697-AB697)+'Fuel Sub Calcs-Deemed'!DJ697*((K697-AB697)/INDEX('Device Refrigerant Leakage'!$C$2:$C$42,MATCH('Fuel Sub Calcs-Deemed'!X697,'Device Refrigerant Leakage'!$B$2:$B$42,0))))</f>
        <v/>
      </c>
      <c r="DM697" s="56">
        <v>683</v>
      </c>
      <c r="DN697" s="67" t="e">
        <f t="shared" si="806"/>
        <v>#N/A</v>
      </c>
      <c r="DO697" s="45" t="e">
        <f t="shared" si="807"/>
        <v>#N/A</v>
      </c>
      <c r="DP697" s="67" t="e">
        <f t="shared" si="808"/>
        <v>#N/A</v>
      </c>
      <c r="DQ697" s="45" t="e">
        <f t="shared" si="809"/>
        <v>#N/A</v>
      </c>
      <c r="DR697" s="69" t="e">
        <f t="shared" si="810"/>
        <v>#N/A</v>
      </c>
      <c r="DS697" s="34"/>
      <c r="DT697" s="67" t="e">
        <f>((BX697*CJ697)+IF($W697=MAT_AR,(BZ697*CL697),0))*(1+Reference!$E$50+Reference!$E$51)</f>
        <v>#N/A</v>
      </c>
      <c r="DU697" s="67">
        <f>((BY697*CK697)+IF($W697=MAT_AR,(CA697*CM697),0))*(1+Reference!$G$50+Reference!$G$51)</f>
        <v>0</v>
      </c>
      <c r="DV697" s="67" t="e">
        <f t="shared" si="811"/>
        <v>#VALUE!</v>
      </c>
      <c r="DX697" s="56">
        <v>683</v>
      </c>
      <c r="DY697" s="67">
        <f t="shared" si="812"/>
        <v>0</v>
      </c>
      <c r="DZ697" s="45" t="e">
        <f>VLOOKUP($R697,Dropdown!$C$3:$D$4,2,FALSE)</f>
        <v>#N/A</v>
      </c>
      <c r="EA697" s="68">
        <f t="shared" si="813"/>
        <v>0</v>
      </c>
      <c r="EB697" s="68" t="str">
        <f t="shared" si="814"/>
        <v>N/A</v>
      </c>
      <c r="EC697" s="68">
        <f t="shared" si="815"/>
        <v>0</v>
      </c>
      <c r="ED697" s="68" t="str">
        <f t="shared" si="853"/>
        <v>N/A</v>
      </c>
      <c r="EF697" s="56">
        <v>683</v>
      </c>
      <c r="EG697" s="46">
        <f t="shared" si="816"/>
        <v>0</v>
      </c>
      <c r="EH697" s="68" t="e">
        <f t="shared" si="817"/>
        <v>#N/A</v>
      </c>
      <c r="EI697" s="68" t="e">
        <f t="shared" si="818"/>
        <v>#N/A</v>
      </c>
      <c r="EJ697" s="68" t="e">
        <f t="shared" si="819"/>
        <v>#N/A</v>
      </c>
      <c r="EK697" s="68" t="e">
        <f t="shared" si="820"/>
        <v>#N/A</v>
      </c>
      <c r="EL697" s="46">
        <f t="shared" si="821"/>
        <v>0</v>
      </c>
      <c r="EM697" s="46">
        <f t="shared" si="822"/>
        <v>0</v>
      </c>
    </row>
    <row r="698" spans="1:143">
      <c r="A698" s="89"/>
      <c r="B698" s="89"/>
      <c r="C698" s="89"/>
      <c r="D698" s="89"/>
      <c r="E698" s="89"/>
      <c r="F698" s="89"/>
      <c r="G698" s="34"/>
      <c r="H698" s="56">
        <f t="shared" si="823"/>
        <v>684</v>
      </c>
      <c r="I698" s="165"/>
      <c r="J698" s="163"/>
      <c r="K698" s="163"/>
      <c r="L698" s="164"/>
      <c r="M698" s="155"/>
      <c r="N698" s="155"/>
      <c r="O698" s="144"/>
      <c r="P698" s="159" t="str">
        <f>IFERROR(IF(O698&lt;&gt;"User Specified",IF(O698&lt;&gt;"", INDEX('Refrigerant GWPs'!$G$2:$G$154,MATCH(O698,'Refrigerant GWPs'!$A$2:$A$154,0)),""),U698),0)</f>
        <v/>
      </c>
      <c r="Q698" s="155"/>
      <c r="R698" s="155"/>
      <c r="S698" s="144"/>
      <c r="T698" s="159" t="str">
        <f>IF(S698&lt;&gt;"User Specified",IF(AND(S698&lt;&gt;"User Specified",S698&lt;&gt;""), INDEX('Refrigerant GWPs'!$G$2:$G$154,MATCH(S698,'Refrigerant GWPs'!$A$2:$A$154,0)),""),V698)</f>
        <v/>
      </c>
      <c r="U698" s="144"/>
      <c r="V698" s="144"/>
      <c r="W698" s="155"/>
      <c r="X698" s="155"/>
      <c r="Y698" s="144"/>
      <c r="Z698" s="159" t="str">
        <f>IF(AND(Y698&lt;&gt;"User Specified",Y698&lt;&gt;""), INDEX('Refrigerant GWPs'!$G$2:$G$154,MATCH(Y698,'Refrigerant GWPs'!$A$2:$A$154,0)),"")</f>
        <v/>
      </c>
      <c r="AA698" s="155"/>
      <c r="AB698" s="156"/>
      <c r="AC698" s="66"/>
      <c r="AD698" s="66"/>
      <c r="AE698" s="66"/>
      <c r="AF698" s="66"/>
      <c r="AG698" s="66"/>
      <c r="AH698" s="66"/>
      <c r="AI698" s="34"/>
      <c r="AJ698" s="88">
        <f t="shared" si="786"/>
        <v>0</v>
      </c>
      <c r="AK698" s="88">
        <f t="shared" si="787"/>
        <v>0</v>
      </c>
      <c r="AL698" s="88">
        <v>0</v>
      </c>
      <c r="AM698" s="88">
        <v>0</v>
      </c>
      <c r="AN698" s="81" t="str">
        <f t="shared" si="825"/>
        <v/>
      </c>
      <c r="AO698" s="88">
        <f t="shared" si="788"/>
        <v>0</v>
      </c>
      <c r="AP698" s="88">
        <f t="shared" si="789"/>
        <v>0</v>
      </c>
      <c r="AQ698" s="81" t="str">
        <f t="shared" si="790"/>
        <v/>
      </c>
      <c r="AS698" s="41" t="b">
        <f t="shared" si="791"/>
        <v>1</v>
      </c>
      <c r="AT698" s="38">
        <f t="shared" si="792"/>
        <v>0</v>
      </c>
      <c r="AU698" s="60">
        <f t="shared" si="793"/>
        <v>0</v>
      </c>
      <c r="AV698" s="41">
        <f t="shared" si="794"/>
        <v>0</v>
      </c>
      <c r="AW698" s="41" t="b">
        <f t="shared" si="795"/>
        <v>0</v>
      </c>
      <c r="AX698" t="str">
        <f t="shared" si="796"/>
        <v>+00</v>
      </c>
      <c r="AY698" t="str">
        <f t="shared" si="797"/>
        <v>+00</v>
      </c>
      <c r="BA698" s="47" t="b">
        <f t="shared" si="826"/>
        <v>1</v>
      </c>
      <c r="BB698" s="42" t="b">
        <f t="shared" si="827"/>
        <v>1</v>
      </c>
      <c r="BC698" s="42" t="b">
        <f t="shared" si="828"/>
        <v>0</v>
      </c>
      <c r="BD698" s="42" t="b">
        <f t="shared" si="829"/>
        <v>0</v>
      </c>
      <c r="BE698" s="70">
        <f t="shared" si="830"/>
        <v>0</v>
      </c>
      <c r="BF698" s="70">
        <f t="shared" si="831"/>
        <v>0</v>
      </c>
      <c r="BG698" s="34"/>
      <c r="BI698" s="47" t="b">
        <f t="shared" si="832"/>
        <v>1</v>
      </c>
      <c r="BJ698" s="47" t="b">
        <f t="shared" si="833"/>
        <v>1</v>
      </c>
      <c r="BK698" s="42" t="b">
        <f t="shared" si="834"/>
        <v>0</v>
      </c>
      <c r="BL698" s="42" t="b">
        <f t="shared" si="835"/>
        <v>0</v>
      </c>
      <c r="BM698" s="42">
        <f t="shared" si="836"/>
        <v>0</v>
      </c>
      <c r="BN698" s="42">
        <f t="shared" si="837"/>
        <v>0</v>
      </c>
      <c r="BP698" t="e">
        <f t="shared" si="838"/>
        <v>#N/A</v>
      </c>
      <c r="BQ698" t="e">
        <f t="shared" si="839"/>
        <v>#N/A</v>
      </c>
      <c r="BR698" t="e">
        <f t="shared" si="840"/>
        <v>#N/A</v>
      </c>
      <c r="BT698" s="60">
        <f t="shared" si="841"/>
        <v>0</v>
      </c>
      <c r="BU698" s="60">
        <f t="shared" si="842"/>
        <v>0</v>
      </c>
      <c r="BV698" s="60">
        <f t="shared" si="843"/>
        <v>0</v>
      </c>
      <c r="BW698" s="60">
        <f t="shared" si="844"/>
        <v>0</v>
      </c>
      <c r="BX698" s="60">
        <f t="shared" si="845"/>
        <v>0</v>
      </c>
      <c r="BY698" s="60">
        <f t="shared" si="846"/>
        <v>0</v>
      </c>
      <c r="BZ698" s="60">
        <f t="shared" si="847"/>
        <v>0</v>
      </c>
      <c r="CA698" s="60">
        <f t="shared" si="848"/>
        <v>0</v>
      </c>
      <c r="CB698" s="60" t="e">
        <f t="shared" si="798"/>
        <v>#N/A</v>
      </c>
      <c r="CC698" s="60">
        <f t="shared" si="799"/>
        <v>100000</v>
      </c>
      <c r="CD698" s="60" t="e">
        <f t="shared" si="800"/>
        <v>#N/A</v>
      </c>
      <c r="CE698" s="60">
        <f t="shared" si="801"/>
        <v>100000</v>
      </c>
      <c r="CF698" s="83" t="e">
        <f t="shared" si="849"/>
        <v>#N/A</v>
      </c>
      <c r="CG698" s="83">
        <f t="shared" si="850"/>
        <v>0</v>
      </c>
      <c r="CH698" s="83" t="e">
        <f t="shared" si="851"/>
        <v>#N/A</v>
      </c>
      <c r="CI698" s="83">
        <f t="shared" si="852"/>
        <v>0</v>
      </c>
      <c r="CJ698" s="86" t="e">
        <f t="shared" si="802"/>
        <v>#N/A</v>
      </c>
      <c r="CK698" s="82">
        <f t="shared" si="803"/>
        <v>5.3070370403969858E-3</v>
      </c>
      <c r="CL698" s="82" t="e">
        <f t="shared" si="804"/>
        <v>#N/A</v>
      </c>
      <c r="CM698" s="82">
        <f t="shared" si="805"/>
        <v>5.3070370403969858E-3</v>
      </c>
      <c r="CO698" s="149" t="str">
        <f>IF($I698&lt;&gt;"",IF(O698="User Specified",U698,INDEX('Refrigerant GWPs'!$G$2:$G$156,MATCH(O698,'Refrigerant GWPs'!$A$2:$A$156,0))),"")</f>
        <v/>
      </c>
      <c r="CP698" s="138" t="str">
        <f>IF($I698&lt;&gt;"",INDEX('Device Refrigerant Leakage'!$E$2:$E$42,MATCH($M698,'Device Refrigerant Leakage'!$B$2:$B$42,0)),"")</f>
        <v/>
      </c>
      <c r="CQ698" s="138" t="str">
        <f>IF($I698&lt;&gt;"",INDEX('Device Refrigerant Leakage'!$F$2:$F$42,MATCH($M698,'Device Refrigerant Leakage'!$B$2:$B$42,0)),"")</f>
        <v/>
      </c>
      <c r="CR698" s="145" t="str">
        <f>IF($I698&lt;&gt;"",INDEX('Device Refrigerant Leakage'!$G$2:$G$42,MATCH($M698,'Device Refrigerant Leakage'!$B$2:$B$42,0)),"")</f>
        <v/>
      </c>
      <c r="CS698" s="145" t="str">
        <f>IF($I698&lt;&gt;"",INDEX('Device Refrigerant Leakage'!$D$2:$D$42,MATCH($M698,'Device Refrigerant Leakage'!$B$2:$B$42,0))*CP698/2204.62*CO698,"")</f>
        <v/>
      </c>
      <c r="CT698" s="145" t="str">
        <f>IF($I698&lt;&gt;"",J698*(INDEX('Device Refrigerant Leakage'!$D$2:$D$42,MATCH($M698,'Device Refrigerant Leakage'!$B$2:$B$42,0))-(INDEX('Device Refrigerant Leakage'!$D$2:$D$42,MATCH($M698,'Device Refrigerant Leakage'!$B$2:$B$42,0)))*CR698*CP698)*CQ698/2204.62*CO698,"")</f>
        <v/>
      </c>
      <c r="CU698" s="135" t="str">
        <f>IF($I698&lt;&gt;"",J698*IF(W698&lt;&gt;"AR",(CS698*K698)+CT698,(CS698*AB698)+CT698*(AB698/INDEX('Device Refrigerant Leakage'!$C$2:$C$42,MATCH($M698,'Device Refrigerant Leakage'!$B$2:$B$42,0)))),"")</f>
        <v/>
      </c>
      <c r="CW698" s="135" t="str">
        <f>IF($I698&lt;&gt;"",IF(S698="User Specified",V698,INDEX('Refrigerant GWPs'!$G$2:$G$156,MATCH(S698,'Refrigerant GWPs'!$A$2:$A$157,0))),"")</f>
        <v/>
      </c>
      <c r="CX698" s="138" t="str">
        <f>IF($I698&lt;&gt;"",INDEX('Device Refrigerant Leakage'!$E$2:$E$42,MATCH($Q698,'Device Refrigerant Leakage'!$B$2:$B$42,0)),"")</f>
        <v/>
      </c>
      <c r="CY698" s="138" t="str">
        <f>IF($I698&lt;&gt;"",INDEX('Device Refrigerant Leakage'!$F$2:$F$42,MATCH($Q698,'Device Refrigerant Leakage'!$B$2:$B$42,0)),"")</f>
        <v/>
      </c>
      <c r="CZ698" s="145" t="str">
        <f>IF($I698&lt;&gt;"",INDEX('Device Refrigerant Leakage'!$G$2:$G$42,MATCH($Q698,'Device Refrigerant Leakage'!$B$2:$B$42,0)),"")</f>
        <v/>
      </c>
      <c r="DA698" s="145" t="str">
        <f>IF($I698&lt;&gt;"",J698*INDEX('Device Refrigerant Leakage'!$D$2:$D$42,MATCH($Q698,'Device Refrigerant Leakage'!$B$2:$B$42,0))*CX698/2204.62*CW698,"")</f>
        <v/>
      </c>
      <c r="DB698" s="145" t="str">
        <f>IF($I698&lt;&gt;"",J698*(INDEX('Device Refrigerant Leakage'!$D$2:$D$42,MATCH($Q698,'Device Refrigerant Leakage'!$B$2:$B$42,0))-(INDEX('Device Refrigerant Leakage'!$D$2:$D$42,MATCH($Q698,'Device Refrigerant Leakage'!$B$2:$B$42,0)))*CZ698*CX698)*CY698/2204.62*CW698,"")</f>
        <v/>
      </c>
      <c r="DC698" s="135" t="str">
        <f t="shared" si="824"/>
        <v/>
      </c>
      <c r="DE698" s="146" t="str">
        <f>IF(W698&lt;&gt;"AR","",IF(Y698="User Specified", AA698, INDEX('Refrigerant GWPs'!$G$2:$G$154,MATCH(Y698,'Refrigerant GWPs'!$A$2:$A$154,0))))</f>
        <v/>
      </c>
      <c r="DF698" s="146" t="str">
        <f>IF(W698&lt;&gt;"AR","",INDEX('Device Refrigerant Leakage'!$E$2:$E$42,MATCH(X698,'Device Refrigerant Leakage'!$B$2:$B$42,0)))</f>
        <v/>
      </c>
      <c r="DG698" s="146" t="str">
        <f>IF(W698&lt;&gt;"AR","",INDEX('Device Refrigerant Leakage'!$F$2:$F$42,MATCH(X698,'Device Refrigerant Leakage'!$B$2:$B$42,0)))</f>
        <v/>
      </c>
      <c r="DH698" s="146" t="str">
        <f>IF(W698&lt;&gt;"AR","",INDEX('Device Refrigerant Leakage'!$G$2:$G$42,MATCH(X698,'Device Refrigerant Leakage'!$B$2:$B$42,0)))</f>
        <v/>
      </c>
      <c r="DI698" s="146" t="str">
        <f>IF(W698&lt;&gt;"AR","",J698*INDEX('Device Refrigerant Leakage'!$D$2:$D$42,MATCH(X698,'Device Refrigerant Leakage'!$B$2:$B$42,0))*DF698/2204.62*DE698)</f>
        <v/>
      </c>
      <c r="DJ698" s="146" t="str">
        <f>IF(W698&lt;&gt;"AR","",J698*(INDEX('Device Refrigerant Leakage'!$D$2:$D$42,MATCH(X698,'Device Refrigerant Leakage'!$B$2:$B$42,0))-(INDEX('Device Refrigerant Leakage'!$D$2:$D$42,MATCH(X698,'Device Refrigerant Leakage'!$B$2:$B$42,0)))*DH698*DF698)*DG698/2204.62*DE698)</f>
        <v/>
      </c>
      <c r="DK698" s="146" t="str">
        <f>IF(W698&lt;&gt;"AR","",DI698*(K698-AB698)+'Fuel Sub Calcs-Deemed'!DJ698*((K698-AB698)/INDEX('Device Refrigerant Leakage'!$C$2:$C$42,MATCH('Fuel Sub Calcs-Deemed'!X698,'Device Refrigerant Leakage'!$B$2:$B$42,0))))</f>
        <v/>
      </c>
      <c r="DM698" s="56">
        <v>684</v>
      </c>
      <c r="DN698" s="67" t="e">
        <f t="shared" si="806"/>
        <v>#N/A</v>
      </c>
      <c r="DO698" s="45" t="e">
        <f t="shared" si="807"/>
        <v>#N/A</v>
      </c>
      <c r="DP698" s="67" t="e">
        <f t="shared" si="808"/>
        <v>#N/A</v>
      </c>
      <c r="DQ698" s="45" t="e">
        <f t="shared" si="809"/>
        <v>#N/A</v>
      </c>
      <c r="DR698" s="69" t="e">
        <f t="shared" si="810"/>
        <v>#N/A</v>
      </c>
      <c r="DS698" s="34"/>
      <c r="DT698" s="67" t="e">
        <f>((BX698*CJ698)+IF($W698=MAT_AR,(BZ698*CL698),0))*(1+Reference!$E$50+Reference!$E$51)</f>
        <v>#N/A</v>
      </c>
      <c r="DU698" s="67">
        <f>((BY698*CK698)+IF($W698=MAT_AR,(CA698*CM698),0))*(1+Reference!$G$50+Reference!$G$51)</f>
        <v>0</v>
      </c>
      <c r="DV698" s="67" t="e">
        <f t="shared" si="811"/>
        <v>#VALUE!</v>
      </c>
      <c r="DX698" s="56">
        <v>684</v>
      </c>
      <c r="DY698" s="67">
        <f t="shared" si="812"/>
        <v>0</v>
      </c>
      <c r="DZ698" s="45" t="e">
        <f>VLOOKUP($R698,Dropdown!$C$3:$D$4,2,FALSE)</f>
        <v>#N/A</v>
      </c>
      <c r="EA698" s="68">
        <f t="shared" si="813"/>
        <v>0</v>
      </c>
      <c r="EB698" s="68" t="str">
        <f t="shared" si="814"/>
        <v>N/A</v>
      </c>
      <c r="EC698" s="68">
        <f t="shared" si="815"/>
        <v>0</v>
      </c>
      <c r="ED698" s="68" t="str">
        <f t="shared" si="853"/>
        <v>N/A</v>
      </c>
      <c r="EF698" s="56">
        <v>684</v>
      </c>
      <c r="EG698" s="46">
        <f t="shared" si="816"/>
        <v>0</v>
      </c>
      <c r="EH698" s="68" t="e">
        <f t="shared" si="817"/>
        <v>#N/A</v>
      </c>
      <c r="EI698" s="68" t="e">
        <f t="shared" si="818"/>
        <v>#N/A</v>
      </c>
      <c r="EJ698" s="68" t="e">
        <f t="shared" si="819"/>
        <v>#N/A</v>
      </c>
      <c r="EK698" s="68" t="e">
        <f t="shared" si="820"/>
        <v>#N/A</v>
      </c>
      <c r="EL698" s="46">
        <f t="shared" si="821"/>
        <v>0</v>
      </c>
      <c r="EM698" s="46">
        <f t="shared" si="822"/>
        <v>0</v>
      </c>
    </row>
    <row r="699" spans="1:143">
      <c r="A699" s="89"/>
      <c r="B699" s="89"/>
      <c r="C699" s="89"/>
      <c r="D699" s="89"/>
      <c r="E699" s="89"/>
      <c r="F699" s="89"/>
      <c r="G699" s="34"/>
      <c r="H699" s="56">
        <f t="shared" si="823"/>
        <v>685</v>
      </c>
      <c r="I699" s="165"/>
      <c r="J699" s="163"/>
      <c r="K699" s="163"/>
      <c r="L699" s="164"/>
      <c r="M699" s="155"/>
      <c r="N699" s="155"/>
      <c r="O699" s="144"/>
      <c r="P699" s="159" t="str">
        <f>IFERROR(IF(O699&lt;&gt;"User Specified",IF(O699&lt;&gt;"", INDEX('Refrigerant GWPs'!$G$2:$G$154,MATCH(O699,'Refrigerant GWPs'!$A$2:$A$154,0)),""),U699),0)</f>
        <v/>
      </c>
      <c r="Q699" s="155"/>
      <c r="R699" s="155"/>
      <c r="S699" s="144"/>
      <c r="T699" s="159" t="str">
        <f>IF(S699&lt;&gt;"User Specified",IF(AND(S699&lt;&gt;"User Specified",S699&lt;&gt;""), INDEX('Refrigerant GWPs'!$G$2:$G$154,MATCH(S699,'Refrigerant GWPs'!$A$2:$A$154,0)),""),V699)</f>
        <v/>
      </c>
      <c r="U699" s="144"/>
      <c r="V699" s="144"/>
      <c r="W699" s="155"/>
      <c r="X699" s="155"/>
      <c r="Y699" s="144"/>
      <c r="Z699" s="159" t="str">
        <f>IF(AND(Y699&lt;&gt;"User Specified",Y699&lt;&gt;""), INDEX('Refrigerant GWPs'!$G$2:$G$154,MATCH(Y699,'Refrigerant GWPs'!$A$2:$A$154,0)),"")</f>
        <v/>
      </c>
      <c r="AA699" s="155"/>
      <c r="AB699" s="156"/>
      <c r="AC699" s="66"/>
      <c r="AD699" s="66"/>
      <c r="AE699" s="66"/>
      <c r="AF699" s="66"/>
      <c r="AG699" s="66"/>
      <c r="AH699" s="66"/>
      <c r="AI699" s="34"/>
      <c r="AJ699" s="88">
        <f t="shared" si="786"/>
        <v>0</v>
      </c>
      <c r="AK699" s="88">
        <f t="shared" si="787"/>
        <v>0</v>
      </c>
      <c r="AL699" s="88">
        <v>0</v>
      </c>
      <c r="AM699" s="88">
        <v>0</v>
      </c>
      <c r="AN699" s="81" t="str">
        <f t="shared" si="825"/>
        <v/>
      </c>
      <c r="AO699" s="88">
        <f t="shared" si="788"/>
        <v>0</v>
      </c>
      <c r="AP699" s="88">
        <f t="shared" si="789"/>
        <v>0</v>
      </c>
      <c r="AQ699" s="81" t="str">
        <f t="shared" si="790"/>
        <v/>
      </c>
      <c r="AS699" s="41" t="b">
        <f t="shared" si="791"/>
        <v>1</v>
      </c>
      <c r="AT699" s="38">
        <f t="shared" si="792"/>
        <v>0</v>
      </c>
      <c r="AU699" s="60">
        <f t="shared" si="793"/>
        <v>0</v>
      </c>
      <c r="AV699" s="41">
        <f t="shared" si="794"/>
        <v>0</v>
      </c>
      <c r="AW699" s="41" t="b">
        <f t="shared" si="795"/>
        <v>0</v>
      </c>
      <c r="AX699" t="str">
        <f t="shared" si="796"/>
        <v>+00</v>
      </c>
      <c r="AY699" t="str">
        <f t="shared" si="797"/>
        <v>+00</v>
      </c>
      <c r="BA699" s="47" t="b">
        <f t="shared" si="826"/>
        <v>1</v>
      </c>
      <c r="BB699" s="42" t="b">
        <f t="shared" si="827"/>
        <v>1</v>
      </c>
      <c r="BC699" s="42" t="b">
        <f t="shared" si="828"/>
        <v>0</v>
      </c>
      <c r="BD699" s="42" t="b">
        <f t="shared" si="829"/>
        <v>0</v>
      </c>
      <c r="BE699" s="70">
        <f t="shared" si="830"/>
        <v>0</v>
      </c>
      <c r="BF699" s="70">
        <f t="shared" si="831"/>
        <v>0</v>
      </c>
      <c r="BG699" s="34"/>
      <c r="BI699" s="47" t="b">
        <f t="shared" si="832"/>
        <v>1</v>
      </c>
      <c r="BJ699" s="47" t="b">
        <f t="shared" si="833"/>
        <v>1</v>
      </c>
      <c r="BK699" s="42" t="b">
        <f t="shared" si="834"/>
        <v>0</v>
      </c>
      <c r="BL699" s="42" t="b">
        <f t="shared" si="835"/>
        <v>0</v>
      </c>
      <c r="BM699" s="42">
        <f t="shared" si="836"/>
        <v>0</v>
      </c>
      <c r="BN699" s="42">
        <f t="shared" si="837"/>
        <v>0</v>
      </c>
      <c r="BP699" t="e">
        <f t="shared" si="838"/>
        <v>#N/A</v>
      </c>
      <c r="BQ699" t="e">
        <f t="shared" si="839"/>
        <v>#N/A</v>
      </c>
      <c r="BR699" t="e">
        <f t="shared" si="840"/>
        <v>#N/A</v>
      </c>
      <c r="BT699" s="60">
        <f t="shared" si="841"/>
        <v>0</v>
      </c>
      <c r="BU699" s="60">
        <f t="shared" si="842"/>
        <v>0</v>
      </c>
      <c r="BV699" s="60">
        <f t="shared" si="843"/>
        <v>0</v>
      </c>
      <c r="BW699" s="60">
        <f t="shared" si="844"/>
        <v>0</v>
      </c>
      <c r="BX699" s="60">
        <f t="shared" si="845"/>
        <v>0</v>
      </c>
      <c r="BY699" s="60">
        <f t="shared" si="846"/>
        <v>0</v>
      </c>
      <c r="BZ699" s="60">
        <f t="shared" si="847"/>
        <v>0</v>
      </c>
      <c r="CA699" s="60">
        <f t="shared" si="848"/>
        <v>0</v>
      </c>
      <c r="CB699" s="60" t="e">
        <f t="shared" si="798"/>
        <v>#N/A</v>
      </c>
      <c r="CC699" s="60">
        <f t="shared" si="799"/>
        <v>100000</v>
      </c>
      <c r="CD699" s="60" t="e">
        <f t="shared" si="800"/>
        <v>#N/A</v>
      </c>
      <c r="CE699" s="60">
        <f t="shared" si="801"/>
        <v>100000</v>
      </c>
      <c r="CF699" s="83" t="e">
        <f t="shared" si="849"/>
        <v>#N/A</v>
      </c>
      <c r="CG699" s="83">
        <f t="shared" si="850"/>
        <v>0</v>
      </c>
      <c r="CH699" s="83" t="e">
        <f t="shared" si="851"/>
        <v>#N/A</v>
      </c>
      <c r="CI699" s="83">
        <f t="shared" si="852"/>
        <v>0</v>
      </c>
      <c r="CJ699" s="86" t="e">
        <f t="shared" si="802"/>
        <v>#N/A</v>
      </c>
      <c r="CK699" s="82">
        <f t="shared" si="803"/>
        <v>5.3070370403969858E-3</v>
      </c>
      <c r="CL699" s="82" t="e">
        <f t="shared" si="804"/>
        <v>#N/A</v>
      </c>
      <c r="CM699" s="82">
        <f t="shared" si="805"/>
        <v>5.3070370403969858E-3</v>
      </c>
      <c r="CO699" s="149" t="str">
        <f>IF($I699&lt;&gt;"",IF(O699="User Specified",U699,INDEX('Refrigerant GWPs'!$G$2:$G$156,MATCH(O699,'Refrigerant GWPs'!$A$2:$A$156,0))),"")</f>
        <v/>
      </c>
      <c r="CP699" s="138" t="str">
        <f>IF($I699&lt;&gt;"",INDEX('Device Refrigerant Leakage'!$E$2:$E$42,MATCH($M699,'Device Refrigerant Leakage'!$B$2:$B$42,0)),"")</f>
        <v/>
      </c>
      <c r="CQ699" s="138" t="str">
        <f>IF($I699&lt;&gt;"",INDEX('Device Refrigerant Leakage'!$F$2:$F$42,MATCH($M699,'Device Refrigerant Leakage'!$B$2:$B$42,0)),"")</f>
        <v/>
      </c>
      <c r="CR699" s="145" t="str">
        <f>IF($I699&lt;&gt;"",INDEX('Device Refrigerant Leakage'!$G$2:$G$42,MATCH($M699,'Device Refrigerant Leakage'!$B$2:$B$42,0)),"")</f>
        <v/>
      </c>
      <c r="CS699" s="145" t="str">
        <f>IF($I699&lt;&gt;"",INDEX('Device Refrigerant Leakage'!$D$2:$D$42,MATCH($M699,'Device Refrigerant Leakage'!$B$2:$B$42,0))*CP699/2204.62*CO699,"")</f>
        <v/>
      </c>
      <c r="CT699" s="145" t="str">
        <f>IF($I699&lt;&gt;"",J699*(INDEX('Device Refrigerant Leakage'!$D$2:$D$42,MATCH($M699,'Device Refrigerant Leakage'!$B$2:$B$42,0))-(INDEX('Device Refrigerant Leakage'!$D$2:$D$42,MATCH($M699,'Device Refrigerant Leakage'!$B$2:$B$42,0)))*CR699*CP699)*CQ699/2204.62*CO699,"")</f>
        <v/>
      </c>
      <c r="CU699" s="135" t="str">
        <f>IF($I699&lt;&gt;"",J699*IF(W699&lt;&gt;"AR",(CS699*K699)+CT699,(CS699*AB699)+CT699*(AB699/INDEX('Device Refrigerant Leakage'!$C$2:$C$42,MATCH($M699,'Device Refrigerant Leakage'!$B$2:$B$42,0)))),"")</f>
        <v/>
      </c>
      <c r="CW699" s="135" t="str">
        <f>IF($I699&lt;&gt;"",IF(S699="User Specified",V699,INDEX('Refrigerant GWPs'!$G$2:$G$156,MATCH(S699,'Refrigerant GWPs'!$A$2:$A$157,0))),"")</f>
        <v/>
      </c>
      <c r="CX699" s="138" t="str">
        <f>IF($I699&lt;&gt;"",INDEX('Device Refrigerant Leakage'!$E$2:$E$42,MATCH($Q699,'Device Refrigerant Leakage'!$B$2:$B$42,0)),"")</f>
        <v/>
      </c>
      <c r="CY699" s="138" t="str">
        <f>IF($I699&lt;&gt;"",INDEX('Device Refrigerant Leakage'!$F$2:$F$42,MATCH($Q699,'Device Refrigerant Leakage'!$B$2:$B$42,0)),"")</f>
        <v/>
      </c>
      <c r="CZ699" s="145" t="str">
        <f>IF($I699&lt;&gt;"",INDEX('Device Refrigerant Leakage'!$G$2:$G$42,MATCH($Q699,'Device Refrigerant Leakage'!$B$2:$B$42,0)),"")</f>
        <v/>
      </c>
      <c r="DA699" s="145" t="str">
        <f>IF($I699&lt;&gt;"",J699*INDEX('Device Refrigerant Leakage'!$D$2:$D$42,MATCH($Q699,'Device Refrigerant Leakage'!$B$2:$B$42,0))*CX699/2204.62*CW699,"")</f>
        <v/>
      </c>
      <c r="DB699" s="145" t="str">
        <f>IF($I699&lt;&gt;"",J699*(INDEX('Device Refrigerant Leakage'!$D$2:$D$42,MATCH($Q699,'Device Refrigerant Leakage'!$B$2:$B$42,0))-(INDEX('Device Refrigerant Leakage'!$D$2:$D$42,MATCH($Q699,'Device Refrigerant Leakage'!$B$2:$B$42,0)))*CZ699*CX699)*CY699/2204.62*CW699,"")</f>
        <v/>
      </c>
      <c r="DC699" s="135" t="str">
        <f t="shared" si="824"/>
        <v/>
      </c>
      <c r="DE699" s="146" t="str">
        <f>IF(W699&lt;&gt;"AR","",IF(Y699="User Specified", AA699, INDEX('Refrigerant GWPs'!$G$2:$G$154,MATCH(Y699,'Refrigerant GWPs'!$A$2:$A$154,0))))</f>
        <v/>
      </c>
      <c r="DF699" s="146" t="str">
        <f>IF(W699&lt;&gt;"AR","",INDEX('Device Refrigerant Leakage'!$E$2:$E$42,MATCH(X699,'Device Refrigerant Leakage'!$B$2:$B$42,0)))</f>
        <v/>
      </c>
      <c r="DG699" s="146" t="str">
        <f>IF(W699&lt;&gt;"AR","",INDEX('Device Refrigerant Leakage'!$F$2:$F$42,MATCH(X699,'Device Refrigerant Leakage'!$B$2:$B$42,0)))</f>
        <v/>
      </c>
      <c r="DH699" s="146" t="str">
        <f>IF(W699&lt;&gt;"AR","",INDEX('Device Refrigerant Leakage'!$G$2:$G$42,MATCH(X699,'Device Refrigerant Leakage'!$B$2:$B$42,0)))</f>
        <v/>
      </c>
      <c r="DI699" s="146" t="str">
        <f>IF(W699&lt;&gt;"AR","",J699*INDEX('Device Refrigerant Leakage'!$D$2:$D$42,MATCH(X699,'Device Refrigerant Leakage'!$B$2:$B$42,0))*DF699/2204.62*DE699)</f>
        <v/>
      </c>
      <c r="DJ699" s="146" t="str">
        <f>IF(W699&lt;&gt;"AR","",J699*(INDEX('Device Refrigerant Leakage'!$D$2:$D$42,MATCH(X699,'Device Refrigerant Leakage'!$B$2:$B$42,0))-(INDEX('Device Refrigerant Leakage'!$D$2:$D$42,MATCH(X699,'Device Refrigerant Leakage'!$B$2:$B$42,0)))*DH699*DF699)*DG699/2204.62*DE699)</f>
        <v/>
      </c>
      <c r="DK699" s="146" t="str">
        <f>IF(W699&lt;&gt;"AR","",DI699*(K699-AB699)+'Fuel Sub Calcs-Deemed'!DJ699*((K699-AB699)/INDEX('Device Refrigerant Leakage'!$C$2:$C$42,MATCH('Fuel Sub Calcs-Deemed'!X699,'Device Refrigerant Leakage'!$B$2:$B$42,0))))</f>
        <v/>
      </c>
      <c r="DM699" s="56">
        <v>685</v>
      </c>
      <c r="DN699" s="67" t="e">
        <f t="shared" si="806"/>
        <v>#N/A</v>
      </c>
      <c r="DO699" s="45" t="e">
        <f t="shared" si="807"/>
        <v>#N/A</v>
      </c>
      <c r="DP699" s="67" t="e">
        <f t="shared" si="808"/>
        <v>#N/A</v>
      </c>
      <c r="DQ699" s="45" t="e">
        <f t="shared" si="809"/>
        <v>#N/A</v>
      </c>
      <c r="DR699" s="69" t="e">
        <f t="shared" si="810"/>
        <v>#N/A</v>
      </c>
      <c r="DS699" s="34"/>
      <c r="DT699" s="67" t="e">
        <f>((BX699*CJ699)+IF($W699=MAT_AR,(BZ699*CL699),0))*(1+Reference!$E$50+Reference!$E$51)</f>
        <v>#N/A</v>
      </c>
      <c r="DU699" s="67">
        <f>((BY699*CK699)+IF($W699=MAT_AR,(CA699*CM699),0))*(1+Reference!$G$50+Reference!$G$51)</f>
        <v>0</v>
      </c>
      <c r="DV699" s="67" t="e">
        <f t="shared" si="811"/>
        <v>#VALUE!</v>
      </c>
      <c r="DX699" s="56">
        <v>685</v>
      </c>
      <c r="DY699" s="67">
        <f t="shared" si="812"/>
        <v>0</v>
      </c>
      <c r="DZ699" s="45" t="e">
        <f>VLOOKUP($R699,Dropdown!$C$3:$D$4,2,FALSE)</f>
        <v>#N/A</v>
      </c>
      <c r="EA699" s="68">
        <f t="shared" si="813"/>
        <v>0</v>
      </c>
      <c r="EB699" s="68" t="str">
        <f t="shared" si="814"/>
        <v>N/A</v>
      </c>
      <c r="EC699" s="68">
        <f t="shared" si="815"/>
        <v>0</v>
      </c>
      <c r="ED699" s="68" t="str">
        <f t="shared" si="853"/>
        <v>N/A</v>
      </c>
      <c r="EF699" s="56">
        <v>685</v>
      </c>
      <c r="EG699" s="46">
        <f t="shared" si="816"/>
        <v>0</v>
      </c>
      <c r="EH699" s="68" t="e">
        <f t="shared" si="817"/>
        <v>#N/A</v>
      </c>
      <c r="EI699" s="68" t="e">
        <f t="shared" si="818"/>
        <v>#N/A</v>
      </c>
      <c r="EJ699" s="68" t="e">
        <f t="shared" si="819"/>
        <v>#N/A</v>
      </c>
      <c r="EK699" s="68" t="e">
        <f t="shared" si="820"/>
        <v>#N/A</v>
      </c>
      <c r="EL699" s="46">
        <f t="shared" si="821"/>
        <v>0</v>
      </c>
      <c r="EM699" s="46">
        <f t="shared" si="822"/>
        <v>0</v>
      </c>
    </row>
    <row r="700" spans="1:143">
      <c r="A700" s="89"/>
      <c r="B700" s="89"/>
      <c r="C700" s="89"/>
      <c r="D700" s="89"/>
      <c r="E700" s="89"/>
      <c r="F700" s="89"/>
      <c r="G700" s="34"/>
      <c r="H700" s="56">
        <f t="shared" si="823"/>
        <v>686</v>
      </c>
      <c r="I700" s="165"/>
      <c r="J700" s="163"/>
      <c r="K700" s="163"/>
      <c r="L700" s="164"/>
      <c r="M700" s="155"/>
      <c r="N700" s="155"/>
      <c r="O700" s="144"/>
      <c r="P700" s="159" t="str">
        <f>IFERROR(IF(O700&lt;&gt;"User Specified",IF(O700&lt;&gt;"", INDEX('Refrigerant GWPs'!$G$2:$G$154,MATCH(O700,'Refrigerant GWPs'!$A$2:$A$154,0)),""),U700),0)</f>
        <v/>
      </c>
      <c r="Q700" s="155"/>
      <c r="R700" s="155"/>
      <c r="S700" s="144"/>
      <c r="T700" s="159" t="str">
        <f>IF(S700&lt;&gt;"User Specified",IF(AND(S700&lt;&gt;"User Specified",S700&lt;&gt;""), INDEX('Refrigerant GWPs'!$G$2:$G$154,MATCH(S700,'Refrigerant GWPs'!$A$2:$A$154,0)),""),V700)</f>
        <v/>
      </c>
      <c r="U700" s="144"/>
      <c r="V700" s="144"/>
      <c r="W700" s="155"/>
      <c r="X700" s="155"/>
      <c r="Y700" s="144"/>
      <c r="Z700" s="159" t="str">
        <f>IF(AND(Y700&lt;&gt;"User Specified",Y700&lt;&gt;""), INDEX('Refrigerant GWPs'!$G$2:$G$154,MATCH(Y700,'Refrigerant GWPs'!$A$2:$A$154,0)),"")</f>
        <v/>
      </c>
      <c r="AA700" s="155"/>
      <c r="AB700" s="156"/>
      <c r="AC700" s="66"/>
      <c r="AD700" s="66"/>
      <c r="AE700" s="66"/>
      <c r="AF700" s="66"/>
      <c r="AG700" s="66"/>
      <c r="AH700" s="66"/>
      <c r="AI700" s="34"/>
      <c r="AJ700" s="88">
        <f t="shared" si="786"/>
        <v>0</v>
      </c>
      <c r="AK700" s="88">
        <f t="shared" si="787"/>
        <v>0</v>
      </c>
      <c r="AL700" s="88">
        <v>0</v>
      </c>
      <c r="AM700" s="88">
        <v>0</v>
      </c>
      <c r="AN700" s="81" t="str">
        <f t="shared" si="825"/>
        <v/>
      </c>
      <c r="AO700" s="88">
        <f t="shared" si="788"/>
        <v>0</v>
      </c>
      <c r="AP700" s="88">
        <f t="shared" si="789"/>
        <v>0</v>
      </c>
      <c r="AQ700" s="81" t="str">
        <f t="shared" si="790"/>
        <v/>
      </c>
      <c r="AS700" s="41" t="b">
        <f t="shared" si="791"/>
        <v>1</v>
      </c>
      <c r="AT700" s="38">
        <f t="shared" si="792"/>
        <v>0</v>
      </c>
      <c r="AU700" s="60">
        <f t="shared" si="793"/>
        <v>0</v>
      </c>
      <c r="AV700" s="41">
        <f t="shared" si="794"/>
        <v>0</v>
      </c>
      <c r="AW700" s="41" t="b">
        <f t="shared" si="795"/>
        <v>0</v>
      </c>
      <c r="AX700" t="str">
        <f t="shared" si="796"/>
        <v>+00</v>
      </c>
      <c r="AY700" t="str">
        <f t="shared" si="797"/>
        <v>+00</v>
      </c>
      <c r="BA700" s="47" t="b">
        <f t="shared" si="826"/>
        <v>1</v>
      </c>
      <c r="BB700" s="42" t="b">
        <f t="shared" si="827"/>
        <v>1</v>
      </c>
      <c r="BC700" s="42" t="b">
        <f t="shared" si="828"/>
        <v>0</v>
      </c>
      <c r="BD700" s="42" t="b">
        <f t="shared" si="829"/>
        <v>0</v>
      </c>
      <c r="BE700" s="70">
        <f t="shared" si="830"/>
        <v>0</v>
      </c>
      <c r="BF700" s="70">
        <f t="shared" si="831"/>
        <v>0</v>
      </c>
      <c r="BG700" s="34"/>
      <c r="BI700" s="47" t="b">
        <f t="shared" si="832"/>
        <v>1</v>
      </c>
      <c r="BJ700" s="47" t="b">
        <f t="shared" si="833"/>
        <v>1</v>
      </c>
      <c r="BK700" s="42" t="b">
        <f t="shared" si="834"/>
        <v>0</v>
      </c>
      <c r="BL700" s="42" t="b">
        <f t="shared" si="835"/>
        <v>0</v>
      </c>
      <c r="BM700" s="42">
        <f t="shared" si="836"/>
        <v>0</v>
      </c>
      <c r="BN700" s="42">
        <f t="shared" si="837"/>
        <v>0</v>
      </c>
      <c r="BP700" t="e">
        <f t="shared" si="838"/>
        <v>#N/A</v>
      </c>
      <c r="BQ700" t="e">
        <f t="shared" si="839"/>
        <v>#N/A</v>
      </c>
      <c r="BR700" t="e">
        <f t="shared" si="840"/>
        <v>#N/A</v>
      </c>
      <c r="BT700" s="60">
        <f t="shared" si="841"/>
        <v>0</v>
      </c>
      <c r="BU700" s="60">
        <f t="shared" si="842"/>
        <v>0</v>
      </c>
      <c r="BV700" s="60">
        <f t="shared" si="843"/>
        <v>0</v>
      </c>
      <c r="BW700" s="60">
        <f t="shared" si="844"/>
        <v>0</v>
      </c>
      <c r="BX700" s="60">
        <f t="shared" si="845"/>
        <v>0</v>
      </c>
      <c r="BY700" s="60">
        <f t="shared" si="846"/>
        <v>0</v>
      </c>
      <c r="BZ700" s="60">
        <f t="shared" si="847"/>
        <v>0</v>
      </c>
      <c r="CA700" s="60">
        <f t="shared" si="848"/>
        <v>0</v>
      </c>
      <c r="CB700" s="60" t="e">
        <f t="shared" si="798"/>
        <v>#N/A</v>
      </c>
      <c r="CC700" s="60">
        <f t="shared" si="799"/>
        <v>100000</v>
      </c>
      <c r="CD700" s="60" t="e">
        <f t="shared" si="800"/>
        <v>#N/A</v>
      </c>
      <c r="CE700" s="60">
        <f t="shared" si="801"/>
        <v>100000</v>
      </c>
      <c r="CF700" s="83" t="e">
        <f t="shared" si="849"/>
        <v>#N/A</v>
      </c>
      <c r="CG700" s="83">
        <f t="shared" si="850"/>
        <v>0</v>
      </c>
      <c r="CH700" s="83" t="e">
        <f t="shared" si="851"/>
        <v>#N/A</v>
      </c>
      <c r="CI700" s="83">
        <f t="shared" si="852"/>
        <v>0</v>
      </c>
      <c r="CJ700" s="86" t="e">
        <f t="shared" si="802"/>
        <v>#N/A</v>
      </c>
      <c r="CK700" s="82">
        <f t="shared" si="803"/>
        <v>5.3070370403969858E-3</v>
      </c>
      <c r="CL700" s="82" t="e">
        <f t="shared" si="804"/>
        <v>#N/A</v>
      </c>
      <c r="CM700" s="82">
        <f t="shared" si="805"/>
        <v>5.3070370403969858E-3</v>
      </c>
      <c r="CO700" s="149" t="str">
        <f>IF($I700&lt;&gt;"",IF(O700="User Specified",U700,INDEX('Refrigerant GWPs'!$G$2:$G$156,MATCH(O700,'Refrigerant GWPs'!$A$2:$A$156,0))),"")</f>
        <v/>
      </c>
      <c r="CP700" s="138" t="str">
        <f>IF($I700&lt;&gt;"",INDEX('Device Refrigerant Leakage'!$E$2:$E$42,MATCH($M700,'Device Refrigerant Leakage'!$B$2:$B$42,0)),"")</f>
        <v/>
      </c>
      <c r="CQ700" s="138" t="str">
        <f>IF($I700&lt;&gt;"",INDEX('Device Refrigerant Leakage'!$F$2:$F$42,MATCH($M700,'Device Refrigerant Leakage'!$B$2:$B$42,0)),"")</f>
        <v/>
      </c>
      <c r="CR700" s="145" t="str">
        <f>IF($I700&lt;&gt;"",INDEX('Device Refrigerant Leakage'!$G$2:$G$42,MATCH($M700,'Device Refrigerant Leakage'!$B$2:$B$42,0)),"")</f>
        <v/>
      </c>
      <c r="CS700" s="145" t="str">
        <f>IF($I700&lt;&gt;"",INDEX('Device Refrigerant Leakage'!$D$2:$D$42,MATCH($M700,'Device Refrigerant Leakage'!$B$2:$B$42,0))*CP700/2204.62*CO700,"")</f>
        <v/>
      </c>
      <c r="CT700" s="145" t="str">
        <f>IF($I700&lt;&gt;"",J700*(INDEX('Device Refrigerant Leakage'!$D$2:$D$42,MATCH($M700,'Device Refrigerant Leakage'!$B$2:$B$42,0))-(INDEX('Device Refrigerant Leakage'!$D$2:$D$42,MATCH($M700,'Device Refrigerant Leakage'!$B$2:$B$42,0)))*CR700*CP700)*CQ700/2204.62*CO700,"")</f>
        <v/>
      </c>
      <c r="CU700" s="135" t="str">
        <f>IF($I700&lt;&gt;"",J700*IF(W700&lt;&gt;"AR",(CS700*K700)+CT700,(CS700*AB700)+CT700*(AB700/INDEX('Device Refrigerant Leakage'!$C$2:$C$42,MATCH($M700,'Device Refrigerant Leakage'!$B$2:$B$42,0)))),"")</f>
        <v/>
      </c>
      <c r="CW700" s="135" t="str">
        <f>IF($I700&lt;&gt;"",IF(S700="User Specified",V700,INDEX('Refrigerant GWPs'!$G$2:$G$156,MATCH(S700,'Refrigerant GWPs'!$A$2:$A$157,0))),"")</f>
        <v/>
      </c>
      <c r="CX700" s="138" t="str">
        <f>IF($I700&lt;&gt;"",INDEX('Device Refrigerant Leakage'!$E$2:$E$42,MATCH($Q700,'Device Refrigerant Leakage'!$B$2:$B$42,0)),"")</f>
        <v/>
      </c>
      <c r="CY700" s="138" t="str">
        <f>IF($I700&lt;&gt;"",INDEX('Device Refrigerant Leakage'!$F$2:$F$42,MATCH($Q700,'Device Refrigerant Leakage'!$B$2:$B$42,0)),"")</f>
        <v/>
      </c>
      <c r="CZ700" s="145" t="str">
        <f>IF($I700&lt;&gt;"",INDEX('Device Refrigerant Leakage'!$G$2:$G$42,MATCH($Q700,'Device Refrigerant Leakage'!$B$2:$B$42,0)),"")</f>
        <v/>
      </c>
      <c r="DA700" s="145" t="str">
        <f>IF($I700&lt;&gt;"",J700*INDEX('Device Refrigerant Leakage'!$D$2:$D$42,MATCH($Q700,'Device Refrigerant Leakage'!$B$2:$B$42,0))*CX700/2204.62*CW700,"")</f>
        <v/>
      </c>
      <c r="DB700" s="145" t="str">
        <f>IF($I700&lt;&gt;"",J700*(INDEX('Device Refrigerant Leakage'!$D$2:$D$42,MATCH($Q700,'Device Refrigerant Leakage'!$B$2:$B$42,0))-(INDEX('Device Refrigerant Leakage'!$D$2:$D$42,MATCH($Q700,'Device Refrigerant Leakage'!$B$2:$B$42,0)))*CZ700*CX700)*CY700/2204.62*CW700,"")</f>
        <v/>
      </c>
      <c r="DC700" s="135" t="str">
        <f t="shared" si="824"/>
        <v/>
      </c>
      <c r="DE700" s="146" t="str">
        <f>IF(W700&lt;&gt;"AR","",IF(Y700="User Specified", AA700, INDEX('Refrigerant GWPs'!$G$2:$G$154,MATCH(Y700,'Refrigerant GWPs'!$A$2:$A$154,0))))</f>
        <v/>
      </c>
      <c r="DF700" s="146" t="str">
        <f>IF(W700&lt;&gt;"AR","",INDEX('Device Refrigerant Leakage'!$E$2:$E$42,MATCH(X700,'Device Refrigerant Leakage'!$B$2:$B$42,0)))</f>
        <v/>
      </c>
      <c r="DG700" s="146" t="str">
        <f>IF(W700&lt;&gt;"AR","",INDEX('Device Refrigerant Leakage'!$F$2:$F$42,MATCH(X700,'Device Refrigerant Leakage'!$B$2:$B$42,0)))</f>
        <v/>
      </c>
      <c r="DH700" s="146" t="str">
        <f>IF(W700&lt;&gt;"AR","",INDEX('Device Refrigerant Leakage'!$G$2:$G$42,MATCH(X700,'Device Refrigerant Leakage'!$B$2:$B$42,0)))</f>
        <v/>
      </c>
      <c r="DI700" s="146" t="str">
        <f>IF(W700&lt;&gt;"AR","",J700*INDEX('Device Refrigerant Leakage'!$D$2:$D$42,MATCH(X700,'Device Refrigerant Leakage'!$B$2:$B$42,0))*DF700/2204.62*DE700)</f>
        <v/>
      </c>
      <c r="DJ700" s="146" t="str">
        <f>IF(W700&lt;&gt;"AR","",J700*(INDEX('Device Refrigerant Leakage'!$D$2:$D$42,MATCH(X700,'Device Refrigerant Leakage'!$B$2:$B$42,0))-(INDEX('Device Refrigerant Leakage'!$D$2:$D$42,MATCH(X700,'Device Refrigerant Leakage'!$B$2:$B$42,0)))*DH700*DF700)*DG700/2204.62*DE700)</f>
        <v/>
      </c>
      <c r="DK700" s="146" t="str">
        <f>IF(W700&lt;&gt;"AR","",DI700*(K700-AB700)+'Fuel Sub Calcs-Deemed'!DJ700*((K700-AB700)/INDEX('Device Refrigerant Leakage'!$C$2:$C$42,MATCH('Fuel Sub Calcs-Deemed'!X700,'Device Refrigerant Leakage'!$B$2:$B$42,0))))</f>
        <v/>
      </c>
      <c r="DM700" s="56">
        <v>686</v>
      </c>
      <c r="DN700" s="67" t="e">
        <f t="shared" si="806"/>
        <v>#N/A</v>
      </c>
      <c r="DO700" s="45" t="e">
        <f t="shared" si="807"/>
        <v>#N/A</v>
      </c>
      <c r="DP700" s="67" t="e">
        <f t="shared" si="808"/>
        <v>#N/A</v>
      </c>
      <c r="DQ700" s="45" t="e">
        <f t="shared" si="809"/>
        <v>#N/A</v>
      </c>
      <c r="DR700" s="69" t="e">
        <f t="shared" si="810"/>
        <v>#N/A</v>
      </c>
      <c r="DS700" s="34"/>
      <c r="DT700" s="67" t="e">
        <f>((BX700*CJ700)+IF($W700=MAT_AR,(BZ700*CL700),0))*(1+Reference!$E$50+Reference!$E$51)</f>
        <v>#N/A</v>
      </c>
      <c r="DU700" s="67">
        <f>((BY700*CK700)+IF($W700=MAT_AR,(CA700*CM700),0))*(1+Reference!$G$50+Reference!$G$51)</f>
        <v>0</v>
      </c>
      <c r="DV700" s="67" t="e">
        <f t="shared" si="811"/>
        <v>#VALUE!</v>
      </c>
      <c r="DX700" s="56">
        <v>686</v>
      </c>
      <c r="DY700" s="67">
        <f t="shared" si="812"/>
        <v>0</v>
      </c>
      <c r="DZ700" s="45" t="e">
        <f>VLOOKUP($R700,Dropdown!$C$3:$D$4,2,FALSE)</f>
        <v>#N/A</v>
      </c>
      <c r="EA700" s="68">
        <f t="shared" si="813"/>
        <v>0</v>
      </c>
      <c r="EB700" s="68" t="str">
        <f t="shared" si="814"/>
        <v>N/A</v>
      </c>
      <c r="EC700" s="68">
        <f t="shared" si="815"/>
        <v>0</v>
      </c>
      <c r="ED700" s="68" t="str">
        <f t="shared" si="853"/>
        <v>N/A</v>
      </c>
      <c r="EF700" s="56">
        <v>686</v>
      </c>
      <c r="EG700" s="46">
        <f t="shared" si="816"/>
        <v>0</v>
      </c>
      <c r="EH700" s="68" t="e">
        <f t="shared" si="817"/>
        <v>#N/A</v>
      </c>
      <c r="EI700" s="68" t="e">
        <f t="shared" si="818"/>
        <v>#N/A</v>
      </c>
      <c r="EJ700" s="68" t="e">
        <f t="shared" si="819"/>
        <v>#N/A</v>
      </c>
      <c r="EK700" s="68" t="e">
        <f t="shared" si="820"/>
        <v>#N/A</v>
      </c>
      <c r="EL700" s="46">
        <f t="shared" si="821"/>
        <v>0</v>
      </c>
      <c r="EM700" s="46">
        <f t="shared" si="822"/>
        <v>0</v>
      </c>
    </row>
    <row r="701" spans="1:143">
      <c r="A701" s="89"/>
      <c r="B701" s="89"/>
      <c r="C701" s="89"/>
      <c r="D701" s="89"/>
      <c r="E701" s="89"/>
      <c r="F701" s="89"/>
      <c r="G701" s="34"/>
      <c r="H701" s="56">
        <f t="shared" si="823"/>
        <v>687</v>
      </c>
      <c r="I701" s="165"/>
      <c r="J701" s="163"/>
      <c r="K701" s="163"/>
      <c r="L701" s="164"/>
      <c r="M701" s="155"/>
      <c r="N701" s="155"/>
      <c r="O701" s="144"/>
      <c r="P701" s="159" t="str">
        <f>IFERROR(IF(O701&lt;&gt;"User Specified",IF(O701&lt;&gt;"", INDEX('Refrigerant GWPs'!$G$2:$G$154,MATCH(O701,'Refrigerant GWPs'!$A$2:$A$154,0)),""),U701),0)</f>
        <v/>
      </c>
      <c r="Q701" s="155"/>
      <c r="R701" s="155"/>
      <c r="S701" s="144"/>
      <c r="T701" s="159" t="str">
        <f>IF(S701&lt;&gt;"User Specified",IF(AND(S701&lt;&gt;"User Specified",S701&lt;&gt;""), INDEX('Refrigerant GWPs'!$G$2:$G$154,MATCH(S701,'Refrigerant GWPs'!$A$2:$A$154,0)),""),V701)</f>
        <v/>
      </c>
      <c r="U701" s="144"/>
      <c r="V701" s="144"/>
      <c r="W701" s="155"/>
      <c r="X701" s="155"/>
      <c r="Y701" s="144"/>
      <c r="Z701" s="159" t="str">
        <f>IF(AND(Y701&lt;&gt;"User Specified",Y701&lt;&gt;""), INDEX('Refrigerant GWPs'!$G$2:$G$154,MATCH(Y701,'Refrigerant GWPs'!$A$2:$A$154,0)),"")</f>
        <v/>
      </c>
      <c r="AA701" s="155"/>
      <c r="AB701" s="156"/>
      <c r="AC701" s="66"/>
      <c r="AD701" s="66"/>
      <c r="AE701" s="66"/>
      <c r="AF701" s="66"/>
      <c r="AG701" s="66"/>
      <c r="AH701" s="66"/>
      <c r="AI701" s="34"/>
      <c r="AJ701" s="88">
        <f t="shared" si="786"/>
        <v>0</v>
      </c>
      <c r="AK701" s="88">
        <f t="shared" si="787"/>
        <v>0</v>
      </c>
      <c r="AL701" s="88">
        <v>0</v>
      </c>
      <c r="AM701" s="88">
        <v>0</v>
      </c>
      <c r="AN701" s="81" t="str">
        <f t="shared" si="825"/>
        <v/>
      </c>
      <c r="AO701" s="88">
        <f t="shared" si="788"/>
        <v>0</v>
      </c>
      <c r="AP701" s="88">
        <f t="shared" si="789"/>
        <v>0</v>
      </c>
      <c r="AQ701" s="81" t="str">
        <f t="shared" si="790"/>
        <v/>
      </c>
      <c r="AS701" s="41" t="b">
        <f t="shared" si="791"/>
        <v>1</v>
      </c>
      <c r="AT701" s="38">
        <f t="shared" si="792"/>
        <v>0</v>
      </c>
      <c r="AU701" s="60">
        <f t="shared" si="793"/>
        <v>0</v>
      </c>
      <c r="AV701" s="41">
        <f t="shared" si="794"/>
        <v>0</v>
      </c>
      <c r="AW701" s="41" t="b">
        <f t="shared" si="795"/>
        <v>0</v>
      </c>
      <c r="AX701" t="str">
        <f t="shared" si="796"/>
        <v>+00</v>
      </c>
      <c r="AY701" t="str">
        <f t="shared" si="797"/>
        <v>+00</v>
      </c>
      <c r="BA701" s="47" t="b">
        <f t="shared" si="826"/>
        <v>1</v>
      </c>
      <c r="BB701" s="42" t="b">
        <f t="shared" si="827"/>
        <v>1</v>
      </c>
      <c r="BC701" s="42" t="b">
        <f t="shared" si="828"/>
        <v>0</v>
      </c>
      <c r="BD701" s="42" t="b">
        <f t="shared" si="829"/>
        <v>0</v>
      </c>
      <c r="BE701" s="70">
        <f t="shared" si="830"/>
        <v>0</v>
      </c>
      <c r="BF701" s="70">
        <f t="shared" si="831"/>
        <v>0</v>
      </c>
      <c r="BG701" s="34"/>
      <c r="BI701" s="47" t="b">
        <f t="shared" si="832"/>
        <v>1</v>
      </c>
      <c r="BJ701" s="47" t="b">
        <f t="shared" si="833"/>
        <v>1</v>
      </c>
      <c r="BK701" s="42" t="b">
        <f t="shared" si="834"/>
        <v>0</v>
      </c>
      <c r="BL701" s="42" t="b">
        <f t="shared" si="835"/>
        <v>0</v>
      </c>
      <c r="BM701" s="42">
        <f t="shared" si="836"/>
        <v>0</v>
      </c>
      <c r="BN701" s="42">
        <f t="shared" si="837"/>
        <v>0</v>
      </c>
      <c r="BP701" t="e">
        <f t="shared" si="838"/>
        <v>#N/A</v>
      </c>
      <c r="BQ701" t="e">
        <f t="shared" si="839"/>
        <v>#N/A</v>
      </c>
      <c r="BR701" t="e">
        <f t="shared" si="840"/>
        <v>#N/A</v>
      </c>
      <c r="BT701" s="60">
        <f t="shared" si="841"/>
        <v>0</v>
      </c>
      <c r="BU701" s="60">
        <f t="shared" si="842"/>
        <v>0</v>
      </c>
      <c r="BV701" s="60">
        <f t="shared" si="843"/>
        <v>0</v>
      </c>
      <c r="BW701" s="60">
        <f t="shared" si="844"/>
        <v>0</v>
      </c>
      <c r="BX701" s="60">
        <f t="shared" si="845"/>
        <v>0</v>
      </c>
      <c r="BY701" s="60">
        <f t="shared" si="846"/>
        <v>0</v>
      </c>
      <c r="BZ701" s="60">
        <f t="shared" si="847"/>
        <v>0</v>
      </c>
      <c r="CA701" s="60">
        <f t="shared" si="848"/>
        <v>0</v>
      </c>
      <c r="CB701" s="60" t="e">
        <f t="shared" si="798"/>
        <v>#N/A</v>
      </c>
      <c r="CC701" s="60">
        <f t="shared" si="799"/>
        <v>100000</v>
      </c>
      <c r="CD701" s="60" t="e">
        <f t="shared" si="800"/>
        <v>#N/A</v>
      </c>
      <c r="CE701" s="60">
        <f t="shared" si="801"/>
        <v>100000</v>
      </c>
      <c r="CF701" s="83" t="e">
        <f t="shared" si="849"/>
        <v>#N/A</v>
      </c>
      <c r="CG701" s="83">
        <f t="shared" si="850"/>
        <v>0</v>
      </c>
      <c r="CH701" s="83" t="e">
        <f t="shared" si="851"/>
        <v>#N/A</v>
      </c>
      <c r="CI701" s="83">
        <f t="shared" si="852"/>
        <v>0</v>
      </c>
      <c r="CJ701" s="86" t="e">
        <f t="shared" si="802"/>
        <v>#N/A</v>
      </c>
      <c r="CK701" s="82">
        <f t="shared" si="803"/>
        <v>5.3070370403969858E-3</v>
      </c>
      <c r="CL701" s="82" t="e">
        <f t="shared" si="804"/>
        <v>#N/A</v>
      </c>
      <c r="CM701" s="82">
        <f t="shared" si="805"/>
        <v>5.3070370403969858E-3</v>
      </c>
      <c r="CO701" s="149" t="str">
        <f>IF($I701&lt;&gt;"",IF(O701="User Specified",U701,INDEX('Refrigerant GWPs'!$G$2:$G$156,MATCH(O701,'Refrigerant GWPs'!$A$2:$A$156,0))),"")</f>
        <v/>
      </c>
      <c r="CP701" s="138" t="str">
        <f>IF($I701&lt;&gt;"",INDEX('Device Refrigerant Leakage'!$E$2:$E$42,MATCH($M701,'Device Refrigerant Leakage'!$B$2:$B$42,0)),"")</f>
        <v/>
      </c>
      <c r="CQ701" s="138" t="str">
        <f>IF($I701&lt;&gt;"",INDEX('Device Refrigerant Leakage'!$F$2:$F$42,MATCH($M701,'Device Refrigerant Leakage'!$B$2:$B$42,0)),"")</f>
        <v/>
      </c>
      <c r="CR701" s="145" t="str">
        <f>IF($I701&lt;&gt;"",INDEX('Device Refrigerant Leakage'!$G$2:$G$42,MATCH($M701,'Device Refrigerant Leakage'!$B$2:$B$42,0)),"")</f>
        <v/>
      </c>
      <c r="CS701" s="145" t="str">
        <f>IF($I701&lt;&gt;"",INDEX('Device Refrigerant Leakage'!$D$2:$D$42,MATCH($M701,'Device Refrigerant Leakage'!$B$2:$B$42,0))*CP701/2204.62*CO701,"")</f>
        <v/>
      </c>
      <c r="CT701" s="145" t="str">
        <f>IF($I701&lt;&gt;"",J701*(INDEX('Device Refrigerant Leakage'!$D$2:$D$42,MATCH($M701,'Device Refrigerant Leakage'!$B$2:$B$42,0))-(INDEX('Device Refrigerant Leakage'!$D$2:$D$42,MATCH($M701,'Device Refrigerant Leakage'!$B$2:$B$42,0)))*CR701*CP701)*CQ701/2204.62*CO701,"")</f>
        <v/>
      </c>
      <c r="CU701" s="135" t="str">
        <f>IF($I701&lt;&gt;"",J701*IF(W701&lt;&gt;"AR",(CS701*K701)+CT701,(CS701*AB701)+CT701*(AB701/INDEX('Device Refrigerant Leakage'!$C$2:$C$42,MATCH($M701,'Device Refrigerant Leakage'!$B$2:$B$42,0)))),"")</f>
        <v/>
      </c>
      <c r="CW701" s="135" t="str">
        <f>IF($I701&lt;&gt;"",IF(S701="User Specified",V701,INDEX('Refrigerant GWPs'!$G$2:$G$156,MATCH(S701,'Refrigerant GWPs'!$A$2:$A$157,0))),"")</f>
        <v/>
      </c>
      <c r="CX701" s="138" t="str">
        <f>IF($I701&lt;&gt;"",INDEX('Device Refrigerant Leakage'!$E$2:$E$42,MATCH($Q701,'Device Refrigerant Leakage'!$B$2:$B$42,0)),"")</f>
        <v/>
      </c>
      <c r="CY701" s="138" t="str">
        <f>IF($I701&lt;&gt;"",INDEX('Device Refrigerant Leakage'!$F$2:$F$42,MATCH($Q701,'Device Refrigerant Leakage'!$B$2:$B$42,0)),"")</f>
        <v/>
      </c>
      <c r="CZ701" s="145" t="str">
        <f>IF($I701&lt;&gt;"",INDEX('Device Refrigerant Leakage'!$G$2:$G$42,MATCH($Q701,'Device Refrigerant Leakage'!$B$2:$B$42,0)),"")</f>
        <v/>
      </c>
      <c r="DA701" s="145" t="str">
        <f>IF($I701&lt;&gt;"",J701*INDEX('Device Refrigerant Leakage'!$D$2:$D$42,MATCH($Q701,'Device Refrigerant Leakage'!$B$2:$B$42,0))*CX701/2204.62*CW701,"")</f>
        <v/>
      </c>
      <c r="DB701" s="145" t="str">
        <f>IF($I701&lt;&gt;"",J701*(INDEX('Device Refrigerant Leakage'!$D$2:$D$42,MATCH($Q701,'Device Refrigerant Leakage'!$B$2:$B$42,0))-(INDEX('Device Refrigerant Leakage'!$D$2:$D$42,MATCH($Q701,'Device Refrigerant Leakage'!$B$2:$B$42,0)))*CZ701*CX701)*CY701/2204.62*CW701,"")</f>
        <v/>
      </c>
      <c r="DC701" s="135" t="str">
        <f t="shared" si="824"/>
        <v/>
      </c>
      <c r="DE701" s="146" t="str">
        <f>IF(W701&lt;&gt;"AR","",IF(Y701="User Specified", AA701, INDEX('Refrigerant GWPs'!$G$2:$G$154,MATCH(Y701,'Refrigerant GWPs'!$A$2:$A$154,0))))</f>
        <v/>
      </c>
      <c r="DF701" s="146" t="str">
        <f>IF(W701&lt;&gt;"AR","",INDEX('Device Refrigerant Leakage'!$E$2:$E$42,MATCH(X701,'Device Refrigerant Leakage'!$B$2:$B$42,0)))</f>
        <v/>
      </c>
      <c r="DG701" s="146" t="str">
        <f>IF(W701&lt;&gt;"AR","",INDEX('Device Refrigerant Leakage'!$F$2:$F$42,MATCH(X701,'Device Refrigerant Leakage'!$B$2:$B$42,0)))</f>
        <v/>
      </c>
      <c r="DH701" s="146" t="str">
        <f>IF(W701&lt;&gt;"AR","",INDEX('Device Refrigerant Leakage'!$G$2:$G$42,MATCH(X701,'Device Refrigerant Leakage'!$B$2:$B$42,0)))</f>
        <v/>
      </c>
      <c r="DI701" s="146" t="str">
        <f>IF(W701&lt;&gt;"AR","",J701*INDEX('Device Refrigerant Leakage'!$D$2:$D$42,MATCH(X701,'Device Refrigerant Leakage'!$B$2:$B$42,0))*DF701/2204.62*DE701)</f>
        <v/>
      </c>
      <c r="DJ701" s="146" t="str">
        <f>IF(W701&lt;&gt;"AR","",J701*(INDEX('Device Refrigerant Leakage'!$D$2:$D$42,MATCH(X701,'Device Refrigerant Leakage'!$B$2:$B$42,0))-(INDEX('Device Refrigerant Leakage'!$D$2:$D$42,MATCH(X701,'Device Refrigerant Leakage'!$B$2:$B$42,0)))*DH701*DF701)*DG701/2204.62*DE701)</f>
        <v/>
      </c>
      <c r="DK701" s="146" t="str">
        <f>IF(W701&lt;&gt;"AR","",DI701*(K701-AB701)+'Fuel Sub Calcs-Deemed'!DJ701*((K701-AB701)/INDEX('Device Refrigerant Leakage'!$C$2:$C$42,MATCH('Fuel Sub Calcs-Deemed'!X701,'Device Refrigerant Leakage'!$B$2:$B$42,0))))</f>
        <v/>
      </c>
      <c r="DM701" s="56">
        <v>687</v>
      </c>
      <c r="DN701" s="67" t="e">
        <f t="shared" si="806"/>
        <v>#N/A</v>
      </c>
      <c r="DO701" s="45" t="e">
        <f t="shared" si="807"/>
        <v>#N/A</v>
      </c>
      <c r="DP701" s="67" t="e">
        <f t="shared" si="808"/>
        <v>#N/A</v>
      </c>
      <c r="DQ701" s="45" t="e">
        <f t="shared" si="809"/>
        <v>#N/A</v>
      </c>
      <c r="DR701" s="69" t="e">
        <f t="shared" si="810"/>
        <v>#N/A</v>
      </c>
      <c r="DS701" s="34"/>
      <c r="DT701" s="67" t="e">
        <f>((BX701*CJ701)+IF($W701=MAT_AR,(BZ701*CL701),0))*(1+Reference!$E$50+Reference!$E$51)</f>
        <v>#N/A</v>
      </c>
      <c r="DU701" s="67">
        <f>((BY701*CK701)+IF($W701=MAT_AR,(CA701*CM701),0))*(1+Reference!$G$50+Reference!$G$51)</f>
        <v>0</v>
      </c>
      <c r="DV701" s="67" t="e">
        <f t="shared" si="811"/>
        <v>#VALUE!</v>
      </c>
      <c r="DX701" s="56">
        <v>687</v>
      </c>
      <c r="DY701" s="67">
        <f t="shared" si="812"/>
        <v>0</v>
      </c>
      <c r="DZ701" s="45" t="e">
        <f>VLOOKUP($R701,Dropdown!$C$3:$D$4,2,FALSE)</f>
        <v>#N/A</v>
      </c>
      <c r="EA701" s="68">
        <f t="shared" si="813"/>
        <v>0</v>
      </c>
      <c r="EB701" s="68" t="str">
        <f t="shared" si="814"/>
        <v>N/A</v>
      </c>
      <c r="EC701" s="68">
        <f t="shared" si="815"/>
        <v>0</v>
      </c>
      <c r="ED701" s="68" t="str">
        <f t="shared" si="853"/>
        <v>N/A</v>
      </c>
      <c r="EF701" s="56">
        <v>687</v>
      </c>
      <c r="EG701" s="46">
        <f t="shared" si="816"/>
        <v>0</v>
      </c>
      <c r="EH701" s="68" t="e">
        <f t="shared" si="817"/>
        <v>#N/A</v>
      </c>
      <c r="EI701" s="68" t="e">
        <f t="shared" si="818"/>
        <v>#N/A</v>
      </c>
      <c r="EJ701" s="68" t="e">
        <f t="shared" si="819"/>
        <v>#N/A</v>
      </c>
      <c r="EK701" s="68" t="e">
        <f t="shared" si="820"/>
        <v>#N/A</v>
      </c>
      <c r="EL701" s="46">
        <f t="shared" si="821"/>
        <v>0</v>
      </c>
      <c r="EM701" s="46">
        <f t="shared" si="822"/>
        <v>0</v>
      </c>
    </row>
    <row r="702" spans="1:143">
      <c r="A702" s="89"/>
      <c r="B702" s="89"/>
      <c r="C702" s="89"/>
      <c r="D702" s="89"/>
      <c r="E702" s="89"/>
      <c r="F702" s="89"/>
      <c r="G702" s="34"/>
      <c r="H702" s="56">
        <f t="shared" si="823"/>
        <v>688</v>
      </c>
      <c r="I702" s="165"/>
      <c r="J702" s="163"/>
      <c r="K702" s="163"/>
      <c r="L702" s="164"/>
      <c r="M702" s="155"/>
      <c r="N702" s="155"/>
      <c r="O702" s="144"/>
      <c r="P702" s="159" t="str">
        <f>IFERROR(IF(O702&lt;&gt;"User Specified",IF(O702&lt;&gt;"", INDEX('Refrigerant GWPs'!$G$2:$G$154,MATCH(O702,'Refrigerant GWPs'!$A$2:$A$154,0)),""),U702),0)</f>
        <v/>
      </c>
      <c r="Q702" s="155"/>
      <c r="R702" s="155"/>
      <c r="S702" s="144"/>
      <c r="T702" s="159" t="str">
        <f>IF(S702&lt;&gt;"User Specified",IF(AND(S702&lt;&gt;"User Specified",S702&lt;&gt;""), INDEX('Refrigerant GWPs'!$G$2:$G$154,MATCH(S702,'Refrigerant GWPs'!$A$2:$A$154,0)),""),V702)</f>
        <v/>
      </c>
      <c r="U702" s="144"/>
      <c r="V702" s="144"/>
      <c r="W702" s="155"/>
      <c r="X702" s="155"/>
      <c r="Y702" s="144"/>
      <c r="Z702" s="159" t="str">
        <f>IF(AND(Y702&lt;&gt;"User Specified",Y702&lt;&gt;""), INDEX('Refrigerant GWPs'!$G$2:$G$154,MATCH(Y702,'Refrigerant GWPs'!$A$2:$A$154,0)),"")</f>
        <v/>
      </c>
      <c r="AA702" s="155"/>
      <c r="AB702" s="156"/>
      <c r="AC702" s="66"/>
      <c r="AD702" s="66"/>
      <c r="AE702" s="66"/>
      <c r="AF702" s="66"/>
      <c r="AG702" s="66"/>
      <c r="AH702" s="66"/>
      <c r="AI702" s="34"/>
      <c r="AJ702" s="88">
        <f t="shared" si="786"/>
        <v>0</v>
      </c>
      <c r="AK702" s="88">
        <f t="shared" si="787"/>
        <v>0</v>
      </c>
      <c r="AL702" s="88">
        <v>0</v>
      </c>
      <c r="AM702" s="88">
        <v>0</v>
      </c>
      <c r="AN702" s="81" t="str">
        <f t="shared" si="825"/>
        <v/>
      </c>
      <c r="AO702" s="88">
        <f t="shared" si="788"/>
        <v>0</v>
      </c>
      <c r="AP702" s="88">
        <f t="shared" si="789"/>
        <v>0</v>
      </c>
      <c r="AQ702" s="81" t="str">
        <f t="shared" si="790"/>
        <v/>
      </c>
      <c r="AS702" s="41" t="b">
        <f t="shared" si="791"/>
        <v>1</v>
      </c>
      <c r="AT702" s="38">
        <f t="shared" si="792"/>
        <v>0</v>
      </c>
      <c r="AU702" s="60">
        <f t="shared" si="793"/>
        <v>0</v>
      </c>
      <c r="AV702" s="41">
        <f t="shared" si="794"/>
        <v>0</v>
      </c>
      <c r="AW702" s="41" t="b">
        <f t="shared" si="795"/>
        <v>0</v>
      </c>
      <c r="AX702" t="str">
        <f t="shared" si="796"/>
        <v>+00</v>
      </c>
      <c r="AY702" t="str">
        <f t="shared" si="797"/>
        <v>+00</v>
      </c>
      <c r="BA702" s="47" t="b">
        <f t="shared" si="826"/>
        <v>1</v>
      </c>
      <c r="BB702" s="42" t="b">
        <f t="shared" si="827"/>
        <v>1</v>
      </c>
      <c r="BC702" s="42" t="b">
        <f t="shared" si="828"/>
        <v>0</v>
      </c>
      <c r="BD702" s="42" t="b">
        <f t="shared" si="829"/>
        <v>0</v>
      </c>
      <c r="BE702" s="70">
        <f t="shared" si="830"/>
        <v>0</v>
      </c>
      <c r="BF702" s="70">
        <f t="shared" si="831"/>
        <v>0</v>
      </c>
      <c r="BG702" s="34"/>
      <c r="BI702" s="47" t="b">
        <f t="shared" si="832"/>
        <v>1</v>
      </c>
      <c r="BJ702" s="47" t="b">
        <f t="shared" si="833"/>
        <v>1</v>
      </c>
      <c r="BK702" s="42" t="b">
        <f t="shared" si="834"/>
        <v>0</v>
      </c>
      <c r="BL702" s="42" t="b">
        <f t="shared" si="835"/>
        <v>0</v>
      </c>
      <c r="BM702" s="42">
        <f t="shared" si="836"/>
        <v>0</v>
      </c>
      <c r="BN702" s="42">
        <f t="shared" si="837"/>
        <v>0</v>
      </c>
      <c r="BP702" t="e">
        <f t="shared" si="838"/>
        <v>#N/A</v>
      </c>
      <c r="BQ702" t="e">
        <f t="shared" si="839"/>
        <v>#N/A</v>
      </c>
      <c r="BR702" t="e">
        <f t="shared" si="840"/>
        <v>#N/A</v>
      </c>
      <c r="BT702" s="60">
        <f t="shared" si="841"/>
        <v>0</v>
      </c>
      <c r="BU702" s="60">
        <f t="shared" si="842"/>
        <v>0</v>
      </c>
      <c r="BV702" s="60">
        <f t="shared" si="843"/>
        <v>0</v>
      </c>
      <c r="BW702" s="60">
        <f t="shared" si="844"/>
        <v>0</v>
      </c>
      <c r="BX702" s="60">
        <f t="shared" si="845"/>
        <v>0</v>
      </c>
      <c r="BY702" s="60">
        <f t="shared" si="846"/>
        <v>0</v>
      </c>
      <c r="BZ702" s="60">
        <f t="shared" si="847"/>
        <v>0</v>
      </c>
      <c r="CA702" s="60">
        <f t="shared" si="848"/>
        <v>0</v>
      </c>
      <c r="CB702" s="60" t="e">
        <f t="shared" si="798"/>
        <v>#N/A</v>
      </c>
      <c r="CC702" s="60">
        <f t="shared" si="799"/>
        <v>100000</v>
      </c>
      <c r="CD702" s="60" t="e">
        <f t="shared" si="800"/>
        <v>#N/A</v>
      </c>
      <c r="CE702" s="60">
        <f t="shared" si="801"/>
        <v>100000</v>
      </c>
      <c r="CF702" s="83" t="e">
        <f t="shared" si="849"/>
        <v>#N/A</v>
      </c>
      <c r="CG702" s="83">
        <f t="shared" si="850"/>
        <v>0</v>
      </c>
      <c r="CH702" s="83" t="e">
        <f t="shared" si="851"/>
        <v>#N/A</v>
      </c>
      <c r="CI702" s="83">
        <f t="shared" si="852"/>
        <v>0</v>
      </c>
      <c r="CJ702" s="86" t="e">
        <f t="shared" si="802"/>
        <v>#N/A</v>
      </c>
      <c r="CK702" s="82">
        <f t="shared" si="803"/>
        <v>5.3070370403969858E-3</v>
      </c>
      <c r="CL702" s="82" t="e">
        <f t="shared" si="804"/>
        <v>#N/A</v>
      </c>
      <c r="CM702" s="82">
        <f t="shared" si="805"/>
        <v>5.3070370403969858E-3</v>
      </c>
      <c r="CO702" s="149" t="str">
        <f>IF($I702&lt;&gt;"",IF(O702="User Specified",U702,INDEX('Refrigerant GWPs'!$G$2:$G$156,MATCH(O702,'Refrigerant GWPs'!$A$2:$A$156,0))),"")</f>
        <v/>
      </c>
      <c r="CP702" s="138" t="str">
        <f>IF($I702&lt;&gt;"",INDEX('Device Refrigerant Leakage'!$E$2:$E$42,MATCH($M702,'Device Refrigerant Leakage'!$B$2:$B$42,0)),"")</f>
        <v/>
      </c>
      <c r="CQ702" s="138" t="str">
        <f>IF($I702&lt;&gt;"",INDEX('Device Refrigerant Leakage'!$F$2:$F$42,MATCH($M702,'Device Refrigerant Leakage'!$B$2:$B$42,0)),"")</f>
        <v/>
      </c>
      <c r="CR702" s="145" t="str">
        <f>IF($I702&lt;&gt;"",INDEX('Device Refrigerant Leakage'!$G$2:$G$42,MATCH($M702,'Device Refrigerant Leakage'!$B$2:$B$42,0)),"")</f>
        <v/>
      </c>
      <c r="CS702" s="145" t="str">
        <f>IF($I702&lt;&gt;"",INDEX('Device Refrigerant Leakage'!$D$2:$D$42,MATCH($M702,'Device Refrigerant Leakage'!$B$2:$B$42,0))*CP702/2204.62*CO702,"")</f>
        <v/>
      </c>
      <c r="CT702" s="145" t="str">
        <f>IF($I702&lt;&gt;"",J702*(INDEX('Device Refrigerant Leakage'!$D$2:$D$42,MATCH($M702,'Device Refrigerant Leakage'!$B$2:$B$42,0))-(INDEX('Device Refrigerant Leakage'!$D$2:$D$42,MATCH($M702,'Device Refrigerant Leakage'!$B$2:$B$42,0)))*CR702*CP702)*CQ702/2204.62*CO702,"")</f>
        <v/>
      </c>
      <c r="CU702" s="135" t="str">
        <f>IF($I702&lt;&gt;"",J702*IF(W702&lt;&gt;"AR",(CS702*K702)+CT702,(CS702*AB702)+CT702*(AB702/INDEX('Device Refrigerant Leakage'!$C$2:$C$42,MATCH($M702,'Device Refrigerant Leakage'!$B$2:$B$42,0)))),"")</f>
        <v/>
      </c>
      <c r="CW702" s="135" t="str">
        <f>IF($I702&lt;&gt;"",IF(S702="User Specified",V702,INDEX('Refrigerant GWPs'!$G$2:$G$156,MATCH(S702,'Refrigerant GWPs'!$A$2:$A$157,0))),"")</f>
        <v/>
      </c>
      <c r="CX702" s="138" t="str">
        <f>IF($I702&lt;&gt;"",INDEX('Device Refrigerant Leakage'!$E$2:$E$42,MATCH($Q702,'Device Refrigerant Leakage'!$B$2:$B$42,0)),"")</f>
        <v/>
      </c>
      <c r="CY702" s="138" t="str">
        <f>IF($I702&lt;&gt;"",INDEX('Device Refrigerant Leakage'!$F$2:$F$42,MATCH($Q702,'Device Refrigerant Leakage'!$B$2:$B$42,0)),"")</f>
        <v/>
      </c>
      <c r="CZ702" s="145" t="str">
        <f>IF($I702&lt;&gt;"",INDEX('Device Refrigerant Leakage'!$G$2:$G$42,MATCH($Q702,'Device Refrigerant Leakage'!$B$2:$B$42,0)),"")</f>
        <v/>
      </c>
      <c r="DA702" s="145" t="str">
        <f>IF($I702&lt;&gt;"",J702*INDEX('Device Refrigerant Leakage'!$D$2:$D$42,MATCH($Q702,'Device Refrigerant Leakage'!$B$2:$B$42,0))*CX702/2204.62*CW702,"")</f>
        <v/>
      </c>
      <c r="DB702" s="145" t="str">
        <f>IF($I702&lt;&gt;"",J702*(INDEX('Device Refrigerant Leakage'!$D$2:$D$42,MATCH($Q702,'Device Refrigerant Leakage'!$B$2:$B$42,0))-(INDEX('Device Refrigerant Leakage'!$D$2:$D$42,MATCH($Q702,'Device Refrigerant Leakage'!$B$2:$B$42,0)))*CZ702*CX702)*CY702/2204.62*CW702,"")</f>
        <v/>
      </c>
      <c r="DC702" s="135" t="str">
        <f t="shared" si="824"/>
        <v/>
      </c>
      <c r="DE702" s="146" t="str">
        <f>IF(W702&lt;&gt;"AR","",IF(Y702="User Specified", AA702, INDEX('Refrigerant GWPs'!$G$2:$G$154,MATCH(Y702,'Refrigerant GWPs'!$A$2:$A$154,0))))</f>
        <v/>
      </c>
      <c r="DF702" s="146" t="str">
        <f>IF(W702&lt;&gt;"AR","",INDEX('Device Refrigerant Leakage'!$E$2:$E$42,MATCH(X702,'Device Refrigerant Leakage'!$B$2:$B$42,0)))</f>
        <v/>
      </c>
      <c r="DG702" s="146" t="str">
        <f>IF(W702&lt;&gt;"AR","",INDEX('Device Refrigerant Leakage'!$F$2:$F$42,MATCH(X702,'Device Refrigerant Leakage'!$B$2:$B$42,0)))</f>
        <v/>
      </c>
      <c r="DH702" s="146" t="str">
        <f>IF(W702&lt;&gt;"AR","",INDEX('Device Refrigerant Leakage'!$G$2:$G$42,MATCH(X702,'Device Refrigerant Leakage'!$B$2:$B$42,0)))</f>
        <v/>
      </c>
      <c r="DI702" s="146" t="str">
        <f>IF(W702&lt;&gt;"AR","",J702*INDEX('Device Refrigerant Leakage'!$D$2:$D$42,MATCH(X702,'Device Refrigerant Leakage'!$B$2:$B$42,0))*DF702/2204.62*DE702)</f>
        <v/>
      </c>
      <c r="DJ702" s="146" t="str">
        <f>IF(W702&lt;&gt;"AR","",J702*(INDEX('Device Refrigerant Leakage'!$D$2:$D$42,MATCH(X702,'Device Refrigerant Leakage'!$B$2:$B$42,0))-(INDEX('Device Refrigerant Leakage'!$D$2:$D$42,MATCH(X702,'Device Refrigerant Leakage'!$B$2:$B$42,0)))*DH702*DF702)*DG702/2204.62*DE702)</f>
        <v/>
      </c>
      <c r="DK702" s="146" t="str">
        <f>IF(W702&lt;&gt;"AR","",DI702*(K702-AB702)+'Fuel Sub Calcs-Deemed'!DJ702*((K702-AB702)/INDEX('Device Refrigerant Leakage'!$C$2:$C$42,MATCH('Fuel Sub Calcs-Deemed'!X702,'Device Refrigerant Leakage'!$B$2:$B$42,0))))</f>
        <v/>
      </c>
      <c r="DM702" s="56">
        <v>688</v>
      </c>
      <c r="DN702" s="67" t="e">
        <f t="shared" si="806"/>
        <v>#N/A</v>
      </c>
      <c r="DO702" s="45" t="e">
        <f t="shared" si="807"/>
        <v>#N/A</v>
      </c>
      <c r="DP702" s="67" t="e">
        <f t="shared" si="808"/>
        <v>#N/A</v>
      </c>
      <c r="DQ702" s="45" t="e">
        <f t="shared" si="809"/>
        <v>#N/A</v>
      </c>
      <c r="DR702" s="69" t="e">
        <f t="shared" si="810"/>
        <v>#N/A</v>
      </c>
      <c r="DS702" s="34"/>
      <c r="DT702" s="67" t="e">
        <f>((BX702*CJ702)+IF($W702=MAT_AR,(BZ702*CL702),0))*(1+Reference!$E$50+Reference!$E$51)</f>
        <v>#N/A</v>
      </c>
      <c r="DU702" s="67">
        <f>((BY702*CK702)+IF($W702=MAT_AR,(CA702*CM702),0))*(1+Reference!$G$50+Reference!$G$51)</f>
        <v>0</v>
      </c>
      <c r="DV702" s="67" t="e">
        <f t="shared" si="811"/>
        <v>#VALUE!</v>
      </c>
      <c r="DX702" s="56">
        <v>688</v>
      </c>
      <c r="DY702" s="67">
        <f t="shared" si="812"/>
        <v>0</v>
      </c>
      <c r="DZ702" s="45" t="e">
        <f>VLOOKUP($R702,Dropdown!$C$3:$D$4,2,FALSE)</f>
        <v>#N/A</v>
      </c>
      <c r="EA702" s="68">
        <f t="shared" si="813"/>
        <v>0</v>
      </c>
      <c r="EB702" s="68" t="str">
        <f t="shared" si="814"/>
        <v>N/A</v>
      </c>
      <c r="EC702" s="68">
        <f t="shared" si="815"/>
        <v>0</v>
      </c>
      <c r="ED702" s="68" t="str">
        <f t="shared" si="853"/>
        <v>N/A</v>
      </c>
      <c r="EF702" s="56">
        <v>688</v>
      </c>
      <c r="EG702" s="46">
        <f t="shared" si="816"/>
        <v>0</v>
      </c>
      <c r="EH702" s="68" t="e">
        <f t="shared" si="817"/>
        <v>#N/A</v>
      </c>
      <c r="EI702" s="68" t="e">
        <f t="shared" si="818"/>
        <v>#N/A</v>
      </c>
      <c r="EJ702" s="68" t="e">
        <f t="shared" si="819"/>
        <v>#N/A</v>
      </c>
      <c r="EK702" s="68" t="e">
        <f t="shared" si="820"/>
        <v>#N/A</v>
      </c>
      <c r="EL702" s="46">
        <f t="shared" si="821"/>
        <v>0</v>
      </c>
      <c r="EM702" s="46">
        <f t="shared" si="822"/>
        <v>0</v>
      </c>
    </row>
    <row r="703" spans="1:143">
      <c r="A703" s="89"/>
      <c r="B703" s="89"/>
      <c r="C703" s="89"/>
      <c r="D703" s="89"/>
      <c r="E703" s="89"/>
      <c r="F703" s="89"/>
      <c r="G703" s="34"/>
      <c r="H703" s="56">
        <f t="shared" si="823"/>
        <v>689</v>
      </c>
      <c r="I703" s="165"/>
      <c r="J703" s="163"/>
      <c r="K703" s="163"/>
      <c r="L703" s="164"/>
      <c r="M703" s="155"/>
      <c r="N703" s="155"/>
      <c r="O703" s="144"/>
      <c r="P703" s="159" t="str">
        <f>IFERROR(IF(O703&lt;&gt;"User Specified",IF(O703&lt;&gt;"", INDEX('Refrigerant GWPs'!$G$2:$G$154,MATCH(O703,'Refrigerant GWPs'!$A$2:$A$154,0)),""),U703),0)</f>
        <v/>
      </c>
      <c r="Q703" s="155"/>
      <c r="R703" s="155"/>
      <c r="S703" s="144"/>
      <c r="T703" s="159" t="str">
        <f>IF(S703&lt;&gt;"User Specified",IF(AND(S703&lt;&gt;"User Specified",S703&lt;&gt;""), INDEX('Refrigerant GWPs'!$G$2:$G$154,MATCH(S703,'Refrigerant GWPs'!$A$2:$A$154,0)),""),V703)</f>
        <v/>
      </c>
      <c r="U703" s="144"/>
      <c r="V703" s="144"/>
      <c r="W703" s="155"/>
      <c r="X703" s="155"/>
      <c r="Y703" s="144"/>
      <c r="Z703" s="159" t="str">
        <f>IF(AND(Y703&lt;&gt;"User Specified",Y703&lt;&gt;""), INDEX('Refrigerant GWPs'!$G$2:$G$154,MATCH(Y703,'Refrigerant GWPs'!$A$2:$A$154,0)),"")</f>
        <v/>
      </c>
      <c r="AA703" s="155"/>
      <c r="AB703" s="156"/>
      <c r="AC703" s="66"/>
      <c r="AD703" s="66"/>
      <c r="AE703" s="66"/>
      <c r="AF703" s="66"/>
      <c r="AG703" s="66"/>
      <c r="AH703" s="66"/>
      <c r="AI703" s="34"/>
      <c r="AJ703" s="88">
        <f t="shared" si="786"/>
        <v>0</v>
      </c>
      <c r="AK703" s="88">
        <f t="shared" si="787"/>
        <v>0</v>
      </c>
      <c r="AL703" s="88">
        <v>0</v>
      </c>
      <c r="AM703" s="88">
        <v>0</v>
      </c>
      <c r="AN703" s="81" t="str">
        <f t="shared" si="825"/>
        <v/>
      </c>
      <c r="AO703" s="88">
        <f t="shared" si="788"/>
        <v>0</v>
      </c>
      <c r="AP703" s="88">
        <f t="shared" si="789"/>
        <v>0</v>
      </c>
      <c r="AQ703" s="81" t="str">
        <f t="shared" si="790"/>
        <v/>
      </c>
      <c r="AS703" s="41" t="b">
        <f t="shared" si="791"/>
        <v>1</v>
      </c>
      <c r="AT703" s="38">
        <f t="shared" si="792"/>
        <v>0</v>
      </c>
      <c r="AU703" s="60">
        <f t="shared" si="793"/>
        <v>0</v>
      </c>
      <c r="AV703" s="41">
        <f t="shared" si="794"/>
        <v>0</v>
      </c>
      <c r="AW703" s="41" t="b">
        <f t="shared" si="795"/>
        <v>0</v>
      </c>
      <c r="AX703" t="str">
        <f t="shared" si="796"/>
        <v>+00</v>
      </c>
      <c r="AY703" t="str">
        <f t="shared" si="797"/>
        <v>+00</v>
      </c>
      <c r="BA703" s="47" t="b">
        <f t="shared" si="826"/>
        <v>1</v>
      </c>
      <c r="BB703" s="42" t="b">
        <f t="shared" si="827"/>
        <v>1</v>
      </c>
      <c r="BC703" s="42" t="b">
        <f t="shared" si="828"/>
        <v>0</v>
      </c>
      <c r="BD703" s="42" t="b">
        <f t="shared" si="829"/>
        <v>0</v>
      </c>
      <c r="BE703" s="70">
        <f t="shared" si="830"/>
        <v>0</v>
      </c>
      <c r="BF703" s="70">
        <f t="shared" si="831"/>
        <v>0</v>
      </c>
      <c r="BG703" s="34"/>
      <c r="BI703" s="47" t="b">
        <f t="shared" si="832"/>
        <v>1</v>
      </c>
      <c r="BJ703" s="47" t="b">
        <f t="shared" si="833"/>
        <v>1</v>
      </c>
      <c r="BK703" s="42" t="b">
        <f t="shared" si="834"/>
        <v>0</v>
      </c>
      <c r="BL703" s="42" t="b">
        <f t="shared" si="835"/>
        <v>0</v>
      </c>
      <c r="BM703" s="42">
        <f t="shared" si="836"/>
        <v>0</v>
      </c>
      <c r="BN703" s="42">
        <f t="shared" si="837"/>
        <v>0</v>
      </c>
      <c r="BP703" t="e">
        <f t="shared" si="838"/>
        <v>#N/A</v>
      </c>
      <c r="BQ703" t="e">
        <f t="shared" si="839"/>
        <v>#N/A</v>
      </c>
      <c r="BR703" t="e">
        <f t="shared" si="840"/>
        <v>#N/A</v>
      </c>
      <c r="BT703" s="60">
        <f t="shared" si="841"/>
        <v>0</v>
      </c>
      <c r="BU703" s="60">
        <f t="shared" si="842"/>
        <v>0</v>
      </c>
      <c r="BV703" s="60">
        <f t="shared" si="843"/>
        <v>0</v>
      </c>
      <c r="BW703" s="60">
        <f t="shared" si="844"/>
        <v>0</v>
      </c>
      <c r="BX703" s="60">
        <f t="shared" si="845"/>
        <v>0</v>
      </c>
      <c r="BY703" s="60">
        <f t="shared" si="846"/>
        <v>0</v>
      </c>
      <c r="BZ703" s="60">
        <f t="shared" si="847"/>
        <v>0</v>
      </c>
      <c r="CA703" s="60">
        <f t="shared" si="848"/>
        <v>0</v>
      </c>
      <c r="CB703" s="60" t="e">
        <f t="shared" si="798"/>
        <v>#N/A</v>
      </c>
      <c r="CC703" s="60">
        <f t="shared" si="799"/>
        <v>100000</v>
      </c>
      <c r="CD703" s="60" t="e">
        <f t="shared" si="800"/>
        <v>#N/A</v>
      </c>
      <c r="CE703" s="60">
        <f t="shared" si="801"/>
        <v>100000</v>
      </c>
      <c r="CF703" s="83" t="e">
        <f t="shared" si="849"/>
        <v>#N/A</v>
      </c>
      <c r="CG703" s="83">
        <f t="shared" si="850"/>
        <v>0</v>
      </c>
      <c r="CH703" s="83" t="e">
        <f t="shared" si="851"/>
        <v>#N/A</v>
      </c>
      <c r="CI703" s="83">
        <f t="shared" si="852"/>
        <v>0</v>
      </c>
      <c r="CJ703" s="86" t="e">
        <f t="shared" si="802"/>
        <v>#N/A</v>
      </c>
      <c r="CK703" s="82">
        <f t="shared" si="803"/>
        <v>5.3070370403969858E-3</v>
      </c>
      <c r="CL703" s="82" t="e">
        <f t="shared" si="804"/>
        <v>#N/A</v>
      </c>
      <c r="CM703" s="82">
        <f t="shared" si="805"/>
        <v>5.3070370403969858E-3</v>
      </c>
      <c r="CO703" s="149" t="str">
        <f>IF($I703&lt;&gt;"",IF(O703="User Specified",U703,INDEX('Refrigerant GWPs'!$G$2:$G$156,MATCH(O703,'Refrigerant GWPs'!$A$2:$A$156,0))),"")</f>
        <v/>
      </c>
      <c r="CP703" s="138" t="str">
        <f>IF($I703&lt;&gt;"",INDEX('Device Refrigerant Leakage'!$E$2:$E$42,MATCH($M703,'Device Refrigerant Leakage'!$B$2:$B$42,0)),"")</f>
        <v/>
      </c>
      <c r="CQ703" s="138" t="str">
        <f>IF($I703&lt;&gt;"",INDEX('Device Refrigerant Leakage'!$F$2:$F$42,MATCH($M703,'Device Refrigerant Leakage'!$B$2:$B$42,0)),"")</f>
        <v/>
      </c>
      <c r="CR703" s="145" t="str">
        <f>IF($I703&lt;&gt;"",INDEX('Device Refrigerant Leakage'!$G$2:$G$42,MATCH($M703,'Device Refrigerant Leakage'!$B$2:$B$42,0)),"")</f>
        <v/>
      </c>
      <c r="CS703" s="145" t="str">
        <f>IF($I703&lt;&gt;"",INDEX('Device Refrigerant Leakage'!$D$2:$D$42,MATCH($M703,'Device Refrigerant Leakage'!$B$2:$B$42,0))*CP703/2204.62*CO703,"")</f>
        <v/>
      </c>
      <c r="CT703" s="145" t="str">
        <f>IF($I703&lt;&gt;"",J703*(INDEX('Device Refrigerant Leakage'!$D$2:$D$42,MATCH($M703,'Device Refrigerant Leakage'!$B$2:$B$42,0))-(INDEX('Device Refrigerant Leakage'!$D$2:$D$42,MATCH($M703,'Device Refrigerant Leakage'!$B$2:$B$42,0)))*CR703*CP703)*CQ703/2204.62*CO703,"")</f>
        <v/>
      </c>
      <c r="CU703" s="135" t="str">
        <f>IF($I703&lt;&gt;"",J703*IF(W703&lt;&gt;"AR",(CS703*K703)+CT703,(CS703*AB703)+CT703*(AB703/INDEX('Device Refrigerant Leakage'!$C$2:$C$42,MATCH($M703,'Device Refrigerant Leakage'!$B$2:$B$42,0)))),"")</f>
        <v/>
      </c>
      <c r="CW703" s="135" t="str">
        <f>IF($I703&lt;&gt;"",IF(S703="User Specified",V703,INDEX('Refrigerant GWPs'!$G$2:$G$156,MATCH(S703,'Refrigerant GWPs'!$A$2:$A$157,0))),"")</f>
        <v/>
      </c>
      <c r="CX703" s="138" t="str">
        <f>IF($I703&lt;&gt;"",INDEX('Device Refrigerant Leakage'!$E$2:$E$42,MATCH($Q703,'Device Refrigerant Leakage'!$B$2:$B$42,0)),"")</f>
        <v/>
      </c>
      <c r="CY703" s="138" t="str">
        <f>IF($I703&lt;&gt;"",INDEX('Device Refrigerant Leakage'!$F$2:$F$42,MATCH($Q703,'Device Refrigerant Leakage'!$B$2:$B$42,0)),"")</f>
        <v/>
      </c>
      <c r="CZ703" s="145" t="str">
        <f>IF($I703&lt;&gt;"",INDEX('Device Refrigerant Leakage'!$G$2:$G$42,MATCH($Q703,'Device Refrigerant Leakage'!$B$2:$B$42,0)),"")</f>
        <v/>
      </c>
      <c r="DA703" s="145" t="str">
        <f>IF($I703&lt;&gt;"",J703*INDEX('Device Refrigerant Leakage'!$D$2:$D$42,MATCH($Q703,'Device Refrigerant Leakage'!$B$2:$B$42,0))*CX703/2204.62*CW703,"")</f>
        <v/>
      </c>
      <c r="DB703" s="145" t="str">
        <f>IF($I703&lt;&gt;"",J703*(INDEX('Device Refrigerant Leakage'!$D$2:$D$42,MATCH($Q703,'Device Refrigerant Leakage'!$B$2:$B$42,0))-(INDEX('Device Refrigerant Leakage'!$D$2:$D$42,MATCH($Q703,'Device Refrigerant Leakage'!$B$2:$B$42,0)))*CZ703*CX703)*CY703/2204.62*CW703,"")</f>
        <v/>
      </c>
      <c r="DC703" s="135" t="str">
        <f t="shared" si="824"/>
        <v/>
      </c>
      <c r="DE703" s="146" t="str">
        <f>IF(W703&lt;&gt;"AR","",IF(Y703="User Specified", AA703, INDEX('Refrigerant GWPs'!$G$2:$G$154,MATCH(Y703,'Refrigerant GWPs'!$A$2:$A$154,0))))</f>
        <v/>
      </c>
      <c r="DF703" s="146" t="str">
        <f>IF(W703&lt;&gt;"AR","",INDEX('Device Refrigerant Leakage'!$E$2:$E$42,MATCH(X703,'Device Refrigerant Leakage'!$B$2:$B$42,0)))</f>
        <v/>
      </c>
      <c r="DG703" s="146" t="str">
        <f>IF(W703&lt;&gt;"AR","",INDEX('Device Refrigerant Leakage'!$F$2:$F$42,MATCH(X703,'Device Refrigerant Leakage'!$B$2:$B$42,0)))</f>
        <v/>
      </c>
      <c r="DH703" s="146" t="str">
        <f>IF(W703&lt;&gt;"AR","",INDEX('Device Refrigerant Leakage'!$G$2:$G$42,MATCH(X703,'Device Refrigerant Leakage'!$B$2:$B$42,0)))</f>
        <v/>
      </c>
      <c r="DI703" s="146" t="str">
        <f>IF(W703&lt;&gt;"AR","",J703*INDEX('Device Refrigerant Leakage'!$D$2:$D$42,MATCH(X703,'Device Refrigerant Leakage'!$B$2:$B$42,0))*DF703/2204.62*DE703)</f>
        <v/>
      </c>
      <c r="DJ703" s="146" t="str">
        <f>IF(W703&lt;&gt;"AR","",J703*(INDEX('Device Refrigerant Leakage'!$D$2:$D$42,MATCH(X703,'Device Refrigerant Leakage'!$B$2:$B$42,0))-(INDEX('Device Refrigerant Leakage'!$D$2:$D$42,MATCH(X703,'Device Refrigerant Leakage'!$B$2:$B$42,0)))*DH703*DF703)*DG703/2204.62*DE703)</f>
        <v/>
      </c>
      <c r="DK703" s="146" t="str">
        <f>IF(W703&lt;&gt;"AR","",DI703*(K703-AB703)+'Fuel Sub Calcs-Deemed'!DJ703*((K703-AB703)/INDEX('Device Refrigerant Leakage'!$C$2:$C$42,MATCH('Fuel Sub Calcs-Deemed'!X703,'Device Refrigerant Leakage'!$B$2:$B$42,0))))</f>
        <v/>
      </c>
      <c r="DM703" s="56">
        <v>689</v>
      </c>
      <c r="DN703" s="67" t="e">
        <f t="shared" si="806"/>
        <v>#N/A</v>
      </c>
      <c r="DO703" s="45" t="e">
        <f t="shared" si="807"/>
        <v>#N/A</v>
      </c>
      <c r="DP703" s="67" t="e">
        <f t="shared" si="808"/>
        <v>#N/A</v>
      </c>
      <c r="DQ703" s="45" t="e">
        <f t="shared" si="809"/>
        <v>#N/A</v>
      </c>
      <c r="DR703" s="69" t="e">
        <f t="shared" si="810"/>
        <v>#N/A</v>
      </c>
      <c r="DS703" s="34"/>
      <c r="DT703" s="67" t="e">
        <f>((BX703*CJ703)+IF($W703=MAT_AR,(BZ703*CL703),0))*(1+Reference!$E$50+Reference!$E$51)</f>
        <v>#N/A</v>
      </c>
      <c r="DU703" s="67">
        <f>((BY703*CK703)+IF($W703=MAT_AR,(CA703*CM703),0))*(1+Reference!$G$50+Reference!$G$51)</f>
        <v>0</v>
      </c>
      <c r="DV703" s="67" t="e">
        <f t="shared" si="811"/>
        <v>#VALUE!</v>
      </c>
      <c r="DX703" s="56">
        <v>689</v>
      </c>
      <c r="DY703" s="67">
        <f t="shared" si="812"/>
        <v>0</v>
      </c>
      <c r="DZ703" s="45" t="e">
        <f>VLOOKUP($R703,Dropdown!$C$3:$D$4,2,FALSE)</f>
        <v>#N/A</v>
      </c>
      <c r="EA703" s="68">
        <f t="shared" si="813"/>
        <v>0</v>
      </c>
      <c r="EB703" s="68" t="str">
        <f t="shared" si="814"/>
        <v>N/A</v>
      </c>
      <c r="EC703" s="68">
        <f t="shared" si="815"/>
        <v>0</v>
      </c>
      <c r="ED703" s="68" t="str">
        <f t="shared" si="853"/>
        <v>N/A</v>
      </c>
      <c r="EF703" s="56">
        <v>689</v>
      </c>
      <c r="EG703" s="46">
        <f t="shared" si="816"/>
        <v>0</v>
      </c>
      <c r="EH703" s="68" t="e">
        <f t="shared" si="817"/>
        <v>#N/A</v>
      </c>
      <c r="EI703" s="68" t="e">
        <f t="shared" si="818"/>
        <v>#N/A</v>
      </c>
      <c r="EJ703" s="68" t="e">
        <f t="shared" si="819"/>
        <v>#N/A</v>
      </c>
      <c r="EK703" s="68" t="e">
        <f t="shared" si="820"/>
        <v>#N/A</v>
      </c>
      <c r="EL703" s="46">
        <f t="shared" si="821"/>
        <v>0</v>
      </c>
      <c r="EM703" s="46">
        <f t="shared" si="822"/>
        <v>0</v>
      </c>
    </row>
    <row r="704" spans="1:143">
      <c r="A704" s="89"/>
      <c r="B704" s="89"/>
      <c r="C704" s="89"/>
      <c r="D704" s="89"/>
      <c r="E704" s="89"/>
      <c r="F704" s="89"/>
      <c r="G704" s="34"/>
      <c r="H704" s="56">
        <f t="shared" si="823"/>
        <v>690</v>
      </c>
      <c r="I704" s="165"/>
      <c r="J704" s="163"/>
      <c r="K704" s="163"/>
      <c r="L704" s="164"/>
      <c r="M704" s="155"/>
      <c r="N704" s="155"/>
      <c r="O704" s="144"/>
      <c r="P704" s="159" t="str">
        <f>IFERROR(IF(O704&lt;&gt;"User Specified",IF(O704&lt;&gt;"", INDEX('Refrigerant GWPs'!$G$2:$G$154,MATCH(O704,'Refrigerant GWPs'!$A$2:$A$154,0)),""),U704),0)</f>
        <v/>
      </c>
      <c r="Q704" s="155"/>
      <c r="R704" s="155"/>
      <c r="S704" s="144"/>
      <c r="T704" s="159" t="str">
        <f>IF(S704&lt;&gt;"User Specified",IF(AND(S704&lt;&gt;"User Specified",S704&lt;&gt;""), INDEX('Refrigerant GWPs'!$G$2:$G$154,MATCH(S704,'Refrigerant GWPs'!$A$2:$A$154,0)),""),V704)</f>
        <v/>
      </c>
      <c r="U704" s="144"/>
      <c r="V704" s="144"/>
      <c r="W704" s="155"/>
      <c r="X704" s="155"/>
      <c r="Y704" s="144"/>
      <c r="Z704" s="159" t="str">
        <f>IF(AND(Y704&lt;&gt;"User Specified",Y704&lt;&gt;""), INDEX('Refrigerant GWPs'!$G$2:$G$154,MATCH(Y704,'Refrigerant GWPs'!$A$2:$A$154,0)),"")</f>
        <v/>
      </c>
      <c r="AA704" s="155"/>
      <c r="AB704" s="156"/>
      <c r="AC704" s="66"/>
      <c r="AD704" s="66"/>
      <c r="AE704" s="66"/>
      <c r="AF704" s="66"/>
      <c r="AG704" s="66"/>
      <c r="AH704" s="66"/>
      <c r="AI704" s="34"/>
      <c r="AJ704" s="88">
        <f t="shared" si="786"/>
        <v>0</v>
      </c>
      <c r="AK704" s="88">
        <f t="shared" si="787"/>
        <v>0</v>
      </c>
      <c r="AL704" s="88">
        <v>0</v>
      </c>
      <c r="AM704" s="88">
        <v>0</v>
      </c>
      <c r="AN704" s="81" t="str">
        <f t="shared" si="825"/>
        <v/>
      </c>
      <c r="AO704" s="88">
        <f t="shared" si="788"/>
        <v>0</v>
      </c>
      <c r="AP704" s="88">
        <f t="shared" si="789"/>
        <v>0</v>
      </c>
      <c r="AQ704" s="81" t="str">
        <f t="shared" si="790"/>
        <v/>
      </c>
      <c r="AS704" s="41" t="b">
        <f t="shared" si="791"/>
        <v>1</v>
      </c>
      <c r="AT704" s="38">
        <f t="shared" si="792"/>
        <v>0</v>
      </c>
      <c r="AU704" s="60">
        <f t="shared" si="793"/>
        <v>0</v>
      </c>
      <c r="AV704" s="41">
        <f t="shared" si="794"/>
        <v>0</v>
      </c>
      <c r="AW704" s="41" t="b">
        <f t="shared" si="795"/>
        <v>0</v>
      </c>
      <c r="AX704" t="str">
        <f t="shared" si="796"/>
        <v>+00</v>
      </c>
      <c r="AY704" t="str">
        <f t="shared" si="797"/>
        <v>+00</v>
      </c>
      <c r="BA704" s="47" t="b">
        <f t="shared" si="826"/>
        <v>1</v>
      </c>
      <c r="BB704" s="42" t="b">
        <f t="shared" si="827"/>
        <v>1</v>
      </c>
      <c r="BC704" s="42" t="b">
        <f t="shared" si="828"/>
        <v>0</v>
      </c>
      <c r="BD704" s="42" t="b">
        <f t="shared" si="829"/>
        <v>0</v>
      </c>
      <c r="BE704" s="70">
        <f t="shared" si="830"/>
        <v>0</v>
      </c>
      <c r="BF704" s="70">
        <f t="shared" si="831"/>
        <v>0</v>
      </c>
      <c r="BG704" s="34"/>
      <c r="BI704" s="47" t="b">
        <f t="shared" si="832"/>
        <v>1</v>
      </c>
      <c r="BJ704" s="47" t="b">
        <f t="shared" si="833"/>
        <v>1</v>
      </c>
      <c r="BK704" s="42" t="b">
        <f t="shared" si="834"/>
        <v>0</v>
      </c>
      <c r="BL704" s="42" t="b">
        <f t="shared" si="835"/>
        <v>0</v>
      </c>
      <c r="BM704" s="42">
        <f t="shared" si="836"/>
        <v>0</v>
      </c>
      <c r="BN704" s="42">
        <f t="shared" si="837"/>
        <v>0</v>
      </c>
      <c r="BP704" t="e">
        <f t="shared" si="838"/>
        <v>#N/A</v>
      </c>
      <c r="BQ704" t="e">
        <f t="shared" si="839"/>
        <v>#N/A</v>
      </c>
      <c r="BR704" t="e">
        <f t="shared" si="840"/>
        <v>#N/A</v>
      </c>
      <c r="BT704" s="60">
        <f t="shared" si="841"/>
        <v>0</v>
      </c>
      <c r="BU704" s="60">
        <f t="shared" si="842"/>
        <v>0</v>
      </c>
      <c r="BV704" s="60">
        <f t="shared" si="843"/>
        <v>0</v>
      </c>
      <c r="BW704" s="60">
        <f t="shared" si="844"/>
        <v>0</v>
      </c>
      <c r="BX704" s="60">
        <f t="shared" si="845"/>
        <v>0</v>
      </c>
      <c r="BY704" s="60">
        <f t="shared" si="846"/>
        <v>0</v>
      </c>
      <c r="BZ704" s="60">
        <f t="shared" si="847"/>
        <v>0</v>
      </c>
      <c r="CA704" s="60">
        <f t="shared" si="848"/>
        <v>0</v>
      </c>
      <c r="CB704" s="60" t="e">
        <f t="shared" si="798"/>
        <v>#N/A</v>
      </c>
      <c r="CC704" s="60">
        <f t="shared" si="799"/>
        <v>100000</v>
      </c>
      <c r="CD704" s="60" t="e">
        <f t="shared" si="800"/>
        <v>#N/A</v>
      </c>
      <c r="CE704" s="60">
        <f t="shared" si="801"/>
        <v>100000</v>
      </c>
      <c r="CF704" s="83" t="e">
        <f t="shared" si="849"/>
        <v>#N/A</v>
      </c>
      <c r="CG704" s="83">
        <f t="shared" si="850"/>
        <v>0</v>
      </c>
      <c r="CH704" s="83" t="e">
        <f t="shared" si="851"/>
        <v>#N/A</v>
      </c>
      <c r="CI704" s="83">
        <f t="shared" si="852"/>
        <v>0</v>
      </c>
      <c r="CJ704" s="86" t="e">
        <f t="shared" si="802"/>
        <v>#N/A</v>
      </c>
      <c r="CK704" s="82">
        <f t="shared" si="803"/>
        <v>5.3070370403969858E-3</v>
      </c>
      <c r="CL704" s="82" t="e">
        <f t="shared" si="804"/>
        <v>#N/A</v>
      </c>
      <c r="CM704" s="82">
        <f t="shared" si="805"/>
        <v>5.3070370403969858E-3</v>
      </c>
      <c r="CO704" s="149" t="str">
        <f>IF($I704&lt;&gt;"",IF(O704="User Specified",U704,INDEX('Refrigerant GWPs'!$G$2:$G$156,MATCH(O704,'Refrigerant GWPs'!$A$2:$A$156,0))),"")</f>
        <v/>
      </c>
      <c r="CP704" s="138" t="str">
        <f>IF($I704&lt;&gt;"",INDEX('Device Refrigerant Leakage'!$E$2:$E$42,MATCH($M704,'Device Refrigerant Leakage'!$B$2:$B$42,0)),"")</f>
        <v/>
      </c>
      <c r="CQ704" s="138" t="str">
        <f>IF($I704&lt;&gt;"",INDEX('Device Refrigerant Leakage'!$F$2:$F$42,MATCH($M704,'Device Refrigerant Leakage'!$B$2:$B$42,0)),"")</f>
        <v/>
      </c>
      <c r="CR704" s="145" t="str">
        <f>IF($I704&lt;&gt;"",INDEX('Device Refrigerant Leakage'!$G$2:$G$42,MATCH($M704,'Device Refrigerant Leakage'!$B$2:$B$42,0)),"")</f>
        <v/>
      </c>
      <c r="CS704" s="145" t="str">
        <f>IF($I704&lt;&gt;"",INDEX('Device Refrigerant Leakage'!$D$2:$D$42,MATCH($M704,'Device Refrigerant Leakage'!$B$2:$B$42,0))*CP704/2204.62*CO704,"")</f>
        <v/>
      </c>
      <c r="CT704" s="145" t="str">
        <f>IF($I704&lt;&gt;"",J704*(INDEX('Device Refrigerant Leakage'!$D$2:$D$42,MATCH($M704,'Device Refrigerant Leakage'!$B$2:$B$42,0))-(INDEX('Device Refrigerant Leakage'!$D$2:$D$42,MATCH($M704,'Device Refrigerant Leakage'!$B$2:$B$42,0)))*CR704*CP704)*CQ704/2204.62*CO704,"")</f>
        <v/>
      </c>
      <c r="CU704" s="135" t="str">
        <f>IF($I704&lt;&gt;"",J704*IF(W704&lt;&gt;"AR",(CS704*K704)+CT704,(CS704*AB704)+CT704*(AB704/INDEX('Device Refrigerant Leakage'!$C$2:$C$42,MATCH($M704,'Device Refrigerant Leakage'!$B$2:$B$42,0)))),"")</f>
        <v/>
      </c>
      <c r="CW704" s="135" t="str">
        <f>IF($I704&lt;&gt;"",IF(S704="User Specified",V704,INDEX('Refrigerant GWPs'!$G$2:$G$156,MATCH(S704,'Refrigerant GWPs'!$A$2:$A$157,0))),"")</f>
        <v/>
      </c>
      <c r="CX704" s="138" t="str">
        <f>IF($I704&lt;&gt;"",INDEX('Device Refrigerant Leakage'!$E$2:$E$42,MATCH($Q704,'Device Refrigerant Leakage'!$B$2:$B$42,0)),"")</f>
        <v/>
      </c>
      <c r="CY704" s="138" t="str">
        <f>IF($I704&lt;&gt;"",INDEX('Device Refrigerant Leakage'!$F$2:$F$42,MATCH($Q704,'Device Refrigerant Leakage'!$B$2:$B$42,0)),"")</f>
        <v/>
      </c>
      <c r="CZ704" s="145" t="str">
        <f>IF($I704&lt;&gt;"",INDEX('Device Refrigerant Leakage'!$G$2:$G$42,MATCH($Q704,'Device Refrigerant Leakage'!$B$2:$B$42,0)),"")</f>
        <v/>
      </c>
      <c r="DA704" s="145" t="str">
        <f>IF($I704&lt;&gt;"",J704*INDEX('Device Refrigerant Leakage'!$D$2:$D$42,MATCH($Q704,'Device Refrigerant Leakage'!$B$2:$B$42,0))*CX704/2204.62*CW704,"")</f>
        <v/>
      </c>
      <c r="DB704" s="145" t="str">
        <f>IF($I704&lt;&gt;"",J704*(INDEX('Device Refrigerant Leakage'!$D$2:$D$42,MATCH($Q704,'Device Refrigerant Leakage'!$B$2:$B$42,0))-(INDEX('Device Refrigerant Leakage'!$D$2:$D$42,MATCH($Q704,'Device Refrigerant Leakage'!$B$2:$B$42,0)))*CZ704*CX704)*CY704/2204.62*CW704,"")</f>
        <v/>
      </c>
      <c r="DC704" s="135" t="str">
        <f t="shared" si="824"/>
        <v/>
      </c>
      <c r="DE704" s="146" t="str">
        <f>IF(W704&lt;&gt;"AR","",IF(Y704="User Specified", AA704, INDEX('Refrigerant GWPs'!$G$2:$G$154,MATCH(Y704,'Refrigerant GWPs'!$A$2:$A$154,0))))</f>
        <v/>
      </c>
      <c r="DF704" s="146" t="str">
        <f>IF(W704&lt;&gt;"AR","",INDEX('Device Refrigerant Leakage'!$E$2:$E$42,MATCH(X704,'Device Refrigerant Leakage'!$B$2:$B$42,0)))</f>
        <v/>
      </c>
      <c r="DG704" s="146" t="str">
        <f>IF(W704&lt;&gt;"AR","",INDEX('Device Refrigerant Leakage'!$F$2:$F$42,MATCH(X704,'Device Refrigerant Leakage'!$B$2:$B$42,0)))</f>
        <v/>
      </c>
      <c r="DH704" s="146" t="str">
        <f>IF(W704&lt;&gt;"AR","",INDEX('Device Refrigerant Leakage'!$G$2:$G$42,MATCH(X704,'Device Refrigerant Leakage'!$B$2:$B$42,0)))</f>
        <v/>
      </c>
      <c r="DI704" s="146" t="str">
        <f>IF(W704&lt;&gt;"AR","",J704*INDEX('Device Refrigerant Leakage'!$D$2:$D$42,MATCH(X704,'Device Refrigerant Leakage'!$B$2:$B$42,0))*DF704/2204.62*DE704)</f>
        <v/>
      </c>
      <c r="DJ704" s="146" t="str">
        <f>IF(W704&lt;&gt;"AR","",J704*(INDEX('Device Refrigerant Leakage'!$D$2:$D$42,MATCH(X704,'Device Refrigerant Leakage'!$B$2:$B$42,0))-(INDEX('Device Refrigerant Leakage'!$D$2:$D$42,MATCH(X704,'Device Refrigerant Leakage'!$B$2:$B$42,0)))*DH704*DF704)*DG704/2204.62*DE704)</f>
        <v/>
      </c>
      <c r="DK704" s="146" t="str">
        <f>IF(W704&lt;&gt;"AR","",DI704*(K704-AB704)+'Fuel Sub Calcs-Deemed'!DJ704*((K704-AB704)/INDEX('Device Refrigerant Leakage'!$C$2:$C$42,MATCH('Fuel Sub Calcs-Deemed'!X704,'Device Refrigerant Leakage'!$B$2:$B$42,0))))</f>
        <v/>
      </c>
      <c r="DM704" s="56">
        <v>690</v>
      </c>
      <c r="DN704" s="67" t="e">
        <f t="shared" si="806"/>
        <v>#N/A</v>
      </c>
      <c r="DO704" s="45" t="e">
        <f t="shared" si="807"/>
        <v>#N/A</v>
      </c>
      <c r="DP704" s="67" t="e">
        <f t="shared" si="808"/>
        <v>#N/A</v>
      </c>
      <c r="DQ704" s="45" t="e">
        <f t="shared" si="809"/>
        <v>#N/A</v>
      </c>
      <c r="DR704" s="69" t="e">
        <f t="shared" si="810"/>
        <v>#N/A</v>
      </c>
      <c r="DS704" s="34"/>
      <c r="DT704" s="67" t="e">
        <f>((BX704*CJ704)+IF($W704=MAT_AR,(BZ704*CL704),0))*(1+Reference!$E$50+Reference!$E$51)</f>
        <v>#N/A</v>
      </c>
      <c r="DU704" s="67">
        <f>((BY704*CK704)+IF($W704=MAT_AR,(CA704*CM704),0))*(1+Reference!$G$50+Reference!$G$51)</f>
        <v>0</v>
      </c>
      <c r="DV704" s="67" t="e">
        <f t="shared" si="811"/>
        <v>#VALUE!</v>
      </c>
      <c r="DX704" s="56">
        <v>690</v>
      </c>
      <c r="DY704" s="67">
        <f t="shared" si="812"/>
        <v>0</v>
      </c>
      <c r="DZ704" s="45" t="e">
        <f>VLOOKUP($R704,Dropdown!$C$3:$D$4,2,FALSE)</f>
        <v>#N/A</v>
      </c>
      <c r="EA704" s="68">
        <f t="shared" si="813"/>
        <v>0</v>
      </c>
      <c r="EB704" s="68" t="str">
        <f t="shared" si="814"/>
        <v>N/A</v>
      </c>
      <c r="EC704" s="68">
        <f t="shared" si="815"/>
        <v>0</v>
      </c>
      <c r="ED704" s="68" t="str">
        <f t="shared" si="853"/>
        <v>N/A</v>
      </c>
      <c r="EF704" s="56">
        <v>690</v>
      </c>
      <c r="EG704" s="46">
        <f t="shared" si="816"/>
        <v>0</v>
      </c>
      <c r="EH704" s="68" t="e">
        <f t="shared" si="817"/>
        <v>#N/A</v>
      </c>
      <c r="EI704" s="68" t="e">
        <f t="shared" si="818"/>
        <v>#N/A</v>
      </c>
      <c r="EJ704" s="68" t="e">
        <f t="shared" si="819"/>
        <v>#N/A</v>
      </c>
      <c r="EK704" s="68" t="e">
        <f t="shared" si="820"/>
        <v>#N/A</v>
      </c>
      <c r="EL704" s="46">
        <f t="shared" si="821"/>
        <v>0</v>
      </c>
      <c r="EM704" s="46">
        <f t="shared" si="822"/>
        <v>0</v>
      </c>
    </row>
    <row r="705" spans="1:143">
      <c r="A705" s="89"/>
      <c r="B705" s="89"/>
      <c r="C705" s="89"/>
      <c r="D705" s="89"/>
      <c r="E705" s="89"/>
      <c r="F705" s="89"/>
      <c r="G705" s="34"/>
      <c r="H705" s="56">
        <f t="shared" si="823"/>
        <v>691</v>
      </c>
      <c r="I705" s="165"/>
      <c r="J705" s="163"/>
      <c r="K705" s="163"/>
      <c r="L705" s="164"/>
      <c r="M705" s="155"/>
      <c r="N705" s="155"/>
      <c r="O705" s="144"/>
      <c r="P705" s="159" t="str">
        <f>IFERROR(IF(O705&lt;&gt;"User Specified",IF(O705&lt;&gt;"", INDEX('Refrigerant GWPs'!$G$2:$G$154,MATCH(O705,'Refrigerant GWPs'!$A$2:$A$154,0)),""),U705),0)</f>
        <v/>
      </c>
      <c r="Q705" s="155"/>
      <c r="R705" s="155"/>
      <c r="S705" s="144"/>
      <c r="T705" s="159" t="str">
        <f>IF(S705&lt;&gt;"User Specified",IF(AND(S705&lt;&gt;"User Specified",S705&lt;&gt;""), INDEX('Refrigerant GWPs'!$G$2:$G$154,MATCH(S705,'Refrigerant GWPs'!$A$2:$A$154,0)),""),V705)</f>
        <v/>
      </c>
      <c r="U705" s="144"/>
      <c r="V705" s="144"/>
      <c r="W705" s="155"/>
      <c r="X705" s="155"/>
      <c r="Y705" s="144"/>
      <c r="Z705" s="159" t="str">
        <f>IF(AND(Y705&lt;&gt;"User Specified",Y705&lt;&gt;""), INDEX('Refrigerant GWPs'!$G$2:$G$154,MATCH(Y705,'Refrigerant GWPs'!$A$2:$A$154,0)),"")</f>
        <v/>
      </c>
      <c r="AA705" s="155"/>
      <c r="AB705" s="156"/>
      <c r="AC705" s="66"/>
      <c r="AD705" s="66"/>
      <c r="AE705" s="66"/>
      <c r="AF705" s="66"/>
      <c r="AG705" s="66"/>
      <c r="AH705" s="66"/>
      <c r="AI705" s="34"/>
      <c r="AJ705" s="88">
        <f t="shared" si="786"/>
        <v>0</v>
      </c>
      <c r="AK705" s="88">
        <f t="shared" si="787"/>
        <v>0</v>
      </c>
      <c r="AL705" s="88">
        <v>0</v>
      </c>
      <c r="AM705" s="88">
        <v>0</v>
      </c>
      <c r="AN705" s="81" t="str">
        <f t="shared" si="825"/>
        <v/>
      </c>
      <c r="AO705" s="88">
        <f t="shared" si="788"/>
        <v>0</v>
      </c>
      <c r="AP705" s="88">
        <f t="shared" si="789"/>
        <v>0</v>
      </c>
      <c r="AQ705" s="81" t="str">
        <f t="shared" si="790"/>
        <v/>
      </c>
      <c r="AS705" s="41" t="b">
        <f t="shared" si="791"/>
        <v>1</v>
      </c>
      <c r="AT705" s="38">
        <f t="shared" si="792"/>
        <v>0</v>
      </c>
      <c r="AU705" s="60">
        <f t="shared" si="793"/>
        <v>0</v>
      </c>
      <c r="AV705" s="41">
        <f t="shared" si="794"/>
        <v>0</v>
      </c>
      <c r="AW705" s="41" t="b">
        <f t="shared" si="795"/>
        <v>0</v>
      </c>
      <c r="AX705" t="str">
        <f t="shared" si="796"/>
        <v>+00</v>
      </c>
      <c r="AY705" t="str">
        <f t="shared" si="797"/>
        <v>+00</v>
      </c>
      <c r="BA705" s="47" t="b">
        <f t="shared" si="826"/>
        <v>1</v>
      </c>
      <c r="BB705" s="42" t="b">
        <f t="shared" si="827"/>
        <v>1</v>
      </c>
      <c r="BC705" s="42" t="b">
        <f t="shared" si="828"/>
        <v>0</v>
      </c>
      <c r="BD705" s="42" t="b">
        <f t="shared" si="829"/>
        <v>0</v>
      </c>
      <c r="BE705" s="70">
        <f t="shared" si="830"/>
        <v>0</v>
      </c>
      <c r="BF705" s="70">
        <f t="shared" si="831"/>
        <v>0</v>
      </c>
      <c r="BG705" s="34"/>
      <c r="BI705" s="47" t="b">
        <f t="shared" si="832"/>
        <v>1</v>
      </c>
      <c r="BJ705" s="47" t="b">
        <f t="shared" si="833"/>
        <v>1</v>
      </c>
      <c r="BK705" s="42" t="b">
        <f t="shared" si="834"/>
        <v>0</v>
      </c>
      <c r="BL705" s="42" t="b">
        <f t="shared" si="835"/>
        <v>0</v>
      </c>
      <c r="BM705" s="42">
        <f t="shared" si="836"/>
        <v>0</v>
      </c>
      <c r="BN705" s="42">
        <f t="shared" si="837"/>
        <v>0</v>
      </c>
      <c r="BP705" t="e">
        <f t="shared" si="838"/>
        <v>#N/A</v>
      </c>
      <c r="BQ705" t="e">
        <f t="shared" si="839"/>
        <v>#N/A</v>
      </c>
      <c r="BR705" t="e">
        <f t="shared" si="840"/>
        <v>#N/A</v>
      </c>
      <c r="BT705" s="60">
        <f t="shared" si="841"/>
        <v>0</v>
      </c>
      <c r="BU705" s="60">
        <f t="shared" si="842"/>
        <v>0</v>
      </c>
      <c r="BV705" s="60">
        <f t="shared" si="843"/>
        <v>0</v>
      </c>
      <c r="BW705" s="60">
        <f t="shared" si="844"/>
        <v>0</v>
      </c>
      <c r="BX705" s="60">
        <f t="shared" si="845"/>
        <v>0</v>
      </c>
      <c r="BY705" s="60">
        <f t="shared" si="846"/>
        <v>0</v>
      </c>
      <c r="BZ705" s="60">
        <f t="shared" si="847"/>
        <v>0</v>
      </c>
      <c r="CA705" s="60">
        <f t="shared" si="848"/>
        <v>0</v>
      </c>
      <c r="CB705" s="60" t="e">
        <f t="shared" si="798"/>
        <v>#N/A</v>
      </c>
      <c r="CC705" s="60">
        <f t="shared" si="799"/>
        <v>100000</v>
      </c>
      <c r="CD705" s="60" t="e">
        <f t="shared" si="800"/>
        <v>#N/A</v>
      </c>
      <c r="CE705" s="60">
        <f t="shared" si="801"/>
        <v>100000</v>
      </c>
      <c r="CF705" s="83" t="e">
        <f t="shared" si="849"/>
        <v>#N/A</v>
      </c>
      <c r="CG705" s="83">
        <f t="shared" si="850"/>
        <v>0</v>
      </c>
      <c r="CH705" s="83" t="e">
        <f t="shared" si="851"/>
        <v>#N/A</v>
      </c>
      <c r="CI705" s="83">
        <f t="shared" si="852"/>
        <v>0</v>
      </c>
      <c r="CJ705" s="86" t="e">
        <f t="shared" si="802"/>
        <v>#N/A</v>
      </c>
      <c r="CK705" s="82">
        <f t="shared" si="803"/>
        <v>5.3070370403969858E-3</v>
      </c>
      <c r="CL705" s="82" t="e">
        <f t="shared" si="804"/>
        <v>#N/A</v>
      </c>
      <c r="CM705" s="82">
        <f t="shared" si="805"/>
        <v>5.3070370403969858E-3</v>
      </c>
      <c r="CO705" s="149" t="str">
        <f>IF($I705&lt;&gt;"",IF(O705="User Specified",U705,INDEX('Refrigerant GWPs'!$G$2:$G$156,MATCH(O705,'Refrigerant GWPs'!$A$2:$A$156,0))),"")</f>
        <v/>
      </c>
      <c r="CP705" s="138" t="str">
        <f>IF($I705&lt;&gt;"",INDEX('Device Refrigerant Leakage'!$E$2:$E$42,MATCH($M705,'Device Refrigerant Leakage'!$B$2:$B$42,0)),"")</f>
        <v/>
      </c>
      <c r="CQ705" s="138" t="str">
        <f>IF($I705&lt;&gt;"",INDEX('Device Refrigerant Leakage'!$F$2:$F$42,MATCH($M705,'Device Refrigerant Leakage'!$B$2:$B$42,0)),"")</f>
        <v/>
      </c>
      <c r="CR705" s="145" t="str">
        <f>IF($I705&lt;&gt;"",INDEX('Device Refrigerant Leakage'!$G$2:$G$42,MATCH($M705,'Device Refrigerant Leakage'!$B$2:$B$42,0)),"")</f>
        <v/>
      </c>
      <c r="CS705" s="145" t="str">
        <f>IF($I705&lt;&gt;"",INDEX('Device Refrigerant Leakage'!$D$2:$D$42,MATCH($M705,'Device Refrigerant Leakage'!$B$2:$B$42,0))*CP705/2204.62*CO705,"")</f>
        <v/>
      </c>
      <c r="CT705" s="145" t="str">
        <f>IF($I705&lt;&gt;"",J705*(INDEX('Device Refrigerant Leakage'!$D$2:$D$42,MATCH($M705,'Device Refrigerant Leakage'!$B$2:$B$42,0))-(INDEX('Device Refrigerant Leakage'!$D$2:$D$42,MATCH($M705,'Device Refrigerant Leakage'!$B$2:$B$42,0)))*CR705*CP705)*CQ705/2204.62*CO705,"")</f>
        <v/>
      </c>
      <c r="CU705" s="135" t="str">
        <f>IF($I705&lt;&gt;"",J705*IF(W705&lt;&gt;"AR",(CS705*K705)+CT705,(CS705*AB705)+CT705*(AB705/INDEX('Device Refrigerant Leakage'!$C$2:$C$42,MATCH($M705,'Device Refrigerant Leakage'!$B$2:$B$42,0)))),"")</f>
        <v/>
      </c>
      <c r="CW705" s="135" t="str">
        <f>IF($I705&lt;&gt;"",IF(S705="User Specified",V705,INDEX('Refrigerant GWPs'!$G$2:$G$156,MATCH(S705,'Refrigerant GWPs'!$A$2:$A$157,0))),"")</f>
        <v/>
      </c>
      <c r="CX705" s="138" t="str">
        <f>IF($I705&lt;&gt;"",INDEX('Device Refrigerant Leakage'!$E$2:$E$42,MATCH($Q705,'Device Refrigerant Leakage'!$B$2:$B$42,0)),"")</f>
        <v/>
      </c>
      <c r="CY705" s="138" t="str">
        <f>IF($I705&lt;&gt;"",INDEX('Device Refrigerant Leakage'!$F$2:$F$42,MATCH($Q705,'Device Refrigerant Leakage'!$B$2:$B$42,0)),"")</f>
        <v/>
      </c>
      <c r="CZ705" s="145" t="str">
        <f>IF($I705&lt;&gt;"",INDEX('Device Refrigerant Leakage'!$G$2:$G$42,MATCH($Q705,'Device Refrigerant Leakage'!$B$2:$B$42,0)),"")</f>
        <v/>
      </c>
      <c r="DA705" s="145" t="str">
        <f>IF($I705&lt;&gt;"",J705*INDEX('Device Refrigerant Leakage'!$D$2:$D$42,MATCH($Q705,'Device Refrigerant Leakage'!$B$2:$B$42,0))*CX705/2204.62*CW705,"")</f>
        <v/>
      </c>
      <c r="DB705" s="145" t="str">
        <f>IF($I705&lt;&gt;"",J705*(INDEX('Device Refrigerant Leakage'!$D$2:$D$42,MATCH($Q705,'Device Refrigerant Leakage'!$B$2:$B$42,0))-(INDEX('Device Refrigerant Leakage'!$D$2:$D$42,MATCH($Q705,'Device Refrigerant Leakage'!$B$2:$B$42,0)))*CZ705*CX705)*CY705/2204.62*CW705,"")</f>
        <v/>
      </c>
      <c r="DC705" s="135" t="str">
        <f t="shared" si="824"/>
        <v/>
      </c>
      <c r="DE705" s="146" t="str">
        <f>IF(W705&lt;&gt;"AR","",IF(Y705="User Specified", AA705, INDEX('Refrigerant GWPs'!$G$2:$G$154,MATCH(Y705,'Refrigerant GWPs'!$A$2:$A$154,0))))</f>
        <v/>
      </c>
      <c r="DF705" s="146" t="str">
        <f>IF(W705&lt;&gt;"AR","",INDEX('Device Refrigerant Leakage'!$E$2:$E$42,MATCH(X705,'Device Refrigerant Leakage'!$B$2:$B$42,0)))</f>
        <v/>
      </c>
      <c r="DG705" s="146" t="str">
        <f>IF(W705&lt;&gt;"AR","",INDEX('Device Refrigerant Leakage'!$F$2:$F$42,MATCH(X705,'Device Refrigerant Leakage'!$B$2:$B$42,0)))</f>
        <v/>
      </c>
      <c r="DH705" s="146" t="str">
        <f>IF(W705&lt;&gt;"AR","",INDEX('Device Refrigerant Leakage'!$G$2:$G$42,MATCH(X705,'Device Refrigerant Leakage'!$B$2:$B$42,0)))</f>
        <v/>
      </c>
      <c r="DI705" s="146" t="str">
        <f>IF(W705&lt;&gt;"AR","",J705*INDEX('Device Refrigerant Leakage'!$D$2:$D$42,MATCH(X705,'Device Refrigerant Leakage'!$B$2:$B$42,0))*DF705/2204.62*DE705)</f>
        <v/>
      </c>
      <c r="DJ705" s="146" t="str">
        <f>IF(W705&lt;&gt;"AR","",J705*(INDEX('Device Refrigerant Leakage'!$D$2:$D$42,MATCH(X705,'Device Refrigerant Leakage'!$B$2:$B$42,0))-(INDEX('Device Refrigerant Leakage'!$D$2:$D$42,MATCH(X705,'Device Refrigerant Leakage'!$B$2:$B$42,0)))*DH705*DF705)*DG705/2204.62*DE705)</f>
        <v/>
      </c>
      <c r="DK705" s="146" t="str">
        <f>IF(W705&lt;&gt;"AR","",DI705*(K705-AB705)+'Fuel Sub Calcs-Deemed'!DJ705*((K705-AB705)/INDEX('Device Refrigerant Leakage'!$C$2:$C$42,MATCH('Fuel Sub Calcs-Deemed'!X705,'Device Refrigerant Leakage'!$B$2:$B$42,0))))</f>
        <v/>
      </c>
      <c r="DM705" s="56">
        <v>691</v>
      </c>
      <c r="DN705" s="67" t="e">
        <f t="shared" si="806"/>
        <v>#N/A</v>
      </c>
      <c r="DO705" s="45" t="e">
        <f t="shared" si="807"/>
        <v>#N/A</v>
      </c>
      <c r="DP705" s="67" t="e">
        <f t="shared" si="808"/>
        <v>#N/A</v>
      </c>
      <c r="DQ705" s="45" t="e">
        <f t="shared" si="809"/>
        <v>#N/A</v>
      </c>
      <c r="DR705" s="69" t="e">
        <f t="shared" si="810"/>
        <v>#N/A</v>
      </c>
      <c r="DS705" s="34"/>
      <c r="DT705" s="67" t="e">
        <f>((BX705*CJ705)+IF($W705=MAT_AR,(BZ705*CL705),0))*(1+Reference!$E$50+Reference!$E$51)</f>
        <v>#N/A</v>
      </c>
      <c r="DU705" s="67">
        <f>((BY705*CK705)+IF($W705=MAT_AR,(CA705*CM705),0))*(1+Reference!$G$50+Reference!$G$51)</f>
        <v>0</v>
      </c>
      <c r="DV705" s="67" t="e">
        <f t="shared" si="811"/>
        <v>#VALUE!</v>
      </c>
      <c r="DX705" s="56">
        <v>691</v>
      </c>
      <c r="DY705" s="67">
        <f t="shared" si="812"/>
        <v>0</v>
      </c>
      <c r="DZ705" s="45" t="e">
        <f>VLOOKUP($R705,Dropdown!$C$3:$D$4,2,FALSE)</f>
        <v>#N/A</v>
      </c>
      <c r="EA705" s="68">
        <f t="shared" si="813"/>
        <v>0</v>
      </c>
      <c r="EB705" s="68" t="str">
        <f t="shared" si="814"/>
        <v>N/A</v>
      </c>
      <c r="EC705" s="68">
        <f t="shared" si="815"/>
        <v>0</v>
      </c>
      <c r="ED705" s="68" t="str">
        <f t="shared" si="853"/>
        <v>N/A</v>
      </c>
      <c r="EF705" s="56">
        <v>691</v>
      </c>
      <c r="EG705" s="46">
        <f t="shared" si="816"/>
        <v>0</v>
      </c>
      <c r="EH705" s="68" t="e">
        <f t="shared" si="817"/>
        <v>#N/A</v>
      </c>
      <c r="EI705" s="68" t="e">
        <f t="shared" si="818"/>
        <v>#N/A</v>
      </c>
      <c r="EJ705" s="68" t="e">
        <f t="shared" si="819"/>
        <v>#N/A</v>
      </c>
      <c r="EK705" s="68" t="e">
        <f t="shared" si="820"/>
        <v>#N/A</v>
      </c>
      <c r="EL705" s="46">
        <f t="shared" si="821"/>
        <v>0</v>
      </c>
      <c r="EM705" s="46">
        <f t="shared" si="822"/>
        <v>0</v>
      </c>
    </row>
    <row r="706" spans="1:143">
      <c r="A706" s="89"/>
      <c r="B706" s="89"/>
      <c r="C706" s="89"/>
      <c r="D706" s="89"/>
      <c r="E706" s="89"/>
      <c r="F706" s="89"/>
      <c r="G706" s="34"/>
      <c r="H706" s="56">
        <f t="shared" si="823"/>
        <v>692</v>
      </c>
      <c r="I706" s="165"/>
      <c r="J706" s="163"/>
      <c r="K706" s="163"/>
      <c r="L706" s="164"/>
      <c r="M706" s="155"/>
      <c r="N706" s="155"/>
      <c r="O706" s="144"/>
      <c r="P706" s="159" t="str">
        <f>IFERROR(IF(O706&lt;&gt;"User Specified",IF(O706&lt;&gt;"", INDEX('Refrigerant GWPs'!$G$2:$G$154,MATCH(O706,'Refrigerant GWPs'!$A$2:$A$154,0)),""),U706),0)</f>
        <v/>
      </c>
      <c r="Q706" s="155"/>
      <c r="R706" s="155"/>
      <c r="S706" s="144"/>
      <c r="T706" s="159" t="str">
        <f>IF(S706&lt;&gt;"User Specified",IF(AND(S706&lt;&gt;"User Specified",S706&lt;&gt;""), INDEX('Refrigerant GWPs'!$G$2:$G$154,MATCH(S706,'Refrigerant GWPs'!$A$2:$A$154,0)),""),V706)</f>
        <v/>
      </c>
      <c r="U706" s="144"/>
      <c r="V706" s="144"/>
      <c r="W706" s="155"/>
      <c r="X706" s="155"/>
      <c r="Y706" s="144"/>
      <c r="Z706" s="159" t="str">
        <f>IF(AND(Y706&lt;&gt;"User Specified",Y706&lt;&gt;""), INDEX('Refrigerant GWPs'!$G$2:$G$154,MATCH(Y706,'Refrigerant GWPs'!$A$2:$A$154,0)),"")</f>
        <v/>
      </c>
      <c r="AA706" s="155"/>
      <c r="AB706" s="156"/>
      <c r="AC706" s="66"/>
      <c r="AD706" s="66"/>
      <c r="AE706" s="66"/>
      <c r="AF706" s="66"/>
      <c r="AG706" s="66"/>
      <c r="AH706" s="66"/>
      <c r="AI706" s="34"/>
      <c r="AJ706" s="88">
        <f t="shared" si="786"/>
        <v>0</v>
      </c>
      <c r="AK706" s="88">
        <f t="shared" si="787"/>
        <v>0</v>
      </c>
      <c r="AL706" s="88">
        <v>0</v>
      </c>
      <c r="AM706" s="88">
        <v>0</v>
      </c>
      <c r="AN706" s="81" t="str">
        <f t="shared" si="825"/>
        <v/>
      </c>
      <c r="AO706" s="88">
        <f t="shared" si="788"/>
        <v>0</v>
      </c>
      <c r="AP706" s="88">
        <f t="shared" si="789"/>
        <v>0</v>
      </c>
      <c r="AQ706" s="81" t="str">
        <f t="shared" si="790"/>
        <v/>
      </c>
      <c r="AS706" s="41" t="b">
        <f t="shared" si="791"/>
        <v>1</v>
      </c>
      <c r="AT706" s="38">
        <f t="shared" si="792"/>
        <v>0</v>
      </c>
      <c r="AU706" s="60">
        <f t="shared" si="793"/>
        <v>0</v>
      </c>
      <c r="AV706" s="41">
        <f t="shared" si="794"/>
        <v>0</v>
      </c>
      <c r="AW706" s="41" t="b">
        <f t="shared" si="795"/>
        <v>0</v>
      </c>
      <c r="AX706" t="str">
        <f t="shared" si="796"/>
        <v>+00</v>
      </c>
      <c r="AY706" t="str">
        <f t="shared" si="797"/>
        <v>+00</v>
      </c>
      <c r="BA706" s="47" t="b">
        <f t="shared" si="826"/>
        <v>1</v>
      </c>
      <c r="BB706" s="42" t="b">
        <f t="shared" si="827"/>
        <v>1</v>
      </c>
      <c r="BC706" s="42" t="b">
        <f t="shared" si="828"/>
        <v>0</v>
      </c>
      <c r="BD706" s="42" t="b">
        <f t="shared" si="829"/>
        <v>0</v>
      </c>
      <c r="BE706" s="70">
        <f t="shared" si="830"/>
        <v>0</v>
      </c>
      <c r="BF706" s="70">
        <f t="shared" si="831"/>
        <v>0</v>
      </c>
      <c r="BG706" s="34"/>
      <c r="BI706" s="47" t="b">
        <f t="shared" si="832"/>
        <v>1</v>
      </c>
      <c r="BJ706" s="47" t="b">
        <f t="shared" si="833"/>
        <v>1</v>
      </c>
      <c r="BK706" s="42" t="b">
        <f t="shared" si="834"/>
        <v>0</v>
      </c>
      <c r="BL706" s="42" t="b">
        <f t="shared" si="835"/>
        <v>0</v>
      </c>
      <c r="BM706" s="42">
        <f t="shared" si="836"/>
        <v>0</v>
      </c>
      <c r="BN706" s="42">
        <f t="shared" si="837"/>
        <v>0</v>
      </c>
      <c r="BP706" t="e">
        <f t="shared" si="838"/>
        <v>#N/A</v>
      </c>
      <c r="BQ706" t="e">
        <f t="shared" si="839"/>
        <v>#N/A</v>
      </c>
      <c r="BR706" t="e">
        <f t="shared" si="840"/>
        <v>#N/A</v>
      </c>
      <c r="BT706" s="60">
        <f t="shared" si="841"/>
        <v>0</v>
      </c>
      <c r="BU706" s="60">
        <f t="shared" si="842"/>
        <v>0</v>
      </c>
      <c r="BV706" s="60">
        <f t="shared" si="843"/>
        <v>0</v>
      </c>
      <c r="BW706" s="60">
        <f t="shared" si="844"/>
        <v>0</v>
      </c>
      <c r="BX706" s="60">
        <f t="shared" si="845"/>
        <v>0</v>
      </c>
      <c r="BY706" s="60">
        <f t="shared" si="846"/>
        <v>0</v>
      </c>
      <c r="BZ706" s="60">
        <f t="shared" si="847"/>
        <v>0</v>
      </c>
      <c r="CA706" s="60">
        <f t="shared" si="848"/>
        <v>0</v>
      </c>
      <c r="CB706" s="60" t="e">
        <f t="shared" si="798"/>
        <v>#N/A</v>
      </c>
      <c r="CC706" s="60">
        <f t="shared" si="799"/>
        <v>100000</v>
      </c>
      <c r="CD706" s="60" t="e">
        <f t="shared" si="800"/>
        <v>#N/A</v>
      </c>
      <c r="CE706" s="60">
        <f t="shared" si="801"/>
        <v>100000</v>
      </c>
      <c r="CF706" s="83" t="e">
        <f t="shared" si="849"/>
        <v>#N/A</v>
      </c>
      <c r="CG706" s="83">
        <f t="shared" si="850"/>
        <v>0</v>
      </c>
      <c r="CH706" s="83" t="e">
        <f t="shared" si="851"/>
        <v>#N/A</v>
      </c>
      <c r="CI706" s="83">
        <f t="shared" si="852"/>
        <v>0</v>
      </c>
      <c r="CJ706" s="86" t="e">
        <f t="shared" si="802"/>
        <v>#N/A</v>
      </c>
      <c r="CK706" s="82">
        <f t="shared" si="803"/>
        <v>5.3070370403969858E-3</v>
      </c>
      <c r="CL706" s="82" t="e">
        <f t="shared" si="804"/>
        <v>#N/A</v>
      </c>
      <c r="CM706" s="82">
        <f t="shared" si="805"/>
        <v>5.3070370403969858E-3</v>
      </c>
      <c r="CO706" s="149" t="str">
        <f>IF($I706&lt;&gt;"",IF(O706="User Specified",U706,INDEX('Refrigerant GWPs'!$G$2:$G$156,MATCH(O706,'Refrigerant GWPs'!$A$2:$A$156,0))),"")</f>
        <v/>
      </c>
      <c r="CP706" s="138" t="str">
        <f>IF($I706&lt;&gt;"",INDEX('Device Refrigerant Leakage'!$E$2:$E$42,MATCH($M706,'Device Refrigerant Leakage'!$B$2:$B$42,0)),"")</f>
        <v/>
      </c>
      <c r="CQ706" s="138" t="str">
        <f>IF($I706&lt;&gt;"",INDEX('Device Refrigerant Leakage'!$F$2:$F$42,MATCH($M706,'Device Refrigerant Leakage'!$B$2:$B$42,0)),"")</f>
        <v/>
      </c>
      <c r="CR706" s="145" t="str">
        <f>IF($I706&lt;&gt;"",INDEX('Device Refrigerant Leakage'!$G$2:$G$42,MATCH($M706,'Device Refrigerant Leakage'!$B$2:$B$42,0)),"")</f>
        <v/>
      </c>
      <c r="CS706" s="145" t="str">
        <f>IF($I706&lt;&gt;"",INDEX('Device Refrigerant Leakage'!$D$2:$D$42,MATCH($M706,'Device Refrigerant Leakage'!$B$2:$B$42,0))*CP706/2204.62*CO706,"")</f>
        <v/>
      </c>
      <c r="CT706" s="145" t="str">
        <f>IF($I706&lt;&gt;"",J706*(INDEX('Device Refrigerant Leakage'!$D$2:$D$42,MATCH($M706,'Device Refrigerant Leakage'!$B$2:$B$42,0))-(INDEX('Device Refrigerant Leakage'!$D$2:$D$42,MATCH($M706,'Device Refrigerant Leakage'!$B$2:$B$42,0)))*CR706*CP706)*CQ706/2204.62*CO706,"")</f>
        <v/>
      </c>
      <c r="CU706" s="135" t="str">
        <f>IF($I706&lt;&gt;"",J706*IF(W706&lt;&gt;"AR",(CS706*K706)+CT706,(CS706*AB706)+CT706*(AB706/INDEX('Device Refrigerant Leakage'!$C$2:$C$42,MATCH($M706,'Device Refrigerant Leakage'!$B$2:$B$42,0)))),"")</f>
        <v/>
      </c>
      <c r="CW706" s="135" t="str">
        <f>IF($I706&lt;&gt;"",IF(S706="User Specified",V706,INDEX('Refrigerant GWPs'!$G$2:$G$156,MATCH(S706,'Refrigerant GWPs'!$A$2:$A$157,0))),"")</f>
        <v/>
      </c>
      <c r="CX706" s="138" t="str">
        <f>IF($I706&lt;&gt;"",INDEX('Device Refrigerant Leakage'!$E$2:$E$42,MATCH($Q706,'Device Refrigerant Leakage'!$B$2:$B$42,0)),"")</f>
        <v/>
      </c>
      <c r="CY706" s="138" t="str">
        <f>IF($I706&lt;&gt;"",INDEX('Device Refrigerant Leakage'!$F$2:$F$42,MATCH($Q706,'Device Refrigerant Leakage'!$B$2:$B$42,0)),"")</f>
        <v/>
      </c>
      <c r="CZ706" s="145" t="str">
        <f>IF($I706&lt;&gt;"",INDEX('Device Refrigerant Leakage'!$G$2:$G$42,MATCH($Q706,'Device Refrigerant Leakage'!$B$2:$B$42,0)),"")</f>
        <v/>
      </c>
      <c r="DA706" s="145" t="str">
        <f>IF($I706&lt;&gt;"",J706*INDEX('Device Refrigerant Leakage'!$D$2:$D$42,MATCH($Q706,'Device Refrigerant Leakage'!$B$2:$B$42,0))*CX706/2204.62*CW706,"")</f>
        <v/>
      </c>
      <c r="DB706" s="145" t="str">
        <f>IF($I706&lt;&gt;"",J706*(INDEX('Device Refrigerant Leakage'!$D$2:$D$42,MATCH($Q706,'Device Refrigerant Leakage'!$B$2:$B$42,0))-(INDEX('Device Refrigerant Leakage'!$D$2:$D$42,MATCH($Q706,'Device Refrigerant Leakage'!$B$2:$B$42,0)))*CZ706*CX706)*CY706/2204.62*CW706,"")</f>
        <v/>
      </c>
      <c r="DC706" s="135" t="str">
        <f t="shared" si="824"/>
        <v/>
      </c>
      <c r="DE706" s="146" t="str">
        <f>IF(W706&lt;&gt;"AR","",IF(Y706="User Specified", AA706, INDEX('Refrigerant GWPs'!$G$2:$G$154,MATCH(Y706,'Refrigerant GWPs'!$A$2:$A$154,0))))</f>
        <v/>
      </c>
      <c r="DF706" s="146" t="str">
        <f>IF(W706&lt;&gt;"AR","",INDEX('Device Refrigerant Leakage'!$E$2:$E$42,MATCH(X706,'Device Refrigerant Leakage'!$B$2:$B$42,0)))</f>
        <v/>
      </c>
      <c r="DG706" s="146" t="str">
        <f>IF(W706&lt;&gt;"AR","",INDEX('Device Refrigerant Leakage'!$F$2:$F$42,MATCH(X706,'Device Refrigerant Leakage'!$B$2:$B$42,0)))</f>
        <v/>
      </c>
      <c r="DH706" s="146" t="str">
        <f>IF(W706&lt;&gt;"AR","",INDEX('Device Refrigerant Leakage'!$G$2:$G$42,MATCH(X706,'Device Refrigerant Leakage'!$B$2:$B$42,0)))</f>
        <v/>
      </c>
      <c r="DI706" s="146" t="str">
        <f>IF(W706&lt;&gt;"AR","",J706*INDEX('Device Refrigerant Leakage'!$D$2:$D$42,MATCH(X706,'Device Refrigerant Leakage'!$B$2:$B$42,0))*DF706/2204.62*DE706)</f>
        <v/>
      </c>
      <c r="DJ706" s="146" t="str">
        <f>IF(W706&lt;&gt;"AR","",J706*(INDEX('Device Refrigerant Leakage'!$D$2:$D$42,MATCH(X706,'Device Refrigerant Leakage'!$B$2:$B$42,0))-(INDEX('Device Refrigerant Leakage'!$D$2:$D$42,MATCH(X706,'Device Refrigerant Leakage'!$B$2:$B$42,0)))*DH706*DF706)*DG706/2204.62*DE706)</f>
        <v/>
      </c>
      <c r="DK706" s="146" t="str">
        <f>IF(W706&lt;&gt;"AR","",DI706*(K706-AB706)+'Fuel Sub Calcs-Deemed'!DJ706*((K706-AB706)/INDEX('Device Refrigerant Leakage'!$C$2:$C$42,MATCH('Fuel Sub Calcs-Deemed'!X706,'Device Refrigerant Leakage'!$B$2:$B$42,0))))</f>
        <v/>
      </c>
      <c r="DM706" s="56">
        <v>692</v>
      </c>
      <c r="DN706" s="67" t="e">
        <f t="shared" si="806"/>
        <v>#N/A</v>
      </c>
      <c r="DO706" s="45" t="e">
        <f t="shared" si="807"/>
        <v>#N/A</v>
      </c>
      <c r="DP706" s="67" t="e">
        <f t="shared" si="808"/>
        <v>#N/A</v>
      </c>
      <c r="DQ706" s="45" t="e">
        <f t="shared" si="809"/>
        <v>#N/A</v>
      </c>
      <c r="DR706" s="69" t="e">
        <f t="shared" si="810"/>
        <v>#N/A</v>
      </c>
      <c r="DS706" s="34"/>
      <c r="DT706" s="67" t="e">
        <f>((BX706*CJ706)+IF($W706=MAT_AR,(BZ706*CL706),0))*(1+Reference!$E$50+Reference!$E$51)</f>
        <v>#N/A</v>
      </c>
      <c r="DU706" s="67">
        <f>((BY706*CK706)+IF($W706=MAT_AR,(CA706*CM706),0))*(1+Reference!$G$50+Reference!$G$51)</f>
        <v>0</v>
      </c>
      <c r="DV706" s="67" t="e">
        <f t="shared" si="811"/>
        <v>#VALUE!</v>
      </c>
      <c r="DX706" s="56">
        <v>692</v>
      </c>
      <c r="DY706" s="67">
        <f t="shared" si="812"/>
        <v>0</v>
      </c>
      <c r="DZ706" s="45" t="e">
        <f>VLOOKUP($R706,Dropdown!$C$3:$D$4,2,FALSE)</f>
        <v>#N/A</v>
      </c>
      <c r="EA706" s="68">
        <f t="shared" si="813"/>
        <v>0</v>
      </c>
      <c r="EB706" s="68" t="str">
        <f t="shared" si="814"/>
        <v>N/A</v>
      </c>
      <c r="EC706" s="68">
        <f t="shared" si="815"/>
        <v>0</v>
      </c>
      <c r="ED706" s="68" t="str">
        <f t="shared" si="853"/>
        <v>N/A</v>
      </c>
      <c r="EF706" s="56">
        <v>692</v>
      </c>
      <c r="EG706" s="46">
        <f t="shared" si="816"/>
        <v>0</v>
      </c>
      <c r="EH706" s="68" t="e">
        <f t="shared" si="817"/>
        <v>#N/A</v>
      </c>
      <c r="EI706" s="68" t="e">
        <f t="shared" si="818"/>
        <v>#N/A</v>
      </c>
      <c r="EJ706" s="68" t="e">
        <f t="shared" si="819"/>
        <v>#N/A</v>
      </c>
      <c r="EK706" s="68" t="e">
        <f t="shared" si="820"/>
        <v>#N/A</v>
      </c>
      <c r="EL706" s="46">
        <f t="shared" si="821"/>
        <v>0</v>
      </c>
      <c r="EM706" s="46">
        <f t="shared" si="822"/>
        <v>0</v>
      </c>
    </row>
    <row r="707" spans="1:143">
      <c r="A707" s="89"/>
      <c r="B707" s="89"/>
      <c r="C707" s="89"/>
      <c r="D707" s="89"/>
      <c r="E707" s="89"/>
      <c r="F707" s="89"/>
      <c r="G707" s="34"/>
      <c r="H707" s="56">
        <f t="shared" si="823"/>
        <v>693</v>
      </c>
      <c r="I707" s="165"/>
      <c r="J707" s="163"/>
      <c r="K707" s="163"/>
      <c r="L707" s="164"/>
      <c r="M707" s="155"/>
      <c r="N707" s="155"/>
      <c r="O707" s="144"/>
      <c r="P707" s="159" t="str">
        <f>IFERROR(IF(O707&lt;&gt;"User Specified",IF(O707&lt;&gt;"", INDEX('Refrigerant GWPs'!$G$2:$G$154,MATCH(O707,'Refrigerant GWPs'!$A$2:$A$154,0)),""),U707),0)</f>
        <v/>
      </c>
      <c r="Q707" s="155"/>
      <c r="R707" s="155"/>
      <c r="S707" s="144"/>
      <c r="T707" s="159" t="str">
        <f>IF(S707&lt;&gt;"User Specified",IF(AND(S707&lt;&gt;"User Specified",S707&lt;&gt;""), INDEX('Refrigerant GWPs'!$G$2:$G$154,MATCH(S707,'Refrigerant GWPs'!$A$2:$A$154,0)),""),V707)</f>
        <v/>
      </c>
      <c r="U707" s="144"/>
      <c r="V707" s="144"/>
      <c r="W707" s="155"/>
      <c r="X707" s="155"/>
      <c r="Y707" s="144"/>
      <c r="Z707" s="159" t="str">
        <f>IF(AND(Y707&lt;&gt;"User Specified",Y707&lt;&gt;""), INDEX('Refrigerant GWPs'!$G$2:$G$154,MATCH(Y707,'Refrigerant GWPs'!$A$2:$A$154,0)),"")</f>
        <v/>
      </c>
      <c r="AA707" s="155"/>
      <c r="AB707" s="156"/>
      <c r="AC707" s="66"/>
      <c r="AD707" s="66"/>
      <c r="AE707" s="66"/>
      <c r="AF707" s="66"/>
      <c r="AG707" s="66"/>
      <c r="AH707" s="66"/>
      <c r="AI707" s="34"/>
      <c r="AJ707" s="88">
        <f t="shared" si="786"/>
        <v>0</v>
      </c>
      <c r="AK707" s="88">
        <f t="shared" si="787"/>
        <v>0</v>
      </c>
      <c r="AL707" s="88">
        <v>0</v>
      </c>
      <c r="AM707" s="88">
        <v>0</v>
      </c>
      <c r="AN707" s="81" t="str">
        <f t="shared" si="825"/>
        <v/>
      </c>
      <c r="AO707" s="88">
        <f t="shared" si="788"/>
        <v>0</v>
      </c>
      <c r="AP707" s="88">
        <f t="shared" si="789"/>
        <v>0</v>
      </c>
      <c r="AQ707" s="81" t="str">
        <f t="shared" si="790"/>
        <v/>
      </c>
      <c r="AS707" s="41" t="b">
        <f t="shared" si="791"/>
        <v>1</v>
      </c>
      <c r="AT707" s="38">
        <f t="shared" si="792"/>
        <v>0</v>
      </c>
      <c r="AU707" s="60">
        <f t="shared" si="793"/>
        <v>0</v>
      </c>
      <c r="AV707" s="41">
        <f t="shared" si="794"/>
        <v>0</v>
      </c>
      <c r="AW707" s="41" t="b">
        <f t="shared" si="795"/>
        <v>0</v>
      </c>
      <c r="AX707" t="str">
        <f t="shared" si="796"/>
        <v>+00</v>
      </c>
      <c r="AY707" t="str">
        <f t="shared" si="797"/>
        <v>+00</v>
      </c>
      <c r="BA707" s="47" t="b">
        <f t="shared" si="826"/>
        <v>1</v>
      </c>
      <c r="BB707" s="42" t="b">
        <f t="shared" si="827"/>
        <v>1</v>
      </c>
      <c r="BC707" s="42" t="b">
        <f t="shared" si="828"/>
        <v>0</v>
      </c>
      <c r="BD707" s="42" t="b">
        <f t="shared" si="829"/>
        <v>0</v>
      </c>
      <c r="BE707" s="70">
        <f t="shared" si="830"/>
        <v>0</v>
      </c>
      <c r="BF707" s="70">
        <f t="shared" si="831"/>
        <v>0</v>
      </c>
      <c r="BG707" s="34"/>
      <c r="BI707" s="47" t="b">
        <f t="shared" si="832"/>
        <v>1</v>
      </c>
      <c r="BJ707" s="47" t="b">
        <f t="shared" si="833"/>
        <v>1</v>
      </c>
      <c r="BK707" s="42" t="b">
        <f t="shared" si="834"/>
        <v>0</v>
      </c>
      <c r="BL707" s="42" t="b">
        <f t="shared" si="835"/>
        <v>0</v>
      </c>
      <c r="BM707" s="42">
        <f t="shared" si="836"/>
        <v>0</v>
      </c>
      <c r="BN707" s="42">
        <f t="shared" si="837"/>
        <v>0</v>
      </c>
      <c r="BP707" t="e">
        <f t="shared" si="838"/>
        <v>#N/A</v>
      </c>
      <c r="BQ707" t="e">
        <f t="shared" si="839"/>
        <v>#N/A</v>
      </c>
      <c r="BR707" t="e">
        <f t="shared" si="840"/>
        <v>#N/A</v>
      </c>
      <c r="BT707" s="60">
        <f t="shared" si="841"/>
        <v>0</v>
      </c>
      <c r="BU707" s="60">
        <f t="shared" si="842"/>
        <v>0</v>
      </c>
      <c r="BV707" s="60">
        <f t="shared" si="843"/>
        <v>0</v>
      </c>
      <c r="BW707" s="60">
        <f t="shared" si="844"/>
        <v>0</v>
      </c>
      <c r="BX707" s="60">
        <f t="shared" si="845"/>
        <v>0</v>
      </c>
      <c r="BY707" s="60">
        <f t="shared" si="846"/>
        <v>0</v>
      </c>
      <c r="BZ707" s="60">
        <f t="shared" si="847"/>
        <v>0</v>
      </c>
      <c r="CA707" s="60">
        <f t="shared" si="848"/>
        <v>0</v>
      </c>
      <c r="CB707" s="60" t="e">
        <f t="shared" si="798"/>
        <v>#N/A</v>
      </c>
      <c r="CC707" s="60">
        <f t="shared" si="799"/>
        <v>100000</v>
      </c>
      <c r="CD707" s="60" t="e">
        <f t="shared" si="800"/>
        <v>#N/A</v>
      </c>
      <c r="CE707" s="60">
        <f t="shared" si="801"/>
        <v>100000</v>
      </c>
      <c r="CF707" s="83" t="e">
        <f t="shared" si="849"/>
        <v>#N/A</v>
      </c>
      <c r="CG707" s="83">
        <f t="shared" si="850"/>
        <v>0</v>
      </c>
      <c r="CH707" s="83" t="e">
        <f t="shared" si="851"/>
        <v>#N/A</v>
      </c>
      <c r="CI707" s="83">
        <f t="shared" si="852"/>
        <v>0</v>
      </c>
      <c r="CJ707" s="86" t="e">
        <f t="shared" si="802"/>
        <v>#N/A</v>
      </c>
      <c r="CK707" s="82">
        <f t="shared" si="803"/>
        <v>5.3070370403969858E-3</v>
      </c>
      <c r="CL707" s="82" t="e">
        <f t="shared" si="804"/>
        <v>#N/A</v>
      </c>
      <c r="CM707" s="82">
        <f t="shared" si="805"/>
        <v>5.3070370403969858E-3</v>
      </c>
      <c r="CO707" s="149" t="str">
        <f>IF($I707&lt;&gt;"",IF(O707="User Specified",U707,INDEX('Refrigerant GWPs'!$G$2:$G$156,MATCH(O707,'Refrigerant GWPs'!$A$2:$A$156,0))),"")</f>
        <v/>
      </c>
      <c r="CP707" s="138" t="str">
        <f>IF($I707&lt;&gt;"",INDEX('Device Refrigerant Leakage'!$E$2:$E$42,MATCH($M707,'Device Refrigerant Leakage'!$B$2:$B$42,0)),"")</f>
        <v/>
      </c>
      <c r="CQ707" s="138" t="str">
        <f>IF($I707&lt;&gt;"",INDEX('Device Refrigerant Leakage'!$F$2:$F$42,MATCH($M707,'Device Refrigerant Leakage'!$B$2:$B$42,0)),"")</f>
        <v/>
      </c>
      <c r="CR707" s="145" t="str">
        <f>IF($I707&lt;&gt;"",INDEX('Device Refrigerant Leakage'!$G$2:$G$42,MATCH($M707,'Device Refrigerant Leakage'!$B$2:$B$42,0)),"")</f>
        <v/>
      </c>
      <c r="CS707" s="145" t="str">
        <f>IF($I707&lt;&gt;"",INDEX('Device Refrigerant Leakage'!$D$2:$D$42,MATCH($M707,'Device Refrigerant Leakage'!$B$2:$B$42,0))*CP707/2204.62*CO707,"")</f>
        <v/>
      </c>
      <c r="CT707" s="145" t="str">
        <f>IF($I707&lt;&gt;"",J707*(INDEX('Device Refrigerant Leakage'!$D$2:$D$42,MATCH($M707,'Device Refrigerant Leakage'!$B$2:$B$42,0))-(INDEX('Device Refrigerant Leakage'!$D$2:$D$42,MATCH($M707,'Device Refrigerant Leakage'!$B$2:$B$42,0)))*CR707*CP707)*CQ707/2204.62*CO707,"")</f>
        <v/>
      </c>
      <c r="CU707" s="135" t="str">
        <f>IF($I707&lt;&gt;"",J707*IF(W707&lt;&gt;"AR",(CS707*K707)+CT707,(CS707*AB707)+CT707*(AB707/INDEX('Device Refrigerant Leakage'!$C$2:$C$42,MATCH($M707,'Device Refrigerant Leakage'!$B$2:$B$42,0)))),"")</f>
        <v/>
      </c>
      <c r="CW707" s="135" t="str">
        <f>IF($I707&lt;&gt;"",IF(S707="User Specified",V707,INDEX('Refrigerant GWPs'!$G$2:$G$156,MATCH(S707,'Refrigerant GWPs'!$A$2:$A$157,0))),"")</f>
        <v/>
      </c>
      <c r="CX707" s="138" t="str">
        <f>IF($I707&lt;&gt;"",INDEX('Device Refrigerant Leakage'!$E$2:$E$42,MATCH($Q707,'Device Refrigerant Leakage'!$B$2:$B$42,0)),"")</f>
        <v/>
      </c>
      <c r="CY707" s="138" t="str">
        <f>IF($I707&lt;&gt;"",INDEX('Device Refrigerant Leakage'!$F$2:$F$42,MATCH($Q707,'Device Refrigerant Leakage'!$B$2:$B$42,0)),"")</f>
        <v/>
      </c>
      <c r="CZ707" s="145" t="str">
        <f>IF($I707&lt;&gt;"",INDEX('Device Refrigerant Leakage'!$G$2:$G$42,MATCH($Q707,'Device Refrigerant Leakage'!$B$2:$B$42,0)),"")</f>
        <v/>
      </c>
      <c r="DA707" s="145" t="str">
        <f>IF($I707&lt;&gt;"",J707*INDEX('Device Refrigerant Leakage'!$D$2:$D$42,MATCH($Q707,'Device Refrigerant Leakage'!$B$2:$B$42,0))*CX707/2204.62*CW707,"")</f>
        <v/>
      </c>
      <c r="DB707" s="145" t="str">
        <f>IF($I707&lt;&gt;"",J707*(INDEX('Device Refrigerant Leakage'!$D$2:$D$42,MATCH($Q707,'Device Refrigerant Leakage'!$B$2:$B$42,0))-(INDEX('Device Refrigerant Leakage'!$D$2:$D$42,MATCH($Q707,'Device Refrigerant Leakage'!$B$2:$B$42,0)))*CZ707*CX707)*CY707/2204.62*CW707,"")</f>
        <v/>
      </c>
      <c r="DC707" s="135" t="str">
        <f t="shared" si="824"/>
        <v/>
      </c>
      <c r="DE707" s="146" t="str">
        <f>IF(W707&lt;&gt;"AR","",IF(Y707="User Specified", AA707, INDEX('Refrigerant GWPs'!$G$2:$G$154,MATCH(Y707,'Refrigerant GWPs'!$A$2:$A$154,0))))</f>
        <v/>
      </c>
      <c r="DF707" s="146" t="str">
        <f>IF(W707&lt;&gt;"AR","",INDEX('Device Refrigerant Leakage'!$E$2:$E$42,MATCH(X707,'Device Refrigerant Leakage'!$B$2:$B$42,0)))</f>
        <v/>
      </c>
      <c r="DG707" s="146" t="str">
        <f>IF(W707&lt;&gt;"AR","",INDEX('Device Refrigerant Leakage'!$F$2:$F$42,MATCH(X707,'Device Refrigerant Leakage'!$B$2:$B$42,0)))</f>
        <v/>
      </c>
      <c r="DH707" s="146" t="str">
        <f>IF(W707&lt;&gt;"AR","",INDEX('Device Refrigerant Leakage'!$G$2:$G$42,MATCH(X707,'Device Refrigerant Leakage'!$B$2:$B$42,0)))</f>
        <v/>
      </c>
      <c r="DI707" s="146" t="str">
        <f>IF(W707&lt;&gt;"AR","",J707*INDEX('Device Refrigerant Leakage'!$D$2:$D$42,MATCH(X707,'Device Refrigerant Leakage'!$B$2:$B$42,0))*DF707/2204.62*DE707)</f>
        <v/>
      </c>
      <c r="DJ707" s="146" t="str">
        <f>IF(W707&lt;&gt;"AR","",J707*(INDEX('Device Refrigerant Leakage'!$D$2:$D$42,MATCH(X707,'Device Refrigerant Leakage'!$B$2:$B$42,0))-(INDEX('Device Refrigerant Leakage'!$D$2:$D$42,MATCH(X707,'Device Refrigerant Leakage'!$B$2:$B$42,0)))*DH707*DF707)*DG707/2204.62*DE707)</f>
        <v/>
      </c>
      <c r="DK707" s="146" t="str">
        <f>IF(W707&lt;&gt;"AR","",DI707*(K707-AB707)+'Fuel Sub Calcs-Deemed'!DJ707*((K707-AB707)/INDEX('Device Refrigerant Leakage'!$C$2:$C$42,MATCH('Fuel Sub Calcs-Deemed'!X707,'Device Refrigerant Leakage'!$B$2:$B$42,0))))</f>
        <v/>
      </c>
      <c r="DM707" s="56">
        <v>693</v>
      </c>
      <c r="DN707" s="67" t="e">
        <f t="shared" si="806"/>
        <v>#N/A</v>
      </c>
      <c r="DO707" s="45" t="e">
        <f t="shared" si="807"/>
        <v>#N/A</v>
      </c>
      <c r="DP707" s="67" t="e">
        <f t="shared" si="808"/>
        <v>#N/A</v>
      </c>
      <c r="DQ707" s="45" t="e">
        <f t="shared" si="809"/>
        <v>#N/A</v>
      </c>
      <c r="DR707" s="69" t="e">
        <f t="shared" si="810"/>
        <v>#N/A</v>
      </c>
      <c r="DS707" s="34"/>
      <c r="DT707" s="67" t="e">
        <f>((BX707*CJ707)+IF($W707=MAT_AR,(BZ707*CL707),0))*(1+Reference!$E$50+Reference!$E$51)</f>
        <v>#N/A</v>
      </c>
      <c r="DU707" s="67">
        <f>((BY707*CK707)+IF($W707=MAT_AR,(CA707*CM707),0))*(1+Reference!$G$50+Reference!$G$51)</f>
        <v>0</v>
      </c>
      <c r="DV707" s="67" t="e">
        <f t="shared" si="811"/>
        <v>#VALUE!</v>
      </c>
      <c r="DX707" s="56">
        <v>693</v>
      </c>
      <c r="DY707" s="67">
        <f t="shared" si="812"/>
        <v>0</v>
      </c>
      <c r="DZ707" s="45" t="e">
        <f>VLOOKUP($R707,Dropdown!$C$3:$D$4,2,FALSE)</f>
        <v>#N/A</v>
      </c>
      <c r="EA707" s="68">
        <f t="shared" si="813"/>
        <v>0</v>
      </c>
      <c r="EB707" s="68" t="str">
        <f t="shared" si="814"/>
        <v>N/A</v>
      </c>
      <c r="EC707" s="68">
        <f t="shared" si="815"/>
        <v>0</v>
      </c>
      <c r="ED707" s="68" t="str">
        <f t="shared" si="853"/>
        <v>N/A</v>
      </c>
      <c r="EF707" s="56">
        <v>693</v>
      </c>
      <c r="EG707" s="46">
        <f t="shared" si="816"/>
        <v>0</v>
      </c>
      <c r="EH707" s="68" t="e">
        <f t="shared" si="817"/>
        <v>#N/A</v>
      </c>
      <c r="EI707" s="68" t="e">
        <f t="shared" si="818"/>
        <v>#N/A</v>
      </c>
      <c r="EJ707" s="68" t="e">
        <f t="shared" si="819"/>
        <v>#N/A</v>
      </c>
      <c r="EK707" s="68" t="e">
        <f t="shared" si="820"/>
        <v>#N/A</v>
      </c>
      <c r="EL707" s="46">
        <f t="shared" si="821"/>
        <v>0</v>
      </c>
      <c r="EM707" s="46">
        <f t="shared" si="822"/>
        <v>0</v>
      </c>
    </row>
    <row r="708" spans="1:143">
      <c r="A708" s="89"/>
      <c r="B708" s="89"/>
      <c r="C708" s="89"/>
      <c r="D708" s="89"/>
      <c r="E708" s="89"/>
      <c r="F708" s="89"/>
      <c r="G708" s="34"/>
      <c r="H708" s="56">
        <f t="shared" si="823"/>
        <v>694</v>
      </c>
      <c r="I708" s="165"/>
      <c r="J708" s="163"/>
      <c r="K708" s="163"/>
      <c r="L708" s="164"/>
      <c r="M708" s="155"/>
      <c r="N708" s="155"/>
      <c r="O708" s="144"/>
      <c r="P708" s="159" t="str">
        <f>IFERROR(IF(O708&lt;&gt;"User Specified",IF(O708&lt;&gt;"", INDEX('Refrigerant GWPs'!$G$2:$G$154,MATCH(O708,'Refrigerant GWPs'!$A$2:$A$154,0)),""),U708),0)</f>
        <v/>
      </c>
      <c r="Q708" s="155"/>
      <c r="R708" s="155"/>
      <c r="S708" s="144"/>
      <c r="T708" s="159" t="str">
        <f>IF(S708&lt;&gt;"User Specified",IF(AND(S708&lt;&gt;"User Specified",S708&lt;&gt;""), INDEX('Refrigerant GWPs'!$G$2:$G$154,MATCH(S708,'Refrigerant GWPs'!$A$2:$A$154,0)),""),V708)</f>
        <v/>
      </c>
      <c r="U708" s="144"/>
      <c r="V708" s="144"/>
      <c r="W708" s="155"/>
      <c r="X708" s="155"/>
      <c r="Y708" s="144"/>
      <c r="Z708" s="159" t="str">
        <f>IF(AND(Y708&lt;&gt;"User Specified",Y708&lt;&gt;""), INDEX('Refrigerant GWPs'!$G$2:$G$154,MATCH(Y708,'Refrigerant GWPs'!$A$2:$A$154,0)),"")</f>
        <v/>
      </c>
      <c r="AA708" s="155"/>
      <c r="AB708" s="156"/>
      <c r="AC708" s="66"/>
      <c r="AD708" s="66"/>
      <c r="AE708" s="66"/>
      <c r="AF708" s="66"/>
      <c r="AG708" s="66"/>
      <c r="AH708" s="66"/>
      <c r="AI708" s="34"/>
      <c r="AJ708" s="88">
        <f t="shared" si="786"/>
        <v>0</v>
      </c>
      <c r="AK708" s="88">
        <f t="shared" si="787"/>
        <v>0</v>
      </c>
      <c r="AL708" s="88">
        <v>0</v>
      </c>
      <c r="AM708" s="88">
        <v>0</v>
      </c>
      <c r="AN708" s="81" t="str">
        <f t="shared" si="825"/>
        <v/>
      </c>
      <c r="AO708" s="88">
        <f t="shared" si="788"/>
        <v>0</v>
      </c>
      <c r="AP708" s="88">
        <f t="shared" si="789"/>
        <v>0</v>
      </c>
      <c r="AQ708" s="81" t="str">
        <f t="shared" si="790"/>
        <v/>
      </c>
      <c r="AS708" s="41" t="b">
        <f t="shared" si="791"/>
        <v>1</v>
      </c>
      <c r="AT708" s="38">
        <f t="shared" si="792"/>
        <v>0</v>
      </c>
      <c r="AU708" s="60">
        <f t="shared" si="793"/>
        <v>0</v>
      </c>
      <c r="AV708" s="41">
        <f t="shared" si="794"/>
        <v>0</v>
      </c>
      <c r="AW708" s="41" t="b">
        <f t="shared" si="795"/>
        <v>0</v>
      </c>
      <c r="AX708" t="str">
        <f t="shared" si="796"/>
        <v>+00</v>
      </c>
      <c r="AY708" t="str">
        <f t="shared" si="797"/>
        <v>+00</v>
      </c>
      <c r="BA708" s="47" t="b">
        <f t="shared" si="826"/>
        <v>1</v>
      </c>
      <c r="BB708" s="42" t="b">
        <f t="shared" si="827"/>
        <v>1</v>
      </c>
      <c r="BC708" s="42" t="b">
        <f t="shared" si="828"/>
        <v>0</v>
      </c>
      <c r="BD708" s="42" t="b">
        <f t="shared" si="829"/>
        <v>0</v>
      </c>
      <c r="BE708" s="70">
        <f t="shared" si="830"/>
        <v>0</v>
      </c>
      <c r="BF708" s="70">
        <f t="shared" si="831"/>
        <v>0</v>
      </c>
      <c r="BG708" s="34"/>
      <c r="BI708" s="47" t="b">
        <f t="shared" si="832"/>
        <v>1</v>
      </c>
      <c r="BJ708" s="47" t="b">
        <f t="shared" si="833"/>
        <v>1</v>
      </c>
      <c r="BK708" s="42" t="b">
        <f t="shared" si="834"/>
        <v>0</v>
      </c>
      <c r="BL708" s="42" t="b">
        <f t="shared" si="835"/>
        <v>0</v>
      </c>
      <c r="BM708" s="42">
        <f t="shared" si="836"/>
        <v>0</v>
      </c>
      <c r="BN708" s="42">
        <f t="shared" si="837"/>
        <v>0</v>
      </c>
      <c r="BP708" t="e">
        <f t="shared" si="838"/>
        <v>#N/A</v>
      </c>
      <c r="BQ708" t="e">
        <f t="shared" si="839"/>
        <v>#N/A</v>
      </c>
      <c r="BR708" t="e">
        <f t="shared" si="840"/>
        <v>#N/A</v>
      </c>
      <c r="BT708" s="60">
        <f t="shared" si="841"/>
        <v>0</v>
      </c>
      <c r="BU708" s="60">
        <f t="shared" si="842"/>
        <v>0</v>
      </c>
      <c r="BV708" s="60">
        <f t="shared" si="843"/>
        <v>0</v>
      </c>
      <c r="BW708" s="60">
        <f t="shared" si="844"/>
        <v>0</v>
      </c>
      <c r="BX708" s="60">
        <f t="shared" si="845"/>
        <v>0</v>
      </c>
      <c r="BY708" s="60">
        <f t="shared" si="846"/>
        <v>0</v>
      </c>
      <c r="BZ708" s="60">
        <f t="shared" si="847"/>
        <v>0</v>
      </c>
      <c r="CA708" s="60">
        <f t="shared" si="848"/>
        <v>0</v>
      </c>
      <c r="CB708" s="60" t="e">
        <f t="shared" si="798"/>
        <v>#N/A</v>
      </c>
      <c r="CC708" s="60">
        <f t="shared" si="799"/>
        <v>100000</v>
      </c>
      <c r="CD708" s="60" t="e">
        <f t="shared" si="800"/>
        <v>#N/A</v>
      </c>
      <c r="CE708" s="60">
        <f t="shared" si="801"/>
        <v>100000</v>
      </c>
      <c r="CF708" s="83" t="e">
        <f t="shared" si="849"/>
        <v>#N/A</v>
      </c>
      <c r="CG708" s="83">
        <f t="shared" si="850"/>
        <v>0</v>
      </c>
      <c r="CH708" s="83" t="e">
        <f t="shared" si="851"/>
        <v>#N/A</v>
      </c>
      <c r="CI708" s="83">
        <f t="shared" si="852"/>
        <v>0</v>
      </c>
      <c r="CJ708" s="86" t="e">
        <f t="shared" si="802"/>
        <v>#N/A</v>
      </c>
      <c r="CK708" s="82">
        <f t="shared" si="803"/>
        <v>5.3070370403969858E-3</v>
      </c>
      <c r="CL708" s="82" t="e">
        <f t="shared" si="804"/>
        <v>#N/A</v>
      </c>
      <c r="CM708" s="82">
        <f t="shared" si="805"/>
        <v>5.3070370403969858E-3</v>
      </c>
      <c r="CO708" s="149" t="str">
        <f>IF($I708&lt;&gt;"",IF(O708="User Specified",U708,INDEX('Refrigerant GWPs'!$G$2:$G$156,MATCH(O708,'Refrigerant GWPs'!$A$2:$A$156,0))),"")</f>
        <v/>
      </c>
      <c r="CP708" s="138" t="str">
        <f>IF($I708&lt;&gt;"",INDEX('Device Refrigerant Leakage'!$E$2:$E$42,MATCH($M708,'Device Refrigerant Leakage'!$B$2:$B$42,0)),"")</f>
        <v/>
      </c>
      <c r="CQ708" s="138" t="str">
        <f>IF($I708&lt;&gt;"",INDEX('Device Refrigerant Leakage'!$F$2:$F$42,MATCH($M708,'Device Refrigerant Leakage'!$B$2:$B$42,0)),"")</f>
        <v/>
      </c>
      <c r="CR708" s="145" t="str">
        <f>IF($I708&lt;&gt;"",INDEX('Device Refrigerant Leakage'!$G$2:$G$42,MATCH($M708,'Device Refrigerant Leakage'!$B$2:$B$42,0)),"")</f>
        <v/>
      </c>
      <c r="CS708" s="145" t="str">
        <f>IF($I708&lt;&gt;"",INDEX('Device Refrigerant Leakage'!$D$2:$D$42,MATCH($M708,'Device Refrigerant Leakage'!$B$2:$B$42,0))*CP708/2204.62*CO708,"")</f>
        <v/>
      </c>
      <c r="CT708" s="145" t="str">
        <f>IF($I708&lt;&gt;"",J708*(INDEX('Device Refrigerant Leakage'!$D$2:$D$42,MATCH($M708,'Device Refrigerant Leakage'!$B$2:$B$42,0))-(INDEX('Device Refrigerant Leakage'!$D$2:$D$42,MATCH($M708,'Device Refrigerant Leakage'!$B$2:$B$42,0)))*CR708*CP708)*CQ708/2204.62*CO708,"")</f>
        <v/>
      </c>
      <c r="CU708" s="135" t="str">
        <f>IF($I708&lt;&gt;"",J708*IF(W708&lt;&gt;"AR",(CS708*K708)+CT708,(CS708*AB708)+CT708*(AB708/INDEX('Device Refrigerant Leakage'!$C$2:$C$42,MATCH($M708,'Device Refrigerant Leakage'!$B$2:$B$42,0)))),"")</f>
        <v/>
      </c>
      <c r="CW708" s="135" t="str">
        <f>IF($I708&lt;&gt;"",IF(S708="User Specified",V708,INDEX('Refrigerant GWPs'!$G$2:$G$156,MATCH(S708,'Refrigerant GWPs'!$A$2:$A$157,0))),"")</f>
        <v/>
      </c>
      <c r="CX708" s="138" t="str">
        <f>IF($I708&lt;&gt;"",INDEX('Device Refrigerant Leakage'!$E$2:$E$42,MATCH($Q708,'Device Refrigerant Leakage'!$B$2:$B$42,0)),"")</f>
        <v/>
      </c>
      <c r="CY708" s="138" t="str">
        <f>IF($I708&lt;&gt;"",INDEX('Device Refrigerant Leakage'!$F$2:$F$42,MATCH($Q708,'Device Refrigerant Leakage'!$B$2:$B$42,0)),"")</f>
        <v/>
      </c>
      <c r="CZ708" s="145" t="str">
        <f>IF($I708&lt;&gt;"",INDEX('Device Refrigerant Leakage'!$G$2:$G$42,MATCH($Q708,'Device Refrigerant Leakage'!$B$2:$B$42,0)),"")</f>
        <v/>
      </c>
      <c r="DA708" s="145" t="str">
        <f>IF($I708&lt;&gt;"",J708*INDEX('Device Refrigerant Leakage'!$D$2:$D$42,MATCH($Q708,'Device Refrigerant Leakage'!$B$2:$B$42,0))*CX708/2204.62*CW708,"")</f>
        <v/>
      </c>
      <c r="DB708" s="145" t="str">
        <f>IF($I708&lt;&gt;"",J708*(INDEX('Device Refrigerant Leakage'!$D$2:$D$42,MATCH($Q708,'Device Refrigerant Leakage'!$B$2:$B$42,0))-(INDEX('Device Refrigerant Leakage'!$D$2:$D$42,MATCH($Q708,'Device Refrigerant Leakage'!$B$2:$B$42,0)))*CZ708*CX708)*CY708/2204.62*CW708,"")</f>
        <v/>
      </c>
      <c r="DC708" s="135" t="str">
        <f t="shared" si="824"/>
        <v/>
      </c>
      <c r="DE708" s="146" t="str">
        <f>IF(W708&lt;&gt;"AR","",IF(Y708="User Specified", AA708, INDEX('Refrigerant GWPs'!$G$2:$G$154,MATCH(Y708,'Refrigerant GWPs'!$A$2:$A$154,0))))</f>
        <v/>
      </c>
      <c r="DF708" s="146" t="str">
        <f>IF(W708&lt;&gt;"AR","",INDEX('Device Refrigerant Leakage'!$E$2:$E$42,MATCH(X708,'Device Refrigerant Leakage'!$B$2:$B$42,0)))</f>
        <v/>
      </c>
      <c r="DG708" s="146" t="str">
        <f>IF(W708&lt;&gt;"AR","",INDEX('Device Refrigerant Leakage'!$F$2:$F$42,MATCH(X708,'Device Refrigerant Leakage'!$B$2:$B$42,0)))</f>
        <v/>
      </c>
      <c r="DH708" s="146" t="str">
        <f>IF(W708&lt;&gt;"AR","",INDEX('Device Refrigerant Leakage'!$G$2:$G$42,MATCH(X708,'Device Refrigerant Leakage'!$B$2:$B$42,0)))</f>
        <v/>
      </c>
      <c r="DI708" s="146" t="str">
        <f>IF(W708&lt;&gt;"AR","",J708*INDEX('Device Refrigerant Leakage'!$D$2:$D$42,MATCH(X708,'Device Refrigerant Leakage'!$B$2:$B$42,0))*DF708/2204.62*DE708)</f>
        <v/>
      </c>
      <c r="DJ708" s="146" t="str">
        <f>IF(W708&lt;&gt;"AR","",J708*(INDEX('Device Refrigerant Leakage'!$D$2:$D$42,MATCH(X708,'Device Refrigerant Leakage'!$B$2:$B$42,0))-(INDEX('Device Refrigerant Leakage'!$D$2:$D$42,MATCH(X708,'Device Refrigerant Leakage'!$B$2:$B$42,0)))*DH708*DF708)*DG708/2204.62*DE708)</f>
        <v/>
      </c>
      <c r="DK708" s="146" t="str">
        <f>IF(W708&lt;&gt;"AR","",DI708*(K708-AB708)+'Fuel Sub Calcs-Deemed'!DJ708*((K708-AB708)/INDEX('Device Refrigerant Leakage'!$C$2:$C$42,MATCH('Fuel Sub Calcs-Deemed'!X708,'Device Refrigerant Leakage'!$B$2:$B$42,0))))</f>
        <v/>
      </c>
      <c r="DM708" s="56">
        <v>694</v>
      </c>
      <c r="DN708" s="67" t="e">
        <f t="shared" si="806"/>
        <v>#N/A</v>
      </c>
      <c r="DO708" s="45" t="e">
        <f t="shared" si="807"/>
        <v>#N/A</v>
      </c>
      <c r="DP708" s="67" t="e">
        <f t="shared" si="808"/>
        <v>#N/A</v>
      </c>
      <c r="DQ708" s="45" t="e">
        <f t="shared" si="809"/>
        <v>#N/A</v>
      </c>
      <c r="DR708" s="69" t="e">
        <f t="shared" si="810"/>
        <v>#N/A</v>
      </c>
      <c r="DS708" s="34"/>
      <c r="DT708" s="67" t="e">
        <f>((BX708*CJ708)+IF($W708=MAT_AR,(BZ708*CL708),0))*(1+Reference!$E$50+Reference!$E$51)</f>
        <v>#N/A</v>
      </c>
      <c r="DU708" s="67">
        <f>((BY708*CK708)+IF($W708=MAT_AR,(CA708*CM708),0))*(1+Reference!$G$50+Reference!$G$51)</f>
        <v>0</v>
      </c>
      <c r="DV708" s="67" t="e">
        <f t="shared" si="811"/>
        <v>#VALUE!</v>
      </c>
      <c r="DX708" s="56">
        <v>694</v>
      </c>
      <c r="DY708" s="67">
        <f t="shared" si="812"/>
        <v>0</v>
      </c>
      <c r="DZ708" s="45" t="e">
        <f>VLOOKUP($R708,Dropdown!$C$3:$D$4,2,FALSE)</f>
        <v>#N/A</v>
      </c>
      <c r="EA708" s="68">
        <f t="shared" si="813"/>
        <v>0</v>
      </c>
      <c r="EB708" s="68" t="str">
        <f t="shared" si="814"/>
        <v>N/A</v>
      </c>
      <c r="EC708" s="68">
        <f t="shared" si="815"/>
        <v>0</v>
      </c>
      <c r="ED708" s="68" t="str">
        <f t="shared" si="853"/>
        <v>N/A</v>
      </c>
      <c r="EF708" s="56">
        <v>694</v>
      </c>
      <c r="EG708" s="46">
        <f t="shared" si="816"/>
        <v>0</v>
      </c>
      <c r="EH708" s="68" t="e">
        <f t="shared" si="817"/>
        <v>#N/A</v>
      </c>
      <c r="EI708" s="68" t="e">
        <f t="shared" si="818"/>
        <v>#N/A</v>
      </c>
      <c r="EJ708" s="68" t="e">
        <f t="shared" si="819"/>
        <v>#N/A</v>
      </c>
      <c r="EK708" s="68" t="e">
        <f t="shared" si="820"/>
        <v>#N/A</v>
      </c>
      <c r="EL708" s="46">
        <f t="shared" si="821"/>
        <v>0</v>
      </c>
      <c r="EM708" s="46">
        <f t="shared" si="822"/>
        <v>0</v>
      </c>
    </row>
    <row r="709" spans="1:143">
      <c r="A709" s="89"/>
      <c r="B709" s="89"/>
      <c r="C709" s="89"/>
      <c r="D709" s="89"/>
      <c r="E709" s="89"/>
      <c r="F709" s="89"/>
      <c r="G709" s="34"/>
      <c r="H709" s="56">
        <f t="shared" si="823"/>
        <v>695</v>
      </c>
      <c r="I709" s="165"/>
      <c r="J709" s="163"/>
      <c r="K709" s="163"/>
      <c r="L709" s="164"/>
      <c r="M709" s="155"/>
      <c r="N709" s="155"/>
      <c r="O709" s="144"/>
      <c r="P709" s="159" t="str">
        <f>IFERROR(IF(O709&lt;&gt;"User Specified",IF(O709&lt;&gt;"", INDEX('Refrigerant GWPs'!$G$2:$G$154,MATCH(O709,'Refrigerant GWPs'!$A$2:$A$154,0)),""),U709),0)</f>
        <v/>
      </c>
      <c r="Q709" s="155"/>
      <c r="R709" s="155"/>
      <c r="S709" s="144"/>
      <c r="T709" s="159" t="str">
        <f>IF(S709&lt;&gt;"User Specified",IF(AND(S709&lt;&gt;"User Specified",S709&lt;&gt;""), INDEX('Refrigerant GWPs'!$G$2:$G$154,MATCH(S709,'Refrigerant GWPs'!$A$2:$A$154,0)),""),V709)</f>
        <v/>
      </c>
      <c r="U709" s="144"/>
      <c r="V709" s="144"/>
      <c r="W709" s="155"/>
      <c r="X709" s="155"/>
      <c r="Y709" s="144"/>
      <c r="Z709" s="159" t="str">
        <f>IF(AND(Y709&lt;&gt;"User Specified",Y709&lt;&gt;""), INDEX('Refrigerant GWPs'!$G$2:$G$154,MATCH(Y709,'Refrigerant GWPs'!$A$2:$A$154,0)),"")</f>
        <v/>
      </c>
      <c r="AA709" s="155"/>
      <c r="AB709" s="156"/>
      <c r="AC709" s="66"/>
      <c r="AD709" s="66"/>
      <c r="AE709" s="66"/>
      <c r="AF709" s="66"/>
      <c r="AG709" s="66"/>
      <c r="AH709" s="66"/>
      <c r="AI709" s="34"/>
      <c r="AJ709" s="88">
        <f t="shared" si="786"/>
        <v>0</v>
      </c>
      <c r="AK709" s="88">
        <f t="shared" si="787"/>
        <v>0</v>
      </c>
      <c r="AL709" s="88">
        <v>0</v>
      </c>
      <c r="AM709" s="88">
        <v>0</v>
      </c>
      <c r="AN709" s="81" t="str">
        <f t="shared" si="825"/>
        <v/>
      </c>
      <c r="AO709" s="88">
        <f t="shared" si="788"/>
        <v>0</v>
      </c>
      <c r="AP709" s="88">
        <f t="shared" si="789"/>
        <v>0</v>
      </c>
      <c r="AQ709" s="81" t="str">
        <f t="shared" si="790"/>
        <v/>
      </c>
      <c r="AS709" s="41" t="b">
        <f t="shared" si="791"/>
        <v>1</v>
      </c>
      <c r="AT709" s="38">
        <f t="shared" si="792"/>
        <v>0</v>
      </c>
      <c r="AU709" s="60">
        <f t="shared" si="793"/>
        <v>0</v>
      </c>
      <c r="AV709" s="41">
        <f t="shared" si="794"/>
        <v>0</v>
      </c>
      <c r="AW709" s="41" t="b">
        <f t="shared" si="795"/>
        <v>0</v>
      </c>
      <c r="AX709" t="str">
        <f t="shared" si="796"/>
        <v>+00</v>
      </c>
      <c r="AY709" t="str">
        <f t="shared" si="797"/>
        <v>+00</v>
      </c>
      <c r="BA709" s="47" t="b">
        <f t="shared" si="826"/>
        <v>1</v>
      </c>
      <c r="BB709" s="42" t="b">
        <f t="shared" si="827"/>
        <v>1</v>
      </c>
      <c r="BC709" s="42" t="b">
        <f t="shared" si="828"/>
        <v>0</v>
      </c>
      <c r="BD709" s="42" t="b">
        <f t="shared" si="829"/>
        <v>0</v>
      </c>
      <c r="BE709" s="70">
        <f t="shared" si="830"/>
        <v>0</v>
      </c>
      <c r="BF709" s="70">
        <f t="shared" si="831"/>
        <v>0</v>
      </c>
      <c r="BG709" s="34"/>
      <c r="BI709" s="47" t="b">
        <f t="shared" si="832"/>
        <v>1</v>
      </c>
      <c r="BJ709" s="47" t="b">
        <f t="shared" si="833"/>
        <v>1</v>
      </c>
      <c r="BK709" s="42" t="b">
        <f t="shared" si="834"/>
        <v>0</v>
      </c>
      <c r="BL709" s="42" t="b">
        <f t="shared" si="835"/>
        <v>0</v>
      </c>
      <c r="BM709" s="42">
        <f t="shared" si="836"/>
        <v>0</v>
      </c>
      <c r="BN709" s="42">
        <f t="shared" si="837"/>
        <v>0</v>
      </c>
      <c r="BP709" t="e">
        <f t="shared" si="838"/>
        <v>#N/A</v>
      </c>
      <c r="BQ709" t="e">
        <f t="shared" si="839"/>
        <v>#N/A</v>
      </c>
      <c r="BR709" t="e">
        <f t="shared" si="840"/>
        <v>#N/A</v>
      </c>
      <c r="BT709" s="60">
        <f t="shared" si="841"/>
        <v>0</v>
      </c>
      <c r="BU709" s="60">
        <f t="shared" si="842"/>
        <v>0</v>
      </c>
      <c r="BV709" s="60">
        <f t="shared" si="843"/>
        <v>0</v>
      </c>
      <c r="BW709" s="60">
        <f t="shared" si="844"/>
        <v>0</v>
      </c>
      <c r="BX709" s="60">
        <f t="shared" si="845"/>
        <v>0</v>
      </c>
      <c r="BY709" s="60">
        <f t="shared" si="846"/>
        <v>0</v>
      </c>
      <c r="BZ709" s="60">
        <f t="shared" si="847"/>
        <v>0</v>
      </c>
      <c r="CA709" s="60">
        <f t="shared" si="848"/>
        <v>0</v>
      </c>
      <c r="CB709" s="60" t="e">
        <f t="shared" si="798"/>
        <v>#N/A</v>
      </c>
      <c r="CC709" s="60">
        <f t="shared" si="799"/>
        <v>100000</v>
      </c>
      <c r="CD709" s="60" t="e">
        <f t="shared" si="800"/>
        <v>#N/A</v>
      </c>
      <c r="CE709" s="60">
        <f t="shared" si="801"/>
        <v>100000</v>
      </c>
      <c r="CF709" s="83" t="e">
        <f t="shared" si="849"/>
        <v>#N/A</v>
      </c>
      <c r="CG709" s="83">
        <f t="shared" si="850"/>
        <v>0</v>
      </c>
      <c r="CH709" s="83" t="e">
        <f t="shared" si="851"/>
        <v>#N/A</v>
      </c>
      <c r="CI709" s="83">
        <f t="shared" si="852"/>
        <v>0</v>
      </c>
      <c r="CJ709" s="86" t="e">
        <f t="shared" si="802"/>
        <v>#N/A</v>
      </c>
      <c r="CK709" s="82">
        <f t="shared" si="803"/>
        <v>5.3070370403969858E-3</v>
      </c>
      <c r="CL709" s="82" t="e">
        <f t="shared" si="804"/>
        <v>#N/A</v>
      </c>
      <c r="CM709" s="82">
        <f t="shared" si="805"/>
        <v>5.3070370403969858E-3</v>
      </c>
      <c r="CO709" s="149" t="str">
        <f>IF($I709&lt;&gt;"",IF(O709="User Specified",U709,INDEX('Refrigerant GWPs'!$G$2:$G$156,MATCH(O709,'Refrigerant GWPs'!$A$2:$A$156,0))),"")</f>
        <v/>
      </c>
      <c r="CP709" s="138" t="str">
        <f>IF($I709&lt;&gt;"",INDEX('Device Refrigerant Leakage'!$E$2:$E$42,MATCH($M709,'Device Refrigerant Leakage'!$B$2:$B$42,0)),"")</f>
        <v/>
      </c>
      <c r="CQ709" s="138" t="str">
        <f>IF($I709&lt;&gt;"",INDEX('Device Refrigerant Leakage'!$F$2:$F$42,MATCH($M709,'Device Refrigerant Leakage'!$B$2:$B$42,0)),"")</f>
        <v/>
      </c>
      <c r="CR709" s="145" t="str">
        <f>IF($I709&lt;&gt;"",INDEX('Device Refrigerant Leakage'!$G$2:$G$42,MATCH($M709,'Device Refrigerant Leakage'!$B$2:$B$42,0)),"")</f>
        <v/>
      </c>
      <c r="CS709" s="145" t="str">
        <f>IF($I709&lt;&gt;"",INDEX('Device Refrigerant Leakage'!$D$2:$D$42,MATCH($M709,'Device Refrigerant Leakage'!$B$2:$B$42,0))*CP709/2204.62*CO709,"")</f>
        <v/>
      </c>
      <c r="CT709" s="145" t="str">
        <f>IF($I709&lt;&gt;"",J709*(INDEX('Device Refrigerant Leakage'!$D$2:$D$42,MATCH($M709,'Device Refrigerant Leakage'!$B$2:$B$42,0))-(INDEX('Device Refrigerant Leakage'!$D$2:$D$42,MATCH($M709,'Device Refrigerant Leakage'!$B$2:$B$42,0)))*CR709*CP709)*CQ709/2204.62*CO709,"")</f>
        <v/>
      </c>
      <c r="CU709" s="135" t="str">
        <f>IF($I709&lt;&gt;"",J709*IF(W709&lt;&gt;"AR",(CS709*K709)+CT709,(CS709*AB709)+CT709*(AB709/INDEX('Device Refrigerant Leakage'!$C$2:$C$42,MATCH($M709,'Device Refrigerant Leakage'!$B$2:$B$42,0)))),"")</f>
        <v/>
      </c>
      <c r="CW709" s="135" t="str">
        <f>IF($I709&lt;&gt;"",IF(S709="User Specified",V709,INDEX('Refrigerant GWPs'!$G$2:$G$156,MATCH(S709,'Refrigerant GWPs'!$A$2:$A$157,0))),"")</f>
        <v/>
      </c>
      <c r="CX709" s="138" t="str">
        <f>IF($I709&lt;&gt;"",INDEX('Device Refrigerant Leakage'!$E$2:$E$42,MATCH($Q709,'Device Refrigerant Leakage'!$B$2:$B$42,0)),"")</f>
        <v/>
      </c>
      <c r="CY709" s="138" t="str">
        <f>IF($I709&lt;&gt;"",INDEX('Device Refrigerant Leakage'!$F$2:$F$42,MATCH($Q709,'Device Refrigerant Leakage'!$B$2:$B$42,0)),"")</f>
        <v/>
      </c>
      <c r="CZ709" s="145" t="str">
        <f>IF($I709&lt;&gt;"",INDEX('Device Refrigerant Leakage'!$G$2:$G$42,MATCH($Q709,'Device Refrigerant Leakage'!$B$2:$B$42,0)),"")</f>
        <v/>
      </c>
      <c r="DA709" s="145" t="str">
        <f>IF($I709&lt;&gt;"",J709*INDEX('Device Refrigerant Leakage'!$D$2:$D$42,MATCH($Q709,'Device Refrigerant Leakage'!$B$2:$B$42,0))*CX709/2204.62*CW709,"")</f>
        <v/>
      </c>
      <c r="DB709" s="145" t="str">
        <f>IF($I709&lt;&gt;"",J709*(INDEX('Device Refrigerant Leakage'!$D$2:$D$42,MATCH($Q709,'Device Refrigerant Leakage'!$B$2:$B$42,0))-(INDEX('Device Refrigerant Leakage'!$D$2:$D$42,MATCH($Q709,'Device Refrigerant Leakage'!$B$2:$B$42,0)))*CZ709*CX709)*CY709/2204.62*CW709,"")</f>
        <v/>
      </c>
      <c r="DC709" s="135" t="str">
        <f t="shared" si="824"/>
        <v/>
      </c>
      <c r="DE709" s="146" t="str">
        <f>IF(W709&lt;&gt;"AR","",IF(Y709="User Specified", AA709, INDEX('Refrigerant GWPs'!$G$2:$G$154,MATCH(Y709,'Refrigerant GWPs'!$A$2:$A$154,0))))</f>
        <v/>
      </c>
      <c r="DF709" s="146" t="str">
        <f>IF(W709&lt;&gt;"AR","",INDEX('Device Refrigerant Leakage'!$E$2:$E$42,MATCH(X709,'Device Refrigerant Leakage'!$B$2:$B$42,0)))</f>
        <v/>
      </c>
      <c r="DG709" s="146" t="str">
        <f>IF(W709&lt;&gt;"AR","",INDEX('Device Refrigerant Leakage'!$F$2:$F$42,MATCH(X709,'Device Refrigerant Leakage'!$B$2:$B$42,0)))</f>
        <v/>
      </c>
      <c r="DH709" s="146" t="str">
        <f>IF(W709&lt;&gt;"AR","",INDEX('Device Refrigerant Leakage'!$G$2:$G$42,MATCH(X709,'Device Refrigerant Leakage'!$B$2:$B$42,0)))</f>
        <v/>
      </c>
      <c r="DI709" s="146" t="str">
        <f>IF(W709&lt;&gt;"AR","",J709*INDEX('Device Refrigerant Leakage'!$D$2:$D$42,MATCH(X709,'Device Refrigerant Leakage'!$B$2:$B$42,0))*DF709/2204.62*DE709)</f>
        <v/>
      </c>
      <c r="DJ709" s="146" t="str">
        <f>IF(W709&lt;&gt;"AR","",J709*(INDEX('Device Refrigerant Leakage'!$D$2:$D$42,MATCH(X709,'Device Refrigerant Leakage'!$B$2:$B$42,0))-(INDEX('Device Refrigerant Leakage'!$D$2:$D$42,MATCH(X709,'Device Refrigerant Leakage'!$B$2:$B$42,0)))*DH709*DF709)*DG709/2204.62*DE709)</f>
        <v/>
      </c>
      <c r="DK709" s="146" t="str">
        <f>IF(W709&lt;&gt;"AR","",DI709*(K709-AB709)+'Fuel Sub Calcs-Deemed'!DJ709*((K709-AB709)/INDEX('Device Refrigerant Leakage'!$C$2:$C$42,MATCH('Fuel Sub Calcs-Deemed'!X709,'Device Refrigerant Leakage'!$B$2:$B$42,0))))</f>
        <v/>
      </c>
      <c r="DM709" s="56">
        <v>695</v>
      </c>
      <c r="DN709" s="67" t="e">
        <f t="shared" si="806"/>
        <v>#N/A</v>
      </c>
      <c r="DO709" s="45" t="e">
        <f t="shared" si="807"/>
        <v>#N/A</v>
      </c>
      <c r="DP709" s="67" t="e">
        <f t="shared" si="808"/>
        <v>#N/A</v>
      </c>
      <c r="DQ709" s="45" t="e">
        <f t="shared" si="809"/>
        <v>#N/A</v>
      </c>
      <c r="DR709" s="69" t="e">
        <f t="shared" si="810"/>
        <v>#N/A</v>
      </c>
      <c r="DS709" s="34"/>
      <c r="DT709" s="67" t="e">
        <f>((BX709*CJ709)+IF($W709=MAT_AR,(BZ709*CL709),0))*(1+Reference!$E$50+Reference!$E$51)</f>
        <v>#N/A</v>
      </c>
      <c r="DU709" s="67">
        <f>((BY709*CK709)+IF($W709=MAT_AR,(CA709*CM709),0))*(1+Reference!$G$50+Reference!$G$51)</f>
        <v>0</v>
      </c>
      <c r="DV709" s="67" t="e">
        <f t="shared" si="811"/>
        <v>#VALUE!</v>
      </c>
      <c r="DX709" s="56">
        <v>695</v>
      </c>
      <c r="DY709" s="67">
        <f t="shared" si="812"/>
        <v>0</v>
      </c>
      <c r="DZ709" s="45" t="e">
        <f>VLOOKUP($R709,Dropdown!$C$3:$D$4,2,FALSE)</f>
        <v>#N/A</v>
      </c>
      <c r="EA709" s="68">
        <f t="shared" si="813"/>
        <v>0</v>
      </c>
      <c r="EB709" s="68" t="str">
        <f t="shared" si="814"/>
        <v>N/A</v>
      </c>
      <c r="EC709" s="68">
        <f t="shared" si="815"/>
        <v>0</v>
      </c>
      <c r="ED709" s="68" t="str">
        <f t="shared" si="853"/>
        <v>N/A</v>
      </c>
      <c r="EF709" s="56">
        <v>695</v>
      </c>
      <c r="EG709" s="46">
        <f t="shared" si="816"/>
        <v>0</v>
      </c>
      <c r="EH709" s="68" t="e">
        <f t="shared" si="817"/>
        <v>#N/A</v>
      </c>
      <c r="EI709" s="68" t="e">
        <f t="shared" si="818"/>
        <v>#N/A</v>
      </c>
      <c r="EJ709" s="68" t="e">
        <f t="shared" si="819"/>
        <v>#N/A</v>
      </c>
      <c r="EK709" s="68" t="e">
        <f t="shared" si="820"/>
        <v>#N/A</v>
      </c>
      <c r="EL709" s="46">
        <f t="shared" si="821"/>
        <v>0</v>
      </c>
      <c r="EM709" s="46">
        <f t="shared" si="822"/>
        <v>0</v>
      </c>
    </row>
    <row r="710" spans="1:143">
      <c r="A710" s="89"/>
      <c r="B710" s="89"/>
      <c r="C710" s="89"/>
      <c r="D710" s="89"/>
      <c r="E710" s="89"/>
      <c r="F710" s="89"/>
      <c r="G710" s="34"/>
      <c r="H710" s="56">
        <f t="shared" si="823"/>
        <v>696</v>
      </c>
      <c r="I710" s="165"/>
      <c r="J710" s="163"/>
      <c r="K710" s="163"/>
      <c r="L710" s="164"/>
      <c r="M710" s="155"/>
      <c r="N710" s="155"/>
      <c r="O710" s="144"/>
      <c r="P710" s="159" t="str">
        <f>IFERROR(IF(O710&lt;&gt;"User Specified",IF(O710&lt;&gt;"", INDEX('Refrigerant GWPs'!$G$2:$G$154,MATCH(O710,'Refrigerant GWPs'!$A$2:$A$154,0)),""),U710),0)</f>
        <v/>
      </c>
      <c r="Q710" s="155"/>
      <c r="R710" s="155"/>
      <c r="S710" s="144"/>
      <c r="T710" s="159" t="str">
        <f>IF(S710&lt;&gt;"User Specified",IF(AND(S710&lt;&gt;"User Specified",S710&lt;&gt;""), INDEX('Refrigerant GWPs'!$G$2:$G$154,MATCH(S710,'Refrigerant GWPs'!$A$2:$A$154,0)),""),V710)</f>
        <v/>
      </c>
      <c r="U710" s="144"/>
      <c r="V710" s="144"/>
      <c r="W710" s="155"/>
      <c r="X710" s="155"/>
      <c r="Y710" s="144"/>
      <c r="Z710" s="159" t="str">
        <f>IF(AND(Y710&lt;&gt;"User Specified",Y710&lt;&gt;""), INDEX('Refrigerant GWPs'!$G$2:$G$154,MATCH(Y710,'Refrigerant GWPs'!$A$2:$A$154,0)),"")</f>
        <v/>
      </c>
      <c r="AA710" s="155"/>
      <c r="AB710" s="156"/>
      <c r="AC710" s="66"/>
      <c r="AD710" s="66"/>
      <c r="AE710" s="66"/>
      <c r="AF710" s="66"/>
      <c r="AG710" s="66"/>
      <c r="AH710" s="66"/>
      <c r="AI710" s="34"/>
      <c r="AJ710" s="88">
        <f t="shared" si="786"/>
        <v>0</v>
      </c>
      <c r="AK710" s="88">
        <f t="shared" si="787"/>
        <v>0</v>
      </c>
      <c r="AL710" s="88">
        <v>0</v>
      </c>
      <c r="AM710" s="88">
        <v>0</v>
      </c>
      <c r="AN710" s="81" t="str">
        <f t="shared" si="825"/>
        <v/>
      </c>
      <c r="AO710" s="88">
        <f t="shared" si="788"/>
        <v>0</v>
      </c>
      <c r="AP710" s="88">
        <f t="shared" si="789"/>
        <v>0</v>
      </c>
      <c r="AQ710" s="81" t="str">
        <f t="shared" si="790"/>
        <v/>
      </c>
      <c r="AS710" s="41" t="b">
        <f t="shared" si="791"/>
        <v>1</v>
      </c>
      <c r="AT710" s="38">
        <f t="shared" si="792"/>
        <v>0</v>
      </c>
      <c r="AU710" s="60">
        <f t="shared" si="793"/>
        <v>0</v>
      </c>
      <c r="AV710" s="41">
        <f t="shared" si="794"/>
        <v>0</v>
      </c>
      <c r="AW710" s="41" t="b">
        <f t="shared" si="795"/>
        <v>0</v>
      </c>
      <c r="AX710" t="str">
        <f t="shared" si="796"/>
        <v>+00</v>
      </c>
      <c r="AY710" t="str">
        <f t="shared" si="797"/>
        <v>+00</v>
      </c>
      <c r="BA710" s="47" t="b">
        <f t="shared" si="826"/>
        <v>1</v>
      </c>
      <c r="BB710" s="42" t="b">
        <f t="shared" si="827"/>
        <v>1</v>
      </c>
      <c r="BC710" s="42" t="b">
        <f t="shared" si="828"/>
        <v>0</v>
      </c>
      <c r="BD710" s="42" t="b">
        <f t="shared" si="829"/>
        <v>0</v>
      </c>
      <c r="BE710" s="70">
        <f t="shared" si="830"/>
        <v>0</v>
      </c>
      <c r="BF710" s="70">
        <f t="shared" si="831"/>
        <v>0</v>
      </c>
      <c r="BG710" s="34"/>
      <c r="BI710" s="47" t="b">
        <f t="shared" si="832"/>
        <v>1</v>
      </c>
      <c r="BJ710" s="47" t="b">
        <f t="shared" si="833"/>
        <v>1</v>
      </c>
      <c r="BK710" s="42" t="b">
        <f t="shared" si="834"/>
        <v>0</v>
      </c>
      <c r="BL710" s="42" t="b">
        <f t="shared" si="835"/>
        <v>0</v>
      </c>
      <c r="BM710" s="42">
        <f t="shared" si="836"/>
        <v>0</v>
      </c>
      <c r="BN710" s="42">
        <f t="shared" si="837"/>
        <v>0</v>
      </c>
      <c r="BP710" t="e">
        <f t="shared" si="838"/>
        <v>#N/A</v>
      </c>
      <c r="BQ710" t="e">
        <f t="shared" si="839"/>
        <v>#N/A</v>
      </c>
      <c r="BR710" t="e">
        <f t="shared" si="840"/>
        <v>#N/A</v>
      </c>
      <c r="BT710" s="60">
        <f t="shared" si="841"/>
        <v>0</v>
      </c>
      <c r="BU710" s="60">
        <f t="shared" si="842"/>
        <v>0</v>
      </c>
      <c r="BV710" s="60">
        <f t="shared" si="843"/>
        <v>0</v>
      </c>
      <c r="BW710" s="60">
        <f t="shared" si="844"/>
        <v>0</v>
      </c>
      <c r="BX710" s="60">
        <f t="shared" si="845"/>
        <v>0</v>
      </c>
      <c r="BY710" s="60">
        <f t="shared" si="846"/>
        <v>0</v>
      </c>
      <c r="BZ710" s="60">
        <f t="shared" si="847"/>
        <v>0</v>
      </c>
      <c r="CA710" s="60">
        <f t="shared" si="848"/>
        <v>0</v>
      </c>
      <c r="CB710" s="60" t="e">
        <f t="shared" si="798"/>
        <v>#N/A</v>
      </c>
      <c r="CC710" s="60">
        <f t="shared" si="799"/>
        <v>100000</v>
      </c>
      <c r="CD710" s="60" t="e">
        <f t="shared" si="800"/>
        <v>#N/A</v>
      </c>
      <c r="CE710" s="60">
        <f t="shared" si="801"/>
        <v>100000</v>
      </c>
      <c r="CF710" s="83" t="e">
        <f t="shared" si="849"/>
        <v>#N/A</v>
      </c>
      <c r="CG710" s="83">
        <f t="shared" si="850"/>
        <v>0</v>
      </c>
      <c r="CH710" s="83" t="e">
        <f t="shared" si="851"/>
        <v>#N/A</v>
      </c>
      <c r="CI710" s="83">
        <f t="shared" si="852"/>
        <v>0</v>
      </c>
      <c r="CJ710" s="86" t="e">
        <f t="shared" si="802"/>
        <v>#N/A</v>
      </c>
      <c r="CK710" s="82">
        <f t="shared" si="803"/>
        <v>5.3070370403969858E-3</v>
      </c>
      <c r="CL710" s="82" t="e">
        <f t="shared" si="804"/>
        <v>#N/A</v>
      </c>
      <c r="CM710" s="82">
        <f t="shared" si="805"/>
        <v>5.3070370403969858E-3</v>
      </c>
      <c r="CO710" s="149" t="str">
        <f>IF($I710&lt;&gt;"",IF(O710="User Specified",U710,INDEX('Refrigerant GWPs'!$G$2:$G$156,MATCH(O710,'Refrigerant GWPs'!$A$2:$A$156,0))),"")</f>
        <v/>
      </c>
      <c r="CP710" s="138" t="str">
        <f>IF($I710&lt;&gt;"",INDEX('Device Refrigerant Leakage'!$E$2:$E$42,MATCH($M710,'Device Refrigerant Leakage'!$B$2:$B$42,0)),"")</f>
        <v/>
      </c>
      <c r="CQ710" s="138" t="str">
        <f>IF($I710&lt;&gt;"",INDEX('Device Refrigerant Leakage'!$F$2:$F$42,MATCH($M710,'Device Refrigerant Leakage'!$B$2:$B$42,0)),"")</f>
        <v/>
      </c>
      <c r="CR710" s="145" t="str">
        <f>IF($I710&lt;&gt;"",INDEX('Device Refrigerant Leakage'!$G$2:$G$42,MATCH($M710,'Device Refrigerant Leakage'!$B$2:$B$42,0)),"")</f>
        <v/>
      </c>
      <c r="CS710" s="145" t="str">
        <f>IF($I710&lt;&gt;"",INDEX('Device Refrigerant Leakage'!$D$2:$D$42,MATCH($M710,'Device Refrigerant Leakage'!$B$2:$B$42,0))*CP710/2204.62*CO710,"")</f>
        <v/>
      </c>
      <c r="CT710" s="145" t="str">
        <f>IF($I710&lt;&gt;"",J710*(INDEX('Device Refrigerant Leakage'!$D$2:$D$42,MATCH($M710,'Device Refrigerant Leakage'!$B$2:$B$42,0))-(INDEX('Device Refrigerant Leakage'!$D$2:$D$42,MATCH($M710,'Device Refrigerant Leakage'!$B$2:$B$42,0)))*CR710*CP710)*CQ710/2204.62*CO710,"")</f>
        <v/>
      </c>
      <c r="CU710" s="135" t="str">
        <f>IF($I710&lt;&gt;"",J710*IF(W710&lt;&gt;"AR",(CS710*K710)+CT710,(CS710*AB710)+CT710*(AB710/INDEX('Device Refrigerant Leakage'!$C$2:$C$42,MATCH($M710,'Device Refrigerant Leakage'!$B$2:$B$42,0)))),"")</f>
        <v/>
      </c>
      <c r="CW710" s="135" t="str">
        <f>IF($I710&lt;&gt;"",IF(S710="User Specified",V710,INDEX('Refrigerant GWPs'!$G$2:$G$156,MATCH(S710,'Refrigerant GWPs'!$A$2:$A$157,0))),"")</f>
        <v/>
      </c>
      <c r="CX710" s="138" t="str">
        <f>IF($I710&lt;&gt;"",INDEX('Device Refrigerant Leakage'!$E$2:$E$42,MATCH($Q710,'Device Refrigerant Leakage'!$B$2:$B$42,0)),"")</f>
        <v/>
      </c>
      <c r="CY710" s="138" t="str">
        <f>IF($I710&lt;&gt;"",INDEX('Device Refrigerant Leakage'!$F$2:$F$42,MATCH($Q710,'Device Refrigerant Leakage'!$B$2:$B$42,0)),"")</f>
        <v/>
      </c>
      <c r="CZ710" s="145" t="str">
        <f>IF($I710&lt;&gt;"",INDEX('Device Refrigerant Leakage'!$G$2:$G$42,MATCH($Q710,'Device Refrigerant Leakage'!$B$2:$B$42,0)),"")</f>
        <v/>
      </c>
      <c r="DA710" s="145" t="str">
        <f>IF($I710&lt;&gt;"",J710*INDEX('Device Refrigerant Leakage'!$D$2:$D$42,MATCH($Q710,'Device Refrigerant Leakage'!$B$2:$B$42,0))*CX710/2204.62*CW710,"")</f>
        <v/>
      </c>
      <c r="DB710" s="145" t="str">
        <f>IF($I710&lt;&gt;"",J710*(INDEX('Device Refrigerant Leakage'!$D$2:$D$42,MATCH($Q710,'Device Refrigerant Leakage'!$B$2:$B$42,0))-(INDEX('Device Refrigerant Leakage'!$D$2:$D$42,MATCH($Q710,'Device Refrigerant Leakage'!$B$2:$B$42,0)))*CZ710*CX710)*CY710/2204.62*CW710,"")</f>
        <v/>
      </c>
      <c r="DC710" s="135" t="str">
        <f t="shared" si="824"/>
        <v/>
      </c>
      <c r="DE710" s="146" t="str">
        <f>IF(W710&lt;&gt;"AR","",IF(Y710="User Specified", AA710, INDEX('Refrigerant GWPs'!$G$2:$G$154,MATCH(Y710,'Refrigerant GWPs'!$A$2:$A$154,0))))</f>
        <v/>
      </c>
      <c r="DF710" s="146" t="str">
        <f>IF(W710&lt;&gt;"AR","",INDEX('Device Refrigerant Leakage'!$E$2:$E$42,MATCH(X710,'Device Refrigerant Leakage'!$B$2:$B$42,0)))</f>
        <v/>
      </c>
      <c r="DG710" s="146" t="str">
        <f>IF(W710&lt;&gt;"AR","",INDEX('Device Refrigerant Leakage'!$F$2:$F$42,MATCH(X710,'Device Refrigerant Leakage'!$B$2:$B$42,0)))</f>
        <v/>
      </c>
      <c r="DH710" s="146" t="str">
        <f>IF(W710&lt;&gt;"AR","",INDEX('Device Refrigerant Leakage'!$G$2:$G$42,MATCH(X710,'Device Refrigerant Leakage'!$B$2:$B$42,0)))</f>
        <v/>
      </c>
      <c r="DI710" s="146" t="str">
        <f>IF(W710&lt;&gt;"AR","",J710*INDEX('Device Refrigerant Leakage'!$D$2:$D$42,MATCH(X710,'Device Refrigerant Leakage'!$B$2:$B$42,0))*DF710/2204.62*DE710)</f>
        <v/>
      </c>
      <c r="DJ710" s="146" t="str">
        <f>IF(W710&lt;&gt;"AR","",J710*(INDEX('Device Refrigerant Leakage'!$D$2:$D$42,MATCH(X710,'Device Refrigerant Leakage'!$B$2:$B$42,0))-(INDEX('Device Refrigerant Leakage'!$D$2:$D$42,MATCH(X710,'Device Refrigerant Leakage'!$B$2:$B$42,0)))*DH710*DF710)*DG710/2204.62*DE710)</f>
        <v/>
      </c>
      <c r="DK710" s="146" t="str">
        <f>IF(W710&lt;&gt;"AR","",DI710*(K710-AB710)+'Fuel Sub Calcs-Deemed'!DJ710*((K710-AB710)/INDEX('Device Refrigerant Leakage'!$C$2:$C$42,MATCH('Fuel Sub Calcs-Deemed'!X710,'Device Refrigerant Leakage'!$B$2:$B$42,0))))</f>
        <v/>
      </c>
      <c r="DM710" s="56">
        <v>696</v>
      </c>
      <c r="DN710" s="67" t="e">
        <f t="shared" si="806"/>
        <v>#N/A</v>
      </c>
      <c r="DO710" s="45" t="e">
        <f t="shared" si="807"/>
        <v>#N/A</v>
      </c>
      <c r="DP710" s="67" t="e">
        <f t="shared" si="808"/>
        <v>#N/A</v>
      </c>
      <c r="DQ710" s="45" t="e">
        <f t="shared" si="809"/>
        <v>#N/A</v>
      </c>
      <c r="DR710" s="69" t="e">
        <f t="shared" si="810"/>
        <v>#N/A</v>
      </c>
      <c r="DS710" s="34"/>
      <c r="DT710" s="67" t="e">
        <f>((BX710*CJ710)+IF($W710=MAT_AR,(BZ710*CL710),0))*(1+Reference!$E$50+Reference!$E$51)</f>
        <v>#N/A</v>
      </c>
      <c r="DU710" s="67">
        <f>((BY710*CK710)+IF($W710=MAT_AR,(CA710*CM710),0))*(1+Reference!$G$50+Reference!$G$51)</f>
        <v>0</v>
      </c>
      <c r="DV710" s="67" t="e">
        <f t="shared" si="811"/>
        <v>#VALUE!</v>
      </c>
      <c r="DX710" s="56">
        <v>696</v>
      </c>
      <c r="DY710" s="67">
        <f t="shared" si="812"/>
        <v>0</v>
      </c>
      <c r="DZ710" s="45" t="e">
        <f>VLOOKUP($R710,Dropdown!$C$3:$D$4,2,FALSE)</f>
        <v>#N/A</v>
      </c>
      <c r="EA710" s="68">
        <f t="shared" si="813"/>
        <v>0</v>
      </c>
      <c r="EB710" s="68" t="str">
        <f t="shared" si="814"/>
        <v>N/A</v>
      </c>
      <c r="EC710" s="68">
        <f t="shared" si="815"/>
        <v>0</v>
      </c>
      <c r="ED710" s="68" t="str">
        <f t="shared" si="853"/>
        <v>N/A</v>
      </c>
      <c r="EF710" s="56">
        <v>696</v>
      </c>
      <c r="EG710" s="46">
        <f t="shared" si="816"/>
        <v>0</v>
      </c>
      <c r="EH710" s="68" t="e">
        <f t="shared" si="817"/>
        <v>#N/A</v>
      </c>
      <c r="EI710" s="68" t="e">
        <f t="shared" si="818"/>
        <v>#N/A</v>
      </c>
      <c r="EJ710" s="68" t="e">
        <f t="shared" si="819"/>
        <v>#N/A</v>
      </c>
      <c r="EK710" s="68" t="e">
        <f t="shared" si="820"/>
        <v>#N/A</v>
      </c>
      <c r="EL710" s="46">
        <f t="shared" si="821"/>
        <v>0</v>
      </c>
      <c r="EM710" s="46">
        <f t="shared" si="822"/>
        <v>0</v>
      </c>
    </row>
    <row r="711" spans="1:143">
      <c r="A711" s="89"/>
      <c r="B711" s="89"/>
      <c r="C711" s="89"/>
      <c r="D711" s="89"/>
      <c r="E711" s="89"/>
      <c r="F711" s="89"/>
      <c r="G711" s="34"/>
      <c r="H711" s="56">
        <f t="shared" si="823"/>
        <v>697</v>
      </c>
      <c r="I711" s="165"/>
      <c r="J711" s="163"/>
      <c r="K711" s="163"/>
      <c r="L711" s="164"/>
      <c r="M711" s="155"/>
      <c r="N711" s="155"/>
      <c r="O711" s="144"/>
      <c r="P711" s="159" t="str">
        <f>IFERROR(IF(O711&lt;&gt;"User Specified",IF(O711&lt;&gt;"", INDEX('Refrigerant GWPs'!$G$2:$G$154,MATCH(O711,'Refrigerant GWPs'!$A$2:$A$154,0)),""),U711),0)</f>
        <v/>
      </c>
      <c r="Q711" s="155"/>
      <c r="R711" s="155"/>
      <c r="S711" s="144"/>
      <c r="T711" s="159" t="str">
        <f>IF(S711&lt;&gt;"User Specified",IF(AND(S711&lt;&gt;"User Specified",S711&lt;&gt;""), INDEX('Refrigerant GWPs'!$G$2:$G$154,MATCH(S711,'Refrigerant GWPs'!$A$2:$A$154,0)),""),V711)</f>
        <v/>
      </c>
      <c r="U711" s="144"/>
      <c r="V711" s="144"/>
      <c r="W711" s="155"/>
      <c r="X711" s="155"/>
      <c r="Y711" s="144"/>
      <c r="Z711" s="159" t="str">
        <f>IF(AND(Y711&lt;&gt;"User Specified",Y711&lt;&gt;""), INDEX('Refrigerant GWPs'!$G$2:$G$154,MATCH(Y711,'Refrigerant GWPs'!$A$2:$A$154,0)),"")</f>
        <v/>
      </c>
      <c r="AA711" s="155"/>
      <c r="AB711" s="156"/>
      <c r="AC711" s="66"/>
      <c r="AD711" s="66"/>
      <c r="AE711" s="66"/>
      <c r="AF711" s="66"/>
      <c r="AG711" s="66"/>
      <c r="AH711" s="66"/>
      <c r="AI711" s="34"/>
      <c r="AJ711" s="88">
        <f t="shared" si="786"/>
        <v>0</v>
      </c>
      <c r="AK711" s="88">
        <f t="shared" si="787"/>
        <v>0</v>
      </c>
      <c r="AL711" s="88">
        <v>0</v>
      </c>
      <c r="AM711" s="88">
        <v>0</v>
      </c>
      <c r="AN711" s="81" t="str">
        <f t="shared" si="825"/>
        <v/>
      </c>
      <c r="AO711" s="88">
        <f t="shared" si="788"/>
        <v>0</v>
      </c>
      <c r="AP711" s="88">
        <f t="shared" si="789"/>
        <v>0</v>
      </c>
      <c r="AQ711" s="81" t="str">
        <f t="shared" si="790"/>
        <v/>
      </c>
      <c r="AS711" s="41" t="b">
        <f t="shared" si="791"/>
        <v>1</v>
      </c>
      <c r="AT711" s="38">
        <f t="shared" si="792"/>
        <v>0</v>
      </c>
      <c r="AU711" s="60">
        <f t="shared" si="793"/>
        <v>0</v>
      </c>
      <c r="AV711" s="41">
        <f t="shared" si="794"/>
        <v>0</v>
      </c>
      <c r="AW711" s="41" t="b">
        <f t="shared" si="795"/>
        <v>0</v>
      </c>
      <c r="AX711" t="str">
        <f t="shared" si="796"/>
        <v>+00</v>
      </c>
      <c r="AY711" t="str">
        <f t="shared" si="797"/>
        <v>+00</v>
      </c>
      <c r="BA711" s="47" t="b">
        <f t="shared" si="826"/>
        <v>1</v>
      </c>
      <c r="BB711" s="42" t="b">
        <f t="shared" si="827"/>
        <v>1</v>
      </c>
      <c r="BC711" s="42" t="b">
        <f t="shared" si="828"/>
        <v>0</v>
      </c>
      <c r="BD711" s="42" t="b">
        <f t="shared" si="829"/>
        <v>0</v>
      </c>
      <c r="BE711" s="70">
        <f t="shared" si="830"/>
        <v>0</v>
      </c>
      <c r="BF711" s="70">
        <f t="shared" si="831"/>
        <v>0</v>
      </c>
      <c r="BG711" s="34"/>
      <c r="BI711" s="47" t="b">
        <f t="shared" si="832"/>
        <v>1</v>
      </c>
      <c r="BJ711" s="47" t="b">
        <f t="shared" si="833"/>
        <v>1</v>
      </c>
      <c r="BK711" s="42" t="b">
        <f t="shared" si="834"/>
        <v>0</v>
      </c>
      <c r="BL711" s="42" t="b">
        <f t="shared" si="835"/>
        <v>0</v>
      </c>
      <c r="BM711" s="42">
        <f t="shared" si="836"/>
        <v>0</v>
      </c>
      <c r="BN711" s="42">
        <f t="shared" si="837"/>
        <v>0</v>
      </c>
      <c r="BP711" t="e">
        <f t="shared" si="838"/>
        <v>#N/A</v>
      </c>
      <c r="BQ711" t="e">
        <f t="shared" si="839"/>
        <v>#N/A</v>
      </c>
      <c r="BR711" t="e">
        <f t="shared" si="840"/>
        <v>#N/A</v>
      </c>
      <c r="BT711" s="60">
        <f t="shared" si="841"/>
        <v>0</v>
      </c>
      <c r="BU711" s="60">
        <f t="shared" si="842"/>
        <v>0</v>
      </c>
      <c r="BV711" s="60">
        <f t="shared" si="843"/>
        <v>0</v>
      </c>
      <c r="BW711" s="60">
        <f t="shared" si="844"/>
        <v>0</v>
      </c>
      <c r="BX711" s="60">
        <f t="shared" si="845"/>
        <v>0</v>
      </c>
      <c r="BY711" s="60">
        <f t="shared" si="846"/>
        <v>0</v>
      </c>
      <c r="BZ711" s="60">
        <f t="shared" si="847"/>
        <v>0</v>
      </c>
      <c r="CA711" s="60">
        <f t="shared" si="848"/>
        <v>0</v>
      </c>
      <c r="CB711" s="60" t="e">
        <f t="shared" si="798"/>
        <v>#N/A</v>
      </c>
      <c r="CC711" s="60">
        <f t="shared" si="799"/>
        <v>100000</v>
      </c>
      <c r="CD711" s="60" t="e">
        <f t="shared" si="800"/>
        <v>#N/A</v>
      </c>
      <c r="CE711" s="60">
        <f t="shared" si="801"/>
        <v>100000</v>
      </c>
      <c r="CF711" s="83" t="e">
        <f t="shared" si="849"/>
        <v>#N/A</v>
      </c>
      <c r="CG711" s="83">
        <f t="shared" si="850"/>
        <v>0</v>
      </c>
      <c r="CH711" s="83" t="e">
        <f t="shared" si="851"/>
        <v>#N/A</v>
      </c>
      <c r="CI711" s="83">
        <f t="shared" si="852"/>
        <v>0</v>
      </c>
      <c r="CJ711" s="86" t="e">
        <f t="shared" si="802"/>
        <v>#N/A</v>
      </c>
      <c r="CK711" s="82">
        <f t="shared" si="803"/>
        <v>5.3070370403969858E-3</v>
      </c>
      <c r="CL711" s="82" t="e">
        <f t="shared" si="804"/>
        <v>#N/A</v>
      </c>
      <c r="CM711" s="82">
        <f t="shared" si="805"/>
        <v>5.3070370403969858E-3</v>
      </c>
      <c r="CO711" s="149" t="str">
        <f>IF($I711&lt;&gt;"",IF(O711="User Specified",U711,INDEX('Refrigerant GWPs'!$G$2:$G$156,MATCH(O711,'Refrigerant GWPs'!$A$2:$A$156,0))),"")</f>
        <v/>
      </c>
      <c r="CP711" s="138" t="str">
        <f>IF($I711&lt;&gt;"",INDEX('Device Refrigerant Leakage'!$E$2:$E$42,MATCH($M711,'Device Refrigerant Leakage'!$B$2:$B$42,0)),"")</f>
        <v/>
      </c>
      <c r="CQ711" s="138" t="str">
        <f>IF($I711&lt;&gt;"",INDEX('Device Refrigerant Leakage'!$F$2:$F$42,MATCH($M711,'Device Refrigerant Leakage'!$B$2:$B$42,0)),"")</f>
        <v/>
      </c>
      <c r="CR711" s="145" t="str">
        <f>IF($I711&lt;&gt;"",INDEX('Device Refrigerant Leakage'!$G$2:$G$42,MATCH($M711,'Device Refrigerant Leakage'!$B$2:$B$42,0)),"")</f>
        <v/>
      </c>
      <c r="CS711" s="145" t="str">
        <f>IF($I711&lt;&gt;"",INDEX('Device Refrigerant Leakage'!$D$2:$D$42,MATCH($M711,'Device Refrigerant Leakage'!$B$2:$B$42,0))*CP711/2204.62*CO711,"")</f>
        <v/>
      </c>
      <c r="CT711" s="145" t="str">
        <f>IF($I711&lt;&gt;"",J711*(INDEX('Device Refrigerant Leakage'!$D$2:$D$42,MATCH($M711,'Device Refrigerant Leakage'!$B$2:$B$42,0))-(INDEX('Device Refrigerant Leakage'!$D$2:$D$42,MATCH($M711,'Device Refrigerant Leakage'!$B$2:$B$42,0)))*CR711*CP711)*CQ711/2204.62*CO711,"")</f>
        <v/>
      </c>
      <c r="CU711" s="135" t="str">
        <f>IF($I711&lt;&gt;"",J711*IF(W711&lt;&gt;"AR",(CS711*K711)+CT711,(CS711*AB711)+CT711*(AB711/INDEX('Device Refrigerant Leakage'!$C$2:$C$42,MATCH($M711,'Device Refrigerant Leakage'!$B$2:$B$42,0)))),"")</f>
        <v/>
      </c>
      <c r="CW711" s="135" t="str">
        <f>IF($I711&lt;&gt;"",IF(S711="User Specified",V711,INDEX('Refrigerant GWPs'!$G$2:$G$156,MATCH(S711,'Refrigerant GWPs'!$A$2:$A$157,0))),"")</f>
        <v/>
      </c>
      <c r="CX711" s="138" t="str">
        <f>IF($I711&lt;&gt;"",INDEX('Device Refrigerant Leakage'!$E$2:$E$42,MATCH($Q711,'Device Refrigerant Leakage'!$B$2:$B$42,0)),"")</f>
        <v/>
      </c>
      <c r="CY711" s="138" t="str">
        <f>IF($I711&lt;&gt;"",INDEX('Device Refrigerant Leakage'!$F$2:$F$42,MATCH($Q711,'Device Refrigerant Leakage'!$B$2:$B$42,0)),"")</f>
        <v/>
      </c>
      <c r="CZ711" s="145" t="str">
        <f>IF($I711&lt;&gt;"",INDEX('Device Refrigerant Leakage'!$G$2:$G$42,MATCH($Q711,'Device Refrigerant Leakage'!$B$2:$B$42,0)),"")</f>
        <v/>
      </c>
      <c r="DA711" s="145" t="str">
        <f>IF($I711&lt;&gt;"",J711*INDEX('Device Refrigerant Leakage'!$D$2:$D$42,MATCH($Q711,'Device Refrigerant Leakage'!$B$2:$B$42,0))*CX711/2204.62*CW711,"")</f>
        <v/>
      </c>
      <c r="DB711" s="145" t="str">
        <f>IF($I711&lt;&gt;"",J711*(INDEX('Device Refrigerant Leakage'!$D$2:$D$42,MATCH($Q711,'Device Refrigerant Leakage'!$B$2:$B$42,0))-(INDEX('Device Refrigerant Leakage'!$D$2:$D$42,MATCH($Q711,'Device Refrigerant Leakage'!$B$2:$B$42,0)))*CZ711*CX711)*CY711/2204.62*CW711,"")</f>
        <v/>
      </c>
      <c r="DC711" s="135" t="str">
        <f t="shared" si="824"/>
        <v/>
      </c>
      <c r="DE711" s="146" t="str">
        <f>IF(W711&lt;&gt;"AR","",IF(Y711="User Specified", AA711, INDEX('Refrigerant GWPs'!$G$2:$G$154,MATCH(Y711,'Refrigerant GWPs'!$A$2:$A$154,0))))</f>
        <v/>
      </c>
      <c r="DF711" s="146" t="str">
        <f>IF(W711&lt;&gt;"AR","",INDEX('Device Refrigerant Leakage'!$E$2:$E$42,MATCH(X711,'Device Refrigerant Leakage'!$B$2:$B$42,0)))</f>
        <v/>
      </c>
      <c r="DG711" s="146" t="str">
        <f>IF(W711&lt;&gt;"AR","",INDEX('Device Refrigerant Leakage'!$F$2:$F$42,MATCH(X711,'Device Refrigerant Leakage'!$B$2:$B$42,0)))</f>
        <v/>
      </c>
      <c r="DH711" s="146" t="str">
        <f>IF(W711&lt;&gt;"AR","",INDEX('Device Refrigerant Leakage'!$G$2:$G$42,MATCH(X711,'Device Refrigerant Leakage'!$B$2:$B$42,0)))</f>
        <v/>
      </c>
      <c r="DI711" s="146" t="str">
        <f>IF(W711&lt;&gt;"AR","",J711*INDEX('Device Refrigerant Leakage'!$D$2:$D$42,MATCH(X711,'Device Refrigerant Leakage'!$B$2:$B$42,0))*DF711/2204.62*DE711)</f>
        <v/>
      </c>
      <c r="DJ711" s="146" t="str">
        <f>IF(W711&lt;&gt;"AR","",J711*(INDEX('Device Refrigerant Leakage'!$D$2:$D$42,MATCH(X711,'Device Refrigerant Leakage'!$B$2:$B$42,0))-(INDEX('Device Refrigerant Leakage'!$D$2:$D$42,MATCH(X711,'Device Refrigerant Leakage'!$B$2:$B$42,0)))*DH711*DF711)*DG711/2204.62*DE711)</f>
        <v/>
      </c>
      <c r="DK711" s="146" t="str">
        <f>IF(W711&lt;&gt;"AR","",DI711*(K711-AB711)+'Fuel Sub Calcs-Deemed'!DJ711*((K711-AB711)/INDEX('Device Refrigerant Leakage'!$C$2:$C$42,MATCH('Fuel Sub Calcs-Deemed'!X711,'Device Refrigerant Leakage'!$B$2:$B$42,0))))</f>
        <v/>
      </c>
      <c r="DM711" s="56">
        <v>697</v>
      </c>
      <c r="DN711" s="67" t="e">
        <f t="shared" si="806"/>
        <v>#N/A</v>
      </c>
      <c r="DO711" s="45" t="e">
        <f t="shared" si="807"/>
        <v>#N/A</v>
      </c>
      <c r="DP711" s="67" t="e">
        <f t="shared" si="808"/>
        <v>#N/A</v>
      </c>
      <c r="DQ711" s="45" t="e">
        <f t="shared" si="809"/>
        <v>#N/A</v>
      </c>
      <c r="DR711" s="69" t="e">
        <f t="shared" si="810"/>
        <v>#N/A</v>
      </c>
      <c r="DS711" s="34"/>
      <c r="DT711" s="67" t="e">
        <f>((BX711*CJ711)+IF($W711=MAT_AR,(BZ711*CL711),0))*(1+Reference!$E$50+Reference!$E$51)</f>
        <v>#N/A</v>
      </c>
      <c r="DU711" s="67">
        <f>((BY711*CK711)+IF($W711=MAT_AR,(CA711*CM711),0))*(1+Reference!$G$50+Reference!$G$51)</f>
        <v>0</v>
      </c>
      <c r="DV711" s="67" t="e">
        <f t="shared" si="811"/>
        <v>#VALUE!</v>
      </c>
      <c r="DX711" s="56">
        <v>697</v>
      </c>
      <c r="DY711" s="67">
        <f t="shared" si="812"/>
        <v>0</v>
      </c>
      <c r="DZ711" s="45" t="e">
        <f>VLOOKUP($R711,Dropdown!$C$3:$D$4,2,FALSE)</f>
        <v>#N/A</v>
      </c>
      <c r="EA711" s="68">
        <f t="shared" si="813"/>
        <v>0</v>
      </c>
      <c r="EB711" s="68" t="str">
        <f t="shared" si="814"/>
        <v>N/A</v>
      </c>
      <c r="EC711" s="68">
        <f t="shared" si="815"/>
        <v>0</v>
      </c>
      <c r="ED711" s="68" t="str">
        <f t="shared" si="853"/>
        <v>N/A</v>
      </c>
      <c r="EF711" s="56">
        <v>697</v>
      </c>
      <c r="EG711" s="46">
        <f t="shared" si="816"/>
        <v>0</v>
      </c>
      <c r="EH711" s="68" t="e">
        <f t="shared" si="817"/>
        <v>#N/A</v>
      </c>
      <c r="EI711" s="68" t="e">
        <f t="shared" si="818"/>
        <v>#N/A</v>
      </c>
      <c r="EJ711" s="68" t="e">
        <f t="shared" si="819"/>
        <v>#N/A</v>
      </c>
      <c r="EK711" s="68" t="e">
        <f t="shared" si="820"/>
        <v>#N/A</v>
      </c>
      <c r="EL711" s="46">
        <f t="shared" si="821"/>
        <v>0</v>
      </c>
      <c r="EM711" s="46">
        <f t="shared" si="822"/>
        <v>0</v>
      </c>
    </row>
    <row r="712" spans="1:143">
      <c r="A712" s="89"/>
      <c r="B712" s="89"/>
      <c r="C712" s="89"/>
      <c r="D712" s="89"/>
      <c r="E712" s="89"/>
      <c r="F712" s="89"/>
      <c r="G712" s="34"/>
      <c r="H712" s="56">
        <f t="shared" si="823"/>
        <v>698</v>
      </c>
      <c r="I712" s="165"/>
      <c r="J712" s="163"/>
      <c r="K712" s="163"/>
      <c r="L712" s="164"/>
      <c r="M712" s="155"/>
      <c r="N712" s="155"/>
      <c r="O712" s="144"/>
      <c r="P712" s="159" t="str">
        <f>IFERROR(IF(O712&lt;&gt;"User Specified",IF(O712&lt;&gt;"", INDEX('Refrigerant GWPs'!$G$2:$G$154,MATCH(O712,'Refrigerant GWPs'!$A$2:$A$154,0)),""),U712),0)</f>
        <v/>
      </c>
      <c r="Q712" s="155"/>
      <c r="R712" s="155"/>
      <c r="S712" s="144"/>
      <c r="T712" s="159" t="str">
        <f>IF(S712&lt;&gt;"User Specified",IF(AND(S712&lt;&gt;"User Specified",S712&lt;&gt;""), INDEX('Refrigerant GWPs'!$G$2:$G$154,MATCH(S712,'Refrigerant GWPs'!$A$2:$A$154,0)),""),V712)</f>
        <v/>
      </c>
      <c r="U712" s="144"/>
      <c r="V712" s="144"/>
      <c r="W712" s="155"/>
      <c r="X712" s="155"/>
      <c r="Y712" s="144"/>
      <c r="Z712" s="159" t="str">
        <f>IF(AND(Y712&lt;&gt;"User Specified",Y712&lt;&gt;""), INDEX('Refrigerant GWPs'!$G$2:$G$154,MATCH(Y712,'Refrigerant GWPs'!$A$2:$A$154,0)),"")</f>
        <v/>
      </c>
      <c r="AA712" s="155"/>
      <c r="AB712" s="156"/>
      <c r="AC712" s="66"/>
      <c r="AD712" s="66"/>
      <c r="AE712" s="66"/>
      <c r="AF712" s="66"/>
      <c r="AG712" s="66"/>
      <c r="AH712" s="66"/>
      <c r="AI712" s="34"/>
      <c r="AJ712" s="88">
        <f t="shared" si="786"/>
        <v>0</v>
      </c>
      <c r="AK712" s="88">
        <f t="shared" si="787"/>
        <v>0</v>
      </c>
      <c r="AL712" s="88">
        <v>0</v>
      </c>
      <c r="AM712" s="88">
        <v>0</v>
      </c>
      <c r="AN712" s="81" t="str">
        <f t="shared" si="825"/>
        <v/>
      </c>
      <c r="AO712" s="88">
        <f t="shared" si="788"/>
        <v>0</v>
      </c>
      <c r="AP712" s="88">
        <f t="shared" si="789"/>
        <v>0</v>
      </c>
      <c r="AQ712" s="81" t="str">
        <f t="shared" si="790"/>
        <v/>
      </c>
      <c r="AS712" s="41" t="b">
        <f t="shared" si="791"/>
        <v>1</v>
      </c>
      <c r="AT712" s="38">
        <f t="shared" si="792"/>
        <v>0</v>
      </c>
      <c r="AU712" s="60">
        <f t="shared" si="793"/>
        <v>0</v>
      </c>
      <c r="AV712" s="41">
        <f t="shared" si="794"/>
        <v>0</v>
      </c>
      <c r="AW712" s="41" t="b">
        <f t="shared" si="795"/>
        <v>0</v>
      </c>
      <c r="AX712" t="str">
        <f t="shared" si="796"/>
        <v>+00</v>
      </c>
      <c r="AY712" t="str">
        <f t="shared" si="797"/>
        <v>+00</v>
      </c>
      <c r="BA712" s="47" t="b">
        <f t="shared" si="826"/>
        <v>1</v>
      </c>
      <c r="BB712" s="42" t="b">
        <f t="shared" si="827"/>
        <v>1</v>
      </c>
      <c r="BC712" s="42" t="b">
        <f t="shared" si="828"/>
        <v>0</v>
      </c>
      <c r="BD712" s="42" t="b">
        <f t="shared" si="829"/>
        <v>0</v>
      </c>
      <c r="BE712" s="70">
        <f t="shared" si="830"/>
        <v>0</v>
      </c>
      <c r="BF712" s="70">
        <f t="shared" si="831"/>
        <v>0</v>
      </c>
      <c r="BG712" s="34"/>
      <c r="BI712" s="47" t="b">
        <f t="shared" si="832"/>
        <v>1</v>
      </c>
      <c r="BJ712" s="47" t="b">
        <f t="shared" si="833"/>
        <v>1</v>
      </c>
      <c r="BK712" s="42" t="b">
        <f t="shared" si="834"/>
        <v>0</v>
      </c>
      <c r="BL712" s="42" t="b">
        <f t="shared" si="835"/>
        <v>0</v>
      </c>
      <c r="BM712" s="42">
        <f t="shared" si="836"/>
        <v>0</v>
      </c>
      <c r="BN712" s="42">
        <f t="shared" si="837"/>
        <v>0</v>
      </c>
      <c r="BP712" t="e">
        <f t="shared" si="838"/>
        <v>#N/A</v>
      </c>
      <c r="BQ712" t="e">
        <f t="shared" si="839"/>
        <v>#N/A</v>
      </c>
      <c r="BR712" t="e">
        <f t="shared" si="840"/>
        <v>#N/A</v>
      </c>
      <c r="BT712" s="60">
        <f t="shared" si="841"/>
        <v>0</v>
      </c>
      <c r="BU712" s="60">
        <f t="shared" si="842"/>
        <v>0</v>
      </c>
      <c r="BV712" s="60">
        <f t="shared" si="843"/>
        <v>0</v>
      </c>
      <c r="BW712" s="60">
        <f t="shared" si="844"/>
        <v>0</v>
      </c>
      <c r="BX712" s="60">
        <f t="shared" si="845"/>
        <v>0</v>
      </c>
      <c r="BY712" s="60">
        <f t="shared" si="846"/>
        <v>0</v>
      </c>
      <c r="BZ712" s="60">
        <f t="shared" si="847"/>
        <v>0</v>
      </c>
      <c r="CA712" s="60">
        <f t="shared" si="848"/>
        <v>0</v>
      </c>
      <c r="CB712" s="60" t="e">
        <f t="shared" si="798"/>
        <v>#N/A</v>
      </c>
      <c r="CC712" s="60">
        <f t="shared" si="799"/>
        <v>100000</v>
      </c>
      <c r="CD712" s="60" t="e">
        <f t="shared" si="800"/>
        <v>#N/A</v>
      </c>
      <c r="CE712" s="60">
        <f t="shared" si="801"/>
        <v>100000</v>
      </c>
      <c r="CF712" s="83" t="e">
        <f t="shared" si="849"/>
        <v>#N/A</v>
      </c>
      <c r="CG712" s="83">
        <f t="shared" si="850"/>
        <v>0</v>
      </c>
      <c r="CH712" s="83" t="e">
        <f t="shared" si="851"/>
        <v>#N/A</v>
      </c>
      <c r="CI712" s="83">
        <f t="shared" si="852"/>
        <v>0</v>
      </c>
      <c r="CJ712" s="86" t="e">
        <f t="shared" si="802"/>
        <v>#N/A</v>
      </c>
      <c r="CK712" s="82">
        <f t="shared" si="803"/>
        <v>5.3070370403969858E-3</v>
      </c>
      <c r="CL712" s="82" t="e">
        <f t="shared" si="804"/>
        <v>#N/A</v>
      </c>
      <c r="CM712" s="82">
        <f t="shared" si="805"/>
        <v>5.3070370403969858E-3</v>
      </c>
      <c r="CO712" s="149" t="str">
        <f>IF($I712&lt;&gt;"",IF(O712="User Specified",U712,INDEX('Refrigerant GWPs'!$G$2:$G$156,MATCH(O712,'Refrigerant GWPs'!$A$2:$A$156,0))),"")</f>
        <v/>
      </c>
      <c r="CP712" s="138" t="str">
        <f>IF($I712&lt;&gt;"",INDEX('Device Refrigerant Leakage'!$E$2:$E$42,MATCH($M712,'Device Refrigerant Leakage'!$B$2:$B$42,0)),"")</f>
        <v/>
      </c>
      <c r="CQ712" s="138" t="str">
        <f>IF($I712&lt;&gt;"",INDEX('Device Refrigerant Leakage'!$F$2:$F$42,MATCH($M712,'Device Refrigerant Leakage'!$B$2:$B$42,0)),"")</f>
        <v/>
      </c>
      <c r="CR712" s="145" t="str">
        <f>IF($I712&lt;&gt;"",INDEX('Device Refrigerant Leakage'!$G$2:$G$42,MATCH($M712,'Device Refrigerant Leakage'!$B$2:$B$42,0)),"")</f>
        <v/>
      </c>
      <c r="CS712" s="145" t="str">
        <f>IF($I712&lt;&gt;"",INDEX('Device Refrigerant Leakage'!$D$2:$D$42,MATCH($M712,'Device Refrigerant Leakage'!$B$2:$B$42,0))*CP712/2204.62*CO712,"")</f>
        <v/>
      </c>
      <c r="CT712" s="145" t="str">
        <f>IF($I712&lt;&gt;"",J712*(INDEX('Device Refrigerant Leakage'!$D$2:$D$42,MATCH($M712,'Device Refrigerant Leakage'!$B$2:$B$42,0))-(INDEX('Device Refrigerant Leakage'!$D$2:$D$42,MATCH($M712,'Device Refrigerant Leakage'!$B$2:$B$42,0)))*CR712*CP712)*CQ712/2204.62*CO712,"")</f>
        <v/>
      </c>
      <c r="CU712" s="135" t="str">
        <f>IF($I712&lt;&gt;"",J712*IF(W712&lt;&gt;"AR",(CS712*K712)+CT712,(CS712*AB712)+CT712*(AB712/INDEX('Device Refrigerant Leakage'!$C$2:$C$42,MATCH($M712,'Device Refrigerant Leakage'!$B$2:$B$42,0)))),"")</f>
        <v/>
      </c>
      <c r="CW712" s="135" t="str">
        <f>IF($I712&lt;&gt;"",IF(S712="User Specified",V712,INDEX('Refrigerant GWPs'!$G$2:$G$156,MATCH(S712,'Refrigerant GWPs'!$A$2:$A$157,0))),"")</f>
        <v/>
      </c>
      <c r="CX712" s="138" t="str">
        <f>IF($I712&lt;&gt;"",INDEX('Device Refrigerant Leakage'!$E$2:$E$42,MATCH($Q712,'Device Refrigerant Leakage'!$B$2:$B$42,0)),"")</f>
        <v/>
      </c>
      <c r="CY712" s="138" t="str">
        <f>IF($I712&lt;&gt;"",INDEX('Device Refrigerant Leakage'!$F$2:$F$42,MATCH($Q712,'Device Refrigerant Leakage'!$B$2:$B$42,0)),"")</f>
        <v/>
      </c>
      <c r="CZ712" s="145" t="str">
        <f>IF($I712&lt;&gt;"",INDEX('Device Refrigerant Leakage'!$G$2:$G$42,MATCH($Q712,'Device Refrigerant Leakage'!$B$2:$B$42,0)),"")</f>
        <v/>
      </c>
      <c r="DA712" s="145" t="str">
        <f>IF($I712&lt;&gt;"",J712*INDEX('Device Refrigerant Leakage'!$D$2:$D$42,MATCH($Q712,'Device Refrigerant Leakage'!$B$2:$B$42,0))*CX712/2204.62*CW712,"")</f>
        <v/>
      </c>
      <c r="DB712" s="145" t="str">
        <f>IF($I712&lt;&gt;"",J712*(INDEX('Device Refrigerant Leakage'!$D$2:$D$42,MATCH($Q712,'Device Refrigerant Leakage'!$B$2:$B$42,0))-(INDEX('Device Refrigerant Leakage'!$D$2:$D$42,MATCH($Q712,'Device Refrigerant Leakage'!$B$2:$B$42,0)))*CZ712*CX712)*CY712/2204.62*CW712,"")</f>
        <v/>
      </c>
      <c r="DC712" s="135" t="str">
        <f t="shared" si="824"/>
        <v/>
      </c>
      <c r="DE712" s="146" t="str">
        <f>IF(W712&lt;&gt;"AR","",IF(Y712="User Specified", AA712, INDEX('Refrigerant GWPs'!$G$2:$G$154,MATCH(Y712,'Refrigerant GWPs'!$A$2:$A$154,0))))</f>
        <v/>
      </c>
      <c r="DF712" s="146" t="str">
        <f>IF(W712&lt;&gt;"AR","",INDEX('Device Refrigerant Leakage'!$E$2:$E$42,MATCH(X712,'Device Refrigerant Leakage'!$B$2:$B$42,0)))</f>
        <v/>
      </c>
      <c r="DG712" s="146" t="str">
        <f>IF(W712&lt;&gt;"AR","",INDEX('Device Refrigerant Leakage'!$F$2:$F$42,MATCH(X712,'Device Refrigerant Leakage'!$B$2:$B$42,0)))</f>
        <v/>
      </c>
      <c r="DH712" s="146" t="str">
        <f>IF(W712&lt;&gt;"AR","",INDEX('Device Refrigerant Leakage'!$G$2:$G$42,MATCH(X712,'Device Refrigerant Leakage'!$B$2:$B$42,0)))</f>
        <v/>
      </c>
      <c r="DI712" s="146" t="str">
        <f>IF(W712&lt;&gt;"AR","",J712*INDEX('Device Refrigerant Leakage'!$D$2:$D$42,MATCH(X712,'Device Refrigerant Leakage'!$B$2:$B$42,0))*DF712/2204.62*DE712)</f>
        <v/>
      </c>
      <c r="DJ712" s="146" t="str">
        <f>IF(W712&lt;&gt;"AR","",J712*(INDEX('Device Refrigerant Leakage'!$D$2:$D$42,MATCH(X712,'Device Refrigerant Leakage'!$B$2:$B$42,0))-(INDEX('Device Refrigerant Leakage'!$D$2:$D$42,MATCH(X712,'Device Refrigerant Leakage'!$B$2:$B$42,0)))*DH712*DF712)*DG712/2204.62*DE712)</f>
        <v/>
      </c>
      <c r="DK712" s="146" t="str">
        <f>IF(W712&lt;&gt;"AR","",DI712*(K712-AB712)+'Fuel Sub Calcs-Deemed'!DJ712*((K712-AB712)/INDEX('Device Refrigerant Leakage'!$C$2:$C$42,MATCH('Fuel Sub Calcs-Deemed'!X712,'Device Refrigerant Leakage'!$B$2:$B$42,0))))</f>
        <v/>
      </c>
      <c r="DM712" s="56">
        <v>698</v>
      </c>
      <c r="DN712" s="67" t="e">
        <f t="shared" si="806"/>
        <v>#N/A</v>
      </c>
      <c r="DO712" s="45" t="e">
        <f t="shared" si="807"/>
        <v>#N/A</v>
      </c>
      <c r="DP712" s="67" t="e">
        <f t="shared" si="808"/>
        <v>#N/A</v>
      </c>
      <c r="DQ712" s="45" t="e">
        <f t="shared" si="809"/>
        <v>#N/A</v>
      </c>
      <c r="DR712" s="69" t="e">
        <f t="shared" si="810"/>
        <v>#N/A</v>
      </c>
      <c r="DS712" s="34"/>
      <c r="DT712" s="67" t="e">
        <f>((BX712*CJ712)+IF($W712=MAT_AR,(BZ712*CL712),0))*(1+Reference!$E$50+Reference!$E$51)</f>
        <v>#N/A</v>
      </c>
      <c r="DU712" s="67">
        <f>((BY712*CK712)+IF($W712=MAT_AR,(CA712*CM712),0))*(1+Reference!$G$50+Reference!$G$51)</f>
        <v>0</v>
      </c>
      <c r="DV712" s="67" t="e">
        <f t="shared" si="811"/>
        <v>#VALUE!</v>
      </c>
      <c r="DX712" s="56">
        <v>698</v>
      </c>
      <c r="DY712" s="67">
        <f t="shared" si="812"/>
        <v>0</v>
      </c>
      <c r="DZ712" s="45" t="e">
        <f>VLOOKUP($R712,Dropdown!$C$3:$D$4,2,FALSE)</f>
        <v>#N/A</v>
      </c>
      <c r="EA712" s="68">
        <f t="shared" si="813"/>
        <v>0</v>
      </c>
      <c r="EB712" s="68" t="str">
        <f t="shared" si="814"/>
        <v>N/A</v>
      </c>
      <c r="EC712" s="68">
        <f t="shared" si="815"/>
        <v>0</v>
      </c>
      <c r="ED712" s="68" t="str">
        <f t="shared" si="853"/>
        <v>N/A</v>
      </c>
      <c r="EF712" s="56">
        <v>698</v>
      </c>
      <c r="EG712" s="46">
        <f t="shared" si="816"/>
        <v>0</v>
      </c>
      <c r="EH712" s="68" t="e">
        <f t="shared" si="817"/>
        <v>#N/A</v>
      </c>
      <c r="EI712" s="68" t="e">
        <f t="shared" si="818"/>
        <v>#N/A</v>
      </c>
      <c r="EJ712" s="68" t="e">
        <f t="shared" si="819"/>
        <v>#N/A</v>
      </c>
      <c r="EK712" s="68" t="e">
        <f t="shared" si="820"/>
        <v>#N/A</v>
      </c>
      <c r="EL712" s="46">
        <f t="shared" si="821"/>
        <v>0</v>
      </c>
      <c r="EM712" s="46">
        <f t="shared" si="822"/>
        <v>0</v>
      </c>
    </row>
    <row r="713" spans="1:143">
      <c r="A713" s="89"/>
      <c r="B713" s="89"/>
      <c r="C713" s="89"/>
      <c r="D713" s="89"/>
      <c r="E713" s="89"/>
      <c r="F713" s="89"/>
      <c r="G713" s="34"/>
      <c r="H713" s="56">
        <f t="shared" si="823"/>
        <v>699</v>
      </c>
      <c r="I713" s="165"/>
      <c r="J713" s="163"/>
      <c r="K713" s="163"/>
      <c r="L713" s="164"/>
      <c r="M713" s="155"/>
      <c r="N713" s="155"/>
      <c r="O713" s="144"/>
      <c r="P713" s="159" t="str">
        <f>IFERROR(IF(O713&lt;&gt;"User Specified",IF(O713&lt;&gt;"", INDEX('Refrigerant GWPs'!$G$2:$G$154,MATCH(O713,'Refrigerant GWPs'!$A$2:$A$154,0)),""),U713),0)</f>
        <v/>
      </c>
      <c r="Q713" s="155"/>
      <c r="R713" s="155"/>
      <c r="S713" s="144"/>
      <c r="T713" s="159" t="str">
        <f>IF(S713&lt;&gt;"User Specified",IF(AND(S713&lt;&gt;"User Specified",S713&lt;&gt;""), INDEX('Refrigerant GWPs'!$G$2:$G$154,MATCH(S713,'Refrigerant GWPs'!$A$2:$A$154,0)),""),V713)</f>
        <v/>
      </c>
      <c r="U713" s="144"/>
      <c r="V713" s="144"/>
      <c r="W713" s="155"/>
      <c r="X713" s="155"/>
      <c r="Y713" s="144"/>
      <c r="Z713" s="159" t="str">
        <f>IF(AND(Y713&lt;&gt;"User Specified",Y713&lt;&gt;""), INDEX('Refrigerant GWPs'!$G$2:$G$154,MATCH(Y713,'Refrigerant GWPs'!$A$2:$A$154,0)),"")</f>
        <v/>
      </c>
      <c r="AA713" s="155"/>
      <c r="AB713" s="156"/>
      <c r="AC713" s="66"/>
      <c r="AD713" s="66"/>
      <c r="AE713" s="66"/>
      <c r="AF713" s="66"/>
      <c r="AG713" s="66"/>
      <c r="AH713" s="66"/>
      <c r="AI713" s="34"/>
      <c r="AJ713" s="88">
        <f t="shared" si="786"/>
        <v>0</v>
      </c>
      <c r="AK713" s="88">
        <f t="shared" si="787"/>
        <v>0</v>
      </c>
      <c r="AL713" s="88">
        <v>0</v>
      </c>
      <c r="AM713" s="88">
        <v>0</v>
      </c>
      <c r="AN713" s="81" t="str">
        <f t="shared" si="825"/>
        <v/>
      </c>
      <c r="AO713" s="88">
        <f t="shared" si="788"/>
        <v>0</v>
      </c>
      <c r="AP713" s="88">
        <f t="shared" si="789"/>
        <v>0</v>
      </c>
      <c r="AQ713" s="81" t="str">
        <f t="shared" si="790"/>
        <v/>
      </c>
      <c r="AS713" s="41" t="b">
        <f t="shared" si="791"/>
        <v>1</v>
      </c>
      <c r="AT713" s="38">
        <f t="shared" si="792"/>
        <v>0</v>
      </c>
      <c r="AU713" s="60">
        <f t="shared" si="793"/>
        <v>0</v>
      </c>
      <c r="AV713" s="41">
        <f t="shared" si="794"/>
        <v>0</v>
      </c>
      <c r="AW713" s="41" t="b">
        <f t="shared" si="795"/>
        <v>0</v>
      </c>
      <c r="AX713" t="str">
        <f t="shared" si="796"/>
        <v>+00</v>
      </c>
      <c r="AY713" t="str">
        <f t="shared" si="797"/>
        <v>+00</v>
      </c>
      <c r="BA713" s="47" t="b">
        <f t="shared" si="826"/>
        <v>1</v>
      </c>
      <c r="BB713" s="42" t="b">
        <f t="shared" si="827"/>
        <v>1</v>
      </c>
      <c r="BC713" s="42" t="b">
        <f t="shared" si="828"/>
        <v>0</v>
      </c>
      <c r="BD713" s="42" t="b">
        <f t="shared" si="829"/>
        <v>0</v>
      </c>
      <c r="BE713" s="70">
        <f t="shared" si="830"/>
        <v>0</v>
      </c>
      <c r="BF713" s="70">
        <f t="shared" si="831"/>
        <v>0</v>
      </c>
      <c r="BG713" s="34"/>
      <c r="BI713" s="47" t="b">
        <f t="shared" si="832"/>
        <v>1</v>
      </c>
      <c r="BJ713" s="47" t="b">
        <f t="shared" si="833"/>
        <v>1</v>
      </c>
      <c r="BK713" s="42" t="b">
        <f t="shared" si="834"/>
        <v>0</v>
      </c>
      <c r="BL713" s="42" t="b">
        <f t="shared" si="835"/>
        <v>0</v>
      </c>
      <c r="BM713" s="42">
        <f t="shared" si="836"/>
        <v>0</v>
      </c>
      <c r="BN713" s="42">
        <f t="shared" si="837"/>
        <v>0</v>
      </c>
      <c r="BP713" t="e">
        <f t="shared" si="838"/>
        <v>#N/A</v>
      </c>
      <c r="BQ713" t="e">
        <f t="shared" si="839"/>
        <v>#N/A</v>
      </c>
      <c r="BR713" t="e">
        <f t="shared" si="840"/>
        <v>#N/A</v>
      </c>
      <c r="BT713" s="60">
        <f t="shared" si="841"/>
        <v>0</v>
      </c>
      <c r="BU713" s="60">
        <f t="shared" si="842"/>
        <v>0</v>
      </c>
      <c r="BV713" s="60">
        <f t="shared" si="843"/>
        <v>0</v>
      </c>
      <c r="BW713" s="60">
        <f t="shared" si="844"/>
        <v>0</v>
      </c>
      <c r="BX713" s="60">
        <f t="shared" si="845"/>
        <v>0</v>
      </c>
      <c r="BY713" s="60">
        <f t="shared" si="846"/>
        <v>0</v>
      </c>
      <c r="BZ713" s="60">
        <f t="shared" si="847"/>
        <v>0</v>
      </c>
      <c r="CA713" s="60">
        <f t="shared" si="848"/>
        <v>0</v>
      </c>
      <c r="CB713" s="60" t="e">
        <f t="shared" si="798"/>
        <v>#N/A</v>
      </c>
      <c r="CC713" s="60">
        <f t="shared" si="799"/>
        <v>100000</v>
      </c>
      <c r="CD713" s="60" t="e">
        <f t="shared" si="800"/>
        <v>#N/A</v>
      </c>
      <c r="CE713" s="60">
        <f t="shared" si="801"/>
        <v>100000</v>
      </c>
      <c r="CF713" s="83" t="e">
        <f t="shared" si="849"/>
        <v>#N/A</v>
      </c>
      <c r="CG713" s="83">
        <f t="shared" si="850"/>
        <v>0</v>
      </c>
      <c r="CH713" s="83" t="e">
        <f t="shared" si="851"/>
        <v>#N/A</v>
      </c>
      <c r="CI713" s="83">
        <f t="shared" si="852"/>
        <v>0</v>
      </c>
      <c r="CJ713" s="86" t="e">
        <f t="shared" si="802"/>
        <v>#N/A</v>
      </c>
      <c r="CK713" s="82">
        <f t="shared" si="803"/>
        <v>5.3070370403969858E-3</v>
      </c>
      <c r="CL713" s="82" t="e">
        <f t="shared" si="804"/>
        <v>#N/A</v>
      </c>
      <c r="CM713" s="82">
        <f t="shared" si="805"/>
        <v>5.3070370403969858E-3</v>
      </c>
      <c r="CO713" s="149" t="str">
        <f>IF($I713&lt;&gt;"",IF(O713="User Specified",U713,INDEX('Refrigerant GWPs'!$G$2:$G$156,MATCH(O713,'Refrigerant GWPs'!$A$2:$A$156,0))),"")</f>
        <v/>
      </c>
      <c r="CP713" s="138" t="str">
        <f>IF($I713&lt;&gt;"",INDEX('Device Refrigerant Leakage'!$E$2:$E$42,MATCH($M713,'Device Refrigerant Leakage'!$B$2:$B$42,0)),"")</f>
        <v/>
      </c>
      <c r="CQ713" s="138" t="str">
        <f>IF($I713&lt;&gt;"",INDEX('Device Refrigerant Leakage'!$F$2:$F$42,MATCH($M713,'Device Refrigerant Leakage'!$B$2:$B$42,0)),"")</f>
        <v/>
      </c>
      <c r="CR713" s="145" t="str">
        <f>IF($I713&lt;&gt;"",INDEX('Device Refrigerant Leakage'!$G$2:$G$42,MATCH($M713,'Device Refrigerant Leakage'!$B$2:$B$42,0)),"")</f>
        <v/>
      </c>
      <c r="CS713" s="145" t="str">
        <f>IF($I713&lt;&gt;"",INDEX('Device Refrigerant Leakage'!$D$2:$D$42,MATCH($M713,'Device Refrigerant Leakage'!$B$2:$B$42,0))*CP713/2204.62*CO713,"")</f>
        <v/>
      </c>
      <c r="CT713" s="145" t="str">
        <f>IF($I713&lt;&gt;"",J713*(INDEX('Device Refrigerant Leakage'!$D$2:$D$42,MATCH($M713,'Device Refrigerant Leakage'!$B$2:$B$42,0))-(INDEX('Device Refrigerant Leakage'!$D$2:$D$42,MATCH($M713,'Device Refrigerant Leakage'!$B$2:$B$42,0)))*CR713*CP713)*CQ713/2204.62*CO713,"")</f>
        <v/>
      </c>
      <c r="CU713" s="135" t="str">
        <f>IF($I713&lt;&gt;"",J713*IF(W713&lt;&gt;"AR",(CS713*K713)+CT713,(CS713*AB713)+CT713*(AB713/INDEX('Device Refrigerant Leakage'!$C$2:$C$42,MATCH($M713,'Device Refrigerant Leakage'!$B$2:$B$42,0)))),"")</f>
        <v/>
      </c>
      <c r="CW713" s="135" t="str">
        <f>IF($I713&lt;&gt;"",IF(S713="User Specified",V713,INDEX('Refrigerant GWPs'!$G$2:$G$156,MATCH(S713,'Refrigerant GWPs'!$A$2:$A$157,0))),"")</f>
        <v/>
      </c>
      <c r="CX713" s="138" t="str">
        <f>IF($I713&lt;&gt;"",INDEX('Device Refrigerant Leakage'!$E$2:$E$42,MATCH($Q713,'Device Refrigerant Leakage'!$B$2:$B$42,0)),"")</f>
        <v/>
      </c>
      <c r="CY713" s="138" t="str">
        <f>IF($I713&lt;&gt;"",INDEX('Device Refrigerant Leakage'!$F$2:$F$42,MATCH($Q713,'Device Refrigerant Leakage'!$B$2:$B$42,0)),"")</f>
        <v/>
      </c>
      <c r="CZ713" s="145" t="str">
        <f>IF($I713&lt;&gt;"",INDEX('Device Refrigerant Leakage'!$G$2:$G$42,MATCH($Q713,'Device Refrigerant Leakage'!$B$2:$B$42,0)),"")</f>
        <v/>
      </c>
      <c r="DA713" s="145" t="str">
        <f>IF($I713&lt;&gt;"",J713*INDEX('Device Refrigerant Leakage'!$D$2:$D$42,MATCH($Q713,'Device Refrigerant Leakage'!$B$2:$B$42,0))*CX713/2204.62*CW713,"")</f>
        <v/>
      </c>
      <c r="DB713" s="145" t="str">
        <f>IF($I713&lt;&gt;"",J713*(INDEX('Device Refrigerant Leakage'!$D$2:$D$42,MATCH($Q713,'Device Refrigerant Leakage'!$B$2:$B$42,0))-(INDEX('Device Refrigerant Leakage'!$D$2:$D$42,MATCH($Q713,'Device Refrigerant Leakage'!$B$2:$B$42,0)))*CZ713*CX713)*CY713/2204.62*CW713,"")</f>
        <v/>
      </c>
      <c r="DC713" s="135" t="str">
        <f t="shared" si="824"/>
        <v/>
      </c>
      <c r="DE713" s="146" t="str">
        <f>IF(W713&lt;&gt;"AR","",IF(Y713="User Specified", AA713, INDEX('Refrigerant GWPs'!$G$2:$G$154,MATCH(Y713,'Refrigerant GWPs'!$A$2:$A$154,0))))</f>
        <v/>
      </c>
      <c r="DF713" s="146" t="str">
        <f>IF(W713&lt;&gt;"AR","",INDEX('Device Refrigerant Leakage'!$E$2:$E$42,MATCH(X713,'Device Refrigerant Leakage'!$B$2:$B$42,0)))</f>
        <v/>
      </c>
      <c r="DG713" s="146" t="str">
        <f>IF(W713&lt;&gt;"AR","",INDEX('Device Refrigerant Leakage'!$F$2:$F$42,MATCH(X713,'Device Refrigerant Leakage'!$B$2:$B$42,0)))</f>
        <v/>
      </c>
      <c r="DH713" s="146" t="str">
        <f>IF(W713&lt;&gt;"AR","",INDEX('Device Refrigerant Leakage'!$G$2:$G$42,MATCH(X713,'Device Refrigerant Leakage'!$B$2:$B$42,0)))</f>
        <v/>
      </c>
      <c r="DI713" s="146" t="str">
        <f>IF(W713&lt;&gt;"AR","",J713*INDEX('Device Refrigerant Leakage'!$D$2:$D$42,MATCH(X713,'Device Refrigerant Leakage'!$B$2:$B$42,0))*DF713/2204.62*DE713)</f>
        <v/>
      </c>
      <c r="DJ713" s="146" t="str">
        <f>IF(W713&lt;&gt;"AR","",J713*(INDEX('Device Refrigerant Leakage'!$D$2:$D$42,MATCH(X713,'Device Refrigerant Leakage'!$B$2:$B$42,0))-(INDEX('Device Refrigerant Leakage'!$D$2:$D$42,MATCH(X713,'Device Refrigerant Leakage'!$B$2:$B$42,0)))*DH713*DF713)*DG713/2204.62*DE713)</f>
        <v/>
      </c>
      <c r="DK713" s="146" t="str">
        <f>IF(W713&lt;&gt;"AR","",DI713*(K713-AB713)+'Fuel Sub Calcs-Deemed'!DJ713*((K713-AB713)/INDEX('Device Refrigerant Leakage'!$C$2:$C$42,MATCH('Fuel Sub Calcs-Deemed'!X713,'Device Refrigerant Leakage'!$B$2:$B$42,0))))</f>
        <v/>
      </c>
      <c r="DM713" s="56">
        <v>699</v>
      </c>
      <c r="DN713" s="67" t="e">
        <f t="shared" si="806"/>
        <v>#N/A</v>
      </c>
      <c r="DO713" s="45" t="e">
        <f t="shared" si="807"/>
        <v>#N/A</v>
      </c>
      <c r="DP713" s="67" t="e">
        <f t="shared" si="808"/>
        <v>#N/A</v>
      </c>
      <c r="DQ713" s="45" t="e">
        <f t="shared" si="809"/>
        <v>#N/A</v>
      </c>
      <c r="DR713" s="69" t="e">
        <f t="shared" si="810"/>
        <v>#N/A</v>
      </c>
      <c r="DS713" s="34"/>
      <c r="DT713" s="67" t="e">
        <f>((BX713*CJ713)+IF($W713=MAT_AR,(BZ713*CL713),0))*(1+Reference!$E$50+Reference!$E$51)</f>
        <v>#N/A</v>
      </c>
      <c r="DU713" s="67">
        <f>((BY713*CK713)+IF($W713=MAT_AR,(CA713*CM713),0))*(1+Reference!$G$50+Reference!$G$51)</f>
        <v>0</v>
      </c>
      <c r="DV713" s="67" t="e">
        <f t="shared" si="811"/>
        <v>#VALUE!</v>
      </c>
      <c r="DX713" s="56">
        <v>699</v>
      </c>
      <c r="DY713" s="67">
        <f t="shared" si="812"/>
        <v>0</v>
      </c>
      <c r="DZ713" s="45" t="e">
        <f>VLOOKUP($R713,Dropdown!$C$3:$D$4,2,FALSE)</f>
        <v>#N/A</v>
      </c>
      <c r="EA713" s="68">
        <f t="shared" si="813"/>
        <v>0</v>
      </c>
      <c r="EB713" s="68" t="str">
        <f t="shared" si="814"/>
        <v>N/A</v>
      </c>
      <c r="EC713" s="68">
        <f t="shared" si="815"/>
        <v>0</v>
      </c>
      <c r="ED713" s="68" t="str">
        <f t="shared" si="853"/>
        <v>N/A</v>
      </c>
      <c r="EF713" s="56">
        <v>699</v>
      </c>
      <c r="EG713" s="46">
        <f t="shared" si="816"/>
        <v>0</v>
      </c>
      <c r="EH713" s="68" t="e">
        <f t="shared" si="817"/>
        <v>#N/A</v>
      </c>
      <c r="EI713" s="68" t="e">
        <f t="shared" si="818"/>
        <v>#N/A</v>
      </c>
      <c r="EJ713" s="68" t="e">
        <f t="shared" si="819"/>
        <v>#N/A</v>
      </c>
      <c r="EK713" s="68" t="e">
        <f t="shared" si="820"/>
        <v>#N/A</v>
      </c>
      <c r="EL713" s="46">
        <f t="shared" si="821"/>
        <v>0</v>
      </c>
      <c r="EM713" s="46">
        <f t="shared" si="822"/>
        <v>0</v>
      </c>
    </row>
    <row r="714" spans="1:143">
      <c r="A714" s="89"/>
      <c r="B714" s="89"/>
      <c r="C714" s="89"/>
      <c r="D714" s="89"/>
      <c r="E714" s="89"/>
      <c r="F714" s="89"/>
      <c r="G714" s="34"/>
      <c r="H714" s="56">
        <f t="shared" si="823"/>
        <v>700</v>
      </c>
      <c r="I714" s="165"/>
      <c r="J714" s="163"/>
      <c r="K714" s="163"/>
      <c r="L714" s="164"/>
      <c r="M714" s="155"/>
      <c r="N714" s="155"/>
      <c r="O714" s="144"/>
      <c r="P714" s="159" t="str">
        <f>IFERROR(IF(O714&lt;&gt;"User Specified",IF(O714&lt;&gt;"", INDEX('Refrigerant GWPs'!$G$2:$G$154,MATCH(O714,'Refrigerant GWPs'!$A$2:$A$154,0)),""),U714),0)</f>
        <v/>
      </c>
      <c r="Q714" s="155"/>
      <c r="R714" s="155"/>
      <c r="S714" s="144"/>
      <c r="T714" s="159" t="str">
        <f>IF(S714&lt;&gt;"User Specified",IF(AND(S714&lt;&gt;"User Specified",S714&lt;&gt;""), INDEX('Refrigerant GWPs'!$G$2:$G$154,MATCH(S714,'Refrigerant GWPs'!$A$2:$A$154,0)),""),V714)</f>
        <v/>
      </c>
      <c r="U714" s="144"/>
      <c r="V714" s="144"/>
      <c r="W714" s="155"/>
      <c r="X714" s="155"/>
      <c r="Y714" s="144"/>
      <c r="Z714" s="159" t="str">
        <f>IF(AND(Y714&lt;&gt;"User Specified",Y714&lt;&gt;""), INDEX('Refrigerant GWPs'!$G$2:$G$154,MATCH(Y714,'Refrigerant GWPs'!$A$2:$A$154,0)),"")</f>
        <v/>
      </c>
      <c r="AA714" s="155"/>
      <c r="AB714" s="156"/>
      <c r="AC714" s="66"/>
      <c r="AD714" s="66"/>
      <c r="AE714" s="66"/>
      <c r="AF714" s="66"/>
      <c r="AG714" s="66"/>
      <c r="AH714" s="66"/>
      <c r="AI714" s="34"/>
      <c r="AJ714" s="88">
        <f t="shared" si="786"/>
        <v>0</v>
      </c>
      <c r="AK714" s="88">
        <f t="shared" si="787"/>
        <v>0</v>
      </c>
      <c r="AL714" s="88">
        <v>0</v>
      </c>
      <c r="AM714" s="88">
        <v>0</v>
      </c>
      <c r="AN714" s="81" t="str">
        <f t="shared" si="825"/>
        <v/>
      </c>
      <c r="AO714" s="88">
        <f t="shared" si="788"/>
        <v>0</v>
      </c>
      <c r="AP714" s="88">
        <f t="shared" si="789"/>
        <v>0</v>
      </c>
      <c r="AQ714" s="81" t="str">
        <f t="shared" si="790"/>
        <v/>
      </c>
      <c r="AS714" s="41" t="b">
        <f t="shared" si="791"/>
        <v>1</v>
      </c>
      <c r="AT714" s="38">
        <f t="shared" si="792"/>
        <v>0</v>
      </c>
      <c r="AU714" s="60">
        <f t="shared" si="793"/>
        <v>0</v>
      </c>
      <c r="AV714" s="41">
        <f t="shared" si="794"/>
        <v>0</v>
      </c>
      <c r="AW714" s="41" t="b">
        <f t="shared" si="795"/>
        <v>0</v>
      </c>
      <c r="AX714" t="str">
        <f t="shared" si="796"/>
        <v>+00</v>
      </c>
      <c r="AY714" t="str">
        <f t="shared" si="797"/>
        <v>+00</v>
      </c>
      <c r="BA714" s="47" t="b">
        <f t="shared" si="826"/>
        <v>1</v>
      </c>
      <c r="BB714" s="42" t="b">
        <f t="shared" si="827"/>
        <v>1</v>
      </c>
      <c r="BC714" s="42" t="b">
        <f t="shared" si="828"/>
        <v>0</v>
      </c>
      <c r="BD714" s="42" t="b">
        <f t="shared" si="829"/>
        <v>0</v>
      </c>
      <c r="BE714" s="70">
        <f t="shared" si="830"/>
        <v>0</v>
      </c>
      <c r="BF714" s="70">
        <f t="shared" si="831"/>
        <v>0</v>
      </c>
      <c r="BG714" s="34"/>
      <c r="BI714" s="47" t="b">
        <f t="shared" si="832"/>
        <v>1</v>
      </c>
      <c r="BJ714" s="47" t="b">
        <f t="shared" si="833"/>
        <v>1</v>
      </c>
      <c r="BK714" s="42" t="b">
        <f t="shared" si="834"/>
        <v>0</v>
      </c>
      <c r="BL714" s="42" t="b">
        <f t="shared" si="835"/>
        <v>0</v>
      </c>
      <c r="BM714" s="42">
        <f t="shared" si="836"/>
        <v>0</v>
      </c>
      <c r="BN714" s="42">
        <f t="shared" si="837"/>
        <v>0</v>
      </c>
      <c r="BP714" t="e">
        <f t="shared" si="838"/>
        <v>#N/A</v>
      </c>
      <c r="BQ714" t="e">
        <f t="shared" si="839"/>
        <v>#N/A</v>
      </c>
      <c r="BR714" t="e">
        <f t="shared" si="840"/>
        <v>#N/A</v>
      </c>
      <c r="BT714" s="60">
        <f t="shared" si="841"/>
        <v>0</v>
      </c>
      <c r="BU714" s="60">
        <f t="shared" si="842"/>
        <v>0</v>
      </c>
      <c r="BV714" s="60">
        <f t="shared" si="843"/>
        <v>0</v>
      </c>
      <c r="BW714" s="60">
        <f t="shared" si="844"/>
        <v>0</v>
      </c>
      <c r="BX714" s="60">
        <f t="shared" si="845"/>
        <v>0</v>
      </c>
      <c r="BY714" s="60">
        <f t="shared" si="846"/>
        <v>0</v>
      </c>
      <c r="BZ714" s="60">
        <f t="shared" si="847"/>
        <v>0</v>
      </c>
      <c r="CA714" s="60">
        <f t="shared" si="848"/>
        <v>0</v>
      </c>
      <c r="CB714" s="60" t="e">
        <f t="shared" si="798"/>
        <v>#N/A</v>
      </c>
      <c r="CC714" s="60">
        <f t="shared" si="799"/>
        <v>100000</v>
      </c>
      <c r="CD714" s="60" t="e">
        <f t="shared" si="800"/>
        <v>#N/A</v>
      </c>
      <c r="CE714" s="60">
        <f t="shared" si="801"/>
        <v>100000</v>
      </c>
      <c r="CF714" s="83" t="e">
        <f t="shared" si="849"/>
        <v>#N/A</v>
      </c>
      <c r="CG714" s="83">
        <f t="shared" si="850"/>
        <v>0</v>
      </c>
      <c r="CH714" s="83" t="e">
        <f t="shared" si="851"/>
        <v>#N/A</v>
      </c>
      <c r="CI714" s="83">
        <f t="shared" si="852"/>
        <v>0</v>
      </c>
      <c r="CJ714" s="86" t="e">
        <f t="shared" si="802"/>
        <v>#N/A</v>
      </c>
      <c r="CK714" s="82">
        <f t="shared" si="803"/>
        <v>5.3070370403969858E-3</v>
      </c>
      <c r="CL714" s="82" t="e">
        <f t="shared" si="804"/>
        <v>#N/A</v>
      </c>
      <c r="CM714" s="82">
        <f t="shared" si="805"/>
        <v>5.3070370403969858E-3</v>
      </c>
      <c r="CO714" s="149" t="str">
        <f>IF($I714&lt;&gt;"",IF(O714="User Specified",U714,INDEX('Refrigerant GWPs'!$G$2:$G$156,MATCH(O714,'Refrigerant GWPs'!$A$2:$A$156,0))),"")</f>
        <v/>
      </c>
      <c r="CP714" s="138" t="str">
        <f>IF($I714&lt;&gt;"",INDEX('Device Refrigerant Leakage'!$E$2:$E$42,MATCH($M714,'Device Refrigerant Leakage'!$B$2:$B$42,0)),"")</f>
        <v/>
      </c>
      <c r="CQ714" s="138" t="str">
        <f>IF($I714&lt;&gt;"",INDEX('Device Refrigerant Leakage'!$F$2:$F$42,MATCH($M714,'Device Refrigerant Leakage'!$B$2:$B$42,0)),"")</f>
        <v/>
      </c>
      <c r="CR714" s="145" t="str">
        <f>IF($I714&lt;&gt;"",INDEX('Device Refrigerant Leakage'!$G$2:$G$42,MATCH($M714,'Device Refrigerant Leakage'!$B$2:$B$42,0)),"")</f>
        <v/>
      </c>
      <c r="CS714" s="145" t="str">
        <f>IF($I714&lt;&gt;"",INDEX('Device Refrigerant Leakage'!$D$2:$D$42,MATCH($M714,'Device Refrigerant Leakage'!$B$2:$B$42,0))*CP714/2204.62*CO714,"")</f>
        <v/>
      </c>
      <c r="CT714" s="145" t="str">
        <f>IF($I714&lt;&gt;"",J714*(INDEX('Device Refrigerant Leakage'!$D$2:$D$42,MATCH($M714,'Device Refrigerant Leakage'!$B$2:$B$42,0))-(INDEX('Device Refrigerant Leakage'!$D$2:$D$42,MATCH($M714,'Device Refrigerant Leakage'!$B$2:$B$42,0)))*CR714*CP714)*CQ714/2204.62*CO714,"")</f>
        <v/>
      </c>
      <c r="CU714" s="135" t="str">
        <f>IF($I714&lt;&gt;"",J714*IF(W714&lt;&gt;"AR",(CS714*K714)+CT714,(CS714*AB714)+CT714*(AB714/INDEX('Device Refrigerant Leakage'!$C$2:$C$42,MATCH($M714,'Device Refrigerant Leakage'!$B$2:$B$42,0)))),"")</f>
        <v/>
      </c>
      <c r="CW714" s="135" t="str">
        <f>IF($I714&lt;&gt;"",IF(S714="User Specified",V714,INDEX('Refrigerant GWPs'!$G$2:$G$156,MATCH(S714,'Refrigerant GWPs'!$A$2:$A$157,0))),"")</f>
        <v/>
      </c>
      <c r="CX714" s="138" t="str">
        <f>IF($I714&lt;&gt;"",INDEX('Device Refrigerant Leakage'!$E$2:$E$42,MATCH($Q714,'Device Refrigerant Leakage'!$B$2:$B$42,0)),"")</f>
        <v/>
      </c>
      <c r="CY714" s="138" t="str">
        <f>IF($I714&lt;&gt;"",INDEX('Device Refrigerant Leakage'!$F$2:$F$42,MATCH($Q714,'Device Refrigerant Leakage'!$B$2:$B$42,0)),"")</f>
        <v/>
      </c>
      <c r="CZ714" s="145" t="str">
        <f>IF($I714&lt;&gt;"",INDEX('Device Refrigerant Leakage'!$G$2:$G$42,MATCH($Q714,'Device Refrigerant Leakage'!$B$2:$B$42,0)),"")</f>
        <v/>
      </c>
      <c r="DA714" s="145" t="str">
        <f>IF($I714&lt;&gt;"",J714*INDEX('Device Refrigerant Leakage'!$D$2:$D$42,MATCH($Q714,'Device Refrigerant Leakage'!$B$2:$B$42,0))*CX714/2204.62*CW714,"")</f>
        <v/>
      </c>
      <c r="DB714" s="145" t="str">
        <f>IF($I714&lt;&gt;"",J714*(INDEX('Device Refrigerant Leakage'!$D$2:$D$42,MATCH($Q714,'Device Refrigerant Leakage'!$B$2:$B$42,0))-(INDEX('Device Refrigerant Leakage'!$D$2:$D$42,MATCH($Q714,'Device Refrigerant Leakage'!$B$2:$B$42,0)))*CZ714*CX714)*CY714/2204.62*CW714,"")</f>
        <v/>
      </c>
      <c r="DC714" s="135" t="str">
        <f t="shared" si="824"/>
        <v/>
      </c>
      <c r="DE714" s="146" t="str">
        <f>IF(W714&lt;&gt;"AR","",IF(Y714="User Specified", AA714, INDEX('Refrigerant GWPs'!$G$2:$G$154,MATCH(Y714,'Refrigerant GWPs'!$A$2:$A$154,0))))</f>
        <v/>
      </c>
      <c r="DF714" s="146" t="str">
        <f>IF(W714&lt;&gt;"AR","",INDEX('Device Refrigerant Leakage'!$E$2:$E$42,MATCH(X714,'Device Refrigerant Leakage'!$B$2:$B$42,0)))</f>
        <v/>
      </c>
      <c r="DG714" s="146" t="str">
        <f>IF(W714&lt;&gt;"AR","",INDEX('Device Refrigerant Leakage'!$F$2:$F$42,MATCH(X714,'Device Refrigerant Leakage'!$B$2:$B$42,0)))</f>
        <v/>
      </c>
      <c r="DH714" s="146" t="str">
        <f>IF(W714&lt;&gt;"AR","",INDEX('Device Refrigerant Leakage'!$G$2:$G$42,MATCH(X714,'Device Refrigerant Leakage'!$B$2:$B$42,0)))</f>
        <v/>
      </c>
      <c r="DI714" s="146" t="str">
        <f>IF(W714&lt;&gt;"AR","",J714*INDEX('Device Refrigerant Leakage'!$D$2:$D$42,MATCH(X714,'Device Refrigerant Leakage'!$B$2:$B$42,0))*DF714/2204.62*DE714)</f>
        <v/>
      </c>
      <c r="DJ714" s="146" t="str">
        <f>IF(W714&lt;&gt;"AR","",J714*(INDEX('Device Refrigerant Leakage'!$D$2:$D$42,MATCH(X714,'Device Refrigerant Leakage'!$B$2:$B$42,0))-(INDEX('Device Refrigerant Leakage'!$D$2:$D$42,MATCH(X714,'Device Refrigerant Leakage'!$B$2:$B$42,0)))*DH714*DF714)*DG714/2204.62*DE714)</f>
        <v/>
      </c>
      <c r="DK714" s="146" t="str">
        <f>IF(W714&lt;&gt;"AR","",DI714*(K714-AB714)+'Fuel Sub Calcs-Deemed'!DJ714*((K714-AB714)/INDEX('Device Refrigerant Leakage'!$C$2:$C$42,MATCH('Fuel Sub Calcs-Deemed'!X714,'Device Refrigerant Leakage'!$B$2:$B$42,0))))</f>
        <v/>
      </c>
      <c r="DM714" s="56">
        <v>700</v>
      </c>
      <c r="DN714" s="67" t="e">
        <f t="shared" si="806"/>
        <v>#N/A</v>
      </c>
      <c r="DO714" s="45" t="e">
        <f t="shared" si="807"/>
        <v>#N/A</v>
      </c>
      <c r="DP714" s="67" t="e">
        <f t="shared" si="808"/>
        <v>#N/A</v>
      </c>
      <c r="DQ714" s="45" t="e">
        <f t="shared" si="809"/>
        <v>#N/A</v>
      </c>
      <c r="DR714" s="69" t="e">
        <f t="shared" si="810"/>
        <v>#N/A</v>
      </c>
      <c r="DS714" s="34"/>
      <c r="DT714" s="67" t="e">
        <f>((BX714*CJ714)+IF($W714=MAT_AR,(BZ714*CL714),0))*(1+Reference!$E$50+Reference!$E$51)</f>
        <v>#N/A</v>
      </c>
      <c r="DU714" s="67">
        <f>((BY714*CK714)+IF($W714=MAT_AR,(CA714*CM714),0))*(1+Reference!$G$50+Reference!$G$51)</f>
        <v>0</v>
      </c>
      <c r="DV714" s="67" t="e">
        <f t="shared" si="811"/>
        <v>#VALUE!</v>
      </c>
      <c r="DX714" s="56">
        <v>700</v>
      </c>
      <c r="DY714" s="67">
        <f t="shared" si="812"/>
        <v>0</v>
      </c>
      <c r="DZ714" s="45" t="e">
        <f>VLOOKUP($R714,Dropdown!$C$3:$D$4,2,FALSE)</f>
        <v>#N/A</v>
      </c>
      <c r="EA714" s="68">
        <f t="shared" si="813"/>
        <v>0</v>
      </c>
      <c r="EB714" s="68" t="str">
        <f t="shared" si="814"/>
        <v>N/A</v>
      </c>
      <c r="EC714" s="68">
        <f t="shared" si="815"/>
        <v>0</v>
      </c>
      <c r="ED714" s="68" t="str">
        <f t="shared" si="853"/>
        <v>N/A</v>
      </c>
      <c r="EF714" s="56">
        <v>700</v>
      </c>
      <c r="EG714" s="46">
        <f t="shared" si="816"/>
        <v>0</v>
      </c>
      <c r="EH714" s="68" t="e">
        <f t="shared" si="817"/>
        <v>#N/A</v>
      </c>
      <c r="EI714" s="68" t="e">
        <f t="shared" si="818"/>
        <v>#N/A</v>
      </c>
      <c r="EJ714" s="68" t="e">
        <f t="shared" si="819"/>
        <v>#N/A</v>
      </c>
      <c r="EK714" s="68" t="e">
        <f t="shared" si="820"/>
        <v>#N/A</v>
      </c>
      <c r="EL714" s="46">
        <f t="shared" si="821"/>
        <v>0</v>
      </c>
      <c r="EM714" s="46">
        <f t="shared" si="822"/>
        <v>0</v>
      </c>
    </row>
    <row r="715" spans="1:143">
      <c r="A715" s="89"/>
      <c r="B715" s="89"/>
      <c r="C715" s="89"/>
      <c r="D715" s="89"/>
      <c r="E715" s="89"/>
      <c r="F715" s="89"/>
      <c r="G715" s="34"/>
      <c r="H715" s="56">
        <f t="shared" si="823"/>
        <v>701</v>
      </c>
      <c r="I715" s="165"/>
      <c r="J715" s="163"/>
      <c r="K715" s="163"/>
      <c r="L715" s="164"/>
      <c r="M715" s="155"/>
      <c r="N715" s="155"/>
      <c r="O715" s="144"/>
      <c r="P715" s="159" t="str">
        <f>IFERROR(IF(O715&lt;&gt;"User Specified",IF(O715&lt;&gt;"", INDEX('Refrigerant GWPs'!$G$2:$G$154,MATCH(O715,'Refrigerant GWPs'!$A$2:$A$154,0)),""),U715),0)</f>
        <v/>
      </c>
      <c r="Q715" s="155"/>
      <c r="R715" s="155"/>
      <c r="S715" s="144"/>
      <c r="T715" s="159" t="str">
        <f>IF(S715&lt;&gt;"User Specified",IF(AND(S715&lt;&gt;"User Specified",S715&lt;&gt;""), INDEX('Refrigerant GWPs'!$G$2:$G$154,MATCH(S715,'Refrigerant GWPs'!$A$2:$A$154,0)),""),V715)</f>
        <v/>
      </c>
      <c r="U715" s="144"/>
      <c r="V715" s="144"/>
      <c r="W715" s="155"/>
      <c r="X715" s="155"/>
      <c r="Y715" s="144"/>
      <c r="Z715" s="159" t="str">
        <f>IF(AND(Y715&lt;&gt;"User Specified",Y715&lt;&gt;""), INDEX('Refrigerant GWPs'!$G$2:$G$154,MATCH(Y715,'Refrigerant GWPs'!$A$2:$A$154,0)),"")</f>
        <v/>
      </c>
      <c r="AA715" s="155"/>
      <c r="AB715" s="156"/>
      <c r="AC715" s="66"/>
      <c r="AD715" s="66"/>
      <c r="AE715" s="66"/>
      <c r="AF715" s="66"/>
      <c r="AG715" s="66"/>
      <c r="AH715" s="66"/>
      <c r="AI715" s="34"/>
      <c r="AJ715" s="88">
        <f t="shared" si="786"/>
        <v>0</v>
      </c>
      <c r="AK715" s="88">
        <f t="shared" si="787"/>
        <v>0</v>
      </c>
      <c r="AL715" s="88">
        <v>0</v>
      </c>
      <c r="AM715" s="88">
        <v>0</v>
      </c>
      <c r="AN715" s="81" t="str">
        <f t="shared" si="825"/>
        <v/>
      </c>
      <c r="AO715" s="88">
        <f t="shared" si="788"/>
        <v>0</v>
      </c>
      <c r="AP715" s="88">
        <f t="shared" si="789"/>
        <v>0</v>
      </c>
      <c r="AQ715" s="81" t="str">
        <f t="shared" si="790"/>
        <v/>
      </c>
      <c r="AS715" s="41" t="b">
        <f t="shared" si="791"/>
        <v>1</v>
      </c>
      <c r="AT715" s="38">
        <f t="shared" si="792"/>
        <v>0</v>
      </c>
      <c r="AU715" s="60">
        <f t="shared" si="793"/>
        <v>0</v>
      </c>
      <c r="AV715" s="41">
        <f t="shared" si="794"/>
        <v>0</v>
      </c>
      <c r="AW715" s="41" t="b">
        <f t="shared" si="795"/>
        <v>0</v>
      </c>
      <c r="AX715" t="str">
        <f t="shared" si="796"/>
        <v>+00</v>
      </c>
      <c r="AY715" t="str">
        <f t="shared" si="797"/>
        <v>+00</v>
      </c>
      <c r="BA715" s="47" t="b">
        <f t="shared" si="826"/>
        <v>1</v>
      </c>
      <c r="BB715" s="42" t="b">
        <f t="shared" si="827"/>
        <v>1</v>
      </c>
      <c r="BC715" s="42" t="b">
        <f t="shared" si="828"/>
        <v>0</v>
      </c>
      <c r="BD715" s="42" t="b">
        <f t="shared" si="829"/>
        <v>0</v>
      </c>
      <c r="BE715" s="70">
        <f t="shared" si="830"/>
        <v>0</v>
      </c>
      <c r="BF715" s="70">
        <f t="shared" si="831"/>
        <v>0</v>
      </c>
      <c r="BG715" s="34"/>
      <c r="BI715" s="47" t="b">
        <f t="shared" si="832"/>
        <v>1</v>
      </c>
      <c r="BJ715" s="47" t="b">
        <f t="shared" si="833"/>
        <v>1</v>
      </c>
      <c r="BK715" s="42" t="b">
        <f t="shared" si="834"/>
        <v>0</v>
      </c>
      <c r="BL715" s="42" t="b">
        <f t="shared" si="835"/>
        <v>0</v>
      </c>
      <c r="BM715" s="42">
        <f t="shared" si="836"/>
        <v>0</v>
      </c>
      <c r="BN715" s="42">
        <f t="shared" si="837"/>
        <v>0</v>
      </c>
      <c r="BP715" t="e">
        <f t="shared" si="838"/>
        <v>#N/A</v>
      </c>
      <c r="BQ715" t="e">
        <f t="shared" si="839"/>
        <v>#N/A</v>
      </c>
      <c r="BR715" t="e">
        <f t="shared" si="840"/>
        <v>#N/A</v>
      </c>
      <c r="BT715" s="60">
        <f t="shared" si="841"/>
        <v>0</v>
      </c>
      <c r="BU715" s="60">
        <f t="shared" si="842"/>
        <v>0</v>
      </c>
      <c r="BV715" s="60">
        <f t="shared" si="843"/>
        <v>0</v>
      </c>
      <c r="BW715" s="60">
        <f t="shared" si="844"/>
        <v>0</v>
      </c>
      <c r="BX715" s="60">
        <f t="shared" si="845"/>
        <v>0</v>
      </c>
      <c r="BY715" s="60">
        <f t="shared" si="846"/>
        <v>0</v>
      </c>
      <c r="BZ715" s="60">
        <f t="shared" si="847"/>
        <v>0</v>
      </c>
      <c r="CA715" s="60">
        <f t="shared" si="848"/>
        <v>0</v>
      </c>
      <c r="CB715" s="60" t="e">
        <f t="shared" si="798"/>
        <v>#N/A</v>
      </c>
      <c r="CC715" s="60">
        <f t="shared" si="799"/>
        <v>100000</v>
      </c>
      <c r="CD715" s="60" t="e">
        <f t="shared" si="800"/>
        <v>#N/A</v>
      </c>
      <c r="CE715" s="60">
        <f t="shared" si="801"/>
        <v>100000</v>
      </c>
      <c r="CF715" s="83" t="e">
        <f t="shared" si="849"/>
        <v>#N/A</v>
      </c>
      <c r="CG715" s="83">
        <f t="shared" si="850"/>
        <v>0</v>
      </c>
      <c r="CH715" s="83" t="e">
        <f t="shared" si="851"/>
        <v>#N/A</v>
      </c>
      <c r="CI715" s="83">
        <f t="shared" si="852"/>
        <v>0</v>
      </c>
      <c r="CJ715" s="86" t="e">
        <f t="shared" si="802"/>
        <v>#N/A</v>
      </c>
      <c r="CK715" s="82">
        <f t="shared" si="803"/>
        <v>5.3070370403969858E-3</v>
      </c>
      <c r="CL715" s="82" t="e">
        <f t="shared" si="804"/>
        <v>#N/A</v>
      </c>
      <c r="CM715" s="82">
        <f t="shared" si="805"/>
        <v>5.3070370403969858E-3</v>
      </c>
      <c r="CO715" s="149" t="str">
        <f>IF($I715&lt;&gt;"",IF(O715="User Specified",U715,INDEX('Refrigerant GWPs'!$G$2:$G$156,MATCH(O715,'Refrigerant GWPs'!$A$2:$A$156,0))),"")</f>
        <v/>
      </c>
      <c r="CP715" s="138" t="str">
        <f>IF($I715&lt;&gt;"",INDEX('Device Refrigerant Leakage'!$E$2:$E$42,MATCH($M715,'Device Refrigerant Leakage'!$B$2:$B$42,0)),"")</f>
        <v/>
      </c>
      <c r="CQ715" s="138" t="str">
        <f>IF($I715&lt;&gt;"",INDEX('Device Refrigerant Leakage'!$F$2:$F$42,MATCH($M715,'Device Refrigerant Leakage'!$B$2:$B$42,0)),"")</f>
        <v/>
      </c>
      <c r="CR715" s="145" t="str">
        <f>IF($I715&lt;&gt;"",INDEX('Device Refrigerant Leakage'!$G$2:$G$42,MATCH($M715,'Device Refrigerant Leakage'!$B$2:$B$42,0)),"")</f>
        <v/>
      </c>
      <c r="CS715" s="145" t="str">
        <f>IF($I715&lt;&gt;"",INDEX('Device Refrigerant Leakage'!$D$2:$D$42,MATCH($M715,'Device Refrigerant Leakage'!$B$2:$B$42,0))*CP715/2204.62*CO715,"")</f>
        <v/>
      </c>
      <c r="CT715" s="145" t="str">
        <f>IF($I715&lt;&gt;"",J715*(INDEX('Device Refrigerant Leakage'!$D$2:$D$42,MATCH($M715,'Device Refrigerant Leakage'!$B$2:$B$42,0))-(INDEX('Device Refrigerant Leakage'!$D$2:$D$42,MATCH($M715,'Device Refrigerant Leakage'!$B$2:$B$42,0)))*CR715*CP715)*CQ715/2204.62*CO715,"")</f>
        <v/>
      </c>
      <c r="CU715" s="135" t="str">
        <f>IF($I715&lt;&gt;"",J715*IF(W715&lt;&gt;"AR",(CS715*K715)+CT715,(CS715*AB715)+CT715*(AB715/INDEX('Device Refrigerant Leakage'!$C$2:$C$42,MATCH($M715,'Device Refrigerant Leakage'!$B$2:$B$42,0)))),"")</f>
        <v/>
      </c>
      <c r="CW715" s="135" t="str">
        <f>IF($I715&lt;&gt;"",IF(S715="User Specified",V715,INDEX('Refrigerant GWPs'!$G$2:$G$156,MATCH(S715,'Refrigerant GWPs'!$A$2:$A$157,0))),"")</f>
        <v/>
      </c>
      <c r="CX715" s="138" t="str">
        <f>IF($I715&lt;&gt;"",INDEX('Device Refrigerant Leakage'!$E$2:$E$42,MATCH($Q715,'Device Refrigerant Leakage'!$B$2:$B$42,0)),"")</f>
        <v/>
      </c>
      <c r="CY715" s="138" t="str">
        <f>IF($I715&lt;&gt;"",INDEX('Device Refrigerant Leakage'!$F$2:$F$42,MATCH($Q715,'Device Refrigerant Leakage'!$B$2:$B$42,0)),"")</f>
        <v/>
      </c>
      <c r="CZ715" s="145" t="str">
        <f>IF($I715&lt;&gt;"",INDEX('Device Refrigerant Leakage'!$G$2:$G$42,MATCH($Q715,'Device Refrigerant Leakage'!$B$2:$B$42,0)),"")</f>
        <v/>
      </c>
      <c r="DA715" s="145" t="str">
        <f>IF($I715&lt;&gt;"",J715*INDEX('Device Refrigerant Leakage'!$D$2:$D$42,MATCH($Q715,'Device Refrigerant Leakage'!$B$2:$B$42,0))*CX715/2204.62*CW715,"")</f>
        <v/>
      </c>
      <c r="DB715" s="145" t="str">
        <f>IF($I715&lt;&gt;"",J715*(INDEX('Device Refrigerant Leakage'!$D$2:$D$42,MATCH($Q715,'Device Refrigerant Leakage'!$B$2:$B$42,0))-(INDEX('Device Refrigerant Leakage'!$D$2:$D$42,MATCH($Q715,'Device Refrigerant Leakage'!$B$2:$B$42,0)))*CZ715*CX715)*CY715/2204.62*CW715,"")</f>
        <v/>
      </c>
      <c r="DC715" s="135" t="str">
        <f t="shared" si="824"/>
        <v/>
      </c>
      <c r="DE715" s="146" t="str">
        <f>IF(W715&lt;&gt;"AR","",IF(Y715="User Specified", AA715, INDEX('Refrigerant GWPs'!$G$2:$G$154,MATCH(Y715,'Refrigerant GWPs'!$A$2:$A$154,0))))</f>
        <v/>
      </c>
      <c r="DF715" s="146" t="str">
        <f>IF(W715&lt;&gt;"AR","",INDEX('Device Refrigerant Leakage'!$E$2:$E$42,MATCH(X715,'Device Refrigerant Leakage'!$B$2:$B$42,0)))</f>
        <v/>
      </c>
      <c r="DG715" s="146" t="str">
        <f>IF(W715&lt;&gt;"AR","",INDEX('Device Refrigerant Leakage'!$F$2:$F$42,MATCH(X715,'Device Refrigerant Leakage'!$B$2:$B$42,0)))</f>
        <v/>
      </c>
      <c r="DH715" s="146" t="str">
        <f>IF(W715&lt;&gt;"AR","",INDEX('Device Refrigerant Leakage'!$G$2:$G$42,MATCH(X715,'Device Refrigerant Leakage'!$B$2:$B$42,0)))</f>
        <v/>
      </c>
      <c r="DI715" s="146" t="str">
        <f>IF(W715&lt;&gt;"AR","",J715*INDEX('Device Refrigerant Leakage'!$D$2:$D$42,MATCH(X715,'Device Refrigerant Leakage'!$B$2:$B$42,0))*DF715/2204.62*DE715)</f>
        <v/>
      </c>
      <c r="DJ715" s="146" t="str">
        <f>IF(W715&lt;&gt;"AR","",J715*(INDEX('Device Refrigerant Leakage'!$D$2:$D$42,MATCH(X715,'Device Refrigerant Leakage'!$B$2:$B$42,0))-(INDEX('Device Refrigerant Leakage'!$D$2:$D$42,MATCH(X715,'Device Refrigerant Leakage'!$B$2:$B$42,0)))*DH715*DF715)*DG715/2204.62*DE715)</f>
        <v/>
      </c>
      <c r="DK715" s="146" t="str">
        <f>IF(W715&lt;&gt;"AR","",DI715*(K715-AB715)+'Fuel Sub Calcs-Deemed'!DJ715*((K715-AB715)/INDEX('Device Refrigerant Leakage'!$C$2:$C$42,MATCH('Fuel Sub Calcs-Deemed'!X715,'Device Refrigerant Leakage'!$B$2:$B$42,0))))</f>
        <v/>
      </c>
      <c r="DM715" s="56">
        <v>701</v>
      </c>
      <c r="DN715" s="67" t="e">
        <f t="shared" si="806"/>
        <v>#N/A</v>
      </c>
      <c r="DO715" s="45" t="e">
        <f t="shared" si="807"/>
        <v>#N/A</v>
      </c>
      <c r="DP715" s="67" t="e">
        <f t="shared" si="808"/>
        <v>#N/A</v>
      </c>
      <c r="DQ715" s="45" t="e">
        <f t="shared" si="809"/>
        <v>#N/A</v>
      </c>
      <c r="DR715" s="69" t="e">
        <f t="shared" si="810"/>
        <v>#N/A</v>
      </c>
      <c r="DS715" s="34"/>
      <c r="DT715" s="67" t="e">
        <f>((BX715*CJ715)+IF($W715=MAT_AR,(BZ715*CL715),0))*(1+Reference!$E$50+Reference!$E$51)</f>
        <v>#N/A</v>
      </c>
      <c r="DU715" s="67">
        <f>((BY715*CK715)+IF($W715=MAT_AR,(CA715*CM715),0))*(1+Reference!$G$50+Reference!$G$51)</f>
        <v>0</v>
      </c>
      <c r="DV715" s="67" t="e">
        <f t="shared" si="811"/>
        <v>#VALUE!</v>
      </c>
      <c r="DX715" s="56">
        <v>701</v>
      </c>
      <c r="DY715" s="67">
        <f t="shared" si="812"/>
        <v>0</v>
      </c>
      <c r="DZ715" s="45" t="e">
        <f>VLOOKUP($R715,Dropdown!$C$3:$D$4,2,FALSE)</f>
        <v>#N/A</v>
      </c>
      <c r="EA715" s="68">
        <f t="shared" si="813"/>
        <v>0</v>
      </c>
      <c r="EB715" s="68" t="str">
        <f t="shared" si="814"/>
        <v>N/A</v>
      </c>
      <c r="EC715" s="68">
        <f t="shared" si="815"/>
        <v>0</v>
      </c>
      <c r="ED715" s="68" t="str">
        <f t="shared" si="853"/>
        <v>N/A</v>
      </c>
      <c r="EF715" s="56">
        <v>701</v>
      </c>
      <c r="EG715" s="46">
        <f t="shared" si="816"/>
        <v>0</v>
      </c>
      <c r="EH715" s="68" t="e">
        <f t="shared" si="817"/>
        <v>#N/A</v>
      </c>
      <c r="EI715" s="68" t="e">
        <f t="shared" si="818"/>
        <v>#N/A</v>
      </c>
      <c r="EJ715" s="68" t="e">
        <f t="shared" si="819"/>
        <v>#N/A</v>
      </c>
      <c r="EK715" s="68" t="e">
        <f t="shared" si="820"/>
        <v>#N/A</v>
      </c>
      <c r="EL715" s="46">
        <f t="shared" si="821"/>
        <v>0</v>
      </c>
      <c r="EM715" s="46">
        <f t="shared" si="822"/>
        <v>0</v>
      </c>
    </row>
    <row r="716" spans="1:143">
      <c r="A716" s="89"/>
      <c r="B716" s="89"/>
      <c r="C716" s="89"/>
      <c r="D716" s="89"/>
      <c r="E716" s="89"/>
      <c r="F716" s="89"/>
      <c r="G716" s="34"/>
      <c r="H716" s="56">
        <f t="shared" si="823"/>
        <v>702</v>
      </c>
      <c r="I716" s="165"/>
      <c r="J716" s="163"/>
      <c r="K716" s="163"/>
      <c r="L716" s="164"/>
      <c r="M716" s="155"/>
      <c r="N716" s="155"/>
      <c r="O716" s="144"/>
      <c r="P716" s="159" t="str">
        <f>IFERROR(IF(O716&lt;&gt;"User Specified",IF(O716&lt;&gt;"", INDEX('Refrigerant GWPs'!$G$2:$G$154,MATCH(O716,'Refrigerant GWPs'!$A$2:$A$154,0)),""),U716),0)</f>
        <v/>
      </c>
      <c r="Q716" s="155"/>
      <c r="R716" s="155"/>
      <c r="S716" s="144"/>
      <c r="T716" s="159" t="str">
        <f>IF(S716&lt;&gt;"User Specified",IF(AND(S716&lt;&gt;"User Specified",S716&lt;&gt;""), INDEX('Refrigerant GWPs'!$G$2:$G$154,MATCH(S716,'Refrigerant GWPs'!$A$2:$A$154,0)),""),V716)</f>
        <v/>
      </c>
      <c r="U716" s="144"/>
      <c r="V716" s="144"/>
      <c r="W716" s="155"/>
      <c r="X716" s="155"/>
      <c r="Y716" s="144"/>
      <c r="Z716" s="159" t="str">
        <f>IF(AND(Y716&lt;&gt;"User Specified",Y716&lt;&gt;""), INDEX('Refrigerant GWPs'!$G$2:$G$154,MATCH(Y716,'Refrigerant GWPs'!$A$2:$A$154,0)),"")</f>
        <v/>
      </c>
      <c r="AA716" s="155"/>
      <c r="AB716" s="156"/>
      <c r="AC716" s="66"/>
      <c r="AD716" s="66"/>
      <c r="AE716" s="66"/>
      <c r="AF716" s="66"/>
      <c r="AG716" s="66"/>
      <c r="AH716" s="66"/>
      <c r="AI716" s="34"/>
      <c r="AJ716" s="88">
        <f t="shared" si="786"/>
        <v>0</v>
      </c>
      <c r="AK716" s="88">
        <f t="shared" si="787"/>
        <v>0</v>
      </c>
      <c r="AL716" s="88">
        <v>0</v>
      </c>
      <c r="AM716" s="88">
        <v>0</v>
      </c>
      <c r="AN716" s="81" t="str">
        <f t="shared" si="825"/>
        <v/>
      </c>
      <c r="AO716" s="88">
        <f t="shared" si="788"/>
        <v>0</v>
      </c>
      <c r="AP716" s="88">
        <f t="shared" si="789"/>
        <v>0</v>
      </c>
      <c r="AQ716" s="81" t="str">
        <f t="shared" si="790"/>
        <v/>
      </c>
      <c r="AS716" s="41" t="b">
        <f t="shared" si="791"/>
        <v>1</v>
      </c>
      <c r="AT716" s="38">
        <f t="shared" si="792"/>
        <v>0</v>
      </c>
      <c r="AU716" s="60">
        <f t="shared" si="793"/>
        <v>0</v>
      </c>
      <c r="AV716" s="41">
        <f t="shared" si="794"/>
        <v>0</v>
      </c>
      <c r="AW716" s="41" t="b">
        <f t="shared" si="795"/>
        <v>0</v>
      </c>
      <c r="AX716" t="str">
        <f t="shared" si="796"/>
        <v>+00</v>
      </c>
      <c r="AY716" t="str">
        <f t="shared" si="797"/>
        <v>+00</v>
      </c>
      <c r="BA716" s="47" t="b">
        <f t="shared" si="826"/>
        <v>1</v>
      </c>
      <c r="BB716" s="42" t="b">
        <f t="shared" si="827"/>
        <v>1</v>
      </c>
      <c r="BC716" s="42" t="b">
        <f t="shared" si="828"/>
        <v>0</v>
      </c>
      <c r="BD716" s="42" t="b">
        <f t="shared" si="829"/>
        <v>0</v>
      </c>
      <c r="BE716" s="70">
        <f t="shared" si="830"/>
        <v>0</v>
      </c>
      <c r="BF716" s="70">
        <f t="shared" si="831"/>
        <v>0</v>
      </c>
      <c r="BG716" s="34"/>
      <c r="BI716" s="47" t="b">
        <f t="shared" si="832"/>
        <v>1</v>
      </c>
      <c r="BJ716" s="47" t="b">
        <f t="shared" si="833"/>
        <v>1</v>
      </c>
      <c r="BK716" s="42" t="b">
        <f t="shared" si="834"/>
        <v>0</v>
      </c>
      <c r="BL716" s="42" t="b">
        <f t="shared" si="835"/>
        <v>0</v>
      </c>
      <c r="BM716" s="42">
        <f t="shared" si="836"/>
        <v>0</v>
      </c>
      <c r="BN716" s="42">
        <f t="shared" si="837"/>
        <v>0</v>
      </c>
      <c r="BP716" t="e">
        <f t="shared" si="838"/>
        <v>#N/A</v>
      </c>
      <c r="BQ716" t="e">
        <f t="shared" si="839"/>
        <v>#N/A</v>
      </c>
      <c r="BR716" t="e">
        <f t="shared" si="840"/>
        <v>#N/A</v>
      </c>
      <c r="BT716" s="60">
        <f t="shared" si="841"/>
        <v>0</v>
      </c>
      <c r="BU716" s="60">
        <f t="shared" si="842"/>
        <v>0</v>
      </c>
      <c r="BV716" s="60">
        <f t="shared" si="843"/>
        <v>0</v>
      </c>
      <c r="BW716" s="60">
        <f t="shared" si="844"/>
        <v>0</v>
      </c>
      <c r="BX716" s="60">
        <f t="shared" si="845"/>
        <v>0</v>
      </c>
      <c r="BY716" s="60">
        <f t="shared" si="846"/>
        <v>0</v>
      </c>
      <c r="BZ716" s="60">
        <f t="shared" si="847"/>
        <v>0</v>
      </c>
      <c r="CA716" s="60">
        <f t="shared" si="848"/>
        <v>0</v>
      </c>
      <c r="CB716" s="60" t="e">
        <f t="shared" si="798"/>
        <v>#N/A</v>
      </c>
      <c r="CC716" s="60">
        <f t="shared" si="799"/>
        <v>100000</v>
      </c>
      <c r="CD716" s="60" t="e">
        <f t="shared" si="800"/>
        <v>#N/A</v>
      </c>
      <c r="CE716" s="60">
        <f t="shared" si="801"/>
        <v>100000</v>
      </c>
      <c r="CF716" s="83" t="e">
        <f t="shared" si="849"/>
        <v>#N/A</v>
      </c>
      <c r="CG716" s="83">
        <f t="shared" si="850"/>
        <v>0</v>
      </c>
      <c r="CH716" s="83" t="e">
        <f t="shared" si="851"/>
        <v>#N/A</v>
      </c>
      <c r="CI716" s="83">
        <f t="shared" si="852"/>
        <v>0</v>
      </c>
      <c r="CJ716" s="86" t="e">
        <f t="shared" si="802"/>
        <v>#N/A</v>
      </c>
      <c r="CK716" s="82">
        <f t="shared" si="803"/>
        <v>5.3070370403969858E-3</v>
      </c>
      <c r="CL716" s="82" t="e">
        <f t="shared" si="804"/>
        <v>#N/A</v>
      </c>
      <c r="CM716" s="82">
        <f t="shared" si="805"/>
        <v>5.3070370403969858E-3</v>
      </c>
      <c r="CO716" s="149" t="str">
        <f>IF($I716&lt;&gt;"",IF(O716="User Specified",U716,INDEX('Refrigerant GWPs'!$G$2:$G$156,MATCH(O716,'Refrigerant GWPs'!$A$2:$A$156,0))),"")</f>
        <v/>
      </c>
      <c r="CP716" s="138" t="str">
        <f>IF($I716&lt;&gt;"",INDEX('Device Refrigerant Leakage'!$E$2:$E$42,MATCH($M716,'Device Refrigerant Leakage'!$B$2:$B$42,0)),"")</f>
        <v/>
      </c>
      <c r="CQ716" s="138" t="str">
        <f>IF($I716&lt;&gt;"",INDEX('Device Refrigerant Leakage'!$F$2:$F$42,MATCH($M716,'Device Refrigerant Leakage'!$B$2:$B$42,0)),"")</f>
        <v/>
      </c>
      <c r="CR716" s="145" t="str">
        <f>IF($I716&lt;&gt;"",INDEX('Device Refrigerant Leakage'!$G$2:$G$42,MATCH($M716,'Device Refrigerant Leakage'!$B$2:$B$42,0)),"")</f>
        <v/>
      </c>
      <c r="CS716" s="145" t="str">
        <f>IF($I716&lt;&gt;"",INDEX('Device Refrigerant Leakage'!$D$2:$D$42,MATCH($M716,'Device Refrigerant Leakage'!$B$2:$B$42,0))*CP716/2204.62*CO716,"")</f>
        <v/>
      </c>
      <c r="CT716" s="145" t="str">
        <f>IF($I716&lt;&gt;"",J716*(INDEX('Device Refrigerant Leakage'!$D$2:$D$42,MATCH($M716,'Device Refrigerant Leakage'!$B$2:$B$42,0))-(INDEX('Device Refrigerant Leakage'!$D$2:$D$42,MATCH($M716,'Device Refrigerant Leakage'!$B$2:$B$42,0)))*CR716*CP716)*CQ716/2204.62*CO716,"")</f>
        <v/>
      </c>
      <c r="CU716" s="135" t="str">
        <f>IF($I716&lt;&gt;"",J716*IF(W716&lt;&gt;"AR",(CS716*K716)+CT716,(CS716*AB716)+CT716*(AB716/INDEX('Device Refrigerant Leakage'!$C$2:$C$42,MATCH($M716,'Device Refrigerant Leakage'!$B$2:$B$42,0)))),"")</f>
        <v/>
      </c>
      <c r="CW716" s="135" t="str">
        <f>IF($I716&lt;&gt;"",IF(S716="User Specified",V716,INDEX('Refrigerant GWPs'!$G$2:$G$156,MATCH(S716,'Refrigerant GWPs'!$A$2:$A$157,0))),"")</f>
        <v/>
      </c>
      <c r="CX716" s="138" t="str">
        <f>IF($I716&lt;&gt;"",INDEX('Device Refrigerant Leakage'!$E$2:$E$42,MATCH($Q716,'Device Refrigerant Leakage'!$B$2:$B$42,0)),"")</f>
        <v/>
      </c>
      <c r="CY716" s="138" t="str">
        <f>IF($I716&lt;&gt;"",INDEX('Device Refrigerant Leakage'!$F$2:$F$42,MATCH($Q716,'Device Refrigerant Leakage'!$B$2:$B$42,0)),"")</f>
        <v/>
      </c>
      <c r="CZ716" s="145" t="str">
        <f>IF($I716&lt;&gt;"",INDEX('Device Refrigerant Leakage'!$G$2:$G$42,MATCH($Q716,'Device Refrigerant Leakage'!$B$2:$B$42,0)),"")</f>
        <v/>
      </c>
      <c r="DA716" s="145" t="str">
        <f>IF($I716&lt;&gt;"",J716*INDEX('Device Refrigerant Leakage'!$D$2:$D$42,MATCH($Q716,'Device Refrigerant Leakage'!$B$2:$B$42,0))*CX716/2204.62*CW716,"")</f>
        <v/>
      </c>
      <c r="DB716" s="145" t="str">
        <f>IF($I716&lt;&gt;"",J716*(INDEX('Device Refrigerant Leakage'!$D$2:$D$42,MATCH($Q716,'Device Refrigerant Leakage'!$B$2:$B$42,0))-(INDEX('Device Refrigerant Leakage'!$D$2:$D$42,MATCH($Q716,'Device Refrigerant Leakage'!$B$2:$B$42,0)))*CZ716*CX716)*CY716/2204.62*CW716,"")</f>
        <v/>
      </c>
      <c r="DC716" s="135" t="str">
        <f t="shared" si="824"/>
        <v/>
      </c>
      <c r="DE716" s="146" t="str">
        <f>IF(W716&lt;&gt;"AR","",IF(Y716="User Specified", AA716, INDEX('Refrigerant GWPs'!$G$2:$G$154,MATCH(Y716,'Refrigerant GWPs'!$A$2:$A$154,0))))</f>
        <v/>
      </c>
      <c r="DF716" s="146" t="str">
        <f>IF(W716&lt;&gt;"AR","",INDEX('Device Refrigerant Leakage'!$E$2:$E$42,MATCH(X716,'Device Refrigerant Leakage'!$B$2:$B$42,0)))</f>
        <v/>
      </c>
      <c r="DG716" s="146" t="str">
        <f>IF(W716&lt;&gt;"AR","",INDEX('Device Refrigerant Leakage'!$F$2:$F$42,MATCH(X716,'Device Refrigerant Leakage'!$B$2:$B$42,0)))</f>
        <v/>
      </c>
      <c r="DH716" s="146" t="str">
        <f>IF(W716&lt;&gt;"AR","",INDEX('Device Refrigerant Leakage'!$G$2:$G$42,MATCH(X716,'Device Refrigerant Leakage'!$B$2:$B$42,0)))</f>
        <v/>
      </c>
      <c r="DI716" s="146" t="str">
        <f>IF(W716&lt;&gt;"AR","",J716*INDEX('Device Refrigerant Leakage'!$D$2:$D$42,MATCH(X716,'Device Refrigerant Leakage'!$B$2:$B$42,0))*DF716/2204.62*DE716)</f>
        <v/>
      </c>
      <c r="DJ716" s="146" t="str">
        <f>IF(W716&lt;&gt;"AR","",J716*(INDEX('Device Refrigerant Leakage'!$D$2:$D$42,MATCH(X716,'Device Refrigerant Leakage'!$B$2:$B$42,0))-(INDEX('Device Refrigerant Leakage'!$D$2:$D$42,MATCH(X716,'Device Refrigerant Leakage'!$B$2:$B$42,0)))*DH716*DF716)*DG716/2204.62*DE716)</f>
        <v/>
      </c>
      <c r="DK716" s="146" t="str">
        <f>IF(W716&lt;&gt;"AR","",DI716*(K716-AB716)+'Fuel Sub Calcs-Deemed'!DJ716*((K716-AB716)/INDEX('Device Refrigerant Leakage'!$C$2:$C$42,MATCH('Fuel Sub Calcs-Deemed'!X716,'Device Refrigerant Leakage'!$B$2:$B$42,0))))</f>
        <v/>
      </c>
      <c r="DM716" s="56">
        <v>702</v>
      </c>
      <c r="DN716" s="67" t="e">
        <f t="shared" si="806"/>
        <v>#N/A</v>
      </c>
      <c r="DO716" s="45" t="e">
        <f t="shared" si="807"/>
        <v>#N/A</v>
      </c>
      <c r="DP716" s="67" t="e">
        <f t="shared" si="808"/>
        <v>#N/A</v>
      </c>
      <c r="DQ716" s="45" t="e">
        <f t="shared" si="809"/>
        <v>#N/A</v>
      </c>
      <c r="DR716" s="69" t="e">
        <f t="shared" si="810"/>
        <v>#N/A</v>
      </c>
      <c r="DS716" s="34"/>
      <c r="DT716" s="67" t="e">
        <f>((BX716*CJ716)+IF($W716=MAT_AR,(BZ716*CL716),0))*(1+Reference!$E$50+Reference!$E$51)</f>
        <v>#N/A</v>
      </c>
      <c r="DU716" s="67">
        <f>((BY716*CK716)+IF($W716=MAT_AR,(CA716*CM716),0))*(1+Reference!$G$50+Reference!$G$51)</f>
        <v>0</v>
      </c>
      <c r="DV716" s="67" t="e">
        <f t="shared" si="811"/>
        <v>#VALUE!</v>
      </c>
      <c r="DX716" s="56">
        <v>702</v>
      </c>
      <c r="DY716" s="67">
        <f t="shared" si="812"/>
        <v>0</v>
      </c>
      <c r="DZ716" s="45" t="e">
        <f>VLOOKUP($R716,Dropdown!$C$3:$D$4,2,FALSE)</f>
        <v>#N/A</v>
      </c>
      <c r="EA716" s="68">
        <f t="shared" si="813"/>
        <v>0</v>
      </c>
      <c r="EB716" s="68" t="str">
        <f t="shared" si="814"/>
        <v>N/A</v>
      </c>
      <c r="EC716" s="68">
        <f t="shared" si="815"/>
        <v>0</v>
      </c>
      <c r="ED716" s="68" t="str">
        <f t="shared" si="853"/>
        <v>N/A</v>
      </c>
      <c r="EF716" s="56">
        <v>702</v>
      </c>
      <c r="EG716" s="46">
        <f t="shared" si="816"/>
        <v>0</v>
      </c>
      <c r="EH716" s="68" t="e">
        <f t="shared" si="817"/>
        <v>#N/A</v>
      </c>
      <c r="EI716" s="68" t="e">
        <f t="shared" si="818"/>
        <v>#N/A</v>
      </c>
      <c r="EJ716" s="68" t="e">
        <f t="shared" si="819"/>
        <v>#N/A</v>
      </c>
      <c r="EK716" s="68" t="e">
        <f t="shared" si="820"/>
        <v>#N/A</v>
      </c>
      <c r="EL716" s="46">
        <f t="shared" si="821"/>
        <v>0</v>
      </c>
      <c r="EM716" s="46">
        <f t="shared" si="822"/>
        <v>0</v>
      </c>
    </row>
    <row r="717" spans="1:143">
      <c r="A717" s="89"/>
      <c r="B717" s="89"/>
      <c r="C717" s="89"/>
      <c r="D717" s="89"/>
      <c r="E717" s="89"/>
      <c r="F717" s="89"/>
      <c r="G717" s="34"/>
      <c r="H717" s="56">
        <f t="shared" si="823"/>
        <v>703</v>
      </c>
      <c r="I717" s="165"/>
      <c r="J717" s="163"/>
      <c r="K717" s="163"/>
      <c r="L717" s="164"/>
      <c r="M717" s="155"/>
      <c r="N717" s="155"/>
      <c r="O717" s="144"/>
      <c r="P717" s="159" t="str">
        <f>IFERROR(IF(O717&lt;&gt;"User Specified",IF(O717&lt;&gt;"", INDEX('Refrigerant GWPs'!$G$2:$G$154,MATCH(O717,'Refrigerant GWPs'!$A$2:$A$154,0)),""),U717),0)</f>
        <v/>
      </c>
      <c r="Q717" s="155"/>
      <c r="R717" s="155"/>
      <c r="S717" s="144"/>
      <c r="T717" s="159" t="str">
        <f>IF(S717&lt;&gt;"User Specified",IF(AND(S717&lt;&gt;"User Specified",S717&lt;&gt;""), INDEX('Refrigerant GWPs'!$G$2:$G$154,MATCH(S717,'Refrigerant GWPs'!$A$2:$A$154,0)),""),V717)</f>
        <v/>
      </c>
      <c r="U717" s="144"/>
      <c r="V717" s="144"/>
      <c r="W717" s="155"/>
      <c r="X717" s="155"/>
      <c r="Y717" s="144"/>
      <c r="Z717" s="159" t="str">
        <f>IF(AND(Y717&lt;&gt;"User Specified",Y717&lt;&gt;""), INDEX('Refrigerant GWPs'!$G$2:$G$154,MATCH(Y717,'Refrigerant GWPs'!$A$2:$A$154,0)),"")</f>
        <v/>
      </c>
      <c r="AA717" s="155"/>
      <c r="AB717" s="156"/>
      <c r="AC717" s="66"/>
      <c r="AD717" s="66"/>
      <c r="AE717" s="66"/>
      <c r="AF717" s="66"/>
      <c r="AG717" s="66"/>
      <c r="AH717" s="66"/>
      <c r="AI717" s="34"/>
      <c r="AJ717" s="88">
        <f t="shared" si="786"/>
        <v>0</v>
      </c>
      <c r="AK717" s="88">
        <f t="shared" si="787"/>
        <v>0</v>
      </c>
      <c r="AL717" s="88">
        <v>0</v>
      </c>
      <c r="AM717" s="88">
        <v>0</v>
      </c>
      <c r="AN717" s="81" t="str">
        <f t="shared" si="825"/>
        <v/>
      </c>
      <c r="AO717" s="88">
        <f t="shared" si="788"/>
        <v>0</v>
      </c>
      <c r="AP717" s="88">
        <f t="shared" si="789"/>
        <v>0</v>
      </c>
      <c r="AQ717" s="81" t="str">
        <f t="shared" si="790"/>
        <v/>
      </c>
      <c r="AS717" s="41" t="b">
        <f t="shared" si="791"/>
        <v>1</v>
      </c>
      <c r="AT717" s="38">
        <f t="shared" si="792"/>
        <v>0</v>
      </c>
      <c r="AU717" s="60">
        <f t="shared" si="793"/>
        <v>0</v>
      </c>
      <c r="AV717" s="41">
        <f t="shared" si="794"/>
        <v>0</v>
      </c>
      <c r="AW717" s="41" t="b">
        <f t="shared" si="795"/>
        <v>0</v>
      </c>
      <c r="AX717" t="str">
        <f t="shared" si="796"/>
        <v>+00</v>
      </c>
      <c r="AY717" t="str">
        <f t="shared" si="797"/>
        <v>+00</v>
      </c>
      <c r="BA717" s="47" t="b">
        <f t="shared" si="826"/>
        <v>1</v>
      </c>
      <c r="BB717" s="42" t="b">
        <f t="shared" si="827"/>
        <v>1</v>
      </c>
      <c r="BC717" s="42" t="b">
        <f t="shared" si="828"/>
        <v>0</v>
      </c>
      <c r="BD717" s="42" t="b">
        <f t="shared" si="829"/>
        <v>0</v>
      </c>
      <c r="BE717" s="70">
        <f t="shared" si="830"/>
        <v>0</v>
      </c>
      <c r="BF717" s="70">
        <f t="shared" si="831"/>
        <v>0</v>
      </c>
      <c r="BG717" s="34"/>
      <c r="BI717" s="47" t="b">
        <f t="shared" si="832"/>
        <v>1</v>
      </c>
      <c r="BJ717" s="47" t="b">
        <f t="shared" si="833"/>
        <v>1</v>
      </c>
      <c r="BK717" s="42" t="b">
        <f t="shared" si="834"/>
        <v>0</v>
      </c>
      <c r="BL717" s="42" t="b">
        <f t="shared" si="835"/>
        <v>0</v>
      </c>
      <c r="BM717" s="42">
        <f t="shared" si="836"/>
        <v>0</v>
      </c>
      <c r="BN717" s="42">
        <f t="shared" si="837"/>
        <v>0</v>
      </c>
      <c r="BP717" t="e">
        <f t="shared" si="838"/>
        <v>#N/A</v>
      </c>
      <c r="BQ717" t="e">
        <f t="shared" si="839"/>
        <v>#N/A</v>
      </c>
      <c r="BR717" t="e">
        <f t="shared" si="840"/>
        <v>#N/A</v>
      </c>
      <c r="BT717" s="60">
        <f t="shared" si="841"/>
        <v>0</v>
      </c>
      <c r="BU717" s="60">
        <f t="shared" si="842"/>
        <v>0</v>
      </c>
      <c r="BV717" s="60">
        <f t="shared" si="843"/>
        <v>0</v>
      </c>
      <c r="BW717" s="60">
        <f t="shared" si="844"/>
        <v>0</v>
      </c>
      <c r="BX717" s="60">
        <f t="shared" si="845"/>
        <v>0</v>
      </c>
      <c r="BY717" s="60">
        <f t="shared" si="846"/>
        <v>0</v>
      </c>
      <c r="BZ717" s="60">
        <f t="shared" si="847"/>
        <v>0</v>
      </c>
      <c r="CA717" s="60">
        <f t="shared" si="848"/>
        <v>0</v>
      </c>
      <c r="CB717" s="60" t="e">
        <f t="shared" si="798"/>
        <v>#N/A</v>
      </c>
      <c r="CC717" s="60">
        <f t="shared" si="799"/>
        <v>100000</v>
      </c>
      <c r="CD717" s="60" t="e">
        <f t="shared" si="800"/>
        <v>#N/A</v>
      </c>
      <c r="CE717" s="60">
        <f t="shared" si="801"/>
        <v>100000</v>
      </c>
      <c r="CF717" s="83" t="e">
        <f t="shared" si="849"/>
        <v>#N/A</v>
      </c>
      <c r="CG717" s="83">
        <f t="shared" si="850"/>
        <v>0</v>
      </c>
      <c r="CH717" s="83" t="e">
        <f t="shared" si="851"/>
        <v>#N/A</v>
      </c>
      <c r="CI717" s="83">
        <f t="shared" si="852"/>
        <v>0</v>
      </c>
      <c r="CJ717" s="86" t="e">
        <f t="shared" si="802"/>
        <v>#N/A</v>
      </c>
      <c r="CK717" s="82">
        <f t="shared" si="803"/>
        <v>5.3070370403969858E-3</v>
      </c>
      <c r="CL717" s="82" t="e">
        <f t="shared" si="804"/>
        <v>#N/A</v>
      </c>
      <c r="CM717" s="82">
        <f t="shared" si="805"/>
        <v>5.3070370403969858E-3</v>
      </c>
      <c r="CO717" s="149" t="str">
        <f>IF($I717&lt;&gt;"",IF(O717="User Specified",U717,INDEX('Refrigerant GWPs'!$G$2:$G$156,MATCH(O717,'Refrigerant GWPs'!$A$2:$A$156,0))),"")</f>
        <v/>
      </c>
      <c r="CP717" s="138" t="str">
        <f>IF($I717&lt;&gt;"",INDEX('Device Refrigerant Leakage'!$E$2:$E$42,MATCH($M717,'Device Refrigerant Leakage'!$B$2:$B$42,0)),"")</f>
        <v/>
      </c>
      <c r="CQ717" s="138" t="str">
        <f>IF($I717&lt;&gt;"",INDEX('Device Refrigerant Leakage'!$F$2:$F$42,MATCH($M717,'Device Refrigerant Leakage'!$B$2:$B$42,0)),"")</f>
        <v/>
      </c>
      <c r="CR717" s="145" t="str">
        <f>IF($I717&lt;&gt;"",INDEX('Device Refrigerant Leakage'!$G$2:$G$42,MATCH($M717,'Device Refrigerant Leakage'!$B$2:$B$42,0)),"")</f>
        <v/>
      </c>
      <c r="CS717" s="145" t="str">
        <f>IF($I717&lt;&gt;"",INDEX('Device Refrigerant Leakage'!$D$2:$D$42,MATCH($M717,'Device Refrigerant Leakage'!$B$2:$B$42,0))*CP717/2204.62*CO717,"")</f>
        <v/>
      </c>
      <c r="CT717" s="145" t="str">
        <f>IF($I717&lt;&gt;"",J717*(INDEX('Device Refrigerant Leakage'!$D$2:$D$42,MATCH($M717,'Device Refrigerant Leakage'!$B$2:$B$42,0))-(INDEX('Device Refrigerant Leakage'!$D$2:$D$42,MATCH($M717,'Device Refrigerant Leakage'!$B$2:$B$42,0)))*CR717*CP717)*CQ717/2204.62*CO717,"")</f>
        <v/>
      </c>
      <c r="CU717" s="135" t="str">
        <f>IF($I717&lt;&gt;"",J717*IF(W717&lt;&gt;"AR",(CS717*K717)+CT717,(CS717*AB717)+CT717*(AB717/INDEX('Device Refrigerant Leakage'!$C$2:$C$42,MATCH($M717,'Device Refrigerant Leakage'!$B$2:$B$42,0)))),"")</f>
        <v/>
      </c>
      <c r="CW717" s="135" t="str">
        <f>IF($I717&lt;&gt;"",IF(S717="User Specified",V717,INDEX('Refrigerant GWPs'!$G$2:$G$156,MATCH(S717,'Refrigerant GWPs'!$A$2:$A$157,0))),"")</f>
        <v/>
      </c>
      <c r="CX717" s="138" t="str">
        <f>IF($I717&lt;&gt;"",INDEX('Device Refrigerant Leakage'!$E$2:$E$42,MATCH($Q717,'Device Refrigerant Leakage'!$B$2:$B$42,0)),"")</f>
        <v/>
      </c>
      <c r="CY717" s="138" t="str">
        <f>IF($I717&lt;&gt;"",INDEX('Device Refrigerant Leakage'!$F$2:$F$42,MATCH($Q717,'Device Refrigerant Leakage'!$B$2:$B$42,0)),"")</f>
        <v/>
      </c>
      <c r="CZ717" s="145" t="str">
        <f>IF($I717&lt;&gt;"",INDEX('Device Refrigerant Leakage'!$G$2:$G$42,MATCH($Q717,'Device Refrigerant Leakage'!$B$2:$B$42,0)),"")</f>
        <v/>
      </c>
      <c r="DA717" s="145" t="str">
        <f>IF($I717&lt;&gt;"",J717*INDEX('Device Refrigerant Leakage'!$D$2:$D$42,MATCH($Q717,'Device Refrigerant Leakage'!$B$2:$B$42,0))*CX717/2204.62*CW717,"")</f>
        <v/>
      </c>
      <c r="DB717" s="145" t="str">
        <f>IF($I717&lt;&gt;"",J717*(INDEX('Device Refrigerant Leakage'!$D$2:$D$42,MATCH($Q717,'Device Refrigerant Leakage'!$B$2:$B$42,0))-(INDEX('Device Refrigerant Leakage'!$D$2:$D$42,MATCH($Q717,'Device Refrigerant Leakage'!$B$2:$B$42,0)))*CZ717*CX717)*CY717/2204.62*CW717,"")</f>
        <v/>
      </c>
      <c r="DC717" s="135" t="str">
        <f t="shared" si="824"/>
        <v/>
      </c>
      <c r="DE717" s="146" t="str">
        <f>IF(W717&lt;&gt;"AR","",IF(Y717="User Specified", AA717, INDEX('Refrigerant GWPs'!$G$2:$G$154,MATCH(Y717,'Refrigerant GWPs'!$A$2:$A$154,0))))</f>
        <v/>
      </c>
      <c r="DF717" s="146" t="str">
        <f>IF(W717&lt;&gt;"AR","",INDEX('Device Refrigerant Leakage'!$E$2:$E$42,MATCH(X717,'Device Refrigerant Leakage'!$B$2:$B$42,0)))</f>
        <v/>
      </c>
      <c r="DG717" s="146" t="str">
        <f>IF(W717&lt;&gt;"AR","",INDEX('Device Refrigerant Leakage'!$F$2:$F$42,MATCH(X717,'Device Refrigerant Leakage'!$B$2:$B$42,0)))</f>
        <v/>
      </c>
      <c r="DH717" s="146" t="str">
        <f>IF(W717&lt;&gt;"AR","",INDEX('Device Refrigerant Leakage'!$G$2:$G$42,MATCH(X717,'Device Refrigerant Leakage'!$B$2:$B$42,0)))</f>
        <v/>
      </c>
      <c r="DI717" s="146" t="str">
        <f>IF(W717&lt;&gt;"AR","",J717*INDEX('Device Refrigerant Leakage'!$D$2:$D$42,MATCH(X717,'Device Refrigerant Leakage'!$B$2:$B$42,0))*DF717/2204.62*DE717)</f>
        <v/>
      </c>
      <c r="DJ717" s="146" t="str">
        <f>IF(W717&lt;&gt;"AR","",J717*(INDEX('Device Refrigerant Leakage'!$D$2:$D$42,MATCH(X717,'Device Refrigerant Leakage'!$B$2:$B$42,0))-(INDEX('Device Refrigerant Leakage'!$D$2:$D$42,MATCH(X717,'Device Refrigerant Leakage'!$B$2:$B$42,0)))*DH717*DF717)*DG717/2204.62*DE717)</f>
        <v/>
      </c>
      <c r="DK717" s="146" t="str">
        <f>IF(W717&lt;&gt;"AR","",DI717*(K717-AB717)+'Fuel Sub Calcs-Deemed'!DJ717*((K717-AB717)/INDEX('Device Refrigerant Leakage'!$C$2:$C$42,MATCH('Fuel Sub Calcs-Deemed'!X717,'Device Refrigerant Leakage'!$B$2:$B$42,0))))</f>
        <v/>
      </c>
      <c r="DM717" s="56">
        <v>703</v>
      </c>
      <c r="DN717" s="67" t="e">
        <f t="shared" si="806"/>
        <v>#N/A</v>
      </c>
      <c r="DO717" s="45" t="e">
        <f t="shared" si="807"/>
        <v>#N/A</v>
      </c>
      <c r="DP717" s="67" t="e">
        <f t="shared" si="808"/>
        <v>#N/A</v>
      </c>
      <c r="DQ717" s="45" t="e">
        <f t="shared" si="809"/>
        <v>#N/A</v>
      </c>
      <c r="DR717" s="69" t="e">
        <f t="shared" si="810"/>
        <v>#N/A</v>
      </c>
      <c r="DS717" s="34"/>
      <c r="DT717" s="67" t="e">
        <f>((BX717*CJ717)+IF($W717=MAT_AR,(BZ717*CL717),0))*(1+Reference!$E$50+Reference!$E$51)</f>
        <v>#N/A</v>
      </c>
      <c r="DU717" s="67">
        <f>((BY717*CK717)+IF($W717=MAT_AR,(CA717*CM717),0))*(1+Reference!$G$50+Reference!$G$51)</f>
        <v>0</v>
      </c>
      <c r="DV717" s="67" t="e">
        <f t="shared" si="811"/>
        <v>#VALUE!</v>
      </c>
      <c r="DX717" s="56">
        <v>703</v>
      </c>
      <c r="DY717" s="67">
        <f t="shared" si="812"/>
        <v>0</v>
      </c>
      <c r="DZ717" s="45" t="e">
        <f>VLOOKUP($R717,Dropdown!$C$3:$D$4,2,FALSE)</f>
        <v>#N/A</v>
      </c>
      <c r="EA717" s="68">
        <f t="shared" si="813"/>
        <v>0</v>
      </c>
      <c r="EB717" s="68" t="str">
        <f t="shared" si="814"/>
        <v>N/A</v>
      </c>
      <c r="EC717" s="68">
        <f t="shared" si="815"/>
        <v>0</v>
      </c>
      <c r="ED717" s="68" t="str">
        <f t="shared" si="853"/>
        <v>N/A</v>
      </c>
      <c r="EF717" s="56">
        <v>703</v>
      </c>
      <c r="EG717" s="46">
        <f t="shared" si="816"/>
        <v>0</v>
      </c>
      <c r="EH717" s="68" t="e">
        <f t="shared" si="817"/>
        <v>#N/A</v>
      </c>
      <c r="EI717" s="68" t="e">
        <f t="shared" si="818"/>
        <v>#N/A</v>
      </c>
      <c r="EJ717" s="68" t="e">
        <f t="shared" si="819"/>
        <v>#N/A</v>
      </c>
      <c r="EK717" s="68" t="e">
        <f t="shared" si="820"/>
        <v>#N/A</v>
      </c>
      <c r="EL717" s="46">
        <f t="shared" si="821"/>
        <v>0</v>
      </c>
      <c r="EM717" s="46">
        <f t="shared" si="822"/>
        <v>0</v>
      </c>
    </row>
    <row r="718" spans="1:143">
      <c r="A718" s="89"/>
      <c r="B718" s="89"/>
      <c r="C718" s="89"/>
      <c r="D718" s="89"/>
      <c r="E718" s="89"/>
      <c r="F718" s="89"/>
      <c r="G718" s="34"/>
      <c r="H718" s="56">
        <f t="shared" si="823"/>
        <v>704</v>
      </c>
      <c r="I718" s="165"/>
      <c r="J718" s="163"/>
      <c r="K718" s="163"/>
      <c r="L718" s="164"/>
      <c r="M718" s="155"/>
      <c r="N718" s="155"/>
      <c r="O718" s="144"/>
      <c r="P718" s="159" t="str">
        <f>IFERROR(IF(O718&lt;&gt;"User Specified",IF(O718&lt;&gt;"", INDEX('Refrigerant GWPs'!$G$2:$G$154,MATCH(O718,'Refrigerant GWPs'!$A$2:$A$154,0)),""),U718),0)</f>
        <v/>
      </c>
      <c r="Q718" s="155"/>
      <c r="R718" s="155"/>
      <c r="S718" s="144"/>
      <c r="T718" s="159" t="str">
        <f>IF(S718&lt;&gt;"User Specified",IF(AND(S718&lt;&gt;"User Specified",S718&lt;&gt;""), INDEX('Refrigerant GWPs'!$G$2:$G$154,MATCH(S718,'Refrigerant GWPs'!$A$2:$A$154,0)),""),V718)</f>
        <v/>
      </c>
      <c r="U718" s="144"/>
      <c r="V718" s="144"/>
      <c r="W718" s="155"/>
      <c r="X718" s="155"/>
      <c r="Y718" s="144"/>
      <c r="Z718" s="159" t="str">
        <f>IF(AND(Y718&lt;&gt;"User Specified",Y718&lt;&gt;""), INDEX('Refrigerant GWPs'!$G$2:$G$154,MATCH(Y718,'Refrigerant GWPs'!$A$2:$A$154,0)),"")</f>
        <v/>
      </c>
      <c r="AA718" s="155"/>
      <c r="AB718" s="156"/>
      <c r="AC718" s="66"/>
      <c r="AD718" s="66"/>
      <c r="AE718" s="66"/>
      <c r="AF718" s="66"/>
      <c r="AG718" s="66"/>
      <c r="AH718" s="66"/>
      <c r="AI718" s="34"/>
      <c r="AJ718" s="88">
        <f t="shared" si="786"/>
        <v>0</v>
      </c>
      <c r="AK718" s="88">
        <f t="shared" si="787"/>
        <v>0</v>
      </c>
      <c r="AL718" s="88">
        <v>0</v>
      </c>
      <c r="AM718" s="88">
        <v>0</v>
      </c>
      <c r="AN718" s="81" t="str">
        <f t="shared" si="825"/>
        <v/>
      </c>
      <c r="AO718" s="88">
        <f t="shared" si="788"/>
        <v>0</v>
      </c>
      <c r="AP718" s="88">
        <f t="shared" si="789"/>
        <v>0</v>
      </c>
      <c r="AQ718" s="81" t="str">
        <f t="shared" si="790"/>
        <v/>
      </c>
      <c r="AS718" s="41" t="b">
        <f t="shared" si="791"/>
        <v>1</v>
      </c>
      <c r="AT718" s="38">
        <f t="shared" si="792"/>
        <v>0</v>
      </c>
      <c r="AU718" s="60">
        <f t="shared" si="793"/>
        <v>0</v>
      </c>
      <c r="AV718" s="41">
        <f t="shared" si="794"/>
        <v>0</v>
      </c>
      <c r="AW718" s="41" t="b">
        <f t="shared" si="795"/>
        <v>0</v>
      </c>
      <c r="AX718" t="str">
        <f t="shared" si="796"/>
        <v>+00</v>
      </c>
      <c r="AY718" t="str">
        <f t="shared" si="797"/>
        <v>+00</v>
      </c>
      <c r="BA718" s="47" t="b">
        <f t="shared" si="826"/>
        <v>1</v>
      </c>
      <c r="BB718" s="42" t="b">
        <f t="shared" si="827"/>
        <v>1</v>
      </c>
      <c r="BC718" s="42" t="b">
        <f t="shared" si="828"/>
        <v>0</v>
      </c>
      <c r="BD718" s="42" t="b">
        <f t="shared" si="829"/>
        <v>0</v>
      </c>
      <c r="BE718" s="70">
        <f t="shared" si="830"/>
        <v>0</v>
      </c>
      <c r="BF718" s="70">
        <f t="shared" si="831"/>
        <v>0</v>
      </c>
      <c r="BG718" s="34"/>
      <c r="BI718" s="47" t="b">
        <f t="shared" si="832"/>
        <v>1</v>
      </c>
      <c r="BJ718" s="47" t="b">
        <f t="shared" si="833"/>
        <v>1</v>
      </c>
      <c r="BK718" s="42" t="b">
        <f t="shared" si="834"/>
        <v>0</v>
      </c>
      <c r="BL718" s="42" t="b">
        <f t="shared" si="835"/>
        <v>0</v>
      </c>
      <c r="BM718" s="42">
        <f t="shared" si="836"/>
        <v>0</v>
      </c>
      <c r="BN718" s="42">
        <f t="shared" si="837"/>
        <v>0</v>
      </c>
      <c r="BP718" t="e">
        <f t="shared" si="838"/>
        <v>#N/A</v>
      </c>
      <c r="BQ718" t="e">
        <f t="shared" si="839"/>
        <v>#N/A</v>
      </c>
      <c r="BR718" t="e">
        <f t="shared" si="840"/>
        <v>#N/A</v>
      </c>
      <c r="BT718" s="60">
        <f t="shared" si="841"/>
        <v>0</v>
      </c>
      <c r="BU718" s="60">
        <f t="shared" si="842"/>
        <v>0</v>
      </c>
      <c r="BV718" s="60">
        <f t="shared" si="843"/>
        <v>0</v>
      </c>
      <c r="BW718" s="60">
        <f t="shared" si="844"/>
        <v>0</v>
      </c>
      <c r="BX718" s="60">
        <f t="shared" si="845"/>
        <v>0</v>
      </c>
      <c r="BY718" s="60">
        <f t="shared" si="846"/>
        <v>0</v>
      </c>
      <c r="BZ718" s="60">
        <f t="shared" si="847"/>
        <v>0</v>
      </c>
      <c r="CA718" s="60">
        <f t="shared" si="848"/>
        <v>0</v>
      </c>
      <c r="CB718" s="60" t="e">
        <f t="shared" si="798"/>
        <v>#N/A</v>
      </c>
      <c r="CC718" s="60">
        <f t="shared" si="799"/>
        <v>100000</v>
      </c>
      <c r="CD718" s="60" t="e">
        <f t="shared" si="800"/>
        <v>#N/A</v>
      </c>
      <c r="CE718" s="60">
        <f t="shared" si="801"/>
        <v>100000</v>
      </c>
      <c r="CF718" s="83" t="e">
        <f t="shared" si="849"/>
        <v>#N/A</v>
      </c>
      <c r="CG718" s="83">
        <f t="shared" si="850"/>
        <v>0</v>
      </c>
      <c r="CH718" s="83" t="e">
        <f t="shared" si="851"/>
        <v>#N/A</v>
      </c>
      <c r="CI718" s="83">
        <f t="shared" si="852"/>
        <v>0</v>
      </c>
      <c r="CJ718" s="86" t="e">
        <f t="shared" si="802"/>
        <v>#N/A</v>
      </c>
      <c r="CK718" s="82">
        <f t="shared" si="803"/>
        <v>5.3070370403969858E-3</v>
      </c>
      <c r="CL718" s="82" t="e">
        <f t="shared" si="804"/>
        <v>#N/A</v>
      </c>
      <c r="CM718" s="82">
        <f t="shared" si="805"/>
        <v>5.3070370403969858E-3</v>
      </c>
      <c r="CO718" s="149" t="str">
        <f>IF($I718&lt;&gt;"",IF(O718="User Specified",U718,INDEX('Refrigerant GWPs'!$G$2:$G$156,MATCH(O718,'Refrigerant GWPs'!$A$2:$A$156,0))),"")</f>
        <v/>
      </c>
      <c r="CP718" s="138" t="str">
        <f>IF($I718&lt;&gt;"",INDEX('Device Refrigerant Leakage'!$E$2:$E$42,MATCH($M718,'Device Refrigerant Leakage'!$B$2:$B$42,0)),"")</f>
        <v/>
      </c>
      <c r="CQ718" s="138" t="str">
        <f>IF($I718&lt;&gt;"",INDEX('Device Refrigerant Leakage'!$F$2:$F$42,MATCH($M718,'Device Refrigerant Leakage'!$B$2:$B$42,0)),"")</f>
        <v/>
      </c>
      <c r="CR718" s="145" t="str">
        <f>IF($I718&lt;&gt;"",INDEX('Device Refrigerant Leakage'!$G$2:$G$42,MATCH($M718,'Device Refrigerant Leakage'!$B$2:$B$42,0)),"")</f>
        <v/>
      </c>
      <c r="CS718" s="145" t="str">
        <f>IF($I718&lt;&gt;"",INDEX('Device Refrigerant Leakage'!$D$2:$D$42,MATCH($M718,'Device Refrigerant Leakage'!$B$2:$B$42,0))*CP718/2204.62*CO718,"")</f>
        <v/>
      </c>
      <c r="CT718" s="145" t="str">
        <f>IF($I718&lt;&gt;"",J718*(INDEX('Device Refrigerant Leakage'!$D$2:$D$42,MATCH($M718,'Device Refrigerant Leakage'!$B$2:$B$42,0))-(INDEX('Device Refrigerant Leakage'!$D$2:$D$42,MATCH($M718,'Device Refrigerant Leakage'!$B$2:$B$42,0)))*CR718*CP718)*CQ718/2204.62*CO718,"")</f>
        <v/>
      </c>
      <c r="CU718" s="135" t="str">
        <f>IF($I718&lt;&gt;"",J718*IF(W718&lt;&gt;"AR",(CS718*K718)+CT718,(CS718*AB718)+CT718*(AB718/INDEX('Device Refrigerant Leakage'!$C$2:$C$42,MATCH($M718,'Device Refrigerant Leakage'!$B$2:$B$42,0)))),"")</f>
        <v/>
      </c>
      <c r="CW718" s="135" t="str">
        <f>IF($I718&lt;&gt;"",IF(S718="User Specified",V718,INDEX('Refrigerant GWPs'!$G$2:$G$156,MATCH(S718,'Refrigerant GWPs'!$A$2:$A$157,0))),"")</f>
        <v/>
      </c>
      <c r="CX718" s="138" t="str">
        <f>IF($I718&lt;&gt;"",INDEX('Device Refrigerant Leakage'!$E$2:$E$42,MATCH($Q718,'Device Refrigerant Leakage'!$B$2:$B$42,0)),"")</f>
        <v/>
      </c>
      <c r="CY718" s="138" t="str">
        <f>IF($I718&lt;&gt;"",INDEX('Device Refrigerant Leakage'!$F$2:$F$42,MATCH($Q718,'Device Refrigerant Leakage'!$B$2:$B$42,0)),"")</f>
        <v/>
      </c>
      <c r="CZ718" s="145" t="str">
        <f>IF($I718&lt;&gt;"",INDEX('Device Refrigerant Leakage'!$G$2:$G$42,MATCH($Q718,'Device Refrigerant Leakage'!$B$2:$B$42,0)),"")</f>
        <v/>
      </c>
      <c r="DA718" s="145" t="str">
        <f>IF($I718&lt;&gt;"",J718*INDEX('Device Refrigerant Leakage'!$D$2:$D$42,MATCH($Q718,'Device Refrigerant Leakage'!$B$2:$B$42,0))*CX718/2204.62*CW718,"")</f>
        <v/>
      </c>
      <c r="DB718" s="145" t="str">
        <f>IF($I718&lt;&gt;"",J718*(INDEX('Device Refrigerant Leakage'!$D$2:$D$42,MATCH($Q718,'Device Refrigerant Leakage'!$B$2:$B$42,0))-(INDEX('Device Refrigerant Leakage'!$D$2:$D$42,MATCH($Q718,'Device Refrigerant Leakage'!$B$2:$B$42,0)))*CZ718*CX718)*CY718/2204.62*CW718,"")</f>
        <v/>
      </c>
      <c r="DC718" s="135" t="str">
        <f t="shared" si="824"/>
        <v/>
      </c>
      <c r="DE718" s="146" t="str">
        <f>IF(W718&lt;&gt;"AR","",IF(Y718="User Specified", AA718, INDEX('Refrigerant GWPs'!$G$2:$G$154,MATCH(Y718,'Refrigerant GWPs'!$A$2:$A$154,0))))</f>
        <v/>
      </c>
      <c r="DF718" s="146" t="str">
        <f>IF(W718&lt;&gt;"AR","",INDEX('Device Refrigerant Leakage'!$E$2:$E$42,MATCH(X718,'Device Refrigerant Leakage'!$B$2:$B$42,0)))</f>
        <v/>
      </c>
      <c r="DG718" s="146" t="str">
        <f>IF(W718&lt;&gt;"AR","",INDEX('Device Refrigerant Leakage'!$F$2:$F$42,MATCH(X718,'Device Refrigerant Leakage'!$B$2:$B$42,0)))</f>
        <v/>
      </c>
      <c r="DH718" s="146" t="str">
        <f>IF(W718&lt;&gt;"AR","",INDEX('Device Refrigerant Leakage'!$G$2:$G$42,MATCH(X718,'Device Refrigerant Leakage'!$B$2:$B$42,0)))</f>
        <v/>
      </c>
      <c r="DI718" s="146" t="str">
        <f>IF(W718&lt;&gt;"AR","",J718*INDEX('Device Refrigerant Leakage'!$D$2:$D$42,MATCH(X718,'Device Refrigerant Leakage'!$B$2:$B$42,0))*DF718/2204.62*DE718)</f>
        <v/>
      </c>
      <c r="DJ718" s="146" t="str">
        <f>IF(W718&lt;&gt;"AR","",J718*(INDEX('Device Refrigerant Leakage'!$D$2:$D$42,MATCH(X718,'Device Refrigerant Leakage'!$B$2:$B$42,0))-(INDEX('Device Refrigerant Leakage'!$D$2:$D$42,MATCH(X718,'Device Refrigerant Leakage'!$B$2:$B$42,0)))*DH718*DF718)*DG718/2204.62*DE718)</f>
        <v/>
      </c>
      <c r="DK718" s="146" t="str">
        <f>IF(W718&lt;&gt;"AR","",DI718*(K718-AB718)+'Fuel Sub Calcs-Deemed'!DJ718*((K718-AB718)/INDEX('Device Refrigerant Leakage'!$C$2:$C$42,MATCH('Fuel Sub Calcs-Deemed'!X718,'Device Refrigerant Leakage'!$B$2:$B$42,0))))</f>
        <v/>
      </c>
      <c r="DM718" s="56">
        <v>704</v>
      </c>
      <c r="DN718" s="67" t="e">
        <f t="shared" si="806"/>
        <v>#N/A</v>
      </c>
      <c r="DO718" s="45" t="e">
        <f t="shared" si="807"/>
        <v>#N/A</v>
      </c>
      <c r="DP718" s="67" t="e">
        <f t="shared" si="808"/>
        <v>#N/A</v>
      </c>
      <c r="DQ718" s="45" t="e">
        <f t="shared" si="809"/>
        <v>#N/A</v>
      </c>
      <c r="DR718" s="69" t="e">
        <f t="shared" si="810"/>
        <v>#N/A</v>
      </c>
      <c r="DS718" s="34"/>
      <c r="DT718" s="67" t="e">
        <f>((BX718*CJ718)+IF($W718=MAT_AR,(BZ718*CL718),0))*(1+Reference!$E$50+Reference!$E$51)</f>
        <v>#N/A</v>
      </c>
      <c r="DU718" s="67">
        <f>((BY718*CK718)+IF($W718=MAT_AR,(CA718*CM718),0))*(1+Reference!$G$50+Reference!$G$51)</f>
        <v>0</v>
      </c>
      <c r="DV718" s="67" t="e">
        <f t="shared" si="811"/>
        <v>#VALUE!</v>
      </c>
      <c r="DX718" s="56">
        <v>704</v>
      </c>
      <c r="DY718" s="67">
        <f t="shared" si="812"/>
        <v>0</v>
      </c>
      <c r="DZ718" s="45" t="e">
        <f>VLOOKUP($R718,Dropdown!$C$3:$D$4,2,FALSE)</f>
        <v>#N/A</v>
      </c>
      <c r="EA718" s="68">
        <f t="shared" si="813"/>
        <v>0</v>
      </c>
      <c r="EB718" s="68" t="str">
        <f t="shared" si="814"/>
        <v>N/A</v>
      </c>
      <c r="EC718" s="68">
        <f t="shared" si="815"/>
        <v>0</v>
      </c>
      <c r="ED718" s="68" t="str">
        <f t="shared" si="853"/>
        <v>N/A</v>
      </c>
      <c r="EF718" s="56">
        <v>704</v>
      </c>
      <c r="EG718" s="46">
        <f t="shared" si="816"/>
        <v>0</v>
      </c>
      <c r="EH718" s="68" t="e">
        <f t="shared" si="817"/>
        <v>#N/A</v>
      </c>
      <c r="EI718" s="68" t="e">
        <f t="shared" si="818"/>
        <v>#N/A</v>
      </c>
      <c r="EJ718" s="68" t="e">
        <f t="shared" si="819"/>
        <v>#N/A</v>
      </c>
      <c r="EK718" s="68" t="e">
        <f t="shared" si="820"/>
        <v>#N/A</v>
      </c>
      <c r="EL718" s="46">
        <f t="shared" si="821"/>
        <v>0</v>
      </c>
      <c r="EM718" s="46">
        <f t="shared" si="822"/>
        <v>0</v>
      </c>
    </row>
    <row r="719" spans="1:143">
      <c r="A719" s="89"/>
      <c r="B719" s="89"/>
      <c r="C719" s="89"/>
      <c r="D719" s="89"/>
      <c r="E719" s="89"/>
      <c r="F719" s="89"/>
      <c r="G719" s="34"/>
      <c r="H719" s="56">
        <f t="shared" si="823"/>
        <v>705</v>
      </c>
      <c r="I719" s="165"/>
      <c r="J719" s="163"/>
      <c r="K719" s="163"/>
      <c r="L719" s="164"/>
      <c r="M719" s="155"/>
      <c r="N719" s="155"/>
      <c r="O719" s="144"/>
      <c r="P719" s="159" t="str">
        <f>IFERROR(IF(O719&lt;&gt;"User Specified",IF(O719&lt;&gt;"", INDEX('Refrigerant GWPs'!$G$2:$G$154,MATCH(O719,'Refrigerant GWPs'!$A$2:$A$154,0)),""),U719),0)</f>
        <v/>
      </c>
      <c r="Q719" s="155"/>
      <c r="R719" s="155"/>
      <c r="S719" s="144"/>
      <c r="T719" s="159" t="str">
        <f>IF(S719&lt;&gt;"User Specified",IF(AND(S719&lt;&gt;"User Specified",S719&lt;&gt;""), INDEX('Refrigerant GWPs'!$G$2:$G$154,MATCH(S719,'Refrigerant GWPs'!$A$2:$A$154,0)),""),V719)</f>
        <v/>
      </c>
      <c r="U719" s="144"/>
      <c r="V719" s="144"/>
      <c r="W719" s="155"/>
      <c r="X719" s="155"/>
      <c r="Y719" s="144"/>
      <c r="Z719" s="159" t="str">
        <f>IF(AND(Y719&lt;&gt;"User Specified",Y719&lt;&gt;""), INDEX('Refrigerant GWPs'!$G$2:$G$154,MATCH(Y719,'Refrigerant GWPs'!$A$2:$A$154,0)),"")</f>
        <v/>
      </c>
      <c r="AA719" s="155"/>
      <c r="AB719" s="156"/>
      <c r="AC719" s="66"/>
      <c r="AD719" s="66"/>
      <c r="AE719" s="66"/>
      <c r="AF719" s="66"/>
      <c r="AG719" s="66"/>
      <c r="AH719" s="66"/>
      <c r="AI719" s="34"/>
      <c r="AJ719" s="88">
        <f t="shared" ref="AJ719:AJ782" si="854">IF($W719=MAT_AR,AC719,AF719)</f>
        <v>0</v>
      </c>
      <c r="AK719" s="88">
        <f t="shared" ref="AK719:AK782" si="855">IF($W719=MAT_AR,AE719,AH719)</f>
        <v>0</v>
      </c>
      <c r="AL719" s="88">
        <v>0</v>
      </c>
      <c r="AM719" s="88">
        <v>0</v>
      </c>
      <c r="AN719" s="81" t="str">
        <f t="shared" si="825"/>
        <v/>
      </c>
      <c r="AO719" s="88">
        <f t="shared" ref="AO719:AO782" si="856">IF($W719=MAT_AR,AF719,0)</f>
        <v>0</v>
      </c>
      <c r="AP719" s="88">
        <f t="shared" ref="AP719:AP782" si="857">IF($W719=MAT_AR,AH719,0)</f>
        <v>0</v>
      </c>
      <c r="AQ719" s="81" t="str">
        <f t="shared" ref="AQ719:AQ782" si="858">IF(AND(W719=MAT_AR,OR(BK719:BL719)),"Warning: Need to enter baseline and measure consumption","")</f>
        <v/>
      </c>
      <c r="AS719" s="41" t="b">
        <f t="shared" ref="AS719:AS782" si="859">NOT(W719=MAT_AR)</f>
        <v>1</v>
      </c>
      <c r="AT719" s="38">
        <f t="shared" ref="AT719:AT782" si="860">IF(W719=MAT_AR,AB719,K719)</f>
        <v>0</v>
      </c>
      <c r="AU719" s="60">
        <f t="shared" ref="AU719:AU782" si="861">K719-AT719</f>
        <v>0</v>
      </c>
      <c r="AV719" s="41">
        <f t="shared" ref="AV719:AV782" si="862">IF(W719=MAT_AR,AB719,0)</f>
        <v>0</v>
      </c>
      <c r="AW719" s="41" t="b">
        <f t="shared" ref="AW719:AW782" si="863">AND(NOT(ISBLANK(I719)),NOT(ISBLANK(J719)),NOT(ISBLANK(K719)),NOT(ISBLANK(L719)),NOT(ISBLANK(N719)),NOT(ISBLANK(R719)),NOT(OR(BC719:BD719)),NOT(ISBLANK(W719)))</f>
        <v>0</v>
      </c>
      <c r="AX719" t="str">
        <f t="shared" ref="AX719:AX782" si="864">$L719&amp;"+"&amp;TEXT(ROUND($AT719,0),"00")</f>
        <v>+00</v>
      </c>
      <c r="AY719" t="str">
        <f t="shared" ref="AY719:AY782" si="865">TEXT(ROUND($L719+$AT719,0),"#")&amp;"+"&amp;TEXT(ROUND($AU719,0),"00")</f>
        <v>+00</v>
      </c>
      <c r="BA719" s="47" t="b">
        <f t="shared" si="826"/>
        <v>1</v>
      </c>
      <c r="BB719" s="42" t="b">
        <f t="shared" si="827"/>
        <v>1</v>
      </c>
      <c r="BC719" s="42" t="b">
        <f t="shared" si="828"/>
        <v>0</v>
      </c>
      <c r="BD719" s="42" t="b">
        <f t="shared" si="829"/>
        <v>0</v>
      </c>
      <c r="BE719" s="70">
        <f t="shared" si="830"/>
        <v>0</v>
      </c>
      <c r="BF719" s="70">
        <f t="shared" si="831"/>
        <v>0</v>
      </c>
      <c r="BG719" s="34"/>
      <c r="BI719" s="47" t="b">
        <f t="shared" si="832"/>
        <v>1</v>
      </c>
      <c r="BJ719" s="47" t="b">
        <f t="shared" si="833"/>
        <v>1</v>
      </c>
      <c r="BK719" s="42" t="b">
        <f t="shared" si="834"/>
        <v>0</v>
      </c>
      <c r="BL719" s="42" t="b">
        <f t="shared" si="835"/>
        <v>0</v>
      </c>
      <c r="BM719" s="42">
        <f t="shared" si="836"/>
        <v>0</v>
      </c>
      <c r="BN719" s="42">
        <f t="shared" si="837"/>
        <v>0</v>
      </c>
      <c r="BP719" t="e">
        <f t="shared" si="838"/>
        <v>#N/A</v>
      </c>
      <c r="BQ719" t="e">
        <f t="shared" si="839"/>
        <v>#N/A</v>
      </c>
      <c r="BR719" t="e">
        <f t="shared" si="840"/>
        <v>#N/A</v>
      </c>
      <c r="BT719" s="60">
        <f t="shared" si="841"/>
        <v>0</v>
      </c>
      <c r="BU719" s="60">
        <f t="shared" si="842"/>
        <v>0</v>
      </c>
      <c r="BV719" s="60">
        <f t="shared" si="843"/>
        <v>0</v>
      </c>
      <c r="BW719" s="60">
        <f t="shared" si="844"/>
        <v>0</v>
      </c>
      <c r="BX719" s="60">
        <f t="shared" si="845"/>
        <v>0</v>
      </c>
      <c r="BY719" s="60">
        <f t="shared" si="846"/>
        <v>0</v>
      </c>
      <c r="BZ719" s="60">
        <f t="shared" si="847"/>
        <v>0</v>
      </c>
      <c r="CA719" s="60">
        <f t="shared" si="848"/>
        <v>0</v>
      </c>
      <c r="CB719" s="60" t="e">
        <f t="shared" ref="CB719:CB782" si="866">INDEX(AFL_Source_Energy_Btu_per_kWh,MATCH($AX719,AFL_IndexB,0))</f>
        <v>#N/A</v>
      </c>
      <c r="CC719" s="60">
        <f t="shared" ref="CC719:CC782" si="867">Btu_therm</f>
        <v>100000</v>
      </c>
      <c r="CD719" s="60" t="e">
        <f t="shared" ref="CD719:CD782" si="868">INDEX(AFL_Source_Energy_Btu_per_kWh,MATCH($AY719,AFL_IndexB,0))</f>
        <v>#N/A</v>
      </c>
      <c r="CE719" s="60">
        <f t="shared" ref="CE719:CE782" si="869">Btu_therm</f>
        <v>100000</v>
      </c>
      <c r="CF719" s="83" t="e">
        <f t="shared" si="849"/>
        <v>#N/A</v>
      </c>
      <c r="CG719" s="83">
        <f t="shared" si="850"/>
        <v>0</v>
      </c>
      <c r="CH719" s="83" t="e">
        <f t="shared" si="851"/>
        <v>#N/A</v>
      </c>
      <c r="CI719" s="83">
        <f t="shared" si="852"/>
        <v>0</v>
      </c>
      <c r="CJ719" s="86" t="e">
        <f t="shared" ref="CJ719:CJ782" si="870">INDEX(AFL_Emissions_Intensity_metric_tonnes_per_MWh,MATCH($AX719,AFL_IndexB,0))/1000</f>
        <v>#N/A</v>
      </c>
      <c r="CK719" s="82">
        <f t="shared" ref="CK719:CK782" si="871">NG_metric_tonne_CO2_therm</f>
        <v>5.3070370403969858E-3</v>
      </c>
      <c r="CL719" s="82" t="e">
        <f t="shared" ref="CL719:CL782" si="872">INDEX(AFL_Emissions_Intensity_metric_tonnes_per_MWh,MATCH($AY719,AFL_IndexB,0))/1000</f>
        <v>#N/A</v>
      </c>
      <c r="CM719" s="82">
        <f t="shared" ref="CM719:CM782" si="873">NG_metric_tonne_CO2_therm</f>
        <v>5.3070370403969858E-3</v>
      </c>
      <c r="CO719" s="149" t="str">
        <f>IF($I719&lt;&gt;"",IF(O719="User Specified",U719,INDEX('Refrigerant GWPs'!$G$2:$G$156,MATCH(O719,'Refrigerant GWPs'!$A$2:$A$156,0))),"")</f>
        <v/>
      </c>
      <c r="CP719" s="138" t="str">
        <f>IF($I719&lt;&gt;"",INDEX('Device Refrigerant Leakage'!$E$2:$E$42,MATCH($M719,'Device Refrigerant Leakage'!$B$2:$B$42,0)),"")</f>
        <v/>
      </c>
      <c r="CQ719" s="138" t="str">
        <f>IF($I719&lt;&gt;"",INDEX('Device Refrigerant Leakage'!$F$2:$F$42,MATCH($M719,'Device Refrigerant Leakage'!$B$2:$B$42,0)),"")</f>
        <v/>
      </c>
      <c r="CR719" s="145" t="str">
        <f>IF($I719&lt;&gt;"",INDEX('Device Refrigerant Leakage'!$G$2:$G$42,MATCH($M719,'Device Refrigerant Leakage'!$B$2:$B$42,0)),"")</f>
        <v/>
      </c>
      <c r="CS719" s="145" t="str">
        <f>IF($I719&lt;&gt;"",INDEX('Device Refrigerant Leakage'!$D$2:$D$42,MATCH($M719,'Device Refrigerant Leakage'!$B$2:$B$42,0))*CP719/2204.62*CO719,"")</f>
        <v/>
      </c>
      <c r="CT719" s="145" t="str">
        <f>IF($I719&lt;&gt;"",J719*(INDEX('Device Refrigerant Leakage'!$D$2:$D$42,MATCH($M719,'Device Refrigerant Leakage'!$B$2:$B$42,0))-(INDEX('Device Refrigerant Leakage'!$D$2:$D$42,MATCH($M719,'Device Refrigerant Leakage'!$B$2:$B$42,0)))*CR719*CP719)*CQ719/2204.62*CO719,"")</f>
        <v/>
      </c>
      <c r="CU719" s="135" t="str">
        <f>IF($I719&lt;&gt;"",J719*IF(W719&lt;&gt;"AR",(CS719*K719)+CT719,(CS719*AB719)+CT719*(AB719/INDEX('Device Refrigerant Leakage'!$C$2:$C$42,MATCH($M719,'Device Refrigerant Leakage'!$B$2:$B$42,0)))),"")</f>
        <v/>
      </c>
      <c r="CW719" s="135" t="str">
        <f>IF($I719&lt;&gt;"",IF(S719="User Specified",V719,INDEX('Refrigerant GWPs'!$G$2:$G$156,MATCH(S719,'Refrigerant GWPs'!$A$2:$A$157,0))),"")</f>
        <v/>
      </c>
      <c r="CX719" s="138" t="str">
        <f>IF($I719&lt;&gt;"",INDEX('Device Refrigerant Leakage'!$E$2:$E$42,MATCH($Q719,'Device Refrigerant Leakage'!$B$2:$B$42,0)),"")</f>
        <v/>
      </c>
      <c r="CY719" s="138" t="str">
        <f>IF($I719&lt;&gt;"",INDEX('Device Refrigerant Leakage'!$F$2:$F$42,MATCH($Q719,'Device Refrigerant Leakage'!$B$2:$B$42,0)),"")</f>
        <v/>
      </c>
      <c r="CZ719" s="145" t="str">
        <f>IF($I719&lt;&gt;"",INDEX('Device Refrigerant Leakage'!$G$2:$G$42,MATCH($Q719,'Device Refrigerant Leakage'!$B$2:$B$42,0)),"")</f>
        <v/>
      </c>
      <c r="DA719" s="145" t="str">
        <f>IF($I719&lt;&gt;"",J719*INDEX('Device Refrigerant Leakage'!$D$2:$D$42,MATCH($Q719,'Device Refrigerant Leakage'!$B$2:$B$42,0))*CX719/2204.62*CW719,"")</f>
        <v/>
      </c>
      <c r="DB719" s="145" t="str">
        <f>IF($I719&lt;&gt;"",J719*(INDEX('Device Refrigerant Leakage'!$D$2:$D$42,MATCH($Q719,'Device Refrigerant Leakage'!$B$2:$B$42,0))-(INDEX('Device Refrigerant Leakage'!$D$2:$D$42,MATCH($Q719,'Device Refrigerant Leakage'!$B$2:$B$42,0)))*CZ719*CX719)*CY719/2204.62*CW719,"")</f>
        <v/>
      </c>
      <c r="DC719" s="135" t="str">
        <f t="shared" si="824"/>
        <v/>
      </c>
      <c r="DE719" s="146" t="str">
        <f>IF(W719&lt;&gt;"AR","",IF(Y719="User Specified", AA719, INDEX('Refrigerant GWPs'!$G$2:$G$154,MATCH(Y719,'Refrigerant GWPs'!$A$2:$A$154,0))))</f>
        <v/>
      </c>
      <c r="DF719" s="146" t="str">
        <f>IF(W719&lt;&gt;"AR","",INDEX('Device Refrigerant Leakage'!$E$2:$E$42,MATCH(X719,'Device Refrigerant Leakage'!$B$2:$B$42,0)))</f>
        <v/>
      </c>
      <c r="DG719" s="146" t="str">
        <f>IF(W719&lt;&gt;"AR","",INDEX('Device Refrigerant Leakage'!$F$2:$F$42,MATCH(X719,'Device Refrigerant Leakage'!$B$2:$B$42,0)))</f>
        <v/>
      </c>
      <c r="DH719" s="146" t="str">
        <f>IF(W719&lt;&gt;"AR","",INDEX('Device Refrigerant Leakage'!$G$2:$G$42,MATCH(X719,'Device Refrigerant Leakage'!$B$2:$B$42,0)))</f>
        <v/>
      </c>
      <c r="DI719" s="146" t="str">
        <f>IF(W719&lt;&gt;"AR","",J719*INDEX('Device Refrigerant Leakage'!$D$2:$D$42,MATCH(X719,'Device Refrigerant Leakage'!$B$2:$B$42,0))*DF719/2204.62*DE719)</f>
        <v/>
      </c>
      <c r="DJ719" s="146" t="str">
        <f>IF(W719&lt;&gt;"AR","",J719*(INDEX('Device Refrigerant Leakage'!$D$2:$D$42,MATCH(X719,'Device Refrigerant Leakage'!$B$2:$B$42,0))-(INDEX('Device Refrigerant Leakage'!$D$2:$D$42,MATCH(X719,'Device Refrigerant Leakage'!$B$2:$B$42,0)))*DH719*DF719)*DG719/2204.62*DE719)</f>
        <v/>
      </c>
      <c r="DK719" s="146" t="str">
        <f>IF(W719&lt;&gt;"AR","",DI719*(K719-AB719)+'Fuel Sub Calcs-Deemed'!DJ719*((K719-AB719)/INDEX('Device Refrigerant Leakage'!$C$2:$C$42,MATCH('Fuel Sub Calcs-Deemed'!X719,'Device Refrigerant Leakage'!$B$2:$B$42,0))))</f>
        <v/>
      </c>
      <c r="DM719" s="56">
        <v>705</v>
      </c>
      <c r="DN719" s="67" t="e">
        <f t="shared" ref="DN719:DN782" si="874">(CB719*BX719+BY719*CE719)/10^6+IF($W719=MAT_AR,(BZ719*CD719+CA719*CE719)/10^6,0)</f>
        <v>#N/A</v>
      </c>
      <c r="DO719" s="45" t="e">
        <f t="shared" ref="DO719:DO782" si="875">IF(BP719,"PASS","FAIL")</f>
        <v>#N/A</v>
      </c>
      <c r="DP719" s="67" t="e">
        <f t="shared" ref="DP719:DP782" si="876">(DT719+DU719+DV719)</f>
        <v>#N/A</v>
      </c>
      <c r="DQ719" s="45" t="e">
        <f t="shared" ref="DQ719:DQ782" si="877">IF(BQ719,"PASS","FAIL")</f>
        <v>#N/A</v>
      </c>
      <c r="DR719" s="69" t="e">
        <f t="shared" ref="DR719:DR782" si="878">IF(BR719,"Eligible","Not eligible")</f>
        <v>#N/A</v>
      </c>
      <c r="DS719" s="34"/>
      <c r="DT719" s="67" t="e">
        <f>((BX719*CJ719)+IF($W719=MAT_AR,(BZ719*CL719),0))*(1+Reference!$E$50+Reference!$E$51)</f>
        <v>#N/A</v>
      </c>
      <c r="DU719" s="67">
        <f>((BY719*CK719)+IF($W719=MAT_AR,(CA719*CM719),0))*(1+Reference!$G$50+Reference!$G$51)</f>
        <v>0</v>
      </c>
      <c r="DV719" s="67" t="e">
        <f t="shared" ref="DV719:DV782" si="879">IF(W719="NR",CU719-DC719,(CU719+DK719)-DC719)</f>
        <v>#VALUE!</v>
      </c>
      <c r="DX719" s="56">
        <v>705</v>
      </c>
      <c r="DY719" s="67">
        <f t="shared" ref="DY719:DY782" si="880">(Btu_per_kWh*BT719+Btu_therm*BU719)/10^6</f>
        <v>0</v>
      </c>
      <c r="DZ719" s="45" t="e">
        <f>VLOOKUP($R719,Dropdown!$C$3:$D$4,2,FALSE)</f>
        <v>#N/A</v>
      </c>
      <c r="EA719" s="68">
        <f t="shared" ref="EA719:EA782" si="881">IF($R719=fuel_electricity,$DY719*10^6/Btu_per_kWh,0)</f>
        <v>0</v>
      </c>
      <c r="EB719" s="68" t="str">
        <f t="shared" ref="EB719:EB782" si="882">IF($R719=fuel_natural_gas,$DY719/MMBtu_per_therm,"N/A")</f>
        <v>N/A</v>
      </c>
      <c r="EC719" s="68">
        <f t="shared" ref="EC719:EC782" si="883">IF($R719=fuel_electricity,"N/A",AJ719)</f>
        <v>0</v>
      </c>
      <c r="ED719" s="68" t="str">
        <f t="shared" si="853"/>
        <v>N/A</v>
      </c>
      <c r="EF719" s="56">
        <v>705</v>
      </c>
      <c r="EG719" s="46">
        <f t="shared" ref="EG719:EG782" si="884">J719</f>
        <v>0</v>
      </c>
      <c r="EH719" s="68" t="e">
        <f t="shared" ref="EH719:EH782" si="885">IF($BR719,BE719,0)</f>
        <v>#N/A</v>
      </c>
      <c r="EI719" s="68" t="e">
        <f t="shared" ref="EI719:EI782" si="886">IF($BR719,BF719,0)</f>
        <v>#N/A</v>
      </c>
      <c r="EJ719" s="68" t="e">
        <f t="shared" ref="EJ719:EJ782" si="887">IF($BR719,BM719,0)</f>
        <v>#N/A</v>
      </c>
      <c r="EK719" s="68" t="e">
        <f t="shared" ref="EK719:EK782" si="888">IF($BR719,BN719,0)</f>
        <v>#N/A</v>
      </c>
      <c r="EL719" s="46">
        <f t="shared" ref="EL719:EL782" si="889">K719</f>
        <v>0</v>
      </c>
      <c r="EM719" s="46">
        <f t="shared" ref="EM719:EM782" si="890">AV719</f>
        <v>0</v>
      </c>
    </row>
    <row r="720" spans="1:143">
      <c r="A720" s="89"/>
      <c r="B720" s="89"/>
      <c r="C720" s="89"/>
      <c r="D720" s="89"/>
      <c r="E720" s="89"/>
      <c r="F720" s="89"/>
      <c r="G720" s="34"/>
      <c r="H720" s="56">
        <f t="shared" ref="H720:H783" si="891">ROW($H720)-ROW($H$14)</f>
        <v>706</v>
      </c>
      <c r="I720" s="165"/>
      <c r="J720" s="163"/>
      <c r="K720" s="163"/>
      <c r="L720" s="164"/>
      <c r="M720" s="155"/>
      <c r="N720" s="155"/>
      <c r="O720" s="144"/>
      <c r="P720" s="159" t="str">
        <f>IFERROR(IF(O720&lt;&gt;"User Specified",IF(O720&lt;&gt;"", INDEX('Refrigerant GWPs'!$G$2:$G$154,MATCH(O720,'Refrigerant GWPs'!$A$2:$A$154,0)),""),U720),0)</f>
        <v/>
      </c>
      <c r="Q720" s="155"/>
      <c r="R720" s="155"/>
      <c r="S720" s="144"/>
      <c r="T720" s="159" t="str">
        <f>IF(S720&lt;&gt;"User Specified",IF(AND(S720&lt;&gt;"User Specified",S720&lt;&gt;""), INDEX('Refrigerant GWPs'!$G$2:$G$154,MATCH(S720,'Refrigerant GWPs'!$A$2:$A$154,0)),""),V720)</f>
        <v/>
      </c>
      <c r="U720" s="144"/>
      <c r="V720" s="144"/>
      <c r="W720" s="155"/>
      <c r="X720" s="155"/>
      <c r="Y720" s="144"/>
      <c r="Z720" s="159" t="str">
        <f>IF(AND(Y720&lt;&gt;"User Specified",Y720&lt;&gt;""), INDEX('Refrigerant GWPs'!$G$2:$G$154,MATCH(Y720,'Refrigerant GWPs'!$A$2:$A$154,0)),"")</f>
        <v/>
      </c>
      <c r="AA720" s="155"/>
      <c r="AB720" s="156"/>
      <c r="AC720" s="66"/>
      <c r="AD720" s="66"/>
      <c r="AE720" s="66"/>
      <c r="AF720" s="66"/>
      <c r="AG720" s="66"/>
      <c r="AH720" s="66"/>
      <c r="AI720" s="34"/>
      <c r="AJ720" s="88">
        <f t="shared" si="854"/>
        <v>0</v>
      </c>
      <c r="AK720" s="88">
        <f t="shared" si="855"/>
        <v>0</v>
      </c>
      <c r="AL720" s="88">
        <v>0</v>
      </c>
      <c r="AM720" s="88">
        <v>0</v>
      </c>
      <c r="AN720" s="81" t="str">
        <f t="shared" si="825"/>
        <v/>
      </c>
      <c r="AO720" s="88">
        <f t="shared" si="856"/>
        <v>0</v>
      </c>
      <c r="AP720" s="88">
        <f t="shared" si="857"/>
        <v>0</v>
      </c>
      <c r="AQ720" s="81" t="str">
        <f t="shared" si="858"/>
        <v/>
      </c>
      <c r="AS720" s="41" t="b">
        <f t="shared" si="859"/>
        <v>1</v>
      </c>
      <c r="AT720" s="38">
        <f t="shared" si="860"/>
        <v>0</v>
      </c>
      <c r="AU720" s="60">
        <f t="shared" si="861"/>
        <v>0</v>
      </c>
      <c r="AV720" s="41">
        <f t="shared" si="862"/>
        <v>0</v>
      </c>
      <c r="AW720" s="41" t="b">
        <f t="shared" si="863"/>
        <v>0</v>
      </c>
      <c r="AX720" t="str">
        <f t="shared" si="864"/>
        <v>+00</v>
      </c>
      <c r="AY720" t="str">
        <f t="shared" si="865"/>
        <v>+00</v>
      </c>
      <c r="BA720" s="47" t="b">
        <f t="shared" si="826"/>
        <v>1</v>
      </c>
      <c r="BB720" s="42" t="b">
        <f t="shared" si="827"/>
        <v>1</v>
      </c>
      <c r="BC720" s="42" t="b">
        <f t="shared" si="828"/>
        <v>0</v>
      </c>
      <c r="BD720" s="42" t="b">
        <f t="shared" si="829"/>
        <v>0</v>
      </c>
      <c r="BE720" s="70">
        <f t="shared" si="830"/>
        <v>0</v>
      </c>
      <c r="BF720" s="70">
        <f t="shared" si="831"/>
        <v>0</v>
      </c>
      <c r="BG720" s="34"/>
      <c r="BI720" s="47" t="b">
        <f t="shared" si="832"/>
        <v>1</v>
      </c>
      <c r="BJ720" s="47" t="b">
        <f t="shared" si="833"/>
        <v>1</v>
      </c>
      <c r="BK720" s="42" t="b">
        <f t="shared" si="834"/>
        <v>0</v>
      </c>
      <c r="BL720" s="42" t="b">
        <f t="shared" si="835"/>
        <v>0</v>
      </c>
      <c r="BM720" s="42">
        <f t="shared" si="836"/>
        <v>0</v>
      </c>
      <c r="BN720" s="42">
        <f t="shared" si="837"/>
        <v>0</v>
      </c>
      <c r="BP720" t="e">
        <f t="shared" si="838"/>
        <v>#N/A</v>
      </c>
      <c r="BQ720" t="e">
        <f t="shared" si="839"/>
        <v>#N/A</v>
      </c>
      <c r="BR720" t="e">
        <f t="shared" si="840"/>
        <v>#N/A</v>
      </c>
      <c r="BT720" s="60">
        <f t="shared" si="841"/>
        <v>0</v>
      </c>
      <c r="BU720" s="60">
        <f t="shared" si="842"/>
        <v>0</v>
      </c>
      <c r="BV720" s="60">
        <f t="shared" si="843"/>
        <v>0</v>
      </c>
      <c r="BW720" s="60">
        <f t="shared" si="844"/>
        <v>0</v>
      </c>
      <c r="BX720" s="60">
        <f t="shared" si="845"/>
        <v>0</v>
      </c>
      <c r="BY720" s="60">
        <f t="shared" si="846"/>
        <v>0</v>
      </c>
      <c r="BZ720" s="60">
        <f t="shared" si="847"/>
        <v>0</v>
      </c>
      <c r="CA720" s="60">
        <f t="shared" si="848"/>
        <v>0</v>
      </c>
      <c r="CB720" s="60" t="e">
        <f t="shared" si="866"/>
        <v>#N/A</v>
      </c>
      <c r="CC720" s="60">
        <f t="shared" si="867"/>
        <v>100000</v>
      </c>
      <c r="CD720" s="60" t="e">
        <f t="shared" si="868"/>
        <v>#N/A</v>
      </c>
      <c r="CE720" s="60">
        <f t="shared" si="869"/>
        <v>100000</v>
      </c>
      <c r="CF720" s="83" t="e">
        <f t="shared" si="849"/>
        <v>#N/A</v>
      </c>
      <c r="CG720" s="83">
        <f t="shared" si="850"/>
        <v>0</v>
      </c>
      <c r="CH720" s="83" t="e">
        <f t="shared" si="851"/>
        <v>#N/A</v>
      </c>
      <c r="CI720" s="83">
        <f t="shared" si="852"/>
        <v>0</v>
      </c>
      <c r="CJ720" s="86" t="e">
        <f t="shared" si="870"/>
        <v>#N/A</v>
      </c>
      <c r="CK720" s="82">
        <f t="shared" si="871"/>
        <v>5.3070370403969858E-3</v>
      </c>
      <c r="CL720" s="82" t="e">
        <f t="shared" si="872"/>
        <v>#N/A</v>
      </c>
      <c r="CM720" s="82">
        <f t="shared" si="873"/>
        <v>5.3070370403969858E-3</v>
      </c>
      <c r="CO720" s="149" t="str">
        <f>IF($I720&lt;&gt;"",IF(O720="User Specified",U720,INDEX('Refrigerant GWPs'!$G$2:$G$156,MATCH(O720,'Refrigerant GWPs'!$A$2:$A$156,0))),"")</f>
        <v/>
      </c>
      <c r="CP720" s="138" t="str">
        <f>IF($I720&lt;&gt;"",INDEX('Device Refrigerant Leakage'!$E$2:$E$42,MATCH($M720,'Device Refrigerant Leakage'!$B$2:$B$42,0)),"")</f>
        <v/>
      </c>
      <c r="CQ720" s="138" t="str">
        <f>IF($I720&lt;&gt;"",INDEX('Device Refrigerant Leakage'!$F$2:$F$42,MATCH($M720,'Device Refrigerant Leakage'!$B$2:$B$42,0)),"")</f>
        <v/>
      </c>
      <c r="CR720" s="145" t="str">
        <f>IF($I720&lt;&gt;"",INDEX('Device Refrigerant Leakage'!$G$2:$G$42,MATCH($M720,'Device Refrigerant Leakage'!$B$2:$B$42,0)),"")</f>
        <v/>
      </c>
      <c r="CS720" s="145" t="str">
        <f>IF($I720&lt;&gt;"",INDEX('Device Refrigerant Leakage'!$D$2:$D$42,MATCH($M720,'Device Refrigerant Leakage'!$B$2:$B$42,0))*CP720/2204.62*CO720,"")</f>
        <v/>
      </c>
      <c r="CT720" s="145" t="str">
        <f>IF($I720&lt;&gt;"",J720*(INDEX('Device Refrigerant Leakage'!$D$2:$D$42,MATCH($M720,'Device Refrigerant Leakage'!$B$2:$B$42,0))-(INDEX('Device Refrigerant Leakage'!$D$2:$D$42,MATCH($M720,'Device Refrigerant Leakage'!$B$2:$B$42,0)))*CR720*CP720)*CQ720/2204.62*CO720,"")</f>
        <v/>
      </c>
      <c r="CU720" s="135" t="str">
        <f>IF($I720&lt;&gt;"",J720*IF(W720&lt;&gt;"AR",(CS720*K720)+CT720,(CS720*AB720)+CT720*(AB720/INDEX('Device Refrigerant Leakage'!$C$2:$C$42,MATCH($M720,'Device Refrigerant Leakage'!$B$2:$B$42,0)))),"")</f>
        <v/>
      </c>
      <c r="CW720" s="135" t="str">
        <f>IF($I720&lt;&gt;"",IF(S720="User Specified",V720,INDEX('Refrigerant GWPs'!$G$2:$G$156,MATCH(S720,'Refrigerant GWPs'!$A$2:$A$157,0))),"")</f>
        <v/>
      </c>
      <c r="CX720" s="138" t="str">
        <f>IF($I720&lt;&gt;"",INDEX('Device Refrigerant Leakage'!$E$2:$E$42,MATCH($Q720,'Device Refrigerant Leakage'!$B$2:$B$42,0)),"")</f>
        <v/>
      </c>
      <c r="CY720" s="138" t="str">
        <f>IF($I720&lt;&gt;"",INDEX('Device Refrigerant Leakage'!$F$2:$F$42,MATCH($Q720,'Device Refrigerant Leakage'!$B$2:$B$42,0)),"")</f>
        <v/>
      </c>
      <c r="CZ720" s="145" t="str">
        <f>IF($I720&lt;&gt;"",INDEX('Device Refrigerant Leakage'!$G$2:$G$42,MATCH($Q720,'Device Refrigerant Leakage'!$B$2:$B$42,0)),"")</f>
        <v/>
      </c>
      <c r="DA720" s="145" t="str">
        <f>IF($I720&lt;&gt;"",J720*INDEX('Device Refrigerant Leakage'!$D$2:$D$42,MATCH($Q720,'Device Refrigerant Leakage'!$B$2:$B$42,0))*CX720/2204.62*CW720,"")</f>
        <v/>
      </c>
      <c r="DB720" s="145" t="str">
        <f>IF($I720&lt;&gt;"",J720*(INDEX('Device Refrigerant Leakage'!$D$2:$D$42,MATCH($Q720,'Device Refrigerant Leakage'!$B$2:$B$42,0))-(INDEX('Device Refrigerant Leakage'!$D$2:$D$42,MATCH($Q720,'Device Refrigerant Leakage'!$B$2:$B$42,0)))*CZ720*CX720)*CY720/2204.62*CW720,"")</f>
        <v/>
      </c>
      <c r="DC720" s="135" t="str">
        <f t="shared" ref="DC720:DC783" si="892">IF($I720&lt;&gt;"",(DA720*K720)+DB720,"")</f>
        <v/>
      </c>
      <c r="DE720" s="146" t="str">
        <f>IF(W720&lt;&gt;"AR","",IF(Y720="User Specified", AA720, INDEX('Refrigerant GWPs'!$G$2:$G$154,MATCH(Y720,'Refrigerant GWPs'!$A$2:$A$154,0))))</f>
        <v/>
      </c>
      <c r="DF720" s="146" t="str">
        <f>IF(W720&lt;&gt;"AR","",INDEX('Device Refrigerant Leakage'!$E$2:$E$42,MATCH(X720,'Device Refrigerant Leakage'!$B$2:$B$42,0)))</f>
        <v/>
      </c>
      <c r="DG720" s="146" t="str">
        <f>IF(W720&lt;&gt;"AR","",INDEX('Device Refrigerant Leakage'!$F$2:$F$42,MATCH(X720,'Device Refrigerant Leakage'!$B$2:$B$42,0)))</f>
        <v/>
      </c>
      <c r="DH720" s="146" t="str">
        <f>IF(W720&lt;&gt;"AR","",INDEX('Device Refrigerant Leakage'!$G$2:$G$42,MATCH(X720,'Device Refrigerant Leakage'!$B$2:$B$42,0)))</f>
        <v/>
      </c>
      <c r="DI720" s="146" t="str">
        <f>IF(W720&lt;&gt;"AR","",J720*INDEX('Device Refrigerant Leakage'!$D$2:$D$42,MATCH(X720,'Device Refrigerant Leakage'!$B$2:$B$42,0))*DF720/2204.62*DE720)</f>
        <v/>
      </c>
      <c r="DJ720" s="146" t="str">
        <f>IF(W720&lt;&gt;"AR","",J720*(INDEX('Device Refrigerant Leakage'!$D$2:$D$42,MATCH(X720,'Device Refrigerant Leakage'!$B$2:$B$42,0))-(INDEX('Device Refrigerant Leakage'!$D$2:$D$42,MATCH(X720,'Device Refrigerant Leakage'!$B$2:$B$42,0)))*DH720*DF720)*DG720/2204.62*DE720)</f>
        <v/>
      </c>
      <c r="DK720" s="146" t="str">
        <f>IF(W720&lt;&gt;"AR","",DI720*(K720-AB720)+'Fuel Sub Calcs-Deemed'!DJ720*((K720-AB720)/INDEX('Device Refrigerant Leakage'!$C$2:$C$42,MATCH('Fuel Sub Calcs-Deemed'!X720,'Device Refrigerant Leakage'!$B$2:$B$42,0))))</f>
        <v/>
      </c>
      <c r="DM720" s="56">
        <v>706</v>
      </c>
      <c r="DN720" s="67" t="e">
        <f t="shared" si="874"/>
        <v>#N/A</v>
      </c>
      <c r="DO720" s="45" t="e">
        <f t="shared" si="875"/>
        <v>#N/A</v>
      </c>
      <c r="DP720" s="67" t="e">
        <f t="shared" si="876"/>
        <v>#N/A</v>
      </c>
      <c r="DQ720" s="45" t="e">
        <f t="shared" si="877"/>
        <v>#N/A</v>
      </c>
      <c r="DR720" s="69" t="e">
        <f t="shared" si="878"/>
        <v>#N/A</v>
      </c>
      <c r="DS720" s="34"/>
      <c r="DT720" s="67" t="e">
        <f>((BX720*CJ720)+IF($W720=MAT_AR,(BZ720*CL720),0))*(1+Reference!$E$50+Reference!$E$51)</f>
        <v>#N/A</v>
      </c>
      <c r="DU720" s="67">
        <f>((BY720*CK720)+IF($W720=MAT_AR,(CA720*CM720),0))*(1+Reference!$G$50+Reference!$G$51)</f>
        <v>0</v>
      </c>
      <c r="DV720" s="67" t="e">
        <f t="shared" si="879"/>
        <v>#VALUE!</v>
      </c>
      <c r="DX720" s="56">
        <v>706</v>
      </c>
      <c r="DY720" s="67">
        <f t="shared" si="880"/>
        <v>0</v>
      </c>
      <c r="DZ720" s="45" t="e">
        <f>VLOOKUP($R720,Dropdown!$C$3:$D$4,2,FALSE)</f>
        <v>#N/A</v>
      </c>
      <c r="EA720" s="68">
        <f t="shared" si="881"/>
        <v>0</v>
      </c>
      <c r="EB720" s="68" t="str">
        <f t="shared" si="882"/>
        <v>N/A</v>
      </c>
      <c r="EC720" s="68">
        <f t="shared" si="883"/>
        <v>0</v>
      </c>
      <c r="ED720" s="68" t="str">
        <f t="shared" si="853"/>
        <v>N/A</v>
      </c>
      <c r="EF720" s="56">
        <v>706</v>
      </c>
      <c r="EG720" s="46">
        <f t="shared" si="884"/>
        <v>0</v>
      </c>
      <c r="EH720" s="68" t="e">
        <f t="shared" si="885"/>
        <v>#N/A</v>
      </c>
      <c r="EI720" s="68" t="e">
        <f t="shared" si="886"/>
        <v>#N/A</v>
      </c>
      <c r="EJ720" s="68" t="e">
        <f t="shared" si="887"/>
        <v>#N/A</v>
      </c>
      <c r="EK720" s="68" t="e">
        <f t="shared" si="888"/>
        <v>#N/A</v>
      </c>
      <c r="EL720" s="46">
        <f t="shared" si="889"/>
        <v>0</v>
      </c>
      <c r="EM720" s="46">
        <f t="shared" si="890"/>
        <v>0</v>
      </c>
    </row>
    <row r="721" spans="1:143">
      <c r="A721" s="89"/>
      <c r="B721" s="89"/>
      <c r="C721" s="89"/>
      <c r="D721" s="89"/>
      <c r="E721" s="89"/>
      <c r="F721" s="89"/>
      <c r="G721" s="34"/>
      <c r="H721" s="56">
        <f t="shared" si="891"/>
        <v>707</v>
      </c>
      <c r="I721" s="165"/>
      <c r="J721" s="163"/>
      <c r="K721" s="163"/>
      <c r="L721" s="164"/>
      <c r="M721" s="155"/>
      <c r="N721" s="155"/>
      <c r="O721" s="144"/>
      <c r="P721" s="159" t="str">
        <f>IFERROR(IF(O721&lt;&gt;"User Specified",IF(O721&lt;&gt;"", INDEX('Refrigerant GWPs'!$G$2:$G$154,MATCH(O721,'Refrigerant GWPs'!$A$2:$A$154,0)),""),U721),0)</f>
        <v/>
      </c>
      <c r="Q721" s="155"/>
      <c r="R721" s="155"/>
      <c r="S721" s="144"/>
      <c r="T721" s="159" t="str">
        <f>IF(S721&lt;&gt;"User Specified",IF(AND(S721&lt;&gt;"User Specified",S721&lt;&gt;""), INDEX('Refrigerant GWPs'!$G$2:$G$154,MATCH(S721,'Refrigerant GWPs'!$A$2:$A$154,0)),""),V721)</f>
        <v/>
      </c>
      <c r="U721" s="144"/>
      <c r="V721" s="144"/>
      <c r="W721" s="155"/>
      <c r="X721" s="155"/>
      <c r="Y721" s="144"/>
      <c r="Z721" s="159" t="str">
        <f>IF(AND(Y721&lt;&gt;"User Specified",Y721&lt;&gt;""), INDEX('Refrigerant GWPs'!$G$2:$G$154,MATCH(Y721,'Refrigerant GWPs'!$A$2:$A$154,0)),"")</f>
        <v/>
      </c>
      <c r="AA721" s="155"/>
      <c r="AB721" s="156"/>
      <c r="AC721" s="66"/>
      <c r="AD721" s="66"/>
      <c r="AE721" s="66"/>
      <c r="AF721" s="66"/>
      <c r="AG721" s="66"/>
      <c r="AH721" s="66"/>
      <c r="AI721" s="34"/>
      <c r="AJ721" s="88">
        <f t="shared" si="854"/>
        <v>0</v>
      </c>
      <c r="AK721" s="88">
        <f t="shared" si="855"/>
        <v>0</v>
      </c>
      <c r="AL721" s="88">
        <v>0</v>
      </c>
      <c r="AM721" s="88">
        <v>0</v>
      </c>
      <c r="AN721" s="81" t="str">
        <f t="shared" si="825"/>
        <v/>
      </c>
      <c r="AO721" s="88">
        <f t="shared" si="856"/>
        <v>0</v>
      </c>
      <c r="AP721" s="88">
        <f t="shared" si="857"/>
        <v>0</v>
      </c>
      <c r="AQ721" s="81" t="str">
        <f t="shared" si="858"/>
        <v/>
      </c>
      <c r="AS721" s="41" t="b">
        <f t="shared" si="859"/>
        <v>1</v>
      </c>
      <c r="AT721" s="38">
        <f t="shared" si="860"/>
        <v>0</v>
      </c>
      <c r="AU721" s="60">
        <f t="shared" si="861"/>
        <v>0</v>
      </c>
      <c r="AV721" s="41">
        <f t="shared" si="862"/>
        <v>0</v>
      </c>
      <c r="AW721" s="41" t="b">
        <f t="shared" si="863"/>
        <v>0</v>
      </c>
      <c r="AX721" t="str">
        <f t="shared" si="864"/>
        <v>+00</v>
      </c>
      <c r="AY721" t="str">
        <f t="shared" si="865"/>
        <v>+00</v>
      </c>
      <c r="BA721" s="47" t="b">
        <f t="shared" si="826"/>
        <v>1</v>
      </c>
      <c r="BB721" s="42" t="b">
        <f t="shared" si="827"/>
        <v>1</v>
      </c>
      <c r="BC721" s="42" t="b">
        <f t="shared" si="828"/>
        <v>0</v>
      </c>
      <c r="BD721" s="42" t="b">
        <f t="shared" si="829"/>
        <v>0</v>
      </c>
      <c r="BE721" s="70">
        <f t="shared" si="830"/>
        <v>0</v>
      </c>
      <c r="BF721" s="70">
        <f t="shared" si="831"/>
        <v>0</v>
      </c>
      <c r="BG721" s="34"/>
      <c r="BI721" s="47" t="b">
        <f t="shared" si="832"/>
        <v>1</v>
      </c>
      <c r="BJ721" s="47" t="b">
        <f t="shared" si="833"/>
        <v>1</v>
      </c>
      <c r="BK721" s="42" t="b">
        <f t="shared" si="834"/>
        <v>0</v>
      </c>
      <c r="BL721" s="42" t="b">
        <f t="shared" si="835"/>
        <v>0</v>
      </c>
      <c r="BM721" s="42">
        <f t="shared" si="836"/>
        <v>0</v>
      </c>
      <c r="BN721" s="42">
        <f t="shared" si="837"/>
        <v>0</v>
      </c>
      <c r="BP721" t="e">
        <f t="shared" si="838"/>
        <v>#N/A</v>
      </c>
      <c r="BQ721" t="e">
        <f t="shared" si="839"/>
        <v>#N/A</v>
      </c>
      <c r="BR721" t="e">
        <f t="shared" si="840"/>
        <v>#N/A</v>
      </c>
      <c r="BT721" s="60">
        <f t="shared" si="841"/>
        <v>0</v>
      </c>
      <c r="BU721" s="60">
        <f t="shared" si="842"/>
        <v>0</v>
      </c>
      <c r="BV721" s="60">
        <f t="shared" si="843"/>
        <v>0</v>
      </c>
      <c r="BW721" s="60">
        <f t="shared" si="844"/>
        <v>0</v>
      </c>
      <c r="BX721" s="60">
        <f t="shared" si="845"/>
        <v>0</v>
      </c>
      <c r="BY721" s="60">
        <f t="shared" si="846"/>
        <v>0</v>
      </c>
      <c r="BZ721" s="60">
        <f t="shared" si="847"/>
        <v>0</v>
      </c>
      <c r="CA721" s="60">
        <f t="shared" si="848"/>
        <v>0</v>
      </c>
      <c r="CB721" s="60" t="e">
        <f t="shared" si="866"/>
        <v>#N/A</v>
      </c>
      <c r="CC721" s="60">
        <f t="shared" si="867"/>
        <v>100000</v>
      </c>
      <c r="CD721" s="60" t="e">
        <f t="shared" si="868"/>
        <v>#N/A</v>
      </c>
      <c r="CE721" s="60">
        <f t="shared" si="869"/>
        <v>100000</v>
      </c>
      <c r="CF721" s="83" t="e">
        <f t="shared" si="849"/>
        <v>#N/A</v>
      </c>
      <c r="CG721" s="83">
        <f t="shared" si="850"/>
        <v>0</v>
      </c>
      <c r="CH721" s="83" t="e">
        <f t="shared" si="851"/>
        <v>#N/A</v>
      </c>
      <c r="CI721" s="83">
        <f t="shared" si="852"/>
        <v>0</v>
      </c>
      <c r="CJ721" s="86" t="e">
        <f t="shared" si="870"/>
        <v>#N/A</v>
      </c>
      <c r="CK721" s="82">
        <f t="shared" si="871"/>
        <v>5.3070370403969858E-3</v>
      </c>
      <c r="CL721" s="82" t="e">
        <f t="shared" si="872"/>
        <v>#N/A</v>
      </c>
      <c r="CM721" s="82">
        <f t="shared" si="873"/>
        <v>5.3070370403969858E-3</v>
      </c>
      <c r="CO721" s="149" t="str">
        <f>IF($I721&lt;&gt;"",IF(O721="User Specified",U721,INDEX('Refrigerant GWPs'!$G$2:$G$156,MATCH(O721,'Refrigerant GWPs'!$A$2:$A$156,0))),"")</f>
        <v/>
      </c>
      <c r="CP721" s="138" t="str">
        <f>IF($I721&lt;&gt;"",INDEX('Device Refrigerant Leakage'!$E$2:$E$42,MATCH($M721,'Device Refrigerant Leakage'!$B$2:$B$42,0)),"")</f>
        <v/>
      </c>
      <c r="CQ721" s="138" t="str">
        <f>IF($I721&lt;&gt;"",INDEX('Device Refrigerant Leakage'!$F$2:$F$42,MATCH($M721,'Device Refrigerant Leakage'!$B$2:$B$42,0)),"")</f>
        <v/>
      </c>
      <c r="CR721" s="145" t="str">
        <f>IF($I721&lt;&gt;"",INDEX('Device Refrigerant Leakage'!$G$2:$G$42,MATCH($M721,'Device Refrigerant Leakage'!$B$2:$B$42,0)),"")</f>
        <v/>
      </c>
      <c r="CS721" s="145" t="str">
        <f>IF($I721&lt;&gt;"",INDEX('Device Refrigerant Leakage'!$D$2:$D$42,MATCH($M721,'Device Refrigerant Leakage'!$B$2:$B$42,0))*CP721/2204.62*CO721,"")</f>
        <v/>
      </c>
      <c r="CT721" s="145" t="str">
        <f>IF($I721&lt;&gt;"",J721*(INDEX('Device Refrigerant Leakage'!$D$2:$D$42,MATCH($M721,'Device Refrigerant Leakage'!$B$2:$B$42,0))-(INDEX('Device Refrigerant Leakage'!$D$2:$D$42,MATCH($M721,'Device Refrigerant Leakage'!$B$2:$B$42,0)))*CR721*CP721)*CQ721/2204.62*CO721,"")</f>
        <v/>
      </c>
      <c r="CU721" s="135" t="str">
        <f>IF($I721&lt;&gt;"",J721*IF(W721&lt;&gt;"AR",(CS721*K721)+CT721,(CS721*AB721)+CT721*(AB721/INDEX('Device Refrigerant Leakage'!$C$2:$C$42,MATCH($M721,'Device Refrigerant Leakage'!$B$2:$B$42,0)))),"")</f>
        <v/>
      </c>
      <c r="CW721" s="135" t="str">
        <f>IF($I721&lt;&gt;"",IF(S721="User Specified",V721,INDEX('Refrigerant GWPs'!$G$2:$G$156,MATCH(S721,'Refrigerant GWPs'!$A$2:$A$157,0))),"")</f>
        <v/>
      </c>
      <c r="CX721" s="138" t="str">
        <f>IF($I721&lt;&gt;"",INDEX('Device Refrigerant Leakage'!$E$2:$E$42,MATCH($Q721,'Device Refrigerant Leakage'!$B$2:$B$42,0)),"")</f>
        <v/>
      </c>
      <c r="CY721" s="138" t="str">
        <f>IF($I721&lt;&gt;"",INDEX('Device Refrigerant Leakage'!$F$2:$F$42,MATCH($Q721,'Device Refrigerant Leakage'!$B$2:$B$42,0)),"")</f>
        <v/>
      </c>
      <c r="CZ721" s="145" t="str">
        <f>IF($I721&lt;&gt;"",INDEX('Device Refrigerant Leakage'!$G$2:$G$42,MATCH($Q721,'Device Refrigerant Leakage'!$B$2:$B$42,0)),"")</f>
        <v/>
      </c>
      <c r="DA721" s="145" t="str">
        <f>IF($I721&lt;&gt;"",J721*INDEX('Device Refrigerant Leakage'!$D$2:$D$42,MATCH($Q721,'Device Refrigerant Leakage'!$B$2:$B$42,0))*CX721/2204.62*CW721,"")</f>
        <v/>
      </c>
      <c r="DB721" s="145" t="str">
        <f>IF($I721&lt;&gt;"",J721*(INDEX('Device Refrigerant Leakage'!$D$2:$D$42,MATCH($Q721,'Device Refrigerant Leakage'!$B$2:$B$42,0))-(INDEX('Device Refrigerant Leakage'!$D$2:$D$42,MATCH($Q721,'Device Refrigerant Leakage'!$B$2:$B$42,0)))*CZ721*CX721)*CY721/2204.62*CW721,"")</f>
        <v/>
      </c>
      <c r="DC721" s="135" t="str">
        <f t="shared" si="892"/>
        <v/>
      </c>
      <c r="DE721" s="146" t="str">
        <f>IF(W721&lt;&gt;"AR","",IF(Y721="User Specified", AA721, INDEX('Refrigerant GWPs'!$G$2:$G$154,MATCH(Y721,'Refrigerant GWPs'!$A$2:$A$154,0))))</f>
        <v/>
      </c>
      <c r="DF721" s="146" t="str">
        <f>IF(W721&lt;&gt;"AR","",INDEX('Device Refrigerant Leakage'!$E$2:$E$42,MATCH(X721,'Device Refrigerant Leakage'!$B$2:$B$42,0)))</f>
        <v/>
      </c>
      <c r="DG721" s="146" t="str">
        <f>IF(W721&lt;&gt;"AR","",INDEX('Device Refrigerant Leakage'!$F$2:$F$42,MATCH(X721,'Device Refrigerant Leakage'!$B$2:$B$42,0)))</f>
        <v/>
      </c>
      <c r="DH721" s="146" t="str">
        <f>IF(W721&lt;&gt;"AR","",INDEX('Device Refrigerant Leakage'!$G$2:$G$42,MATCH(X721,'Device Refrigerant Leakage'!$B$2:$B$42,0)))</f>
        <v/>
      </c>
      <c r="DI721" s="146" t="str">
        <f>IF(W721&lt;&gt;"AR","",J721*INDEX('Device Refrigerant Leakage'!$D$2:$D$42,MATCH(X721,'Device Refrigerant Leakage'!$B$2:$B$42,0))*DF721/2204.62*DE721)</f>
        <v/>
      </c>
      <c r="DJ721" s="146" t="str">
        <f>IF(W721&lt;&gt;"AR","",J721*(INDEX('Device Refrigerant Leakage'!$D$2:$D$42,MATCH(X721,'Device Refrigerant Leakage'!$B$2:$B$42,0))-(INDEX('Device Refrigerant Leakage'!$D$2:$D$42,MATCH(X721,'Device Refrigerant Leakage'!$B$2:$B$42,0)))*DH721*DF721)*DG721/2204.62*DE721)</f>
        <v/>
      </c>
      <c r="DK721" s="146" t="str">
        <f>IF(W721&lt;&gt;"AR","",DI721*(K721-AB721)+'Fuel Sub Calcs-Deemed'!DJ721*((K721-AB721)/INDEX('Device Refrigerant Leakage'!$C$2:$C$42,MATCH('Fuel Sub Calcs-Deemed'!X721,'Device Refrigerant Leakage'!$B$2:$B$42,0))))</f>
        <v/>
      </c>
      <c r="DM721" s="56">
        <v>707</v>
      </c>
      <c r="DN721" s="67" t="e">
        <f t="shared" si="874"/>
        <v>#N/A</v>
      </c>
      <c r="DO721" s="45" t="e">
        <f t="shared" si="875"/>
        <v>#N/A</v>
      </c>
      <c r="DP721" s="67" t="e">
        <f t="shared" si="876"/>
        <v>#N/A</v>
      </c>
      <c r="DQ721" s="45" t="e">
        <f t="shared" si="877"/>
        <v>#N/A</v>
      </c>
      <c r="DR721" s="69" t="e">
        <f t="shared" si="878"/>
        <v>#N/A</v>
      </c>
      <c r="DS721" s="34"/>
      <c r="DT721" s="67" t="e">
        <f>((BX721*CJ721)+IF($W721=MAT_AR,(BZ721*CL721),0))*(1+Reference!$E$50+Reference!$E$51)</f>
        <v>#N/A</v>
      </c>
      <c r="DU721" s="67">
        <f>((BY721*CK721)+IF($W721=MAT_AR,(CA721*CM721),0))*(1+Reference!$G$50+Reference!$G$51)</f>
        <v>0</v>
      </c>
      <c r="DV721" s="67" t="e">
        <f t="shared" si="879"/>
        <v>#VALUE!</v>
      </c>
      <c r="DX721" s="56">
        <v>707</v>
      </c>
      <c r="DY721" s="67">
        <f t="shared" si="880"/>
        <v>0</v>
      </c>
      <c r="DZ721" s="45" t="e">
        <f>VLOOKUP($R721,Dropdown!$C$3:$D$4,2,FALSE)</f>
        <v>#N/A</v>
      </c>
      <c r="EA721" s="68">
        <f t="shared" si="881"/>
        <v>0</v>
      </c>
      <c r="EB721" s="68" t="str">
        <f t="shared" si="882"/>
        <v>N/A</v>
      </c>
      <c r="EC721" s="68">
        <f t="shared" si="883"/>
        <v>0</v>
      </c>
      <c r="ED721" s="68" t="str">
        <f t="shared" si="853"/>
        <v>N/A</v>
      </c>
      <c r="EF721" s="56">
        <v>707</v>
      </c>
      <c r="EG721" s="46">
        <f t="shared" si="884"/>
        <v>0</v>
      </c>
      <c r="EH721" s="68" t="e">
        <f t="shared" si="885"/>
        <v>#N/A</v>
      </c>
      <c r="EI721" s="68" t="e">
        <f t="shared" si="886"/>
        <v>#N/A</v>
      </c>
      <c r="EJ721" s="68" t="e">
        <f t="shared" si="887"/>
        <v>#N/A</v>
      </c>
      <c r="EK721" s="68" t="e">
        <f t="shared" si="888"/>
        <v>#N/A</v>
      </c>
      <c r="EL721" s="46">
        <f t="shared" si="889"/>
        <v>0</v>
      </c>
      <c r="EM721" s="46">
        <f t="shared" si="890"/>
        <v>0</v>
      </c>
    </row>
    <row r="722" spans="1:143">
      <c r="A722" s="89"/>
      <c r="B722" s="89"/>
      <c r="C722" s="89"/>
      <c r="D722" s="89"/>
      <c r="E722" s="89"/>
      <c r="F722" s="89"/>
      <c r="G722" s="34"/>
      <c r="H722" s="56">
        <f t="shared" si="891"/>
        <v>708</v>
      </c>
      <c r="I722" s="165"/>
      <c r="J722" s="163"/>
      <c r="K722" s="163"/>
      <c r="L722" s="164"/>
      <c r="M722" s="155"/>
      <c r="N722" s="155"/>
      <c r="O722" s="144"/>
      <c r="P722" s="159" t="str">
        <f>IFERROR(IF(O722&lt;&gt;"User Specified",IF(O722&lt;&gt;"", INDEX('Refrigerant GWPs'!$G$2:$G$154,MATCH(O722,'Refrigerant GWPs'!$A$2:$A$154,0)),""),U722),0)</f>
        <v/>
      </c>
      <c r="Q722" s="155"/>
      <c r="R722" s="155"/>
      <c r="S722" s="144"/>
      <c r="T722" s="159" t="str">
        <f>IF(S722&lt;&gt;"User Specified",IF(AND(S722&lt;&gt;"User Specified",S722&lt;&gt;""), INDEX('Refrigerant GWPs'!$G$2:$G$154,MATCH(S722,'Refrigerant GWPs'!$A$2:$A$154,0)),""),V722)</f>
        <v/>
      </c>
      <c r="U722" s="144"/>
      <c r="V722" s="144"/>
      <c r="W722" s="155"/>
      <c r="X722" s="155"/>
      <c r="Y722" s="144"/>
      <c r="Z722" s="159" t="str">
        <f>IF(AND(Y722&lt;&gt;"User Specified",Y722&lt;&gt;""), INDEX('Refrigerant GWPs'!$G$2:$G$154,MATCH(Y722,'Refrigerant GWPs'!$A$2:$A$154,0)),"")</f>
        <v/>
      </c>
      <c r="AA722" s="155"/>
      <c r="AB722" s="156"/>
      <c r="AC722" s="66"/>
      <c r="AD722" s="66"/>
      <c r="AE722" s="66"/>
      <c r="AF722" s="66"/>
      <c r="AG722" s="66"/>
      <c r="AH722" s="66"/>
      <c r="AI722" s="34"/>
      <c r="AJ722" s="88">
        <f t="shared" si="854"/>
        <v>0</v>
      </c>
      <c r="AK722" s="88">
        <f t="shared" si="855"/>
        <v>0</v>
      </c>
      <c r="AL722" s="88">
        <v>0</v>
      </c>
      <c r="AM722" s="88">
        <v>0</v>
      </c>
      <c r="AN722" s="81" t="str">
        <f t="shared" si="825"/>
        <v/>
      </c>
      <c r="AO722" s="88">
        <f t="shared" si="856"/>
        <v>0</v>
      </c>
      <c r="AP722" s="88">
        <f t="shared" si="857"/>
        <v>0</v>
      </c>
      <c r="AQ722" s="81" t="str">
        <f t="shared" si="858"/>
        <v/>
      </c>
      <c r="AS722" s="41" t="b">
        <f t="shared" si="859"/>
        <v>1</v>
      </c>
      <c r="AT722" s="38">
        <f t="shared" si="860"/>
        <v>0</v>
      </c>
      <c r="AU722" s="60">
        <f t="shared" si="861"/>
        <v>0</v>
      </c>
      <c r="AV722" s="41">
        <f t="shared" si="862"/>
        <v>0</v>
      </c>
      <c r="AW722" s="41" t="b">
        <f t="shared" si="863"/>
        <v>0</v>
      </c>
      <c r="AX722" t="str">
        <f t="shared" si="864"/>
        <v>+00</v>
      </c>
      <c r="AY722" t="str">
        <f t="shared" si="865"/>
        <v>+00</v>
      </c>
      <c r="BA722" s="47" t="b">
        <f t="shared" si="826"/>
        <v>1</v>
      </c>
      <c r="BB722" s="42" t="b">
        <f t="shared" si="827"/>
        <v>1</v>
      </c>
      <c r="BC722" s="42" t="b">
        <f t="shared" si="828"/>
        <v>0</v>
      </c>
      <c r="BD722" s="42" t="b">
        <f t="shared" si="829"/>
        <v>0</v>
      </c>
      <c r="BE722" s="70">
        <f t="shared" si="830"/>
        <v>0</v>
      </c>
      <c r="BF722" s="70">
        <f t="shared" si="831"/>
        <v>0</v>
      </c>
      <c r="BG722" s="34"/>
      <c r="BI722" s="47" t="b">
        <f t="shared" si="832"/>
        <v>1</v>
      </c>
      <c r="BJ722" s="47" t="b">
        <f t="shared" si="833"/>
        <v>1</v>
      </c>
      <c r="BK722" s="42" t="b">
        <f t="shared" si="834"/>
        <v>0</v>
      </c>
      <c r="BL722" s="42" t="b">
        <f t="shared" si="835"/>
        <v>0</v>
      </c>
      <c r="BM722" s="42">
        <f t="shared" si="836"/>
        <v>0</v>
      </c>
      <c r="BN722" s="42">
        <f t="shared" si="837"/>
        <v>0</v>
      </c>
      <c r="BP722" t="e">
        <f t="shared" si="838"/>
        <v>#N/A</v>
      </c>
      <c r="BQ722" t="e">
        <f t="shared" si="839"/>
        <v>#N/A</v>
      </c>
      <c r="BR722" t="e">
        <f t="shared" si="840"/>
        <v>#N/A</v>
      </c>
      <c r="BT722" s="60">
        <f t="shared" si="841"/>
        <v>0</v>
      </c>
      <c r="BU722" s="60">
        <f t="shared" si="842"/>
        <v>0</v>
      </c>
      <c r="BV722" s="60">
        <f t="shared" si="843"/>
        <v>0</v>
      </c>
      <c r="BW722" s="60">
        <f t="shared" si="844"/>
        <v>0</v>
      </c>
      <c r="BX722" s="60">
        <f t="shared" si="845"/>
        <v>0</v>
      </c>
      <c r="BY722" s="60">
        <f t="shared" si="846"/>
        <v>0</v>
      </c>
      <c r="BZ722" s="60">
        <f t="shared" si="847"/>
        <v>0</v>
      </c>
      <c r="CA722" s="60">
        <f t="shared" si="848"/>
        <v>0</v>
      </c>
      <c r="CB722" s="60" t="e">
        <f t="shared" si="866"/>
        <v>#N/A</v>
      </c>
      <c r="CC722" s="60">
        <f t="shared" si="867"/>
        <v>100000</v>
      </c>
      <c r="CD722" s="60" t="e">
        <f t="shared" si="868"/>
        <v>#N/A</v>
      </c>
      <c r="CE722" s="60">
        <f t="shared" si="869"/>
        <v>100000</v>
      </c>
      <c r="CF722" s="83" t="e">
        <f t="shared" si="849"/>
        <v>#N/A</v>
      </c>
      <c r="CG722" s="83">
        <f t="shared" si="850"/>
        <v>0</v>
      </c>
      <c r="CH722" s="83" t="e">
        <f t="shared" si="851"/>
        <v>#N/A</v>
      </c>
      <c r="CI722" s="83">
        <f t="shared" si="852"/>
        <v>0</v>
      </c>
      <c r="CJ722" s="86" t="e">
        <f t="shared" si="870"/>
        <v>#N/A</v>
      </c>
      <c r="CK722" s="82">
        <f t="shared" si="871"/>
        <v>5.3070370403969858E-3</v>
      </c>
      <c r="CL722" s="82" t="e">
        <f t="shared" si="872"/>
        <v>#N/A</v>
      </c>
      <c r="CM722" s="82">
        <f t="shared" si="873"/>
        <v>5.3070370403969858E-3</v>
      </c>
      <c r="CO722" s="149" t="str">
        <f>IF($I722&lt;&gt;"",IF(O722="User Specified",U722,INDEX('Refrigerant GWPs'!$G$2:$G$156,MATCH(O722,'Refrigerant GWPs'!$A$2:$A$156,0))),"")</f>
        <v/>
      </c>
      <c r="CP722" s="138" t="str">
        <f>IF($I722&lt;&gt;"",INDEX('Device Refrigerant Leakage'!$E$2:$E$42,MATCH($M722,'Device Refrigerant Leakage'!$B$2:$B$42,0)),"")</f>
        <v/>
      </c>
      <c r="CQ722" s="138" t="str">
        <f>IF($I722&lt;&gt;"",INDEX('Device Refrigerant Leakage'!$F$2:$F$42,MATCH($M722,'Device Refrigerant Leakage'!$B$2:$B$42,0)),"")</f>
        <v/>
      </c>
      <c r="CR722" s="145" t="str">
        <f>IF($I722&lt;&gt;"",INDEX('Device Refrigerant Leakage'!$G$2:$G$42,MATCH($M722,'Device Refrigerant Leakage'!$B$2:$B$42,0)),"")</f>
        <v/>
      </c>
      <c r="CS722" s="145" t="str">
        <f>IF($I722&lt;&gt;"",INDEX('Device Refrigerant Leakage'!$D$2:$D$42,MATCH($M722,'Device Refrigerant Leakage'!$B$2:$B$42,0))*CP722/2204.62*CO722,"")</f>
        <v/>
      </c>
      <c r="CT722" s="145" t="str">
        <f>IF($I722&lt;&gt;"",J722*(INDEX('Device Refrigerant Leakage'!$D$2:$D$42,MATCH($M722,'Device Refrigerant Leakage'!$B$2:$B$42,0))-(INDEX('Device Refrigerant Leakage'!$D$2:$D$42,MATCH($M722,'Device Refrigerant Leakage'!$B$2:$B$42,0)))*CR722*CP722)*CQ722/2204.62*CO722,"")</f>
        <v/>
      </c>
      <c r="CU722" s="135" t="str">
        <f>IF($I722&lt;&gt;"",J722*IF(W722&lt;&gt;"AR",(CS722*K722)+CT722,(CS722*AB722)+CT722*(AB722/INDEX('Device Refrigerant Leakage'!$C$2:$C$42,MATCH($M722,'Device Refrigerant Leakage'!$B$2:$B$42,0)))),"")</f>
        <v/>
      </c>
      <c r="CW722" s="135" t="str">
        <f>IF($I722&lt;&gt;"",IF(S722="User Specified",V722,INDEX('Refrigerant GWPs'!$G$2:$G$156,MATCH(S722,'Refrigerant GWPs'!$A$2:$A$157,0))),"")</f>
        <v/>
      </c>
      <c r="CX722" s="138" t="str">
        <f>IF($I722&lt;&gt;"",INDEX('Device Refrigerant Leakage'!$E$2:$E$42,MATCH($Q722,'Device Refrigerant Leakage'!$B$2:$B$42,0)),"")</f>
        <v/>
      </c>
      <c r="CY722" s="138" t="str">
        <f>IF($I722&lt;&gt;"",INDEX('Device Refrigerant Leakage'!$F$2:$F$42,MATCH($Q722,'Device Refrigerant Leakage'!$B$2:$B$42,0)),"")</f>
        <v/>
      </c>
      <c r="CZ722" s="145" t="str">
        <f>IF($I722&lt;&gt;"",INDEX('Device Refrigerant Leakage'!$G$2:$G$42,MATCH($Q722,'Device Refrigerant Leakage'!$B$2:$B$42,0)),"")</f>
        <v/>
      </c>
      <c r="DA722" s="145" t="str">
        <f>IF($I722&lt;&gt;"",J722*INDEX('Device Refrigerant Leakage'!$D$2:$D$42,MATCH($Q722,'Device Refrigerant Leakage'!$B$2:$B$42,0))*CX722/2204.62*CW722,"")</f>
        <v/>
      </c>
      <c r="DB722" s="145" t="str">
        <f>IF($I722&lt;&gt;"",J722*(INDEX('Device Refrigerant Leakage'!$D$2:$D$42,MATCH($Q722,'Device Refrigerant Leakage'!$B$2:$B$42,0))-(INDEX('Device Refrigerant Leakage'!$D$2:$D$42,MATCH($Q722,'Device Refrigerant Leakage'!$B$2:$B$42,0)))*CZ722*CX722)*CY722/2204.62*CW722,"")</f>
        <v/>
      </c>
      <c r="DC722" s="135" t="str">
        <f t="shared" si="892"/>
        <v/>
      </c>
      <c r="DE722" s="146" t="str">
        <f>IF(W722&lt;&gt;"AR","",IF(Y722="User Specified", AA722, INDEX('Refrigerant GWPs'!$G$2:$G$154,MATCH(Y722,'Refrigerant GWPs'!$A$2:$A$154,0))))</f>
        <v/>
      </c>
      <c r="DF722" s="146" t="str">
        <f>IF(W722&lt;&gt;"AR","",INDEX('Device Refrigerant Leakage'!$E$2:$E$42,MATCH(X722,'Device Refrigerant Leakage'!$B$2:$B$42,0)))</f>
        <v/>
      </c>
      <c r="DG722" s="146" t="str">
        <f>IF(W722&lt;&gt;"AR","",INDEX('Device Refrigerant Leakage'!$F$2:$F$42,MATCH(X722,'Device Refrigerant Leakage'!$B$2:$B$42,0)))</f>
        <v/>
      </c>
      <c r="DH722" s="146" t="str">
        <f>IF(W722&lt;&gt;"AR","",INDEX('Device Refrigerant Leakage'!$G$2:$G$42,MATCH(X722,'Device Refrigerant Leakage'!$B$2:$B$42,0)))</f>
        <v/>
      </c>
      <c r="DI722" s="146" t="str">
        <f>IF(W722&lt;&gt;"AR","",J722*INDEX('Device Refrigerant Leakage'!$D$2:$D$42,MATCH(X722,'Device Refrigerant Leakage'!$B$2:$B$42,0))*DF722/2204.62*DE722)</f>
        <v/>
      </c>
      <c r="DJ722" s="146" t="str">
        <f>IF(W722&lt;&gt;"AR","",J722*(INDEX('Device Refrigerant Leakage'!$D$2:$D$42,MATCH(X722,'Device Refrigerant Leakage'!$B$2:$B$42,0))-(INDEX('Device Refrigerant Leakage'!$D$2:$D$42,MATCH(X722,'Device Refrigerant Leakage'!$B$2:$B$42,0)))*DH722*DF722)*DG722/2204.62*DE722)</f>
        <v/>
      </c>
      <c r="DK722" s="146" t="str">
        <f>IF(W722&lt;&gt;"AR","",DI722*(K722-AB722)+'Fuel Sub Calcs-Deemed'!DJ722*((K722-AB722)/INDEX('Device Refrigerant Leakage'!$C$2:$C$42,MATCH('Fuel Sub Calcs-Deemed'!X722,'Device Refrigerant Leakage'!$B$2:$B$42,0))))</f>
        <v/>
      </c>
      <c r="DM722" s="56">
        <v>708</v>
      </c>
      <c r="DN722" s="67" t="e">
        <f t="shared" si="874"/>
        <v>#N/A</v>
      </c>
      <c r="DO722" s="45" t="e">
        <f t="shared" si="875"/>
        <v>#N/A</v>
      </c>
      <c r="DP722" s="67" t="e">
        <f t="shared" si="876"/>
        <v>#N/A</v>
      </c>
      <c r="DQ722" s="45" t="e">
        <f t="shared" si="877"/>
        <v>#N/A</v>
      </c>
      <c r="DR722" s="69" t="e">
        <f t="shared" si="878"/>
        <v>#N/A</v>
      </c>
      <c r="DS722" s="34"/>
      <c r="DT722" s="67" t="e">
        <f>((BX722*CJ722)+IF($W722=MAT_AR,(BZ722*CL722),0))*(1+Reference!$E$50+Reference!$E$51)</f>
        <v>#N/A</v>
      </c>
      <c r="DU722" s="67">
        <f>((BY722*CK722)+IF($W722=MAT_AR,(CA722*CM722),0))*(1+Reference!$G$50+Reference!$G$51)</f>
        <v>0</v>
      </c>
      <c r="DV722" s="67" t="e">
        <f t="shared" si="879"/>
        <v>#VALUE!</v>
      </c>
      <c r="DX722" s="56">
        <v>708</v>
      </c>
      <c r="DY722" s="67">
        <f t="shared" si="880"/>
        <v>0</v>
      </c>
      <c r="DZ722" s="45" t="e">
        <f>VLOOKUP($R722,Dropdown!$C$3:$D$4,2,FALSE)</f>
        <v>#N/A</v>
      </c>
      <c r="EA722" s="68">
        <f t="shared" si="881"/>
        <v>0</v>
      </c>
      <c r="EB722" s="68" t="str">
        <f t="shared" si="882"/>
        <v>N/A</v>
      </c>
      <c r="EC722" s="68">
        <f t="shared" si="883"/>
        <v>0</v>
      </c>
      <c r="ED722" s="68" t="str">
        <f t="shared" si="853"/>
        <v>N/A</v>
      </c>
      <c r="EF722" s="56">
        <v>708</v>
      </c>
      <c r="EG722" s="46">
        <f t="shared" si="884"/>
        <v>0</v>
      </c>
      <c r="EH722" s="68" t="e">
        <f t="shared" si="885"/>
        <v>#N/A</v>
      </c>
      <c r="EI722" s="68" t="e">
        <f t="shared" si="886"/>
        <v>#N/A</v>
      </c>
      <c r="EJ722" s="68" t="e">
        <f t="shared" si="887"/>
        <v>#N/A</v>
      </c>
      <c r="EK722" s="68" t="e">
        <f t="shared" si="888"/>
        <v>#N/A</v>
      </c>
      <c r="EL722" s="46">
        <f t="shared" si="889"/>
        <v>0</v>
      </c>
      <c r="EM722" s="46">
        <f t="shared" si="890"/>
        <v>0</v>
      </c>
    </row>
    <row r="723" spans="1:143">
      <c r="A723" s="89"/>
      <c r="B723" s="89"/>
      <c r="C723" s="89"/>
      <c r="D723" s="89"/>
      <c r="E723" s="89"/>
      <c r="F723" s="89"/>
      <c r="G723" s="34"/>
      <c r="H723" s="56">
        <f t="shared" si="891"/>
        <v>709</v>
      </c>
      <c r="I723" s="165"/>
      <c r="J723" s="163"/>
      <c r="K723" s="163"/>
      <c r="L723" s="164"/>
      <c r="M723" s="155"/>
      <c r="N723" s="155"/>
      <c r="O723" s="144"/>
      <c r="P723" s="159" t="str">
        <f>IFERROR(IF(O723&lt;&gt;"User Specified",IF(O723&lt;&gt;"", INDEX('Refrigerant GWPs'!$G$2:$G$154,MATCH(O723,'Refrigerant GWPs'!$A$2:$A$154,0)),""),U723),0)</f>
        <v/>
      </c>
      <c r="Q723" s="155"/>
      <c r="R723" s="155"/>
      <c r="S723" s="144"/>
      <c r="T723" s="159" t="str">
        <f>IF(S723&lt;&gt;"User Specified",IF(AND(S723&lt;&gt;"User Specified",S723&lt;&gt;""), INDEX('Refrigerant GWPs'!$G$2:$G$154,MATCH(S723,'Refrigerant GWPs'!$A$2:$A$154,0)),""),V723)</f>
        <v/>
      </c>
      <c r="U723" s="144"/>
      <c r="V723" s="144"/>
      <c r="W723" s="155"/>
      <c r="X723" s="155"/>
      <c r="Y723" s="144"/>
      <c r="Z723" s="159" t="str">
        <f>IF(AND(Y723&lt;&gt;"User Specified",Y723&lt;&gt;""), INDEX('Refrigerant GWPs'!$G$2:$G$154,MATCH(Y723,'Refrigerant GWPs'!$A$2:$A$154,0)),"")</f>
        <v/>
      </c>
      <c r="AA723" s="155"/>
      <c r="AB723" s="156"/>
      <c r="AC723" s="66"/>
      <c r="AD723" s="66"/>
      <c r="AE723" s="66"/>
      <c r="AF723" s="66"/>
      <c r="AG723" s="66"/>
      <c r="AH723" s="66"/>
      <c r="AI723" s="34"/>
      <c r="AJ723" s="88">
        <f t="shared" si="854"/>
        <v>0</v>
      </c>
      <c r="AK723" s="88">
        <f t="shared" si="855"/>
        <v>0</v>
      </c>
      <c r="AL723" s="88">
        <v>0</v>
      </c>
      <c r="AM723" s="88">
        <v>0</v>
      </c>
      <c r="AN723" s="81" t="str">
        <f t="shared" si="825"/>
        <v/>
      </c>
      <c r="AO723" s="88">
        <f t="shared" si="856"/>
        <v>0</v>
      </c>
      <c r="AP723" s="88">
        <f t="shared" si="857"/>
        <v>0</v>
      </c>
      <c r="AQ723" s="81" t="str">
        <f t="shared" si="858"/>
        <v/>
      </c>
      <c r="AS723" s="41" t="b">
        <f t="shared" si="859"/>
        <v>1</v>
      </c>
      <c r="AT723" s="38">
        <f t="shared" si="860"/>
        <v>0</v>
      </c>
      <c r="AU723" s="60">
        <f t="shared" si="861"/>
        <v>0</v>
      </c>
      <c r="AV723" s="41">
        <f t="shared" si="862"/>
        <v>0</v>
      </c>
      <c r="AW723" s="41" t="b">
        <f t="shared" si="863"/>
        <v>0</v>
      </c>
      <c r="AX723" t="str">
        <f t="shared" si="864"/>
        <v>+00</v>
      </c>
      <c r="AY723" t="str">
        <f t="shared" si="865"/>
        <v>+00</v>
      </c>
      <c r="BA723" s="47" t="b">
        <f t="shared" si="826"/>
        <v>1</v>
      </c>
      <c r="BB723" s="42" t="b">
        <f t="shared" si="827"/>
        <v>1</v>
      </c>
      <c r="BC723" s="42" t="b">
        <f t="shared" si="828"/>
        <v>0</v>
      </c>
      <c r="BD723" s="42" t="b">
        <f t="shared" si="829"/>
        <v>0</v>
      </c>
      <c r="BE723" s="70">
        <f t="shared" si="830"/>
        <v>0</v>
      </c>
      <c r="BF723" s="70">
        <f t="shared" si="831"/>
        <v>0</v>
      </c>
      <c r="BG723" s="34"/>
      <c r="BI723" s="47" t="b">
        <f t="shared" si="832"/>
        <v>1</v>
      </c>
      <c r="BJ723" s="47" t="b">
        <f t="shared" si="833"/>
        <v>1</v>
      </c>
      <c r="BK723" s="42" t="b">
        <f t="shared" si="834"/>
        <v>0</v>
      </c>
      <c r="BL723" s="42" t="b">
        <f t="shared" si="835"/>
        <v>0</v>
      </c>
      <c r="BM723" s="42">
        <f t="shared" si="836"/>
        <v>0</v>
      </c>
      <c r="BN723" s="42">
        <f t="shared" si="837"/>
        <v>0</v>
      </c>
      <c r="BP723" t="e">
        <f t="shared" si="838"/>
        <v>#N/A</v>
      </c>
      <c r="BQ723" t="e">
        <f t="shared" si="839"/>
        <v>#N/A</v>
      </c>
      <c r="BR723" t="e">
        <f t="shared" si="840"/>
        <v>#N/A</v>
      </c>
      <c r="BT723" s="60">
        <f t="shared" si="841"/>
        <v>0</v>
      </c>
      <c r="BU723" s="60">
        <f t="shared" si="842"/>
        <v>0</v>
      </c>
      <c r="BV723" s="60">
        <f t="shared" si="843"/>
        <v>0</v>
      </c>
      <c r="BW723" s="60">
        <f t="shared" si="844"/>
        <v>0</v>
      </c>
      <c r="BX723" s="60">
        <f t="shared" si="845"/>
        <v>0</v>
      </c>
      <c r="BY723" s="60">
        <f t="shared" si="846"/>
        <v>0</v>
      </c>
      <c r="BZ723" s="60">
        <f t="shared" si="847"/>
        <v>0</v>
      </c>
      <c r="CA723" s="60">
        <f t="shared" si="848"/>
        <v>0</v>
      </c>
      <c r="CB723" s="60" t="e">
        <f t="shared" si="866"/>
        <v>#N/A</v>
      </c>
      <c r="CC723" s="60">
        <f t="shared" si="867"/>
        <v>100000</v>
      </c>
      <c r="CD723" s="60" t="e">
        <f t="shared" si="868"/>
        <v>#N/A</v>
      </c>
      <c r="CE723" s="60">
        <f t="shared" si="869"/>
        <v>100000</v>
      </c>
      <c r="CF723" s="83" t="e">
        <f t="shared" si="849"/>
        <v>#N/A</v>
      </c>
      <c r="CG723" s="83">
        <f t="shared" si="850"/>
        <v>0</v>
      </c>
      <c r="CH723" s="83" t="e">
        <f t="shared" si="851"/>
        <v>#N/A</v>
      </c>
      <c r="CI723" s="83">
        <f t="shared" si="852"/>
        <v>0</v>
      </c>
      <c r="CJ723" s="86" t="e">
        <f t="shared" si="870"/>
        <v>#N/A</v>
      </c>
      <c r="CK723" s="82">
        <f t="shared" si="871"/>
        <v>5.3070370403969858E-3</v>
      </c>
      <c r="CL723" s="82" t="e">
        <f t="shared" si="872"/>
        <v>#N/A</v>
      </c>
      <c r="CM723" s="82">
        <f t="shared" si="873"/>
        <v>5.3070370403969858E-3</v>
      </c>
      <c r="CO723" s="149" t="str">
        <f>IF($I723&lt;&gt;"",IF(O723="User Specified",U723,INDEX('Refrigerant GWPs'!$G$2:$G$156,MATCH(O723,'Refrigerant GWPs'!$A$2:$A$156,0))),"")</f>
        <v/>
      </c>
      <c r="CP723" s="138" t="str">
        <f>IF($I723&lt;&gt;"",INDEX('Device Refrigerant Leakage'!$E$2:$E$42,MATCH($M723,'Device Refrigerant Leakage'!$B$2:$B$42,0)),"")</f>
        <v/>
      </c>
      <c r="CQ723" s="138" t="str">
        <f>IF($I723&lt;&gt;"",INDEX('Device Refrigerant Leakage'!$F$2:$F$42,MATCH($M723,'Device Refrigerant Leakage'!$B$2:$B$42,0)),"")</f>
        <v/>
      </c>
      <c r="CR723" s="145" t="str">
        <f>IF($I723&lt;&gt;"",INDEX('Device Refrigerant Leakage'!$G$2:$G$42,MATCH($M723,'Device Refrigerant Leakage'!$B$2:$B$42,0)),"")</f>
        <v/>
      </c>
      <c r="CS723" s="145" t="str">
        <f>IF($I723&lt;&gt;"",INDEX('Device Refrigerant Leakage'!$D$2:$D$42,MATCH($M723,'Device Refrigerant Leakage'!$B$2:$B$42,0))*CP723/2204.62*CO723,"")</f>
        <v/>
      </c>
      <c r="CT723" s="145" t="str">
        <f>IF($I723&lt;&gt;"",J723*(INDEX('Device Refrigerant Leakage'!$D$2:$D$42,MATCH($M723,'Device Refrigerant Leakage'!$B$2:$B$42,0))-(INDEX('Device Refrigerant Leakage'!$D$2:$D$42,MATCH($M723,'Device Refrigerant Leakage'!$B$2:$B$42,0)))*CR723*CP723)*CQ723/2204.62*CO723,"")</f>
        <v/>
      </c>
      <c r="CU723" s="135" t="str">
        <f>IF($I723&lt;&gt;"",J723*IF(W723&lt;&gt;"AR",(CS723*K723)+CT723,(CS723*AB723)+CT723*(AB723/INDEX('Device Refrigerant Leakage'!$C$2:$C$42,MATCH($M723,'Device Refrigerant Leakage'!$B$2:$B$42,0)))),"")</f>
        <v/>
      </c>
      <c r="CW723" s="135" t="str">
        <f>IF($I723&lt;&gt;"",IF(S723="User Specified",V723,INDEX('Refrigerant GWPs'!$G$2:$G$156,MATCH(S723,'Refrigerant GWPs'!$A$2:$A$157,0))),"")</f>
        <v/>
      </c>
      <c r="CX723" s="138" t="str">
        <f>IF($I723&lt;&gt;"",INDEX('Device Refrigerant Leakage'!$E$2:$E$42,MATCH($Q723,'Device Refrigerant Leakage'!$B$2:$B$42,0)),"")</f>
        <v/>
      </c>
      <c r="CY723" s="138" t="str">
        <f>IF($I723&lt;&gt;"",INDEX('Device Refrigerant Leakage'!$F$2:$F$42,MATCH($Q723,'Device Refrigerant Leakage'!$B$2:$B$42,0)),"")</f>
        <v/>
      </c>
      <c r="CZ723" s="145" t="str">
        <f>IF($I723&lt;&gt;"",INDEX('Device Refrigerant Leakage'!$G$2:$G$42,MATCH($Q723,'Device Refrigerant Leakage'!$B$2:$B$42,0)),"")</f>
        <v/>
      </c>
      <c r="DA723" s="145" t="str">
        <f>IF($I723&lt;&gt;"",J723*INDEX('Device Refrigerant Leakage'!$D$2:$D$42,MATCH($Q723,'Device Refrigerant Leakage'!$B$2:$B$42,0))*CX723/2204.62*CW723,"")</f>
        <v/>
      </c>
      <c r="DB723" s="145" t="str">
        <f>IF($I723&lt;&gt;"",J723*(INDEX('Device Refrigerant Leakage'!$D$2:$D$42,MATCH($Q723,'Device Refrigerant Leakage'!$B$2:$B$42,0))-(INDEX('Device Refrigerant Leakage'!$D$2:$D$42,MATCH($Q723,'Device Refrigerant Leakage'!$B$2:$B$42,0)))*CZ723*CX723)*CY723/2204.62*CW723,"")</f>
        <v/>
      </c>
      <c r="DC723" s="135" t="str">
        <f t="shared" si="892"/>
        <v/>
      </c>
      <c r="DE723" s="146" t="str">
        <f>IF(W723&lt;&gt;"AR","",IF(Y723="User Specified", AA723, INDEX('Refrigerant GWPs'!$G$2:$G$154,MATCH(Y723,'Refrigerant GWPs'!$A$2:$A$154,0))))</f>
        <v/>
      </c>
      <c r="DF723" s="146" t="str">
        <f>IF(W723&lt;&gt;"AR","",INDEX('Device Refrigerant Leakage'!$E$2:$E$42,MATCH(X723,'Device Refrigerant Leakage'!$B$2:$B$42,0)))</f>
        <v/>
      </c>
      <c r="DG723" s="146" t="str">
        <f>IF(W723&lt;&gt;"AR","",INDEX('Device Refrigerant Leakage'!$F$2:$F$42,MATCH(X723,'Device Refrigerant Leakage'!$B$2:$B$42,0)))</f>
        <v/>
      </c>
      <c r="DH723" s="146" t="str">
        <f>IF(W723&lt;&gt;"AR","",INDEX('Device Refrigerant Leakage'!$G$2:$G$42,MATCH(X723,'Device Refrigerant Leakage'!$B$2:$B$42,0)))</f>
        <v/>
      </c>
      <c r="DI723" s="146" t="str">
        <f>IF(W723&lt;&gt;"AR","",J723*INDEX('Device Refrigerant Leakage'!$D$2:$D$42,MATCH(X723,'Device Refrigerant Leakage'!$B$2:$B$42,0))*DF723/2204.62*DE723)</f>
        <v/>
      </c>
      <c r="DJ723" s="146" t="str">
        <f>IF(W723&lt;&gt;"AR","",J723*(INDEX('Device Refrigerant Leakage'!$D$2:$D$42,MATCH(X723,'Device Refrigerant Leakage'!$B$2:$B$42,0))-(INDEX('Device Refrigerant Leakage'!$D$2:$D$42,MATCH(X723,'Device Refrigerant Leakage'!$B$2:$B$42,0)))*DH723*DF723)*DG723/2204.62*DE723)</f>
        <v/>
      </c>
      <c r="DK723" s="146" t="str">
        <f>IF(W723&lt;&gt;"AR","",DI723*(K723-AB723)+'Fuel Sub Calcs-Deemed'!DJ723*((K723-AB723)/INDEX('Device Refrigerant Leakage'!$C$2:$C$42,MATCH('Fuel Sub Calcs-Deemed'!X723,'Device Refrigerant Leakage'!$B$2:$B$42,0))))</f>
        <v/>
      </c>
      <c r="DM723" s="56">
        <v>709</v>
      </c>
      <c r="DN723" s="67" t="e">
        <f t="shared" si="874"/>
        <v>#N/A</v>
      </c>
      <c r="DO723" s="45" t="e">
        <f t="shared" si="875"/>
        <v>#N/A</v>
      </c>
      <c r="DP723" s="67" t="e">
        <f t="shared" si="876"/>
        <v>#N/A</v>
      </c>
      <c r="DQ723" s="45" t="e">
        <f t="shared" si="877"/>
        <v>#N/A</v>
      </c>
      <c r="DR723" s="69" t="e">
        <f t="shared" si="878"/>
        <v>#N/A</v>
      </c>
      <c r="DS723" s="34"/>
      <c r="DT723" s="67" t="e">
        <f>((BX723*CJ723)+IF($W723=MAT_AR,(BZ723*CL723),0))*(1+Reference!$E$50+Reference!$E$51)</f>
        <v>#N/A</v>
      </c>
      <c r="DU723" s="67">
        <f>((BY723*CK723)+IF($W723=MAT_AR,(CA723*CM723),0))*(1+Reference!$G$50+Reference!$G$51)</f>
        <v>0</v>
      </c>
      <c r="DV723" s="67" t="e">
        <f t="shared" si="879"/>
        <v>#VALUE!</v>
      </c>
      <c r="DX723" s="56">
        <v>709</v>
      </c>
      <c r="DY723" s="67">
        <f t="shared" si="880"/>
        <v>0</v>
      </c>
      <c r="DZ723" s="45" t="e">
        <f>VLOOKUP($R723,Dropdown!$C$3:$D$4,2,FALSE)</f>
        <v>#N/A</v>
      </c>
      <c r="EA723" s="68">
        <f t="shared" si="881"/>
        <v>0</v>
      </c>
      <c r="EB723" s="68" t="str">
        <f t="shared" si="882"/>
        <v>N/A</v>
      </c>
      <c r="EC723" s="68">
        <f t="shared" si="883"/>
        <v>0</v>
      </c>
      <c r="ED723" s="68" t="str">
        <f t="shared" si="853"/>
        <v>N/A</v>
      </c>
      <c r="EF723" s="56">
        <v>709</v>
      </c>
      <c r="EG723" s="46">
        <f t="shared" si="884"/>
        <v>0</v>
      </c>
      <c r="EH723" s="68" t="e">
        <f t="shared" si="885"/>
        <v>#N/A</v>
      </c>
      <c r="EI723" s="68" t="e">
        <f t="shared" si="886"/>
        <v>#N/A</v>
      </c>
      <c r="EJ723" s="68" t="e">
        <f t="shared" si="887"/>
        <v>#N/A</v>
      </c>
      <c r="EK723" s="68" t="e">
        <f t="shared" si="888"/>
        <v>#N/A</v>
      </c>
      <c r="EL723" s="46">
        <f t="shared" si="889"/>
        <v>0</v>
      </c>
      <c r="EM723" s="46">
        <f t="shared" si="890"/>
        <v>0</v>
      </c>
    </row>
    <row r="724" spans="1:143">
      <c r="A724" s="89"/>
      <c r="B724" s="89"/>
      <c r="C724" s="89"/>
      <c r="D724" s="89"/>
      <c r="E724" s="89"/>
      <c r="F724" s="89"/>
      <c r="G724" s="34"/>
      <c r="H724" s="56">
        <f t="shared" si="891"/>
        <v>710</v>
      </c>
      <c r="I724" s="165"/>
      <c r="J724" s="163"/>
      <c r="K724" s="163"/>
      <c r="L724" s="164"/>
      <c r="M724" s="155"/>
      <c r="N724" s="155"/>
      <c r="O724" s="144"/>
      <c r="P724" s="159" t="str">
        <f>IFERROR(IF(O724&lt;&gt;"User Specified",IF(O724&lt;&gt;"", INDEX('Refrigerant GWPs'!$G$2:$G$154,MATCH(O724,'Refrigerant GWPs'!$A$2:$A$154,0)),""),U724),0)</f>
        <v/>
      </c>
      <c r="Q724" s="155"/>
      <c r="R724" s="155"/>
      <c r="S724" s="144"/>
      <c r="T724" s="159" t="str">
        <f>IF(S724&lt;&gt;"User Specified",IF(AND(S724&lt;&gt;"User Specified",S724&lt;&gt;""), INDEX('Refrigerant GWPs'!$G$2:$G$154,MATCH(S724,'Refrigerant GWPs'!$A$2:$A$154,0)),""),V724)</f>
        <v/>
      </c>
      <c r="U724" s="144"/>
      <c r="V724" s="144"/>
      <c r="W724" s="155"/>
      <c r="X724" s="155"/>
      <c r="Y724" s="144"/>
      <c r="Z724" s="159" t="str">
        <f>IF(AND(Y724&lt;&gt;"User Specified",Y724&lt;&gt;""), INDEX('Refrigerant GWPs'!$G$2:$G$154,MATCH(Y724,'Refrigerant GWPs'!$A$2:$A$154,0)),"")</f>
        <v/>
      </c>
      <c r="AA724" s="155"/>
      <c r="AB724" s="156"/>
      <c r="AC724" s="66"/>
      <c r="AD724" s="66"/>
      <c r="AE724" s="66"/>
      <c r="AF724" s="66"/>
      <c r="AG724" s="66"/>
      <c r="AH724" s="66"/>
      <c r="AI724" s="34"/>
      <c r="AJ724" s="88">
        <f t="shared" si="854"/>
        <v>0</v>
      </c>
      <c r="AK724" s="88">
        <f t="shared" si="855"/>
        <v>0</v>
      </c>
      <c r="AL724" s="88">
        <v>0</v>
      </c>
      <c r="AM724" s="88">
        <v>0</v>
      </c>
      <c r="AN724" s="81" t="str">
        <f t="shared" si="825"/>
        <v/>
      </c>
      <c r="AO724" s="88">
        <f t="shared" si="856"/>
        <v>0</v>
      </c>
      <c r="AP724" s="88">
        <f t="shared" si="857"/>
        <v>0</v>
      </c>
      <c r="AQ724" s="81" t="str">
        <f t="shared" si="858"/>
        <v/>
      </c>
      <c r="AS724" s="41" t="b">
        <f t="shared" si="859"/>
        <v>1</v>
      </c>
      <c r="AT724" s="38">
        <f t="shared" si="860"/>
        <v>0</v>
      </c>
      <c r="AU724" s="60">
        <f t="shared" si="861"/>
        <v>0</v>
      </c>
      <c r="AV724" s="41">
        <f t="shared" si="862"/>
        <v>0</v>
      </c>
      <c r="AW724" s="41" t="b">
        <f t="shared" si="863"/>
        <v>0</v>
      </c>
      <c r="AX724" t="str">
        <f t="shared" si="864"/>
        <v>+00</v>
      </c>
      <c r="AY724" t="str">
        <f t="shared" si="865"/>
        <v>+00</v>
      </c>
      <c r="BA724" s="47" t="b">
        <f t="shared" si="826"/>
        <v>1</v>
      </c>
      <c r="BB724" s="42" t="b">
        <f t="shared" si="827"/>
        <v>1</v>
      </c>
      <c r="BC724" s="42" t="b">
        <f t="shared" si="828"/>
        <v>0</v>
      </c>
      <c r="BD724" s="42" t="b">
        <f t="shared" si="829"/>
        <v>0</v>
      </c>
      <c r="BE724" s="70">
        <f t="shared" si="830"/>
        <v>0</v>
      </c>
      <c r="BF724" s="70">
        <f t="shared" si="831"/>
        <v>0</v>
      </c>
      <c r="BG724" s="34"/>
      <c r="BI724" s="47" t="b">
        <f t="shared" si="832"/>
        <v>1</v>
      </c>
      <c r="BJ724" s="47" t="b">
        <f t="shared" si="833"/>
        <v>1</v>
      </c>
      <c r="BK724" s="42" t="b">
        <f t="shared" si="834"/>
        <v>0</v>
      </c>
      <c r="BL724" s="42" t="b">
        <f t="shared" si="835"/>
        <v>0</v>
      </c>
      <c r="BM724" s="42">
        <f t="shared" si="836"/>
        <v>0</v>
      </c>
      <c r="BN724" s="42">
        <f t="shared" si="837"/>
        <v>0</v>
      </c>
      <c r="BP724" t="e">
        <f t="shared" si="838"/>
        <v>#N/A</v>
      </c>
      <c r="BQ724" t="e">
        <f t="shared" si="839"/>
        <v>#N/A</v>
      </c>
      <c r="BR724" t="e">
        <f t="shared" si="840"/>
        <v>#N/A</v>
      </c>
      <c r="BT724" s="60">
        <f t="shared" si="841"/>
        <v>0</v>
      </c>
      <c r="BU724" s="60">
        <f t="shared" si="842"/>
        <v>0</v>
      </c>
      <c r="BV724" s="60">
        <f t="shared" si="843"/>
        <v>0</v>
      </c>
      <c r="BW724" s="60">
        <f t="shared" si="844"/>
        <v>0</v>
      </c>
      <c r="BX724" s="60">
        <f t="shared" si="845"/>
        <v>0</v>
      </c>
      <c r="BY724" s="60">
        <f t="shared" si="846"/>
        <v>0</v>
      </c>
      <c r="BZ724" s="60">
        <f t="shared" si="847"/>
        <v>0</v>
      </c>
      <c r="CA724" s="60">
        <f t="shared" si="848"/>
        <v>0</v>
      </c>
      <c r="CB724" s="60" t="e">
        <f t="shared" si="866"/>
        <v>#N/A</v>
      </c>
      <c r="CC724" s="60">
        <f t="shared" si="867"/>
        <v>100000</v>
      </c>
      <c r="CD724" s="60" t="e">
        <f t="shared" si="868"/>
        <v>#N/A</v>
      </c>
      <c r="CE724" s="60">
        <f t="shared" si="869"/>
        <v>100000</v>
      </c>
      <c r="CF724" s="83" t="e">
        <f t="shared" si="849"/>
        <v>#N/A</v>
      </c>
      <c r="CG724" s="83">
        <f t="shared" si="850"/>
        <v>0</v>
      </c>
      <c r="CH724" s="83" t="e">
        <f t="shared" si="851"/>
        <v>#N/A</v>
      </c>
      <c r="CI724" s="83">
        <f t="shared" si="852"/>
        <v>0</v>
      </c>
      <c r="CJ724" s="86" t="e">
        <f t="shared" si="870"/>
        <v>#N/A</v>
      </c>
      <c r="CK724" s="82">
        <f t="shared" si="871"/>
        <v>5.3070370403969858E-3</v>
      </c>
      <c r="CL724" s="82" t="e">
        <f t="shared" si="872"/>
        <v>#N/A</v>
      </c>
      <c r="CM724" s="82">
        <f t="shared" si="873"/>
        <v>5.3070370403969858E-3</v>
      </c>
      <c r="CO724" s="149" t="str">
        <f>IF($I724&lt;&gt;"",IF(O724="User Specified",U724,INDEX('Refrigerant GWPs'!$G$2:$G$156,MATCH(O724,'Refrigerant GWPs'!$A$2:$A$156,0))),"")</f>
        <v/>
      </c>
      <c r="CP724" s="138" t="str">
        <f>IF($I724&lt;&gt;"",INDEX('Device Refrigerant Leakage'!$E$2:$E$42,MATCH($M724,'Device Refrigerant Leakage'!$B$2:$B$42,0)),"")</f>
        <v/>
      </c>
      <c r="CQ724" s="138" t="str">
        <f>IF($I724&lt;&gt;"",INDEX('Device Refrigerant Leakage'!$F$2:$F$42,MATCH($M724,'Device Refrigerant Leakage'!$B$2:$B$42,0)),"")</f>
        <v/>
      </c>
      <c r="CR724" s="145" t="str">
        <f>IF($I724&lt;&gt;"",INDEX('Device Refrigerant Leakage'!$G$2:$G$42,MATCH($M724,'Device Refrigerant Leakage'!$B$2:$B$42,0)),"")</f>
        <v/>
      </c>
      <c r="CS724" s="145" t="str">
        <f>IF($I724&lt;&gt;"",INDEX('Device Refrigerant Leakage'!$D$2:$D$42,MATCH($M724,'Device Refrigerant Leakage'!$B$2:$B$42,0))*CP724/2204.62*CO724,"")</f>
        <v/>
      </c>
      <c r="CT724" s="145" t="str">
        <f>IF($I724&lt;&gt;"",J724*(INDEX('Device Refrigerant Leakage'!$D$2:$D$42,MATCH($M724,'Device Refrigerant Leakage'!$B$2:$B$42,0))-(INDEX('Device Refrigerant Leakage'!$D$2:$D$42,MATCH($M724,'Device Refrigerant Leakage'!$B$2:$B$42,0)))*CR724*CP724)*CQ724/2204.62*CO724,"")</f>
        <v/>
      </c>
      <c r="CU724" s="135" t="str">
        <f>IF($I724&lt;&gt;"",J724*IF(W724&lt;&gt;"AR",(CS724*K724)+CT724,(CS724*AB724)+CT724*(AB724/INDEX('Device Refrigerant Leakage'!$C$2:$C$42,MATCH($M724,'Device Refrigerant Leakage'!$B$2:$B$42,0)))),"")</f>
        <v/>
      </c>
      <c r="CW724" s="135" t="str">
        <f>IF($I724&lt;&gt;"",IF(S724="User Specified",V724,INDEX('Refrigerant GWPs'!$G$2:$G$156,MATCH(S724,'Refrigerant GWPs'!$A$2:$A$157,0))),"")</f>
        <v/>
      </c>
      <c r="CX724" s="138" t="str">
        <f>IF($I724&lt;&gt;"",INDEX('Device Refrigerant Leakage'!$E$2:$E$42,MATCH($Q724,'Device Refrigerant Leakage'!$B$2:$B$42,0)),"")</f>
        <v/>
      </c>
      <c r="CY724" s="138" t="str">
        <f>IF($I724&lt;&gt;"",INDEX('Device Refrigerant Leakage'!$F$2:$F$42,MATCH($Q724,'Device Refrigerant Leakage'!$B$2:$B$42,0)),"")</f>
        <v/>
      </c>
      <c r="CZ724" s="145" t="str">
        <f>IF($I724&lt;&gt;"",INDEX('Device Refrigerant Leakage'!$G$2:$G$42,MATCH($Q724,'Device Refrigerant Leakage'!$B$2:$B$42,0)),"")</f>
        <v/>
      </c>
      <c r="DA724" s="145" t="str">
        <f>IF($I724&lt;&gt;"",J724*INDEX('Device Refrigerant Leakage'!$D$2:$D$42,MATCH($Q724,'Device Refrigerant Leakage'!$B$2:$B$42,0))*CX724/2204.62*CW724,"")</f>
        <v/>
      </c>
      <c r="DB724" s="145" t="str">
        <f>IF($I724&lt;&gt;"",J724*(INDEX('Device Refrigerant Leakage'!$D$2:$D$42,MATCH($Q724,'Device Refrigerant Leakage'!$B$2:$B$42,0))-(INDEX('Device Refrigerant Leakage'!$D$2:$D$42,MATCH($Q724,'Device Refrigerant Leakage'!$B$2:$B$42,0)))*CZ724*CX724)*CY724/2204.62*CW724,"")</f>
        <v/>
      </c>
      <c r="DC724" s="135" t="str">
        <f t="shared" si="892"/>
        <v/>
      </c>
      <c r="DE724" s="146" t="str">
        <f>IF(W724&lt;&gt;"AR","",IF(Y724="User Specified", AA724, INDEX('Refrigerant GWPs'!$G$2:$G$154,MATCH(Y724,'Refrigerant GWPs'!$A$2:$A$154,0))))</f>
        <v/>
      </c>
      <c r="DF724" s="146" t="str">
        <f>IF(W724&lt;&gt;"AR","",INDEX('Device Refrigerant Leakage'!$E$2:$E$42,MATCH(X724,'Device Refrigerant Leakage'!$B$2:$B$42,0)))</f>
        <v/>
      </c>
      <c r="DG724" s="146" t="str">
        <f>IF(W724&lt;&gt;"AR","",INDEX('Device Refrigerant Leakage'!$F$2:$F$42,MATCH(X724,'Device Refrigerant Leakage'!$B$2:$B$42,0)))</f>
        <v/>
      </c>
      <c r="DH724" s="146" t="str">
        <f>IF(W724&lt;&gt;"AR","",INDEX('Device Refrigerant Leakage'!$G$2:$G$42,MATCH(X724,'Device Refrigerant Leakage'!$B$2:$B$42,0)))</f>
        <v/>
      </c>
      <c r="DI724" s="146" t="str">
        <f>IF(W724&lt;&gt;"AR","",J724*INDEX('Device Refrigerant Leakage'!$D$2:$D$42,MATCH(X724,'Device Refrigerant Leakage'!$B$2:$B$42,0))*DF724/2204.62*DE724)</f>
        <v/>
      </c>
      <c r="DJ724" s="146" t="str">
        <f>IF(W724&lt;&gt;"AR","",J724*(INDEX('Device Refrigerant Leakage'!$D$2:$D$42,MATCH(X724,'Device Refrigerant Leakage'!$B$2:$B$42,0))-(INDEX('Device Refrigerant Leakage'!$D$2:$D$42,MATCH(X724,'Device Refrigerant Leakage'!$B$2:$B$42,0)))*DH724*DF724)*DG724/2204.62*DE724)</f>
        <v/>
      </c>
      <c r="DK724" s="146" t="str">
        <f>IF(W724&lt;&gt;"AR","",DI724*(K724-AB724)+'Fuel Sub Calcs-Deemed'!DJ724*((K724-AB724)/INDEX('Device Refrigerant Leakage'!$C$2:$C$42,MATCH('Fuel Sub Calcs-Deemed'!X724,'Device Refrigerant Leakage'!$B$2:$B$42,0))))</f>
        <v/>
      </c>
      <c r="DM724" s="56">
        <v>710</v>
      </c>
      <c r="DN724" s="67" t="e">
        <f t="shared" si="874"/>
        <v>#N/A</v>
      </c>
      <c r="DO724" s="45" t="e">
        <f t="shared" si="875"/>
        <v>#N/A</v>
      </c>
      <c r="DP724" s="67" t="e">
        <f t="shared" si="876"/>
        <v>#N/A</v>
      </c>
      <c r="DQ724" s="45" t="e">
        <f t="shared" si="877"/>
        <v>#N/A</v>
      </c>
      <c r="DR724" s="69" t="e">
        <f t="shared" si="878"/>
        <v>#N/A</v>
      </c>
      <c r="DS724" s="34"/>
      <c r="DT724" s="67" t="e">
        <f>((BX724*CJ724)+IF($W724=MAT_AR,(BZ724*CL724),0))*(1+Reference!$E$50+Reference!$E$51)</f>
        <v>#N/A</v>
      </c>
      <c r="DU724" s="67">
        <f>((BY724*CK724)+IF($W724=MAT_AR,(CA724*CM724),0))*(1+Reference!$G$50+Reference!$G$51)</f>
        <v>0</v>
      </c>
      <c r="DV724" s="67" t="e">
        <f t="shared" si="879"/>
        <v>#VALUE!</v>
      </c>
      <c r="DX724" s="56">
        <v>710</v>
      </c>
      <c r="DY724" s="67">
        <f t="shared" si="880"/>
        <v>0</v>
      </c>
      <c r="DZ724" s="45" t="e">
        <f>VLOOKUP($R724,Dropdown!$C$3:$D$4,2,FALSE)</f>
        <v>#N/A</v>
      </c>
      <c r="EA724" s="68">
        <f t="shared" si="881"/>
        <v>0</v>
      </c>
      <c r="EB724" s="68" t="str">
        <f t="shared" si="882"/>
        <v>N/A</v>
      </c>
      <c r="EC724" s="68">
        <f t="shared" si="883"/>
        <v>0</v>
      </c>
      <c r="ED724" s="68" t="str">
        <f t="shared" si="853"/>
        <v>N/A</v>
      </c>
      <c r="EF724" s="56">
        <v>710</v>
      </c>
      <c r="EG724" s="46">
        <f t="shared" si="884"/>
        <v>0</v>
      </c>
      <c r="EH724" s="68" t="e">
        <f t="shared" si="885"/>
        <v>#N/A</v>
      </c>
      <c r="EI724" s="68" t="e">
        <f t="shared" si="886"/>
        <v>#N/A</v>
      </c>
      <c r="EJ724" s="68" t="e">
        <f t="shared" si="887"/>
        <v>#N/A</v>
      </c>
      <c r="EK724" s="68" t="e">
        <f t="shared" si="888"/>
        <v>#N/A</v>
      </c>
      <c r="EL724" s="46">
        <f t="shared" si="889"/>
        <v>0</v>
      </c>
      <c r="EM724" s="46">
        <f t="shared" si="890"/>
        <v>0</v>
      </c>
    </row>
    <row r="725" spans="1:143">
      <c r="A725" s="89"/>
      <c r="B725" s="89"/>
      <c r="C725" s="89"/>
      <c r="D725" s="89"/>
      <c r="E725" s="89"/>
      <c r="F725" s="89"/>
      <c r="G725" s="34"/>
      <c r="H725" s="56">
        <f t="shared" si="891"/>
        <v>711</v>
      </c>
      <c r="I725" s="165"/>
      <c r="J725" s="163"/>
      <c r="K725" s="163"/>
      <c r="L725" s="164"/>
      <c r="M725" s="155"/>
      <c r="N725" s="155"/>
      <c r="O725" s="144"/>
      <c r="P725" s="159" t="str">
        <f>IFERROR(IF(O725&lt;&gt;"User Specified",IF(O725&lt;&gt;"", INDEX('Refrigerant GWPs'!$G$2:$G$154,MATCH(O725,'Refrigerant GWPs'!$A$2:$A$154,0)),""),U725),0)</f>
        <v/>
      </c>
      <c r="Q725" s="155"/>
      <c r="R725" s="155"/>
      <c r="S725" s="144"/>
      <c r="T725" s="159" t="str">
        <f>IF(S725&lt;&gt;"User Specified",IF(AND(S725&lt;&gt;"User Specified",S725&lt;&gt;""), INDEX('Refrigerant GWPs'!$G$2:$G$154,MATCH(S725,'Refrigerant GWPs'!$A$2:$A$154,0)),""),V725)</f>
        <v/>
      </c>
      <c r="U725" s="144"/>
      <c r="V725" s="144"/>
      <c r="W725" s="155"/>
      <c r="X725" s="155"/>
      <c r="Y725" s="144"/>
      <c r="Z725" s="159" t="str">
        <f>IF(AND(Y725&lt;&gt;"User Specified",Y725&lt;&gt;""), INDEX('Refrigerant GWPs'!$G$2:$G$154,MATCH(Y725,'Refrigerant GWPs'!$A$2:$A$154,0)),"")</f>
        <v/>
      </c>
      <c r="AA725" s="155"/>
      <c r="AB725" s="156"/>
      <c r="AC725" s="66"/>
      <c r="AD725" s="66"/>
      <c r="AE725" s="66"/>
      <c r="AF725" s="66"/>
      <c r="AG725" s="66"/>
      <c r="AH725" s="66"/>
      <c r="AI725" s="34"/>
      <c r="AJ725" s="88">
        <f t="shared" si="854"/>
        <v>0</v>
      </c>
      <c r="AK725" s="88">
        <f t="shared" si="855"/>
        <v>0</v>
      </c>
      <c r="AL725" s="88">
        <v>0</v>
      </c>
      <c r="AM725" s="88">
        <v>0</v>
      </c>
      <c r="AN725" s="81" t="str">
        <f t="shared" si="825"/>
        <v/>
      </c>
      <c r="AO725" s="88">
        <f t="shared" si="856"/>
        <v>0</v>
      </c>
      <c r="AP725" s="88">
        <f t="shared" si="857"/>
        <v>0</v>
      </c>
      <c r="AQ725" s="81" t="str">
        <f t="shared" si="858"/>
        <v/>
      </c>
      <c r="AS725" s="41" t="b">
        <f t="shared" si="859"/>
        <v>1</v>
      </c>
      <c r="AT725" s="38">
        <f t="shared" si="860"/>
        <v>0</v>
      </c>
      <c r="AU725" s="60">
        <f t="shared" si="861"/>
        <v>0</v>
      </c>
      <c r="AV725" s="41">
        <f t="shared" si="862"/>
        <v>0</v>
      </c>
      <c r="AW725" s="41" t="b">
        <f t="shared" si="863"/>
        <v>0</v>
      </c>
      <c r="AX725" t="str">
        <f t="shared" si="864"/>
        <v>+00</v>
      </c>
      <c r="AY725" t="str">
        <f t="shared" si="865"/>
        <v>+00</v>
      </c>
      <c r="BA725" s="47" t="b">
        <f t="shared" si="826"/>
        <v>1</v>
      </c>
      <c r="BB725" s="42" t="b">
        <f t="shared" si="827"/>
        <v>1</v>
      </c>
      <c r="BC725" s="42" t="b">
        <f t="shared" si="828"/>
        <v>0</v>
      </c>
      <c r="BD725" s="42" t="b">
        <f t="shared" si="829"/>
        <v>0</v>
      </c>
      <c r="BE725" s="70">
        <f t="shared" si="830"/>
        <v>0</v>
      </c>
      <c r="BF725" s="70">
        <f t="shared" si="831"/>
        <v>0</v>
      </c>
      <c r="BG725" s="34"/>
      <c r="BI725" s="47" t="b">
        <f t="shared" si="832"/>
        <v>1</v>
      </c>
      <c r="BJ725" s="47" t="b">
        <f t="shared" si="833"/>
        <v>1</v>
      </c>
      <c r="BK725" s="42" t="b">
        <f t="shared" si="834"/>
        <v>0</v>
      </c>
      <c r="BL725" s="42" t="b">
        <f t="shared" si="835"/>
        <v>0</v>
      </c>
      <c r="BM725" s="42">
        <f t="shared" si="836"/>
        <v>0</v>
      </c>
      <c r="BN725" s="42">
        <f t="shared" si="837"/>
        <v>0</v>
      </c>
      <c r="BP725" t="e">
        <f t="shared" si="838"/>
        <v>#N/A</v>
      </c>
      <c r="BQ725" t="e">
        <f t="shared" si="839"/>
        <v>#N/A</v>
      </c>
      <c r="BR725" t="e">
        <f t="shared" si="840"/>
        <v>#N/A</v>
      </c>
      <c r="BT725" s="60">
        <f t="shared" si="841"/>
        <v>0</v>
      </c>
      <c r="BU725" s="60">
        <f t="shared" si="842"/>
        <v>0</v>
      </c>
      <c r="BV725" s="60">
        <f t="shared" si="843"/>
        <v>0</v>
      </c>
      <c r="BW725" s="60">
        <f t="shared" si="844"/>
        <v>0</v>
      </c>
      <c r="BX725" s="60">
        <f t="shared" si="845"/>
        <v>0</v>
      </c>
      <c r="BY725" s="60">
        <f t="shared" si="846"/>
        <v>0</v>
      </c>
      <c r="BZ725" s="60">
        <f t="shared" si="847"/>
        <v>0</v>
      </c>
      <c r="CA725" s="60">
        <f t="shared" si="848"/>
        <v>0</v>
      </c>
      <c r="CB725" s="60" t="e">
        <f t="shared" si="866"/>
        <v>#N/A</v>
      </c>
      <c r="CC725" s="60">
        <f t="shared" si="867"/>
        <v>100000</v>
      </c>
      <c r="CD725" s="60" t="e">
        <f t="shared" si="868"/>
        <v>#N/A</v>
      </c>
      <c r="CE725" s="60">
        <f t="shared" si="869"/>
        <v>100000</v>
      </c>
      <c r="CF725" s="83" t="e">
        <f t="shared" si="849"/>
        <v>#N/A</v>
      </c>
      <c r="CG725" s="83">
        <f t="shared" si="850"/>
        <v>0</v>
      </c>
      <c r="CH725" s="83" t="e">
        <f t="shared" si="851"/>
        <v>#N/A</v>
      </c>
      <c r="CI725" s="83">
        <f t="shared" si="852"/>
        <v>0</v>
      </c>
      <c r="CJ725" s="86" t="e">
        <f t="shared" si="870"/>
        <v>#N/A</v>
      </c>
      <c r="CK725" s="82">
        <f t="shared" si="871"/>
        <v>5.3070370403969858E-3</v>
      </c>
      <c r="CL725" s="82" t="e">
        <f t="shared" si="872"/>
        <v>#N/A</v>
      </c>
      <c r="CM725" s="82">
        <f t="shared" si="873"/>
        <v>5.3070370403969858E-3</v>
      </c>
      <c r="CO725" s="149" t="str">
        <f>IF($I725&lt;&gt;"",IF(O725="User Specified",U725,INDEX('Refrigerant GWPs'!$G$2:$G$156,MATCH(O725,'Refrigerant GWPs'!$A$2:$A$156,0))),"")</f>
        <v/>
      </c>
      <c r="CP725" s="138" t="str">
        <f>IF($I725&lt;&gt;"",INDEX('Device Refrigerant Leakage'!$E$2:$E$42,MATCH($M725,'Device Refrigerant Leakage'!$B$2:$B$42,0)),"")</f>
        <v/>
      </c>
      <c r="CQ725" s="138" t="str">
        <f>IF($I725&lt;&gt;"",INDEX('Device Refrigerant Leakage'!$F$2:$F$42,MATCH($M725,'Device Refrigerant Leakage'!$B$2:$B$42,0)),"")</f>
        <v/>
      </c>
      <c r="CR725" s="145" t="str">
        <f>IF($I725&lt;&gt;"",INDEX('Device Refrigerant Leakage'!$G$2:$G$42,MATCH($M725,'Device Refrigerant Leakage'!$B$2:$B$42,0)),"")</f>
        <v/>
      </c>
      <c r="CS725" s="145" t="str">
        <f>IF($I725&lt;&gt;"",INDEX('Device Refrigerant Leakage'!$D$2:$D$42,MATCH($M725,'Device Refrigerant Leakage'!$B$2:$B$42,0))*CP725/2204.62*CO725,"")</f>
        <v/>
      </c>
      <c r="CT725" s="145" t="str">
        <f>IF($I725&lt;&gt;"",J725*(INDEX('Device Refrigerant Leakage'!$D$2:$D$42,MATCH($M725,'Device Refrigerant Leakage'!$B$2:$B$42,0))-(INDEX('Device Refrigerant Leakage'!$D$2:$D$42,MATCH($M725,'Device Refrigerant Leakage'!$B$2:$B$42,0)))*CR725*CP725)*CQ725/2204.62*CO725,"")</f>
        <v/>
      </c>
      <c r="CU725" s="135" t="str">
        <f>IF($I725&lt;&gt;"",J725*IF(W725&lt;&gt;"AR",(CS725*K725)+CT725,(CS725*AB725)+CT725*(AB725/INDEX('Device Refrigerant Leakage'!$C$2:$C$42,MATCH($M725,'Device Refrigerant Leakage'!$B$2:$B$42,0)))),"")</f>
        <v/>
      </c>
      <c r="CW725" s="135" t="str">
        <f>IF($I725&lt;&gt;"",IF(S725="User Specified",V725,INDEX('Refrigerant GWPs'!$G$2:$G$156,MATCH(S725,'Refrigerant GWPs'!$A$2:$A$157,0))),"")</f>
        <v/>
      </c>
      <c r="CX725" s="138" t="str">
        <f>IF($I725&lt;&gt;"",INDEX('Device Refrigerant Leakage'!$E$2:$E$42,MATCH($Q725,'Device Refrigerant Leakage'!$B$2:$B$42,0)),"")</f>
        <v/>
      </c>
      <c r="CY725" s="138" t="str">
        <f>IF($I725&lt;&gt;"",INDEX('Device Refrigerant Leakage'!$F$2:$F$42,MATCH($Q725,'Device Refrigerant Leakage'!$B$2:$B$42,0)),"")</f>
        <v/>
      </c>
      <c r="CZ725" s="145" t="str">
        <f>IF($I725&lt;&gt;"",INDEX('Device Refrigerant Leakage'!$G$2:$G$42,MATCH($Q725,'Device Refrigerant Leakage'!$B$2:$B$42,0)),"")</f>
        <v/>
      </c>
      <c r="DA725" s="145" t="str">
        <f>IF($I725&lt;&gt;"",J725*INDEX('Device Refrigerant Leakage'!$D$2:$D$42,MATCH($Q725,'Device Refrigerant Leakage'!$B$2:$B$42,0))*CX725/2204.62*CW725,"")</f>
        <v/>
      </c>
      <c r="DB725" s="145" t="str">
        <f>IF($I725&lt;&gt;"",J725*(INDEX('Device Refrigerant Leakage'!$D$2:$D$42,MATCH($Q725,'Device Refrigerant Leakage'!$B$2:$B$42,0))-(INDEX('Device Refrigerant Leakage'!$D$2:$D$42,MATCH($Q725,'Device Refrigerant Leakage'!$B$2:$B$42,0)))*CZ725*CX725)*CY725/2204.62*CW725,"")</f>
        <v/>
      </c>
      <c r="DC725" s="135" t="str">
        <f t="shared" si="892"/>
        <v/>
      </c>
      <c r="DE725" s="146" t="str">
        <f>IF(W725&lt;&gt;"AR","",IF(Y725="User Specified", AA725, INDEX('Refrigerant GWPs'!$G$2:$G$154,MATCH(Y725,'Refrigerant GWPs'!$A$2:$A$154,0))))</f>
        <v/>
      </c>
      <c r="DF725" s="146" t="str">
        <f>IF(W725&lt;&gt;"AR","",INDEX('Device Refrigerant Leakage'!$E$2:$E$42,MATCH(X725,'Device Refrigerant Leakage'!$B$2:$B$42,0)))</f>
        <v/>
      </c>
      <c r="DG725" s="146" t="str">
        <f>IF(W725&lt;&gt;"AR","",INDEX('Device Refrigerant Leakage'!$F$2:$F$42,MATCH(X725,'Device Refrigerant Leakage'!$B$2:$B$42,0)))</f>
        <v/>
      </c>
      <c r="DH725" s="146" t="str">
        <f>IF(W725&lt;&gt;"AR","",INDEX('Device Refrigerant Leakage'!$G$2:$G$42,MATCH(X725,'Device Refrigerant Leakage'!$B$2:$B$42,0)))</f>
        <v/>
      </c>
      <c r="DI725" s="146" t="str">
        <f>IF(W725&lt;&gt;"AR","",J725*INDEX('Device Refrigerant Leakage'!$D$2:$D$42,MATCH(X725,'Device Refrigerant Leakage'!$B$2:$B$42,0))*DF725/2204.62*DE725)</f>
        <v/>
      </c>
      <c r="DJ725" s="146" t="str">
        <f>IF(W725&lt;&gt;"AR","",J725*(INDEX('Device Refrigerant Leakage'!$D$2:$D$42,MATCH(X725,'Device Refrigerant Leakage'!$B$2:$B$42,0))-(INDEX('Device Refrigerant Leakage'!$D$2:$D$42,MATCH(X725,'Device Refrigerant Leakage'!$B$2:$B$42,0)))*DH725*DF725)*DG725/2204.62*DE725)</f>
        <v/>
      </c>
      <c r="DK725" s="146" t="str">
        <f>IF(W725&lt;&gt;"AR","",DI725*(K725-AB725)+'Fuel Sub Calcs-Deemed'!DJ725*((K725-AB725)/INDEX('Device Refrigerant Leakage'!$C$2:$C$42,MATCH('Fuel Sub Calcs-Deemed'!X725,'Device Refrigerant Leakage'!$B$2:$B$42,0))))</f>
        <v/>
      </c>
      <c r="DM725" s="56">
        <v>711</v>
      </c>
      <c r="DN725" s="67" t="e">
        <f t="shared" si="874"/>
        <v>#N/A</v>
      </c>
      <c r="DO725" s="45" t="e">
        <f t="shared" si="875"/>
        <v>#N/A</v>
      </c>
      <c r="DP725" s="67" t="e">
        <f t="shared" si="876"/>
        <v>#N/A</v>
      </c>
      <c r="DQ725" s="45" t="e">
        <f t="shared" si="877"/>
        <v>#N/A</v>
      </c>
      <c r="DR725" s="69" t="e">
        <f t="shared" si="878"/>
        <v>#N/A</v>
      </c>
      <c r="DS725" s="34"/>
      <c r="DT725" s="67" t="e">
        <f>((BX725*CJ725)+IF($W725=MAT_AR,(BZ725*CL725),0))*(1+Reference!$E$50+Reference!$E$51)</f>
        <v>#N/A</v>
      </c>
      <c r="DU725" s="67">
        <f>((BY725*CK725)+IF($W725=MAT_AR,(CA725*CM725),0))*(1+Reference!$G$50+Reference!$G$51)</f>
        <v>0</v>
      </c>
      <c r="DV725" s="67" t="e">
        <f t="shared" si="879"/>
        <v>#VALUE!</v>
      </c>
      <c r="DX725" s="56">
        <v>711</v>
      </c>
      <c r="DY725" s="67">
        <f t="shared" si="880"/>
        <v>0</v>
      </c>
      <c r="DZ725" s="45" t="e">
        <f>VLOOKUP($R725,Dropdown!$C$3:$D$4,2,FALSE)</f>
        <v>#N/A</v>
      </c>
      <c r="EA725" s="68">
        <f t="shared" si="881"/>
        <v>0</v>
      </c>
      <c r="EB725" s="68" t="str">
        <f t="shared" si="882"/>
        <v>N/A</v>
      </c>
      <c r="EC725" s="68">
        <f t="shared" si="883"/>
        <v>0</v>
      </c>
      <c r="ED725" s="68" t="str">
        <f t="shared" si="853"/>
        <v>N/A</v>
      </c>
      <c r="EF725" s="56">
        <v>711</v>
      </c>
      <c r="EG725" s="46">
        <f t="shared" si="884"/>
        <v>0</v>
      </c>
      <c r="EH725" s="68" t="e">
        <f t="shared" si="885"/>
        <v>#N/A</v>
      </c>
      <c r="EI725" s="68" t="e">
        <f t="shared" si="886"/>
        <v>#N/A</v>
      </c>
      <c r="EJ725" s="68" t="e">
        <f t="shared" si="887"/>
        <v>#N/A</v>
      </c>
      <c r="EK725" s="68" t="e">
        <f t="shared" si="888"/>
        <v>#N/A</v>
      </c>
      <c r="EL725" s="46">
        <f t="shared" si="889"/>
        <v>0</v>
      </c>
      <c r="EM725" s="46">
        <f t="shared" si="890"/>
        <v>0</v>
      </c>
    </row>
    <row r="726" spans="1:143">
      <c r="A726" s="89"/>
      <c r="B726" s="89"/>
      <c r="C726" s="89"/>
      <c r="D726" s="89"/>
      <c r="E726" s="89"/>
      <c r="F726" s="89"/>
      <c r="G726" s="34"/>
      <c r="H726" s="56">
        <f t="shared" si="891"/>
        <v>712</v>
      </c>
      <c r="I726" s="165"/>
      <c r="J726" s="163"/>
      <c r="K726" s="163"/>
      <c r="L726" s="164"/>
      <c r="M726" s="155"/>
      <c r="N726" s="155"/>
      <c r="O726" s="144"/>
      <c r="P726" s="159" t="str">
        <f>IFERROR(IF(O726&lt;&gt;"User Specified",IF(O726&lt;&gt;"", INDEX('Refrigerant GWPs'!$G$2:$G$154,MATCH(O726,'Refrigerant GWPs'!$A$2:$A$154,0)),""),U726),0)</f>
        <v/>
      </c>
      <c r="Q726" s="155"/>
      <c r="R726" s="155"/>
      <c r="S726" s="144"/>
      <c r="T726" s="159" t="str">
        <f>IF(S726&lt;&gt;"User Specified",IF(AND(S726&lt;&gt;"User Specified",S726&lt;&gt;""), INDEX('Refrigerant GWPs'!$G$2:$G$154,MATCH(S726,'Refrigerant GWPs'!$A$2:$A$154,0)),""),V726)</f>
        <v/>
      </c>
      <c r="U726" s="144"/>
      <c r="V726" s="144"/>
      <c r="W726" s="155"/>
      <c r="X726" s="155"/>
      <c r="Y726" s="144"/>
      <c r="Z726" s="159" t="str">
        <f>IF(AND(Y726&lt;&gt;"User Specified",Y726&lt;&gt;""), INDEX('Refrigerant GWPs'!$G$2:$G$154,MATCH(Y726,'Refrigerant GWPs'!$A$2:$A$154,0)),"")</f>
        <v/>
      </c>
      <c r="AA726" s="155"/>
      <c r="AB726" s="156"/>
      <c r="AC726" s="66"/>
      <c r="AD726" s="66"/>
      <c r="AE726" s="66"/>
      <c r="AF726" s="66"/>
      <c r="AG726" s="66"/>
      <c r="AH726" s="66"/>
      <c r="AI726" s="34"/>
      <c r="AJ726" s="88">
        <f t="shared" si="854"/>
        <v>0</v>
      </c>
      <c r="AK726" s="88">
        <f t="shared" si="855"/>
        <v>0</v>
      </c>
      <c r="AL726" s="88">
        <v>0</v>
      </c>
      <c r="AM726" s="88">
        <v>0</v>
      </c>
      <c r="AN726" s="81" t="str">
        <f t="shared" si="825"/>
        <v/>
      </c>
      <c r="AO726" s="88">
        <f t="shared" si="856"/>
        <v>0</v>
      </c>
      <c r="AP726" s="88">
        <f t="shared" si="857"/>
        <v>0</v>
      </c>
      <c r="AQ726" s="81" t="str">
        <f t="shared" si="858"/>
        <v/>
      </c>
      <c r="AS726" s="41" t="b">
        <f t="shared" si="859"/>
        <v>1</v>
      </c>
      <c r="AT726" s="38">
        <f t="shared" si="860"/>
        <v>0</v>
      </c>
      <c r="AU726" s="60">
        <f t="shared" si="861"/>
        <v>0</v>
      </c>
      <c r="AV726" s="41">
        <f t="shared" si="862"/>
        <v>0</v>
      </c>
      <c r="AW726" s="41" t="b">
        <f t="shared" si="863"/>
        <v>0</v>
      </c>
      <c r="AX726" t="str">
        <f t="shared" si="864"/>
        <v>+00</v>
      </c>
      <c r="AY726" t="str">
        <f t="shared" si="865"/>
        <v>+00</v>
      </c>
      <c r="BA726" s="47" t="b">
        <f t="shared" si="826"/>
        <v>1</v>
      </c>
      <c r="BB726" s="42" t="b">
        <f t="shared" si="827"/>
        <v>1</v>
      </c>
      <c r="BC726" s="42" t="b">
        <f t="shared" si="828"/>
        <v>0</v>
      </c>
      <c r="BD726" s="42" t="b">
        <f t="shared" si="829"/>
        <v>0</v>
      </c>
      <c r="BE726" s="70">
        <f t="shared" si="830"/>
        <v>0</v>
      </c>
      <c r="BF726" s="70">
        <f t="shared" si="831"/>
        <v>0</v>
      </c>
      <c r="BG726" s="34"/>
      <c r="BI726" s="47" t="b">
        <f t="shared" si="832"/>
        <v>1</v>
      </c>
      <c r="BJ726" s="47" t="b">
        <f t="shared" si="833"/>
        <v>1</v>
      </c>
      <c r="BK726" s="42" t="b">
        <f t="shared" si="834"/>
        <v>0</v>
      </c>
      <c r="BL726" s="42" t="b">
        <f t="shared" si="835"/>
        <v>0</v>
      </c>
      <c r="BM726" s="42">
        <f t="shared" si="836"/>
        <v>0</v>
      </c>
      <c r="BN726" s="42">
        <f t="shared" si="837"/>
        <v>0</v>
      </c>
      <c r="BP726" t="e">
        <f t="shared" si="838"/>
        <v>#N/A</v>
      </c>
      <c r="BQ726" t="e">
        <f t="shared" si="839"/>
        <v>#N/A</v>
      </c>
      <c r="BR726" t="e">
        <f t="shared" si="840"/>
        <v>#N/A</v>
      </c>
      <c r="BT726" s="60">
        <f t="shared" si="841"/>
        <v>0</v>
      </c>
      <c r="BU726" s="60">
        <f t="shared" si="842"/>
        <v>0</v>
      </c>
      <c r="BV726" s="60">
        <f t="shared" si="843"/>
        <v>0</v>
      </c>
      <c r="BW726" s="60">
        <f t="shared" si="844"/>
        <v>0</v>
      </c>
      <c r="BX726" s="60">
        <f t="shared" si="845"/>
        <v>0</v>
      </c>
      <c r="BY726" s="60">
        <f t="shared" si="846"/>
        <v>0</v>
      </c>
      <c r="BZ726" s="60">
        <f t="shared" si="847"/>
        <v>0</v>
      </c>
      <c r="CA726" s="60">
        <f t="shared" si="848"/>
        <v>0</v>
      </c>
      <c r="CB726" s="60" t="e">
        <f t="shared" si="866"/>
        <v>#N/A</v>
      </c>
      <c r="CC726" s="60">
        <f t="shared" si="867"/>
        <v>100000</v>
      </c>
      <c r="CD726" s="60" t="e">
        <f t="shared" si="868"/>
        <v>#N/A</v>
      </c>
      <c r="CE726" s="60">
        <f t="shared" si="869"/>
        <v>100000</v>
      </c>
      <c r="CF726" s="83" t="e">
        <f t="shared" si="849"/>
        <v>#N/A</v>
      </c>
      <c r="CG726" s="83">
        <f t="shared" si="850"/>
        <v>0</v>
      </c>
      <c r="CH726" s="83" t="e">
        <f t="shared" si="851"/>
        <v>#N/A</v>
      </c>
      <c r="CI726" s="83">
        <f t="shared" si="852"/>
        <v>0</v>
      </c>
      <c r="CJ726" s="86" t="e">
        <f t="shared" si="870"/>
        <v>#N/A</v>
      </c>
      <c r="CK726" s="82">
        <f t="shared" si="871"/>
        <v>5.3070370403969858E-3</v>
      </c>
      <c r="CL726" s="82" t="e">
        <f t="shared" si="872"/>
        <v>#N/A</v>
      </c>
      <c r="CM726" s="82">
        <f t="shared" si="873"/>
        <v>5.3070370403969858E-3</v>
      </c>
      <c r="CO726" s="149" t="str">
        <f>IF($I726&lt;&gt;"",IF(O726="User Specified",U726,INDEX('Refrigerant GWPs'!$G$2:$G$156,MATCH(O726,'Refrigerant GWPs'!$A$2:$A$156,0))),"")</f>
        <v/>
      </c>
      <c r="CP726" s="138" t="str">
        <f>IF($I726&lt;&gt;"",INDEX('Device Refrigerant Leakage'!$E$2:$E$42,MATCH($M726,'Device Refrigerant Leakage'!$B$2:$B$42,0)),"")</f>
        <v/>
      </c>
      <c r="CQ726" s="138" t="str">
        <f>IF($I726&lt;&gt;"",INDEX('Device Refrigerant Leakage'!$F$2:$F$42,MATCH($M726,'Device Refrigerant Leakage'!$B$2:$B$42,0)),"")</f>
        <v/>
      </c>
      <c r="CR726" s="145" t="str">
        <f>IF($I726&lt;&gt;"",INDEX('Device Refrigerant Leakage'!$G$2:$G$42,MATCH($M726,'Device Refrigerant Leakage'!$B$2:$B$42,0)),"")</f>
        <v/>
      </c>
      <c r="CS726" s="145" t="str">
        <f>IF($I726&lt;&gt;"",INDEX('Device Refrigerant Leakage'!$D$2:$D$42,MATCH($M726,'Device Refrigerant Leakage'!$B$2:$B$42,0))*CP726/2204.62*CO726,"")</f>
        <v/>
      </c>
      <c r="CT726" s="145" t="str">
        <f>IF($I726&lt;&gt;"",J726*(INDEX('Device Refrigerant Leakage'!$D$2:$D$42,MATCH($M726,'Device Refrigerant Leakage'!$B$2:$B$42,0))-(INDEX('Device Refrigerant Leakage'!$D$2:$D$42,MATCH($M726,'Device Refrigerant Leakage'!$B$2:$B$42,0)))*CR726*CP726)*CQ726/2204.62*CO726,"")</f>
        <v/>
      </c>
      <c r="CU726" s="135" t="str">
        <f>IF($I726&lt;&gt;"",J726*IF(W726&lt;&gt;"AR",(CS726*K726)+CT726,(CS726*AB726)+CT726*(AB726/INDEX('Device Refrigerant Leakage'!$C$2:$C$42,MATCH($M726,'Device Refrigerant Leakage'!$B$2:$B$42,0)))),"")</f>
        <v/>
      </c>
      <c r="CW726" s="135" t="str">
        <f>IF($I726&lt;&gt;"",IF(S726="User Specified",V726,INDEX('Refrigerant GWPs'!$G$2:$G$156,MATCH(S726,'Refrigerant GWPs'!$A$2:$A$157,0))),"")</f>
        <v/>
      </c>
      <c r="CX726" s="138" t="str">
        <f>IF($I726&lt;&gt;"",INDEX('Device Refrigerant Leakage'!$E$2:$E$42,MATCH($Q726,'Device Refrigerant Leakage'!$B$2:$B$42,0)),"")</f>
        <v/>
      </c>
      <c r="CY726" s="138" t="str">
        <f>IF($I726&lt;&gt;"",INDEX('Device Refrigerant Leakage'!$F$2:$F$42,MATCH($Q726,'Device Refrigerant Leakage'!$B$2:$B$42,0)),"")</f>
        <v/>
      </c>
      <c r="CZ726" s="145" t="str">
        <f>IF($I726&lt;&gt;"",INDEX('Device Refrigerant Leakage'!$G$2:$G$42,MATCH($Q726,'Device Refrigerant Leakage'!$B$2:$B$42,0)),"")</f>
        <v/>
      </c>
      <c r="DA726" s="145" t="str">
        <f>IF($I726&lt;&gt;"",J726*INDEX('Device Refrigerant Leakage'!$D$2:$D$42,MATCH($Q726,'Device Refrigerant Leakage'!$B$2:$B$42,0))*CX726/2204.62*CW726,"")</f>
        <v/>
      </c>
      <c r="DB726" s="145" t="str">
        <f>IF($I726&lt;&gt;"",J726*(INDEX('Device Refrigerant Leakage'!$D$2:$D$42,MATCH($Q726,'Device Refrigerant Leakage'!$B$2:$B$42,0))-(INDEX('Device Refrigerant Leakage'!$D$2:$D$42,MATCH($Q726,'Device Refrigerant Leakage'!$B$2:$B$42,0)))*CZ726*CX726)*CY726/2204.62*CW726,"")</f>
        <v/>
      </c>
      <c r="DC726" s="135" t="str">
        <f t="shared" si="892"/>
        <v/>
      </c>
      <c r="DE726" s="146" t="str">
        <f>IF(W726&lt;&gt;"AR","",IF(Y726="User Specified", AA726, INDEX('Refrigerant GWPs'!$G$2:$G$154,MATCH(Y726,'Refrigerant GWPs'!$A$2:$A$154,0))))</f>
        <v/>
      </c>
      <c r="DF726" s="146" t="str">
        <f>IF(W726&lt;&gt;"AR","",INDEX('Device Refrigerant Leakage'!$E$2:$E$42,MATCH(X726,'Device Refrigerant Leakage'!$B$2:$B$42,0)))</f>
        <v/>
      </c>
      <c r="DG726" s="146" t="str">
        <f>IF(W726&lt;&gt;"AR","",INDEX('Device Refrigerant Leakage'!$F$2:$F$42,MATCH(X726,'Device Refrigerant Leakage'!$B$2:$B$42,0)))</f>
        <v/>
      </c>
      <c r="DH726" s="146" t="str">
        <f>IF(W726&lt;&gt;"AR","",INDEX('Device Refrigerant Leakage'!$G$2:$G$42,MATCH(X726,'Device Refrigerant Leakage'!$B$2:$B$42,0)))</f>
        <v/>
      </c>
      <c r="DI726" s="146" t="str">
        <f>IF(W726&lt;&gt;"AR","",J726*INDEX('Device Refrigerant Leakage'!$D$2:$D$42,MATCH(X726,'Device Refrigerant Leakage'!$B$2:$B$42,0))*DF726/2204.62*DE726)</f>
        <v/>
      </c>
      <c r="DJ726" s="146" t="str">
        <f>IF(W726&lt;&gt;"AR","",J726*(INDEX('Device Refrigerant Leakage'!$D$2:$D$42,MATCH(X726,'Device Refrigerant Leakage'!$B$2:$B$42,0))-(INDEX('Device Refrigerant Leakage'!$D$2:$D$42,MATCH(X726,'Device Refrigerant Leakage'!$B$2:$B$42,0)))*DH726*DF726)*DG726/2204.62*DE726)</f>
        <v/>
      </c>
      <c r="DK726" s="146" t="str">
        <f>IF(W726&lt;&gt;"AR","",DI726*(K726-AB726)+'Fuel Sub Calcs-Deemed'!DJ726*((K726-AB726)/INDEX('Device Refrigerant Leakage'!$C$2:$C$42,MATCH('Fuel Sub Calcs-Deemed'!X726,'Device Refrigerant Leakage'!$B$2:$B$42,0))))</f>
        <v/>
      </c>
      <c r="DM726" s="56">
        <v>712</v>
      </c>
      <c r="DN726" s="67" t="e">
        <f t="shared" si="874"/>
        <v>#N/A</v>
      </c>
      <c r="DO726" s="45" t="e">
        <f t="shared" si="875"/>
        <v>#N/A</v>
      </c>
      <c r="DP726" s="67" t="e">
        <f t="shared" si="876"/>
        <v>#N/A</v>
      </c>
      <c r="DQ726" s="45" t="e">
        <f t="shared" si="877"/>
        <v>#N/A</v>
      </c>
      <c r="DR726" s="69" t="e">
        <f t="shared" si="878"/>
        <v>#N/A</v>
      </c>
      <c r="DS726" s="34"/>
      <c r="DT726" s="67" t="e">
        <f>((BX726*CJ726)+IF($W726=MAT_AR,(BZ726*CL726),0))*(1+Reference!$E$50+Reference!$E$51)</f>
        <v>#N/A</v>
      </c>
      <c r="DU726" s="67">
        <f>((BY726*CK726)+IF($W726=MAT_AR,(CA726*CM726),0))*(1+Reference!$G$50+Reference!$G$51)</f>
        <v>0</v>
      </c>
      <c r="DV726" s="67" t="e">
        <f t="shared" si="879"/>
        <v>#VALUE!</v>
      </c>
      <c r="DX726" s="56">
        <v>712</v>
      </c>
      <c r="DY726" s="67">
        <f t="shared" si="880"/>
        <v>0</v>
      </c>
      <c r="DZ726" s="45" t="e">
        <f>VLOOKUP($R726,Dropdown!$C$3:$D$4,2,FALSE)</f>
        <v>#N/A</v>
      </c>
      <c r="EA726" s="68">
        <f t="shared" si="881"/>
        <v>0</v>
      </c>
      <c r="EB726" s="68" t="str">
        <f t="shared" si="882"/>
        <v>N/A</v>
      </c>
      <c r="EC726" s="68">
        <f t="shared" si="883"/>
        <v>0</v>
      </c>
      <c r="ED726" s="68" t="str">
        <f t="shared" si="853"/>
        <v>N/A</v>
      </c>
      <c r="EF726" s="56">
        <v>712</v>
      </c>
      <c r="EG726" s="46">
        <f t="shared" si="884"/>
        <v>0</v>
      </c>
      <c r="EH726" s="68" t="e">
        <f t="shared" si="885"/>
        <v>#N/A</v>
      </c>
      <c r="EI726" s="68" t="e">
        <f t="shared" si="886"/>
        <v>#N/A</v>
      </c>
      <c r="EJ726" s="68" t="e">
        <f t="shared" si="887"/>
        <v>#N/A</v>
      </c>
      <c r="EK726" s="68" t="e">
        <f t="shared" si="888"/>
        <v>#N/A</v>
      </c>
      <c r="EL726" s="46">
        <f t="shared" si="889"/>
        <v>0</v>
      </c>
      <c r="EM726" s="46">
        <f t="shared" si="890"/>
        <v>0</v>
      </c>
    </row>
    <row r="727" spans="1:143">
      <c r="A727" s="89"/>
      <c r="B727" s="89"/>
      <c r="C727" s="89"/>
      <c r="D727" s="89"/>
      <c r="E727" s="89"/>
      <c r="F727" s="89"/>
      <c r="G727" s="34"/>
      <c r="H727" s="56">
        <f t="shared" si="891"/>
        <v>713</v>
      </c>
      <c r="I727" s="165"/>
      <c r="J727" s="163"/>
      <c r="K727" s="163"/>
      <c r="L727" s="164"/>
      <c r="M727" s="155"/>
      <c r="N727" s="155"/>
      <c r="O727" s="144"/>
      <c r="P727" s="159" t="str">
        <f>IFERROR(IF(O727&lt;&gt;"User Specified",IF(O727&lt;&gt;"", INDEX('Refrigerant GWPs'!$G$2:$G$154,MATCH(O727,'Refrigerant GWPs'!$A$2:$A$154,0)),""),U727),0)</f>
        <v/>
      </c>
      <c r="Q727" s="155"/>
      <c r="R727" s="155"/>
      <c r="S727" s="144"/>
      <c r="T727" s="159" t="str">
        <f>IF(S727&lt;&gt;"User Specified",IF(AND(S727&lt;&gt;"User Specified",S727&lt;&gt;""), INDEX('Refrigerant GWPs'!$G$2:$G$154,MATCH(S727,'Refrigerant GWPs'!$A$2:$A$154,0)),""),V727)</f>
        <v/>
      </c>
      <c r="U727" s="144"/>
      <c r="V727" s="144"/>
      <c r="W727" s="155"/>
      <c r="X727" s="155"/>
      <c r="Y727" s="144"/>
      <c r="Z727" s="159" t="str">
        <f>IF(AND(Y727&lt;&gt;"User Specified",Y727&lt;&gt;""), INDEX('Refrigerant GWPs'!$G$2:$G$154,MATCH(Y727,'Refrigerant GWPs'!$A$2:$A$154,0)),"")</f>
        <v/>
      </c>
      <c r="AA727" s="155"/>
      <c r="AB727" s="156"/>
      <c r="AC727" s="66"/>
      <c r="AD727" s="66"/>
      <c r="AE727" s="66"/>
      <c r="AF727" s="66"/>
      <c r="AG727" s="66"/>
      <c r="AH727" s="66"/>
      <c r="AI727" s="34"/>
      <c r="AJ727" s="88">
        <f t="shared" si="854"/>
        <v>0</v>
      </c>
      <c r="AK727" s="88">
        <f t="shared" si="855"/>
        <v>0</v>
      </c>
      <c r="AL727" s="88">
        <v>0</v>
      </c>
      <c r="AM727" s="88">
        <v>0</v>
      </c>
      <c r="AN727" s="81" t="str">
        <f t="shared" ref="AN727:AN790" si="893">IF(OR(BC727:BD727),"Warning: Need to enter baseline and measure consumption","")</f>
        <v/>
      </c>
      <c r="AO727" s="88">
        <f t="shared" si="856"/>
        <v>0</v>
      </c>
      <c r="AP727" s="88">
        <f t="shared" si="857"/>
        <v>0</v>
      </c>
      <c r="AQ727" s="81" t="str">
        <f t="shared" si="858"/>
        <v/>
      </c>
      <c r="AS727" s="41" t="b">
        <f t="shared" si="859"/>
        <v>1</v>
      </c>
      <c r="AT727" s="38">
        <f t="shared" si="860"/>
        <v>0</v>
      </c>
      <c r="AU727" s="60">
        <f t="shared" si="861"/>
        <v>0</v>
      </c>
      <c r="AV727" s="41">
        <f t="shared" si="862"/>
        <v>0</v>
      </c>
      <c r="AW727" s="41" t="b">
        <f t="shared" si="863"/>
        <v>0</v>
      </c>
      <c r="AX727" t="str">
        <f t="shared" si="864"/>
        <v>+00</v>
      </c>
      <c r="AY727" t="str">
        <f t="shared" si="865"/>
        <v>+00</v>
      </c>
      <c r="BA727" s="47" t="b">
        <f t="shared" ref="BA727:BA790" si="894">NOT(OR(ISBLANK(AJ727),ISBLANK(AL727)))</f>
        <v>1</v>
      </c>
      <c r="BB727" s="42" t="b">
        <f t="shared" ref="BB727:BB790" si="895">NOT(OR(ISBLANK(AK727),ISBLANK(AM727)))</f>
        <v>1</v>
      </c>
      <c r="BC727" s="42" t="b">
        <f t="shared" ref="BC727:BC790" si="896">AND(NOT(BA727))</f>
        <v>0</v>
      </c>
      <c r="BD727" s="42" t="b">
        <f t="shared" ref="BD727:BD790" si="897">AND(NOT(BB727))</f>
        <v>0</v>
      </c>
      <c r="BE727" s="70">
        <f t="shared" ref="BE727:BE790" si="898">AJ727-AL727</f>
        <v>0</v>
      </c>
      <c r="BF727" s="70">
        <f t="shared" ref="BF727:BF790" si="899">AK727-AM727</f>
        <v>0</v>
      </c>
      <c r="BG727" s="34"/>
      <c r="BI727" s="47" t="b">
        <f t="shared" ref="BI727:BI790" si="900">NOT(OR(ISBLANK(AL727),ISBLANK(AO727)))</f>
        <v>1</v>
      </c>
      <c r="BJ727" s="47" t="b">
        <f t="shared" ref="BJ727:BJ790" si="901">NOT(OR(ISBLANK(AM727),ISBLANK(AP727)))</f>
        <v>1</v>
      </c>
      <c r="BK727" s="42" t="b">
        <f t="shared" ref="BK727:BK790" si="902">AND(NOT(BI727))</f>
        <v>0</v>
      </c>
      <c r="BL727" s="42" t="b">
        <f t="shared" ref="BL727:BL790" si="903">AND(NOT(BJ727))</f>
        <v>0</v>
      </c>
      <c r="BM727" s="42">
        <f t="shared" ref="BM727:BM790" si="904">IF(NOT(OR(ISBLANK(AO727),ISBLANK(AL727))),AO727-AL727,0)</f>
        <v>0</v>
      </c>
      <c r="BN727" s="42">
        <f t="shared" ref="BN727:BN790" si="905">IF(NOT(OR(ISBLANK(AP727),ISBLANK(AM727))),AP727-AM727,0)</f>
        <v>0</v>
      </c>
      <c r="BP727" t="e">
        <f t="shared" ref="BP727:BP790" si="906">(DN727&gt;=0)</f>
        <v>#N/A</v>
      </c>
      <c r="BQ727" t="e">
        <f t="shared" ref="BQ727:BQ790" si="907">(DP727&gt;=0)</f>
        <v>#N/A</v>
      </c>
      <c r="BR727" t="e">
        <f t="shared" ref="BR727:BR790" si="908">AND(BP727,BQ727)</f>
        <v>#N/A</v>
      </c>
      <c r="BT727" s="60">
        <f t="shared" ref="BT727:BT790" si="909">$J727*BE727</f>
        <v>0</v>
      </c>
      <c r="BU727" s="60">
        <f t="shared" ref="BU727:BU790" si="910">$J727*BF727</f>
        <v>0</v>
      </c>
      <c r="BV727" s="60">
        <f t="shared" ref="BV727:BV790" si="911">$J727*BM727</f>
        <v>0</v>
      </c>
      <c r="BW727" s="60">
        <f t="shared" ref="BW727:BW790" si="912">$J727*BN727</f>
        <v>0</v>
      </c>
      <c r="BX727" s="60">
        <f t="shared" ref="BX727:BX790" si="913">$AT727*BT727</f>
        <v>0</v>
      </c>
      <c r="BY727" s="60">
        <f t="shared" ref="BY727:BY790" si="914">$AT727*BU727</f>
        <v>0</v>
      </c>
      <c r="BZ727" s="60">
        <f t="shared" ref="BZ727:BZ790" si="915">$AU727*BV727</f>
        <v>0</v>
      </c>
      <c r="CA727" s="60">
        <f t="shared" ref="CA727:CA790" si="916">$AU727*BW727</f>
        <v>0</v>
      </c>
      <c r="CB727" s="60" t="e">
        <f t="shared" si="866"/>
        <v>#N/A</v>
      </c>
      <c r="CC727" s="60">
        <f t="shared" si="867"/>
        <v>100000</v>
      </c>
      <c r="CD727" s="60" t="e">
        <f t="shared" si="868"/>
        <v>#N/A</v>
      </c>
      <c r="CE727" s="60">
        <f t="shared" si="869"/>
        <v>100000</v>
      </c>
      <c r="CF727" s="83" t="e">
        <f t="shared" ref="CF727:CF790" si="917">$AT727*CB727/1000000</f>
        <v>#N/A</v>
      </c>
      <c r="CG727" s="83">
        <f t="shared" ref="CG727:CG790" si="918">$AT727*CC727/1000000</f>
        <v>0</v>
      </c>
      <c r="CH727" s="83" t="e">
        <f t="shared" ref="CH727:CH790" si="919">$AU727*CD727/1000000</f>
        <v>#N/A</v>
      </c>
      <c r="CI727" s="83">
        <f t="shared" ref="CI727:CI790" si="920">$AU727*CE727/1000000</f>
        <v>0</v>
      </c>
      <c r="CJ727" s="86" t="e">
        <f t="shared" si="870"/>
        <v>#N/A</v>
      </c>
      <c r="CK727" s="82">
        <f t="shared" si="871"/>
        <v>5.3070370403969858E-3</v>
      </c>
      <c r="CL727" s="82" t="e">
        <f t="shared" si="872"/>
        <v>#N/A</v>
      </c>
      <c r="CM727" s="82">
        <f t="shared" si="873"/>
        <v>5.3070370403969858E-3</v>
      </c>
      <c r="CO727" s="149" t="str">
        <f>IF($I727&lt;&gt;"",IF(O727="User Specified",U727,INDEX('Refrigerant GWPs'!$G$2:$G$156,MATCH(O727,'Refrigerant GWPs'!$A$2:$A$156,0))),"")</f>
        <v/>
      </c>
      <c r="CP727" s="138" t="str">
        <f>IF($I727&lt;&gt;"",INDEX('Device Refrigerant Leakage'!$E$2:$E$42,MATCH($M727,'Device Refrigerant Leakage'!$B$2:$B$42,0)),"")</f>
        <v/>
      </c>
      <c r="CQ727" s="138" t="str">
        <f>IF($I727&lt;&gt;"",INDEX('Device Refrigerant Leakage'!$F$2:$F$42,MATCH($M727,'Device Refrigerant Leakage'!$B$2:$B$42,0)),"")</f>
        <v/>
      </c>
      <c r="CR727" s="145" t="str">
        <f>IF($I727&lt;&gt;"",INDEX('Device Refrigerant Leakage'!$G$2:$G$42,MATCH($M727,'Device Refrigerant Leakage'!$B$2:$B$42,0)),"")</f>
        <v/>
      </c>
      <c r="CS727" s="145" t="str">
        <f>IF($I727&lt;&gt;"",INDEX('Device Refrigerant Leakage'!$D$2:$D$42,MATCH($M727,'Device Refrigerant Leakage'!$B$2:$B$42,0))*CP727/2204.62*CO727,"")</f>
        <v/>
      </c>
      <c r="CT727" s="145" t="str">
        <f>IF($I727&lt;&gt;"",J727*(INDEX('Device Refrigerant Leakage'!$D$2:$D$42,MATCH($M727,'Device Refrigerant Leakage'!$B$2:$B$42,0))-(INDEX('Device Refrigerant Leakage'!$D$2:$D$42,MATCH($M727,'Device Refrigerant Leakage'!$B$2:$B$42,0)))*CR727*CP727)*CQ727/2204.62*CO727,"")</f>
        <v/>
      </c>
      <c r="CU727" s="135" t="str">
        <f>IF($I727&lt;&gt;"",J727*IF(W727&lt;&gt;"AR",(CS727*K727)+CT727,(CS727*AB727)+CT727*(AB727/INDEX('Device Refrigerant Leakage'!$C$2:$C$42,MATCH($M727,'Device Refrigerant Leakage'!$B$2:$B$42,0)))),"")</f>
        <v/>
      </c>
      <c r="CW727" s="135" t="str">
        <f>IF($I727&lt;&gt;"",IF(S727="User Specified",V727,INDEX('Refrigerant GWPs'!$G$2:$G$156,MATCH(S727,'Refrigerant GWPs'!$A$2:$A$157,0))),"")</f>
        <v/>
      </c>
      <c r="CX727" s="138" t="str">
        <f>IF($I727&lt;&gt;"",INDEX('Device Refrigerant Leakage'!$E$2:$E$42,MATCH($Q727,'Device Refrigerant Leakage'!$B$2:$B$42,0)),"")</f>
        <v/>
      </c>
      <c r="CY727" s="138" t="str">
        <f>IF($I727&lt;&gt;"",INDEX('Device Refrigerant Leakage'!$F$2:$F$42,MATCH($Q727,'Device Refrigerant Leakage'!$B$2:$B$42,0)),"")</f>
        <v/>
      </c>
      <c r="CZ727" s="145" t="str">
        <f>IF($I727&lt;&gt;"",INDEX('Device Refrigerant Leakage'!$G$2:$G$42,MATCH($Q727,'Device Refrigerant Leakage'!$B$2:$B$42,0)),"")</f>
        <v/>
      </c>
      <c r="DA727" s="145" t="str">
        <f>IF($I727&lt;&gt;"",J727*INDEX('Device Refrigerant Leakage'!$D$2:$D$42,MATCH($Q727,'Device Refrigerant Leakage'!$B$2:$B$42,0))*CX727/2204.62*CW727,"")</f>
        <v/>
      </c>
      <c r="DB727" s="145" t="str">
        <f>IF($I727&lt;&gt;"",J727*(INDEX('Device Refrigerant Leakage'!$D$2:$D$42,MATCH($Q727,'Device Refrigerant Leakage'!$B$2:$B$42,0))-(INDEX('Device Refrigerant Leakage'!$D$2:$D$42,MATCH($Q727,'Device Refrigerant Leakage'!$B$2:$B$42,0)))*CZ727*CX727)*CY727/2204.62*CW727,"")</f>
        <v/>
      </c>
      <c r="DC727" s="135" t="str">
        <f t="shared" si="892"/>
        <v/>
      </c>
      <c r="DE727" s="146" t="str">
        <f>IF(W727&lt;&gt;"AR","",IF(Y727="User Specified", AA727, INDEX('Refrigerant GWPs'!$G$2:$G$154,MATCH(Y727,'Refrigerant GWPs'!$A$2:$A$154,0))))</f>
        <v/>
      </c>
      <c r="DF727" s="146" t="str">
        <f>IF(W727&lt;&gt;"AR","",INDEX('Device Refrigerant Leakage'!$E$2:$E$42,MATCH(X727,'Device Refrigerant Leakage'!$B$2:$B$42,0)))</f>
        <v/>
      </c>
      <c r="DG727" s="146" t="str">
        <f>IF(W727&lt;&gt;"AR","",INDEX('Device Refrigerant Leakage'!$F$2:$F$42,MATCH(X727,'Device Refrigerant Leakage'!$B$2:$B$42,0)))</f>
        <v/>
      </c>
      <c r="DH727" s="146" t="str">
        <f>IF(W727&lt;&gt;"AR","",INDEX('Device Refrigerant Leakage'!$G$2:$G$42,MATCH(X727,'Device Refrigerant Leakage'!$B$2:$B$42,0)))</f>
        <v/>
      </c>
      <c r="DI727" s="146" t="str">
        <f>IF(W727&lt;&gt;"AR","",J727*INDEX('Device Refrigerant Leakage'!$D$2:$D$42,MATCH(X727,'Device Refrigerant Leakage'!$B$2:$B$42,0))*DF727/2204.62*DE727)</f>
        <v/>
      </c>
      <c r="DJ727" s="146" t="str">
        <f>IF(W727&lt;&gt;"AR","",J727*(INDEX('Device Refrigerant Leakage'!$D$2:$D$42,MATCH(X727,'Device Refrigerant Leakage'!$B$2:$B$42,0))-(INDEX('Device Refrigerant Leakage'!$D$2:$D$42,MATCH(X727,'Device Refrigerant Leakage'!$B$2:$B$42,0)))*DH727*DF727)*DG727/2204.62*DE727)</f>
        <v/>
      </c>
      <c r="DK727" s="146" t="str">
        <f>IF(W727&lt;&gt;"AR","",DI727*(K727-AB727)+'Fuel Sub Calcs-Deemed'!DJ727*((K727-AB727)/INDEX('Device Refrigerant Leakage'!$C$2:$C$42,MATCH('Fuel Sub Calcs-Deemed'!X727,'Device Refrigerant Leakage'!$B$2:$B$42,0))))</f>
        <v/>
      </c>
      <c r="DM727" s="56">
        <v>713</v>
      </c>
      <c r="DN727" s="67" t="e">
        <f t="shared" si="874"/>
        <v>#N/A</v>
      </c>
      <c r="DO727" s="45" t="e">
        <f t="shared" si="875"/>
        <v>#N/A</v>
      </c>
      <c r="DP727" s="67" t="e">
        <f t="shared" si="876"/>
        <v>#N/A</v>
      </c>
      <c r="DQ727" s="45" t="e">
        <f t="shared" si="877"/>
        <v>#N/A</v>
      </c>
      <c r="DR727" s="69" t="e">
        <f t="shared" si="878"/>
        <v>#N/A</v>
      </c>
      <c r="DS727" s="34"/>
      <c r="DT727" s="67" t="e">
        <f>((BX727*CJ727)+IF($W727=MAT_AR,(BZ727*CL727),0))*(1+Reference!$E$50+Reference!$E$51)</f>
        <v>#N/A</v>
      </c>
      <c r="DU727" s="67">
        <f>((BY727*CK727)+IF($W727=MAT_AR,(CA727*CM727),0))*(1+Reference!$G$50+Reference!$G$51)</f>
        <v>0</v>
      </c>
      <c r="DV727" s="67" t="e">
        <f t="shared" si="879"/>
        <v>#VALUE!</v>
      </c>
      <c r="DX727" s="56">
        <v>713</v>
      </c>
      <c r="DY727" s="67">
        <f t="shared" si="880"/>
        <v>0</v>
      </c>
      <c r="DZ727" s="45" t="e">
        <f>VLOOKUP($R727,Dropdown!$C$3:$D$4,2,FALSE)</f>
        <v>#N/A</v>
      </c>
      <c r="EA727" s="68">
        <f t="shared" si="881"/>
        <v>0</v>
      </c>
      <c r="EB727" s="68" t="str">
        <f t="shared" si="882"/>
        <v>N/A</v>
      </c>
      <c r="EC727" s="68">
        <f t="shared" si="883"/>
        <v>0</v>
      </c>
      <c r="ED727" s="68" t="str">
        <f t="shared" ref="ED727:ED790" si="921">IF($R727=fuel_electricity,DY727*10^6/Btu_therm,"N/A")</f>
        <v>N/A</v>
      </c>
      <c r="EF727" s="56">
        <v>713</v>
      </c>
      <c r="EG727" s="46">
        <f t="shared" si="884"/>
        <v>0</v>
      </c>
      <c r="EH727" s="68" t="e">
        <f t="shared" si="885"/>
        <v>#N/A</v>
      </c>
      <c r="EI727" s="68" t="e">
        <f t="shared" si="886"/>
        <v>#N/A</v>
      </c>
      <c r="EJ727" s="68" t="e">
        <f t="shared" si="887"/>
        <v>#N/A</v>
      </c>
      <c r="EK727" s="68" t="e">
        <f t="shared" si="888"/>
        <v>#N/A</v>
      </c>
      <c r="EL727" s="46">
        <f t="shared" si="889"/>
        <v>0</v>
      </c>
      <c r="EM727" s="46">
        <f t="shared" si="890"/>
        <v>0</v>
      </c>
    </row>
    <row r="728" spans="1:143">
      <c r="A728" s="89"/>
      <c r="B728" s="89"/>
      <c r="C728" s="89"/>
      <c r="D728" s="89"/>
      <c r="E728" s="89"/>
      <c r="F728" s="89"/>
      <c r="G728" s="34"/>
      <c r="H728" s="56">
        <f t="shared" si="891"/>
        <v>714</v>
      </c>
      <c r="I728" s="165"/>
      <c r="J728" s="163"/>
      <c r="K728" s="163"/>
      <c r="L728" s="164"/>
      <c r="M728" s="155"/>
      <c r="N728" s="155"/>
      <c r="O728" s="144"/>
      <c r="P728" s="159" t="str">
        <f>IFERROR(IF(O728&lt;&gt;"User Specified",IF(O728&lt;&gt;"", INDEX('Refrigerant GWPs'!$G$2:$G$154,MATCH(O728,'Refrigerant GWPs'!$A$2:$A$154,0)),""),U728),0)</f>
        <v/>
      </c>
      <c r="Q728" s="155"/>
      <c r="R728" s="155"/>
      <c r="S728" s="144"/>
      <c r="T728" s="159" t="str">
        <f>IF(S728&lt;&gt;"User Specified",IF(AND(S728&lt;&gt;"User Specified",S728&lt;&gt;""), INDEX('Refrigerant GWPs'!$G$2:$G$154,MATCH(S728,'Refrigerant GWPs'!$A$2:$A$154,0)),""),V728)</f>
        <v/>
      </c>
      <c r="U728" s="144"/>
      <c r="V728" s="144"/>
      <c r="W728" s="155"/>
      <c r="X728" s="155"/>
      <c r="Y728" s="144"/>
      <c r="Z728" s="159" t="str">
        <f>IF(AND(Y728&lt;&gt;"User Specified",Y728&lt;&gt;""), INDEX('Refrigerant GWPs'!$G$2:$G$154,MATCH(Y728,'Refrigerant GWPs'!$A$2:$A$154,0)),"")</f>
        <v/>
      </c>
      <c r="AA728" s="155"/>
      <c r="AB728" s="156"/>
      <c r="AC728" s="66"/>
      <c r="AD728" s="66"/>
      <c r="AE728" s="66"/>
      <c r="AF728" s="66"/>
      <c r="AG728" s="66"/>
      <c r="AH728" s="66"/>
      <c r="AI728" s="34"/>
      <c r="AJ728" s="88">
        <f t="shared" si="854"/>
        <v>0</v>
      </c>
      <c r="AK728" s="88">
        <f t="shared" si="855"/>
        <v>0</v>
      </c>
      <c r="AL728" s="88">
        <v>0</v>
      </c>
      <c r="AM728" s="88">
        <v>0</v>
      </c>
      <c r="AN728" s="81" t="str">
        <f t="shared" si="893"/>
        <v/>
      </c>
      <c r="AO728" s="88">
        <f t="shared" si="856"/>
        <v>0</v>
      </c>
      <c r="AP728" s="88">
        <f t="shared" si="857"/>
        <v>0</v>
      </c>
      <c r="AQ728" s="81" t="str">
        <f t="shared" si="858"/>
        <v/>
      </c>
      <c r="AS728" s="41" t="b">
        <f t="shared" si="859"/>
        <v>1</v>
      </c>
      <c r="AT728" s="38">
        <f t="shared" si="860"/>
        <v>0</v>
      </c>
      <c r="AU728" s="60">
        <f t="shared" si="861"/>
        <v>0</v>
      </c>
      <c r="AV728" s="41">
        <f t="shared" si="862"/>
        <v>0</v>
      </c>
      <c r="AW728" s="41" t="b">
        <f t="shared" si="863"/>
        <v>0</v>
      </c>
      <c r="AX728" t="str">
        <f t="shared" si="864"/>
        <v>+00</v>
      </c>
      <c r="AY728" t="str">
        <f t="shared" si="865"/>
        <v>+00</v>
      </c>
      <c r="BA728" s="47" t="b">
        <f t="shared" si="894"/>
        <v>1</v>
      </c>
      <c r="BB728" s="42" t="b">
        <f t="shared" si="895"/>
        <v>1</v>
      </c>
      <c r="BC728" s="42" t="b">
        <f t="shared" si="896"/>
        <v>0</v>
      </c>
      <c r="BD728" s="42" t="b">
        <f t="shared" si="897"/>
        <v>0</v>
      </c>
      <c r="BE728" s="70">
        <f t="shared" si="898"/>
        <v>0</v>
      </c>
      <c r="BF728" s="70">
        <f t="shared" si="899"/>
        <v>0</v>
      </c>
      <c r="BG728" s="34"/>
      <c r="BI728" s="47" t="b">
        <f t="shared" si="900"/>
        <v>1</v>
      </c>
      <c r="BJ728" s="47" t="b">
        <f t="shared" si="901"/>
        <v>1</v>
      </c>
      <c r="BK728" s="42" t="b">
        <f t="shared" si="902"/>
        <v>0</v>
      </c>
      <c r="BL728" s="42" t="b">
        <f t="shared" si="903"/>
        <v>0</v>
      </c>
      <c r="BM728" s="42">
        <f t="shared" si="904"/>
        <v>0</v>
      </c>
      <c r="BN728" s="42">
        <f t="shared" si="905"/>
        <v>0</v>
      </c>
      <c r="BP728" t="e">
        <f t="shared" si="906"/>
        <v>#N/A</v>
      </c>
      <c r="BQ728" t="e">
        <f t="shared" si="907"/>
        <v>#N/A</v>
      </c>
      <c r="BR728" t="e">
        <f t="shared" si="908"/>
        <v>#N/A</v>
      </c>
      <c r="BT728" s="60">
        <f t="shared" si="909"/>
        <v>0</v>
      </c>
      <c r="BU728" s="60">
        <f t="shared" si="910"/>
        <v>0</v>
      </c>
      <c r="BV728" s="60">
        <f t="shared" si="911"/>
        <v>0</v>
      </c>
      <c r="BW728" s="60">
        <f t="shared" si="912"/>
        <v>0</v>
      </c>
      <c r="BX728" s="60">
        <f t="shared" si="913"/>
        <v>0</v>
      </c>
      <c r="BY728" s="60">
        <f t="shared" si="914"/>
        <v>0</v>
      </c>
      <c r="BZ728" s="60">
        <f t="shared" si="915"/>
        <v>0</v>
      </c>
      <c r="CA728" s="60">
        <f t="shared" si="916"/>
        <v>0</v>
      </c>
      <c r="CB728" s="60" t="e">
        <f t="shared" si="866"/>
        <v>#N/A</v>
      </c>
      <c r="CC728" s="60">
        <f t="shared" si="867"/>
        <v>100000</v>
      </c>
      <c r="CD728" s="60" t="e">
        <f t="shared" si="868"/>
        <v>#N/A</v>
      </c>
      <c r="CE728" s="60">
        <f t="shared" si="869"/>
        <v>100000</v>
      </c>
      <c r="CF728" s="83" t="e">
        <f t="shared" si="917"/>
        <v>#N/A</v>
      </c>
      <c r="CG728" s="83">
        <f t="shared" si="918"/>
        <v>0</v>
      </c>
      <c r="CH728" s="83" t="e">
        <f t="shared" si="919"/>
        <v>#N/A</v>
      </c>
      <c r="CI728" s="83">
        <f t="shared" si="920"/>
        <v>0</v>
      </c>
      <c r="CJ728" s="86" t="e">
        <f t="shared" si="870"/>
        <v>#N/A</v>
      </c>
      <c r="CK728" s="82">
        <f t="shared" si="871"/>
        <v>5.3070370403969858E-3</v>
      </c>
      <c r="CL728" s="82" t="e">
        <f t="shared" si="872"/>
        <v>#N/A</v>
      </c>
      <c r="CM728" s="82">
        <f t="shared" si="873"/>
        <v>5.3070370403969858E-3</v>
      </c>
      <c r="CO728" s="149" t="str">
        <f>IF($I728&lt;&gt;"",IF(O728="User Specified",U728,INDEX('Refrigerant GWPs'!$G$2:$G$156,MATCH(O728,'Refrigerant GWPs'!$A$2:$A$156,0))),"")</f>
        <v/>
      </c>
      <c r="CP728" s="138" t="str">
        <f>IF($I728&lt;&gt;"",INDEX('Device Refrigerant Leakage'!$E$2:$E$42,MATCH($M728,'Device Refrigerant Leakage'!$B$2:$B$42,0)),"")</f>
        <v/>
      </c>
      <c r="CQ728" s="138" t="str">
        <f>IF($I728&lt;&gt;"",INDEX('Device Refrigerant Leakage'!$F$2:$F$42,MATCH($M728,'Device Refrigerant Leakage'!$B$2:$B$42,0)),"")</f>
        <v/>
      </c>
      <c r="CR728" s="145" t="str">
        <f>IF($I728&lt;&gt;"",INDEX('Device Refrigerant Leakage'!$G$2:$G$42,MATCH($M728,'Device Refrigerant Leakage'!$B$2:$B$42,0)),"")</f>
        <v/>
      </c>
      <c r="CS728" s="145" t="str">
        <f>IF($I728&lt;&gt;"",INDEX('Device Refrigerant Leakage'!$D$2:$D$42,MATCH($M728,'Device Refrigerant Leakage'!$B$2:$B$42,0))*CP728/2204.62*CO728,"")</f>
        <v/>
      </c>
      <c r="CT728" s="145" t="str">
        <f>IF($I728&lt;&gt;"",J728*(INDEX('Device Refrigerant Leakage'!$D$2:$D$42,MATCH($M728,'Device Refrigerant Leakage'!$B$2:$B$42,0))-(INDEX('Device Refrigerant Leakage'!$D$2:$D$42,MATCH($M728,'Device Refrigerant Leakage'!$B$2:$B$42,0)))*CR728*CP728)*CQ728/2204.62*CO728,"")</f>
        <v/>
      </c>
      <c r="CU728" s="135" t="str">
        <f>IF($I728&lt;&gt;"",J728*IF(W728&lt;&gt;"AR",(CS728*K728)+CT728,(CS728*AB728)+CT728*(AB728/INDEX('Device Refrigerant Leakage'!$C$2:$C$42,MATCH($M728,'Device Refrigerant Leakage'!$B$2:$B$42,0)))),"")</f>
        <v/>
      </c>
      <c r="CW728" s="135" t="str">
        <f>IF($I728&lt;&gt;"",IF(S728="User Specified",V728,INDEX('Refrigerant GWPs'!$G$2:$G$156,MATCH(S728,'Refrigerant GWPs'!$A$2:$A$157,0))),"")</f>
        <v/>
      </c>
      <c r="CX728" s="138" t="str">
        <f>IF($I728&lt;&gt;"",INDEX('Device Refrigerant Leakage'!$E$2:$E$42,MATCH($Q728,'Device Refrigerant Leakage'!$B$2:$B$42,0)),"")</f>
        <v/>
      </c>
      <c r="CY728" s="138" t="str">
        <f>IF($I728&lt;&gt;"",INDEX('Device Refrigerant Leakage'!$F$2:$F$42,MATCH($Q728,'Device Refrigerant Leakage'!$B$2:$B$42,0)),"")</f>
        <v/>
      </c>
      <c r="CZ728" s="145" t="str">
        <f>IF($I728&lt;&gt;"",INDEX('Device Refrigerant Leakage'!$G$2:$G$42,MATCH($Q728,'Device Refrigerant Leakage'!$B$2:$B$42,0)),"")</f>
        <v/>
      </c>
      <c r="DA728" s="145" t="str">
        <f>IF($I728&lt;&gt;"",J728*INDEX('Device Refrigerant Leakage'!$D$2:$D$42,MATCH($Q728,'Device Refrigerant Leakage'!$B$2:$B$42,0))*CX728/2204.62*CW728,"")</f>
        <v/>
      </c>
      <c r="DB728" s="145" t="str">
        <f>IF($I728&lt;&gt;"",J728*(INDEX('Device Refrigerant Leakage'!$D$2:$D$42,MATCH($Q728,'Device Refrigerant Leakage'!$B$2:$B$42,0))-(INDEX('Device Refrigerant Leakage'!$D$2:$D$42,MATCH($Q728,'Device Refrigerant Leakage'!$B$2:$B$42,0)))*CZ728*CX728)*CY728/2204.62*CW728,"")</f>
        <v/>
      </c>
      <c r="DC728" s="135" t="str">
        <f t="shared" si="892"/>
        <v/>
      </c>
      <c r="DE728" s="146" t="str">
        <f>IF(W728&lt;&gt;"AR","",IF(Y728="User Specified", AA728, INDEX('Refrigerant GWPs'!$G$2:$G$154,MATCH(Y728,'Refrigerant GWPs'!$A$2:$A$154,0))))</f>
        <v/>
      </c>
      <c r="DF728" s="146" t="str">
        <f>IF(W728&lt;&gt;"AR","",INDEX('Device Refrigerant Leakage'!$E$2:$E$42,MATCH(X728,'Device Refrigerant Leakage'!$B$2:$B$42,0)))</f>
        <v/>
      </c>
      <c r="DG728" s="146" t="str">
        <f>IF(W728&lt;&gt;"AR","",INDEX('Device Refrigerant Leakage'!$F$2:$F$42,MATCH(X728,'Device Refrigerant Leakage'!$B$2:$B$42,0)))</f>
        <v/>
      </c>
      <c r="DH728" s="146" t="str">
        <f>IF(W728&lt;&gt;"AR","",INDEX('Device Refrigerant Leakage'!$G$2:$G$42,MATCH(X728,'Device Refrigerant Leakage'!$B$2:$B$42,0)))</f>
        <v/>
      </c>
      <c r="DI728" s="146" t="str">
        <f>IF(W728&lt;&gt;"AR","",J728*INDEX('Device Refrigerant Leakage'!$D$2:$D$42,MATCH(X728,'Device Refrigerant Leakage'!$B$2:$B$42,0))*DF728/2204.62*DE728)</f>
        <v/>
      </c>
      <c r="DJ728" s="146" t="str">
        <f>IF(W728&lt;&gt;"AR","",J728*(INDEX('Device Refrigerant Leakage'!$D$2:$D$42,MATCH(X728,'Device Refrigerant Leakage'!$B$2:$B$42,0))-(INDEX('Device Refrigerant Leakage'!$D$2:$D$42,MATCH(X728,'Device Refrigerant Leakage'!$B$2:$B$42,0)))*DH728*DF728)*DG728/2204.62*DE728)</f>
        <v/>
      </c>
      <c r="DK728" s="146" t="str">
        <f>IF(W728&lt;&gt;"AR","",DI728*(K728-AB728)+'Fuel Sub Calcs-Deemed'!DJ728*((K728-AB728)/INDEX('Device Refrigerant Leakage'!$C$2:$C$42,MATCH('Fuel Sub Calcs-Deemed'!X728,'Device Refrigerant Leakage'!$B$2:$B$42,0))))</f>
        <v/>
      </c>
      <c r="DM728" s="56">
        <v>714</v>
      </c>
      <c r="DN728" s="67" t="e">
        <f t="shared" si="874"/>
        <v>#N/A</v>
      </c>
      <c r="DO728" s="45" t="e">
        <f t="shared" si="875"/>
        <v>#N/A</v>
      </c>
      <c r="DP728" s="67" t="e">
        <f t="shared" si="876"/>
        <v>#N/A</v>
      </c>
      <c r="DQ728" s="45" t="e">
        <f t="shared" si="877"/>
        <v>#N/A</v>
      </c>
      <c r="DR728" s="69" t="e">
        <f t="shared" si="878"/>
        <v>#N/A</v>
      </c>
      <c r="DS728" s="34"/>
      <c r="DT728" s="67" t="e">
        <f>((BX728*CJ728)+IF($W728=MAT_AR,(BZ728*CL728),0))*(1+Reference!$E$50+Reference!$E$51)</f>
        <v>#N/A</v>
      </c>
      <c r="DU728" s="67">
        <f>((BY728*CK728)+IF($W728=MAT_AR,(CA728*CM728),0))*(1+Reference!$G$50+Reference!$G$51)</f>
        <v>0</v>
      </c>
      <c r="DV728" s="67" t="e">
        <f t="shared" si="879"/>
        <v>#VALUE!</v>
      </c>
      <c r="DX728" s="56">
        <v>714</v>
      </c>
      <c r="DY728" s="67">
        <f t="shared" si="880"/>
        <v>0</v>
      </c>
      <c r="DZ728" s="45" t="e">
        <f>VLOOKUP($R728,Dropdown!$C$3:$D$4,2,FALSE)</f>
        <v>#N/A</v>
      </c>
      <c r="EA728" s="68">
        <f t="shared" si="881"/>
        <v>0</v>
      </c>
      <c r="EB728" s="68" t="str">
        <f t="shared" si="882"/>
        <v>N/A</v>
      </c>
      <c r="EC728" s="68">
        <f t="shared" si="883"/>
        <v>0</v>
      </c>
      <c r="ED728" s="68" t="str">
        <f t="shared" si="921"/>
        <v>N/A</v>
      </c>
      <c r="EF728" s="56">
        <v>714</v>
      </c>
      <c r="EG728" s="46">
        <f t="shared" si="884"/>
        <v>0</v>
      </c>
      <c r="EH728" s="68" t="e">
        <f t="shared" si="885"/>
        <v>#N/A</v>
      </c>
      <c r="EI728" s="68" t="e">
        <f t="shared" si="886"/>
        <v>#N/A</v>
      </c>
      <c r="EJ728" s="68" t="e">
        <f t="shared" si="887"/>
        <v>#N/A</v>
      </c>
      <c r="EK728" s="68" t="e">
        <f t="shared" si="888"/>
        <v>#N/A</v>
      </c>
      <c r="EL728" s="46">
        <f t="shared" si="889"/>
        <v>0</v>
      </c>
      <c r="EM728" s="46">
        <f t="shared" si="890"/>
        <v>0</v>
      </c>
    </row>
    <row r="729" spans="1:143">
      <c r="A729" s="89"/>
      <c r="B729" s="89"/>
      <c r="C729" s="89"/>
      <c r="D729" s="89"/>
      <c r="E729" s="89"/>
      <c r="F729" s="89"/>
      <c r="G729" s="34"/>
      <c r="H729" s="56">
        <f t="shared" si="891"/>
        <v>715</v>
      </c>
      <c r="I729" s="165"/>
      <c r="J729" s="163"/>
      <c r="K729" s="163"/>
      <c r="L729" s="164"/>
      <c r="M729" s="155"/>
      <c r="N729" s="155"/>
      <c r="O729" s="144"/>
      <c r="P729" s="159" t="str">
        <f>IFERROR(IF(O729&lt;&gt;"User Specified",IF(O729&lt;&gt;"", INDEX('Refrigerant GWPs'!$G$2:$G$154,MATCH(O729,'Refrigerant GWPs'!$A$2:$A$154,0)),""),U729),0)</f>
        <v/>
      </c>
      <c r="Q729" s="155"/>
      <c r="R729" s="155"/>
      <c r="S729" s="144"/>
      <c r="T729" s="159" t="str">
        <f>IF(S729&lt;&gt;"User Specified",IF(AND(S729&lt;&gt;"User Specified",S729&lt;&gt;""), INDEX('Refrigerant GWPs'!$G$2:$G$154,MATCH(S729,'Refrigerant GWPs'!$A$2:$A$154,0)),""),V729)</f>
        <v/>
      </c>
      <c r="U729" s="144"/>
      <c r="V729" s="144"/>
      <c r="W729" s="155"/>
      <c r="X729" s="155"/>
      <c r="Y729" s="144"/>
      <c r="Z729" s="159" t="str">
        <f>IF(AND(Y729&lt;&gt;"User Specified",Y729&lt;&gt;""), INDEX('Refrigerant GWPs'!$G$2:$G$154,MATCH(Y729,'Refrigerant GWPs'!$A$2:$A$154,0)),"")</f>
        <v/>
      </c>
      <c r="AA729" s="155"/>
      <c r="AB729" s="156"/>
      <c r="AC729" s="66"/>
      <c r="AD729" s="66"/>
      <c r="AE729" s="66"/>
      <c r="AF729" s="66"/>
      <c r="AG729" s="66"/>
      <c r="AH729" s="66"/>
      <c r="AI729" s="34"/>
      <c r="AJ729" s="88">
        <f t="shared" si="854"/>
        <v>0</v>
      </c>
      <c r="AK729" s="88">
        <f t="shared" si="855"/>
        <v>0</v>
      </c>
      <c r="AL729" s="88">
        <v>0</v>
      </c>
      <c r="AM729" s="88">
        <v>0</v>
      </c>
      <c r="AN729" s="81" t="str">
        <f t="shared" si="893"/>
        <v/>
      </c>
      <c r="AO729" s="88">
        <f t="shared" si="856"/>
        <v>0</v>
      </c>
      <c r="AP729" s="88">
        <f t="shared" si="857"/>
        <v>0</v>
      </c>
      <c r="AQ729" s="81" t="str">
        <f t="shared" si="858"/>
        <v/>
      </c>
      <c r="AS729" s="41" t="b">
        <f t="shared" si="859"/>
        <v>1</v>
      </c>
      <c r="AT729" s="38">
        <f t="shared" si="860"/>
        <v>0</v>
      </c>
      <c r="AU729" s="60">
        <f t="shared" si="861"/>
        <v>0</v>
      </c>
      <c r="AV729" s="41">
        <f t="shared" si="862"/>
        <v>0</v>
      </c>
      <c r="AW729" s="41" t="b">
        <f t="shared" si="863"/>
        <v>0</v>
      </c>
      <c r="AX729" t="str">
        <f t="shared" si="864"/>
        <v>+00</v>
      </c>
      <c r="AY729" t="str">
        <f t="shared" si="865"/>
        <v>+00</v>
      </c>
      <c r="BA729" s="47" t="b">
        <f t="shared" si="894"/>
        <v>1</v>
      </c>
      <c r="BB729" s="42" t="b">
        <f t="shared" si="895"/>
        <v>1</v>
      </c>
      <c r="BC729" s="42" t="b">
        <f t="shared" si="896"/>
        <v>0</v>
      </c>
      <c r="BD729" s="42" t="b">
        <f t="shared" si="897"/>
        <v>0</v>
      </c>
      <c r="BE729" s="70">
        <f t="shared" si="898"/>
        <v>0</v>
      </c>
      <c r="BF729" s="70">
        <f t="shared" si="899"/>
        <v>0</v>
      </c>
      <c r="BG729" s="34"/>
      <c r="BI729" s="47" t="b">
        <f t="shared" si="900"/>
        <v>1</v>
      </c>
      <c r="BJ729" s="47" t="b">
        <f t="shared" si="901"/>
        <v>1</v>
      </c>
      <c r="BK729" s="42" t="b">
        <f t="shared" si="902"/>
        <v>0</v>
      </c>
      <c r="BL729" s="42" t="b">
        <f t="shared" si="903"/>
        <v>0</v>
      </c>
      <c r="BM729" s="42">
        <f t="shared" si="904"/>
        <v>0</v>
      </c>
      <c r="BN729" s="42">
        <f t="shared" si="905"/>
        <v>0</v>
      </c>
      <c r="BP729" t="e">
        <f t="shared" si="906"/>
        <v>#N/A</v>
      </c>
      <c r="BQ729" t="e">
        <f t="shared" si="907"/>
        <v>#N/A</v>
      </c>
      <c r="BR729" t="e">
        <f t="shared" si="908"/>
        <v>#N/A</v>
      </c>
      <c r="BT729" s="60">
        <f t="shared" si="909"/>
        <v>0</v>
      </c>
      <c r="BU729" s="60">
        <f t="shared" si="910"/>
        <v>0</v>
      </c>
      <c r="BV729" s="60">
        <f t="shared" si="911"/>
        <v>0</v>
      </c>
      <c r="BW729" s="60">
        <f t="shared" si="912"/>
        <v>0</v>
      </c>
      <c r="BX729" s="60">
        <f t="shared" si="913"/>
        <v>0</v>
      </c>
      <c r="BY729" s="60">
        <f t="shared" si="914"/>
        <v>0</v>
      </c>
      <c r="BZ729" s="60">
        <f t="shared" si="915"/>
        <v>0</v>
      </c>
      <c r="CA729" s="60">
        <f t="shared" si="916"/>
        <v>0</v>
      </c>
      <c r="CB729" s="60" t="e">
        <f t="shared" si="866"/>
        <v>#N/A</v>
      </c>
      <c r="CC729" s="60">
        <f t="shared" si="867"/>
        <v>100000</v>
      </c>
      <c r="CD729" s="60" t="e">
        <f t="shared" si="868"/>
        <v>#N/A</v>
      </c>
      <c r="CE729" s="60">
        <f t="shared" si="869"/>
        <v>100000</v>
      </c>
      <c r="CF729" s="83" t="e">
        <f t="shared" si="917"/>
        <v>#N/A</v>
      </c>
      <c r="CG729" s="83">
        <f t="shared" si="918"/>
        <v>0</v>
      </c>
      <c r="CH729" s="83" t="e">
        <f t="shared" si="919"/>
        <v>#N/A</v>
      </c>
      <c r="CI729" s="83">
        <f t="shared" si="920"/>
        <v>0</v>
      </c>
      <c r="CJ729" s="86" t="e">
        <f t="shared" si="870"/>
        <v>#N/A</v>
      </c>
      <c r="CK729" s="82">
        <f t="shared" si="871"/>
        <v>5.3070370403969858E-3</v>
      </c>
      <c r="CL729" s="82" t="e">
        <f t="shared" si="872"/>
        <v>#N/A</v>
      </c>
      <c r="CM729" s="82">
        <f t="shared" si="873"/>
        <v>5.3070370403969858E-3</v>
      </c>
      <c r="CO729" s="149" t="str">
        <f>IF($I729&lt;&gt;"",IF(O729="User Specified",U729,INDEX('Refrigerant GWPs'!$G$2:$G$156,MATCH(O729,'Refrigerant GWPs'!$A$2:$A$156,0))),"")</f>
        <v/>
      </c>
      <c r="CP729" s="138" t="str">
        <f>IF($I729&lt;&gt;"",INDEX('Device Refrigerant Leakage'!$E$2:$E$42,MATCH($M729,'Device Refrigerant Leakage'!$B$2:$B$42,0)),"")</f>
        <v/>
      </c>
      <c r="CQ729" s="138" t="str">
        <f>IF($I729&lt;&gt;"",INDEX('Device Refrigerant Leakage'!$F$2:$F$42,MATCH($M729,'Device Refrigerant Leakage'!$B$2:$B$42,0)),"")</f>
        <v/>
      </c>
      <c r="CR729" s="145" t="str">
        <f>IF($I729&lt;&gt;"",INDEX('Device Refrigerant Leakage'!$G$2:$G$42,MATCH($M729,'Device Refrigerant Leakage'!$B$2:$B$42,0)),"")</f>
        <v/>
      </c>
      <c r="CS729" s="145" t="str">
        <f>IF($I729&lt;&gt;"",INDEX('Device Refrigerant Leakage'!$D$2:$D$42,MATCH($M729,'Device Refrigerant Leakage'!$B$2:$B$42,0))*CP729/2204.62*CO729,"")</f>
        <v/>
      </c>
      <c r="CT729" s="145" t="str">
        <f>IF($I729&lt;&gt;"",J729*(INDEX('Device Refrigerant Leakage'!$D$2:$D$42,MATCH($M729,'Device Refrigerant Leakage'!$B$2:$B$42,0))-(INDEX('Device Refrigerant Leakage'!$D$2:$D$42,MATCH($M729,'Device Refrigerant Leakage'!$B$2:$B$42,0)))*CR729*CP729)*CQ729/2204.62*CO729,"")</f>
        <v/>
      </c>
      <c r="CU729" s="135" t="str">
        <f>IF($I729&lt;&gt;"",J729*IF(W729&lt;&gt;"AR",(CS729*K729)+CT729,(CS729*AB729)+CT729*(AB729/INDEX('Device Refrigerant Leakage'!$C$2:$C$42,MATCH($M729,'Device Refrigerant Leakage'!$B$2:$B$42,0)))),"")</f>
        <v/>
      </c>
      <c r="CW729" s="135" t="str">
        <f>IF($I729&lt;&gt;"",IF(S729="User Specified",V729,INDEX('Refrigerant GWPs'!$G$2:$G$156,MATCH(S729,'Refrigerant GWPs'!$A$2:$A$157,0))),"")</f>
        <v/>
      </c>
      <c r="CX729" s="138" t="str">
        <f>IF($I729&lt;&gt;"",INDEX('Device Refrigerant Leakage'!$E$2:$E$42,MATCH($Q729,'Device Refrigerant Leakage'!$B$2:$B$42,0)),"")</f>
        <v/>
      </c>
      <c r="CY729" s="138" t="str">
        <f>IF($I729&lt;&gt;"",INDEX('Device Refrigerant Leakage'!$F$2:$F$42,MATCH($Q729,'Device Refrigerant Leakage'!$B$2:$B$42,0)),"")</f>
        <v/>
      </c>
      <c r="CZ729" s="145" t="str">
        <f>IF($I729&lt;&gt;"",INDEX('Device Refrigerant Leakage'!$G$2:$G$42,MATCH($Q729,'Device Refrigerant Leakage'!$B$2:$B$42,0)),"")</f>
        <v/>
      </c>
      <c r="DA729" s="145" t="str">
        <f>IF($I729&lt;&gt;"",J729*INDEX('Device Refrigerant Leakage'!$D$2:$D$42,MATCH($Q729,'Device Refrigerant Leakage'!$B$2:$B$42,0))*CX729/2204.62*CW729,"")</f>
        <v/>
      </c>
      <c r="DB729" s="145" t="str">
        <f>IF($I729&lt;&gt;"",J729*(INDEX('Device Refrigerant Leakage'!$D$2:$D$42,MATCH($Q729,'Device Refrigerant Leakage'!$B$2:$B$42,0))-(INDEX('Device Refrigerant Leakage'!$D$2:$D$42,MATCH($Q729,'Device Refrigerant Leakage'!$B$2:$B$42,0)))*CZ729*CX729)*CY729/2204.62*CW729,"")</f>
        <v/>
      </c>
      <c r="DC729" s="135" t="str">
        <f t="shared" si="892"/>
        <v/>
      </c>
      <c r="DE729" s="146" t="str">
        <f>IF(W729&lt;&gt;"AR","",IF(Y729="User Specified", AA729, INDEX('Refrigerant GWPs'!$G$2:$G$154,MATCH(Y729,'Refrigerant GWPs'!$A$2:$A$154,0))))</f>
        <v/>
      </c>
      <c r="DF729" s="146" t="str">
        <f>IF(W729&lt;&gt;"AR","",INDEX('Device Refrigerant Leakage'!$E$2:$E$42,MATCH(X729,'Device Refrigerant Leakage'!$B$2:$B$42,0)))</f>
        <v/>
      </c>
      <c r="DG729" s="146" t="str">
        <f>IF(W729&lt;&gt;"AR","",INDEX('Device Refrigerant Leakage'!$F$2:$F$42,MATCH(X729,'Device Refrigerant Leakage'!$B$2:$B$42,0)))</f>
        <v/>
      </c>
      <c r="DH729" s="146" t="str">
        <f>IF(W729&lt;&gt;"AR","",INDEX('Device Refrigerant Leakage'!$G$2:$G$42,MATCH(X729,'Device Refrigerant Leakage'!$B$2:$B$42,0)))</f>
        <v/>
      </c>
      <c r="DI729" s="146" t="str">
        <f>IF(W729&lt;&gt;"AR","",J729*INDEX('Device Refrigerant Leakage'!$D$2:$D$42,MATCH(X729,'Device Refrigerant Leakage'!$B$2:$B$42,0))*DF729/2204.62*DE729)</f>
        <v/>
      </c>
      <c r="DJ729" s="146" t="str">
        <f>IF(W729&lt;&gt;"AR","",J729*(INDEX('Device Refrigerant Leakage'!$D$2:$D$42,MATCH(X729,'Device Refrigerant Leakage'!$B$2:$B$42,0))-(INDEX('Device Refrigerant Leakage'!$D$2:$D$42,MATCH(X729,'Device Refrigerant Leakage'!$B$2:$B$42,0)))*DH729*DF729)*DG729/2204.62*DE729)</f>
        <v/>
      </c>
      <c r="DK729" s="146" t="str">
        <f>IF(W729&lt;&gt;"AR","",DI729*(K729-AB729)+'Fuel Sub Calcs-Deemed'!DJ729*((K729-AB729)/INDEX('Device Refrigerant Leakage'!$C$2:$C$42,MATCH('Fuel Sub Calcs-Deemed'!X729,'Device Refrigerant Leakage'!$B$2:$B$42,0))))</f>
        <v/>
      </c>
      <c r="DM729" s="56">
        <v>715</v>
      </c>
      <c r="DN729" s="67" t="e">
        <f t="shared" si="874"/>
        <v>#N/A</v>
      </c>
      <c r="DO729" s="45" t="e">
        <f t="shared" si="875"/>
        <v>#N/A</v>
      </c>
      <c r="DP729" s="67" t="e">
        <f t="shared" si="876"/>
        <v>#N/A</v>
      </c>
      <c r="DQ729" s="45" t="e">
        <f t="shared" si="877"/>
        <v>#N/A</v>
      </c>
      <c r="DR729" s="69" t="e">
        <f t="shared" si="878"/>
        <v>#N/A</v>
      </c>
      <c r="DS729" s="34"/>
      <c r="DT729" s="67" t="e">
        <f>((BX729*CJ729)+IF($W729=MAT_AR,(BZ729*CL729),0))*(1+Reference!$E$50+Reference!$E$51)</f>
        <v>#N/A</v>
      </c>
      <c r="DU729" s="67">
        <f>((BY729*CK729)+IF($W729=MAT_AR,(CA729*CM729),0))*(1+Reference!$G$50+Reference!$G$51)</f>
        <v>0</v>
      </c>
      <c r="DV729" s="67" t="e">
        <f t="shared" si="879"/>
        <v>#VALUE!</v>
      </c>
      <c r="DX729" s="56">
        <v>715</v>
      </c>
      <c r="DY729" s="67">
        <f t="shared" si="880"/>
        <v>0</v>
      </c>
      <c r="DZ729" s="45" t="e">
        <f>VLOOKUP($R729,Dropdown!$C$3:$D$4,2,FALSE)</f>
        <v>#N/A</v>
      </c>
      <c r="EA729" s="68">
        <f t="shared" si="881"/>
        <v>0</v>
      </c>
      <c r="EB729" s="68" t="str">
        <f t="shared" si="882"/>
        <v>N/A</v>
      </c>
      <c r="EC729" s="68">
        <f t="shared" si="883"/>
        <v>0</v>
      </c>
      <c r="ED729" s="68" t="str">
        <f t="shared" si="921"/>
        <v>N/A</v>
      </c>
      <c r="EF729" s="56">
        <v>715</v>
      </c>
      <c r="EG729" s="46">
        <f t="shared" si="884"/>
        <v>0</v>
      </c>
      <c r="EH729" s="68" t="e">
        <f t="shared" si="885"/>
        <v>#N/A</v>
      </c>
      <c r="EI729" s="68" t="e">
        <f t="shared" si="886"/>
        <v>#N/A</v>
      </c>
      <c r="EJ729" s="68" t="e">
        <f t="shared" si="887"/>
        <v>#N/A</v>
      </c>
      <c r="EK729" s="68" t="e">
        <f t="shared" si="888"/>
        <v>#N/A</v>
      </c>
      <c r="EL729" s="46">
        <f t="shared" si="889"/>
        <v>0</v>
      </c>
      <c r="EM729" s="46">
        <f t="shared" si="890"/>
        <v>0</v>
      </c>
    </row>
    <row r="730" spans="1:143">
      <c r="A730" s="89"/>
      <c r="B730" s="89"/>
      <c r="C730" s="89"/>
      <c r="D730" s="89"/>
      <c r="E730" s="89"/>
      <c r="F730" s="89"/>
      <c r="G730" s="34"/>
      <c r="H730" s="56">
        <f t="shared" si="891"/>
        <v>716</v>
      </c>
      <c r="I730" s="165"/>
      <c r="J730" s="163"/>
      <c r="K730" s="163"/>
      <c r="L730" s="164"/>
      <c r="M730" s="155"/>
      <c r="N730" s="155"/>
      <c r="O730" s="144"/>
      <c r="P730" s="159" t="str">
        <f>IFERROR(IF(O730&lt;&gt;"User Specified",IF(O730&lt;&gt;"", INDEX('Refrigerant GWPs'!$G$2:$G$154,MATCH(O730,'Refrigerant GWPs'!$A$2:$A$154,0)),""),U730),0)</f>
        <v/>
      </c>
      <c r="Q730" s="155"/>
      <c r="R730" s="155"/>
      <c r="S730" s="144"/>
      <c r="T730" s="159" t="str">
        <f>IF(S730&lt;&gt;"User Specified",IF(AND(S730&lt;&gt;"User Specified",S730&lt;&gt;""), INDEX('Refrigerant GWPs'!$G$2:$G$154,MATCH(S730,'Refrigerant GWPs'!$A$2:$A$154,0)),""),V730)</f>
        <v/>
      </c>
      <c r="U730" s="144"/>
      <c r="V730" s="144"/>
      <c r="W730" s="155"/>
      <c r="X730" s="155"/>
      <c r="Y730" s="144"/>
      <c r="Z730" s="159" t="str">
        <f>IF(AND(Y730&lt;&gt;"User Specified",Y730&lt;&gt;""), INDEX('Refrigerant GWPs'!$G$2:$G$154,MATCH(Y730,'Refrigerant GWPs'!$A$2:$A$154,0)),"")</f>
        <v/>
      </c>
      <c r="AA730" s="155"/>
      <c r="AB730" s="156"/>
      <c r="AC730" s="66"/>
      <c r="AD730" s="66"/>
      <c r="AE730" s="66"/>
      <c r="AF730" s="66"/>
      <c r="AG730" s="66"/>
      <c r="AH730" s="66"/>
      <c r="AI730" s="34"/>
      <c r="AJ730" s="88">
        <f t="shared" si="854"/>
        <v>0</v>
      </c>
      <c r="AK730" s="88">
        <f t="shared" si="855"/>
        <v>0</v>
      </c>
      <c r="AL730" s="88">
        <v>0</v>
      </c>
      <c r="AM730" s="88">
        <v>0</v>
      </c>
      <c r="AN730" s="81" t="str">
        <f t="shared" si="893"/>
        <v/>
      </c>
      <c r="AO730" s="88">
        <f t="shared" si="856"/>
        <v>0</v>
      </c>
      <c r="AP730" s="88">
        <f t="shared" si="857"/>
        <v>0</v>
      </c>
      <c r="AQ730" s="81" t="str">
        <f t="shared" si="858"/>
        <v/>
      </c>
      <c r="AS730" s="41" t="b">
        <f t="shared" si="859"/>
        <v>1</v>
      </c>
      <c r="AT730" s="38">
        <f t="shared" si="860"/>
        <v>0</v>
      </c>
      <c r="AU730" s="60">
        <f t="shared" si="861"/>
        <v>0</v>
      </c>
      <c r="AV730" s="41">
        <f t="shared" si="862"/>
        <v>0</v>
      </c>
      <c r="AW730" s="41" t="b">
        <f t="shared" si="863"/>
        <v>0</v>
      </c>
      <c r="AX730" t="str">
        <f t="shared" si="864"/>
        <v>+00</v>
      </c>
      <c r="AY730" t="str">
        <f t="shared" si="865"/>
        <v>+00</v>
      </c>
      <c r="BA730" s="47" t="b">
        <f t="shared" si="894"/>
        <v>1</v>
      </c>
      <c r="BB730" s="42" t="b">
        <f t="shared" si="895"/>
        <v>1</v>
      </c>
      <c r="BC730" s="42" t="b">
        <f t="shared" si="896"/>
        <v>0</v>
      </c>
      <c r="BD730" s="42" t="b">
        <f t="shared" si="897"/>
        <v>0</v>
      </c>
      <c r="BE730" s="70">
        <f t="shared" si="898"/>
        <v>0</v>
      </c>
      <c r="BF730" s="70">
        <f t="shared" si="899"/>
        <v>0</v>
      </c>
      <c r="BG730" s="34"/>
      <c r="BI730" s="47" t="b">
        <f t="shared" si="900"/>
        <v>1</v>
      </c>
      <c r="BJ730" s="47" t="b">
        <f t="shared" si="901"/>
        <v>1</v>
      </c>
      <c r="BK730" s="42" t="b">
        <f t="shared" si="902"/>
        <v>0</v>
      </c>
      <c r="BL730" s="42" t="b">
        <f t="shared" si="903"/>
        <v>0</v>
      </c>
      <c r="BM730" s="42">
        <f t="shared" si="904"/>
        <v>0</v>
      </c>
      <c r="BN730" s="42">
        <f t="shared" si="905"/>
        <v>0</v>
      </c>
      <c r="BP730" t="e">
        <f t="shared" si="906"/>
        <v>#N/A</v>
      </c>
      <c r="BQ730" t="e">
        <f t="shared" si="907"/>
        <v>#N/A</v>
      </c>
      <c r="BR730" t="e">
        <f t="shared" si="908"/>
        <v>#N/A</v>
      </c>
      <c r="BT730" s="60">
        <f t="shared" si="909"/>
        <v>0</v>
      </c>
      <c r="BU730" s="60">
        <f t="shared" si="910"/>
        <v>0</v>
      </c>
      <c r="BV730" s="60">
        <f t="shared" si="911"/>
        <v>0</v>
      </c>
      <c r="BW730" s="60">
        <f t="shared" si="912"/>
        <v>0</v>
      </c>
      <c r="BX730" s="60">
        <f t="shared" si="913"/>
        <v>0</v>
      </c>
      <c r="BY730" s="60">
        <f t="shared" si="914"/>
        <v>0</v>
      </c>
      <c r="BZ730" s="60">
        <f t="shared" si="915"/>
        <v>0</v>
      </c>
      <c r="CA730" s="60">
        <f t="shared" si="916"/>
        <v>0</v>
      </c>
      <c r="CB730" s="60" t="e">
        <f t="shared" si="866"/>
        <v>#N/A</v>
      </c>
      <c r="CC730" s="60">
        <f t="shared" si="867"/>
        <v>100000</v>
      </c>
      <c r="CD730" s="60" t="e">
        <f t="shared" si="868"/>
        <v>#N/A</v>
      </c>
      <c r="CE730" s="60">
        <f t="shared" si="869"/>
        <v>100000</v>
      </c>
      <c r="CF730" s="83" t="e">
        <f t="shared" si="917"/>
        <v>#N/A</v>
      </c>
      <c r="CG730" s="83">
        <f t="shared" si="918"/>
        <v>0</v>
      </c>
      <c r="CH730" s="83" t="e">
        <f t="shared" si="919"/>
        <v>#N/A</v>
      </c>
      <c r="CI730" s="83">
        <f t="shared" si="920"/>
        <v>0</v>
      </c>
      <c r="CJ730" s="86" t="e">
        <f t="shared" si="870"/>
        <v>#N/A</v>
      </c>
      <c r="CK730" s="82">
        <f t="shared" si="871"/>
        <v>5.3070370403969858E-3</v>
      </c>
      <c r="CL730" s="82" t="e">
        <f t="shared" si="872"/>
        <v>#N/A</v>
      </c>
      <c r="CM730" s="82">
        <f t="shared" si="873"/>
        <v>5.3070370403969858E-3</v>
      </c>
      <c r="CO730" s="149" t="str">
        <f>IF($I730&lt;&gt;"",IF(O730="User Specified",U730,INDEX('Refrigerant GWPs'!$G$2:$G$156,MATCH(O730,'Refrigerant GWPs'!$A$2:$A$156,0))),"")</f>
        <v/>
      </c>
      <c r="CP730" s="138" t="str">
        <f>IF($I730&lt;&gt;"",INDEX('Device Refrigerant Leakage'!$E$2:$E$42,MATCH($M730,'Device Refrigerant Leakage'!$B$2:$B$42,0)),"")</f>
        <v/>
      </c>
      <c r="CQ730" s="138" t="str">
        <f>IF($I730&lt;&gt;"",INDEX('Device Refrigerant Leakage'!$F$2:$F$42,MATCH($M730,'Device Refrigerant Leakage'!$B$2:$B$42,0)),"")</f>
        <v/>
      </c>
      <c r="CR730" s="145" t="str">
        <f>IF($I730&lt;&gt;"",INDEX('Device Refrigerant Leakage'!$G$2:$G$42,MATCH($M730,'Device Refrigerant Leakage'!$B$2:$B$42,0)),"")</f>
        <v/>
      </c>
      <c r="CS730" s="145" t="str">
        <f>IF($I730&lt;&gt;"",INDEX('Device Refrigerant Leakage'!$D$2:$D$42,MATCH($M730,'Device Refrigerant Leakage'!$B$2:$B$42,0))*CP730/2204.62*CO730,"")</f>
        <v/>
      </c>
      <c r="CT730" s="145" t="str">
        <f>IF($I730&lt;&gt;"",J730*(INDEX('Device Refrigerant Leakage'!$D$2:$D$42,MATCH($M730,'Device Refrigerant Leakage'!$B$2:$B$42,0))-(INDEX('Device Refrigerant Leakage'!$D$2:$D$42,MATCH($M730,'Device Refrigerant Leakage'!$B$2:$B$42,0)))*CR730*CP730)*CQ730/2204.62*CO730,"")</f>
        <v/>
      </c>
      <c r="CU730" s="135" t="str">
        <f>IF($I730&lt;&gt;"",J730*IF(W730&lt;&gt;"AR",(CS730*K730)+CT730,(CS730*AB730)+CT730*(AB730/INDEX('Device Refrigerant Leakage'!$C$2:$C$42,MATCH($M730,'Device Refrigerant Leakage'!$B$2:$B$42,0)))),"")</f>
        <v/>
      </c>
      <c r="CW730" s="135" t="str">
        <f>IF($I730&lt;&gt;"",IF(S730="User Specified",V730,INDEX('Refrigerant GWPs'!$G$2:$G$156,MATCH(S730,'Refrigerant GWPs'!$A$2:$A$157,0))),"")</f>
        <v/>
      </c>
      <c r="CX730" s="138" t="str">
        <f>IF($I730&lt;&gt;"",INDEX('Device Refrigerant Leakage'!$E$2:$E$42,MATCH($Q730,'Device Refrigerant Leakage'!$B$2:$B$42,0)),"")</f>
        <v/>
      </c>
      <c r="CY730" s="138" t="str">
        <f>IF($I730&lt;&gt;"",INDEX('Device Refrigerant Leakage'!$F$2:$F$42,MATCH($Q730,'Device Refrigerant Leakage'!$B$2:$B$42,0)),"")</f>
        <v/>
      </c>
      <c r="CZ730" s="145" t="str">
        <f>IF($I730&lt;&gt;"",INDEX('Device Refrigerant Leakage'!$G$2:$G$42,MATCH($Q730,'Device Refrigerant Leakage'!$B$2:$B$42,0)),"")</f>
        <v/>
      </c>
      <c r="DA730" s="145" t="str">
        <f>IF($I730&lt;&gt;"",J730*INDEX('Device Refrigerant Leakage'!$D$2:$D$42,MATCH($Q730,'Device Refrigerant Leakage'!$B$2:$B$42,0))*CX730/2204.62*CW730,"")</f>
        <v/>
      </c>
      <c r="DB730" s="145" t="str">
        <f>IF($I730&lt;&gt;"",J730*(INDEX('Device Refrigerant Leakage'!$D$2:$D$42,MATCH($Q730,'Device Refrigerant Leakage'!$B$2:$B$42,0))-(INDEX('Device Refrigerant Leakage'!$D$2:$D$42,MATCH($Q730,'Device Refrigerant Leakage'!$B$2:$B$42,0)))*CZ730*CX730)*CY730/2204.62*CW730,"")</f>
        <v/>
      </c>
      <c r="DC730" s="135" t="str">
        <f t="shared" si="892"/>
        <v/>
      </c>
      <c r="DE730" s="146" t="str">
        <f>IF(W730&lt;&gt;"AR","",IF(Y730="User Specified", AA730, INDEX('Refrigerant GWPs'!$G$2:$G$154,MATCH(Y730,'Refrigerant GWPs'!$A$2:$A$154,0))))</f>
        <v/>
      </c>
      <c r="DF730" s="146" t="str">
        <f>IF(W730&lt;&gt;"AR","",INDEX('Device Refrigerant Leakage'!$E$2:$E$42,MATCH(X730,'Device Refrigerant Leakage'!$B$2:$B$42,0)))</f>
        <v/>
      </c>
      <c r="DG730" s="146" t="str">
        <f>IF(W730&lt;&gt;"AR","",INDEX('Device Refrigerant Leakage'!$F$2:$F$42,MATCH(X730,'Device Refrigerant Leakage'!$B$2:$B$42,0)))</f>
        <v/>
      </c>
      <c r="DH730" s="146" t="str">
        <f>IF(W730&lt;&gt;"AR","",INDEX('Device Refrigerant Leakage'!$G$2:$G$42,MATCH(X730,'Device Refrigerant Leakage'!$B$2:$B$42,0)))</f>
        <v/>
      </c>
      <c r="DI730" s="146" t="str">
        <f>IF(W730&lt;&gt;"AR","",J730*INDEX('Device Refrigerant Leakage'!$D$2:$D$42,MATCH(X730,'Device Refrigerant Leakage'!$B$2:$B$42,0))*DF730/2204.62*DE730)</f>
        <v/>
      </c>
      <c r="DJ730" s="146" t="str">
        <f>IF(W730&lt;&gt;"AR","",J730*(INDEX('Device Refrigerant Leakage'!$D$2:$D$42,MATCH(X730,'Device Refrigerant Leakage'!$B$2:$B$42,0))-(INDEX('Device Refrigerant Leakage'!$D$2:$D$42,MATCH(X730,'Device Refrigerant Leakage'!$B$2:$B$42,0)))*DH730*DF730)*DG730/2204.62*DE730)</f>
        <v/>
      </c>
      <c r="DK730" s="146" t="str">
        <f>IF(W730&lt;&gt;"AR","",DI730*(K730-AB730)+'Fuel Sub Calcs-Deemed'!DJ730*((K730-AB730)/INDEX('Device Refrigerant Leakage'!$C$2:$C$42,MATCH('Fuel Sub Calcs-Deemed'!X730,'Device Refrigerant Leakage'!$B$2:$B$42,0))))</f>
        <v/>
      </c>
      <c r="DM730" s="56">
        <v>716</v>
      </c>
      <c r="DN730" s="67" t="e">
        <f t="shared" si="874"/>
        <v>#N/A</v>
      </c>
      <c r="DO730" s="45" t="e">
        <f t="shared" si="875"/>
        <v>#N/A</v>
      </c>
      <c r="DP730" s="67" t="e">
        <f t="shared" si="876"/>
        <v>#N/A</v>
      </c>
      <c r="DQ730" s="45" t="e">
        <f t="shared" si="877"/>
        <v>#N/A</v>
      </c>
      <c r="DR730" s="69" t="e">
        <f t="shared" si="878"/>
        <v>#N/A</v>
      </c>
      <c r="DS730" s="34"/>
      <c r="DT730" s="67" t="e">
        <f>((BX730*CJ730)+IF($W730=MAT_AR,(BZ730*CL730),0))*(1+Reference!$E$50+Reference!$E$51)</f>
        <v>#N/A</v>
      </c>
      <c r="DU730" s="67">
        <f>((BY730*CK730)+IF($W730=MAT_AR,(CA730*CM730),0))*(1+Reference!$G$50+Reference!$G$51)</f>
        <v>0</v>
      </c>
      <c r="DV730" s="67" t="e">
        <f t="shared" si="879"/>
        <v>#VALUE!</v>
      </c>
      <c r="DX730" s="56">
        <v>716</v>
      </c>
      <c r="DY730" s="67">
        <f t="shared" si="880"/>
        <v>0</v>
      </c>
      <c r="DZ730" s="45" t="e">
        <f>VLOOKUP($R730,Dropdown!$C$3:$D$4,2,FALSE)</f>
        <v>#N/A</v>
      </c>
      <c r="EA730" s="68">
        <f t="shared" si="881"/>
        <v>0</v>
      </c>
      <c r="EB730" s="68" t="str">
        <f t="shared" si="882"/>
        <v>N/A</v>
      </c>
      <c r="EC730" s="68">
        <f t="shared" si="883"/>
        <v>0</v>
      </c>
      <c r="ED730" s="68" t="str">
        <f t="shared" si="921"/>
        <v>N/A</v>
      </c>
      <c r="EF730" s="56">
        <v>716</v>
      </c>
      <c r="EG730" s="46">
        <f t="shared" si="884"/>
        <v>0</v>
      </c>
      <c r="EH730" s="68" t="e">
        <f t="shared" si="885"/>
        <v>#N/A</v>
      </c>
      <c r="EI730" s="68" t="e">
        <f t="shared" si="886"/>
        <v>#N/A</v>
      </c>
      <c r="EJ730" s="68" t="e">
        <f t="shared" si="887"/>
        <v>#N/A</v>
      </c>
      <c r="EK730" s="68" t="e">
        <f t="shared" si="888"/>
        <v>#N/A</v>
      </c>
      <c r="EL730" s="46">
        <f t="shared" si="889"/>
        <v>0</v>
      </c>
      <c r="EM730" s="46">
        <f t="shared" si="890"/>
        <v>0</v>
      </c>
    </row>
    <row r="731" spans="1:143">
      <c r="A731" s="89"/>
      <c r="B731" s="89"/>
      <c r="C731" s="89"/>
      <c r="D731" s="89"/>
      <c r="E731" s="89"/>
      <c r="F731" s="89"/>
      <c r="G731" s="34"/>
      <c r="H731" s="56">
        <f t="shared" si="891"/>
        <v>717</v>
      </c>
      <c r="I731" s="165"/>
      <c r="J731" s="163"/>
      <c r="K731" s="163"/>
      <c r="L731" s="164"/>
      <c r="M731" s="155"/>
      <c r="N731" s="155"/>
      <c r="O731" s="144"/>
      <c r="P731" s="159" t="str">
        <f>IFERROR(IF(O731&lt;&gt;"User Specified",IF(O731&lt;&gt;"", INDEX('Refrigerant GWPs'!$G$2:$G$154,MATCH(O731,'Refrigerant GWPs'!$A$2:$A$154,0)),""),U731),0)</f>
        <v/>
      </c>
      <c r="Q731" s="155"/>
      <c r="R731" s="155"/>
      <c r="S731" s="144"/>
      <c r="T731" s="159" t="str">
        <f>IF(S731&lt;&gt;"User Specified",IF(AND(S731&lt;&gt;"User Specified",S731&lt;&gt;""), INDEX('Refrigerant GWPs'!$G$2:$G$154,MATCH(S731,'Refrigerant GWPs'!$A$2:$A$154,0)),""),V731)</f>
        <v/>
      </c>
      <c r="U731" s="144"/>
      <c r="V731" s="144"/>
      <c r="W731" s="155"/>
      <c r="X731" s="155"/>
      <c r="Y731" s="144"/>
      <c r="Z731" s="159" t="str">
        <f>IF(AND(Y731&lt;&gt;"User Specified",Y731&lt;&gt;""), INDEX('Refrigerant GWPs'!$G$2:$G$154,MATCH(Y731,'Refrigerant GWPs'!$A$2:$A$154,0)),"")</f>
        <v/>
      </c>
      <c r="AA731" s="155"/>
      <c r="AB731" s="156"/>
      <c r="AC731" s="66"/>
      <c r="AD731" s="66"/>
      <c r="AE731" s="66"/>
      <c r="AF731" s="66"/>
      <c r="AG731" s="66"/>
      <c r="AH731" s="66"/>
      <c r="AI731" s="34"/>
      <c r="AJ731" s="88">
        <f t="shared" si="854"/>
        <v>0</v>
      </c>
      <c r="AK731" s="88">
        <f t="shared" si="855"/>
        <v>0</v>
      </c>
      <c r="AL731" s="88">
        <v>0</v>
      </c>
      <c r="AM731" s="88">
        <v>0</v>
      </c>
      <c r="AN731" s="81" t="str">
        <f t="shared" si="893"/>
        <v/>
      </c>
      <c r="AO731" s="88">
        <f t="shared" si="856"/>
        <v>0</v>
      </c>
      <c r="AP731" s="88">
        <f t="shared" si="857"/>
        <v>0</v>
      </c>
      <c r="AQ731" s="81" t="str">
        <f t="shared" si="858"/>
        <v/>
      </c>
      <c r="AS731" s="41" t="b">
        <f t="shared" si="859"/>
        <v>1</v>
      </c>
      <c r="AT731" s="38">
        <f t="shared" si="860"/>
        <v>0</v>
      </c>
      <c r="AU731" s="60">
        <f t="shared" si="861"/>
        <v>0</v>
      </c>
      <c r="AV731" s="41">
        <f t="shared" si="862"/>
        <v>0</v>
      </c>
      <c r="AW731" s="41" t="b">
        <f t="shared" si="863"/>
        <v>0</v>
      </c>
      <c r="AX731" t="str">
        <f t="shared" si="864"/>
        <v>+00</v>
      </c>
      <c r="AY731" t="str">
        <f t="shared" si="865"/>
        <v>+00</v>
      </c>
      <c r="BA731" s="47" t="b">
        <f t="shared" si="894"/>
        <v>1</v>
      </c>
      <c r="BB731" s="42" t="b">
        <f t="shared" si="895"/>
        <v>1</v>
      </c>
      <c r="BC731" s="42" t="b">
        <f t="shared" si="896"/>
        <v>0</v>
      </c>
      <c r="BD731" s="42" t="b">
        <f t="shared" si="897"/>
        <v>0</v>
      </c>
      <c r="BE731" s="70">
        <f t="shared" si="898"/>
        <v>0</v>
      </c>
      <c r="BF731" s="70">
        <f t="shared" si="899"/>
        <v>0</v>
      </c>
      <c r="BG731" s="34"/>
      <c r="BI731" s="47" t="b">
        <f t="shared" si="900"/>
        <v>1</v>
      </c>
      <c r="BJ731" s="47" t="b">
        <f t="shared" si="901"/>
        <v>1</v>
      </c>
      <c r="BK731" s="42" t="b">
        <f t="shared" si="902"/>
        <v>0</v>
      </c>
      <c r="BL731" s="42" t="b">
        <f t="shared" si="903"/>
        <v>0</v>
      </c>
      <c r="BM731" s="42">
        <f t="shared" si="904"/>
        <v>0</v>
      </c>
      <c r="BN731" s="42">
        <f t="shared" si="905"/>
        <v>0</v>
      </c>
      <c r="BP731" t="e">
        <f t="shared" si="906"/>
        <v>#N/A</v>
      </c>
      <c r="BQ731" t="e">
        <f t="shared" si="907"/>
        <v>#N/A</v>
      </c>
      <c r="BR731" t="e">
        <f t="shared" si="908"/>
        <v>#N/A</v>
      </c>
      <c r="BT731" s="60">
        <f t="shared" si="909"/>
        <v>0</v>
      </c>
      <c r="BU731" s="60">
        <f t="shared" si="910"/>
        <v>0</v>
      </c>
      <c r="BV731" s="60">
        <f t="shared" si="911"/>
        <v>0</v>
      </c>
      <c r="BW731" s="60">
        <f t="shared" si="912"/>
        <v>0</v>
      </c>
      <c r="BX731" s="60">
        <f t="shared" si="913"/>
        <v>0</v>
      </c>
      <c r="BY731" s="60">
        <f t="shared" si="914"/>
        <v>0</v>
      </c>
      <c r="BZ731" s="60">
        <f t="shared" si="915"/>
        <v>0</v>
      </c>
      <c r="CA731" s="60">
        <f t="shared" si="916"/>
        <v>0</v>
      </c>
      <c r="CB731" s="60" t="e">
        <f t="shared" si="866"/>
        <v>#N/A</v>
      </c>
      <c r="CC731" s="60">
        <f t="shared" si="867"/>
        <v>100000</v>
      </c>
      <c r="CD731" s="60" t="e">
        <f t="shared" si="868"/>
        <v>#N/A</v>
      </c>
      <c r="CE731" s="60">
        <f t="shared" si="869"/>
        <v>100000</v>
      </c>
      <c r="CF731" s="83" t="e">
        <f t="shared" si="917"/>
        <v>#N/A</v>
      </c>
      <c r="CG731" s="83">
        <f t="shared" si="918"/>
        <v>0</v>
      </c>
      <c r="CH731" s="83" t="e">
        <f t="shared" si="919"/>
        <v>#N/A</v>
      </c>
      <c r="CI731" s="83">
        <f t="shared" si="920"/>
        <v>0</v>
      </c>
      <c r="CJ731" s="86" t="e">
        <f t="shared" si="870"/>
        <v>#N/A</v>
      </c>
      <c r="CK731" s="82">
        <f t="shared" si="871"/>
        <v>5.3070370403969858E-3</v>
      </c>
      <c r="CL731" s="82" t="e">
        <f t="shared" si="872"/>
        <v>#N/A</v>
      </c>
      <c r="CM731" s="82">
        <f t="shared" si="873"/>
        <v>5.3070370403969858E-3</v>
      </c>
      <c r="CO731" s="149" t="str">
        <f>IF($I731&lt;&gt;"",IF(O731="User Specified",U731,INDEX('Refrigerant GWPs'!$G$2:$G$156,MATCH(O731,'Refrigerant GWPs'!$A$2:$A$156,0))),"")</f>
        <v/>
      </c>
      <c r="CP731" s="138" t="str">
        <f>IF($I731&lt;&gt;"",INDEX('Device Refrigerant Leakage'!$E$2:$E$42,MATCH($M731,'Device Refrigerant Leakage'!$B$2:$B$42,0)),"")</f>
        <v/>
      </c>
      <c r="CQ731" s="138" t="str">
        <f>IF($I731&lt;&gt;"",INDEX('Device Refrigerant Leakage'!$F$2:$F$42,MATCH($M731,'Device Refrigerant Leakage'!$B$2:$B$42,0)),"")</f>
        <v/>
      </c>
      <c r="CR731" s="145" t="str">
        <f>IF($I731&lt;&gt;"",INDEX('Device Refrigerant Leakage'!$G$2:$G$42,MATCH($M731,'Device Refrigerant Leakage'!$B$2:$B$42,0)),"")</f>
        <v/>
      </c>
      <c r="CS731" s="145" t="str">
        <f>IF($I731&lt;&gt;"",INDEX('Device Refrigerant Leakage'!$D$2:$D$42,MATCH($M731,'Device Refrigerant Leakage'!$B$2:$B$42,0))*CP731/2204.62*CO731,"")</f>
        <v/>
      </c>
      <c r="CT731" s="145" t="str">
        <f>IF($I731&lt;&gt;"",J731*(INDEX('Device Refrigerant Leakage'!$D$2:$D$42,MATCH($M731,'Device Refrigerant Leakage'!$B$2:$B$42,0))-(INDEX('Device Refrigerant Leakage'!$D$2:$D$42,MATCH($M731,'Device Refrigerant Leakage'!$B$2:$B$42,0)))*CR731*CP731)*CQ731/2204.62*CO731,"")</f>
        <v/>
      </c>
      <c r="CU731" s="135" t="str">
        <f>IF($I731&lt;&gt;"",J731*IF(W731&lt;&gt;"AR",(CS731*K731)+CT731,(CS731*AB731)+CT731*(AB731/INDEX('Device Refrigerant Leakage'!$C$2:$C$42,MATCH($M731,'Device Refrigerant Leakage'!$B$2:$B$42,0)))),"")</f>
        <v/>
      </c>
      <c r="CW731" s="135" t="str">
        <f>IF($I731&lt;&gt;"",IF(S731="User Specified",V731,INDEX('Refrigerant GWPs'!$G$2:$G$156,MATCH(S731,'Refrigerant GWPs'!$A$2:$A$157,0))),"")</f>
        <v/>
      </c>
      <c r="CX731" s="138" t="str">
        <f>IF($I731&lt;&gt;"",INDEX('Device Refrigerant Leakage'!$E$2:$E$42,MATCH($Q731,'Device Refrigerant Leakage'!$B$2:$B$42,0)),"")</f>
        <v/>
      </c>
      <c r="CY731" s="138" t="str">
        <f>IF($I731&lt;&gt;"",INDEX('Device Refrigerant Leakage'!$F$2:$F$42,MATCH($Q731,'Device Refrigerant Leakage'!$B$2:$B$42,0)),"")</f>
        <v/>
      </c>
      <c r="CZ731" s="145" t="str">
        <f>IF($I731&lt;&gt;"",INDEX('Device Refrigerant Leakage'!$G$2:$G$42,MATCH($Q731,'Device Refrigerant Leakage'!$B$2:$B$42,0)),"")</f>
        <v/>
      </c>
      <c r="DA731" s="145" t="str">
        <f>IF($I731&lt;&gt;"",J731*INDEX('Device Refrigerant Leakage'!$D$2:$D$42,MATCH($Q731,'Device Refrigerant Leakage'!$B$2:$B$42,0))*CX731/2204.62*CW731,"")</f>
        <v/>
      </c>
      <c r="DB731" s="145" t="str">
        <f>IF($I731&lt;&gt;"",J731*(INDEX('Device Refrigerant Leakage'!$D$2:$D$42,MATCH($Q731,'Device Refrigerant Leakage'!$B$2:$B$42,0))-(INDEX('Device Refrigerant Leakage'!$D$2:$D$42,MATCH($Q731,'Device Refrigerant Leakage'!$B$2:$B$42,0)))*CZ731*CX731)*CY731/2204.62*CW731,"")</f>
        <v/>
      </c>
      <c r="DC731" s="135" t="str">
        <f t="shared" si="892"/>
        <v/>
      </c>
      <c r="DE731" s="146" t="str">
        <f>IF(W731&lt;&gt;"AR","",IF(Y731="User Specified", AA731, INDEX('Refrigerant GWPs'!$G$2:$G$154,MATCH(Y731,'Refrigerant GWPs'!$A$2:$A$154,0))))</f>
        <v/>
      </c>
      <c r="DF731" s="146" t="str">
        <f>IF(W731&lt;&gt;"AR","",INDEX('Device Refrigerant Leakage'!$E$2:$E$42,MATCH(X731,'Device Refrigerant Leakage'!$B$2:$B$42,0)))</f>
        <v/>
      </c>
      <c r="DG731" s="146" t="str">
        <f>IF(W731&lt;&gt;"AR","",INDEX('Device Refrigerant Leakage'!$F$2:$F$42,MATCH(X731,'Device Refrigerant Leakage'!$B$2:$B$42,0)))</f>
        <v/>
      </c>
      <c r="DH731" s="146" t="str">
        <f>IF(W731&lt;&gt;"AR","",INDEX('Device Refrigerant Leakage'!$G$2:$G$42,MATCH(X731,'Device Refrigerant Leakage'!$B$2:$B$42,0)))</f>
        <v/>
      </c>
      <c r="DI731" s="146" t="str">
        <f>IF(W731&lt;&gt;"AR","",J731*INDEX('Device Refrigerant Leakage'!$D$2:$D$42,MATCH(X731,'Device Refrigerant Leakage'!$B$2:$B$42,0))*DF731/2204.62*DE731)</f>
        <v/>
      </c>
      <c r="DJ731" s="146" t="str">
        <f>IF(W731&lt;&gt;"AR","",J731*(INDEX('Device Refrigerant Leakage'!$D$2:$D$42,MATCH(X731,'Device Refrigerant Leakage'!$B$2:$B$42,0))-(INDEX('Device Refrigerant Leakage'!$D$2:$D$42,MATCH(X731,'Device Refrigerant Leakage'!$B$2:$B$42,0)))*DH731*DF731)*DG731/2204.62*DE731)</f>
        <v/>
      </c>
      <c r="DK731" s="146" t="str">
        <f>IF(W731&lt;&gt;"AR","",DI731*(K731-AB731)+'Fuel Sub Calcs-Deemed'!DJ731*((K731-AB731)/INDEX('Device Refrigerant Leakage'!$C$2:$C$42,MATCH('Fuel Sub Calcs-Deemed'!X731,'Device Refrigerant Leakage'!$B$2:$B$42,0))))</f>
        <v/>
      </c>
      <c r="DM731" s="56">
        <v>717</v>
      </c>
      <c r="DN731" s="67" t="e">
        <f t="shared" si="874"/>
        <v>#N/A</v>
      </c>
      <c r="DO731" s="45" t="e">
        <f t="shared" si="875"/>
        <v>#N/A</v>
      </c>
      <c r="DP731" s="67" t="e">
        <f t="shared" si="876"/>
        <v>#N/A</v>
      </c>
      <c r="DQ731" s="45" t="e">
        <f t="shared" si="877"/>
        <v>#N/A</v>
      </c>
      <c r="DR731" s="69" t="e">
        <f t="shared" si="878"/>
        <v>#N/A</v>
      </c>
      <c r="DS731" s="34"/>
      <c r="DT731" s="67" t="e">
        <f>((BX731*CJ731)+IF($W731=MAT_AR,(BZ731*CL731),0))*(1+Reference!$E$50+Reference!$E$51)</f>
        <v>#N/A</v>
      </c>
      <c r="DU731" s="67">
        <f>((BY731*CK731)+IF($W731=MAT_AR,(CA731*CM731),0))*(1+Reference!$G$50+Reference!$G$51)</f>
        <v>0</v>
      </c>
      <c r="DV731" s="67" t="e">
        <f t="shared" si="879"/>
        <v>#VALUE!</v>
      </c>
      <c r="DX731" s="56">
        <v>717</v>
      </c>
      <c r="DY731" s="67">
        <f t="shared" si="880"/>
        <v>0</v>
      </c>
      <c r="DZ731" s="45" t="e">
        <f>VLOOKUP($R731,Dropdown!$C$3:$D$4,2,FALSE)</f>
        <v>#N/A</v>
      </c>
      <c r="EA731" s="68">
        <f t="shared" si="881"/>
        <v>0</v>
      </c>
      <c r="EB731" s="68" t="str">
        <f t="shared" si="882"/>
        <v>N/A</v>
      </c>
      <c r="EC731" s="68">
        <f t="shared" si="883"/>
        <v>0</v>
      </c>
      <c r="ED731" s="68" t="str">
        <f t="shared" si="921"/>
        <v>N/A</v>
      </c>
      <c r="EF731" s="56">
        <v>717</v>
      </c>
      <c r="EG731" s="46">
        <f t="shared" si="884"/>
        <v>0</v>
      </c>
      <c r="EH731" s="68" t="e">
        <f t="shared" si="885"/>
        <v>#N/A</v>
      </c>
      <c r="EI731" s="68" t="e">
        <f t="shared" si="886"/>
        <v>#N/A</v>
      </c>
      <c r="EJ731" s="68" t="e">
        <f t="shared" si="887"/>
        <v>#N/A</v>
      </c>
      <c r="EK731" s="68" t="e">
        <f t="shared" si="888"/>
        <v>#N/A</v>
      </c>
      <c r="EL731" s="46">
        <f t="shared" si="889"/>
        <v>0</v>
      </c>
      <c r="EM731" s="46">
        <f t="shared" si="890"/>
        <v>0</v>
      </c>
    </row>
    <row r="732" spans="1:143">
      <c r="A732" s="89"/>
      <c r="B732" s="89"/>
      <c r="C732" s="89"/>
      <c r="D732" s="89"/>
      <c r="E732" s="89"/>
      <c r="F732" s="89"/>
      <c r="G732" s="34"/>
      <c r="H732" s="56">
        <f t="shared" si="891"/>
        <v>718</v>
      </c>
      <c r="I732" s="165"/>
      <c r="J732" s="163"/>
      <c r="K732" s="163"/>
      <c r="L732" s="164"/>
      <c r="M732" s="155"/>
      <c r="N732" s="155"/>
      <c r="O732" s="144"/>
      <c r="P732" s="159" t="str">
        <f>IFERROR(IF(O732&lt;&gt;"User Specified",IF(O732&lt;&gt;"", INDEX('Refrigerant GWPs'!$G$2:$G$154,MATCH(O732,'Refrigerant GWPs'!$A$2:$A$154,0)),""),U732),0)</f>
        <v/>
      </c>
      <c r="Q732" s="155"/>
      <c r="R732" s="155"/>
      <c r="S732" s="144"/>
      <c r="T732" s="159" t="str">
        <f>IF(S732&lt;&gt;"User Specified",IF(AND(S732&lt;&gt;"User Specified",S732&lt;&gt;""), INDEX('Refrigerant GWPs'!$G$2:$G$154,MATCH(S732,'Refrigerant GWPs'!$A$2:$A$154,0)),""),V732)</f>
        <v/>
      </c>
      <c r="U732" s="144"/>
      <c r="V732" s="144"/>
      <c r="W732" s="155"/>
      <c r="X732" s="155"/>
      <c r="Y732" s="144"/>
      <c r="Z732" s="159" t="str">
        <f>IF(AND(Y732&lt;&gt;"User Specified",Y732&lt;&gt;""), INDEX('Refrigerant GWPs'!$G$2:$G$154,MATCH(Y732,'Refrigerant GWPs'!$A$2:$A$154,0)),"")</f>
        <v/>
      </c>
      <c r="AA732" s="155"/>
      <c r="AB732" s="156"/>
      <c r="AC732" s="66"/>
      <c r="AD732" s="66"/>
      <c r="AE732" s="66"/>
      <c r="AF732" s="66"/>
      <c r="AG732" s="66"/>
      <c r="AH732" s="66"/>
      <c r="AI732" s="34"/>
      <c r="AJ732" s="88">
        <f t="shared" si="854"/>
        <v>0</v>
      </c>
      <c r="AK732" s="88">
        <f t="shared" si="855"/>
        <v>0</v>
      </c>
      <c r="AL732" s="88">
        <v>0</v>
      </c>
      <c r="AM732" s="88">
        <v>0</v>
      </c>
      <c r="AN732" s="81" t="str">
        <f t="shared" si="893"/>
        <v/>
      </c>
      <c r="AO732" s="88">
        <f t="shared" si="856"/>
        <v>0</v>
      </c>
      <c r="AP732" s="88">
        <f t="shared" si="857"/>
        <v>0</v>
      </c>
      <c r="AQ732" s="81" t="str">
        <f t="shared" si="858"/>
        <v/>
      </c>
      <c r="AS732" s="41" t="b">
        <f t="shared" si="859"/>
        <v>1</v>
      </c>
      <c r="AT732" s="38">
        <f t="shared" si="860"/>
        <v>0</v>
      </c>
      <c r="AU732" s="60">
        <f t="shared" si="861"/>
        <v>0</v>
      </c>
      <c r="AV732" s="41">
        <f t="shared" si="862"/>
        <v>0</v>
      </c>
      <c r="AW732" s="41" t="b">
        <f t="shared" si="863"/>
        <v>0</v>
      </c>
      <c r="AX732" t="str">
        <f t="shared" si="864"/>
        <v>+00</v>
      </c>
      <c r="AY732" t="str">
        <f t="shared" si="865"/>
        <v>+00</v>
      </c>
      <c r="BA732" s="47" t="b">
        <f t="shared" si="894"/>
        <v>1</v>
      </c>
      <c r="BB732" s="42" t="b">
        <f t="shared" si="895"/>
        <v>1</v>
      </c>
      <c r="BC732" s="42" t="b">
        <f t="shared" si="896"/>
        <v>0</v>
      </c>
      <c r="BD732" s="42" t="b">
        <f t="shared" si="897"/>
        <v>0</v>
      </c>
      <c r="BE732" s="70">
        <f t="shared" si="898"/>
        <v>0</v>
      </c>
      <c r="BF732" s="70">
        <f t="shared" si="899"/>
        <v>0</v>
      </c>
      <c r="BG732" s="34"/>
      <c r="BI732" s="47" t="b">
        <f t="shared" si="900"/>
        <v>1</v>
      </c>
      <c r="BJ732" s="47" t="b">
        <f t="shared" si="901"/>
        <v>1</v>
      </c>
      <c r="BK732" s="42" t="b">
        <f t="shared" si="902"/>
        <v>0</v>
      </c>
      <c r="BL732" s="42" t="b">
        <f t="shared" si="903"/>
        <v>0</v>
      </c>
      <c r="BM732" s="42">
        <f t="shared" si="904"/>
        <v>0</v>
      </c>
      <c r="BN732" s="42">
        <f t="shared" si="905"/>
        <v>0</v>
      </c>
      <c r="BP732" t="e">
        <f t="shared" si="906"/>
        <v>#N/A</v>
      </c>
      <c r="BQ732" t="e">
        <f t="shared" si="907"/>
        <v>#N/A</v>
      </c>
      <c r="BR732" t="e">
        <f t="shared" si="908"/>
        <v>#N/A</v>
      </c>
      <c r="BT732" s="60">
        <f t="shared" si="909"/>
        <v>0</v>
      </c>
      <c r="BU732" s="60">
        <f t="shared" si="910"/>
        <v>0</v>
      </c>
      <c r="BV732" s="60">
        <f t="shared" si="911"/>
        <v>0</v>
      </c>
      <c r="BW732" s="60">
        <f t="shared" si="912"/>
        <v>0</v>
      </c>
      <c r="BX732" s="60">
        <f t="shared" si="913"/>
        <v>0</v>
      </c>
      <c r="BY732" s="60">
        <f t="shared" si="914"/>
        <v>0</v>
      </c>
      <c r="BZ732" s="60">
        <f t="shared" si="915"/>
        <v>0</v>
      </c>
      <c r="CA732" s="60">
        <f t="shared" si="916"/>
        <v>0</v>
      </c>
      <c r="CB732" s="60" t="e">
        <f t="shared" si="866"/>
        <v>#N/A</v>
      </c>
      <c r="CC732" s="60">
        <f t="shared" si="867"/>
        <v>100000</v>
      </c>
      <c r="CD732" s="60" t="e">
        <f t="shared" si="868"/>
        <v>#N/A</v>
      </c>
      <c r="CE732" s="60">
        <f t="shared" si="869"/>
        <v>100000</v>
      </c>
      <c r="CF732" s="83" t="e">
        <f t="shared" si="917"/>
        <v>#N/A</v>
      </c>
      <c r="CG732" s="83">
        <f t="shared" si="918"/>
        <v>0</v>
      </c>
      <c r="CH732" s="83" t="e">
        <f t="shared" si="919"/>
        <v>#N/A</v>
      </c>
      <c r="CI732" s="83">
        <f t="shared" si="920"/>
        <v>0</v>
      </c>
      <c r="CJ732" s="86" t="e">
        <f t="shared" si="870"/>
        <v>#N/A</v>
      </c>
      <c r="CK732" s="82">
        <f t="shared" si="871"/>
        <v>5.3070370403969858E-3</v>
      </c>
      <c r="CL732" s="82" t="e">
        <f t="shared" si="872"/>
        <v>#N/A</v>
      </c>
      <c r="CM732" s="82">
        <f t="shared" si="873"/>
        <v>5.3070370403969858E-3</v>
      </c>
      <c r="CO732" s="149" t="str">
        <f>IF($I732&lt;&gt;"",IF(O732="User Specified",U732,INDEX('Refrigerant GWPs'!$G$2:$G$156,MATCH(O732,'Refrigerant GWPs'!$A$2:$A$156,0))),"")</f>
        <v/>
      </c>
      <c r="CP732" s="138" t="str">
        <f>IF($I732&lt;&gt;"",INDEX('Device Refrigerant Leakage'!$E$2:$E$42,MATCH($M732,'Device Refrigerant Leakage'!$B$2:$B$42,0)),"")</f>
        <v/>
      </c>
      <c r="CQ732" s="138" t="str">
        <f>IF($I732&lt;&gt;"",INDEX('Device Refrigerant Leakage'!$F$2:$F$42,MATCH($M732,'Device Refrigerant Leakage'!$B$2:$B$42,0)),"")</f>
        <v/>
      </c>
      <c r="CR732" s="145" t="str">
        <f>IF($I732&lt;&gt;"",INDEX('Device Refrigerant Leakage'!$G$2:$G$42,MATCH($M732,'Device Refrigerant Leakage'!$B$2:$B$42,0)),"")</f>
        <v/>
      </c>
      <c r="CS732" s="145" t="str">
        <f>IF($I732&lt;&gt;"",INDEX('Device Refrigerant Leakage'!$D$2:$D$42,MATCH($M732,'Device Refrigerant Leakage'!$B$2:$B$42,0))*CP732/2204.62*CO732,"")</f>
        <v/>
      </c>
      <c r="CT732" s="145" t="str">
        <f>IF($I732&lt;&gt;"",J732*(INDEX('Device Refrigerant Leakage'!$D$2:$D$42,MATCH($M732,'Device Refrigerant Leakage'!$B$2:$B$42,0))-(INDEX('Device Refrigerant Leakage'!$D$2:$D$42,MATCH($M732,'Device Refrigerant Leakage'!$B$2:$B$42,0)))*CR732*CP732)*CQ732/2204.62*CO732,"")</f>
        <v/>
      </c>
      <c r="CU732" s="135" t="str">
        <f>IF($I732&lt;&gt;"",J732*IF(W732&lt;&gt;"AR",(CS732*K732)+CT732,(CS732*AB732)+CT732*(AB732/INDEX('Device Refrigerant Leakage'!$C$2:$C$42,MATCH($M732,'Device Refrigerant Leakage'!$B$2:$B$42,0)))),"")</f>
        <v/>
      </c>
      <c r="CW732" s="135" t="str">
        <f>IF($I732&lt;&gt;"",IF(S732="User Specified",V732,INDEX('Refrigerant GWPs'!$G$2:$G$156,MATCH(S732,'Refrigerant GWPs'!$A$2:$A$157,0))),"")</f>
        <v/>
      </c>
      <c r="CX732" s="138" t="str">
        <f>IF($I732&lt;&gt;"",INDEX('Device Refrigerant Leakage'!$E$2:$E$42,MATCH($Q732,'Device Refrigerant Leakage'!$B$2:$B$42,0)),"")</f>
        <v/>
      </c>
      <c r="CY732" s="138" t="str">
        <f>IF($I732&lt;&gt;"",INDEX('Device Refrigerant Leakage'!$F$2:$F$42,MATCH($Q732,'Device Refrigerant Leakage'!$B$2:$B$42,0)),"")</f>
        <v/>
      </c>
      <c r="CZ732" s="145" t="str">
        <f>IF($I732&lt;&gt;"",INDEX('Device Refrigerant Leakage'!$G$2:$G$42,MATCH($Q732,'Device Refrigerant Leakage'!$B$2:$B$42,0)),"")</f>
        <v/>
      </c>
      <c r="DA732" s="145" t="str">
        <f>IF($I732&lt;&gt;"",J732*INDEX('Device Refrigerant Leakage'!$D$2:$D$42,MATCH($Q732,'Device Refrigerant Leakage'!$B$2:$B$42,0))*CX732/2204.62*CW732,"")</f>
        <v/>
      </c>
      <c r="DB732" s="145" t="str">
        <f>IF($I732&lt;&gt;"",J732*(INDEX('Device Refrigerant Leakage'!$D$2:$D$42,MATCH($Q732,'Device Refrigerant Leakage'!$B$2:$B$42,0))-(INDEX('Device Refrigerant Leakage'!$D$2:$D$42,MATCH($Q732,'Device Refrigerant Leakage'!$B$2:$B$42,0)))*CZ732*CX732)*CY732/2204.62*CW732,"")</f>
        <v/>
      </c>
      <c r="DC732" s="135" t="str">
        <f t="shared" si="892"/>
        <v/>
      </c>
      <c r="DE732" s="146" t="str">
        <f>IF(W732&lt;&gt;"AR","",IF(Y732="User Specified", AA732, INDEX('Refrigerant GWPs'!$G$2:$G$154,MATCH(Y732,'Refrigerant GWPs'!$A$2:$A$154,0))))</f>
        <v/>
      </c>
      <c r="DF732" s="146" t="str">
        <f>IF(W732&lt;&gt;"AR","",INDEX('Device Refrigerant Leakage'!$E$2:$E$42,MATCH(X732,'Device Refrigerant Leakage'!$B$2:$B$42,0)))</f>
        <v/>
      </c>
      <c r="DG732" s="146" t="str">
        <f>IF(W732&lt;&gt;"AR","",INDEX('Device Refrigerant Leakage'!$F$2:$F$42,MATCH(X732,'Device Refrigerant Leakage'!$B$2:$B$42,0)))</f>
        <v/>
      </c>
      <c r="DH732" s="146" t="str">
        <f>IF(W732&lt;&gt;"AR","",INDEX('Device Refrigerant Leakage'!$G$2:$G$42,MATCH(X732,'Device Refrigerant Leakage'!$B$2:$B$42,0)))</f>
        <v/>
      </c>
      <c r="DI732" s="146" t="str">
        <f>IF(W732&lt;&gt;"AR","",J732*INDEX('Device Refrigerant Leakage'!$D$2:$D$42,MATCH(X732,'Device Refrigerant Leakage'!$B$2:$B$42,0))*DF732/2204.62*DE732)</f>
        <v/>
      </c>
      <c r="DJ732" s="146" t="str">
        <f>IF(W732&lt;&gt;"AR","",J732*(INDEX('Device Refrigerant Leakage'!$D$2:$D$42,MATCH(X732,'Device Refrigerant Leakage'!$B$2:$B$42,0))-(INDEX('Device Refrigerant Leakage'!$D$2:$D$42,MATCH(X732,'Device Refrigerant Leakage'!$B$2:$B$42,0)))*DH732*DF732)*DG732/2204.62*DE732)</f>
        <v/>
      </c>
      <c r="DK732" s="146" t="str">
        <f>IF(W732&lt;&gt;"AR","",DI732*(K732-AB732)+'Fuel Sub Calcs-Deemed'!DJ732*((K732-AB732)/INDEX('Device Refrigerant Leakage'!$C$2:$C$42,MATCH('Fuel Sub Calcs-Deemed'!X732,'Device Refrigerant Leakage'!$B$2:$B$42,0))))</f>
        <v/>
      </c>
      <c r="DM732" s="56">
        <v>718</v>
      </c>
      <c r="DN732" s="67" t="e">
        <f t="shared" si="874"/>
        <v>#N/A</v>
      </c>
      <c r="DO732" s="45" t="e">
        <f t="shared" si="875"/>
        <v>#N/A</v>
      </c>
      <c r="DP732" s="67" t="e">
        <f t="shared" si="876"/>
        <v>#N/A</v>
      </c>
      <c r="DQ732" s="45" t="e">
        <f t="shared" si="877"/>
        <v>#N/A</v>
      </c>
      <c r="DR732" s="69" t="e">
        <f t="shared" si="878"/>
        <v>#N/A</v>
      </c>
      <c r="DS732" s="34"/>
      <c r="DT732" s="67" t="e">
        <f>((BX732*CJ732)+IF($W732=MAT_AR,(BZ732*CL732),0))*(1+Reference!$E$50+Reference!$E$51)</f>
        <v>#N/A</v>
      </c>
      <c r="DU732" s="67">
        <f>((BY732*CK732)+IF($W732=MAT_AR,(CA732*CM732),0))*(1+Reference!$G$50+Reference!$G$51)</f>
        <v>0</v>
      </c>
      <c r="DV732" s="67" t="e">
        <f t="shared" si="879"/>
        <v>#VALUE!</v>
      </c>
      <c r="DX732" s="56">
        <v>718</v>
      </c>
      <c r="DY732" s="67">
        <f t="shared" si="880"/>
        <v>0</v>
      </c>
      <c r="DZ732" s="45" t="e">
        <f>VLOOKUP($R732,Dropdown!$C$3:$D$4,2,FALSE)</f>
        <v>#N/A</v>
      </c>
      <c r="EA732" s="68">
        <f t="shared" si="881"/>
        <v>0</v>
      </c>
      <c r="EB732" s="68" t="str">
        <f t="shared" si="882"/>
        <v>N/A</v>
      </c>
      <c r="EC732" s="68">
        <f t="shared" si="883"/>
        <v>0</v>
      </c>
      <c r="ED732" s="68" t="str">
        <f t="shared" si="921"/>
        <v>N/A</v>
      </c>
      <c r="EF732" s="56">
        <v>718</v>
      </c>
      <c r="EG732" s="46">
        <f t="shared" si="884"/>
        <v>0</v>
      </c>
      <c r="EH732" s="68" t="e">
        <f t="shared" si="885"/>
        <v>#N/A</v>
      </c>
      <c r="EI732" s="68" t="e">
        <f t="shared" si="886"/>
        <v>#N/A</v>
      </c>
      <c r="EJ732" s="68" t="e">
        <f t="shared" si="887"/>
        <v>#N/A</v>
      </c>
      <c r="EK732" s="68" t="e">
        <f t="shared" si="888"/>
        <v>#N/A</v>
      </c>
      <c r="EL732" s="46">
        <f t="shared" si="889"/>
        <v>0</v>
      </c>
      <c r="EM732" s="46">
        <f t="shared" si="890"/>
        <v>0</v>
      </c>
    </row>
    <row r="733" spans="1:143">
      <c r="A733" s="89"/>
      <c r="B733" s="89"/>
      <c r="C733" s="89"/>
      <c r="D733" s="89"/>
      <c r="E733" s="89"/>
      <c r="F733" s="89"/>
      <c r="G733" s="34"/>
      <c r="H733" s="56">
        <f t="shared" si="891"/>
        <v>719</v>
      </c>
      <c r="I733" s="165"/>
      <c r="J733" s="163"/>
      <c r="K733" s="163"/>
      <c r="L733" s="164"/>
      <c r="M733" s="155"/>
      <c r="N733" s="155"/>
      <c r="O733" s="144"/>
      <c r="P733" s="159" t="str">
        <f>IFERROR(IF(O733&lt;&gt;"User Specified",IF(O733&lt;&gt;"", INDEX('Refrigerant GWPs'!$G$2:$G$154,MATCH(O733,'Refrigerant GWPs'!$A$2:$A$154,0)),""),U733),0)</f>
        <v/>
      </c>
      <c r="Q733" s="155"/>
      <c r="R733" s="155"/>
      <c r="S733" s="144"/>
      <c r="T733" s="159" t="str">
        <f>IF(S733&lt;&gt;"User Specified",IF(AND(S733&lt;&gt;"User Specified",S733&lt;&gt;""), INDEX('Refrigerant GWPs'!$G$2:$G$154,MATCH(S733,'Refrigerant GWPs'!$A$2:$A$154,0)),""),V733)</f>
        <v/>
      </c>
      <c r="U733" s="144"/>
      <c r="V733" s="144"/>
      <c r="W733" s="155"/>
      <c r="X733" s="155"/>
      <c r="Y733" s="144"/>
      <c r="Z733" s="159" t="str">
        <f>IF(AND(Y733&lt;&gt;"User Specified",Y733&lt;&gt;""), INDEX('Refrigerant GWPs'!$G$2:$G$154,MATCH(Y733,'Refrigerant GWPs'!$A$2:$A$154,0)),"")</f>
        <v/>
      </c>
      <c r="AA733" s="155"/>
      <c r="AB733" s="156"/>
      <c r="AC733" s="66"/>
      <c r="AD733" s="66"/>
      <c r="AE733" s="66"/>
      <c r="AF733" s="66"/>
      <c r="AG733" s="66"/>
      <c r="AH733" s="66"/>
      <c r="AI733" s="34"/>
      <c r="AJ733" s="88">
        <f t="shared" si="854"/>
        <v>0</v>
      </c>
      <c r="AK733" s="88">
        <f t="shared" si="855"/>
        <v>0</v>
      </c>
      <c r="AL733" s="88">
        <v>0</v>
      </c>
      <c r="AM733" s="88">
        <v>0</v>
      </c>
      <c r="AN733" s="81" t="str">
        <f t="shared" si="893"/>
        <v/>
      </c>
      <c r="AO733" s="88">
        <f t="shared" si="856"/>
        <v>0</v>
      </c>
      <c r="AP733" s="88">
        <f t="shared" si="857"/>
        <v>0</v>
      </c>
      <c r="AQ733" s="81" t="str">
        <f t="shared" si="858"/>
        <v/>
      </c>
      <c r="AS733" s="41" t="b">
        <f t="shared" si="859"/>
        <v>1</v>
      </c>
      <c r="AT733" s="38">
        <f t="shared" si="860"/>
        <v>0</v>
      </c>
      <c r="AU733" s="60">
        <f t="shared" si="861"/>
        <v>0</v>
      </c>
      <c r="AV733" s="41">
        <f t="shared" si="862"/>
        <v>0</v>
      </c>
      <c r="AW733" s="41" t="b">
        <f t="shared" si="863"/>
        <v>0</v>
      </c>
      <c r="AX733" t="str">
        <f t="shared" si="864"/>
        <v>+00</v>
      </c>
      <c r="AY733" t="str">
        <f t="shared" si="865"/>
        <v>+00</v>
      </c>
      <c r="BA733" s="47" t="b">
        <f t="shared" si="894"/>
        <v>1</v>
      </c>
      <c r="BB733" s="42" t="b">
        <f t="shared" si="895"/>
        <v>1</v>
      </c>
      <c r="BC733" s="42" t="b">
        <f t="shared" si="896"/>
        <v>0</v>
      </c>
      <c r="BD733" s="42" t="b">
        <f t="shared" si="897"/>
        <v>0</v>
      </c>
      <c r="BE733" s="70">
        <f t="shared" si="898"/>
        <v>0</v>
      </c>
      <c r="BF733" s="70">
        <f t="shared" si="899"/>
        <v>0</v>
      </c>
      <c r="BG733" s="34"/>
      <c r="BI733" s="47" t="b">
        <f t="shared" si="900"/>
        <v>1</v>
      </c>
      <c r="BJ733" s="47" t="b">
        <f t="shared" si="901"/>
        <v>1</v>
      </c>
      <c r="BK733" s="42" t="b">
        <f t="shared" si="902"/>
        <v>0</v>
      </c>
      <c r="BL733" s="42" t="b">
        <f t="shared" si="903"/>
        <v>0</v>
      </c>
      <c r="BM733" s="42">
        <f t="shared" si="904"/>
        <v>0</v>
      </c>
      <c r="BN733" s="42">
        <f t="shared" si="905"/>
        <v>0</v>
      </c>
      <c r="BP733" t="e">
        <f t="shared" si="906"/>
        <v>#N/A</v>
      </c>
      <c r="BQ733" t="e">
        <f t="shared" si="907"/>
        <v>#N/A</v>
      </c>
      <c r="BR733" t="e">
        <f t="shared" si="908"/>
        <v>#N/A</v>
      </c>
      <c r="BT733" s="60">
        <f t="shared" si="909"/>
        <v>0</v>
      </c>
      <c r="BU733" s="60">
        <f t="shared" si="910"/>
        <v>0</v>
      </c>
      <c r="BV733" s="60">
        <f t="shared" si="911"/>
        <v>0</v>
      </c>
      <c r="BW733" s="60">
        <f t="shared" si="912"/>
        <v>0</v>
      </c>
      <c r="BX733" s="60">
        <f t="shared" si="913"/>
        <v>0</v>
      </c>
      <c r="BY733" s="60">
        <f t="shared" si="914"/>
        <v>0</v>
      </c>
      <c r="BZ733" s="60">
        <f t="shared" si="915"/>
        <v>0</v>
      </c>
      <c r="CA733" s="60">
        <f t="shared" si="916"/>
        <v>0</v>
      </c>
      <c r="CB733" s="60" t="e">
        <f t="shared" si="866"/>
        <v>#N/A</v>
      </c>
      <c r="CC733" s="60">
        <f t="shared" si="867"/>
        <v>100000</v>
      </c>
      <c r="CD733" s="60" t="e">
        <f t="shared" si="868"/>
        <v>#N/A</v>
      </c>
      <c r="CE733" s="60">
        <f t="shared" si="869"/>
        <v>100000</v>
      </c>
      <c r="CF733" s="83" t="e">
        <f t="shared" si="917"/>
        <v>#N/A</v>
      </c>
      <c r="CG733" s="83">
        <f t="shared" si="918"/>
        <v>0</v>
      </c>
      <c r="CH733" s="83" t="e">
        <f t="shared" si="919"/>
        <v>#N/A</v>
      </c>
      <c r="CI733" s="83">
        <f t="shared" si="920"/>
        <v>0</v>
      </c>
      <c r="CJ733" s="86" t="e">
        <f t="shared" si="870"/>
        <v>#N/A</v>
      </c>
      <c r="CK733" s="82">
        <f t="shared" si="871"/>
        <v>5.3070370403969858E-3</v>
      </c>
      <c r="CL733" s="82" t="e">
        <f t="shared" si="872"/>
        <v>#N/A</v>
      </c>
      <c r="CM733" s="82">
        <f t="shared" si="873"/>
        <v>5.3070370403969858E-3</v>
      </c>
      <c r="CO733" s="149" t="str">
        <f>IF($I733&lt;&gt;"",IF(O733="User Specified",U733,INDEX('Refrigerant GWPs'!$G$2:$G$156,MATCH(O733,'Refrigerant GWPs'!$A$2:$A$156,0))),"")</f>
        <v/>
      </c>
      <c r="CP733" s="138" t="str">
        <f>IF($I733&lt;&gt;"",INDEX('Device Refrigerant Leakage'!$E$2:$E$42,MATCH($M733,'Device Refrigerant Leakage'!$B$2:$B$42,0)),"")</f>
        <v/>
      </c>
      <c r="CQ733" s="138" t="str">
        <f>IF($I733&lt;&gt;"",INDEX('Device Refrigerant Leakage'!$F$2:$F$42,MATCH($M733,'Device Refrigerant Leakage'!$B$2:$B$42,0)),"")</f>
        <v/>
      </c>
      <c r="CR733" s="145" t="str">
        <f>IF($I733&lt;&gt;"",INDEX('Device Refrigerant Leakage'!$G$2:$G$42,MATCH($M733,'Device Refrigerant Leakage'!$B$2:$B$42,0)),"")</f>
        <v/>
      </c>
      <c r="CS733" s="145" t="str">
        <f>IF($I733&lt;&gt;"",INDEX('Device Refrigerant Leakage'!$D$2:$D$42,MATCH($M733,'Device Refrigerant Leakage'!$B$2:$B$42,0))*CP733/2204.62*CO733,"")</f>
        <v/>
      </c>
      <c r="CT733" s="145" t="str">
        <f>IF($I733&lt;&gt;"",J733*(INDEX('Device Refrigerant Leakage'!$D$2:$D$42,MATCH($M733,'Device Refrigerant Leakage'!$B$2:$B$42,0))-(INDEX('Device Refrigerant Leakage'!$D$2:$D$42,MATCH($M733,'Device Refrigerant Leakage'!$B$2:$B$42,0)))*CR733*CP733)*CQ733/2204.62*CO733,"")</f>
        <v/>
      </c>
      <c r="CU733" s="135" t="str">
        <f>IF($I733&lt;&gt;"",J733*IF(W733&lt;&gt;"AR",(CS733*K733)+CT733,(CS733*AB733)+CT733*(AB733/INDEX('Device Refrigerant Leakage'!$C$2:$C$42,MATCH($M733,'Device Refrigerant Leakage'!$B$2:$B$42,0)))),"")</f>
        <v/>
      </c>
      <c r="CW733" s="135" t="str">
        <f>IF($I733&lt;&gt;"",IF(S733="User Specified",V733,INDEX('Refrigerant GWPs'!$G$2:$G$156,MATCH(S733,'Refrigerant GWPs'!$A$2:$A$157,0))),"")</f>
        <v/>
      </c>
      <c r="CX733" s="138" t="str">
        <f>IF($I733&lt;&gt;"",INDEX('Device Refrigerant Leakage'!$E$2:$E$42,MATCH($Q733,'Device Refrigerant Leakage'!$B$2:$B$42,0)),"")</f>
        <v/>
      </c>
      <c r="CY733" s="138" t="str">
        <f>IF($I733&lt;&gt;"",INDEX('Device Refrigerant Leakage'!$F$2:$F$42,MATCH($Q733,'Device Refrigerant Leakage'!$B$2:$B$42,0)),"")</f>
        <v/>
      </c>
      <c r="CZ733" s="145" t="str">
        <f>IF($I733&lt;&gt;"",INDEX('Device Refrigerant Leakage'!$G$2:$G$42,MATCH($Q733,'Device Refrigerant Leakage'!$B$2:$B$42,0)),"")</f>
        <v/>
      </c>
      <c r="DA733" s="145" t="str">
        <f>IF($I733&lt;&gt;"",J733*INDEX('Device Refrigerant Leakage'!$D$2:$D$42,MATCH($Q733,'Device Refrigerant Leakage'!$B$2:$B$42,0))*CX733/2204.62*CW733,"")</f>
        <v/>
      </c>
      <c r="DB733" s="145" t="str">
        <f>IF($I733&lt;&gt;"",J733*(INDEX('Device Refrigerant Leakage'!$D$2:$D$42,MATCH($Q733,'Device Refrigerant Leakage'!$B$2:$B$42,0))-(INDEX('Device Refrigerant Leakage'!$D$2:$D$42,MATCH($Q733,'Device Refrigerant Leakage'!$B$2:$B$42,0)))*CZ733*CX733)*CY733/2204.62*CW733,"")</f>
        <v/>
      </c>
      <c r="DC733" s="135" t="str">
        <f t="shared" si="892"/>
        <v/>
      </c>
      <c r="DE733" s="146" t="str">
        <f>IF(W733&lt;&gt;"AR","",IF(Y733="User Specified", AA733, INDEX('Refrigerant GWPs'!$G$2:$G$154,MATCH(Y733,'Refrigerant GWPs'!$A$2:$A$154,0))))</f>
        <v/>
      </c>
      <c r="DF733" s="146" t="str">
        <f>IF(W733&lt;&gt;"AR","",INDEX('Device Refrigerant Leakage'!$E$2:$E$42,MATCH(X733,'Device Refrigerant Leakage'!$B$2:$B$42,0)))</f>
        <v/>
      </c>
      <c r="DG733" s="146" t="str">
        <f>IF(W733&lt;&gt;"AR","",INDEX('Device Refrigerant Leakage'!$F$2:$F$42,MATCH(X733,'Device Refrigerant Leakage'!$B$2:$B$42,0)))</f>
        <v/>
      </c>
      <c r="DH733" s="146" t="str">
        <f>IF(W733&lt;&gt;"AR","",INDEX('Device Refrigerant Leakage'!$G$2:$G$42,MATCH(X733,'Device Refrigerant Leakage'!$B$2:$B$42,0)))</f>
        <v/>
      </c>
      <c r="DI733" s="146" t="str">
        <f>IF(W733&lt;&gt;"AR","",J733*INDEX('Device Refrigerant Leakage'!$D$2:$D$42,MATCH(X733,'Device Refrigerant Leakage'!$B$2:$B$42,0))*DF733/2204.62*DE733)</f>
        <v/>
      </c>
      <c r="DJ733" s="146" t="str">
        <f>IF(W733&lt;&gt;"AR","",J733*(INDEX('Device Refrigerant Leakage'!$D$2:$D$42,MATCH(X733,'Device Refrigerant Leakage'!$B$2:$B$42,0))-(INDEX('Device Refrigerant Leakage'!$D$2:$D$42,MATCH(X733,'Device Refrigerant Leakage'!$B$2:$B$42,0)))*DH733*DF733)*DG733/2204.62*DE733)</f>
        <v/>
      </c>
      <c r="DK733" s="146" t="str">
        <f>IF(W733&lt;&gt;"AR","",DI733*(K733-AB733)+'Fuel Sub Calcs-Deemed'!DJ733*((K733-AB733)/INDEX('Device Refrigerant Leakage'!$C$2:$C$42,MATCH('Fuel Sub Calcs-Deemed'!X733,'Device Refrigerant Leakage'!$B$2:$B$42,0))))</f>
        <v/>
      </c>
      <c r="DM733" s="56">
        <v>719</v>
      </c>
      <c r="DN733" s="67" t="e">
        <f t="shared" si="874"/>
        <v>#N/A</v>
      </c>
      <c r="DO733" s="45" t="e">
        <f t="shared" si="875"/>
        <v>#N/A</v>
      </c>
      <c r="DP733" s="67" t="e">
        <f t="shared" si="876"/>
        <v>#N/A</v>
      </c>
      <c r="DQ733" s="45" t="e">
        <f t="shared" si="877"/>
        <v>#N/A</v>
      </c>
      <c r="DR733" s="69" t="e">
        <f t="shared" si="878"/>
        <v>#N/A</v>
      </c>
      <c r="DS733" s="34"/>
      <c r="DT733" s="67" t="e">
        <f>((BX733*CJ733)+IF($W733=MAT_AR,(BZ733*CL733),0))*(1+Reference!$E$50+Reference!$E$51)</f>
        <v>#N/A</v>
      </c>
      <c r="DU733" s="67">
        <f>((BY733*CK733)+IF($W733=MAT_AR,(CA733*CM733),0))*(1+Reference!$G$50+Reference!$G$51)</f>
        <v>0</v>
      </c>
      <c r="DV733" s="67" t="e">
        <f t="shared" si="879"/>
        <v>#VALUE!</v>
      </c>
      <c r="DX733" s="56">
        <v>719</v>
      </c>
      <c r="DY733" s="67">
        <f t="shared" si="880"/>
        <v>0</v>
      </c>
      <c r="DZ733" s="45" t="e">
        <f>VLOOKUP($R733,Dropdown!$C$3:$D$4,2,FALSE)</f>
        <v>#N/A</v>
      </c>
      <c r="EA733" s="68">
        <f t="shared" si="881"/>
        <v>0</v>
      </c>
      <c r="EB733" s="68" t="str">
        <f t="shared" si="882"/>
        <v>N/A</v>
      </c>
      <c r="EC733" s="68">
        <f t="shared" si="883"/>
        <v>0</v>
      </c>
      <c r="ED733" s="68" t="str">
        <f t="shared" si="921"/>
        <v>N/A</v>
      </c>
      <c r="EF733" s="56">
        <v>719</v>
      </c>
      <c r="EG733" s="46">
        <f t="shared" si="884"/>
        <v>0</v>
      </c>
      <c r="EH733" s="68" t="e">
        <f t="shared" si="885"/>
        <v>#N/A</v>
      </c>
      <c r="EI733" s="68" t="e">
        <f t="shared" si="886"/>
        <v>#N/A</v>
      </c>
      <c r="EJ733" s="68" t="e">
        <f t="shared" si="887"/>
        <v>#N/A</v>
      </c>
      <c r="EK733" s="68" t="e">
        <f t="shared" si="888"/>
        <v>#N/A</v>
      </c>
      <c r="EL733" s="46">
        <f t="shared" si="889"/>
        <v>0</v>
      </c>
      <c r="EM733" s="46">
        <f t="shared" si="890"/>
        <v>0</v>
      </c>
    </row>
    <row r="734" spans="1:143">
      <c r="A734" s="89"/>
      <c r="B734" s="89"/>
      <c r="C734" s="89"/>
      <c r="D734" s="89"/>
      <c r="E734" s="89"/>
      <c r="F734" s="89"/>
      <c r="G734" s="34"/>
      <c r="H734" s="56">
        <f t="shared" si="891"/>
        <v>720</v>
      </c>
      <c r="I734" s="165"/>
      <c r="J734" s="163"/>
      <c r="K734" s="163"/>
      <c r="L734" s="164"/>
      <c r="M734" s="155"/>
      <c r="N734" s="155"/>
      <c r="O734" s="144"/>
      <c r="P734" s="159" t="str">
        <f>IFERROR(IF(O734&lt;&gt;"User Specified",IF(O734&lt;&gt;"", INDEX('Refrigerant GWPs'!$G$2:$G$154,MATCH(O734,'Refrigerant GWPs'!$A$2:$A$154,0)),""),U734),0)</f>
        <v/>
      </c>
      <c r="Q734" s="155"/>
      <c r="R734" s="155"/>
      <c r="S734" s="144"/>
      <c r="T734" s="159" t="str">
        <f>IF(S734&lt;&gt;"User Specified",IF(AND(S734&lt;&gt;"User Specified",S734&lt;&gt;""), INDEX('Refrigerant GWPs'!$G$2:$G$154,MATCH(S734,'Refrigerant GWPs'!$A$2:$A$154,0)),""),V734)</f>
        <v/>
      </c>
      <c r="U734" s="144"/>
      <c r="V734" s="144"/>
      <c r="W734" s="155"/>
      <c r="X734" s="155"/>
      <c r="Y734" s="144"/>
      <c r="Z734" s="159" t="str">
        <f>IF(AND(Y734&lt;&gt;"User Specified",Y734&lt;&gt;""), INDEX('Refrigerant GWPs'!$G$2:$G$154,MATCH(Y734,'Refrigerant GWPs'!$A$2:$A$154,0)),"")</f>
        <v/>
      </c>
      <c r="AA734" s="155"/>
      <c r="AB734" s="156"/>
      <c r="AC734" s="66"/>
      <c r="AD734" s="66"/>
      <c r="AE734" s="66"/>
      <c r="AF734" s="66"/>
      <c r="AG734" s="66"/>
      <c r="AH734" s="66"/>
      <c r="AI734" s="34"/>
      <c r="AJ734" s="88">
        <f t="shared" si="854"/>
        <v>0</v>
      </c>
      <c r="AK734" s="88">
        <f t="shared" si="855"/>
        <v>0</v>
      </c>
      <c r="AL734" s="88">
        <v>0</v>
      </c>
      <c r="AM734" s="88">
        <v>0</v>
      </c>
      <c r="AN734" s="81" t="str">
        <f t="shared" si="893"/>
        <v/>
      </c>
      <c r="AO734" s="88">
        <f t="shared" si="856"/>
        <v>0</v>
      </c>
      <c r="AP734" s="88">
        <f t="shared" si="857"/>
        <v>0</v>
      </c>
      <c r="AQ734" s="81" t="str">
        <f t="shared" si="858"/>
        <v/>
      </c>
      <c r="AS734" s="41" t="b">
        <f t="shared" si="859"/>
        <v>1</v>
      </c>
      <c r="AT734" s="38">
        <f t="shared" si="860"/>
        <v>0</v>
      </c>
      <c r="AU734" s="60">
        <f t="shared" si="861"/>
        <v>0</v>
      </c>
      <c r="AV734" s="41">
        <f t="shared" si="862"/>
        <v>0</v>
      </c>
      <c r="AW734" s="41" t="b">
        <f t="shared" si="863"/>
        <v>0</v>
      </c>
      <c r="AX734" t="str">
        <f t="shared" si="864"/>
        <v>+00</v>
      </c>
      <c r="AY734" t="str">
        <f t="shared" si="865"/>
        <v>+00</v>
      </c>
      <c r="BA734" s="47" t="b">
        <f t="shared" si="894"/>
        <v>1</v>
      </c>
      <c r="BB734" s="42" t="b">
        <f t="shared" si="895"/>
        <v>1</v>
      </c>
      <c r="BC734" s="42" t="b">
        <f t="shared" si="896"/>
        <v>0</v>
      </c>
      <c r="BD734" s="42" t="b">
        <f t="shared" si="897"/>
        <v>0</v>
      </c>
      <c r="BE734" s="70">
        <f t="shared" si="898"/>
        <v>0</v>
      </c>
      <c r="BF734" s="70">
        <f t="shared" si="899"/>
        <v>0</v>
      </c>
      <c r="BG734" s="34"/>
      <c r="BI734" s="47" t="b">
        <f t="shared" si="900"/>
        <v>1</v>
      </c>
      <c r="BJ734" s="47" t="b">
        <f t="shared" si="901"/>
        <v>1</v>
      </c>
      <c r="BK734" s="42" t="b">
        <f t="shared" si="902"/>
        <v>0</v>
      </c>
      <c r="BL734" s="42" t="b">
        <f t="shared" si="903"/>
        <v>0</v>
      </c>
      <c r="BM734" s="42">
        <f t="shared" si="904"/>
        <v>0</v>
      </c>
      <c r="BN734" s="42">
        <f t="shared" si="905"/>
        <v>0</v>
      </c>
      <c r="BP734" t="e">
        <f t="shared" si="906"/>
        <v>#N/A</v>
      </c>
      <c r="BQ734" t="e">
        <f t="shared" si="907"/>
        <v>#N/A</v>
      </c>
      <c r="BR734" t="e">
        <f t="shared" si="908"/>
        <v>#N/A</v>
      </c>
      <c r="BT734" s="60">
        <f t="shared" si="909"/>
        <v>0</v>
      </c>
      <c r="BU734" s="60">
        <f t="shared" si="910"/>
        <v>0</v>
      </c>
      <c r="BV734" s="60">
        <f t="shared" si="911"/>
        <v>0</v>
      </c>
      <c r="BW734" s="60">
        <f t="shared" si="912"/>
        <v>0</v>
      </c>
      <c r="BX734" s="60">
        <f t="shared" si="913"/>
        <v>0</v>
      </c>
      <c r="BY734" s="60">
        <f t="shared" si="914"/>
        <v>0</v>
      </c>
      <c r="BZ734" s="60">
        <f t="shared" si="915"/>
        <v>0</v>
      </c>
      <c r="CA734" s="60">
        <f t="shared" si="916"/>
        <v>0</v>
      </c>
      <c r="CB734" s="60" t="e">
        <f t="shared" si="866"/>
        <v>#N/A</v>
      </c>
      <c r="CC734" s="60">
        <f t="shared" si="867"/>
        <v>100000</v>
      </c>
      <c r="CD734" s="60" t="e">
        <f t="shared" si="868"/>
        <v>#N/A</v>
      </c>
      <c r="CE734" s="60">
        <f t="shared" si="869"/>
        <v>100000</v>
      </c>
      <c r="CF734" s="83" t="e">
        <f t="shared" si="917"/>
        <v>#N/A</v>
      </c>
      <c r="CG734" s="83">
        <f t="shared" si="918"/>
        <v>0</v>
      </c>
      <c r="CH734" s="83" t="e">
        <f t="shared" si="919"/>
        <v>#N/A</v>
      </c>
      <c r="CI734" s="83">
        <f t="shared" si="920"/>
        <v>0</v>
      </c>
      <c r="CJ734" s="86" t="e">
        <f t="shared" si="870"/>
        <v>#N/A</v>
      </c>
      <c r="CK734" s="82">
        <f t="shared" si="871"/>
        <v>5.3070370403969858E-3</v>
      </c>
      <c r="CL734" s="82" t="e">
        <f t="shared" si="872"/>
        <v>#N/A</v>
      </c>
      <c r="CM734" s="82">
        <f t="shared" si="873"/>
        <v>5.3070370403969858E-3</v>
      </c>
      <c r="CO734" s="149" t="str">
        <f>IF($I734&lt;&gt;"",IF(O734="User Specified",U734,INDEX('Refrigerant GWPs'!$G$2:$G$156,MATCH(O734,'Refrigerant GWPs'!$A$2:$A$156,0))),"")</f>
        <v/>
      </c>
      <c r="CP734" s="138" t="str">
        <f>IF($I734&lt;&gt;"",INDEX('Device Refrigerant Leakage'!$E$2:$E$42,MATCH($M734,'Device Refrigerant Leakage'!$B$2:$B$42,0)),"")</f>
        <v/>
      </c>
      <c r="CQ734" s="138" t="str">
        <f>IF($I734&lt;&gt;"",INDEX('Device Refrigerant Leakage'!$F$2:$F$42,MATCH($M734,'Device Refrigerant Leakage'!$B$2:$B$42,0)),"")</f>
        <v/>
      </c>
      <c r="CR734" s="145" t="str">
        <f>IF($I734&lt;&gt;"",INDEX('Device Refrigerant Leakage'!$G$2:$G$42,MATCH($M734,'Device Refrigerant Leakage'!$B$2:$B$42,0)),"")</f>
        <v/>
      </c>
      <c r="CS734" s="145" t="str">
        <f>IF($I734&lt;&gt;"",INDEX('Device Refrigerant Leakage'!$D$2:$D$42,MATCH($M734,'Device Refrigerant Leakage'!$B$2:$B$42,0))*CP734/2204.62*CO734,"")</f>
        <v/>
      </c>
      <c r="CT734" s="145" t="str">
        <f>IF($I734&lt;&gt;"",J734*(INDEX('Device Refrigerant Leakage'!$D$2:$D$42,MATCH($M734,'Device Refrigerant Leakage'!$B$2:$B$42,0))-(INDEX('Device Refrigerant Leakage'!$D$2:$D$42,MATCH($M734,'Device Refrigerant Leakage'!$B$2:$B$42,0)))*CR734*CP734)*CQ734/2204.62*CO734,"")</f>
        <v/>
      </c>
      <c r="CU734" s="135" t="str">
        <f>IF($I734&lt;&gt;"",J734*IF(W734&lt;&gt;"AR",(CS734*K734)+CT734,(CS734*AB734)+CT734*(AB734/INDEX('Device Refrigerant Leakage'!$C$2:$C$42,MATCH($M734,'Device Refrigerant Leakage'!$B$2:$B$42,0)))),"")</f>
        <v/>
      </c>
      <c r="CW734" s="135" t="str">
        <f>IF($I734&lt;&gt;"",IF(S734="User Specified",V734,INDEX('Refrigerant GWPs'!$G$2:$G$156,MATCH(S734,'Refrigerant GWPs'!$A$2:$A$157,0))),"")</f>
        <v/>
      </c>
      <c r="CX734" s="138" t="str">
        <f>IF($I734&lt;&gt;"",INDEX('Device Refrigerant Leakage'!$E$2:$E$42,MATCH($Q734,'Device Refrigerant Leakage'!$B$2:$B$42,0)),"")</f>
        <v/>
      </c>
      <c r="CY734" s="138" t="str">
        <f>IF($I734&lt;&gt;"",INDEX('Device Refrigerant Leakage'!$F$2:$F$42,MATCH($Q734,'Device Refrigerant Leakage'!$B$2:$B$42,0)),"")</f>
        <v/>
      </c>
      <c r="CZ734" s="145" t="str">
        <f>IF($I734&lt;&gt;"",INDEX('Device Refrigerant Leakage'!$G$2:$G$42,MATCH($Q734,'Device Refrigerant Leakage'!$B$2:$B$42,0)),"")</f>
        <v/>
      </c>
      <c r="DA734" s="145" t="str">
        <f>IF($I734&lt;&gt;"",J734*INDEX('Device Refrigerant Leakage'!$D$2:$D$42,MATCH($Q734,'Device Refrigerant Leakage'!$B$2:$B$42,0))*CX734/2204.62*CW734,"")</f>
        <v/>
      </c>
      <c r="DB734" s="145" t="str">
        <f>IF($I734&lt;&gt;"",J734*(INDEX('Device Refrigerant Leakage'!$D$2:$D$42,MATCH($Q734,'Device Refrigerant Leakage'!$B$2:$B$42,0))-(INDEX('Device Refrigerant Leakage'!$D$2:$D$42,MATCH($Q734,'Device Refrigerant Leakage'!$B$2:$B$42,0)))*CZ734*CX734)*CY734/2204.62*CW734,"")</f>
        <v/>
      </c>
      <c r="DC734" s="135" t="str">
        <f t="shared" si="892"/>
        <v/>
      </c>
      <c r="DE734" s="146" t="str">
        <f>IF(W734&lt;&gt;"AR","",IF(Y734="User Specified", AA734, INDEX('Refrigerant GWPs'!$G$2:$G$154,MATCH(Y734,'Refrigerant GWPs'!$A$2:$A$154,0))))</f>
        <v/>
      </c>
      <c r="DF734" s="146" t="str">
        <f>IF(W734&lt;&gt;"AR","",INDEX('Device Refrigerant Leakage'!$E$2:$E$42,MATCH(X734,'Device Refrigerant Leakage'!$B$2:$B$42,0)))</f>
        <v/>
      </c>
      <c r="DG734" s="146" t="str">
        <f>IF(W734&lt;&gt;"AR","",INDEX('Device Refrigerant Leakage'!$F$2:$F$42,MATCH(X734,'Device Refrigerant Leakage'!$B$2:$B$42,0)))</f>
        <v/>
      </c>
      <c r="DH734" s="146" t="str">
        <f>IF(W734&lt;&gt;"AR","",INDEX('Device Refrigerant Leakage'!$G$2:$G$42,MATCH(X734,'Device Refrigerant Leakage'!$B$2:$B$42,0)))</f>
        <v/>
      </c>
      <c r="DI734" s="146" t="str">
        <f>IF(W734&lt;&gt;"AR","",J734*INDEX('Device Refrigerant Leakage'!$D$2:$D$42,MATCH(X734,'Device Refrigerant Leakage'!$B$2:$B$42,0))*DF734/2204.62*DE734)</f>
        <v/>
      </c>
      <c r="DJ734" s="146" t="str">
        <f>IF(W734&lt;&gt;"AR","",J734*(INDEX('Device Refrigerant Leakage'!$D$2:$D$42,MATCH(X734,'Device Refrigerant Leakage'!$B$2:$B$42,0))-(INDEX('Device Refrigerant Leakage'!$D$2:$D$42,MATCH(X734,'Device Refrigerant Leakage'!$B$2:$B$42,0)))*DH734*DF734)*DG734/2204.62*DE734)</f>
        <v/>
      </c>
      <c r="DK734" s="146" t="str">
        <f>IF(W734&lt;&gt;"AR","",DI734*(K734-AB734)+'Fuel Sub Calcs-Deemed'!DJ734*((K734-AB734)/INDEX('Device Refrigerant Leakage'!$C$2:$C$42,MATCH('Fuel Sub Calcs-Deemed'!X734,'Device Refrigerant Leakage'!$B$2:$B$42,0))))</f>
        <v/>
      </c>
      <c r="DM734" s="56">
        <v>720</v>
      </c>
      <c r="DN734" s="67" t="e">
        <f t="shared" si="874"/>
        <v>#N/A</v>
      </c>
      <c r="DO734" s="45" t="e">
        <f t="shared" si="875"/>
        <v>#N/A</v>
      </c>
      <c r="DP734" s="67" t="e">
        <f t="shared" si="876"/>
        <v>#N/A</v>
      </c>
      <c r="DQ734" s="45" t="e">
        <f t="shared" si="877"/>
        <v>#N/A</v>
      </c>
      <c r="DR734" s="69" t="e">
        <f t="shared" si="878"/>
        <v>#N/A</v>
      </c>
      <c r="DS734" s="34"/>
      <c r="DT734" s="67" t="e">
        <f>((BX734*CJ734)+IF($W734=MAT_AR,(BZ734*CL734),0))*(1+Reference!$E$50+Reference!$E$51)</f>
        <v>#N/A</v>
      </c>
      <c r="DU734" s="67">
        <f>((BY734*CK734)+IF($W734=MAT_AR,(CA734*CM734),0))*(1+Reference!$G$50+Reference!$G$51)</f>
        <v>0</v>
      </c>
      <c r="DV734" s="67" t="e">
        <f t="shared" si="879"/>
        <v>#VALUE!</v>
      </c>
      <c r="DX734" s="56">
        <v>720</v>
      </c>
      <c r="DY734" s="67">
        <f t="shared" si="880"/>
        <v>0</v>
      </c>
      <c r="DZ734" s="45" t="e">
        <f>VLOOKUP($R734,Dropdown!$C$3:$D$4,2,FALSE)</f>
        <v>#N/A</v>
      </c>
      <c r="EA734" s="68">
        <f t="shared" si="881"/>
        <v>0</v>
      </c>
      <c r="EB734" s="68" t="str">
        <f t="shared" si="882"/>
        <v>N/A</v>
      </c>
      <c r="EC734" s="68">
        <f t="shared" si="883"/>
        <v>0</v>
      </c>
      <c r="ED734" s="68" t="str">
        <f t="shared" si="921"/>
        <v>N/A</v>
      </c>
      <c r="EF734" s="56">
        <v>720</v>
      </c>
      <c r="EG734" s="46">
        <f t="shared" si="884"/>
        <v>0</v>
      </c>
      <c r="EH734" s="68" t="e">
        <f t="shared" si="885"/>
        <v>#N/A</v>
      </c>
      <c r="EI734" s="68" t="e">
        <f t="shared" si="886"/>
        <v>#N/A</v>
      </c>
      <c r="EJ734" s="68" t="e">
        <f t="shared" si="887"/>
        <v>#N/A</v>
      </c>
      <c r="EK734" s="68" t="e">
        <f t="shared" si="888"/>
        <v>#N/A</v>
      </c>
      <c r="EL734" s="46">
        <f t="shared" si="889"/>
        <v>0</v>
      </c>
      <c r="EM734" s="46">
        <f t="shared" si="890"/>
        <v>0</v>
      </c>
    </row>
    <row r="735" spans="1:143">
      <c r="A735" s="89"/>
      <c r="B735" s="89"/>
      <c r="C735" s="89"/>
      <c r="D735" s="89"/>
      <c r="E735" s="89"/>
      <c r="F735" s="89"/>
      <c r="G735" s="34"/>
      <c r="H735" s="56">
        <f t="shared" si="891"/>
        <v>721</v>
      </c>
      <c r="I735" s="165"/>
      <c r="J735" s="163"/>
      <c r="K735" s="163"/>
      <c r="L735" s="164"/>
      <c r="M735" s="155"/>
      <c r="N735" s="155"/>
      <c r="O735" s="144"/>
      <c r="P735" s="159" t="str">
        <f>IFERROR(IF(O735&lt;&gt;"User Specified",IF(O735&lt;&gt;"", INDEX('Refrigerant GWPs'!$G$2:$G$154,MATCH(O735,'Refrigerant GWPs'!$A$2:$A$154,0)),""),U735),0)</f>
        <v/>
      </c>
      <c r="Q735" s="155"/>
      <c r="R735" s="155"/>
      <c r="S735" s="144"/>
      <c r="T735" s="159" t="str">
        <f>IF(S735&lt;&gt;"User Specified",IF(AND(S735&lt;&gt;"User Specified",S735&lt;&gt;""), INDEX('Refrigerant GWPs'!$G$2:$G$154,MATCH(S735,'Refrigerant GWPs'!$A$2:$A$154,0)),""),V735)</f>
        <v/>
      </c>
      <c r="U735" s="144"/>
      <c r="V735" s="144"/>
      <c r="W735" s="155"/>
      <c r="X735" s="155"/>
      <c r="Y735" s="144"/>
      <c r="Z735" s="159" t="str">
        <f>IF(AND(Y735&lt;&gt;"User Specified",Y735&lt;&gt;""), INDEX('Refrigerant GWPs'!$G$2:$G$154,MATCH(Y735,'Refrigerant GWPs'!$A$2:$A$154,0)),"")</f>
        <v/>
      </c>
      <c r="AA735" s="155"/>
      <c r="AB735" s="156"/>
      <c r="AC735" s="66"/>
      <c r="AD735" s="66"/>
      <c r="AE735" s="66"/>
      <c r="AF735" s="66"/>
      <c r="AG735" s="66"/>
      <c r="AH735" s="66"/>
      <c r="AI735" s="34"/>
      <c r="AJ735" s="88">
        <f t="shared" si="854"/>
        <v>0</v>
      </c>
      <c r="AK735" s="88">
        <f t="shared" si="855"/>
        <v>0</v>
      </c>
      <c r="AL735" s="88">
        <v>0</v>
      </c>
      <c r="AM735" s="88">
        <v>0</v>
      </c>
      <c r="AN735" s="81" t="str">
        <f t="shared" si="893"/>
        <v/>
      </c>
      <c r="AO735" s="88">
        <f t="shared" si="856"/>
        <v>0</v>
      </c>
      <c r="AP735" s="88">
        <f t="shared" si="857"/>
        <v>0</v>
      </c>
      <c r="AQ735" s="81" t="str">
        <f t="shared" si="858"/>
        <v/>
      </c>
      <c r="AS735" s="41" t="b">
        <f t="shared" si="859"/>
        <v>1</v>
      </c>
      <c r="AT735" s="38">
        <f t="shared" si="860"/>
        <v>0</v>
      </c>
      <c r="AU735" s="60">
        <f t="shared" si="861"/>
        <v>0</v>
      </c>
      <c r="AV735" s="41">
        <f t="shared" si="862"/>
        <v>0</v>
      </c>
      <c r="AW735" s="41" t="b">
        <f t="shared" si="863"/>
        <v>0</v>
      </c>
      <c r="AX735" t="str">
        <f t="shared" si="864"/>
        <v>+00</v>
      </c>
      <c r="AY735" t="str">
        <f t="shared" si="865"/>
        <v>+00</v>
      </c>
      <c r="BA735" s="47" t="b">
        <f t="shared" si="894"/>
        <v>1</v>
      </c>
      <c r="BB735" s="42" t="b">
        <f t="shared" si="895"/>
        <v>1</v>
      </c>
      <c r="BC735" s="42" t="b">
        <f t="shared" si="896"/>
        <v>0</v>
      </c>
      <c r="BD735" s="42" t="b">
        <f t="shared" si="897"/>
        <v>0</v>
      </c>
      <c r="BE735" s="70">
        <f t="shared" si="898"/>
        <v>0</v>
      </c>
      <c r="BF735" s="70">
        <f t="shared" si="899"/>
        <v>0</v>
      </c>
      <c r="BG735" s="34"/>
      <c r="BI735" s="47" t="b">
        <f t="shared" si="900"/>
        <v>1</v>
      </c>
      <c r="BJ735" s="47" t="b">
        <f t="shared" si="901"/>
        <v>1</v>
      </c>
      <c r="BK735" s="42" t="b">
        <f t="shared" si="902"/>
        <v>0</v>
      </c>
      <c r="BL735" s="42" t="b">
        <f t="shared" si="903"/>
        <v>0</v>
      </c>
      <c r="BM735" s="42">
        <f t="shared" si="904"/>
        <v>0</v>
      </c>
      <c r="BN735" s="42">
        <f t="shared" si="905"/>
        <v>0</v>
      </c>
      <c r="BP735" t="e">
        <f t="shared" si="906"/>
        <v>#N/A</v>
      </c>
      <c r="BQ735" t="e">
        <f t="shared" si="907"/>
        <v>#N/A</v>
      </c>
      <c r="BR735" t="e">
        <f t="shared" si="908"/>
        <v>#N/A</v>
      </c>
      <c r="BT735" s="60">
        <f t="shared" si="909"/>
        <v>0</v>
      </c>
      <c r="BU735" s="60">
        <f t="shared" si="910"/>
        <v>0</v>
      </c>
      <c r="BV735" s="60">
        <f t="shared" si="911"/>
        <v>0</v>
      </c>
      <c r="BW735" s="60">
        <f t="shared" si="912"/>
        <v>0</v>
      </c>
      <c r="BX735" s="60">
        <f t="shared" si="913"/>
        <v>0</v>
      </c>
      <c r="BY735" s="60">
        <f t="shared" si="914"/>
        <v>0</v>
      </c>
      <c r="BZ735" s="60">
        <f t="shared" si="915"/>
        <v>0</v>
      </c>
      <c r="CA735" s="60">
        <f t="shared" si="916"/>
        <v>0</v>
      </c>
      <c r="CB735" s="60" t="e">
        <f t="shared" si="866"/>
        <v>#N/A</v>
      </c>
      <c r="CC735" s="60">
        <f t="shared" si="867"/>
        <v>100000</v>
      </c>
      <c r="CD735" s="60" t="e">
        <f t="shared" si="868"/>
        <v>#N/A</v>
      </c>
      <c r="CE735" s="60">
        <f t="shared" si="869"/>
        <v>100000</v>
      </c>
      <c r="CF735" s="83" t="e">
        <f t="shared" si="917"/>
        <v>#N/A</v>
      </c>
      <c r="CG735" s="83">
        <f t="shared" si="918"/>
        <v>0</v>
      </c>
      <c r="CH735" s="83" t="e">
        <f t="shared" si="919"/>
        <v>#N/A</v>
      </c>
      <c r="CI735" s="83">
        <f t="shared" si="920"/>
        <v>0</v>
      </c>
      <c r="CJ735" s="86" t="e">
        <f t="shared" si="870"/>
        <v>#N/A</v>
      </c>
      <c r="CK735" s="82">
        <f t="shared" si="871"/>
        <v>5.3070370403969858E-3</v>
      </c>
      <c r="CL735" s="82" t="e">
        <f t="shared" si="872"/>
        <v>#N/A</v>
      </c>
      <c r="CM735" s="82">
        <f t="shared" si="873"/>
        <v>5.3070370403969858E-3</v>
      </c>
      <c r="CO735" s="149" t="str">
        <f>IF($I735&lt;&gt;"",IF(O735="User Specified",U735,INDEX('Refrigerant GWPs'!$G$2:$G$156,MATCH(O735,'Refrigerant GWPs'!$A$2:$A$156,0))),"")</f>
        <v/>
      </c>
      <c r="CP735" s="138" t="str">
        <f>IF($I735&lt;&gt;"",INDEX('Device Refrigerant Leakage'!$E$2:$E$42,MATCH($M735,'Device Refrigerant Leakage'!$B$2:$B$42,0)),"")</f>
        <v/>
      </c>
      <c r="CQ735" s="138" t="str">
        <f>IF($I735&lt;&gt;"",INDEX('Device Refrigerant Leakage'!$F$2:$F$42,MATCH($M735,'Device Refrigerant Leakage'!$B$2:$B$42,0)),"")</f>
        <v/>
      </c>
      <c r="CR735" s="145" t="str">
        <f>IF($I735&lt;&gt;"",INDEX('Device Refrigerant Leakage'!$G$2:$G$42,MATCH($M735,'Device Refrigerant Leakage'!$B$2:$B$42,0)),"")</f>
        <v/>
      </c>
      <c r="CS735" s="145" t="str">
        <f>IF($I735&lt;&gt;"",INDEX('Device Refrigerant Leakage'!$D$2:$D$42,MATCH($M735,'Device Refrigerant Leakage'!$B$2:$B$42,0))*CP735/2204.62*CO735,"")</f>
        <v/>
      </c>
      <c r="CT735" s="145" t="str">
        <f>IF($I735&lt;&gt;"",J735*(INDEX('Device Refrigerant Leakage'!$D$2:$D$42,MATCH($M735,'Device Refrigerant Leakage'!$B$2:$B$42,0))-(INDEX('Device Refrigerant Leakage'!$D$2:$D$42,MATCH($M735,'Device Refrigerant Leakage'!$B$2:$B$42,0)))*CR735*CP735)*CQ735/2204.62*CO735,"")</f>
        <v/>
      </c>
      <c r="CU735" s="135" t="str">
        <f>IF($I735&lt;&gt;"",J735*IF(W735&lt;&gt;"AR",(CS735*K735)+CT735,(CS735*AB735)+CT735*(AB735/INDEX('Device Refrigerant Leakage'!$C$2:$C$42,MATCH($M735,'Device Refrigerant Leakage'!$B$2:$B$42,0)))),"")</f>
        <v/>
      </c>
      <c r="CW735" s="135" t="str">
        <f>IF($I735&lt;&gt;"",IF(S735="User Specified",V735,INDEX('Refrigerant GWPs'!$G$2:$G$156,MATCH(S735,'Refrigerant GWPs'!$A$2:$A$157,0))),"")</f>
        <v/>
      </c>
      <c r="CX735" s="138" t="str">
        <f>IF($I735&lt;&gt;"",INDEX('Device Refrigerant Leakage'!$E$2:$E$42,MATCH($Q735,'Device Refrigerant Leakage'!$B$2:$B$42,0)),"")</f>
        <v/>
      </c>
      <c r="CY735" s="138" t="str">
        <f>IF($I735&lt;&gt;"",INDEX('Device Refrigerant Leakage'!$F$2:$F$42,MATCH($Q735,'Device Refrigerant Leakage'!$B$2:$B$42,0)),"")</f>
        <v/>
      </c>
      <c r="CZ735" s="145" t="str">
        <f>IF($I735&lt;&gt;"",INDEX('Device Refrigerant Leakage'!$G$2:$G$42,MATCH($Q735,'Device Refrigerant Leakage'!$B$2:$B$42,0)),"")</f>
        <v/>
      </c>
      <c r="DA735" s="145" t="str">
        <f>IF($I735&lt;&gt;"",J735*INDEX('Device Refrigerant Leakage'!$D$2:$D$42,MATCH($Q735,'Device Refrigerant Leakage'!$B$2:$B$42,0))*CX735/2204.62*CW735,"")</f>
        <v/>
      </c>
      <c r="DB735" s="145" t="str">
        <f>IF($I735&lt;&gt;"",J735*(INDEX('Device Refrigerant Leakage'!$D$2:$D$42,MATCH($Q735,'Device Refrigerant Leakage'!$B$2:$B$42,0))-(INDEX('Device Refrigerant Leakage'!$D$2:$D$42,MATCH($Q735,'Device Refrigerant Leakage'!$B$2:$B$42,0)))*CZ735*CX735)*CY735/2204.62*CW735,"")</f>
        <v/>
      </c>
      <c r="DC735" s="135" t="str">
        <f t="shared" si="892"/>
        <v/>
      </c>
      <c r="DE735" s="146" t="str">
        <f>IF(W735&lt;&gt;"AR","",IF(Y735="User Specified", AA735, INDEX('Refrigerant GWPs'!$G$2:$G$154,MATCH(Y735,'Refrigerant GWPs'!$A$2:$A$154,0))))</f>
        <v/>
      </c>
      <c r="DF735" s="146" t="str">
        <f>IF(W735&lt;&gt;"AR","",INDEX('Device Refrigerant Leakage'!$E$2:$E$42,MATCH(X735,'Device Refrigerant Leakage'!$B$2:$B$42,0)))</f>
        <v/>
      </c>
      <c r="DG735" s="146" t="str">
        <f>IF(W735&lt;&gt;"AR","",INDEX('Device Refrigerant Leakage'!$F$2:$F$42,MATCH(X735,'Device Refrigerant Leakage'!$B$2:$B$42,0)))</f>
        <v/>
      </c>
      <c r="DH735" s="146" t="str">
        <f>IF(W735&lt;&gt;"AR","",INDEX('Device Refrigerant Leakage'!$G$2:$G$42,MATCH(X735,'Device Refrigerant Leakage'!$B$2:$B$42,0)))</f>
        <v/>
      </c>
      <c r="DI735" s="146" t="str">
        <f>IF(W735&lt;&gt;"AR","",J735*INDEX('Device Refrigerant Leakage'!$D$2:$D$42,MATCH(X735,'Device Refrigerant Leakage'!$B$2:$B$42,0))*DF735/2204.62*DE735)</f>
        <v/>
      </c>
      <c r="DJ735" s="146" t="str">
        <f>IF(W735&lt;&gt;"AR","",J735*(INDEX('Device Refrigerant Leakage'!$D$2:$D$42,MATCH(X735,'Device Refrigerant Leakage'!$B$2:$B$42,0))-(INDEX('Device Refrigerant Leakage'!$D$2:$D$42,MATCH(X735,'Device Refrigerant Leakage'!$B$2:$B$42,0)))*DH735*DF735)*DG735/2204.62*DE735)</f>
        <v/>
      </c>
      <c r="DK735" s="146" t="str">
        <f>IF(W735&lt;&gt;"AR","",DI735*(K735-AB735)+'Fuel Sub Calcs-Deemed'!DJ735*((K735-AB735)/INDEX('Device Refrigerant Leakage'!$C$2:$C$42,MATCH('Fuel Sub Calcs-Deemed'!X735,'Device Refrigerant Leakage'!$B$2:$B$42,0))))</f>
        <v/>
      </c>
      <c r="DM735" s="56">
        <v>721</v>
      </c>
      <c r="DN735" s="67" t="e">
        <f t="shared" si="874"/>
        <v>#N/A</v>
      </c>
      <c r="DO735" s="45" t="e">
        <f t="shared" si="875"/>
        <v>#N/A</v>
      </c>
      <c r="DP735" s="67" t="e">
        <f t="shared" si="876"/>
        <v>#N/A</v>
      </c>
      <c r="DQ735" s="45" t="e">
        <f t="shared" si="877"/>
        <v>#N/A</v>
      </c>
      <c r="DR735" s="69" t="e">
        <f t="shared" si="878"/>
        <v>#N/A</v>
      </c>
      <c r="DS735" s="34"/>
      <c r="DT735" s="67" t="e">
        <f>((BX735*CJ735)+IF($W735=MAT_AR,(BZ735*CL735),0))*(1+Reference!$E$50+Reference!$E$51)</f>
        <v>#N/A</v>
      </c>
      <c r="DU735" s="67">
        <f>((BY735*CK735)+IF($W735=MAT_AR,(CA735*CM735),0))*(1+Reference!$G$50+Reference!$G$51)</f>
        <v>0</v>
      </c>
      <c r="DV735" s="67" t="e">
        <f t="shared" si="879"/>
        <v>#VALUE!</v>
      </c>
      <c r="DX735" s="56">
        <v>721</v>
      </c>
      <c r="DY735" s="67">
        <f t="shared" si="880"/>
        <v>0</v>
      </c>
      <c r="DZ735" s="45" t="e">
        <f>VLOOKUP($R735,Dropdown!$C$3:$D$4,2,FALSE)</f>
        <v>#N/A</v>
      </c>
      <c r="EA735" s="68">
        <f t="shared" si="881"/>
        <v>0</v>
      </c>
      <c r="EB735" s="68" t="str">
        <f t="shared" si="882"/>
        <v>N/A</v>
      </c>
      <c r="EC735" s="68">
        <f t="shared" si="883"/>
        <v>0</v>
      </c>
      <c r="ED735" s="68" t="str">
        <f t="shared" si="921"/>
        <v>N/A</v>
      </c>
      <c r="EF735" s="56">
        <v>721</v>
      </c>
      <c r="EG735" s="46">
        <f t="shared" si="884"/>
        <v>0</v>
      </c>
      <c r="EH735" s="68" t="e">
        <f t="shared" si="885"/>
        <v>#N/A</v>
      </c>
      <c r="EI735" s="68" t="e">
        <f t="shared" si="886"/>
        <v>#N/A</v>
      </c>
      <c r="EJ735" s="68" t="e">
        <f t="shared" si="887"/>
        <v>#N/A</v>
      </c>
      <c r="EK735" s="68" t="e">
        <f t="shared" si="888"/>
        <v>#N/A</v>
      </c>
      <c r="EL735" s="46">
        <f t="shared" si="889"/>
        <v>0</v>
      </c>
      <c r="EM735" s="46">
        <f t="shared" si="890"/>
        <v>0</v>
      </c>
    </row>
    <row r="736" spans="1:143">
      <c r="A736" s="89"/>
      <c r="B736" s="89"/>
      <c r="C736" s="89"/>
      <c r="D736" s="89"/>
      <c r="E736" s="89"/>
      <c r="F736" s="89"/>
      <c r="G736" s="34"/>
      <c r="H736" s="56">
        <f t="shared" si="891"/>
        <v>722</v>
      </c>
      <c r="I736" s="165"/>
      <c r="J736" s="163"/>
      <c r="K736" s="163"/>
      <c r="L736" s="164"/>
      <c r="M736" s="155"/>
      <c r="N736" s="155"/>
      <c r="O736" s="144"/>
      <c r="P736" s="159" t="str">
        <f>IFERROR(IF(O736&lt;&gt;"User Specified",IF(O736&lt;&gt;"", INDEX('Refrigerant GWPs'!$G$2:$G$154,MATCH(O736,'Refrigerant GWPs'!$A$2:$A$154,0)),""),U736),0)</f>
        <v/>
      </c>
      <c r="Q736" s="155"/>
      <c r="R736" s="155"/>
      <c r="S736" s="144"/>
      <c r="T736" s="159" t="str">
        <f>IF(S736&lt;&gt;"User Specified",IF(AND(S736&lt;&gt;"User Specified",S736&lt;&gt;""), INDEX('Refrigerant GWPs'!$G$2:$G$154,MATCH(S736,'Refrigerant GWPs'!$A$2:$A$154,0)),""),V736)</f>
        <v/>
      </c>
      <c r="U736" s="144"/>
      <c r="V736" s="144"/>
      <c r="W736" s="155"/>
      <c r="X736" s="155"/>
      <c r="Y736" s="144"/>
      <c r="Z736" s="159" t="str">
        <f>IF(AND(Y736&lt;&gt;"User Specified",Y736&lt;&gt;""), INDEX('Refrigerant GWPs'!$G$2:$G$154,MATCH(Y736,'Refrigerant GWPs'!$A$2:$A$154,0)),"")</f>
        <v/>
      </c>
      <c r="AA736" s="155"/>
      <c r="AB736" s="156"/>
      <c r="AC736" s="66"/>
      <c r="AD736" s="66"/>
      <c r="AE736" s="66"/>
      <c r="AF736" s="66"/>
      <c r="AG736" s="66"/>
      <c r="AH736" s="66"/>
      <c r="AI736" s="34"/>
      <c r="AJ736" s="88">
        <f t="shared" si="854"/>
        <v>0</v>
      </c>
      <c r="AK736" s="88">
        <f t="shared" si="855"/>
        <v>0</v>
      </c>
      <c r="AL736" s="88">
        <v>0</v>
      </c>
      <c r="AM736" s="88">
        <v>0</v>
      </c>
      <c r="AN736" s="81" t="str">
        <f t="shared" si="893"/>
        <v/>
      </c>
      <c r="AO736" s="88">
        <f t="shared" si="856"/>
        <v>0</v>
      </c>
      <c r="AP736" s="88">
        <f t="shared" si="857"/>
        <v>0</v>
      </c>
      <c r="AQ736" s="81" t="str">
        <f t="shared" si="858"/>
        <v/>
      </c>
      <c r="AS736" s="41" t="b">
        <f t="shared" si="859"/>
        <v>1</v>
      </c>
      <c r="AT736" s="38">
        <f t="shared" si="860"/>
        <v>0</v>
      </c>
      <c r="AU736" s="60">
        <f t="shared" si="861"/>
        <v>0</v>
      </c>
      <c r="AV736" s="41">
        <f t="shared" si="862"/>
        <v>0</v>
      </c>
      <c r="AW736" s="41" t="b">
        <f t="shared" si="863"/>
        <v>0</v>
      </c>
      <c r="AX736" t="str">
        <f t="shared" si="864"/>
        <v>+00</v>
      </c>
      <c r="AY736" t="str">
        <f t="shared" si="865"/>
        <v>+00</v>
      </c>
      <c r="BA736" s="47" t="b">
        <f t="shared" si="894"/>
        <v>1</v>
      </c>
      <c r="BB736" s="42" t="b">
        <f t="shared" si="895"/>
        <v>1</v>
      </c>
      <c r="BC736" s="42" t="b">
        <f t="shared" si="896"/>
        <v>0</v>
      </c>
      <c r="BD736" s="42" t="b">
        <f t="shared" si="897"/>
        <v>0</v>
      </c>
      <c r="BE736" s="70">
        <f t="shared" si="898"/>
        <v>0</v>
      </c>
      <c r="BF736" s="70">
        <f t="shared" si="899"/>
        <v>0</v>
      </c>
      <c r="BG736" s="34"/>
      <c r="BI736" s="47" t="b">
        <f t="shared" si="900"/>
        <v>1</v>
      </c>
      <c r="BJ736" s="47" t="b">
        <f t="shared" si="901"/>
        <v>1</v>
      </c>
      <c r="BK736" s="42" t="b">
        <f t="shared" si="902"/>
        <v>0</v>
      </c>
      <c r="BL736" s="42" t="b">
        <f t="shared" si="903"/>
        <v>0</v>
      </c>
      <c r="BM736" s="42">
        <f t="shared" si="904"/>
        <v>0</v>
      </c>
      <c r="BN736" s="42">
        <f t="shared" si="905"/>
        <v>0</v>
      </c>
      <c r="BP736" t="e">
        <f t="shared" si="906"/>
        <v>#N/A</v>
      </c>
      <c r="BQ736" t="e">
        <f t="shared" si="907"/>
        <v>#N/A</v>
      </c>
      <c r="BR736" t="e">
        <f t="shared" si="908"/>
        <v>#N/A</v>
      </c>
      <c r="BT736" s="60">
        <f t="shared" si="909"/>
        <v>0</v>
      </c>
      <c r="BU736" s="60">
        <f t="shared" si="910"/>
        <v>0</v>
      </c>
      <c r="BV736" s="60">
        <f t="shared" si="911"/>
        <v>0</v>
      </c>
      <c r="BW736" s="60">
        <f t="shared" si="912"/>
        <v>0</v>
      </c>
      <c r="BX736" s="60">
        <f t="shared" si="913"/>
        <v>0</v>
      </c>
      <c r="BY736" s="60">
        <f t="shared" si="914"/>
        <v>0</v>
      </c>
      <c r="BZ736" s="60">
        <f t="shared" si="915"/>
        <v>0</v>
      </c>
      <c r="CA736" s="60">
        <f t="shared" si="916"/>
        <v>0</v>
      </c>
      <c r="CB736" s="60" t="e">
        <f t="shared" si="866"/>
        <v>#N/A</v>
      </c>
      <c r="CC736" s="60">
        <f t="shared" si="867"/>
        <v>100000</v>
      </c>
      <c r="CD736" s="60" t="e">
        <f t="shared" si="868"/>
        <v>#N/A</v>
      </c>
      <c r="CE736" s="60">
        <f t="shared" si="869"/>
        <v>100000</v>
      </c>
      <c r="CF736" s="83" t="e">
        <f t="shared" si="917"/>
        <v>#N/A</v>
      </c>
      <c r="CG736" s="83">
        <f t="shared" si="918"/>
        <v>0</v>
      </c>
      <c r="CH736" s="83" t="e">
        <f t="shared" si="919"/>
        <v>#N/A</v>
      </c>
      <c r="CI736" s="83">
        <f t="shared" si="920"/>
        <v>0</v>
      </c>
      <c r="CJ736" s="86" t="e">
        <f t="shared" si="870"/>
        <v>#N/A</v>
      </c>
      <c r="CK736" s="82">
        <f t="shared" si="871"/>
        <v>5.3070370403969858E-3</v>
      </c>
      <c r="CL736" s="82" t="e">
        <f t="shared" si="872"/>
        <v>#N/A</v>
      </c>
      <c r="CM736" s="82">
        <f t="shared" si="873"/>
        <v>5.3070370403969858E-3</v>
      </c>
      <c r="CO736" s="149" t="str">
        <f>IF($I736&lt;&gt;"",IF(O736="User Specified",U736,INDEX('Refrigerant GWPs'!$G$2:$G$156,MATCH(O736,'Refrigerant GWPs'!$A$2:$A$156,0))),"")</f>
        <v/>
      </c>
      <c r="CP736" s="138" t="str">
        <f>IF($I736&lt;&gt;"",INDEX('Device Refrigerant Leakage'!$E$2:$E$42,MATCH($M736,'Device Refrigerant Leakage'!$B$2:$B$42,0)),"")</f>
        <v/>
      </c>
      <c r="CQ736" s="138" t="str">
        <f>IF($I736&lt;&gt;"",INDEX('Device Refrigerant Leakage'!$F$2:$F$42,MATCH($M736,'Device Refrigerant Leakage'!$B$2:$B$42,0)),"")</f>
        <v/>
      </c>
      <c r="CR736" s="145" t="str">
        <f>IF($I736&lt;&gt;"",INDEX('Device Refrigerant Leakage'!$G$2:$G$42,MATCH($M736,'Device Refrigerant Leakage'!$B$2:$B$42,0)),"")</f>
        <v/>
      </c>
      <c r="CS736" s="145" t="str">
        <f>IF($I736&lt;&gt;"",INDEX('Device Refrigerant Leakage'!$D$2:$D$42,MATCH($M736,'Device Refrigerant Leakage'!$B$2:$B$42,0))*CP736/2204.62*CO736,"")</f>
        <v/>
      </c>
      <c r="CT736" s="145" t="str">
        <f>IF($I736&lt;&gt;"",J736*(INDEX('Device Refrigerant Leakage'!$D$2:$D$42,MATCH($M736,'Device Refrigerant Leakage'!$B$2:$B$42,0))-(INDEX('Device Refrigerant Leakage'!$D$2:$D$42,MATCH($M736,'Device Refrigerant Leakage'!$B$2:$B$42,0)))*CR736*CP736)*CQ736/2204.62*CO736,"")</f>
        <v/>
      </c>
      <c r="CU736" s="135" t="str">
        <f>IF($I736&lt;&gt;"",J736*IF(W736&lt;&gt;"AR",(CS736*K736)+CT736,(CS736*AB736)+CT736*(AB736/INDEX('Device Refrigerant Leakage'!$C$2:$C$42,MATCH($M736,'Device Refrigerant Leakage'!$B$2:$B$42,0)))),"")</f>
        <v/>
      </c>
      <c r="CW736" s="135" t="str">
        <f>IF($I736&lt;&gt;"",IF(S736="User Specified",V736,INDEX('Refrigerant GWPs'!$G$2:$G$156,MATCH(S736,'Refrigerant GWPs'!$A$2:$A$157,0))),"")</f>
        <v/>
      </c>
      <c r="CX736" s="138" t="str">
        <f>IF($I736&lt;&gt;"",INDEX('Device Refrigerant Leakage'!$E$2:$E$42,MATCH($Q736,'Device Refrigerant Leakage'!$B$2:$B$42,0)),"")</f>
        <v/>
      </c>
      <c r="CY736" s="138" t="str">
        <f>IF($I736&lt;&gt;"",INDEX('Device Refrigerant Leakage'!$F$2:$F$42,MATCH($Q736,'Device Refrigerant Leakage'!$B$2:$B$42,0)),"")</f>
        <v/>
      </c>
      <c r="CZ736" s="145" t="str">
        <f>IF($I736&lt;&gt;"",INDEX('Device Refrigerant Leakage'!$G$2:$G$42,MATCH($Q736,'Device Refrigerant Leakage'!$B$2:$B$42,0)),"")</f>
        <v/>
      </c>
      <c r="DA736" s="145" t="str">
        <f>IF($I736&lt;&gt;"",J736*INDEX('Device Refrigerant Leakage'!$D$2:$D$42,MATCH($Q736,'Device Refrigerant Leakage'!$B$2:$B$42,0))*CX736/2204.62*CW736,"")</f>
        <v/>
      </c>
      <c r="DB736" s="145" t="str">
        <f>IF($I736&lt;&gt;"",J736*(INDEX('Device Refrigerant Leakage'!$D$2:$D$42,MATCH($Q736,'Device Refrigerant Leakage'!$B$2:$B$42,0))-(INDEX('Device Refrigerant Leakage'!$D$2:$D$42,MATCH($Q736,'Device Refrigerant Leakage'!$B$2:$B$42,0)))*CZ736*CX736)*CY736/2204.62*CW736,"")</f>
        <v/>
      </c>
      <c r="DC736" s="135" t="str">
        <f t="shared" si="892"/>
        <v/>
      </c>
      <c r="DE736" s="146" t="str">
        <f>IF(W736&lt;&gt;"AR","",IF(Y736="User Specified", AA736, INDEX('Refrigerant GWPs'!$G$2:$G$154,MATCH(Y736,'Refrigerant GWPs'!$A$2:$A$154,0))))</f>
        <v/>
      </c>
      <c r="DF736" s="146" t="str">
        <f>IF(W736&lt;&gt;"AR","",INDEX('Device Refrigerant Leakage'!$E$2:$E$42,MATCH(X736,'Device Refrigerant Leakage'!$B$2:$B$42,0)))</f>
        <v/>
      </c>
      <c r="DG736" s="146" t="str">
        <f>IF(W736&lt;&gt;"AR","",INDEX('Device Refrigerant Leakage'!$F$2:$F$42,MATCH(X736,'Device Refrigerant Leakage'!$B$2:$B$42,0)))</f>
        <v/>
      </c>
      <c r="DH736" s="146" t="str">
        <f>IF(W736&lt;&gt;"AR","",INDEX('Device Refrigerant Leakage'!$G$2:$G$42,MATCH(X736,'Device Refrigerant Leakage'!$B$2:$B$42,0)))</f>
        <v/>
      </c>
      <c r="DI736" s="146" t="str">
        <f>IF(W736&lt;&gt;"AR","",J736*INDEX('Device Refrigerant Leakage'!$D$2:$D$42,MATCH(X736,'Device Refrigerant Leakage'!$B$2:$B$42,0))*DF736/2204.62*DE736)</f>
        <v/>
      </c>
      <c r="DJ736" s="146" t="str">
        <f>IF(W736&lt;&gt;"AR","",J736*(INDEX('Device Refrigerant Leakage'!$D$2:$D$42,MATCH(X736,'Device Refrigerant Leakage'!$B$2:$B$42,0))-(INDEX('Device Refrigerant Leakage'!$D$2:$D$42,MATCH(X736,'Device Refrigerant Leakage'!$B$2:$B$42,0)))*DH736*DF736)*DG736/2204.62*DE736)</f>
        <v/>
      </c>
      <c r="DK736" s="146" t="str">
        <f>IF(W736&lt;&gt;"AR","",DI736*(K736-AB736)+'Fuel Sub Calcs-Deemed'!DJ736*((K736-AB736)/INDEX('Device Refrigerant Leakage'!$C$2:$C$42,MATCH('Fuel Sub Calcs-Deemed'!X736,'Device Refrigerant Leakage'!$B$2:$B$42,0))))</f>
        <v/>
      </c>
      <c r="DM736" s="56">
        <v>722</v>
      </c>
      <c r="DN736" s="67" t="e">
        <f t="shared" si="874"/>
        <v>#N/A</v>
      </c>
      <c r="DO736" s="45" t="e">
        <f t="shared" si="875"/>
        <v>#N/A</v>
      </c>
      <c r="DP736" s="67" t="e">
        <f t="shared" si="876"/>
        <v>#N/A</v>
      </c>
      <c r="DQ736" s="45" t="e">
        <f t="shared" si="877"/>
        <v>#N/A</v>
      </c>
      <c r="DR736" s="69" t="e">
        <f t="shared" si="878"/>
        <v>#N/A</v>
      </c>
      <c r="DS736" s="34"/>
      <c r="DT736" s="67" t="e">
        <f>((BX736*CJ736)+IF($W736=MAT_AR,(BZ736*CL736),0))*(1+Reference!$E$50+Reference!$E$51)</f>
        <v>#N/A</v>
      </c>
      <c r="DU736" s="67">
        <f>((BY736*CK736)+IF($W736=MAT_AR,(CA736*CM736),0))*(1+Reference!$G$50+Reference!$G$51)</f>
        <v>0</v>
      </c>
      <c r="DV736" s="67" t="e">
        <f t="shared" si="879"/>
        <v>#VALUE!</v>
      </c>
      <c r="DX736" s="56">
        <v>722</v>
      </c>
      <c r="DY736" s="67">
        <f t="shared" si="880"/>
        <v>0</v>
      </c>
      <c r="DZ736" s="45" t="e">
        <f>VLOOKUP($R736,Dropdown!$C$3:$D$4,2,FALSE)</f>
        <v>#N/A</v>
      </c>
      <c r="EA736" s="68">
        <f t="shared" si="881"/>
        <v>0</v>
      </c>
      <c r="EB736" s="68" t="str">
        <f t="shared" si="882"/>
        <v>N/A</v>
      </c>
      <c r="EC736" s="68">
        <f t="shared" si="883"/>
        <v>0</v>
      </c>
      <c r="ED736" s="68" t="str">
        <f t="shared" si="921"/>
        <v>N/A</v>
      </c>
      <c r="EF736" s="56">
        <v>722</v>
      </c>
      <c r="EG736" s="46">
        <f t="shared" si="884"/>
        <v>0</v>
      </c>
      <c r="EH736" s="68" t="e">
        <f t="shared" si="885"/>
        <v>#N/A</v>
      </c>
      <c r="EI736" s="68" t="e">
        <f t="shared" si="886"/>
        <v>#N/A</v>
      </c>
      <c r="EJ736" s="68" t="e">
        <f t="shared" si="887"/>
        <v>#N/A</v>
      </c>
      <c r="EK736" s="68" t="e">
        <f t="shared" si="888"/>
        <v>#N/A</v>
      </c>
      <c r="EL736" s="46">
        <f t="shared" si="889"/>
        <v>0</v>
      </c>
      <c r="EM736" s="46">
        <f t="shared" si="890"/>
        <v>0</v>
      </c>
    </row>
    <row r="737" spans="1:143">
      <c r="A737" s="89"/>
      <c r="B737" s="89"/>
      <c r="C737" s="89"/>
      <c r="D737" s="89"/>
      <c r="E737" s="89"/>
      <c r="F737" s="89"/>
      <c r="G737" s="34"/>
      <c r="H737" s="56">
        <f t="shared" si="891"/>
        <v>723</v>
      </c>
      <c r="I737" s="165"/>
      <c r="J737" s="163"/>
      <c r="K737" s="163"/>
      <c r="L737" s="164"/>
      <c r="M737" s="155"/>
      <c r="N737" s="155"/>
      <c r="O737" s="144"/>
      <c r="P737" s="159" t="str">
        <f>IFERROR(IF(O737&lt;&gt;"User Specified",IF(O737&lt;&gt;"", INDEX('Refrigerant GWPs'!$G$2:$G$154,MATCH(O737,'Refrigerant GWPs'!$A$2:$A$154,0)),""),U737),0)</f>
        <v/>
      </c>
      <c r="Q737" s="155"/>
      <c r="R737" s="155"/>
      <c r="S737" s="144"/>
      <c r="T737" s="159" t="str">
        <f>IF(S737&lt;&gt;"User Specified",IF(AND(S737&lt;&gt;"User Specified",S737&lt;&gt;""), INDEX('Refrigerant GWPs'!$G$2:$G$154,MATCH(S737,'Refrigerant GWPs'!$A$2:$A$154,0)),""),V737)</f>
        <v/>
      </c>
      <c r="U737" s="144"/>
      <c r="V737" s="144"/>
      <c r="W737" s="155"/>
      <c r="X737" s="155"/>
      <c r="Y737" s="144"/>
      <c r="Z737" s="159" t="str">
        <f>IF(AND(Y737&lt;&gt;"User Specified",Y737&lt;&gt;""), INDEX('Refrigerant GWPs'!$G$2:$G$154,MATCH(Y737,'Refrigerant GWPs'!$A$2:$A$154,0)),"")</f>
        <v/>
      </c>
      <c r="AA737" s="155"/>
      <c r="AB737" s="156"/>
      <c r="AC737" s="66"/>
      <c r="AD737" s="66"/>
      <c r="AE737" s="66"/>
      <c r="AF737" s="66"/>
      <c r="AG737" s="66"/>
      <c r="AH737" s="66"/>
      <c r="AI737" s="34"/>
      <c r="AJ737" s="88">
        <f t="shared" si="854"/>
        <v>0</v>
      </c>
      <c r="AK737" s="88">
        <f t="shared" si="855"/>
        <v>0</v>
      </c>
      <c r="AL737" s="88">
        <v>0</v>
      </c>
      <c r="AM737" s="88">
        <v>0</v>
      </c>
      <c r="AN737" s="81" t="str">
        <f t="shared" si="893"/>
        <v/>
      </c>
      <c r="AO737" s="88">
        <f t="shared" si="856"/>
        <v>0</v>
      </c>
      <c r="AP737" s="88">
        <f t="shared" si="857"/>
        <v>0</v>
      </c>
      <c r="AQ737" s="81" t="str">
        <f t="shared" si="858"/>
        <v/>
      </c>
      <c r="AS737" s="41" t="b">
        <f t="shared" si="859"/>
        <v>1</v>
      </c>
      <c r="AT737" s="38">
        <f t="shared" si="860"/>
        <v>0</v>
      </c>
      <c r="AU737" s="60">
        <f t="shared" si="861"/>
        <v>0</v>
      </c>
      <c r="AV737" s="41">
        <f t="shared" si="862"/>
        <v>0</v>
      </c>
      <c r="AW737" s="41" t="b">
        <f t="shared" si="863"/>
        <v>0</v>
      </c>
      <c r="AX737" t="str">
        <f t="shared" si="864"/>
        <v>+00</v>
      </c>
      <c r="AY737" t="str">
        <f t="shared" si="865"/>
        <v>+00</v>
      </c>
      <c r="BA737" s="47" t="b">
        <f t="shared" si="894"/>
        <v>1</v>
      </c>
      <c r="BB737" s="42" t="b">
        <f t="shared" si="895"/>
        <v>1</v>
      </c>
      <c r="BC737" s="42" t="b">
        <f t="shared" si="896"/>
        <v>0</v>
      </c>
      <c r="BD737" s="42" t="b">
        <f t="shared" si="897"/>
        <v>0</v>
      </c>
      <c r="BE737" s="70">
        <f t="shared" si="898"/>
        <v>0</v>
      </c>
      <c r="BF737" s="70">
        <f t="shared" si="899"/>
        <v>0</v>
      </c>
      <c r="BG737" s="34"/>
      <c r="BI737" s="47" t="b">
        <f t="shared" si="900"/>
        <v>1</v>
      </c>
      <c r="BJ737" s="47" t="b">
        <f t="shared" si="901"/>
        <v>1</v>
      </c>
      <c r="BK737" s="42" t="b">
        <f t="shared" si="902"/>
        <v>0</v>
      </c>
      <c r="BL737" s="42" t="b">
        <f t="shared" si="903"/>
        <v>0</v>
      </c>
      <c r="BM737" s="42">
        <f t="shared" si="904"/>
        <v>0</v>
      </c>
      <c r="BN737" s="42">
        <f t="shared" si="905"/>
        <v>0</v>
      </c>
      <c r="BP737" t="e">
        <f t="shared" si="906"/>
        <v>#N/A</v>
      </c>
      <c r="BQ737" t="e">
        <f t="shared" si="907"/>
        <v>#N/A</v>
      </c>
      <c r="BR737" t="e">
        <f t="shared" si="908"/>
        <v>#N/A</v>
      </c>
      <c r="BT737" s="60">
        <f t="shared" si="909"/>
        <v>0</v>
      </c>
      <c r="BU737" s="60">
        <f t="shared" si="910"/>
        <v>0</v>
      </c>
      <c r="BV737" s="60">
        <f t="shared" si="911"/>
        <v>0</v>
      </c>
      <c r="BW737" s="60">
        <f t="shared" si="912"/>
        <v>0</v>
      </c>
      <c r="BX737" s="60">
        <f t="shared" si="913"/>
        <v>0</v>
      </c>
      <c r="BY737" s="60">
        <f t="shared" si="914"/>
        <v>0</v>
      </c>
      <c r="BZ737" s="60">
        <f t="shared" si="915"/>
        <v>0</v>
      </c>
      <c r="CA737" s="60">
        <f t="shared" si="916"/>
        <v>0</v>
      </c>
      <c r="CB737" s="60" t="e">
        <f t="shared" si="866"/>
        <v>#N/A</v>
      </c>
      <c r="CC737" s="60">
        <f t="shared" si="867"/>
        <v>100000</v>
      </c>
      <c r="CD737" s="60" t="e">
        <f t="shared" si="868"/>
        <v>#N/A</v>
      </c>
      <c r="CE737" s="60">
        <f t="shared" si="869"/>
        <v>100000</v>
      </c>
      <c r="CF737" s="83" t="e">
        <f t="shared" si="917"/>
        <v>#N/A</v>
      </c>
      <c r="CG737" s="83">
        <f t="shared" si="918"/>
        <v>0</v>
      </c>
      <c r="CH737" s="83" t="e">
        <f t="shared" si="919"/>
        <v>#N/A</v>
      </c>
      <c r="CI737" s="83">
        <f t="shared" si="920"/>
        <v>0</v>
      </c>
      <c r="CJ737" s="86" t="e">
        <f t="shared" si="870"/>
        <v>#N/A</v>
      </c>
      <c r="CK737" s="82">
        <f t="shared" si="871"/>
        <v>5.3070370403969858E-3</v>
      </c>
      <c r="CL737" s="82" t="e">
        <f t="shared" si="872"/>
        <v>#N/A</v>
      </c>
      <c r="CM737" s="82">
        <f t="shared" si="873"/>
        <v>5.3070370403969858E-3</v>
      </c>
      <c r="CO737" s="149" t="str">
        <f>IF($I737&lt;&gt;"",IF(O737="User Specified",U737,INDEX('Refrigerant GWPs'!$G$2:$G$156,MATCH(O737,'Refrigerant GWPs'!$A$2:$A$156,0))),"")</f>
        <v/>
      </c>
      <c r="CP737" s="138" t="str">
        <f>IF($I737&lt;&gt;"",INDEX('Device Refrigerant Leakage'!$E$2:$E$42,MATCH($M737,'Device Refrigerant Leakage'!$B$2:$B$42,0)),"")</f>
        <v/>
      </c>
      <c r="CQ737" s="138" t="str">
        <f>IF($I737&lt;&gt;"",INDEX('Device Refrigerant Leakage'!$F$2:$F$42,MATCH($M737,'Device Refrigerant Leakage'!$B$2:$B$42,0)),"")</f>
        <v/>
      </c>
      <c r="CR737" s="145" t="str">
        <f>IF($I737&lt;&gt;"",INDEX('Device Refrigerant Leakage'!$G$2:$G$42,MATCH($M737,'Device Refrigerant Leakage'!$B$2:$B$42,0)),"")</f>
        <v/>
      </c>
      <c r="CS737" s="145" t="str">
        <f>IF($I737&lt;&gt;"",INDEX('Device Refrigerant Leakage'!$D$2:$D$42,MATCH($M737,'Device Refrigerant Leakage'!$B$2:$B$42,0))*CP737/2204.62*CO737,"")</f>
        <v/>
      </c>
      <c r="CT737" s="145" t="str">
        <f>IF($I737&lt;&gt;"",J737*(INDEX('Device Refrigerant Leakage'!$D$2:$D$42,MATCH($M737,'Device Refrigerant Leakage'!$B$2:$B$42,0))-(INDEX('Device Refrigerant Leakage'!$D$2:$D$42,MATCH($M737,'Device Refrigerant Leakage'!$B$2:$B$42,0)))*CR737*CP737)*CQ737/2204.62*CO737,"")</f>
        <v/>
      </c>
      <c r="CU737" s="135" t="str">
        <f>IF($I737&lt;&gt;"",J737*IF(W737&lt;&gt;"AR",(CS737*K737)+CT737,(CS737*AB737)+CT737*(AB737/INDEX('Device Refrigerant Leakage'!$C$2:$C$42,MATCH($M737,'Device Refrigerant Leakage'!$B$2:$B$42,0)))),"")</f>
        <v/>
      </c>
      <c r="CW737" s="135" t="str">
        <f>IF($I737&lt;&gt;"",IF(S737="User Specified",V737,INDEX('Refrigerant GWPs'!$G$2:$G$156,MATCH(S737,'Refrigerant GWPs'!$A$2:$A$157,0))),"")</f>
        <v/>
      </c>
      <c r="CX737" s="138" t="str">
        <f>IF($I737&lt;&gt;"",INDEX('Device Refrigerant Leakage'!$E$2:$E$42,MATCH($Q737,'Device Refrigerant Leakage'!$B$2:$B$42,0)),"")</f>
        <v/>
      </c>
      <c r="CY737" s="138" t="str">
        <f>IF($I737&lt;&gt;"",INDEX('Device Refrigerant Leakage'!$F$2:$F$42,MATCH($Q737,'Device Refrigerant Leakage'!$B$2:$B$42,0)),"")</f>
        <v/>
      </c>
      <c r="CZ737" s="145" t="str">
        <f>IF($I737&lt;&gt;"",INDEX('Device Refrigerant Leakage'!$G$2:$G$42,MATCH($Q737,'Device Refrigerant Leakage'!$B$2:$B$42,0)),"")</f>
        <v/>
      </c>
      <c r="DA737" s="145" t="str">
        <f>IF($I737&lt;&gt;"",J737*INDEX('Device Refrigerant Leakage'!$D$2:$D$42,MATCH($Q737,'Device Refrigerant Leakage'!$B$2:$B$42,0))*CX737/2204.62*CW737,"")</f>
        <v/>
      </c>
      <c r="DB737" s="145" t="str">
        <f>IF($I737&lt;&gt;"",J737*(INDEX('Device Refrigerant Leakage'!$D$2:$D$42,MATCH($Q737,'Device Refrigerant Leakage'!$B$2:$B$42,0))-(INDEX('Device Refrigerant Leakage'!$D$2:$D$42,MATCH($Q737,'Device Refrigerant Leakage'!$B$2:$B$42,0)))*CZ737*CX737)*CY737/2204.62*CW737,"")</f>
        <v/>
      </c>
      <c r="DC737" s="135" t="str">
        <f t="shared" si="892"/>
        <v/>
      </c>
      <c r="DE737" s="146" t="str">
        <f>IF(W737&lt;&gt;"AR","",IF(Y737="User Specified", AA737, INDEX('Refrigerant GWPs'!$G$2:$G$154,MATCH(Y737,'Refrigerant GWPs'!$A$2:$A$154,0))))</f>
        <v/>
      </c>
      <c r="DF737" s="146" t="str">
        <f>IF(W737&lt;&gt;"AR","",INDEX('Device Refrigerant Leakage'!$E$2:$E$42,MATCH(X737,'Device Refrigerant Leakage'!$B$2:$B$42,0)))</f>
        <v/>
      </c>
      <c r="DG737" s="146" t="str">
        <f>IF(W737&lt;&gt;"AR","",INDEX('Device Refrigerant Leakage'!$F$2:$F$42,MATCH(X737,'Device Refrigerant Leakage'!$B$2:$B$42,0)))</f>
        <v/>
      </c>
      <c r="DH737" s="146" t="str">
        <f>IF(W737&lt;&gt;"AR","",INDEX('Device Refrigerant Leakage'!$G$2:$G$42,MATCH(X737,'Device Refrigerant Leakage'!$B$2:$B$42,0)))</f>
        <v/>
      </c>
      <c r="DI737" s="146" t="str">
        <f>IF(W737&lt;&gt;"AR","",J737*INDEX('Device Refrigerant Leakage'!$D$2:$D$42,MATCH(X737,'Device Refrigerant Leakage'!$B$2:$B$42,0))*DF737/2204.62*DE737)</f>
        <v/>
      </c>
      <c r="DJ737" s="146" t="str">
        <f>IF(W737&lt;&gt;"AR","",J737*(INDEX('Device Refrigerant Leakage'!$D$2:$D$42,MATCH(X737,'Device Refrigerant Leakage'!$B$2:$B$42,0))-(INDEX('Device Refrigerant Leakage'!$D$2:$D$42,MATCH(X737,'Device Refrigerant Leakage'!$B$2:$B$42,0)))*DH737*DF737)*DG737/2204.62*DE737)</f>
        <v/>
      </c>
      <c r="DK737" s="146" t="str">
        <f>IF(W737&lt;&gt;"AR","",DI737*(K737-AB737)+'Fuel Sub Calcs-Deemed'!DJ737*((K737-AB737)/INDEX('Device Refrigerant Leakage'!$C$2:$C$42,MATCH('Fuel Sub Calcs-Deemed'!X737,'Device Refrigerant Leakage'!$B$2:$B$42,0))))</f>
        <v/>
      </c>
      <c r="DM737" s="56">
        <v>723</v>
      </c>
      <c r="DN737" s="67" t="e">
        <f t="shared" si="874"/>
        <v>#N/A</v>
      </c>
      <c r="DO737" s="45" t="e">
        <f t="shared" si="875"/>
        <v>#N/A</v>
      </c>
      <c r="DP737" s="67" t="e">
        <f t="shared" si="876"/>
        <v>#N/A</v>
      </c>
      <c r="DQ737" s="45" t="e">
        <f t="shared" si="877"/>
        <v>#N/A</v>
      </c>
      <c r="DR737" s="69" t="e">
        <f t="shared" si="878"/>
        <v>#N/A</v>
      </c>
      <c r="DS737" s="34"/>
      <c r="DT737" s="67" t="e">
        <f>((BX737*CJ737)+IF($W737=MAT_AR,(BZ737*CL737),0))*(1+Reference!$E$50+Reference!$E$51)</f>
        <v>#N/A</v>
      </c>
      <c r="DU737" s="67">
        <f>((BY737*CK737)+IF($W737=MAT_AR,(CA737*CM737),0))*(1+Reference!$G$50+Reference!$G$51)</f>
        <v>0</v>
      </c>
      <c r="DV737" s="67" t="e">
        <f t="shared" si="879"/>
        <v>#VALUE!</v>
      </c>
      <c r="DX737" s="56">
        <v>723</v>
      </c>
      <c r="DY737" s="67">
        <f t="shared" si="880"/>
        <v>0</v>
      </c>
      <c r="DZ737" s="45" t="e">
        <f>VLOOKUP($R737,Dropdown!$C$3:$D$4,2,FALSE)</f>
        <v>#N/A</v>
      </c>
      <c r="EA737" s="68">
        <f t="shared" si="881"/>
        <v>0</v>
      </c>
      <c r="EB737" s="68" t="str">
        <f t="shared" si="882"/>
        <v>N/A</v>
      </c>
      <c r="EC737" s="68">
        <f t="shared" si="883"/>
        <v>0</v>
      </c>
      <c r="ED737" s="68" t="str">
        <f t="shared" si="921"/>
        <v>N/A</v>
      </c>
      <c r="EF737" s="56">
        <v>723</v>
      </c>
      <c r="EG737" s="46">
        <f t="shared" si="884"/>
        <v>0</v>
      </c>
      <c r="EH737" s="68" t="e">
        <f t="shared" si="885"/>
        <v>#N/A</v>
      </c>
      <c r="EI737" s="68" t="e">
        <f t="shared" si="886"/>
        <v>#N/A</v>
      </c>
      <c r="EJ737" s="68" t="e">
        <f t="shared" si="887"/>
        <v>#N/A</v>
      </c>
      <c r="EK737" s="68" t="e">
        <f t="shared" si="888"/>
        <v>#N/A</v>
      </c>
      <c r="EL737" s="46">
        <f t="shared" si="889"/>
        <v>0</v>
      </c>
      <c r="EM737" s="46">
        <f t="shared" si="890"/>
        <v>0</v>
      </c>
    </row>
    <row r="738" spans="1:143">
      <c r="A738" s="89"/>
      <c r="B738" s="89"/>
      <c r="C738" s="89"/>
      <c r="D738" s="89"/>
      <c r="E738" s="89"/>
      <c r="F738" s="89"/>
      <c r="G738" s="34"/>
      <c r="H738" s="56">
        <f t="shared" si="891"/>
        <v>724</v>
      </c>
      <c r="I738" s="165"/>
      <c r="J738" s="163"/>
      <c r="K738" s="163"/>
      <c r="L738" s="164"/>
      <c r="M738" s="155"/>
      <c r="N738" s="155"/>
      <c r="O738" s="144"/>
      <c r="P738" s="159" t="str">
        <f>IFERROR(IF(O738&lt;&gt;"User Specified",IF(O738&lt;&gt;"", INDEX('Refrigerant GWPs'!$G$2:$G$154,MATCH(O738,'Refrigerant GWPs'!$A$2:$A$154,0)),""),U738),0)</f>
        <v/>
      </c>
      <c r="Q738" s="155"/>
      <c r="R738" s="155"/>
      <c r="S738" s="144"/>
      <c r="T738" s="159" t="str">
        <f>IF(S738&lt;&gt;"User Specified",IF(AND(S738&lt;&gt;"User Specified",S738&lt;&gt;""), INDEX('Refrigerant GWPs'!$G$2:$G$154,MATCH(S738,'Refrigerant GWPs'!$A$2:$A$154,0)),""),V738)</f>
        <v/>
      </c>
      <c r="U738" s="144"/>
      <c r="V738" s="144"/>
      <c r="W738" s="155"/>
      <c r="X738" s="155"/>
      <c r="Y738" s="144"/>
      <c r="Z738" s="159" t="str">
        <f>IF(AND(Y738&lt;&gt;"User Specified",Y738&lt;&gt;""), INDEX('Refrigerant GWPs'!$G$2:$G$154,MATCH(Y738,'Refrigerant GWPs'!$A$2:$A$154,0)),"")</f>
        <v/>
      </c>
      <c r="AA738" s="155"/>
      <c r="AB738" s="156"/>
      <c r="AC738" s="66"/>
      <c r="AD738" s="66"/>
      <c r="AE738" s="66"/>
      <c r="AF738" s="66"/>
      <c r="AG738" s="66"/>
      <c r="AH738" s="66"/>
      <c r="AI738" s="34"/>
      <c r="AJ738" s="88">
        <f t="shared" si="854"/>
        <v>0</v>
      </c>
      <c r="AK738" s="88">
        <f t="shared" si="855"/>
        <v>0</v>
      </c>
      <c r="AL738" s="88">
        <v>0</v>
      </c>
      <c r="AM738" s="88">
        <v>0</v>
      </c>
      <c r="AN738" s="81" t="str">
        <f t="shared" si="893"/>
        <v/>
      </c>
      <c r="AO738" s="88">
        <f t="shared" si="856"/>
        <v>0</v>
      </c>
      <c r="AP738" s="88">
        <f t="shared" si="857"/>
        <v>0</v>
      </c>
      <c r="AQ738" s="81" t="str">
        <f t="shared" si="858"/>
        <v/>
      </c>
      <c r="AS738" s="41" t="b">
        <f t="shared" si="859"/>
        <v>1</v>
      </c>
      <c r="AT738" s="38">
        <f t="shared" si="860"/>
        <v>0</v>
      </c>
      <c r="AU738" s="60">
        <f t="shared" si="861"/>
        <v>0</v>
      </c>
      <c r="AV738" s="41">
        <f t="shared" si="862"/>
        <v>0</v>
      </c>
      <c r="AW738" s="41" t="b">
        <f t="shared" si="863"/>
        <v>0</v>
      </c>
      <c r="AX738" t="str">
        <f t="shared" si="864"/>
        <v>+00</v>
      </c>
      <c r="AY738" t="str">
        <f t="shared" si="865"/>
        <v>+00</v>
      </c>
      <c r="BA738" s="47" t="b">
        <f t="shared" si="894"/>
        <v>1</v>
      </c>
      <c r="BB738" s="42" t="b">
        <f t="shared" si="895"/>
        <v>1</v>
      </c>
      <c r="BC738" s="42" t="b">
        <f t="shared" si="896"/>
        <v>0</v>
      </c>
      <c r="BD738" s="42" t="b">
        <f t="shared" si="897"/>
        <v>0</v>
      </c>
      <c r="BE738" s="70">
        <f t="shared" si="898"/>
        <v>0</v>
      </c>
      <c r="BF738" s="70">
        <f t="shared" si="899"/>
        <v>0</v>
      </c>
      <c r="BG738" s="34"/>
      <c r="BI738" s="47" t="b">
        <f t="shared" si="900"/>
        <v>1</v>
      </c>
      <c r="BJ738" s="47" t="b">
        <f t="shared" si="901"/>
        <v>1</v>
      </c>
      <c r="BK738" s="42" t="b">
        <f t="shared" si="902"/>
        <v>0</v>
      </c>
      <c r="BL738" s="42" t="b">
        <f t="shared" si="903"/>
        <v>0</v>
      </c>
      <c r="BM738" s="42">
        <f t="shared" si="904"/>
        <v>0</v>
      </c>
      <c r="BN738" s="42">
        <f t="shared" si="905"/>
        <v>0</v>
      </c>
      <c r="BP738" t="e">
        <f t="shared" si="906"/>
        <v>#N/A</v>
      </c>
      <c r="BQ738" t="e">
        <f t="shared" si="907"/>
        <v>#N/A</v>
      </c>
      <c r="BR738" t="e">
        <f t="shared" si="908"/>
        <v>#N/A</v>
      </c>
      <c r="BT738" s="60">
        <f t="shared" si="909"/>
        <v>0</v>
      </c>
      <c r="BU738" s="60">
        <f t="shared" si="910"/>
        <v>0</v>
      </c>
      <c r="BV738" s="60">
        <f t="shared" si="911"/>
        <v>0</v>
      </c>
      <c r="BW738" s="60">
        <f t="shared" si="912"/>
        <v>0</v>
      </c>
      <c r="BX738" s="60">
        <f t="shared" si="913"/>
        <v>0</v>
      </c>
      <c r="BY738" s="60">
        <f t="shared" si="914"/>
        <v>0</v>
      </c>
      <c r="BZ738" s="60">
        <f t="shared" si="915"/>
        <v>0</v>
      </c>
      <c r="CA738" s="60">
        <f t="shared" si="916"/>
        <v>0</v>
      </c>
      <c r="CB738" s="60" t="e">
        <f t="shared" si="866"/>
        <v>#N/A</v>
      </c>
      <c r="CC738" s="60">
        <f t="shared" si="867"/>
        <v>100000</v>
      </c>
      <c r="CD738" s="60" t="e">
        <f t="shared" si="868"/>
        <v>#N/A</v>
      </c>
      <c r="CE738" s="60">
        <f t="shared" si="869"/>
        <v>100000</v>
      </c>
      <c r="CF738" s="83" t="e">
        <f t="shared" si="917"/>
        <v>#N/A</v>
      </c>
      <c r="CG738" s="83">
        <f t="shared" si="918"/>
        <v>0</v>
      </c>
      <c r="CH738" s="83" t="e">
        <f t="shared" si="919"/>
        <v>#N/A</v>
      </c>
      <c r="CI738" s="83">
        <f t="shared" si="920"/>
        <v>0</v>
      </c>
      <c r="CJ738" s="86" t="e">
        <f t="shared" si="870"/>
        <v>#N/A</v>
      </c>
      <c r="CK738" s="82">
        <f t="shared" si="871"/>
        <v>5.3070370403969858E-3</v>
      </c>
      <c r="CL738" s="82" t="e">
        <f t="shared" si="872"/>
        <v>#N/A</v>
      </c>
      <c r="CM738" s="82">
        <f t="shared" si="873"/>
        <v>5.3070370403969858E-3</v>
      </c>
      <c r="CO738" s="149" t="str">
        <f>IF($I738&lt;&gt;"",IF(O738="User Specified",U738,INDEX('Refrigerant GWPs'!$G$2:$G$156,MATCH(O738,'Refrigerant GWPs'!$A$2:$A$156,0))),"")</f>
        <v/>
      </c>
      <c r="CP738" s="138" t="str">
        <f>IF($I738&lt;&gt;"",INDEX('Device Refrigerant Leakage'!$E$2:$E$42,MATCH($M738,'Device Refrigerant Leakage'!$B$2:$B$42,0)),"")</f>
        <v/>
      </c>
      <c r="CQ738" s="138" t="str">
        <f>IF($I738&lt;&gt;"",INDEX('Device Refrigerant Leakage'!$F$2:$F$42,MATCH($M738,'Device Refrigerant Leakage'!$B$2:$B$42,0)),"")</f>
        <v/>
      </c>
      <c r="CR738" s="145" t="str">
        <f>IF($I738&lt;&gt;"",INDEX('Device Refrigerant Leakage'!$G$2:$G$42,MATCH($M738,'Device Refrigerant Leakage'!$B$2:$B$42,0)),"")</f>
        <v/>
      </c>
      <c r="CS738" s="145" t="str">
        <f>IF($I738&lt;&gt;"",INDEX('Device Refrigerant Leakage'!$D$2:$D$42,MATCH($M738,'Device Refrigerant Leakage'!$B$2:$B$42,0))*CP738/2204.62*CO738,"")</f>
        <v/>
      </c>
      <c r="CT738" s="145" t="str">
        <f>IF($I738&lt;&gt;"",J738*(INDEX('Device Refrigerant Leakage'!$D$2:$D$42,MATCH($M738,'Device Refrigerant Leakage'!$B$2:$B$42,0))-(INDEX('Device Refrigerant Leakage'!$D$2:$D$42,MATCH($M738,'Device Refrigerant Leakage'!$B$2:$B$42,0)))*CR738*CP738)*CQ738/2204.62*CO738,"")</f>
        <v/>
      </c>
      <c r="CU738" s="135" t="str">
        <f>IF($I738&lt;&gt;"",J738*IF(W738&lt;&gt;"AR",(CS738*K738)+CT738,(CS738*AB738)+CT738*(AB738/INDEX('Device Refrigerant Leakage'!$C$2:$C$42,MATCH($M738,'Device Refrigerant Leakage'!$B$2:$B$42,0)))),"")</f>
        <v/>
      </c>
      <c r="CW738" s="135" t="str">
        <f>IF($I738&lt;&gt;"",IF(S738="User Specified",V738,INDEX('Refrigerant GWPs'!$G$2:$G$156,MATCH(S738,'Refrigerant GWPs'!$A$2:$A$157,0))),"")</f>
        <v/>
      </c>
      <c r="CX738" s="138" t="str">
        <f>IF($I738&lt;&gt;"",INDEX('Device Refrigerant Leakage'!$E$2:$E$42,MATCH($Q738,'Device Refrigerant Leakage'!$B$2:$B$42,0)),"")</f>
        <v/>
      </c>
      <c r="CY738" s="138" t="str">
        <f>IF($I738&lt;&gt;"",INDEX('Device Refrigerant Leakage'!$F$2:$F$42,MATCH($Q738,'Device Refrigerant Leakage'!$B$2:$B$42,0)),"")</f>
        <v/>
      </c>
      <c r="CZ738" s="145" t="str">
        <f>IF($I738&lt;&gt;"",INDEX('Device Refrigerant Leakage'!$G$2:$G$42,MATCH($Q738,'Device Refrigerant Leakage'!$B$2:$B$42,0)),"")</f>
        <v/>
      </c>
      <c r="DA738" s="145" t="str">
        <f>IF($I738&lt;&gt;"",J738*INDEX('Device Refrigerant Leakage'!$D$2:$D$42,MATCH($Q738,'Device Refrigerant Leakage'!$B$2:$B$42,0))*CX738/2204.62*CW738,"")</f>
        <v/>
      </c>
      <c r="DB738" s="145" t="str">
        <f>IF($I738&lt;&gt;"",J738*(INDEX('Device Refrigerant Leakage'!$D$2:$D$42,MATCH($Q738,'Device Refrigerant Leakage'!$B$2:$B$42,0))-(INDEX('Device Refrigerant Leakage'!$D$2:$D$42,MATCH($Q738,'Device Refrigerant Leakage'!$B$2:$B$42,0)))*CZ738*CX738)*CY738/2204.62*CW738,"")</f>
        <v/>
      </c>
      <c r="DC738" s="135" t="str">
        <f t="shared" si="892"/>
        <v/>
      </c>
      <c r="DE738" s="146" t="str">
        <f>IF(W738&lt;&gt;"AR","",IF(Y738="User Specified", AA738, INDEX('Refrigerant GWPs'!$G$2:$G$154,MATCH(Y738,'Refrigerant GWPs'!$A$2:$A$154,0))))</f>
        <v/>
      </c>
      <c r="DF738" s="146" t="str">
        <f>IF(W738&lt;&gt;"AR","",INDEX('Device Refrigerant Leakage'!$E$2:$E$42,MATCH(X738,'Device Refrigerant Leakage'!$B$2:$B$42,0)))</f>
        <v/>
      </c>
      <c r="DG738" s="146" t="str">
        <f>IF(W738&lt;&gt;"AR","",INDEX('Device Refrigerant Leakage'!$F$2:$F$42,MATCH(X738,'Device Refrigerant Leakage'!$B$2:$B$42,0)))</f>
        <v/>
      </c>
      <c r="DH738" s="146" t="str">
        <f>IF(W738&lt;&gt;"AR","",INDEX('Device Refrigerant Leakage'!$G$2:$G$42,MATCH(X738,'Device Refrigerant Leakage'!$B$2:$B$42,0)))</f>
        <v/>
      </c>
      <c r="DI738" s="146" t="str">
        <f>IF(W738&lt;&gt;"AR","",J738*INDEX('Device Refrigerant Leakage'!$D$2:$D$42,MATCH(X738,'Device Refrigerant Leakage'!$B$2:$B$42,0))*DF738/2204.62*DE738)</f>
        <v/>
      </c>
      <c r="DJ738" s="146" t="str">
        <f>IF(W738&lt;&gt;"AR","",J738*(INDEX('Device Refrigerant Leakage'!$D$2:$D$42,MATCH(X738,'Device Refrigerant Leakage'!$B$2:$B$42,0))-(INDEX('Device Refrigerant Leakage'!$D$2:$D$42,MATCH(X738,'Device Refrigerant Leakage'!$B$2:$B$42,0)))*DH738*DF738)*DG738/2204.62*DE738)</f>
        <v/>
      </c>
      <c r="DK738" s="146" t="str">
        <f>IF(W738&lt;&gt;"AR","",DI738*(K738-AB738)+'Fuel Sub Calcs-Deemed'!DJ738*((K738-AB738)/INDEX('Device Refrigerant Leakage'!$C$2:$C$42,MATCH('Fuel Sub Calcs-Deemed'!X738,'Device Refrigerant Leakage'!$B$2:$B$42,0))))</f>
        <v/>
      </c>
      <c r="DM738" s="56">
        <v>724</v>
      </c>
      <c r="DN738" s="67" t="e">
        <f t="shared" si="874"/>
        <v>#N/A</v>
      </c>
      <c r="DO738" s="45" t="e">
        <f t="shared" si="875"/>
        <v>#N/A</v>
      </c>
      <c r="DP738" s="67" t="e">
        <f t="shared" si="876"/>
        <v>#N/A</v>
      </c>
      <c r="DQ738" s="45" t="e">
        <f t="shared" si="877"/>
        <v>#N/A</v>
      </c>
      <c r="DR738" s="69" t="e">
        <f t="shared" si="878"/>
        <v>#N/A</v>
      </c>
      <c r="DS738" s="34"/>
      <c r="DT738" s="67" t="e">
        <f>((BX738*CJ738)+IF($W738=MAT_AR,(BZ738*CL738),0))*(1+Reference!$E$50+Reference!$E$51)</f>
        <v>#N/A</v>
      </c>
      <c r="DU738" s="67">
        <f>((BY738*CK738)+IF($W738=MAT_AR,(CA738*CM738),0))*(1+Reference!$G$50+Reference!$G$51)</f>
        <v>0</v>
      </c>
      <c r="DV738" s="67" t="e">
        <f t="shared" si="879"/>
        <v>#VALUE!</v>
      </c>
      <c r="DX738" s="56">
        <v>724</v>
      </c>
      <c r="DY738" s="67">
        <f t="shared" si="880"/>
        <v>0</v>
      </c>
      <c r="DZ738" s="45" t="e">
        <f>VLOOKUP($R738,Dropdown!$C$3:$D$4,2,FALSE)</f>
        <v>#N/A</v>
      </c>
      <c r="EA738" s="68">
        <f t="shared" si="881"/>
        <v>0</v>
      </c>
      <c r="EB738" s="68" t="str">
        <f t="shared" si="882"/>
        <v>N/A</v>
      </c>
      <c r="EC738" s="68">
        <f t="shared" si="883"/>
        <v>0</v>
      </c>
      <c r="ED738" s="68" t="str">
        <f t="shared" si="921"/>
        <v>N/A</v>
      </c>
      <c r="EF738" s="56">
        <v>724</v>
      </c>
      <c r="EG738" s="46">
        <f t="shared" si="884"/>
        <v>0</v>
      </c>
      <c r="EH738" s="68" t="e">
        <f t="shared" si="885"/>
        <v>#N/A</v>
      </c>
      <c r="EI738" s="68" t="e">
        <f t="shared" si="886"/>
        <v>#N/A</v>
      </c>
      <c r="EJ738" s="68" t="e">
        <f t="shared" si="887"/>
        <v>#N/A</v>
      </c>
      <c r="EK738" s="68" t="e">
        <f t="shared" si="888"/>
        <v>#N/A</v>
      </c>
      <c r="EL738" s="46">
        <f t="shared" si="889"/>
        <v>0</v>
      </c>
      <c r="EM738" s="46">
        <f t="shared" si="890"/>
        <v>0</v>
      </c>
    </row>
    <row r="739" spans="1:143">
      <c r="A739" s="89"/>
      <c r="B739" s="89"/>
      <c r="C739" s="89"/>
      <c r="D739" s="89"/>
      <c r="E739" s="89"/>
      <c r="F739" s="89"/>
      <c r="G739" s="34"/>
      <c r="H739" s="56">
        <f t="shared" si="891"/>
        <v>725</v>
      </c>
      <c r="I739" s="165"/>
      <c r="J739" s="163"/>
      <c r="K739" s="163"/>
      <c r="L739" s="164"/>
      <c r="M739" s="155"/>
      <c r="N739" s="155"/>
      <c r="O739" s="144"/>
      <c r="P739" s="159" t="str">
        <f>IFERROR(IF(O739&lt;&gt;"User Specified",IF(O739&lt;&gt;"", INDEX('Refrigerant GWPs'!$G$2:$G$154,MATCH(O739,'Refrigerant GWPs'!$A$2:$A$154,0)),""),U739),0)</f>
        <v/>
      </c>
      <c r="Q739" s="155"/>
      <c r="R739" s="155"/>
      <c r="S739" s="144"/>
      <c r="T739" s="159" t="str">
        <f>IF(S739&lt;&gt;"User Specified",IF(AND(S739&lt;&gt;"User Specified",S739&lt;&gt;""), INDEX('Refrigerant GWPs'!$G$2:$G$154,MATCH(S739,'Refrigerant GWPs'!$A$2:$A$154,0)),""),V739)</f>
        <v/>
      </c>
      <c r="U739" s="144"/>
      <c r="V739" s="144"/>
      <c r="W739" s="155"/>
      <c r="X739" s="155"/>
      <c r="Y739" s="144"/>
      <c r="Z739" s="159" t="str">
        <f>IF(AND(Y739&lt;&gt;"User Specified",Y739&lt;&gt;""), INDEX('Refrigerant GWPs'!$G$2:$G$154,MATCH(Y739,'Refrigerant GWPs'!$A$2:$A$154,0)),"")</f>
        <v/>
      </c>
      <c r="AA739" s="155"/>
      <c r="AB739" s="156"/>
      <c r="AC739" s="66"/>
      <c r="AD739" s="66"/>
      <c r="AE739" s="66"/>
      <c r="AF739" s="66"/>
      <c r="AG739" s="66"/>
      <c r="AH739" s="66"/>
      <c r="AI739" s="34"/>
      <c r="AJ739" s="88">
        <f t="shared" si="854"/>
        <v>0</v>
      </c>
      <c r="AK739" s="88">
        <f t="shared" si="855"/>
        <v>0</v>
      </c>
      <c r="AL739" s="88">
        <v>0</v>
      </c>
      <c r="AM739" s="88">
        <v>0</v>
      </c>
      <c r="AN739" s="81" t="str">
        <f t="shared" si="893"/>
        <v/>
      </c>
      <c r="AO739" s="88">
        <f t="shared" si="856"/>
        <v>0</v>
      </c>
      <c r="AP739" s="88">
        <f t="shared" si="857"/>
        <v>0</v>
      </c>
      <c r="AQ739" s="81" t="str">
        <f t="shared" si="858"/>
        <v/>
      </c>
      <c r="AS739" s="41" t="b">
        <f t="shared" si="859"/>
        <v>1</v>
      </c>
      <c r="AT739" s="38">
        <f t="shared" si="860"/>
        <v>0</v>
      </c>
      <c r="AU739" s="60">
        <f t="shared" si="861"/>
        <v>0</v>
      </c>
      <c r="AV739" s="41">
        <f t="shared" si="862"/>
        <v>0</v>
      </c>
      <c r="AW739" s="41" t="b">
        <f t="shared" si="863"/>
        <v>0</v>
      </c>
      <c r="AX739" t="str">
        <f t="shared" si="864"/>
        <v>+00</v>
      </c>
      <c r="AY739" t="str">
        <f t="shared" si="865"/>
        <v>+00</v>
      </c>
      <c r="BA739" s="47" t="b">
        <f t="shared" si="894"/>
        <v>1</v>
      </c>
      <c r="BB739" s="42" t="b">
        <f t="shared" si="895"/>
        <v>1</v>
      </c>
      <c r="BC739" s="42" t="b">
        <f t="shared" si="896"/>
        <v>0</v>
      </c>
      <c r="BD739" s="42" t="b">
        <f t="shared" si="897"/>
        <v>0</v>
      </c>
      <c r="BE739" s="70">
        <f t="shared" si="898"/>
        <v>0</v>
      </c>
      <c r="BF739" s="70">
        <f t="shared" si="899"/>
        <v>0</v>
      </c>
      <c r="BG739" s="34"/>
      <c r="BI739" s="47" t="b">
        <f t="shared" si="900"/>
        <v>1</v>
      </c>
      <c r="BJ739" s="47" t="b">
        <f t="shared" si="901"/>
        <v>1</v>
      </c>
      <c r="BK739" s="42" t="b">
        <f t="shared" si="902"/>
        <v>0</v>
      </c>
      <c r="BL739" s="42" t="b">
        <f t="shared" si="903"/>
        <v>0</v>
      </c>
      <c r="BM739" s="42">
        <f t="shared" si="904"/>
        <v>0</v>
      </c>
      <c r="BN739" s="42">
        <f t="shared" si="905"/>
        <v>0</v>
      </c>
      <c r="BP739" t="e">
        <f t="shared" si="906"/>
        <v>#N/A</v>
      </c>
      <c r="BQ739" t="e">
        <f t="shared" si="907"/>
        <v>#N/A</v>
      </c>
      <c r="BR739" t="e">
        <f t="shared" si="908"/>
        <v>#N/A</v>
      </c>
      <c r="BT739" s="60">
        <f t="shared" si="909"/>
        <v>0</v>
      </c>
      <c r="BU739" s="60">
        <f t="shared" si="910"/>
        <v>0</v>
      </c>
      <c r="BV739" s="60">
        <f t="shared" si="911"/>
        <v>0</v>
      </c>
      <c r="BW739" s="60">
        <f t="shared" si="912"/>
        <v>0</v>
      </c>
      <c r="BX739" s="60">
        <f t="shared" si="913"/>
        <v>0</v>
      </c>
      <c r="BY739" s="60">
        <f t="shared" si="914"/>
        <v>0</v>
      </c>
      <c r="BZ739" s="60">
        <f t="shared" si="915"/>
        <v>0</v>
      </c>
      <c r="CA739" s="60">
        <f t="shared" si="916"/>
        <v>0</v>
      </c>
      <c r="CB739" s="60" t="e">
        <f t="shared" si="866"/>
        <v>#N/A</v>
      </c>
      <c r="CC739" s="60">
        <f t="shared" si="867"/>
        <v>100000</v>
      </c>
      <c r="CD739" s="60" t="e">
        <f t="shared" si="868"/>
        <v>#N/A</v>
      </c>
      <c r="CE739" s="60">
        <f t="shared" si="869"/>
        <v>100000</v>
      </c>
      <c r="CF739" s="83" t="e">
        <f t="shared" si="917"/>
        <v>#N/A</v>
      </c>
      <c r="CG739" s="83">
        <f t="shared" si="918"/>
        <v>0</v>
      </c>
      <c r="CH739" s="83" t="e">
        <f t="shared" si="919"/>
        <v>#N/A</v>
      </c>
      <c r="CI739" s="83">
        <f t="shared" si="920"/>
        <v>0</v>
      </c>
      <c r="CJ739" s="86" t="e">
        <f t="shared" si="870"/>
        <v>#N/A</v>
      </c>
      <c r="CK739" s="82">
        <f t="shared" si="871"/>
        <v>5.3070370403969858E-3</v>
      </c>
      <c r="CL739" s="82" t="e">
        <f t="shared" si="872"/>
        <v>#N/A</v>
      </c>
      <c r="CM739" s="82">
        <f t="shared" si="873"/>
        <v>5.3070370403969858E-3</v>
      </c>
      <c r="CO739" s="149" t="str">
        <f>IF($I739&lt;&gt;"",IF(O739="User Specified",U739,INDEX('Refrigerant GWPs'!$G$2:$G$156,MATCH(O739,'Refrigerant GWPs'!$A$2:$A$156,0))),"")</f>
        <v/>
      </c>
      <c r="CP739" s="138" t="str">
        <f>IF($I739&lt;&gt;"",INDEX('Device Refrigerant Leakage'!$E$2:$E$42,MATCH($M739,'Device Refrigerant Leakage'!$B$2:$B$42,0)),"")</f>
        <v/>
      </c>
      <c r="CQ739" s="138" t="str">
        <f>IF($I739&lt;&gt;"",INDEX('Device Refrigerant Leakage'!$F$2:$F$42,MATCH($M739,'Device Refrigerant Leakage'!$B$2:$B$42,0)),"")</f>
        <v/>
      </c>
      <c r="CR739" s="145" t="str">
        <f>IF($I739&lt;&gt;"",INDEX('Device Refrigerant Leakage'!$G$2:$G$42,MATCH($M739,'Device Refrigerant Leakage'!$B$2:$B$42,0)),"")</f>
        <v/>
      </c>
      <c r="CS739" s="145" t="str">
        <f>IF($I739&lt;&gt;"",INDEX('Device Refrigerant Leakage'!$D$2:$D$42,MATCH($M739,'Device Refrigerant Leakage'!$B$2:$B$42,0))*CP739/2204.62*CO739,"")</f>
        <v/>
      </c>
      <c r="CT739" s="145" t="str">
        <f>IF($I739&lt;&gt;"",J739*(INDEX('Device Refrigerant Leakage'!$D$2:$D$42,MATCH($M739,'Device Refrigerant Leakage'!$B$2:$B$42,0))-(INDEX('Device Refrigerant Leakage'!$D$2:$D$42,MATCH($M739,'Device Refrigerant Leakage'!$B$2:$B$42,0)))*CR739*CP739)*CQ739/2204.62*CO739,"")</f>
        <v/>
      </c>
      <c r="CU739" s="135" t="str">
        <f>IF($I739&lt;&gt;"",J739*IF(W739&lt;&gt;"AR",(CS739*K739)+CT739,(CS739*AB739)+CT739*(AB739/INDEX('Device Refrigerant Leakage'!$C$2:$C$42,MATCH($M739,'Device Refrigerant Leakage'!$B$2:$B$42,0)))),"")</f>
        <v/>
      </c>
      <c r="CW739" s="135" t="str">
        <f>IF($I739&lt;&gt;"",IF(S739="User Specified",V739,INDEX('Refrigerant GWPs'!$G$2:$G$156,MATCH(S739,'Refrigerant GWPs'!$A$2:$A$157,0))),"")</f>
        <v/>
      </c>
      <c r="CX739" s="138" t="str">
        <f>IF($I739&lt;&gt;"",INDEX('Device Refrigerant Leakage'!$E$2:$E$42,MATCH($Q739,'Device Refrigerant Leakage'!$B$2:$B$42,0)),"")</f>
        <v/>
      </c>
      <c r="CY739" s="138" t="str">
        <f>IF($I739&lt;&gt;"",INDEX('Device Refrigerant Leakage'!$F$2:$F$42,MATCH($Q739,'Device Refrigerant Leakage'!$B$2:$B$42,0)),"")</f>
        <v/>
      </c>
      <c r="CZ739" s="145" t="str">
        <f>IF($I739&lt;&gt;"",INDEX('Device Refrigerant Leakage'!$G$2:$G$42,MATCH($Q739,'Device Refrigerant Leakage'!$B$2:$B$42,0)),"")</f>
        <v/>
      </c>
      <c r="DA739" s="145" t="str">
        <f>IF($I739&lt;&gt;"",J739*INDEX('Device Refrigerant Leakage'!$D$2:$D$42,MATCH($Q739,'Device Refrigerant Leakage'!$B$2:$B$42,0))*CX739/2204.62*CW739,"")</f>
        <v/>
      </c>
      <c r="DB739" s="145" t="str">
        <f>IF($I739&lt;&gt;"",J739*(INDEX('Device Refrigerant Leakage'!$D$2:$D$42,MATCH($Q739,'Device Refrigerant Leakage'!$B$2:$B$42,0))-(INDEX('Device Refrigerant Leakage'!$D$2:$D$42,MATCH($Q739,'Device Refrigerant Leakage'!$B$2:$B$42,0)))*CZ739*CX739)*CY739/2204.62*CW739,"")</f>
        <v/>
      </c>
      <c r="DC739" s="135" t="str">
        <f t="shared" si="892"/>
        <v/>
      </c>
      <c r="DE739" s="146" t="str">
        <f>IF(W739&lt;&gt;"AR","",IF(Y739="User Specified", AA739, INDEX('Refrigerant GWPs'!$G$2:$G$154,MATCH(Y739,'Refrigerant GWPs'!$A$2:$A$154,0))))</f>
        <v/>
      </c>
      <c r="DF739" s="146" t="str">
        <f>IF(W739&lt;&gt;"AR","",INDEX('Device Refrigerant Leakage'!$E$2:$E$42,MATCH(X739,'Device Refrigerant Leakage'!$B$2:$B$42,0)))</f>
        <v/>
      </c>
      <c r="DG739" s="146" t="str">
        <f>IF(W739&lt;&gt;"AR","",INDEX('Device Refrigerant Leakage'!$F$2:$F$42,MATCH(X739,'Device Refrigerant Leakage'!$B$2:$B$42,0)))</f>
        <v/>
      </c>
      <c r="DH739" s="146" t="str">
        <f>IF(W739&lt;&gt;"AR","",INDEX('Device Refrigerant Leakage'!$G$2:$G$42,MATCH(X739,'Device Refrigerant Leakage'!$B$2:$B$42,0)))</f>
        <v/>
      </c>
      <c r="DI739" s="146" t="str">
        <f>IF(W739&lt;&gt;"AR","",J739*INDEX('Device Refrigerant Leakage'!$D$2:$D$42,MATCH(X739,'Device Refrigerant Leakage'!$B$2:$B$42,0))*DF739/2204.62*DE739)</f>
        <v/>
      </c>
      <c r="DJ739" s="146" t="str">
        <f>IF(W739&lt;&gt;"AR","",J739*(INDEX('Device Refrigerant Leakage'!$D$2:$D$42,MATCH(X739,'Device Refrigerant Leakage'!$B$2:$B$42,0))-(INDEX('Device Refrigerant Leakage'!$D$2:$D$42,MATCH(X739,'Device Refrigerant Leakage'!$B$2:$B$42,0)))*DH739*DF739)*DG739/2204.62*DE739)</f>
        <v/>
      </c>
      <c r="DK739" s="146" t="str">
        <f>IF(W739&lt;&gt;"AR","",DI739*(K739-AB739)+'Fuel Sub Calcs-Deemed'!DJ739*((K739-AB739)/INDEX('Device Refrigerant Leakage'!$C$2:$C$42,MATCH('Fuel Sub Calcs-Deemed'!X739,'Device Refrigerant Leakage'!$B$2:$B$42,0))))</f>
        <v/>
      </c>
      <c r="DM739" s="56">
        <v>725</v>
      </c>
      <c r="DN739" s="67" t="e">
        <f t="shared" si="874"/>
        <v>#N/A</v>
      </c>
      <c r="DO739" s="45" t="e">
        <f t="shared" si="875"/>
        <v>#N/A</v>
      </c>
      <c r="DP739" s="67" t="e">
        <f t="shared" si="876"/>
        <v>#N/A</v>
      </c>
      <c r="DQ739" s="45" t="e">
        <f t="shared" si="877"/>
        <v>#N/A</v>
      </c>
      <c r="DR739" s="69" t="e">
        <f t="shared" si="878"/>
        <v>#N/A</v>
      </c>
      <c r="DS739" s="34"/>
      <c r="DT739" s="67" t="e">
        <f>((BX739*CJ739)+IF($W739=MAT_AR,(BZ739*CL739),0))*(1+Reference!$E$50+Reference!$E$51)</f>
        <v>#N/A</v>
      </c>
      <c r="DU739" s="67">
        <f>((BY739*CK739)+IF($W739=MAT_AR,(CA739*CM739),0))*(1+Reference!$G$50+Reference!$G$51)</f>
        <v>0</v>
      </c>
      <c r="DV739" s="67" t="e">
        <f t="shared" si="879"/>
        <v>#VALUE!</v>
      </c>
      <c r="DX739" s="56">
        <v>725</v>
      </c>
      <c r="DY739" s="67">
        <f t="shared" si="880"/>
        <v>0</v>
      </c>
      <c r="DZ739" s="45" t="e">
        <f>VLOOKUP($R739,Dropdown!$C$3:$D$4,2,FALSE)</f>
        <v>#N/A</v>
      </c>
      <c r="EA739" s="68">
        <f t="shared" si="881"/>
        <v>0</v>
      </c>
      <c r="EB739" s="68" t="str">
        <f t="shared" si="882"/>
        <v>N/A</v>
      </c>
      <c r="EC739" s="68">
        <f t="shared" si="883"/>
        <v>0</v>
      </c>
      <c r="ED739" s="68" t="str">
        <f t="shared" si="921"/>
        <v>N/A</v>
      </c>
      <c r="EF739" s="56">
        <v>725</v>
      </c>
      <c r="EG739" s="46">
        <f t="shared" si="884"/>
        <v>0</v>
      </c>
      <c r="EH739" s="68" t="e">
        <f t="shared" si="885"/>
        <v>#N/A</v>
      </c>
      <c r="EI739" s="68" t="e">
        <f t="shared" si="886"/>
        <v>#N/A</v>
      </c>
      <c r="EJ739" s="68" t="e">
        <f t="shared" si="887"/>
        <v>#N/A</v>
      </c>
      <c r="EK739" s="68" t="e">
        <f t="shared" si="888"/>
        <v>#N/A</v>
      </c>
      <c r="EL739" s="46">
        <f t="shared" si="889"/>
        <v>0</v>
      </c>
      <c r="EM739" s="46">
        <f t="shared" si="890"/>
        <v>0</v>
      </c>
    </row>
    <row r="740" spans="1:143">
      <c r="A740" s="89"/>
      <c r="B740" s="89"/>
      <c r="C740" s="89"/>
      <c r="D740" s="89"/>
      <c r="E740" s="89"/>
      <c r="F740" s="89"/>
      <c r="G740" s="34"/>
      <c r="H740" s="56">
        <f t="shared" si="891"/>
        <v>726</v>
      </c>
      <c r="I740" s="165"/>
      <c r="J740" s="163"/>
      <c r="K740" s="163"/>
      <c r="L740" s="164"/>
      <c r="M740" s="155"/>
      <c r="N740" s="155"/>
      <c r="O740" s="144"/>
      <c r="P740" s="159" t="str">
        <f>IFERROR(IF(O740&lt;&gt;"User Specified",IF(O740&lt;&gt;"", INDEX('Refrigerant GWPs'!$G$2:$G$154,MATCH(O740,'Refrigerant GWPs'!$A$2:$A$154,0)),""),U740),0)</f>
        <v/>
      </c>
      <c r="Q740" s="155"/>
      <c r="R740" s="155"/>
      <c r="S740" s="144"/>
      <c r="T740" s="159" t="str">
        <f>IF(S740&lt;&gt;"User Specified",IF(AND(S740&lt;&gt;"User Specified",S740&lt;&gt;""), INDEX('Refrigerant GWPs'!$G$2:$G$154,MATCH(S740,'Refrigerant GWPs'!$A$2:$A$154,0)),""),V740)</f>
        <v/>
      </c>
      <c r="U740" s="144"/>
      <c r="V740" s="144"/>
      <c r="W740" s="155"/>
      <c r="X740" s="155"/>
      <c r="Y740" s="144"/>
      <c r="Z740" s="159" t="str">
        <f>IF(AND(Y740&lt;&gt;"User Specified",Y740&lt;&gt;""), INDEX('Refrigerant GWPs'!$G$2:$G$154,MATCH(Y740,'Refrigerant GWPs'!$A$2:$A$154,0)),"")</f>
        <v/>
      </c>
      <c r="AA740" s="155"/>
      <c r="AB740" s="156"/>
      <c r="AC740" s="66"/>
      <c r="AD740" s="66"/>
      <c r="AE740" s="66"/>
      <c r="AF740" s="66"/>
      <c r="AG740" s="66"/>
      <c r="AH740" s="66"/>
      <c r="AI740" s="34"/>
      <c r="AJ740" s="88">
        <f t="shared" si="854"/>
        <v>0</v>
      </c>
      <c r="AK740" s="88">
        <f t="shared" si="855"/>
        <v>0</v>
      </c>
      <c r="AL740" s="88">
        <v>0</v>
      </c>
      <c r="AM740" s="88">
        <v>0</v>
      </c>
      <c r="AN740" s="81" t="str">
        <f t="shared" si="893"/>
        <v/>
      </c>
      <c r="AO740" s="88">
        <f t="shared" si="856"/>
        <v>0</v>
      </c>
      <c r="AP740" s="88">
        <f t="shared" si="857"/>
        <v>0</v>
      </c>
      <c r="AQ740" s="81" t="str">
        <f t="shared" si="858"/>
        <v/>
      </c>
      <c r="AS740" s="41" t="b">
        <f t="shared" si="859"/>
        <v>1</v>
      </c>
      <c r="AT740" s="38">
        <f t="shared" si="860"/>
        <v>0</v>
      </c>
      <c r="AU740" s="60">
        <f t="shared" si="861"/>
        <v>0</v>
      </c>
      <c r="AV740" s="41">
        <f t="shared" si="862"/>
        <v>0</v>
      </c>
      <c r="AW740" s="41" t="b">
        <f t="shared" si="863"/>
        <v>0</v>
      </c>
      <c r="AX740" t="str">
        <f t="shared" si="864"/>
        <v>+00</v>
      </c>
      <c r="AY740" t="str">
        <f t="shared" si="865"/>
        <v>+00</v>
      </c>
      <c r="BA740" s="47" t="b">
        <f t="shared" si="894"/>
        <v>1</v>
      </c>
      <c r="BB740" s="42" t="b">
        <f t="shared" si="895"/>
        <v>1</v>
      </c>
      <c r="BC740" s="42" t="b">
        <f t="shared" si="896"/>
        <v>0</v>
      </c>
      <c r="BD740" s="42" t="b">
        <f t="shared" si="897"/>
        <v>0</v>
      </c>
      <c r="BE740" s="70">
        <f t="shared" si="898"/>
        <v>0</v>
      </c>
      <c r="BF740" s="70">
        <f t="shared" si="899"/>
        <v>0</v>
      </c>
      <c r="BG740" s="34"/>
      <c r="BI740" s="47" t="b">
        <f t="shared" si="900"/>
        <v>1</v>
      </c>
      <c r="BJ740" s="47" t="b">
        <f t="shared" si="901"/>
        <v>1</v>
      </c>
      <c r="BK740" s="42" t="b">
        <f t="shared" si="902"/>
        <v>0</v>
      </c>
      <c r="BL740" s="42" t="b">
        <f t="shared" si="903"/>
        <v>0</v>
      </c>
      <c r="BM740" s="42">
        <f t="shared" si="904"/>
        <v>0</v>
      </c>
      <c r="BN740" s="42">
        <f t="shared" si="905"/>
        <v>0</v>
      </c>
      <c r="BP740" t="e">
        <f t="shared" si="906"/>
        <v>#N/A</v>
      </c>
      <c r="BQ740" t="e">
        <f t="shared" si="907"/>
        <v>#N/A</v>
      </c>
      <c r="BR740" t="e">
        <f t="shared" si="908"/>
        <v>#N/A</v>
      </c>
      <c r="BT740" s="60">
        <f t="shared" si="909"/>
        <v>0</v>
      </c>
      <c r="BU740" s="60">
        <f t="shared" si="910"/>
        <v>0</v>
      </c>
      <c r="BV740" s="60">
        <f t="shared" si="911"/>
        <v>0</v>
      </c>
      <c r="BW740" s="60">
        <f t="shared" si="912"/>
        <v>0</v>
      </c>
      <c r="BX740" s="60">
        <f t="shared" si="913"/>
        <v>0</v>
      </c>
      <c r="BY740" s="60">
        <f t="shared" si="914"/>
        <v>0</v>
      </c>
      <c r="BZ740" s="60">
        <f t="shared" si="915"/>
        <v>0</v>
      </c>
      <c r="CA740" s="60">
        <f t="shared" si="916"/>
        <v>0</v>
      </c>
      <c r="CB740" s="60" t="e">
        <f t="shared" si="866"/>
        <v>#N/A</v>
      </c>
      <c r="CC740" s="60">
        <f t="shared" si="867"/>
        <v>100000</v>
      </c>
      <c r="CD740" s="60" t="e">
        <f t="shared" si="868"/>
        <v>#N/A</v>
      </c>
      <c r="CE740" s="60">
        <f t="shared" si="869"/>
        <v>100000</v>
      </c>
      <c r="CF740" s="83" t="e">
        <f t="shared" si="917"/>
        <v>#N/A</v>
      </c>
      <c r="CG740" s="83">
        <f t="shared" si="918"/>
        <v>0</v>
      </c>
      <c r="CH740" s="83" t="e">
        <f t="shared" si="919"/>
        <v>#N/A</v>
      </c>
      <c r="CI740" s="83">
        <f t="shared" si="920"/>
        <v>0</v>
      </c>
      <c r="CJ740" s="86" t="e">
        <f t="shared" si="870"/>
        <v>#N/A</v>
      </c>
      <c r="CK740" s="82">
        <f t="shared" si="871"/>
        <v>5.3070370403969858E-3</v>
      </c>
      <c r="CL740" s="82" t="e">
        <f t="shared" si="872"/>
        <v>#N/A</v>
      </c>
      <c r="CM740" s="82">
        <f t="shared" si="873"/>
        <v>5.3070370403969858E-3</v>
      </c>
      <c r="CO740" s="149" t="str">
        <f>IF($I740&lt;&gt;"",IF(O740="User Specified",U740,INDEX('Refrigerant GWPs'!$G$2:$G$156,MATCH(O740,'Refrigerant GWPs'!$A$2:$A$156,0))),"")</f>
        <v/>
      </c>
      <c r="CP740" s="138" t="str">
        <f>IF($I740&lt;&gt;"",INDEX('Device Refrigerant Leakage'!$E$2:$E$42,MATCH($M740,'Device Refrigerant Leakage'!$B$2:$B$42,0)),"")</f>
        <v/>
      </c>
      <c r="CQ740" s="138" t="str">
        <f>IF($I740&lt;&gt;"",INDEX('Device Refrigerant Leakage'!$F$2:$F$42,MATCH($M740,'Device Refrigerant Leakage'!$B$2:$B$42,0)),"")</f>
        <v/>
      </c>
      <c r="CR740" s="145" t="str">
        <f>IF($I740&lt;&gt;"",INDEX('Device Refrigerant Leakage'!$G$2:$G$42,MATCH($M740,'Device Refrigerant Leakage'!$B$2:$B$42,0)),"")</f>
        <v/>
      </c>
      <c r="CS740" s="145" t="str">
        <f>IF($I740&lt;&gt;"",INDEX('Device Refrigerant Leakage'!$D$2:$D$42,MATCH($M740,'Device Refrigerant Leakage'!$B$2:$B$42,0))*CP740/2204.62*CO740,"")</f>
        <v/>
      </c>
      <c r="CT740" s="145" t="str">
        <f>IF($I740&lt;&gt;"",J740*(INDEX('Device Refrigerant Leakage'!$D$2:$D$42,MATCH($M740,'Device Refrigerant Leakage'!$B$2:$B$42,0))-(INDEX('Device Refrigerant Leakage'!$D$2:$D$42,MATCH($M740,'Device Refrigerant Leakage'!$B$2:$B$42,0)))*CR740*CP740)*CQ740/2204.62*CO740,"")</f>
        <v/>
      </c>
      <c r="CU740" s="135" t="str">
        <f>IF($I740&lt;&gt;"",J740*IF(W740&lt;&gt;"AR",(CS740*K740)+CT740,(CS740*AB740)+CT740*(AB740/INDEX('Device Refrigerant Leakage'!$C$2:$C$42,MATCH($M740,'Device Refrigerant Leakage'!$B$2:$B$42,0)))),"")</f>
        <v/>
      </c>
      <c r="CW740" s="135" t="str">
        <f>IF($I740&lt;&gt;"",IF(S740="User Specified",V740,INDEX('Refrigerant GWPs'!$G$2:$G$156,MATCH(S740,'Refrigerant GWPs'!$A$2:$A$157,0))),"")</f>
        <v/>
      </c>
      <c r="CX740" s="138" t="str">
        <f>IF($I740&lt;&gt;"",INDEX('Device Refrigerant Leakage'!$E$2:$E$42,MATCH($Q740,'Device Refrigerant Leakage'!$B$2:$B$42,0)),"")</f>
        <v/>
      </c>
      <c r="CY740" s="138" t="str">
        <f>IF($I740&lt;&gt;"",INDEX('Device Refrigerant Leakage'!$F$2:$F$42,MATCH($Q740,'Device Refrigerant Leakage'!$B$2:$B$42,0)),"")</f>
        <v/>
      </c>
      <c r="CZ740" s="145" t="str">
        <f>IF($I740&lt;&gt;"",INDEX('Device Refrigerant Leakage'!$G$2:$G$42,MATCH($Q740,'Device Refrigerant Leakage'!$B$2:$B$42,0)),"")</f>
        <v/>
      </c>
      <c r="DA740" s="145" t="str">
        <f>IF($I740&lt;&gt;"",J740*INDEX('Device Refrigerant Leakage'!$D$2:$D$42,MATCH($Q740,'Device Refrigerant Leakage'!$B$2:$B$42,0))*CX740/2204.62*CW740,"")</f>
        <v/>
      </c>
      <c r="DB740" s="145" t="str">
        <f>IF($I740&lt;&gt;"",J740*(INDEX('Device Refrigerant Leakage'!$D$2:$D$42,MATCH($Q740,'Device Refrigerant Leakage'!$B$2:$B$42,0))-(INDEX('Device Refrigerant Leakage'!$D$2:$D$42,MATCH($Q740,'Device Refrigerant Leakage'!$B$2:$B$42,0)))*CZ740*CX740)*CY740/2204.62*CW740,"")</f>
        <v/>
      </c>
      <c r="DC740" s="135" t="str">
        <f t="shared" si="892"/>
        <v/>
      </c>
      <c r="DE740" s="146" t="str">
        <f>IF(W740&lt;&gt;"AR","",IF(Y740="User Specified", AA740, INDEX('Refrigerant GWPs'!$G$2:$G$154,MATCH(Y740,'Refrigerant GWPs'!$A$2:$A$154,0))))</f>
        <v/>
      </c>
      <c r="DF740" s="146" t="str">
        <f>IF(W740&lt;&gt;"AR","",INDEX('Device Refrigerant Leakage'!$E$2:$E$42,MATCH(X740,'Device Refrigerant Leakage'!$B$2:$B$42,0)))</f>
        <v/>
      </c>
      <c r="DG740" s="146" t="str">
        <f>IF(W740&lt;&gt;"AR","",INDEX('Device Refrigerant Leakage'!$F$2:$F$42,MATCH(X740,'Device Refrigerant Leakage'!$B$2:$B$42,0)))</f>
        <v/>
      </c>
      <c r="DH740" s="146" t="str">
        <f>IF(W740&lt;&gt;"AR","",INDEX('Device Refrigerant Leakage'!$G$2:$G$42,MATCH(X740,'Device Refrigerant Leakage'!$B$2:$B$42,0)))</f>
        <v/>
      </c>
      <c r="DI740" s="146" t="str">
        <f>IF(W740&lt;&gt;"AR","",J740*INDEX('Device Refrigerant Leakage'!$D$2:$D$42,MATCH(X740,'Device Refrigerant Leakage'!$B$2:$B$42,0))*DF740/2204.62*DE740)</f>
        <v/>
      </c>
      <c r="DJ740" s="146" t="str">
        <f>IF(W740&lt;&gt;"AR","",J740*(INDEX('Device Refrigerant Leakage'!$D$2:$D$42,MATCH(X740,'Device Refrigerant Leakage'!$B$2:$B$42,0))-(INDEX('Device Refrigerant Leakage'!$D$2:$D$42,MATCH(X740,'Device Refrigerant Leakage'!$B$2:$B$42,0)))*DH740*DF740)*DG740/2204.62*DE740)</f>
        <v/>
      </c>
      <c r="DK740" s="146" t="str">
        <f>IF(W740&lt;&gt;"AR","",DI740*(K740-AB740)+'Fuel Sub Calcs-Deemed'!DJ740*((K740-AB740)/INDEX('Device Refrigerant Leakage'!$C$2:$C$42,MATCH('Fuel Sub Calcs-Deemed'!X740,'Device Refrigerant Leakage'!$B$2:$B$42,0))))</f>
        <v/>
      </c>
      <c r="DM740" s="56">
        <v>726</v>
      </c>
      <c r="DN740" s="67" t="e">
        <f t="shared" si="874"/>
        <v>#N/A</v>
      </c>
      <c r="DO740" s="45" t="e">
        <f t="shared" si="875"/>
        <v>#N/A</v>
      </c>
      <c r="DP740" s="67" t="e">
        <f t="shared" si="876"/>
        <v>#N/A</v>
      </c>
      <c r="DQ740" s="45" t="e">
        <f t="shared" si="877"/>
        <v>#N/A</v>
      </c>
      <c r="DR740" s="69" t="e">
        <f t="shared" si="878"/>
        <v>#N/A</v>
      </c>
      <c r="DS740" s="34"/>
      <c r="DT740" s="67" t="e">
        <f>((BX740*CJ740)+IF($W740=MAT_AR,(BZ740*CL740),0))*(1+Reference!$E$50+Reference!$E$51)</f>
        <v>#N/A</v>
      </c>
      <c r="DU740" s="67">
        <f>((BY740*CK740)+IF($W740=MAT_AR,(CA740*CM740),0))*(1+Reference!$G$50+Reference!$G$51)</f>
        <v>0</v>
      </c>
      <c r="DV740" s="67" t="e">
        <f t="shared" si="879"/>
        <v>#VALUE!</v>
      </c>
      <c r="DX740" s="56">
        <v>726</v>
      </c>
      <c r="DY740" s="67">
        <f t="shared" si="880"/>
        <v>0</v>
      </c>
      <c r="DZ740" s="45" t="e">
        <f>VLOOKUP($R740,Dropdown!$C$3:$D$4,2,FALSE)</f>
        <v>#N/A</v>
      </c>
      <c r="EA740" s="68">
        <f t="shared" si="881"/>
        <v>0</v>
      </c>
      <c r="EB740" s="68" t="str">
        <f t="shared" si="882"/>
        <v>N/A</v>
      </c>
      <c r="EC740" s="68">
        <f t="shared" si="883"/>
        <v>0</v>
      </c>
      <c r="ED740" s="68" t="str">
        <f t="shared" si="921"/>
        <v>N/A</v>
      </c>
      <c r="EF740" s="56">
        <v>726</v>
      </c>
      <c r="EG740" s="46">
        <f t="shared" si="884"/>
        <v>0</v>
      </c>
      <c r="EH740" s="68" t="e">
        <f t="shared" si="885"/>
        <v>#N/A</v>
      </c>
      <c r="EI740" s="68" t="e">
        <f t="shared" si="886"/>
        <v>#N/A</v>
      </c>
      <c r="EJ740" s="68" t="e">
        <f t="shared" si="887"/>
        <v>#N/A</v>
      </c>
      <c r="EK740" s="68" t="e">
        <f t="shared" si="888"/>
        <v>#N/A</v>
      </c>
      <c r="EL740" s="46">
        <f t="shared" si="889"/>
        <v>0</v>
      </c>
      <c r="EM740" s="46">
        <f t="shared" si="890"/>
        <v>0</v>
      </c>
    </row>
    <row r="741" spans="1:143">
      <c r="A741" s="89"/>
      <c r="B741" s="89"/>
      <c r="C741" s="89"/>
      <c r="D741" s="89"/>
      <c r="E741" s="89"/>
      <c r="F741" s="89"/>
      <c r="G741" s="34"/>
      <c r="H741" s="56">
        <f t="shared" si="891"/>
        <v>727</v>
      </c>
      <c r="I741" s="165"/>
      <c r="J741" s="163"/>
      <c r="K741" s="163"/>
      <c r="L741" s="164"/>
      <c r="M741" s="155"/>
      <c r="N741" s="155"/>
      <c r="O741" s="144"/>
      <c r="P741" s="159" t="str">
        <f>IFERROR(IF(O741&lt;&gt;"User Specified",IF(O741&lt;&gt;"", INDEX('Refrigerant GWPs'!$G$2:$G$154,MATCH(O741,'Refrigerant GWPs'!$A$2:$A$154,0)),""),U741),0)</f>
        <v/>
      </c>
      <c r="Q741" s="155"/>
      <c r="R741" s="155"/>
      <c r="S741" s="144"/>
      <c r="T741" s="159" t="str">
        <f>IF(S741&lt;&gt;"User Specified",IF(AND(S741&lt;&gt;"User Specified",S741&lt;&gt;""), INDEX('Refrigerant GWPs'!$G$2:$G$154,MATCH(S741,'Refrigerant GWPs'!$A$2:$A$154,0)),""),V741)</f>
        <v/>
      </c>
      <c r="U741" s="144"/>
      <c r="V741" s="144"/>
      <c r="W741" s="155"/>
      <c r="X741" s="155"/>
      <c r="Y741" s="144"/>
      <c r="Z741" s="159" t="str">
        <f>IF(AND(Y741&lt;&gt;"User Specified",Y741&lt;&gt;""), INDEX('Refrigerant GWPs'!$G$2:$G$154,MATCH(Y741,'Refrigerant GWPs'!$A$2:$A$154,0)),"")</f>
        <v/>
      </c>
      <c r="AA741" s="155"/>
      <c r="AB741" s="156"/>
      <c r="AC741" s="66"/>
      <c r="AD741" s="66"/>
      <c r="AE741" s="66"/>
      <c r="AF741" s="66"/>
      <c r="AG741" s="66"/>
      <c r="AH741" s="66"/>
      <c r="AI741" s="34"/>
      <c r="AJ741" s="88">
        <f t="shared" si="854"/>
        <v>0</v>
      </c>
      <c r="AK741" s="88">
        <f t="shared" si="855"/>
        <v>0</v>
      </c>
      <c r="AL741" s="88">
        <v>0</v>
      </c>
      <c r="AM741" s="88">
        <v>0</v>
      </c>
      <c r="AN741" s="81" t="str">
        <f t="shared" si="893"/>
        <v/>
      </c>
      <c r="AO741" s="88">
        <f t="shared" si="856"/>
        <v>0</v>
      </c>
      <c r="AP741" s="88">
        <f t="shared" si="857"/>
        <v>0</v>
      </c>
      <c r="AQ741" s="81" t="str">
        <f t="shared" si="858"/>
        <v/>
      </c>
      <c r="AS741" s="41" t="b">
        <f t="shared" si="859"/>
        <v>1</v>
      </c>
      <c r="AT741" s="38">
        <f t="shared" si="860"/>
        <v>0</v>
      </c>
      <c r="AU741" s="60">
        <f t="shared" si="861"/>
        <v>0</v>
      </c>
      <c r="AV741" s="41">
        <f t="shared" si="862"/>
        <v>0</v>
      </c>
      <c r="AW741" s="41" t="b">
        <f t="shared" si="863"/>
        <v>0</v>
      </c>
      <c r="AX741" t="str">
        <f t="shared" si="864"/>
        <v>+00</v>
      </c>
      <c r="AY741" t="str">
        <f t="shared" si="865"/>
        <v>+00</v>
      </c>
      <c r="BA741" s="47" t="b">
        <f t="shared" si="894"/>
        <v>1</v>
      </c>
      <c r="BB741" s="42" t="b">
        <f t="shared" si="895"/>
        <v>1</v>
      </c>
      <c r="BC741" s="42" t="b">
        <f t="shared" si="896"/>
        <v>0</v>
      </c>
      <c r="BD741" s="42" t="b">
        <f t="shared" si="897"/>
        <v>0</v>
      </c>
      <c r="BE741" s="70">
        <f t="shared" si="898"/>
        <v>0</v>
      </c>
      <c r="BF741" s="70">
        <f t="shared" si="899"/>
        <v>0</v>
      </c>
      <c r="BG741" s="34"/>
      <c r="BI741" s="47" t="b">
        <f t="shared" si="900"/>
        <v>1</v>
      </c>
      <c r="BJ741" s="47" t="b">
        <f t="shared" si="901"/>
        <v>1</v>
      </c>
      <c r="BK741" s="42" t="b">
        <f t="shared" si="902"/>
        <v>0</v>
      </c>
      <c r="BL741" s="42" t="b">
        <f t="shared" si="903"/>
        <v>0</v>
      </c>
      <c r="BM741" s="42">
        <f t="shared" si="904"/>
        <v>0</v>
      </c>
      <c r="BN741" s="42">
        <f t="shared" si="905"/>
        <v>0</v>
      </c>
      <c r="BP741" t="e">
        <f t="shared" si="906"/>
        <v>#N/A</v>
      </c>
      <c r="BQ741" t="e">
        <f t="shared" si="907"/>
        <v>#N/A</v>
      </c>
      <c r="BR741" t="e">
        <f t="shared" si="908"/>
        <v>#N/A</v>
      </c>
      <c r="BT741" s="60">
        <f t="shared" si="909"/>
        <v>0</v>
      </c>
      <c r="BU741" s="60">
        <f t="shared" si="910"/>
        <v>0</v>
      </c>
      <c r="BV741" s="60">
        <f t="shared" si="911"/>
        <v>0</v>
      </c>
      <c r="BW741" s="60">
        <f t="shared" si="912"/>
        <v>0</v>
      </c>
      <c r="BX741" s="60">
        <f t="shared" si="913"/>
        <v>0</v>
      </c>
      <c r="BY741" s="60">
        <f t="shared" si="914"/>
        <v>0</v>
      </c>
      <c r="BZ741" s="60">
        <f t="shared" si="915"/>
        <v>0</v>
      </c>
      <c r="CA741" s="60">
        <f t="shared" si="916"/>
        <v>0</v>
      </c>
      <c r="CB741" s="60" t="e">
        <f t="shared" si="866"/>
        <v>#N/A</v>
      </c>
      <c r="CC741" s="60">
        <f t="shared" si="867"/>
        <v>100000</v>
      </c>
      <c r="CD741" s="60" t="e">
        <f t="shared" si="868"/>
        <v>#N/A</v>
      </c>
      <c r="CE741" s="60">
        <f t="shared" si="869"/>
        <v>100000</v>
      </c>
      <c r="CF741" s="83" t="e">
        <f t="shared" si="917"/>
        <v>#N/A</v>
      </c>
      <c r="CG741" s="83">
        <f t="shared" si="918"/>
        <v>0</v>
      </c>
      <c r="CH741" s="83" t="e">
        <f t="shared" si="919"/>
        <v>#N/A</v>
      </c>
      <c r="CI741" s="83">
        <f t="shared" si="920"/>
        <v>0</v>
      </c>
      <c r="CJ741" s="86" t="e">
        <f t="shared" si="870"/>
        <v>#N/A</v>
      </c>
      <c r="CK741" s="82">
        <f t="shared" si="871"/>
        <v>5.3070370403969858E-3</v>
      </c>
      <c r="CL741" s="82" t="e">
        <f t="shared" si="872"/>
        <v>#N/A</v>
      </c>
      <c r="CM741" s="82">
        <f t="shared" si="873"/>
        <v>5.3070370403969858E-3</v>
      </c>
      <c r="CO741" s="149" t="str">
        <f>IF($I741&lt;&gt;"",IF(O741="User Specified",U741,INDEX('Refrigerant GWPs'!$G$2:$G$156,MATCH(O741,'Refrigerant GWPs'!$A$2:$A$156,0))),"")</f>
        <v/>
      </c>
      <c r="CP741" s="138" t="str">
        <f>IF($I741&lt;&gt;"",INDEX('Device Refrigerant Leakage'!$E$2:$E$42,MATCH($M741,'Device Refrigerant Leakage'!$B$2:$B$42,0)),"")</f>
        <v/>
      </c>
      <c r="CQ741" s="138" t="str">
        <f>IF($I741&lt;&gt;"",INDEX('Device Refrigerant Leakage'!$F$2:$F$42,MATCH($M741,'Device Refrigerant Leakage'!$B$2:$B$42,0)),"")</f>
        <v/>
      </c>
      <c r="CR741" s="145" t="str">
        <f>IF($I741&lt;&gt;"",INDEX('Device Refrigerant Leakage'!$G$2:$G$42,MATCH($M741,'Device Refrigerant Leakage'!$B$2:$B$42,0)),"")</f>
        <v/>
      </c>
      <c r="CS741" s="145" t="str">
        <f>IF($I741&lt;&gt;"",INDEX('Device Refrigerant Leakage'!$D$2:$D$42,MATCH($M741,'Device Refrigerant Leakage'!$B$2:$B$42,0))*CP741/2204.62*CO741,"")</f>
        <v/>
      </c>
      <c r="CT741" s="145" t="str">
        <f>IF($I741&lt;&gt;"",J741*(INDEX('Device Refrigerant Leakage'!$D$2:$D$42,MATCH($M741,'Device Refrigerant Leakage'!$B$2:$B$42,0))-(INDEX('Device Refrigerant Leakage'!$D$2:$D$42,MATCH($M741,'Device Refrigerant Leakage'!$B$2:$B$42,0)))*CR741*CP741)*CQ741/2204.62*CO741,"")</f>
        <v/>
      </c>
      <c r="CU741" s="135" t="str">
        <f>IF($I741&lt;&gt;"",J741*IF(W741&lt;&gt;"AR",(CS741*K741)+CT741,(CS741*AB741)+CT741*(AB741/INDEX('Device Refrigerant Leakage'!$C$2:$C$42,MATCH($M741,'Device Refrigerant Leakage'!$B$2:$B$42,0)))),"")</f>
        <v/>
      </c>
      <c r="CW741" s="135" t="str">
        <f>IF($I741&lt;&gt;"",IF(S741="User Specified",V741,INDEX('Refrigerant GWPs'!$G$2:$G$156,MATCH(S741,'Refrigerant GWPs'!$A$2:$A$157,0))),"")</f>
        <v/>
      </c>
      <c r="CX741" s="138" t="str">
        <f>IF($I741&lt;&gt;"",INDEX('Device Refrigerant Leakage'!$E$2:$E$42,MATCH($Q741,'Device Refrigerant Leakage'!$B$2:$B$42,0)),"")</f>
        <v/>
      </c>
      <c r="CY741" s="138" t="str">
        <f>IF($I741&lt;&gt;"",INDEX('Device Refrigerant Leakage'!$F$2:$F$42,MATCH($Q741,'Device Refrigerant Leakage'!$B$2:$B$42,0)),"")</f>
        <v/>
      </c>
      <c r="CZ741" s="145" t="str">
        <f>IF($I741&lt;&gt;"",INDEX('Device Refrigerant Leakage'!$G$2:$G$42,MATCH($Q741,'Device Refrigerant Leakage'!$B$2:$B$42,0)),"")</f>
        <v/>
      </c>
      <c r="DA741" s="145" t="str">
        <f>IF($I741&lt;&gt;"",J741*INDEX('Device Refrigerant Leakage'!$D$2:$D$42,MATCH($Q741,'Device Refrigerant Leakage'!$B$2:$B$42,0))*CX741/2204.62*CW741,"")</f>
        <v/>
      </c>
      <c r="DB741" s="145" t="str">
        <f>IF($I741&lt;&gt;"",J741*(INDEX('Device Refrigerant Leakage'!$D$2:$D$42,MATCH($Q741,'Device Refrigerant Leakage'!$B$2:$B$42,0))-(INDEX('Device Refrigerant Leakage'!$D$2:$D$42,MATCH($Q741,'Device Refrigerant Leakage'!$B$2:$B$42,0)))*CZ741*CX741)*CY741/2204.62*CW741,"")</f>
        <v/>
      </c>
      <c r="DC741" s="135" t="str">
        <f t="shared" si="892"/>
        <v/>
      </c>
      <c r="DE741" s="146" t="str">
        <f>IF(W741&lt;&gt;"AR","",IF(Y741="User Specified", AA741, INDEX('Refrigerant GWPs'!$G$2:$G$154,MATCH(Y741,'Refrigerant GWPs'!$A$2:$A$154,0))))</f>
        <v/>
      </c>
      <c r="DF741" s="146" t="str">
        <f>IF(W741&lt;&gt;"AR","",INDEX('Device Refrigerant Leakage'!$E$2:$E$42,MATCH(X741,'Device Refrigerant Leakage'!$B$2:$B$42,0)))</f>
        <v/>
      </c>
      <c r="DG741" s="146" t="str">
        <f>IF(W741&lt;&gt;"AR","",INDEX('Device Refrigerant Leakage'!$F$2:$F$42,MATCH(X741,'Device Refrigerant Leakage'!$B$2:$B$42,0)))</f>
        <v/>
      </c>
      <c r="DH741" s="146" t="str">
        <f>IF(W741&lt;&gt;"AR","",INDEX('Device Refrigerant Leakage'!$G$2:$G$42,MATCH(X741,'Device Refrigerant Leakage'!$B$2:$B$42,0)))</f>
        <v/>
      </c>
      <c r="DI741" s="146" t="str">
        <f>IF(W741&lt;&gt;"AR","",J741*INDEX('Device Refrigerant Leakage'!$D$2:$D$42,MATCH(X741,'Device Refrigerant Leakage'!$B$2:$B$42,0))*DF741/2204.62*DE741)</f>
        <v/>
      </c>
      <c r="DJ741" s="146" t="str">
        <f>IF(W741&lt;&gt;"AR","",J741*(INDEX('Device Refrigerant Leakage'!$D$2:$D$42,MATCH(X741,'Device Refrigerant Leakage'!$B$2:$B$42,0))-(INDEX('Device Refrigerant Leakage'!$D$2:$D$42,MATCH(X741,'Device Refrigerant Leakage'!$B$2:$B$42,0)))*DH741*DF741)*DG741/2204.62*DE741)</f>
        <v/>
      </c>
      <c r="DK741" s="146" t="str">
        <f>IF(W741&lt;&gt;"AR","",DI741*(K741-AB741)+'Fuel Sub Calcs-Deemed'!DJ741*((K741-AB741)/INDEX('Device Refrigerant Leakage'!$C$2:$C$42,MATCH('Fuel Sub Calcs-Deemed'!X741,'Device Refrigerant Leakage'!$B$2:$B$42,0))))</f>
        <v/>
      </c>
      <c r="DM741" s="56">
        <v>727</v>
      </c>
      <c r="DN741" s="67" t="e">
        <f t="shared" si="874"/>
        <v>#N/A</v>
      </c>
      <c r="DO741" s="45" t="e">
        <f t="shared" si="875"/>
        <v>#N/A</v>
      </c>
      <c r="DP741" s="67" t="e">
        <f t="shared" si="876"/>
        <v>#N/A</v>
      </c>
      <c r="DQ741" s="45" t="e">
        <f t="shared" si="877"/>
        <v>#N/A</v>
      </c>
      <c r="DR741" s="69" t="e">
        <f t="shared" si="878"/>
        <v>#N/A</v>
      </c>
      <c r="DS741" s="34"/>
      <c r="DT741" s="67" t="e">
        <f>((BX741*CJ741)+IF($W741=MAT_AR,(BZ741*CL741),0))*(1+Reference!$E$50+Reference!$E$51)</f>
        <v>#N/A</v>
      </c>
      <c r="DU741" s="67">
        <f>((BY741*CK741)+IF($W741=MAT_AR,(CA741*CM741),0))*(1+Reference!$G$50+Reference!$G$51)</f>
        <v>0</v>
      </c>
      <c r="DV741" s="67" t="e">
        <f t="shared" si="879"/>
        <v>#VALUE!</v>
      </c>
      <c r="DX741" s="56">
        <v>727</v>
      </c>
      <c r="DY741" s="67">
        <f t="shared" si="880"/>
        <v>0</v>
      </c>
      <c r="DZ741" s="45" t="e">
        <f>VLOOKUP($R741,Dropdown!$C$3:$D$4,2,FALSE)</f>
        <v>#N/A</v>
      </c>
      <c r="EA741" s="68">
        <f t="shared" si="881"/>
        <v>0</v>
      </c>
      <c r="EB741" s="68" t="str">
        <f t="shared" si="882"/>
        <v>N/A</v>
      </c>
      <c r="EC741" s="68">
        <f t="shared" si="883"/>
        <v>0</v>
      </c>
      <c r="ED741" s="68" t="str">
        <f t="shared" si="921"/>
        <v>N/A</v>
      </c>
      <c r="EF741" s="56">
        <v>727</v>
      </c>
      <c r="EG741" s="46">
        <f t="shared" si="884"/>
        <v>0</v>
      </c>
      <c r="EH741" s="68" t="e">
        <f t="shared" si="885"/>
        <v>#N/A</v>
      </c>
      <c r="EI741" s="68" t="e">
        <f t="shared" si="886"/>
        <v>#N/A</v>
      </c>
      <c r="EJ741" s="68" t="e">
        <f t="shared" si="887"/>
        <v>#N/A</v>
      </c>
      <c r="EK741" s="68" t="e">
        <f t="shared" si="888"/>
        <v>#N/A</v>
      </c>
      <c r="EL741" s="46">
        <f t="shared" si="889"/>
        <v>0</v>
      </c>
      <c r="EM741" s="46">
        <f t="shared" si="890"/>
        <v>0</v>
      </c>
    </row>
    <row r="742" spans="1:143">
      <c r="A742" s="89"/>
      <c r="B742" s="89"/>
      <c r="C742" s="89"/>
      <c r="D742" s="89"/>
      <c r="E742" s="89"/>
      <c r="F742" s="89"/>
      <c r="G742" s="34"/>
      <c r="H742" s="56">
        <f t="shared" si="891"/>
        <v>728</v>
      </c>
      <c r="I742" s="165"/>
      <c r="J742" s="163"/>
      <c r="K742" s="163"/>
      <c r="L742" s="164"/>
      <c r="M742" s="155"/>
      <c r="N742" s="155"/>
      <c r="O742" s="144"/>
      <c r="P742" s="159" t="str">
        <f>IFERROR(IF(O742&lt;&gt;"User Specified",IF(O742&lt;&gt;"", INDEX('Refrigerant GWPs'!$G$2:$G$154,MATCH(O742,'Refrigerant GWPs'!$A$2:$A$154,0)),""),U742),0)</f>
        <v/>
      </c>
      <c r="Q742" s="155"/>
      <c r="R742" s="155"/>
      <c r="S742" s="144"/>
      <c r="T742" s="159" t="str">
        <f>IF(S742&lt;&gt;"User Specified",IF(AND(S742&lt;&gt;"User Specified",S742&lt;&gt;""), INDEX('Refrigerant GWPs'!$G$2:$G$154,MATCH(S742,'Refrigerant GWPs'!$A$2:$A$154,0)),""),V742)</f>
        <v/>
      </c>
      <c r="U742" s="144"/>
      <c r="V742" s="144"/>
      <c r="W742" s="155"/>
      <c r="X742" s="155"/>
      <c r="Y742" s="144"/>
      <c r="Z742" s="159" t="str">
        <f>IF(AND(Y742&lt;&gt;"User Specified",Y742&lt;&gt;""), INDEX('Refrigerant GWPs'!$G$2:$G$154,MATCH(Y742,'Refrigerant GWPs'!$A$2:$A$154,0)),"")</f>
        <v/>
      </c>
      <c r="AA742" s="155"/>
      <c r="AB742" s="156"/>
      <c r="AC742" s="66"/>
      <c r="AD742" s="66"/>
      <c r="AE742" s="66"/>
      <c r="AF742" s="66"/>
      <c r="AG742" s="66"/>
      <c r="AH742" s="66"/>
      <c r="AI742" s="34"/>
      <c r="AJ742" s="88">
        <f t="shared" si="854"/>
        <v>0</v>
      </c>
      <c r="AK742" s="88">
        <f t="shared" si="855"/>
        <v>0</v>
      </c>
      <c r="AL742" s="88">
        <v>0</v>
      </c>
      <c r="AM742" s="88">
        <v>0</v>
      </c>
      <c r="AN742" s="81" t="str">
        <f t="shared" si="893"/>
        <v/>
      </c>
      <c r="AO742" s="88">
        <f t="shared" si="856"/>
        <v>0</v>
      </c>
      <c r="AP742" s="88">
        <f t="shared" si="857"/>
        <v>0</v>
      </c>
      <c r="AQ742" s="81" t="str">
        <f t="shared" si="858"/>
        <v/>
      </c>
      <c r="AS742" s="41" t="b">
        <f t="shared" si="859"/>
        <v>1</v>
      </c>
      <c r="AT742" s="38">
        <f t="shared" si="860"/>
        <v>0</v>
      </c>
      <c r="AU742" s="60">
        <f t="shared" si="861"/>
        <v>0</v>
      </c>
      <c r="AV742" s="41">
        <f t="shared" si="862"/>
        <v>0</v>
      </c>
      <c r="AW742" s="41" t="b">
        <f t="shared" si="863"/>
        <v>0</v>
      </c>
      <c r="AX742" t="str">
        <f t="shared" si="864"/>
        <v>+00</v>
      </c>
      <c r="AY742" t="str">
        <f t="shared" si="865"/>
        <v>+00</v>
      </c>
      <c r="BA742" s="47" t="b">
        <f t="shared" si="894"/>
        <v>1</v>
      </c>
      <c r="BB742" s="42" t="b">
        <f t="shared" si="895"/>
        <v>1</v>
      </c>
      <c r="BC742" s="42" t="b">
        <f t="shared" si="896"/>
        <v>0</v>
      </c>
      <c r="BD742" s="42" t="b">
        <f t="shared" si="897"/>
        <v>0</v>
      </c>
      <c r="BE742" s="70">
        <f t="shared" si="898"/>
        <v>0</v>
      </c>
      <c r="BF742" s="70">
        <f t="shared" si="899"/>
        <v>0</v>
      </c>
      <c r="BG742" s="34"/>
      <c r="BI742" s="47" t="b">
        <f t="shared" si="900"/>
        <v>1</v>
      </c>
      <c r="BJ742" s="47" t="b">
        <f t="shared" si="901"/>
        <v>1</v>
      </c>
      <c r="BK742" s="42" t="b">
        <f t="shared" si="902"/>
        <v>0</v>
      </c>
      <c r="BL742" s="42" t="b">
        <f t="shared" si="903"/>
        <v>0</v>
      </c>
      <c r="BM742" s="42">
        <f t="shared" si="904"/>
        <v>0</v>
      </c>
      <c r="BN742" s="42">
        <f t="shared" si="905"/>
        <v>0</v>
      </c>
      <c r="BP742" t="e">
        <f t="shared" si="906"/>
        <v>#N/A</v>
      </c>
      <c r="BQ742" t="e">
        <f t="shared" si="907"/>
        <v>#N/A</v>
      </c>
      <c r="BR742" t="e">
        <f t="shared" si="908"/>
        <v>#N/A</v>
      </c>
      <c r="BT742" s="60">
        <f t="shared" si="909"/>
        <v>0</v>
      </c>
      <c r="BU742" s="60">
        <f t="shared" si="910"/>
        <v>0</v>
      </c>
      <c r="BV742" s="60">
        <f t="shared" si="911"/>
        <v>0</v>
      </c>
      <c r="BW742" s="60">
        <f t="shared" si="912"/>
        <v>0</v>
      </c>
      <c r="BX742" s="60">
        <f t="shared" si="913"/>
        <v>0</v>
      </c>
      <c r="BY742" s="60">
        <f t="shared" si="914"/>
        <v>0</v>
      </c>
      <c r="BZ742" s="60">
        <f t="shared" si="915"/>
        <v>0</v>
      </c>
      <c r="CA742" s="60">
        <f t="shared" si="916"/>
        <v>0</v>
      </c>
      <c r="CB742" s="60" t="e">
        <f t="shared" si="866"/>
        <v>#N/A</v>
      </c>
      <c r="CC742" s="60">
        <f t="shared" si="867"/>
        <v>100000</v>
      </c>
      <c r="CD742" s="60" t="e">
        <f t="shared" si="868"/>
        <v>#N/A</v>
      </c>
      <c r="CE742" s="60">
        <f t="shared" si="869"/>
        <v>100000</v>
      </c>
      <c r="CF742" s="83" t="e">
        <f t="shared" si="917"/>
        <v>#N/A</v>
      </c>
      <c r="CG742" s="83">
        <f t="shared" si="918"/>
        <v>0</v>
      </c>
      <c r="CH742" s="83" t="e">
        <f t="shared" si="919"/>
        <v>#N/A</v>
      </c>
      <c r="CI742" s="83">
        <f t="shared" si="920"/>
        <v>0</v>
      </c>
      <c r="CJ742" s="86" t="e">
        <f t="shared" si="870"/>
        <v>#N/A</v>
      </c>
      <c r="CK742" s="82">
        <f t="shared" si="871"/>
        <v>5.3070370403969858E-3</v>
      </c>
      <c r="CL742" s="82" t="e">
        <f t="shared" si="872"/>
        <v>#N/A</v>
      </c>
      <c r="CM742" s="82">
        <f t="shared" si="873"/>
        <v>5.3070370403969858E-3</v>
      </c>
      <c r="CO742" s="149" t="str">
        <f>IF($I742&lt;&gt;"",IF(O742="User Specified",U742,INDEX('Refrigerant GWPs'!$G$2:$G$156,MATCH(O742,'Refrigerant GWPs'!$A$2:$A$156,0))),"")</f>
        <v/>
      </c>
      <c r="CP742" s="138" t="str">
        <f>IF($I742&lt;&gt;"",INDEX('Device Refrigerant Leakage'!$E$2:$E$42,MATCH($M742,'Device Refrigerant Leakage'!$B$2:$B$42,0)),"")</f>
        <v/>
      </c>
      <c r="CQ742" s="138" t="str">
        <f>IF($I742&lt;&gt;"",INDEX('Device Refrigerant Leakage'!$F$2:$F$42,MATCH($M742,'Device Refrigerant Leakage'!$B$2:$B$42,0)),"")</f>
        <v/>
      </c>
      <c r="CR742" s="145" t="str">
        <f>IF($I742&lt;&gt;"",INDEX('Device Refrigerant Leakage'!$G$2:$G$42,MATCH($M742,'Device Refrigerant Leakage'!$B$2:$B$42,0)),"")</f>
        <v/>
      </c>
      <c r="CS742" s="145" t="str">
        <f>IF($I742&lt;&gt;"",INDEX('Device Refrigerant Leakage'!$D$2:$D$42,MATCH($M742,'Device Refrigerant Leakage'!$B$2:$B$42,0))*CP742/2204.62*CO742,"")</f>
        <v/>
      </c>
      <c r="CT742" s="145" t="str">
        <f>IF($I742&lt;&gt;"",J742*(INDEX('Device Refrigerant Leakage'!$D$2:$D$42,MATCH($M742,'Device Refrigerant Leakage'!$B$2:$B$42,0))-(INDEX('Device Refrigerant Leakage'!$D$2:$D$42,MATCH($M742,'Device Refrigerant Leakage'!$B$2:$B$42,0)))*CR742*CP742)*CQ742/2204.62*CO742,"")</f>
        <v/>
      </c>
      <c r="CU742" s="135" t="str">
        <f>IF($I742&lt;&gt;"",J742*IF(W742&lt;&gt;"AR",(CS742*K742)+CT742,(CS742*AB742)+CT742*(AB742/INDEX('Device Refrigerant Leakage'!$C$2:$C$42,MATCH($M742,'Device Refrigerant Leakage'!$B$2:$B$42,0)))),"")</f>
        <v/>
      </c>
      <c r="CW742" s="135" t="str">
        <f>IF($I742&lt;&gt;"",IF(S742="User Specified",V742,INDEX('Refrigerant GWPs'!$G$2:$G$156,MATCH(S742,'Refrigerant GWPs'!$A$2:$A$157,0))),"")</f>
        <v/>
      </c>
      <c r="CX742" s="138" t="str">
        <f>IF($I742&lt;&gt;"",INDEX('Device Refrigerant Leakage'!$E$2:$E$42,MATCH($Q742,'Device Refrigerant Leakage'!$B$2:$B$42,0)),"")</f>
        <v/>
      </c>
      <c r="CY742" s="138" t="str">
        <f>IF($I742&lt;&gt;"",INDEX('Device Refrigerant Leakage'!$F$2:$F$42,MATCH($Q742,'Device Refrigerant Leakage'!$B$2:$B$42,0)),"")</f>
        <v/>
      </c>
      <c r="CZ742" s="145" t="str">
        <f>IF($I742&lt;&gt;"",INDEX('Device Refrigerant Leakage'!$G$2:$G$42,MATCH($Q742,'Device Refrigerant Leakage'!$B$2:$B$42,0)),"")</f>
        <v/>
      </c>
      <c r="DA742" s="145" t="str">
        <f>IF($I742&lt;&gt;"",J742*INDEX('Device Refrigerant Leakage'!$D$2:$D$42,MATCH($Q742,'Device Refrigerant Leakage'!$B$2:$B$42,0))*CX742/2204.62*CW742,"")</f>
        <v/>
      </c>
      <c r="DB742" s="145" t="str">
        <f>IF($I742&lt;&gt;"",J742*(INDEX('Device Refrigerant Leakage'!$D$2:$D$42,MATCH($Q742,'Device Refrigerant Leakage'!$B$2:$B$42,0))-(INDEX('Device Refrigerant Leakage'!$D$2:$D$42,MATCH($Q742,'Device Refrigerant Leakage'!$B$2:$B$42,0)))*CZ742*CX742)*CY742/2204.62*CW742,"")</f>
        <v/>
      </c>
      <c r="DC742" s="135" t="str">
        <f t="shared" si="892"/>
        <v/>
      </c>
      <c r="DE742" s="146" t="str">
        <f>IF(W742&lt;&gt;"AR","",IF(Y742="User Specified", AA742, INDEX('Refrigerant GWPs'!$G$2:$G$154,MATCH(Y742,'Refrigerant GWPs'!$A$2:$A$154,0))))</f>
        <v/>
      </c>
      <c r="DF742" s="146" t="str">
        <f>IF(W742&lt;&gt;"AR","",INDEX('Device Refrigerant Leakage'!$E$2:$E$42,MATCH(X742,'Device Refrigerant Leakage'!$B$2:$B$42,0)))</f>
        <v/>
      </c>
      <c r="DG742" s="146" t="str">
        <f>IF(W742&lt;&gt;"AR","",INDEX('Device Refrigerant Leakage'!$F$2:$F$42,MATCH(X742,'Device Refrigerant Leakage'!$B$2:$B$42,0)))</f>
        <v/>
      </c>
      <c r="DH742" s="146" t="str">
        <f>IF(W742&lt;&gt;"AR","",INDEX('Device Refrigerant Leakage'!$G$2:$G$42,MATCH(X742,'Device Refrigerant Leakage'!$B$2:$B$42,0)))</f>
        <v/>
      </c>
      <c r="DI742" s="146" t="str">
        <f>IF(W742&lt;&gt;"AR","",J742*INDEX('Device Refrigerant Leakage'!$D$2:$D$42,MATCH(X742,'Device Refrigerant Leakage'!$B$2:$B$42,0))*DF742/2204.62*DE742)</f>
        <v/>
      </c>
      <c r="DJ742" s="146" t="str">
        <f>IF(W742&lt;&gt;"AR","",J742*(INDEX('Device Refrigerant Leakage'!$D$2:$D$42,MATCH(X742,'Device Refrigerant Leakage'!$B$2:$B$42,0))-(INDEX('Device Refrigerant Leakage'!$D$2:$D$42,MATCH(X742,'Device Refrigerant Leakage'!$B$2:$B$42,0)))*DH742*DF742)*DG742/2204.62*DE742)</f>
        <v/>
      </c>
      <c r="DK742" s="146" t="str">
        <f>IF(W742&lt;&gt;"AR","",DI742*(K742-AB742)+'Fuel Sub Calcs-Deemed'!DJ742*((K742-AB742)/INDEX('Device Refrigerant Leakage'!$C$2:$C$42,MATCH('Fuel Sub Calcs-Deemed'!X742,'Device Refrigerant Leakage'!$B$2:$B$42,0))))</f>
        <v/>
      </c>
      <c r="DM742" s="56">
        <v>728</v>
      </c>
      <c r="DN742" s="67" t="e">
        <f t="shared" si="874"/>
        <v>#N/A</v>
      </c>
      <c r="DO742" s="45" t="e">
        <f t="shared" si="875"/>
        <v>#N/A</v>
      </c>
      <c r="DP742" s="67" t="e">
        <f t="shared" si="876"/>
        <v>#N/A</v>
      </c>
      <c r="DQ742" s="45" t="e">
        <f t="shared" si="877"/>
        <v>#N/A</v>
      </c>
      <c r="DR742" s="69" t="e">
        <f t="shared" si="878"/>
        <v>#N/A</v>
      </c>
      <c r="DS742" s="34"/>
      <c r="DT742" s="67" t="e">
        <f>((BX742*CJ742)+IF($W742=MAT_AR,(BZ742*CL742),0))*(1+Reference!$E$50+Reference!$E$51)</f>
        <v>#N/A</v>
      </c>
      <c r="DU742" s="67">
        <f>((BY742*CK742)+IF($W742=MAT_AR,(CA742*CM742),0))*(1+Reference!$G$50+Reference!$G$51)</f>
        <v>0</v>
      </c>
      <c r="DV742" s="67" t="e">
        <f t="shared" si="879"/>
        <v>#VALUE!</v>
      </c>
      <c r="DX742" s="56">
        <v>728</v>
      </c>
      <c r="DY742" s="67">
        <f t="shared" si="880"/>
        <v>0</v>
      </c>
      <c r="DZ742" s="45" t="e">
        <f>VLOOKUP($R742,Dropdown!$C$3:$D$4,2,FALSE)</f>
        <v>#N/A</v>
      </c>
      <c r="EA742" s="68">
        <f t="shared" si="881"/>
        <v>0</v>
      </c>
      <c r="EB742" s="68" t="str">
        <f t="shared" si="882"/>
        <v>N/A</v>
      </c>
      <c r="EC742" s="68">
        <f t="shared" si="883"/>
        <v>0</v>
      </c>
      <c r="ED742" s="68" t="str">
        <f t="shared" si="921"/>
        <v>N/A</v>
      </c>
      <c r="EF742" s="56">
        <v>728</v>
      </c>
      <c r="EG742" s="46">
        <f t="shared" si="884"/>
        <v>0</v>
      </c>
      <c r="EH742" s="68" t="e">
        <f t="shared" si="885"/>
        <v>#N/A</v>
      </c>
      <c r="EI742" s="68" t="e">
        <f t="shared" si="886"/>
        <v>#N/A</v>
      </c>
      <c r="EJ742" s="68" t="e">
        <f t="shared" si="887"/>
        <v>#N/A</v>
      </c>
      <c r="EK742" s="68" t="e">
        <f t="shared" si="888"/>
        <v>#N/A</v>
      </c>
      <c r="EL742" s="46">
        <f t="shared" si="889"/>
        <v>0</v>
      </c>
      <c r="EM742" s="46">
        <f t="shared" si="890"/>
        <v>0</v>
      </c>
    </row>
    <row r="743" spans="1:143">
      <c r="A743" s="89"/>
      <c r="B743" s="89"/>
      <c r="C743" s="89"/>
      <c r="D743" s="89"/>
      <c r="E743" s="89"/>
      <c r="F743" s="89"/>
      <c r="G743" s="34"/>
      <c r="H743" s="56">
        <f t="shared" si="891"/>
        <v>729</v>
      </c>
      <c r="I743" s="165"/>
      <c r="J743" s="163"/>
      <c r="K743" s="163"/>
      <c r="L743" s="164"/>
      <c r="M743" s="155"/>
      <c r="N743" s="155"/>
      <c r="O743" s="144"/>
      <c r="P743" s="159" t="str">
        <f>IFERROR(IF(O743&lt;&gt;"User Specified",IF(O743&lt;&gt;"", INDEX('Refrigerant GWPs'!$G$2:$G$154,MATCH(O743,'Refrigerant GWPs'!$A$2:$A$154,0)),""),U743),0)</f>
        <v/>
      </c>
      <c r="Q743" s="155"/>
      <c r="R743" s="155"/>
      <c r="S743" s="144"/>
      <c r="T743" s="159" t="str">
        <f>IF(S743&lt;&gt;"User Specified",IF(AND(S743&lt;&gt;"User Specified",S743&lt;&gt;""), INDEX('Refrigerant GWPs'!$G$2:$G$154,MATCH(S743,'Refrigerant GWPs'!$A$2:$A$154,0)),""),V743)</f>
        <v/>
      </c>
      <c r="U743" s="144"/>
      <c r="V743" s="144"/>
      <c r="W743" s="155"/>
      <c r="X743" s="155"/>
      <c r="Y743" s="144"/>
      <c r="Z743" s="159" t="str">
        <f>IF(AND(Y743&lt;&gt;"User Specified",Y743&lt;&gt;""), INDEX('Refrigerant GWPs'!$G$2:$G$154,MATCH(Y743,'Refrigerant GWPs'!$A$2:$A$154,0)),"")</f>
        <v/>
      </c>
      <c r="AA743" s="155"/>
      <c r="AB743" s="156"/>
      <c r="AC743" s="66"/>
      <c r="AD743" s="66"/>
      <c r="AE743" s="66"/>
      <c r="AF743" s="66"/>
      <c r="AG743" s="66"/>
      <c r="AH743" s="66"/>
      <c r="AI743" s="34"/>
      <c r="AJ743" s="88">
        <f t="shared" si="854"/>
        <v>0</v>
      </c>
      <c r="AK743" s="88">
        <f t="shared" si="855"/>
        <v>0</v>
      </c>
      <c r="AL743" s="88">
        <v>0</v>
      </c>
      <c r="AM743" s="88">
        <v>0</v>
      </c>
      <c r="AN743" s="81" t="str">
        <f t="shared" si="893"/>
        <v/>
      </c>
      <c r="AO743" s="88">
        <f t="shared" si="856"/>
        <v>0</v>
      </c>
      <c r="AP743" s="88">
        <f t="shared" si="857"/>
        <v>0</v>
      </c>
      <c r="AQ743" s="81" t="str">
        <f t="shared" si="858"/>
        <v/>
      </c>
      <c r="AS743" s="41" t="b">
        <f t="shared" si="859"/>
        <v>1</v>
      </c>
      <c r="AT743" s="38">
        <f t="shared" si="860"/>
        <v>0</v>
      </c>
      <c r="AU743" s="60">
        <f t="shared" si="861"/>
        <v>0</v>
      </c>
      <c r="AV743" s="41">
        <f t="shared" si="862"/>
        <v>0</v>
      </c>
      <c r="AW743" s="41" t="b">
        <f t="shared" si="863"/>
        <v>0</v>
      </c>
      <c r="AX743" t="str">
        <f t="shared" si="864"/>
        <v>+00</v>
      </c>
      <c r="AY743" t="str">
        <f t="shared" si="865"/>
        <v>+00</v>
      </c>
      <c r="BA743" s="47" t="b">
        <f t="shared" si="894"/>
        <v>1</v>
      </c>
      <c r="BB743" s="42" t="b">
        <f t="shared" si="895"/>
        <v>1</v>
      </c>
      <c r="BC743" s="42" t="b">
        <f t="shared" si="896"/>
        <v>0</v>
      </c>
      <c r="BD743" s="42" t="b">
        <f t="shared" si="897"/>
        <v>0</v>
      </c>
      <c r="BE743" s="70">
        <f t="shared" si="898"/>
        <v>0</v>
      </c>
      <c r="BF743" s="70">
        <f t="shared" si="899"/>
        <v>0</v>
      </c>
      <c r="BG743" s="34"/>
      <c r="BI743" s="47" t="b">
        <f t="shared" si="900"/>
        <v>1</v>
      </c>
      <c r="BJ743" s="47" t="b">
        <f t="shared" si="901"/>
        <v>1</v>
      </c>
      <c r="BK743" s="42" t="b">
        <f t="shared" si="902"/>
        <v>0</v>
      </c>
      <c r="BL743" s="42" t="b">
        <f t="shared" si="903"/>
        <v>0</v>
      </c>
      <c r="BM743" s="42">
        <f t="shared" si="904"/>
        <v>0</v>
      </c>
      <c r="BN743" s="42">
        <f t="shared" si="905"/>
        <v>0</v>
      </c>
      <c r="BP743" t="e">
        <f t="shared" si="906"/>
        <v>#N/A</v>
      </c>
      <c r="BQ743" t="e">
        <f t="shared" si="907"/>
        <v>#N/A</v>
      </c>
      <c r="BR743" t="e">
        <f t="shared" si="908"/>
        <v>#N/A</v>
      </c>
      <c r="BT743" s="60">
        <f t="shared" si="909"/>
        <v>0</v>
      </c>
      <c r="BU743" s="60">
        <f t="shared" si="910"/>
        <v>0</v>
      </c>
      <c r="BV743" s="60">
        <f t="shared" si="911"/>
        <v>0</v>
      </c>
      <c r="BW743" s="60">
        <f t="shared" si="912"/>
        <v>0</v>
      </c>
      <c r="BX743" s="60">
        <f t="shared" si="913"/>
        <v>0</v>
      </c>
      <c r="BY743" s="60">
        <f t="shared" si="914"/>
        <v>0</v>
      </c>
      <c r="BZ743" s="60">
        <f t="shared" si="915"/>
        <v>0</v>
      </c>
      <c r="CA743" s="60">
        <f t="shared" si="916"/>
        <v>0</v>
      </c>
      <c r="CB743" s="60" t="e">
        <f t="shared" si="866"/>
        <v>#N/A</v>
      </c>
      <c r="CC743" s="60">
        <f t="shared" si="867"/>
        <v>100000</v>
      </c>
      <c r="CD743" s="60" t="e">
        <f t="shared" si="868"/>
        <v>#N/A</v>
      </c>
      <c r="CE743" s="60">
        <f t="shared" si="869"/>
        <v>100000</v>
      </c>
      <c r="CF743" s="83" t="e">
        <f t="shared" si="917"/>
        <v>#N/A</v>
      </c>
      <c r="CG743" s="83">
        <f t="shared" si="918"/>
        <v>0</v>
      </c>
      <c r="CH743" s="83" t="e">
        <f t="shared" si="919"/>
        <v>#N/A</v>
      </c>
      <c r="CI743" s="83">
        <f t="shared" si="920"/>
        <v>0</v>
      </c>
      <c r="CJ743" s="86" t="e">
        <f t="shared" si="870"/>
        <v>#N/A</v>
      </c>
      <c r="CK743" s="82">
        <f t="shared" si="871"/>
        <v>5.3070370403969858E-3</v>
      </c>
      <c r="CL743" s="82" t="e">
        <f t="shared" si="872"/>
        <v>#N/A</v>
      </c>
      <c r="CM743" s="82">
        <f t="shared" si="873"/>
        <v>5.3070370403969858E-3</v>
      </c>
      <c r="CO743" s="149" t="str">
        <f>IF($I743&lt;&gt;"",IF(O743="User Specified",U743,INDEX('Refrigerant GWPs'!$G$2:$G$156,MATCH(O743,'Refrigerant GWPs'!$A$2:$A$156,0))),"")</f>
        <v/>
      </c>
      <c r="CP743" s="138" t="str">
        <f>IF($I743&lt;&gt;"",INDEX('Device Refrigerant Leakage'!$E$2:$E$42,MATCH($M743,'Device Refrigerant Leakage'!$B$2:$B$42,0)),"")</f>
        <v/>
      </c>
      <c r="CQ743" s="138" t="str">
        <f>IF($I743&lt;&gt;"",INDEX('Device Refrigerant Leakage'!$F$2:$F$42,MATCH($M743,'Device Refrigerant Leakage'!$B$2:$B$42,0)),"")</f>
        <v/>
      </c>
      <c r="CR743" s="145" t="str">
        <f>IF($I743&lt;&gt;"",INDEX('Device Refrigerant Leakage'!$G$2:$G$42,MATCH($M743,'Device Refrigerant Leakage'!$B$2:$B$42,0)),"")</f>
        <v/>
      </c>
      <c r="CS743" s="145" t="str">
        <f>IF($I743&lt;&gt;"",INDEX('Device Refrigerant Leakage'!$D$2:$D$42,MATCH($M743,'Device Refrigerant Leakage'!$B$2:$B$42,0))*CP743/2204.62*CO743,"")</f>
        <v/>
      </c>
      <c r="CT743" s="145" t="str">
        <f>IF($I743&lt;&gt;"",J743*(INDEX('Device Refrigerant Leakage'!$D$2:$D$42,MATCH($M743,'Device Refrigerant Leakage'!$B$2:$B$42,0))-(INDEX('Device Refrigerant Leakage'!$D$2:$D$42,MATCH($M743,'Device Refrigerant Leakage'!$B$2:$B$42,0)))*CR743*CP743)*CQ743/2204.62*CO743,"")</f>
        <v/>
      </c>
      <c r="CU743" s="135" t="str">
        <f>IF($I743&lt;&gt;"",J743*IF(W743&lt;&gt;"AR",(CS743*K743)+CT743,(CS743*AB743)+CT743*(AB743/INDEX('Device Refrigerant Leakage'!$C$2:$C$42,MATCH($M743,'Device Refrigerant Leakage'!$B$2:$B$42,0)))),"")</f>
        <v/>
      </c>
      <c r="CW743" s="135" t="str">
        <f>IF($I743&lt;&gt;"",IF(S743="User Specified",V743,INDEX('Refrigerant GWPs'!$G$2:$G$156,MATCH(S743,'Refrigerant GWPs'!$A$2:$A$157,0))),"")</f>
        <v/>
      </c>
      <c r="CX743" s="138" t="str">
        <f>IF($I743&lt;&gt;"",INDEX('Device Refrigerant Leakage'!$E$2:$E$42,MATCH($Q743,'Device Refrigerant Leakage'!$B$2:$B$42,0)),"")</f>
        <v/>
      </c>
      <c r="CY743" s="138" t="str">
        <f>IF($I743&lt;&gt;"",INDEX('Device Refrigerant Leakage'!$F$2:$F$42,MATCH($Q743,'Device Refrigerant Leakage'!$B$2:$B$42,0)),"")</f>
        <v/>
      </c>
      <c r="CZ743" s="145" t="str">
        <f>IF($I743&lt;&gt;"",INDEX('Device Refrigerant Leakage'!$G$2:$G$42,MATCH($Q743,'Device Refrigerant Leakage'!$B$2:$B$42,0)),"")</f>
        <v/>
      </c>
      <c r="DA743" s="145" t="str">
        <f>IF($I743&lt;&gt;"",J743*INDEX('Device Refrigerant Leakage'!$D$2:$D$42,MATCH($Q743,'Device Refrigerant Leakage'!$B$2:$B$42,0))*CX743/2204.62*CW743,"")</f>
        <v/>
      </c>
      <c r="DB743" s="145" t="str">
        <f>IF($I743&lt;&gt;"",J743*(INDEX('Device Refrigerant Leakage'!$D$2:$D$42,MATCH($Q743,'Device Refrigerant Leakage'!$B$2:$B$42,0))-(INDEX('Device Refrigerant Leakage'!$D$2:$D$42,MATCH($Q743,'Device Refrigerant Leakage'!$B$2:$B$42,0)))*CZ743*CX743)*CY743/2204.62*CW743,"")</f>
        <v/>
      </c>
      <c r="DC743" s="135" t="str">
        <f t="shared" si="892"/>
        <v/>
      </c>
      <c r="DE743" s="146" t="str">
        <f>IF(W743&lt;&gt;"AR","",IF(Y743="User Specified", AA743, INDEX('Refrigerant GWPs'!$G$2:$G$154,MATCH(Y743,'Refrigerant GWPs'!$A$2:$A$154,0))))</f>
        <v/>
      </c>
      <c r="DF743" s="146" t="str">
        <f>IF(W743&lt;&gt;"AR","",INDEX('Device Refrigerant Leakage'!$E$2:$E$42,MATCH(X743,'Device Refrigerant Leakage'!$B$2:$B$42,0)))</f>
        <v/>
      </c>
      <c r="DG743" s="146" t="str">
        <f>IF(W743&lt;&gt;"AR","",INDEX('Device Refrigerant Leakage'!$F$2:$F$42,MATCH(X743,'Device Refrigerant Leakage'!$B$2:$B$42,0)))</f>
        <v/>
      </c>
      <c r="DH743" s="146" t="str">
        <f>IF(W743&lt;&gt;"AR","",INDEX('Device Refrigerant Leakage'!$G$2:$G$42,MATCH(X743,'Device Refrigerant Leakage'!$B$2:$B$42,0)))</f>
        <v/>
      </c>
      <c r="DI743" s="146" t="str">
        <f>IF(W743&lt;&gt;"AR","",J743*INDEX('Device Refrigerant Leakage'!$D$2:$D$42,MATCH(X743,'Device Refrigerant Leakage'!$B$2:$B$42,0))*DF743/2204.62*DE743)</f>
        <v/>
      </c>
      <c r="DJ743" s="146" t="str">
        <f>IF(W743&lt;&gt;"AR","",J743*(INDEX('Device Refrigerant Leakage'!$D$2:$D$42,MATCH(X743,'Device Refrigerant Leakage'!$B$2:$B$42,0))-(INDEX('Device Refrigerant Leakage'!$D$2:$D$42,MATCH(X743,'Device Refrigerant Leakage'!$B$2:$B$42,0)))*DH743*DF743)*DG743/2204.62*DE743)</f>
        <v/>
      </c>
      <c r="DK743" s="146" t="str">
        <f>IF(W743&lt;&gt;"AR","",DI743*(K743-AB743)+'Fuel Sub Calcs-Deemed'!DJ743*((K743-AB743)/INDEX('Device Refrigerant Leakage'!$C$2:$C$42,MATCH('Fuel Sub Calcs-Deemed'!X743,'Device Refrigerant Leakage'!$B$2:$B$42,0))))</f>
        <v/>
      </c>
      <c r="DM743" s="56">
        <v>729</v>
      </c>
      <c r="DN743" s="67" t="e">
        <f t="shared" si="874"/>
        <v>#N/A</v>
      </c>
      <c r="DO743" s="45" t="e">
        <f t="shared" si="875"/>
        <v>#N/A</v>
      </c>
      <c r="DP743" s="67" t="e">
        <f t="shared" si="876"/>
        <v>#N/A</v>
      </c>
      <c r="DQ743" s="45" t="e">
        <f t="shared" si="877"/>
        <v>#N/A</v>
      </c>
      <c r="DR743" s="69" t="e">
        <f t="shared" si="878"/>
        <v>#N/A</v>
      </c>
      <c r="DS743" s="34"/>
      <c r="DT743" s="67" t="e">
        <f>((BX743*CJ743)+IF($W743=MAT_AR,(BZ743*CL743),0))*(1+Reference!$E$50+Reference!$E$51)</f>
        <v>#N/A</v>
      </c>
      <c r="DU743" s="67">
        <f>((BY743*CK743)+IF($W743=MAT_AR,(CA743*CM743),0))*(1+Reference!$G$50+Reference!$G$51)</f>
        <v>0</v>
      </c>
      <c r="DV743" s="67" t="e">
        <f t="shared" si="879"/>
        <v>#VALUE!</v>
      </c>
      <c r="DX743" s="56">
        <v>729</v>
      </c>
      <c r="DY743" s="67">
        <f t="shared" si="880"/>
        <v>0</v>
      </c>
      <c r="DZ743" s="45" t="e">
        <f>VLOOKUP($R743,Dropdown!$C$3:$D$4,2,FALSE)</f>
        <v>#N/A</v>
      </c>
      <c r="EA743" s="68">
        <f t="shared" si="881"/>
        <v>0</v>
      </c>
      <c r="EB743" s="68" t="str">
        <f t="shared" si="882"/>
        <v>N/A</v>
      </c>
      <c r="EC743" s="68">
        <f t="shared" si="883"/>
        <v>0</v>
      </c>
      <c r="ED743" s="68" t="str">
        <f t="shared" si="921"/>
        <v>N/A</v>
      </c>
      <c r="EF743" s="56">
        <v>729</v>
      </c>
      <c r="EG743" s="46">
        <f t="shared" si="884"/>
        <v>0</v>
      </c>
      <c r="EH743" s="68" t="e">
        <f t="shared" si="885"/>
        <v>#N/A</v>
      </c>
      <c r="EI743" s="68" t="e">
        <f t="shared" si="886"/>
        <v>#N/A</v>
      </c>
      <c r="EJ743" s="68" t="e">
        <f t="shared" si="887"/>
        <v>#N/A</v>
      </c>
      <c r="EK743" s="68" t="e">
        <f t="shared" si="888"/>
        <v>#N/A</v>
      </c>
      <c r="EL743" s="46">
        <f t="shared" si="889"/>
        <v>0</v>
      </c>
      <c r="EM743" s="46">
        <f t="shared" si="890"/>
        <v>0</v>
      </c>
    </row>
    <row r="744" spans="1:143">
      <c r="A744" s="89"/>
      <c r="B744" s="89"/>
      <c r="C744" s="89"/>
      <c r="D744" s="89"/>
      <c r="E744" s="89"/>
      <c r="F744" s="89"/>
      <c r="G744" s="34"/>
      <c r="H744" s="56">
        <f t="shared" si="891"/>
        <v>730</v>
      </c>
      <c r="I744" s="165"/>
      <c r="J744" s="163"/>
      <c r="K744" s="163"/>
      <c r="L744" s="164"/>
      <c r="M744" s="155"/>
      <c r="N744" s="155"/>
      <c r="O744" s="144"/>
      <c r="P744" s="159" t="str">
        <f>IFERROR(IF(O744&lt;&gt;"User Specified",IF(O744&lt;&gt;"", INDEX('Refrigerant GWPs'!$G$2:$G$154,MATCH(O744,'Refrigerant GWPs'!$A$2:$A$154,0)),""),U744),0)</f>
        <v/>
      </c>
      <c r="Q744" s="155"/>
      <c r="R744" s="155"/>
      <c r="S744" s="144"/>
      <c r="T744" s="159" t="str">
        <f>IF(S744&lt;&gt;"User Specified",IF(AND(S744&lt;&gt;"User Specified",S744&lt;&gt;""), INDEX('Refrigerant GWPs'!$G$2:$G$154,MATCH(S744,'Refrigerant GWPs'!$A$2:$A$154,0)),""),V744)</f>
        <v/>
      </c>
      <c r="U744" s="144"/>
      <c r="V744" s="144"/>
      <c r="W744" s="155"/>
      <c r="X744" s="155"/>
      <c r="Y744" s="144"/>
      <c r="Z744" s="159" t="str">
        <f>IF(AND(Y744&lt;&gt;"User Specified",Y744&lt;&gt;""), INDEX('Refrigerant GWPs'!$G$2:$G$154,MATCH(Y744,'Refrigerant GWPs'!$A$2:$A$154,0)),"")</f>
        <v/>
      </c>
      <c r="AA744" s="155"/>
      <c r="AB744" s="156"/>
      <c r="AC744" s="66"/>
      <c r="AD744" s="66"/>
      <c r="AE744" s="66"/>
      <c r="AF744" s="66"/>
      <c r="AG744" s="66"/>
      <c r="AH744" s="66"/>
      <c r="AI744" s="34"/>
      <c r="AJ744" s="88">
        <f t="shared" si="854"/>
        <v>0</v>
      </c>
      <c r="AK744" s="88">
        <f t="shared" si="855"/>
        <v>0</v>
      </c>
      <c r="AL744" s="88">
        <v>0</v>
      </c>
      <c r="AM744" s="88">
        <v>0</v>
      </c>
      <c r="AN744" s="81" t="str">
        <f t="shared" si="893"/>
        <v/>
      </c>
      <c r="AO744" s="88">
        <f t="shared" si="856"/>
        <v>0</v>
      </c>
      <c r="AP744" s="88">
        <f t="shared" si="857"/>
        <v>0</v>
      </c>
      <c r="AQ744" s="81" t="str">
        <f t="shared" si="858"/>
        <v/>
      </c>
      <c r="AS744" s="41" t="b">
        <f t="shared" si="859"/>
        <v>1</v>
      </c>
      <c r="AT744" s="38">
        <f t="shared" si="860"/>
        <v>0</v>
      </c>
      <c r="AU744" s="60">
        <f t="shared" si="861"/>
        <v>0</v>
      </c>
      <c r="AV744" s="41">
        <f t="shared" si="862"/>
        <v>0</v>
      </c>
      <c r="AW744" s="41" t="b">
        <f t="shared" si="863"/>
        <v>0</v>
      </c>
      <c r="AX744" t="str">
        <f t="shared" si="864"/>
        <v>+00</v>
      </c>
      <c r="AY744" t="str">
        <f t="shared" si="865"/>
        <v>+00</v>
      </c>
      <c r="BA744" s="47" t="b">
        <f t="shared" si="894"/>
        <v>1</v>
      </c>
      <c r="BB744" s="42" t="b">
        <f t="shared" si="895"/>
        <v>1</v>
      </c>
      <c r="BC744" s="42" t="b">
        <f t="shared" si="896"/>
        <v>0</v>
      </c>
      <c r="BD744" s="42" t="b">
        <f t="shared" si="897"/>
        <v>0</v>
      </c>
      <c r="BE744" s="70">
        <f t="shared" si="898"/>
        <v>0</v>
      </c>
      <c r="BF744" s="70">
        <f t="shared" si="899"/>
        <v>0</v>
      </c>
      <c r="BG744" s="34"/>
      <c r="BI744" s="47" t="b">
        <f t="shared" si="900"/>
        <v>1</v>
      </c>
      <c r="BJ744" s="47" t="b">
        <f t="shared" si="901"/>
        <v>1</v>
      </c>
      <c r="BK744" s="42" t="b">
        <f t="shared" si="902"/>
        <v>0</v>
      </c>
      <c r="BL744" s="42" t="b">
        <f t="shared" si="903"/>
        <v>0</v>
      </c>
      <c r="BM744" s="42">
        <f t="shared" si="904"/>
        <v>0</v>
      </c>
      <c r="BN744" s="42">
        <f t="shared" si="905"/>
        <v>0</v>
      </c>
      <c r="BP744" t="e">
        <f t="shared" si="906"/>
        <v>#N/A</v>
      </c>
      <c r="BQ744" t="e">
        <f t="shared" si="907"/>
        <v>#N/A</v>
      </c>
      <c r="BR744" t="e">
        <f t="shared" si="908"/>
        <v>#N/A</v>
      </c>
      <c r="BT744" s="60">
        <f t="shared" si="909"/>
        <v>0</v>
      </c>
      <c r="BU744" s="60">
        <f t="shared" si="910"/>
        <v>0</v>
      </c>
      <c r="BV744" s="60">
        <f t="shared" si="911"/>
        <v>0</v>
      </c>
      <c r="BW744" s="60">
        <f t="shared" si="912"/>
        <v>0</v>
      </c>
      <c r="BX744" s="60">
        <f t="shared" si="913"/>
        <v>0</v>
      </c>
      <c r="BY744" s="60">
        <f t="shared" si="914"/>
        <v>0</v>
      </c>
      <c r="BZ744" s="60">
        <f t="shared" si="915"/>
        <v>0</v>
      </c>
      <c r="CA744" s="60">
        <f t="shared" si="916"/>
        <v>0</v>
      </c>
      <c r="CB744" s="60" t="e">
        <f t="shared" si="866"/>
        <v>#N/A</v>
      </c>
      <c r="CC744" s="60">
        <f t="shared" si="867"/>
        <v>100000</v>
      </c>
      <c r="CD744" s="60" t="e">
        <f t="shared" si="868"/>
        <v>#N/A</v>
      </c>
      <c r="CE744" s="60">
        <f t="shared" si="869"/>
        <v>100000</v>
      </c>
      <c r="CF744" s="83" t="e">
        <f t="shared" si="917"/>
        <v>#N/A</v>
      </c>
      <c r="CG744" s="83">
        <f t="shared" si="918"/>
        <v>0</v>
      </c>
      <c r="CH744" s="83" t="e">
        <f t="shared" si="919"/>
        <v>#N/A</v>
      </c>
      <c r="CI744" s="83">
        <f t="shared" si="920"/>
        <v>0</v>
      </c>
      <c r="CJ744" s="86" t="e">
        <f t="shared" si="870"/>
        <v>#N/A</v>
      </c>
      <c r="CK744" s="82">
        <f t="shared" si="871"/>
        <v>5.3070370403969858E-3</v>
      </c>
      <c r="CL744" s="82" t="e">
        <f t="shared" si="872"/>
        <v>#N/A</v>
      </c>
      <c r="CM744" s="82">
        <f t="shared" si="873"/>
        <v>5.3070370403969858E-3</v>
      </c>
      <c r="CO744" s="149" t="str">
        <f>IF($I744&lt;&gt;"",IF(O744="User Specified",U744,INDEX('Refrigerant GWPs'!$G$2:$G$156,MATCH(O744,'Refrigerant GWPs'!$A$2:$A$156,0))),"")</f>
        <v/>
      </c>
      <c r="CP744" s="138" t="str">
        <f>IF($I744&lt;&gt;"",INDEX('Device Refrigerant Leakage'!$E$2:$E$42,MATCH($M744,'Device Refrigerant Leakage'!$B$2:$B$42,0)),"")</f>
        <v/>
      </c>
      <c r="CQ744" s="138" t="str">
        <f>IF($I744&lt;&gt;"",INDEX('Device Refrigerant Leakage'!$F$2:$F$42,MATCH($M744,'Device Refrigerant Leakage'!$B$2:$B$42,0)),"")</f>
        <v/>
      </c>
      <c r="CR744" s="145" t="str">
        <f>IF($I744&lt;&gt;"",INDEX('Device Refrigerant Leakage'!$G$2:$G$42,MATCH($M744,'Device Refrigerant Leakage'!$B$2:$B$42,0)),"")</f>
        <v/>
      </c>
      <c r="CS744" s="145" t="str">
        <f>IF($I744&lt;&gt;"",INDEX('Device Refrigerant Leakage'!$D$2:$D$42,MATCH($M744,'Device Refrigerant Leakage'!$B$2:$B$42,0))*CP744/2204.62*CO744,"")</f>
        <v/>
      </c>
      <c r="CT744" s="145" t="str">
        <f>IF($I744&lt;&gt;"",J744*(INDEX('Device Refrigerant Leakage'!$D$2:$D$42,MATCH($M744,'Device Refrigerant Leakage'!$B$2:$B$42,0))-(INDEX('Device Refrigerant Leakage'!$D$2:$D$42,MATCH($M744,'Device Refrigerant Leakage'!$B$2:$B$42,0)))*CR744*CP744)*CQ744/2204.62*CO744,"")</f>
        <v/>
      </c>
      <c r="CU744" s="135" t="str">
        <f>IF($I744&lt;&gt;"",J744*IF(W744&lt;&gt;"AR",(CS744*K744)+CT744,(CS744*AB744)+CT744*(AB744/INDEX('Device Refrigerant Leakage'!$C$2:$C$42,MATCH($M744,'Device Refrigerant Leakage'!$B$2:$B$42,0)))),"")</f>
        <v/>
      </c>
      <c r="CW744" s="135" t="str">
        <f>IF($I744&lt;&gt;"",IF(S744="User Specified",V744,INDEX('Refrigerant GWPs'!$G$2:$G$156,MATCH(S744,'Refrigerant GWPs'!$A$2:$A$157,0))),"")</f>
        <v/>
      </c>
      <c r="CX744" s="138" t="str">
        <f>IF($I744&lt;&gt;"",INDEX('Device Refrigerant Leakage'!$E$2:$E$42,MATCH($Q744,'Device Refrigerant Leakage'!$B$2:$B$42,0)),"")</f>
        <v/>
      </c>
      <c r="CY744" s="138" t="str">
        <f>IF($I744&lt;&gt;"",INDEX('Device Refrigerant Leakage'!$F$2:$F$42,MATCH($Q744,'Device Refrigerant Leakage'!$B$2:$B$42,0)),"")</f>
        <v/>
      </c>
      <c r="CZ744" s="145" t="str">
        <f>IF($I744&lt;&gt;"",INDEX('Device Refrigerant Leakage'!$G$2:$G$42,MATCH($Q744,'Device Refrigerant Leakage'!$B$2:$B$42,0)),"")</f>
        <v/>
      </c>
      <c r="DA744" s="145" t="str">
        <f>IF($I744&lt;&gt;"",J744*INDEX('Device Refrigerant Leakage'!$D$2:$D$42,MATCH($Q744,'Device Refrigerant Leakage'!$B$2:$B$42,0))*CX744/2204.62*CW744,"")</f>
        <v/>
      </c>
      <c r="DB744" s="145" t="str">
        <f>IF($I744&lt;&gt;"",J744*(INDEX('Device Refrigerant Leakage'!$D$2:$D$42,MATCH($Q744,'Device Refrigerant Leakage'!$B$2:$B$42,0))-(INDEX('Device Refrigerant Leakage'!$D$2:$D$42,MATCH($Q744,'Device Refrigerant Leakage'!$B$2:$B$42,0)))*CZ744*CX744)*CY744/2204.62*CW744,"")</f>
        <v/>
      </c>
      <c r="DC744" s="135" t="str">
        <f t="shared" si="892"/>
        <v/>
      </c>
      <c r="DE744" s="146" t="str">
        <f>IF(W744&lt;&gt;"AR","",IF(Y744="User Specified", AA744, INDEX('Refrigerant GWPs'!$G$2:$G$154,MATCH(Y744,'Refrigerant GWPs'!$A$2:$A$154,0))))</f>
        <v/>
      </c>
      <c r="DF744" s="146" t="str">
        <f>IF(W744&lt;&gt;"AR","",INDEX('Device Refrigerant Leakage'!$E$2:$E$42,MATCH(X744,'Device Refrigerant Leakage'!$B$2:$B$42,0)))</f>
        <v/>
      </c>
      <c r="DG744" s="146" t="str">
        <f>IF(W744&lt;&gt;"AR","",INDEX('Device Refrigerant Leakage'!$F$2:$F$42,MATCH(X744,'Device Refrigerant Leakage'!$B$2:$B$42,0)))</f>
        <v/>
      </c>
      <c r="DH744" s="146" t="str">
        <f>IF(W744&lt;&gt;"AR","",INDEX('Device Refrigerant Leakage'!$G$2:$G$42,MATCH(X744,'Device Refrigerant Leakage'!$B$2:$B$42,0)))</f>
        <v/>
      </c>
      <c r="DI744" s="146" t="str">
        <f>IF(W744&lt;&gt;"AR","",J744*INDEX('Device Refrigerant Leakage'!$D$2:$D$42,MATCH(X744,'Device Refrigerant Leakage'!$B$2:$B$42,0))*DF744/2204.62*DE744)</f>
        <v/>
      </c>
      <c r="DJ744" s="146" t="str">
        <f>IF(W744&lt;&gt;"AR","",J744*(INDEX('Device Refrigerant Leakage'!$D$2:$D$42,MATCH(X744,'Device Refrigerant Leakage'!$B$2:$B$42,0))-(INDEX('Device Refrigerant Leakage'!$D$2:$D$42,MATCH(X744,'Device Refrigerant Leakage'!$B$2:$B$42,0)))*DH744*DF744)*DG744/2204.62*DE744)</f>
        <v/>
      </c>
      <c r="DK744" s="146" t="str">
        <f>IF(W744&lt;&gt;"AR","",DI744*(K744-AB744)+'Fuel Sub Calcs-Deemed'!DJ744*((K744-AB744)/INDEX('Device Refrigerant Leakage'!$C$2:$C$42,MATCH('Fuel Sub Calcs-Deemed'!X744,'Device Refrigerant Leakage'!$B$2:$B$42,0))))</f>
        <v/>
      </c>
      <c r="DM744" s="56">
        <v>730</v>
      </c>
      <c r="DN744" s="67" t="e">
        <f t="shared" si="874"/>
        <v>#N/A</v>
      </c>
      <c r="DO744" s="45" t="e">
        <f t="shared" si="875"/>
        <v>#N/A</v>
      </c>
      <c r="DP744" s="67" t="e">
        <f t="shared" si="876"/>
        <v>#N/A</v>
      </c>
      <c r="DQ744" s="45" t="e">
        <f t="shared" si="877"/>
        <v>#N/A</v>
      </c>
      <c r="DR744" s="69" t="e">
        <f t="shared" si="878"/>
        <v>#N/A</v>
      </c>
      <c r="DS744" s="34"/>
      <c r="DT744" s="67" t="e">
        <f>((BX744*CJ744)+IF($W744=MAT_AR,(BZ744*CL744),0))*(1+Reference!$E$50+Reference!$E$51)</f>
        <v>#N/A</v>
      </c>
      <c r="DU744" s="67">
        <f>((BY744*CK744)+IF($W744=MAT_AR,(CA744*CM744),0))*(1+Reference!$G$50+Reference!$G$51)</f>
        <v>0</v>
      </c>
      <c r="DV744" s="67" t="e">
        <f t="shared" si="879"/>
        <v>#VALUE!</v>
      </c>
      <c r="DX744" s="56">
        <v>730</v>
      </c>
      <c r="DY744" s="67">
        <f t="shared" si="880"/>
        <v>0</v>
      </c>
      <c r="DZ744" s="45" t="e">
        <f>VLOOKUP($R744,Dropdown!$C$3:$D$4,2,FALSE)</f>
        <v>#N/A</v>
      </c>
      <c r="EA744" s="68">
        <f t="shared" si="881"/>
        <v>0</v>
      </c>
      <c r="EB744" s="68" t="str">
        <f t="shared" si="882"/>
        <v>N/A</v>
      </c>
      <c r="EC744" s="68">
        <f t="shared" si="883"/>
        <v>0</v>
      </c>
      <c r="ED744" s="68" t="str">
        <f t="shared" si="921"/>
        <v>N/A</v>
      </c>
      <c r="EF744" s="56">
        <v>730</v>
      </c>
      <c r="EG744" s="46">
        <f t="shared" si="884"/>
        <v>0</v>
      </c>
      <c r="EH744" s="68" t="e">
        <f t="shared" si="885"/>
        <v>#N/A</v>
      </c>
      <c r="EI744" s="68" t="e">
        <f t="shared" si="886"/>
        <v>#N/A</v>
      </c>
      <c r="EJ744" s="68" t="e">
        <f t="shared" si="887"/>
        <v>#N/A</v>
      </c>
      <c r="EK744" s="68" t="e">
        <f t="shared" si="888"/>
        <v>#N/A</v>
      </c>
      <c r="EL744" s="46">
        <f t="shared" si="889"/>
        <v>0</v>
      </c>
      <c r="EM744" s="46">
        <f t="shared" si="890"/>
        <v>0</v>
      </c>
    </row>
    <row r="745" spans="1:143">
      <c r="A745" s="89"/>
      <c r="B745" s="89"/>
      <c r="C745" s="89"/>
      <c r="D745" s="89"/>
      <c r="E745" s="89"/>
      <c r="F745" s="89"/>
      <c r="G745" s="34"/>
      <c r="H745" s="56">
        <f t="shared" si="891"/>
        <v>731</v>
      </c>
      <c r="I745" s="165"/>
      <c r="J745" s="163"/>
      <c r="K745" s="163"/>
      <c r="L745" s="164"/>
      <c r="M745" s="155"/>
      <c r="N745" s="155"/>
      <c r="O745" s="144"/>
      <c r="P745" s="159" t="str">
        <f>IFERROR(IF(O745&lt;&gt;"User Specified",IF(O745&lt;&gt;"", INDEX('Refrigerant GWPs'!$G$2:$G$154,MATCH(O745,'Refrigerant GWPs'!$A$2:$A$154,0)),""),U745),0)</f>
        <v/>
      </c>
      <c r="Q745" s="155"/>
      <c r="R745" s="155"/>
      <c r="S745" s="144"/>
      <c r="T745" s="159" t="str">
        <f>IF(S745&lt;&gt;"User Specified",IF(AND(S745&lt;&gt;"User Specified",S745&lt;&gt;""), INDEX('Refrigerant GWPs'!$G$2:$G$154,MATCH(S745,'Refrigerant GWPs'!$A$2:$A$154,0)),""),V745)</f>
        <v/>
      </c>
      <c r="U745" s="144"/>
      <c r="V745" s="144"/>
      <c r="W745" s="155"/>
      <c r="X745" s="155"/>
      <c r="Y745" s="144"/>
      <c r="Z745" s="159" t="str">
        <f>IF(AND(Y745&lt;&gt;"User Specified",Y745&lt;&gt;""), INDEX('Refrigerant GWPs'!$G$2:$G$154,MATCH(Y745,'Refrigerant GWPs'!$A$2:$A$154,0)),"")</f>
        <v/>
      </c>
      <c r="AA745" s="155"/>
      <c r="AB745" s="156"/>
      <c r="AC745" s="66"/>
      <c r="AD745" s="66"/>
      <c r="AE745" s="66"/>
      <c r="AF745" s="66"/>
      <c r="AG745" s="66"/>
      <c r="AH745" s="66"/>
      <c r="AI745" s="34"/>
      <c r="AJ745" s="88">
        <f t="shared" si="854"/>
        <v>0</v>
      </c>
      <c r="AK745" s="88">
        <f t="shared" si="855"/>
        <v>0</v>
      </c>
      <c r="AL745" s="88">
        <v>0</v>
      </c>
      <c r="AM745" s="88">
        <v>0</v>
      </c>
      <c r="AN745" s="81" t="str">
        <f t="shared" si="893"/>
        <v/>
      </c>
      <c r="AO745" s="88">
        <f t="shared" si="856"/>
        <v>0</v>
      </c>
      <c r="AP745" s="88">
        <f t="shared" si="857"/>
        <v>0</v>
      </c>
      <c r="AQ745" s="81" t="str">
        <f t="shared" si="858"/>
        <v/>
      </c>
      <c r="AS745" s="41" t="b">
        <f t="shared" si="859"/>
        <v>1</v>
      </c>
      <c r="AT745" s="38">
        <f t="shared" si="860"/>
        <v>0</v>
      </c>
      <c r="AU745" s="60">
        <f t="shared" si="861"/>
        <v>0</v>
      </c>
      <c r="AV745" s="41">
        <f t="shared" si="862"/>
        <v>0</v>
      </c>
      <c r="AW745" s="41" t="b">
        <f t="shared" si="863"/>
        <v>0</v>
      </c>
      <c r="AX745" t="str">
        <f t="shared" si="864"/>
        <v>+00</v>
      </c>
      <c r="AY745" t="str">
        <f t="shared" si="865"/>
        <v>+00</v>
      </c>
      <c r="BA745" s="47" t="b">
        <f t="shared" si="894"/>
        <v>1</v>
      </c>
      <c r="BB745" s="42" t="b">
        <f t="shared" si="895"/>
        <v>1</v>
      </c>
      <c r="BC745" s="42" t="b">
        <f t="shared" si="896"/>
        <v>0</v>
      </c>
      <c r="BD745" s="42" t="b">
        <f t="shared" si="897"/>
        <v>0</v>
      </c>
      <c r="BE745" s="70">
        <f t="shared" si="898"/>
        <v>0</v>
      </c>
      <c r="BF745" s="70">
        <f t="shared" si="899"/>
        <v>0</v>
      </c>
      <c r="BG745" s="34"/>
      <c r="BI745" s="47" t="b">
        <f t="shared" si="900"/>
        <v>1</v>
      </c>
      <c r="BJ745" s="47" t="b">
        <f t="shared" si="901"/>
        <v>1</v>
      </c>
      <c r="BK745" s="42" t="b">
        <f t="shared" si="902"/>
        <v>0</v>
      </c>
      <c r="BL745" s="42" t="b">
        <f t="shared" si="903"/>
        <v>0</v>
      </c>
      <c r="BM745" s="42">
        <f t="shared" si="904"/>
        <v>0</v>
      </c>
      <c r="BN745" s="42">
        <f t="shared" si="905"/>
        <v>0</v>
      </c>
      <c r="BP745" t="e">
        <f t="shared" si="906"/>
        <v>#N/A</v>
      </c>
      <c r="BQ745" t="e">
        <f t="shared" si="907"/>
        <v>#N/A</v>
      </c>
      <c r="BR745" t="e">
        <f t="shared" si="908"/>
        <v>#N/A</v>
      </c>
      <c r="BT745" s="60">
        <f t="shared" si="909"/>
        <v>0</v>
      </c>
      <c r="BU745" s="60">
        <f t="shared" si="910"/>
        <v>0</v>
      </c>
      <c r="BV745" s="60">
        <f t="shared" si="911"/>
        <v>0</v>
      </c>
      <c r="BW745" s="60">
        <f t="shared" si="912"/>
        <v>0</v>
      </c>
      <c r="BX745" s="60">
        <f t="shared" si="913"/>
        <v>0</v>
      </c>
      <c r="BY745" s="60">
        <f t="shared" si="914"/>
        <v>0</v>
      </c>
      <c r="BZ745" s="60">
        <f t="shared" si="915"/>
        <v>0</v>
      </c>
      <c r="CA745" s="60">
        <f t="shared" si="916"/>
        <v>0</v>
      </c>
      <c r="CB745" s="60" t="e">
        <f t="shared" si="866"/>
        <v>#N/A</v>
      </c>
      <c r="CC745" s="60">
        <f t="shared" si="867"/>
        <v>100000</v>
      </c>
      <c r="CD745" s="60" t="e">
        <f t="shared" si="868"/>
        <v>#N/A</v>
      </c>
      <c r="CE745" s="60">
        <f t="shared" si="869"/>
        <v>100000</v>
      </c>
      <c r="CF745" s="83" t="e">
        <f t="shared" si="917"/>
        <v>#N/A</v>
      </c>
      <c r="CG745" s="83">
        <f t="shared" si="918"/>
        <v>0</v>
      </c>
      <c r="CH745" s="83" t="e">
        <f t="shared" si="919"/>
        <v>#N/A</v>
      </c>
      <c r="CI745" s="83">
        <f t="shared" si="920"/>
        <v>0</v>
      </c>
      <c r="CJ745" s="86" t="e">
        <f t="shared" si="870"/>
        <v>#N/A</v>
      </c>
      <c r="CK745" s="82">
        <f t="shared" si="871"/>
        <v>5.3070370403969858E-3</v>
      </c>
      <c r="CL745" s="82" t="e">
        <f t="shared" si="872"/>
        <v>#N/A</v>
      </c>
      <c r="CM745" s="82">
        <f t="shared" si="873"/>
        <v>5.3070370403969858E-3</v>
      </c>
      <c r="CO745" s="149" t="str">
        <f>IF($I745&lt;&gt;"",IF(O745="User Specified",U745,INDEX('Refrigerant GWPs'!$G$2:$G$156,MATCH(O745,'Refrigerant GWPs'!$A$2:$A$156,0))),"")</f>
        <v/>
      </c>
      <c r="CP745" s="138" t="str">
        <f>IF($I745&lt;&gt;"",INDEX('Device Refrigerant Leakage'!$E$2:$E$42,MATCH($M745,'Device Refrigerant Leakage'!$B$2:$B$42,0)),"")</f>
        <v/>
      </c>
      <c r="CQ745" s="138" t="str">
        <f>IF($I745&lt;&gt;"",INDEX('Device Refrigerant Leakage'!$F$2:$F$42,MATCH($M745,'Device Refrigerant Leakage'!$B$2:$B$42,0)),"")</f>
        <v/>
      </c>
      <c r="CR745" s="145" t="str">
        <f>IF($I745&lt;&gt;"",INDEX('Device Refrigerant Leakage'!$G$2:$G$42,MATCH($M745,'Device Refrigerant Leakage'!$B$2:$B$42,0)),"")</f>
        <v/>
      </c>
      <c r="CS745" s="145" t="str">
        <f>IF($I745&lt;&gt;"",INDEX('Device Refrigerant Leakage'!$D$2:$D$42,MATCH($M745,'Device Refrigerant Leakage'!$B$2:$B$42,0))*CP745/2204.62*CO745,"")</f>
        <v/>
      </c>
      <c r="CT745" s="145" t="str">
        <f>IF($I745&lt;&gt;"",J745*(INDEX('Device Refrigerant Leakage'!$D$2:$D$42,MATCH($M745,'Device Refrigerant Leakage'!$B$2:$B$42,0))-(INDEX('Device Refrigerant Leakage'!$D$2:$D$42,MATCH($M745,'Device Refrigerant Leakage'!$B$2:$B$42,0)))*CR745*CP745)*CQ745/2204.62*CO745,"")</f>
        <v/>
      </c>
      <c r="CU745" s="135" t="str">
        <f>IF($I745&lt;&gt;"",J745*IF(W745&lt;&gt;"AR",(CS745*K745)+CT745,(CS745*AB745)+CT745*(AB745/INDEX('Device Refrigerant Leakage'!$C$2:$C$42,MATCH($M745,'Device Refrigerant Leakage'!$B$2:$B$42,0)))),"")</f>
        <v/>
      </c>
      <c r="CW745" s="135" t="str">
        <f>IF($I745&lt;&gt;"",IF(S745="User Specified",V745,INDEX('Refrigerant GWPs'!$G$2:$G$156,MATCH(S745,'Refrigerant GWPs'!$A$2:$A$157,0))),"")</f>
        <v/>
      </c>
      <c r="CX745" s="138" t="str">
        <f>IF($I745&lt;&gt;"",INDEX('Device Refrigerant Leakage'!$E$2:$E$42,MATCH($Q745,'Device Refrigerant Leakage'!$B$2:$B$42,0)),"")</f>
        <v/>
      </c>
      <c r="CY745" s="138" t="str">
        <f>IF($I745&lt;&gt;"",INDEX('Device Refrigerant Leakage'!$F$2:$F$42,MATCH($Q745,'Device Refrigerant Leakage'!$B$2:$B$42,0)),"")</f>
        <v/>
      </c>
      <c r="CZ745" s="145" t="str">
        <f>IF($I745&lt;&gt;"",INDEX('Device Refrigerant Leakage'!$G$2:$G$42,MATCH($Q745,'Device Refrigerant Leakage'!$B$2:$B$42,0)),"")</f>
        <v/>
      </c>
      <c r="DA745" s="145" t="str">
        <f>IF($I745&lt;&gt;"",J745*INDEX('Device Refrigerant Leakage'!$D$2:$D$42,MATCH($Q745,'Device Refrigerant Leakage'!$B$2:$B$42,0))*CX745/2204.62*CW745,"")</f>
        <v/>
      </c>
      <c r="DB745" s="145" t="str">
        <f>IF($I745&lt;&gt;"",J745*(INDEX('Device Refrigerant Leakage'!$D$2:$D$42,MATCH($Q745,'Device Refrigerant Leakage'!$B$2:$B$42,0))-(INDEX('Device Refrigerant Leakage'!$D$2:$D$42,MATCH($Q745,'Device Refrigerant Leakage'!$B$2:$B$42,0)))*CZ745*CX745)*CY745/2204.62*CW745,"")</f>
        <v/>
      </c>
      <c r="DC745" s="135" t="str">
        <f t="shared" si="892"/>
        <v/>
      </c>
      <c r="DE745" s="146" t="str">
        <f>IF(W745&lt;&gt;"AR","",IF(Y745="User Specified", AA745, INDEX('Refrigerant GWPs'!$G$2:$G$154,MATCH(Y745,'Refrigerant GWPs'!$A$2:$A$154,0))))</f>
        <v/>
      </c>
      <c r="DF745" s="146" t="str">
        <f>IF(W745&lt;&gt;"AR","",INDEX('Device Refrigerant Leakage'!$E$2:$E$42,MATCH(X745,'Device Refrigerant Leakage'!$B$2:$B$42,0)))</f>
        <v/>
      </c>
      <c r="DG745" s="146" t="str">
        <f>IF(W745&lt;&gt;"AR","",INDEX('Device Refrigerant Leakage'!$F$2:$F$42,MATCH(X745,'Device Refrigerant Leakage'!$B$2:$B$42,0)))</f>
        <v/>
      </c>
      <c r="DH745" s="146" t="str">
        <f>IF(W745&lt;&gt;"AR","",INDEX('Device Refrigerant Leakage'!$G$2:$G$42,MATCH(X745,'Device Refrigerant Leakage'!$B$2:$B$42,0)))</f>
        <v/>
      </c>
      <c r="DI745" s="146" t="str">
        <f>IF(W745&lt;&gt;"AR","",J745*INDEX('Device Refrigerant Leakage'!$D$2:$D$42,MATCH(X745,'Device Refrigerant Leakage'!$B$2:$B$42,0))*DF745/2204.62*DE745)</f>
        <v/>
      </c>
      <c r="DJ745" s="146" t="str">
        <f>IF(W745&lt;&gt;"AR","",J745*(INDEX('Device Refrigerant Leakage'!$D$2:$D$42,MATCH(X745,'Device Refrigerant Leakage'!$B$2:$B$42,0))-(INDEX('Device Refrigerant Leakage'!$D$2:$D$42,MATCH(X745,'Device Refrigerant Leakage'!$B$2:$B$42,0)))*DH745*DF745)*DG745/2204.62*DE745)</f>
        <v/>
      </c>
      <c r="DK745" s="146" t="str">
        <f>IF(W745&lt;&gt;"AR","",DI745*(K745-AB745)+'Fuel Sub Calcs-Deemed'!DJ745*((K745-AB745)/INDEX('Device Refrigerant Leakage'!$C$2:$C$42,MATCH('Fuel Sub Calcs-Deemed'!X745,'Device Refrigerant Leakage'!$B$2:$B$42,0))))</f>
        <v/>
      </c>
      <c r="DM745" s="56">
        <v>731</v>
      </c>
      <c r="DN745" s="67" t="e">
        <f t="shared" si="874"/>
        <v>#N/A</v>
      </c>
      <c r="DO745" s="45" t="e">
        <f t="shared" si="875"/>
        <v>#N/A</v>
      </c>
      <c r="DP745" s="67" t="e">
        <f t="shared" si="876"/>
        <v>#N/A</v>
      </c>
      <c r="DQ745" s="45" t="e">
        <f t="shared" si="877"/>
        <v>#N/A</v>
      </c>
      <c r="DR745" s="69" t="e">
        <f t="shared" si="878"/>
        <v>#N/A</v>
      </c>
      <c r="DS745" s="34"/>
      <c r="DT745" s="67" t="e">
        <f>((BX745*CJ745)+IF($W745=MAT_AR,(BZ745*CL745),0))*(1+Reference!$E$50+Reference!$E$51)</f>
        <v>#N/A</v>
      </c>
      <c r="DU745" s="67">
        <f>((BY745*CK745)+IF($W745=MAT_AR,(CA745*CM745),0))*(1+Reference!$G$50+Reference!$G$51)</f>
        <v>0</v>
      </c>
      <c r="DV745" s="67" t="e">
        <f t="shared" si="879"/>
        <v>#VALUE!</v>
      </c>
      <c r="DX745" s="56">
        <v>731</v>
      </c>
      <c r="DY745" s="67">
        <f t="shared" si="880"/>
        <v>0</v>
      </c>
      <c r="DZ745" s="45" t="e">
        <f>VLOOKUP($R745,Dropdown!$C$3:$D$4,2,FALSE)</f>
        <v>#N/A</v>
      </c>
      <c r="EA745" s="68">
        <f t="shared" si="881"/>
        <v>0</v>
      </c>
      <c r="EB745" s="68" t="str">
        <f t="shared" si="882"/>
        <v>N/A</v>
      </c>
      <c r="EC745" s="68">
        <f t="shared" si="883"/>
        <v>0</v>
      </c>
      <c r="ED745" s="68" t="str">
        <f t="shared" si="921"/>
        <v>N/A</v>
      </c>
      <c r="EF745" s="56">
        <v>731</v>
      </c>
      <c r="EG745" s="46">
        <f t="shared" si="884"/>
        <v>0</v>
      </c>
      <c r="EH745" s="68" t="e">
        <f t="shared" si="885"/>
        <v>#N/A</v>
      </c>
      <c r="EI745" s="68" t="e">
        <f t="shared" si="886"/>
        <v>#N/A</v>
      </c>
      <c r="EJ745" s="68" t="e">
        <f t="shared" si="887"/>
        <v>#N/A</v>
      </c>
      <c r="EK745" s="68" t="e">
        <f t="shared" si="888"/>
        <v>#N/A</v>
      </c>
      <c r="EL745" s="46">
        <f t="shared" si="889"/>
        <v>0</v>
      </c>
      <c r="EM745" s="46">
        <f t="shared" si="890"/>
        <v>0</v>
      </c>
    </row>
    <row r="746" spans="1:143">
      <c r="A746" s="89"/>
      <c r="B746" s="89"/>
      <c r="C746" s="89"/>
      <c r="D746" s="89"/>
      <c r="E746" s="89"/>
      <c r="F746" s="89"/>
      <c r="G746" s="34"/>
      <c r="H746" s="56">
        <f t="shared" si="891"/>
        <v>732</v>
      </c>
      <c r="I746" s="165"/>
      <c r="J746" s="163"/>
      <c r="K746" s="163"/>
      <c r="L746" s="164"/>
      <c r="M746" s="155"/>
      <c r="N746" s="155"/>
      <c r="O746" s="144"/>
      <c r="P746" s="159" t="str">
        <f>IFERROR(IF(O746&lt;&gt;"User Specified",IF(O746&lt;&gt;"", INDEX('Refrigerant GWPs'!$G$2:$G$154,MATCH(O746,'Refrigerant GWPs'!$A$2:$A$154,0)),""),U746),0)</f>
        <v/>
      </c>
      <c r="Q746" s="155"/>
      <c r="R746" s="155"/>
      <c r="S746" s="144"/>
      <c r="T746" s="159" t="str">
        <f>IF(S746&lt;&gt;"User Specified",IF(AND(S746&lt;&gt;"User Specified",S746&lt;&gt;""), INDEX('Refrigerant GWPs'!$G$2:$G$154,MATCH(S746,'Refrigerant GWPs'!$A$2:$A$154,0)),""),V746)</f>
        <v/>
      </c>
      <c r="U746" s="144"/>
      <c r="V746" s="144"/>
      <c r="W746" s="155"/>
      <c r="X746" s="155"/>
      <c r="Y746" s="144"/>
      <c r="Z746" s="159" t="str">
        <f>IF(AND(Y746&lt;&gt;"User Specified",Y746&lt;&gt;""), INDEX('Refrigerant GWPs'!$G$2:$G$154,MATCH(Y746,'Refrigerant GWPs'!$A$2:$A$154,0)),"")</f>
        <v/>
      </c>
      <c r="AA746" s="155"/>
      <c r="AB746" s="156"/>
      <c r="AC746" s="66"/>
      <c r="AD746" s="66"/>
      <c r="AE746" s="66"/>
      <c r="AF746" s="66"/>
      <c r="AG746" s="66"/>
      <c r="AH746" s="66"/>
      <c r="AI746" s="34"/>
      <c r="AJ746" s="88">
        <f t="shared" si="854"/>
        <v>0</v>
      </c>
      <c r="AK746" s="88">
        <f t="shared" si="855"/>
        <v>0</v>
      </c>
      <c r="AL746" s="88">
        <v>0</v>
      </c>
      <c r="AM746" s="88">
        <v>0</v>
      </c>
      <c r="AN746" s="81" t="str">
        <f t="shared" si="893"/>
        <v/>
      </c>
      <c r="AO746" s="88">
        <f t="shared" si="856"/>
        <v>0</v>
      </c>
      <c r="AP746" s="88">
        <f t="shared" si="857"/>
        <v>0</v>
      </c>
      <c r="AQ746" s="81" t="str">
        <f t="shared" si="858"/>
        <v/>
      </c>
      <c r="AS746" s="41" t="b">
        <f t="shared" si="859"/>
        <v>1</v>
      </c>
      <c r="AT746" s="38">
        <f t="shared" si="860"/>
        <v>0</v>
      </c>
      <c r="AU746" s="60">
        <f t="shared" si="861"/>
        <v>0</v>
      </c>
      <c r="AV746" s="41">
        <f t="shared" si="862"/>
        <v>0</v>
      </c>
      <c r="AW746" s="41" t="b">
        <f t="shared" si="863"/>
        <v>0</v>
      </c>
      <c r="AX746" t="str">
        <f t="shared" si="864"/>
        <v>+00</v>
      </c>
      <c r="AY746" t="str">
        <f t="shared" si="865"/>
        <v>+00</v>
      </c>
      <c r="BA746" s="47" t="b">
        <f t="shared" si="894"/>
        <v>1</v>
      </c>
      <c r="BB746" s="42" t="b">
        <f t="shared" si="895"/>
        <v>1</v>
      </c>
      <c r="BC746" s="42" t="b">
        <f t="shared" si="896"/>
        <v>0</v>
      </c>
      <c r="BD746" s="42" t="b">
        <f t="shared" si="897"/>
        <v>0</v>
      </c>
      <c r="BE746" s="70">
        <f t="shared" si="898"/>
        <v>0</v>
      </c>
      <c r="BF746" s="70">
        <f t="shared" si="899"/>
        <v>0</v>
      </c>
      <c r="BG746" s="34"/>
      <c r="BI746" s="47" t="b">
        <f t="shared" si="900"/>
        <v>1</v>
      </c>
      <c r="BJ746" s="47" t="b">
        <f t="shared" si="901"/>
        <v>1</v>
      </c>
      <c r="BK746" s="42" t="b">
        <f t="shared" si="902"/>
        <v>0</v>
      </c>
      <c r="BL746" s="42" t="b">
        <f t="shared" si="903"/>
        <v>0</v>
      </c>
      <c r="BM746" s="42">
        <f t="shared" si="904"/>
        <v>0</v>
      </c>
      <c r="BN746" s="42">
        <f t="shared" si="905"/>
        <v>0</v>
      </c>
      <c r="BP746" t="e">
        <f t="shared" si="906"/>
        <v>#N/A</v>
      </c>
      <c r="BQ746" t="e">
        <f t="shared" si="907"/>
        <v>#N/A</v>
      </c>
      <c r="BR746" t="e">
        <f t="shared" si="908"/>
        <v>#N/A</v>
      </c>
      <c r="BT746" s="60">
        <f t="shared" si="909"/>
        <v>0</v>
      </c>
      <c r="BU746" s="60">
        <f t="shared" si="910"/>
        <v>0</v>
      </c>
      <c r="BV746" s="60">
        <f t="shared" si="911"/>
        <v>0</v>
      </c>
      <c r="BW746" s="60">
        <f t="shared" si="912"/>
        <v>0</v>
      </c>
      <c r="BX746" s="60">
        <f t="shared" si="913"/>
        <v>0</v>
      </c>
      <c r="BY746" s="60">
        <f t="shared" si="914"/>
        <v>0</v>
      </c>
      <c r="BZ746" s="60">
        <f t="shared" si="915"/>
        <v>0</v>
      </c>
      <c r="CA746" s="60">
        <f t="shared" si="916"/>
        <v>0</v>
      </c>
      <c r="CB746" s="60" t="e">
        <f t="shared" si="866"/>
        <v>#N/A</v>
      </c>
      <c r="CC746" s="60">
        <f t="shared" si="867"/>
        <v>100000</v>
      </c>
      <c r="CD746" s="60" t="e">
        <f t="shared" si="868"/>
        <v>#N/A</v>
      </c>
      <c r="CE746" s="60">
        <f t="shared" si="869"/>
        <v>100000</v>
      </c>
      <c r="CF746" s="83" t="e">
        <f t="shared" si="917"/>
        <v>#N/A</v>
      </c>
      <c r="CG746" s="83">
        <f t="shared" si="918"/>
        <v>0</v>
      </c>
      <c r="CH746" s="83" t="e">
        <f t="shared" si="919"/>
        <v>#N/A</v>
      </c>
      <c r="CI746" s="83">
        <f t="shared" si="920"/>
        <v>0</v>
      </c>
      <c r="CJ746" s="86" t="e">
        <f t="shared" si="870"/>
        <v>#N/A</v>
      </c>
      <c r="CK746" s="82">
        <f t="shared" si="871"/>
        <v>5.3070370403969858E-3</v>
      </c>
      <c r="CL746" s="82" t="e">
        <f t="shared" si="872"/>
        <v>#N/A</v>
      </c>
      <c r="CM746" s="82">
        <f t="shared" si="873"/>
        <v>5.3070370403969858E-3</v>
      </c>
      <c r="CO746" s="149" t="str">
        <f>IF($I746&lt;&gt;"",IF(O746="User Specified",U746,INDEX('Refrigerant GWPs'!$G$2:$G$156,MATCH(O746,'Refrigerant GWPs'!$A$2:$A$156,0))),"")</f>
        <v/>
      </c>
      <c r="CP746" s="138" t="str">
        <f>IF($I746&lt;&gt;"",INDEX('Device Refrigerant Leakage'!$E$2:$E$42,MATCH($M746,'Device Refrigerant Leakage'!$B$2:$B$42,0)),"")</f>
        <v/>
      </c>
      <c r="CQ746" s="138" t="str">
        <f>IF($I746&lt;&gt;"",INDEX('Device Refrigerant Leakage'!$F$2:$F$42,MATCH($M746,'Device Refrigerant Leakage'!$B$2:$B$42,0)),"")</f>
        <v/>
      </c>
      <c r="CR746" s="145" t="str">
        <f>IF($I746&lt;&gt;"",INDEX('Device Refrigerant Leakage'!$G$2:$G$42,MATCH($M746,'Device Refrigerant Leakage'!$B$2:$B$42,0)),"")</f>
        <v/>
      </c>
      <c r="CS746" s="145" t="str">
        <f>IF($I746&lt;&gt;"",INDEX('Device Refrigerant Leakage'!$D$2:$D$42,MATCH($M746,'Device Refrigerant Leakage'!$B$2:$B$42,0))*CP746/2204.62*CO746,"")</f>
        <v/>
      </c>
      <c r="CT746" s="145" t="str">
        <f>IF($I746&lt;&gt;"",J746*(INDEX('Device Refrigerant Leakage'!$D$2:$D$42,MATCH($M746,'Device Refrigerant Leakage'!$B$2:$B$42,0))-(INDEX('Device Refrigerant Leakage'!$D$2:$D$42,MATCH($M746,'Device Refrigerant Leakage'!$B$2:$B$42,0)))*CR746*CP746)*CQ746/2204.62*CO746,"")</f>
        <v/>
      </c>
      <c r="CU746" s="135" t="str">
        <f>IF($I746&lt;&gt;"",J746*IF(W746&lt;&gt;"AR",(CS746*K746)+CT746,(CS746*AB746)+CT746*(AB746/INDEX('Device Refrigerant Leakage'!$C$2:$C$42,MATCH($M746,'Device Refrigerant Leakage'!$B$2:$B$42,0)))),"")</f>
        <v/>
      </c>
      <c r="CW746" s="135" t="str">
        <f>IF($I746&lt;&gt;"",IF(S746="User Specified",V746,INDEX('Refrigerant GWPs'!$G$2:$G$156,MATCH(S746,'Refrigerant GWPs'!$A$2:$A$157,0))),"")</f>
        <v/>
      </c>
      <c r="CX746" s="138" t="str">
        <f>IF($I746&lt;&gt;"",INDEX('Device Refrigerant Leakage'!$E$2:$E$42,MATCH($Q746,'Device Refrigerant Leakage'!$B$2:$B$42,0)),"")</f>
        <v/>
      </c>
      <c r="CY746" s="138" t="str">
        <f>IF($I746&lt;&gt;"",INDEX('Device Refrigerant Leakage'!$F$2:$F$42,MATCH($Q746,'Device Refrigerant Leakage'!$B$2:$B$42,0)),"")</f>
        <v/>
      </c>
      <c r="CZ746" s="145" t="str">
        <f>IF($I746&lt;&gt;"",INDEX('Device Refrigerant Leakage'!$G$2:$G$42,MATCH($Q746,'Device Refrigerant Leakage'!$B$2:$B$42,0)),"")</f>
        <v/>
      </c>
      <c r="DA746" s="145" t="str">
        <f>IF($I746&lt;&gt;"",J746*INDEX('Device Refrigerant Leakage'!$D$2:$D$42,MATCH($Q746,'Device Refrigerant Leakage'!$B$2:$B$42,0))*CX746/2204.62*CW746,"")</f>
        <v/>
      </c>
      <c r="DB746" s="145" t="str">
        <f>IF($I746&lt;&gt;"",J746*(INDEX('Device Refrigerant Leakage'!$D$2:$D$42,MATCH($Q746,'Device Refrigerant Leakage'!$B$2:$B$42,0))-(INDEX('Device Refrigerant Leakage'!$D$2:$D$42,MATCH($Q746,'Device Refrigerant Leakage'!$B$2:$B$42,0)))*CZ746*CX746)*CY746/2204.62*CW746,"")</f>
        <v/>
      </c>
      <c r="DC746" s="135" t="str">
        <f t="shared" si="892"/>
        <v/>
      </c>
      <c r="DE746" s="146" t="str">
        <f>IF(W746&lt;&gt;"AR","",IF(Y746="User Specified", AA746, INDEX('Refrigerant GWPs'!$G$2:$G$154,MATCH(Y746,'Refrigerant GWPs'!$A$2:$A$154,0))))</f>
        <v/>
      </c>
      <c r="DF746" s="146" t="str">
        <f>IF(W746&lt;&gt;"AR","",INDEX('Device Refrigerant Leakage'!$E$2:$E$42,MATCH(X746,'Device Refrigerant Leakage'!$B$2:$B$42,0)))</f>
        <v/>
      </c>
      <c r="DG746" s="146" t="str">
        <f>IF(W746&lt;&gt;"AR","",INDEX('Device Refrigerant Leakage'!$F$2:$F$42,MATCH(X746,'Device Refrigerant Leakage'!$B$2:$B$42,0)))</f>
        <v/>
      </c>
      <c r="DH746" s="146" t="str">
        <f>IF(W746&lt;&gt;"AR","",INDEX('Device Refrigerant Leakage'!$G$2:$G$42,MATCH(X746,'Device Refrigerant Leakage'!$B$2:$B$42,0)))</f>
        <v/>
      </c>
      <c r="DI746" s="146" t="str">
        <f>IF(W746&lt;&gt;"AR","",J746*INDEX('Device Refrigerant Leakage'!$D$2:$D$42,MATCH(X746,'Device Refrigerant Leakage'!$B$2:$B$42,0))*DF746/2204.62*DE746)</f>
        <v/>
      </c>
      <c r="DJ746" s="146" t="str">
        <f>IF(W746&lt;&gt;"AR","",J746*(INDEX('Device Refrigerant Leakage'!$D$2:$D$42,MATCH(X746,'Device Refrigerant Leakage'!$B$2:$B$42,0))-(INDEX('Device Refrigerant Leakage'!$D$2:$D$42,MATCH(X746,'Device Refrigerant Leakage'!$B$2:$B$42,0)))*DH746*DF746)*DG746/2204.62*DE746)</f>
        <v/>
      </c>
      <c r="DK746" s="146" t="str">
        <f>IF(W746&lt;&gt;"AR","",DI746*(K746-AB746)+'Fuel Sub Calcs-Deemed'!DJ746*((K746-AB746)/INDEX('Device Refrigerant Leakage'!$C$2:$C$42,MATCH('Fuel Sub Calcs-Deemed'!X746,'Device Refrigerant Leakage'!$B$2:$B$42,0))))</f>
        <v/>
      </c>
      <c r="DM746" s="56">
        <v>732</v>
      </c>
      <c r="DN746" s="67" t="e">
        <f t="shared" si="874"/>
        <v>#N/A</v>
      </c>
      <c r="DO746" s="45" t="e">
        <f t="shared" si="875"/>
        <v>#N/A</v>
      </c>
      <c r="DP746" s="67" t="e">
        <f t="shared" si="876"/>
        <v>#N/A</v>
      </c>
      <c r="DQ746" s="45" t="e">
        <f t="shared" si="877"/>
        <v>#N/A</v>
      </c>
      <c r="DR746" s="69" t="e">
        <f t="shared" si="878"/>
        <v>#N/A</v>
      </c>
      <c r="DS746" s="34"/>
      <c r="DT746" s="67" t="e">
        <f>((BX746*CJ746)+IF($W746=MAT_AR,(BZ746*CL746),0))*(1+Reference!$E$50+Reference!$E$51)</f>
        <v>#N/A</v>
      </c>
      <c r="DU746" s="67">
        <f>((BY746*CK746)+IF($W746=MAT_AR,(CA746*CM746),0))*(1+Reference!$G$50+Reference!$G$51)</f>
        <v>0</v>
      </c>
      <c r="DV746" s="67" t="e">
        <f t="shared" si="879"/>
        <v>#VALUE!</v>
      </c>
      <c r="DX746" s="56">
        <v>732</v>
      </c>
      <c r="DY746" s="67">
        <f t="shared" si="880"/>
        <v>0</v>
      </c>
      <c r="DZ746" s="45" t="e">
        <f>VLOOKUP($R746,Dropdown!$C$3:$D$4,2,FALSE)</f>
        <v>#N/A</v>
      </c>
      <c r="EA746" s="68">
        <f t="shared" si="881"/>
        <v>0</v>
      </c>
      <c r="EB746" s="68" t="str">
        <f t="shared" si="882"/>
        <v>N/A</v>
      </c>
      <c r="EC746" s="68">
        <f t="shared" si="883"/>
        <v>0</v>
      </c>
      <c r="ED746" s="68" t="str">
        <f t="shared" si="921"/>
        <v>N/A</v>
      </c>
      <c r="EF746" s="56">
        <v>732</v>
      </c>
      <c r="EG746" s="46">
        <f t="shared" si="884"/>
        <v>0</v>
      </c>
      <c r="EH746" s="68" t="e">
        <f t="shared" si="885"/>
        <v>#N/A</v>
      </c>
      <c r="EI746" s="68" t="e">
        <f t="shared" si="886"/>
        <v>#N/A</v>
      </c>
      <c r="EJ746" s="68" t="e">
        <f t="shared" si="887"/>
        <v>#N/A</v>
      </c>
      <c r="EK746" s="68" t="e">
        <f t="shared" si="888"/>
        <v>#N/A</v>
      </c>
      <c r="EL746" s="46">
        <f t="shared" si="889"/>
        <v>0</v>
      </c>
      <c r="EM746" s="46">
        <f t="shared" si="890"/>
        <v>0</v>
      </c>
    </row>
    <row r="747" spans="1:143">
      <c r="A747" s="89"/>
      <c r="B747" s="89"/>
      <c r="C747" s="89"/>
      <c r="D747" s="89"/>
      <c r="E747" s="89"/>
      <c r="F747" s="89"/>
      <c r="G747" s="34"/>
      <c r="H747" s="56">
        <f t="shared" si="891"/>
        <v>733</v>
      </c>
      <c r="I747" s="165"/>
      <c r="J747" s="163"/>
      <c r="K747" s="163"/>
      <c r="L747" s="164"/>
      <c r="M747" s="155"/>
      <c r="N747" s="155"/>
      <c r="O747" s="144"/>
      <c r="P747" s="159" t="str">
        <f>IFERROR(IF(O747&lt;&gt;"User Specified",IF(O747&lt;&gt;"", INDEX('Refrigerant GWPs'!$G$2:$G$154,MATCH(O747,'Refrigerant GWPs'!$A$2:$A$154,0)),""),U747),0)</f>
        <v/>
      </c>
      <c r="Q747" s="155"/>
      <c r="R747" s="155"/>
      <c r="S747" s="144"/>
      <c r="T747" s="159" t="str">
        <f>IF(S747&lt;&gt;"User Specified",IF(AND(S747&lt;&gt;"User Specified",S747&lt;&gt;""), INDEX('Refrigerant GWPs'!$G$2:$G$154,MATCH(S747,'Refrigerant GWPs'!$A$2:$A$154,0)),""),V747)</f>
        <v/>
      </c>
      <c r="U747" s="144"/>
      <c r="V747" s="144"/>
      <c r="W747" s="155"/>
      <c r="X747" s="155"/>
      <c r="Y747" s="144"/>
      <c r="Z747" s="159" t="str">
        <f>IF(AND(Y747&lt;&gt;"User Specified",Y747&lt;&gt;""), INDEX('Refrigerant GWPs'!$G$2:$G$154,MATCH(Y747,'Refrigerant GWPs'!$A$2:$A$154,0)),"")</f>
        <v/>
      </c>
      <c r="AA747" s="155"/>
      <c r="AB747" s="156"/>
      <c r="AC747" s="66"/>
      <c r="AD747" s="66"/>
      <c r="AE747" s="66"/>
      <c r="AF747" s="66"/>
      <c r="AG747" s="66"/>
      <c r="AH747" s="66"/>
      <c r="AI747" s="34"/>
      <c r="AJ747" s="88">
        <f t="shared" si="854"/>
        <v>0</v>
      </c>
      <c r="AK747" s="88">
        <f t="shared" si="855"/>
        <v>0</v>
      </c>
      <c r="AL747" s="88">
        <v>0</v>
      </c>
      <c r="AM747" s="88">
        <v>0</v>
      </c>
      <c r="AN747" s="81" t="str">
        <f t="shared" si="893"/>
        <v/>
      </c>
      <c r="AO747" s="88">
        <f t="shared" si="856"/>
        <v>0</v>
      </c>
      <c r="AP747" s="88">
        <f t="shared" si="857"/>
        <v>0</v>
      </c>
      <c r="AQ747" s="81" t="str">
        <f t="shared" si="858"/>
        <v/>
      </c>
      <c r="AS747" s="41" t="b">
        <f t="shared" si="859"/>
        <v>1</v>
      </c>
      <c r="AT747" s="38">
        <f t="shared" si="860"/>
        <v>0</v>
      </c>
      <c r="AU747" s="60">
        <f t="shared" si="861"/>
        <v>0</v>
      </c>
      <c r="AV747" s="41">
        <f t="shared" si="862"/>
        <v>0</v>
      </c>
      <c r="AW747" s="41" t="b">
        <f t="shared" si="863"/>
        <v>0</v>
      </c>
      <c r="AX747" t="str">
        <f t="shared" si="864"/>
        <v>+00</v>
      </c>
      <c r="AY747" t="str">
        <f t="shared" si="865"/>
        <v>+00</v>
      </c>
      <c r="BA747" s="47" t="b">
        <f t="shared" si="894"/>
        <v>1</v>
      </c>
      <c r="BB747" s="42" t="b">
        <f t="shared" si="895"/>
        <v>1</v>
      </c>
      <c r="BC747" s="42" t="b">
        <f t="shared" si="896"/>
        <v>0</v>
      </c>
      <c r="BD747" s="42" t="b">
        <f t="shared" si="897"/>
        <v>0</v>
      </c>
      <c r="BE747" s="70">
        <f t="shared" si="898"/>
        <v>0</v>
      </c>
      <c r="BF747" s="70">
        <f t="shared" si="899"/>
        <v>0</v>
      </c>
      <c r="BG747" s="34"/>
      <c r="BI747" s="47" t="b">
        <f t="shared" si="900"/>
        <v>1</v>
      </c>
      <c r="BJ747" s="47" t="b">
        <f t="shared" si="901"/>
        <v>1</v>
      </c>
      <c r="BK747" s="42" t="b">
        <f t="shared" si="902"/>
        <v>0</v>
      </c>
      <c r="BL747" s="42" t="b">
        <f t="shared" si="903"/>
        <v>0</v>
      </c>
      <c r="BM747" s="42">
        <f t="shared" si="904"/>
        <v>0</v>
      </c>
      <c r="BN747" s="42">
        <f t="shared" si="905"/>
        <v>0</v>
      </c>
      <c r="BP747" t="e">
        <f t="shared" si="906"/>
        <v>#N/A</v>
      </c>
      <c r="BQ747" t="e">
        <f t="shared" si="907"/>
        <v>#N/A</v>
      </c>
      <c r="BR747" t="e">
        <f t="shared" si="908"/>
        <v>#N/A</v>
      </c>
      <c r="BT747" s="60">
        <f t="shared" si="909"/>
        <v>0</v>
      </c>
      <c r="BU747" s="60">
        <f t="shared" si="910"/>
        <v>0</v>
      </c>
      <c r="BV747" s="60">
        <f t="shared" si="911"/>
        <v>0</v>
      </c>
      <c r="BW747" s="60">
        <f t="shared" si="912"/>
        <v>0</v>
      </c>
      <c r="BX747" s="60">
        <f t="shared" si="913"/>
        <v>0</v>
      </c>
      <c r="BY747" s="60">
        <f t="shared" si="914"/>
        <v>0</v>
      </c>
      <c r="BZ747" s="60">
        <f t="shared" si="915"/>
        <v>0</v>
      </c>
      <c r="CA747" s="60">
        <f t="shared" si="916"/>
        <v>0</v>
      </c>
      <c r="CB747" s="60" t="e">
        <f t="shared" si="866"/>
        <v>#N/A</v>
      </c>
      <c r="CC747" s="60">
        <f t="shared" si="867"/>
        <v>100000</v>
      </c>
      <c r="CD747" s="60" t="e">
        <f t="shared" si="868"/>
        <v>#N/A</v>
      </c>
      <c r="CE747" s="60">
        <f t="shared" si="869"/>
        <v>100000</v>
      </c>
      <c r="CF747" s="83" t="e">
        <f t="shared" si="917"/>
        <v>#N/A</v>
      </c>
      <c r="CG747" s="83">
        <f t="shared" si="918"/>
        <v>0</v>
      </c>
      <c r="CH747" s="83" t="e">
        <f t="shared" si="919"/>
        <v>#N/A</v>
      </c>
      <c r="CI747" s="83">
        <f t="shared" si="920"/>
        <v>0</v>
      </c>
      <c r="CJ747" s="86" t="e">
        <f t="shared" si="870"/>
        <v>#N/A</v>
      </c>
      <c r="CK747" s="82">
        <f t="shared" si="871"/>
        <v>5.3070370403969858E-3</v>
      </c>
      <c r="CL747" s="82" t="e">
        <f t="shared" si="872"/>
        <v>#N/A</v>
      </c>
      <c r="CM747" s="82">
        <f t="shared" si="873"/>
        <v>5.3070370403969858E-3</v>
      </c>
      <c r="CO747" s="149" t="str">
        <f>IF($I747&lt;&gt;"",IF(O747="User Specified",U747,INDEX('Refrigerant GWPs'!$G$2:$G$156,MATCH(O747,'Refrigerant GWPs'!$A$2:$A$156,0))),"")</f>
        <v/>
      </c>
      <c r="CP747" s="138" t="str">
        <f>IF($I747&lt;&gt;"",INDEX('Device Refrigerant Leakage'!$E$2:$E$42,MATCH($M747,'Device Refrigerant Leakage'!$B$2:$B$42,0)),"")</f>
        <v/>
      </c>
      <c r="CQ747" s="138" t="str">
        <f>IF($I747&lt;&gt;"",INDEX('Device Refrigerant Leakage'!$F$2:$F$42,MATCH($M747,'Device Refrigerant Leakage'!$B$2:$B$42,0)),"")</f>
        <v/>
      </c>
      <c r="CR747" s="145" t="str">
        <f>IF($I747&lt;&gt;"",INDEX('Device Refrigerant Leakage'!$G$2:$G$42,MATCH($M747,'Device Refrigerant Leakage'!$B$2:$B$42,0)),"")</f>
        <v/>
      </c>
      <c r="CS747" s="145" t="str">
        <f>IF($I747&lt;&gt;"",INDEX('Device Refrigerant Leakage'!$D$2:$D$42,MATCH($M747,'Device Refrigerant Leakage'!$B$2:$B$42,0))*CP747/2204.62*CO747,"")</f>
        <v/>
      </c>
      <c r="CT747" s="145" t="str">
        <f>IF($I747&lt;&gt;"",J747*(INDEX('Device Refrigerant Leakage'!$D$2:$D$42,MATCH($M747,'Device Refrigerant Leakage'!$B$2:$B$42,0))-(INDEX('Device Refrigerant Leakage'!$D$2:$D$42,MATCH($M747,'Device Refrigerant Leakage'!$B$2:$B$42,0)))*CR747*CP747)*CQ747/2204.62*CO747,"")</f>
        <v/>
      </c>
      <c r="CU747" s="135" t="str">
        <f>IF($I747&lt;&gt;"",J747*IF(W747&lt;&gt;"AR",(CS747*K747)+CT747,(CS747*AB747)+CT747*(AB747/INDEX('Device Refrigerant Leakage'!$C$2:$C$42,MATCH($M747,'Device Refrigerant Leakage'!$B$2:$B$42,0)))),"")</f>
        <v/>
      </c>
      <c r="CW747" s="135" t="str">
        <f>IF($I747&lt;&gt;"",IF(S747="User Specified",V747,INDEX('Refrigerant GWPs'!$G$2:$G$156,MATCH(S747,'Refrigerant GWPs'!$A$2:$A$157,0))),"")</f>
        <v/>
      </c>
      <c r="CX747" s="138" t="str">
        <f>IF($I747&lt;&gt;"",INDEX('Device Refrigerant Leakage'!$E$2:$E$42,MATCH($Q747,'Device Refrigerant Leakage'!$B$2:$B$42,0)),"")</f>
        <v/>
      </c>
      <c r="CY747" s="138" t="str">
        <f>IF($I747&lt;&gt;"",INDEX('Device Refrigerant Leakage'!$F$2:$F$42,MATCH($Q747,'Device Refrigerant Leakage'!$B$2:$B$42,0)),"")</f>
        <v/>
      </c>
      <c r="CZ747" s="145" t="str">
        <f>IF($I747&lt;&gt;"",INDEX('Device Refrigerant Leakage'!$G$2:$G$42,MATCH($Q747,'Device Refrigerant Leakage'!$B$2:$B$42,0)),"")</f>
        <v/>
      </c>
      <c r="DA747" s="145" t="str">
        <f>IF($I747&lt;&gt;"",J747*INDEX('Device Refrigerant Leakage'!$D$2:$D$42,MATCH($Q747,'Device Refrigerant Leakage'!$B$2:$B$42,0))*CX747/2204.62*CW747,"")</f>
        <v/>
      </c>
      <c r="DB747" s="145" t="str">
        <f>IF($I747&lt;&gt;"",J747*(INDEX('Device Refrigerant Leakage'!$D$2:$D$42,MATCH($Q747,'Device Refrigerant Leakage'!$B$2:$B$42,0))-(INDEX('Device Refrigerant Leakage'!$D$2:$D$42,MATCH($Q747,'Device Refrigerant Leakage'!$B$2:$B$42,0)))*CZ747*CX747)*CY747/2204.62*CW747,"")</f>
        <v/>
      </c>
      <c r="DC747" s="135" t="str">
        <f t="shared" si="892"/>
        <v/>
      </c>
      <c r="DE747" s="146" t="str">
        <f>IF(W747&lt;&gt;"AR","",IF(Y747="User Specified", AA747, INDEX('Refrigerant GWPs'!$G$2:$G$154,MATCH(Y747,'Refrigerant GWPs'!$A$2:$A$154,0))))</f>
        <v/>
      </c>
      <c r="DF747" s="146" t="str">
        <f>IF(W747&lt;&gt;"AR","",INDEX('Device Refrigerant Leakage'!$E$2:$E$42,MATCH(X747,'Device Refrigerant Leakage'!$B$2:$B$42,0)))</f>
        <v/>
      </c>
      <c r="DG747" s="146" t="str">
        <f>IF(W747&lt;&gt;"AR","",INDEX('Device Refrigerant Leakage'!$F$2:$F$42,MATCH(X747,'Device Refrigerant Leakage'!$B$2:$B$42,0)))</f>
        <v/>
      </c>
      <c r="DH747" s="146" t="str">
        <f>IF(W747&lt;&gt;"AR","",INDEX('Device Refrigerant Leakage'!$G$2:$G$42,MATCH(X747,'Device Refrigerant Leakage'!$B$2:$B$42,0)))</f>
        <v/>
      </c>
      <c r="DI747" s="146" t="str">
        <f>IF(W747&lt;&gt;"AR","",J747*INDEX('Device Refrigerant Leakage'!$D$2:$D$42,MATCH(X747,'Device Refrigerant Leakage'!$B$2:$B$42,0))*DF747/2204.62*DE747)</f>
        <v/>
      </c>
      <c r="DJ747" s="146" t="str">
        <f>IF(W747&lt;&gt;"AR","",J747*(INDEX('Device Refrigerant Leakage'!$D$2:$D$42,MATCH(X747,'Device Refrigerant Leakage'!$B$2:$B$42,0))-(INDEX('Device Refrigerant Leakage'!$D$2:$D$42,MATCH(X747,'Device Refrigerant Leakage'!$B$2:$B$42,0)))*DH747*DF747)*DG747/2204.62*DE747)</f>
        <v/>
      </c>
      <c r="DK747" s="146" t="str">
        <f>IF(W747&lt;&gt;"AR","",DI747*(K747-AB747)+'Fuel Sub Calcs-Deemed'!DJ747*((K747-AB747)/INDEX('Device Refrigerant Leakage'!$C$2:$C$42,MATCH('Fuel Sub Calcs-Deemed'!X747,'Device Refrigerant Leakage'!$B$2:$B$42,0))))</f>
        <v/>
      </c>
      <c r="DM747" s="56">
        <v>733</v>
      </c>
      <c r="DN747" s="67" t="e">
        <f t="shared" si="874"/>
        <v>#N/A</v>
      </c>
      <c r="DO747" s="45" t="e">
        <f t="shared" si="875"/>
        <v>#N/A</v>
      </c>
      <c r="DP747" s="67" t="e">
        <f t="shared" si="876"/>
        <v>#N/A</v>
      </c>
      <c r="DQ747" s="45" t="e">
        <f t="shared" si="877"/>
        <v>#N/A</v>
      </c>
      <c r="DR747" s="69" t="e">
        <f t="shared" si="878"/>
        <v>#N/A</v>
      </c>
      <c r="DS747" s="34"/>
      <c r="DT747" s="67" t="e">
        <f>((BX747*CJ747)+IF($W747=MAT_AR,(BZ747*CL747),0))*(1+Reference!$E$50+Reference!$E$51)</f>
        <v>#N/A</v>
      </c>
      <c r="DU747" s="67">
        <f>((BY747*CK747)+IF($W747=MAT_AR,(CA747*CM747),0))*(1+Reference!$G$50+Reference!$G$51)</f>
        <v>0</v>
      </c>
      <c r="DV747" s="67" t="e">
        <f t="shared" si="879"/>
        <v>#VALUE!</v>
      </c>
      <c r="DX747" s="56">
        <v>733</v>
      </c>
      <c r="DY747" s="67">
        <f t="shared" si="880"/>
        <v>0</v>
      </c>
      <c r="DZ747" s="45" t="e">
        <f>VLOOKUP($R747,Dropdown!$C$3:$D$4,2,FALSE)</f>
        <v>#N/A</v>
      </c>
      <c r="EA747" s="68">
        <f t="shared" si="881"/>
        <v>0</v>
      </c>
      <c r="EB747" s="68" t="str">
        <f t="shared" si="882"/>
        <v>N/A</v>
      </c>
      <c r="EC747" s="68">
        <f t="shared" si="883"/>
        <v>0</v>
      </c>
      <c r="ED747" s="68" t="str">
        <f t="shared" si="921"/>
        <v>N/A</v>
      </c>
      <c r="EF747" s="56">
        <v>733</v>
      </c>
      <c r="EG747" s="46">
        <f t="shared" si="884"/>
        <v>0</v>
      </c>
      <c r="EH747" s="68" t="e">
        <f t="shared" si="885"/>
        <v>#N/A</v>
      </c>
      <c r="EI747" s="68" t="e">
        <f t="shared" si="886"/>
        <v>#N/A</v>
      </c>
      <c r="EJ747" s="68" t="e">
        <f t="shared" si="887"/>
        <v>#N/A</v>
      </c>
      <c r="EK747" s="68" t="e">
        <f t="shared" si="888"/>
        <v>#N/A</v>
      </c>
      <c r="EL747" s="46">
        <f t="shared" si="889"/>
        <v>0</v>
      </c>
      <c r="EM747" s="46">
        <f t="shared" si="890"/>
        <v>0</v>
      </c>
    </row>
    <row r="748" spans="1:143">
      <c r="A748" s="89"/>
      <c r="B748" s="89"/>
      <c r="C748" s="89"/>
      <c r="D748" s="89"/>
      <c r="E748" s="89"/>
      <c r="F748" s="89"/>
      <c r="G748" s="34"/>
      <c r="H748" s="56">
        <f t="shared" si="891"/>
        <v>734</v>
      </c>
      <c r="I748" s="165"/>
      <c r="J748" s="163"/>
      <c r="K748" s="163"/>
      <c r="L748" s="164"/>
      <c r="M748" s="155"/>
      <c r="N748" s="155"/>
      <c r="O748" s="144"/>
      <c r="P748" s="159" t="str">
        <f>IFERROR(IF(O748&lt;&gt;"User Specified",IF(O748&lt;&gt;"", INDEX('Refrigerant GWPs'!$G$2:$G$154,MATCH(O748,'Refrigerant GWPs'!$A$2:$A$154,0)),""),U748),0)</f>
        <v/>
      </c>
      <c r="Q748" s="155"/>
      <c r="R748" s="155"/>
      <c r="S748" s="144"/>
      <c r="T748" s="159" t="str">
        <f>IF(S748&lt;&gt;"User Specified",IF(AND(S748&lt;&gt;"User Specified",S748&lt;&gt;""), INDEX('Refrigerant GWPs'!$G$2:$G$154,MATCH(S748,'Refrigerant GWPs'!$A$2:$A$154,0)),""),V748)</f>
        <v/>
      </c>
      <c r="U748" s="144"/>
      <c r="V748" s="144"/>
      <c r="W748" s="155"/>
      <c r="X748" s="155"/>
      <c r="Y748" s="144"/>
      <c r="Z748" s="159" t="str">
        <f>IF(AND(Y748&lt;&gt;"User Specified",Y748&lt;&gt;""), INDEX('Refrigerant GWPs'!$G$2:$G$154,MATCH(Y748,'Refrigerant GWPs'!$A$2:$A$154,0)),"")</f>
        <v/>
      </c>
      <c r="AA748" s="155"/>
      <c r="AB748" s="156"/>
      <c r="AC748" s="66"/>
      <c r="AD748" s="66"/>
      <c r="AE748" s="66"/>
      <c r="AF748" s="66"/>
      <c r="AG748" s="66"/>
      <c r="AH748" s="66"/>
      <c r="AI748" s="34"/>
      <c r="AJ748" s="88">
        <f t="shared" si="854"/>
        <v>0</v>
      </c>
      <c r="AK748" s="88">
        <f t="shared" si="855"/>
        <v>0</v>
      </c>
      <c r="AL748" s="88">
        <v>0</v>
      </c>
      <c r="AM748" s="88">
        <v>0</v>
      </c>
      <c r="AN748" s="81" t="str">
        <f t="shared" si="893"/>
        <v/>
      </c>
      <c r="AO748" s="88">
        <f t="shared" si="856"/>
        <v>0</v>
      </c>
      <c r="AP748" s="88">
        <f t="shared" si="857"/>
        <v>0</v>
      </c>
      <c r="AQ748" s="81" t="str">
        <f t="shared" si="858"/>
        <v/>
      </c>
      <c r="AS748" s="41" t="b">
        <f t="shared" si="859"/>
        <v>1</v>
      </c>
      <c r="AT748" s="38">
        <f t="shared" si="860"/>
        <v>0</v>
      </c>
      <c r="AU748" s="60">
        <f t="shared" si="861"/>
        <v>0</v>
      </c>
      <c r="AV748" s="41">
        <f t="shared" si="862"/>
        <v>0</v>
      </c>
      <c r="AW748" s="41" t="b">
        <f t="shared" si="863"/>
        <v>0</v>
      </c>
      <c r="AX748" t="str">
        <f t="shared" si="864"/>
        <v>+00</v>
      </c>
      <c r="AY748" t="str">
        <f t="shared" si="865"/>
        <v>+00</v>
      </c>
      <c r="BA748" s="47" t="b">
        <f t="shared" si="894"/>
        <v>1</v>
      </c>
      <c r="BB748" s="42" t="b">
        <f t="shared" si="895"/>
        <v>1</v>
      </c>
      <c r="BC748" s="42" t="b">
        <f t="shared" si="896"/>
        <v>0</v>
      </c>
      <c r="BD748" s="42" t="b">
        <f t="shared" si="897"/>
        <v>0</v>
      </c>
      <c r="BE748" s="70">
        <f t="shared" si="898"/>
        <v>0</v>
      </c>
      <c r="BF748" s="70">
        <f t="shared" si="899"/>
        <v>0</v>
      </c>
      <c r="BG748" s="34"/>
      <c r="BI748" s="47" t="b">
        <f t="shared" si="900"/>
        <v>1</v>
      </c>
      <c r="BJ748" s="47" t="b">
        <f t="shared" si="901"/>
        <v>1</v>
      </c>
      <c r="BK748" s="42" t="b">
        <f t="shared" si="902"/>
        <v>0</v>
      </c>
      <c r="BL748" s="42" t="b">
        <f t="shared" si="903"/>
        <v>0</v>
      </c>
      <c r="BM748" s="42">
        <f t="shared" si="904"/>
        <v>0</v>
      </c>
      <c r="BN748" s="42">
        <f t="shared" si="905"/>
        <v>0</v>
      </c>
      <c r="BP748" t="e">
        <f t="shared" si="906"/>
        <v>#N/A</v>
      </c>
      <c r="BQ748" t="e">
        <f t="shared" si="907"/>
        <v>#N/A</v>
      </c>
      <c r="BR748" t="e">
        <f t="shared" si="908"/>
        <v>#N/A</v>
      </c>
      <c r="BT748" s="60">
        <f t="shared" si="909"/>
        <v>0</v>
      </c>
      <c r="BU748" s="60">
        <f t="shared" si="910"/>
        <v>0</v>
      </c>
      <c r="BV748" s="60">
        <f t="shared" si="911"/>
        <v>0</v>
      </c>
      <c r="BW748" s="60">
        <f t="shared" si="912"/>
        <v>0</v>
      </c>
      <c r="BX748" s="60">
        <f t="shared" si="913"/>
        <v>0</v>
      </c>
      <c r="BY748" s="60">
        <f t="shared" si="914"/>
        <v>0</v>
      </c>
      <c r="BZ748" s="60">
        <f t="shared" si="915"/>
        <v>0</v>
      </c>
      <c r="CA748" s="60">
        <f t="shared" si="916"/>
        <v>0</v>
      </c>
      <c r="CB748" s="60" t="e">
        <f t="shared" si="866"/>
        <v>#N/A</v>
      </c>
      <c r="CC748" s="60">
        <f t="shared" si="867"/>
        <v>100000</v>
      </c>
      <c r="CD748" s="60" t="e">
        <f t="shared" si="868"/>
        <v>#N/A</v>
      </c>
      <c r="CE748" s="60">
        <f t="shared" si="869"/>
        <v>100000</v>
      </c>
      <c r="CF748" s="83" t="e">
        <f t="shared" si="917"/>
        <v>#N/A</v>
      </c>
      <c r="CG748" s="83">
        <f t="shared" si="918"/>
        <v>0</v>
      </c>
      <c r="CH748" s="83" t="e">
        <f t="shared" si="919"/>
        <v>#N/A</v>
      </c>
      <c r="CI748" s="83">
        <f t="shared" si="920"/>
        <v>0</v>
      </c>
      <c r="CJ748" s="86" t="e">
        <f t="shared" si="870"/>
        <v>#N/A</v>
      </c>
      <c r="CK748" s="82">
        <f t="shared" si="871"/>
        <v>5.3070370403969858E-3</v>
      </c>
      <c r="CL748" s="82" t="e">
        <f t="shared" si="872"/>
        <v>#N/A</v>
      </c>
      <c r="CM748" s="82">
        <f t="shared" si="873"/>
        <v>5.3070370403969858E-3</v>
      </c>
      <c r="CO748" s="149" t="str">
        <f>IF($I748&lt;&gt;"",IF(O748="User Specified",U748,INDEX('Refrigerant GWPs'!$G$2:$G$156,MATCH(O748,'Refrigerant GWPs'!$A$2:$A$156,0))),"")</f>
        <v/>
      </c>
      <c r="CP748" s="138" t="str">
        <f>IF($I748&lt;&gt;"",INDEX('Device Refrigerant Leakage'!$E$2:$E$42,MATCH($M748,'Device Refrigerant Leakage'!$B$2:$B$42,0)),"")</f>
        <v/>
      </c>
      <c r="CQ748" s="138" t="str">
        <f>IF($I748&lt;&gt;"",INDEX('Device Refrigerant Leakage'!$F$2:$F$42,MATCH($M748,'Device Refrigerant Leakage'!$B$2:$B$42,0)),"")</f>
        <v/>
      </c>
      <c r="CR748" s="145" t="str">
        <f>IF($I748&lt;&gt;"",INDEX('Device Refrigerant Leakage'!$G$2:$G$42,MATCH($M748,'Device Refrigerant Leakage'!$B$2:$B$42,0)),"")</f>
        <v/>
      </c>
      <c r="CS748" s="145" t="str">
        <f>IF($I748&lt;&gt;"",INDEX('Device Refrigerant Leakage'!$D$2:$D$42,MATCH($M748,'Device Refrigerant Leakage'!$B$2:$B$42,0))*CP748/2204.62*CO748,"")</f>
        <v/>
      </c>
      <c r="CT748" s="145" t="str">
        <f>IF($I748&lt;&gt;"",J748*(INDEX('Device Refrigerant Leakage'!$D$2:$D$42,MATCH($M748,'Device Refrigerant Leakage'!$B$2:$B$42,0))-(INDEX('Device Refrigerant Leakage'!$D$2:$D$42,MATCH($M748,'Device Refrigerant Leakage'!$B$2:$B$42,0)))*CR748*CP748)*CQ748/2204.62*CO748,"")</f>
        <v/>
      </c>
      <c r="CU748" s="135" t="str">
        <f>IF($I748&lt;&gt;"",J748*IF(W748&lt;&gt;"AR",(CS748*K748)+CT748,(CS748*AB748)+CT748*(AB748/INDEX('Device Refrigerant Leakage'!$C$2:$C$42,MATCH($M748,'Device Refrigerant Leakage'!$B$2:$B$42,0)))),"")</f>
        <v/>
      </c>
      <c r="CW748" s="135" t="str">
        <f>IF($I748&lt;&gt;"",IF(S748="User Specified",V748,INDEX('Refrigerant GWPs'!$G$2:$G$156,MATCH(S748,'Refrigerant GWPs'!$A$2:$A$157,0))),"")</f>
        <v/>
      </c>
      <c r="CX748" s="138" t="str">
        <f>IF($I748&lt;&gt;"",INDEX('Device Refrigerant Leakage'!$E$2:$E$42,MATCH($Q748,'Device Refrigerant Leakage'!$B$2:$B$42,0)),"")</f>
        <v/>
      </c>
      <c r="CY748" s="138" t="str">
        <f>IF($I748&lt;&gt;"",INDEX('Device Refrigerant Leakage'!$F$2:$F$42,MATCH($Q748,'Device Refrigerant Leakage'!$B$2:$B$42,0)),"")</f>
        <v/>
      </c>
      <c r="CZ748" s="145" t="str">
        <f>IF($I748&lt;&gt;"",INDEX('Device Refrigerant Leakage'!$G$2:$G$42,MATCH($Q748,'Device Refrigerant Leakage'!$B$2:$B$42,0)),"")</f>
        <v/>
      </c>
      <c r="DA748" s="145" t="str">
        <f>IF($I748&lt;&gt;"",J748*INDEX('Device Refrigerant Leakage'!$D$2:$D$42,MATCH($Q748,'Device Refrigerant Leakage'!$B$2:$B$42,0))*CX748/2204.62*CW748,"")</f>
        <v/>
      </c>
      <c r="DB748" s="145" t="str">
        <f>IF($I748&lt;&gt;"",J748*(INDEX('Device Refrigerant Leakage'!$D$2:$D$42,MATCH($Q748,'Device Refrigerant Leakage'!$B$2:$B$42,0))-(INDEX('Device Refrigerant Leakage'!$D$2:$D$42,MATCH($Q748,'Device Refrigerant Leakage'!$B$2:$B$42,0)))*CZ748*CX748)*CY748/2204.62*CW748,"")</f>
        <v/>
      </c>
      <c r="DC748" s="135" t="str">
        <f t="shared" si="892"/>
        <v/>
      </c>
      <c r="DE748" s="146" t="str">
        <f>IF(W748&lt;&gt;"AR","",IF(Y748="User Specified", AA748, INDEX('Refrigerant GWPs'!$G$2:$G$154,MATCH(Y748,'Refrigerant GWPs'!$A$2:$A$154,0))))</f>
        <v/>
      </c>
      <c r="DF748" s="146" t="str">
        <f>IF(W748&lt;&gt;"AR","",INDEX('Device Refrigerant Leakage'!$E$2:$E$42,MATCH(X748,'Device Refrigerant Leakage'!$B$2:$B$42,0)))</f>
        <v/>
      </c>
      <c r="DG748" s="146" t="str">
        <f>IF(W748&lt;&gt;"AR","",INDEX('Device Refrigerant Leakage'!$F$2:$F$42,MATCH(X748,'Device Refrigerant Leakage'!$B$2:$B$42,0)))</f>
        <v/>
      </c>
      <c r="DH748" s="146" t="str">
        <f>IF(W748&lt;&gt;"AR","",INDEX('Device Refrigerant Leakage'!$G$2:$G$42,MATCH(X748,'Device Refrigerant Leakage'!$B$2:$B$42,0)))</f>
        <v/>
      </c>
      <c r="DI748" s="146" t="str">
        <f>IF(W748&lt;&gt;"AR","",J748*INDEX('Device Refrigerant Leakage'!$D$2:$D$42,MATCH(X748,'Device Refrigerant Leakage'!$B$2:$B$42,0))*DF748/2204.62*DE748)</f>
        <v/>
      </c>
      <c r="DJ748" s="146" t="str">
        <f>IF(W748&lt;&gt;"AR","",J748*(INDEX('Device Refrigerant Leakage'!$D$2:$D$42,MATCH(X748,'Device Refrigerant Leakage'!$B$2:$B$42,0))-(INDEX('Device Refrigerant Leakage'!$D$2:$D$42,MATCH(X748,'Device Refrigerant Leakage'!$B$2:$B$42,0)))*DH748*DF748)*DG748/2204.62*DE748)</f>
        <v/>
      </c>
      <c r="DK748" s="146" t="str">
        <f>IF(W748&lt;&gt;"AR","",DI748*(K748-AB748)+'Fuel Sub Calcs-Deemed'!DJ748*((K748-AB748)/INDEX('Device Refrigerant Leakage'!$C$2:$C$42,MATCH('Fuel Sub Calcs-Deemed'!X748,'Device Refrigerant Leakage'!$B$2:$B$42,0))))</f>
        <v/>
      </c>
      <c r="DM748" s="56">
        <v>734</v>
      </c>
      <c r="DN748" s="67" t="e">
        <f t="shared" si="874"/>
        <v>#N/A</v>
      </c>
      <c r="DO748" s="45" t="e">
        <f t="shared" si="875"/>
        <v>#N/A</v>
      </c>
      <c r="DP748" s="67" t="e">
        <f t="shared" si="876"/>
        <v>#N/A</v>
      </c>
      <c r="DQ748" s="45" t="e">
        <f t="shared" si="877"/>
        <v>#N/A</v>
      </c>
      <c r="DR748" s="69" t="e">
        <f t="shared" si="878"/>
        <v>#N/A</v>
      </c>
      <c r="DS748" s="34"/>
      <c r="DT748" s="67" t="e">
        <f>((BX748*CJ748)+IF($W748=MAT_AR,(BZ748*CL748),0))*(1+Reference!$E$50+Reference!$E$51)</f>
        <v>#N/A</v>
      </c>
      <c r="DU748" s="67">
        <f>((BY748*CK748)+IF($W748=MAT_AR,(CA748*CM748),0))*(1+Reference!$G$50+Reference!$G$51)</f>
        <v>0</v>
      </c>
      <c r="DV748" s="67" t="e">
        <f t="shared" si="879"/>
        <v>#VALUE!</v>
      </c>
      <c r="DX748" s="56">
        <v>734</v>
      </c>
      <c r="DY748" s="67">
        <f t="shared" si="880"/>
        <v>0</v>
      </c>
      <c r="DZ748" s="45" t="e">
        <f>VLOOKUP($R748,Dropdown!$C$3:$D$4,2,FALSE)</f>
        <v>#N/A</v>
      </c>
      <c r="EA748" s="68">
        <f t="shared" si="881"/>
        <v>0</v>
      </c>
      <c r="EB748" s="68" t="str">
        <f t="shared" si="882"/>
        <v>N/A</v>
      </c>
      <c r="EC748" s="68">
        <f t="shared" si="883"/>
        <v>0</v>
      </c>
      <c r="ED748" s="68" t="str">
        <f t="shared" si="921"/>
        <v>N/A</v>
      </c>
      <c r="EF748" s="56">
        <v>734</v>
      </c>
      <c r="EG748" s="46">
        <f t="shared" si="884"/>
        <v>0</v>
      </c>
      <c r="EH748" s="68" t="e">
        <f t="shared" si="885"/>
        <v>#N/A</v>
      </c>
      <c r="EI748" s="68" t="e">
        <f t="shared" si="886"/>
        <v>#N/A</v>
      </c>
      <c r="EJ748" s="68" t="e">
        <f t="shared" si="887"/>
        <v>#N/A</v>
      </c>
      <c r="EK748" s="68" t="e">
        <f t="shared" si="888"/>
        <v>#N/A</v>
      </c>
      <c r="EL748" s="46">
        <f t="shared" si="889"/>
        <v>0</v>
      </c>
      <c r="EM748" s="46">
        <f t="shared" si="890"/>
        <v>0</v>
      </c>
    </row>
    <row r="749" spans="1:143">
      <c r="A749" s="89"/>
      <c r="B749" s="89"/>
      <c r="C749" s="89"/>
      <c r="D749" s="89"/>
      <c r="E749" s="89"/>
      <c r="F749" s="89"/>
      <c r="G749" s="34"/>
      <c r="H749" s="56">
        <f t="shared" si="891"/>
        <v>735</v>
      </c>
      <c r="I749" s="165"/>
      <c r="J749" s="163"/>
      <c r="K749" s="163"/>
      <c r="L749" s="164"/>
      <c r="M749" s="155"/>
      <c r="N749" s="155"/>
      <c r="O749" s="144"/>
      <c r="P749" s="159" t="str">
        <f>IFERROR(IF(O749&lt;&gt;"User Specified",IF(O749&lt;&gt;"", INDEX('Refrigerant GWPs'!$G$2:$G$154,MATCH(O749,'Refrigerant GWPs'!$A$2:$A$154,0)),""),U749),0)</f>
        <v/>
      </c>
      <c r="Q749" s="155"/>
      <c r="R749" s="155"/>
      <c r="S749" s="144"/>
      <c r="T749" s="159" t="str">
        <f>IF(S749&lt;&gt;"User Specified",IF(AND(S749&lt;&gt;"User Specified",S749&lt;&gt;""), INDEX('Refrigerant GWPs'!$G$2:$G$154,MATCH(S749,'Refrigerant GWPs'!$A$2:$A$154,0)),""),V749)</f>
        <v/>
      </c>
      <c r="U749" s="144"/>
      <c r="V749" s="144"/>
      <c r="W749" s="155"/>
      <c r="X749" s="155"/>
      <c r="Y749" s="144"/>
      <c r="Z749" s="159" t="str">
        <f>IF(AND(Y749&lt;&gt;"User Specified",Y749&lt;&gt;""), INDEX('Refrigerant GWPs'!$G$2:$G$154,MATCH(Y749,'Refrigerant GWPs'!$A$2:$A$154,0)),"")</f>
        <v/>
      </c>
      <c r="AA749" s="155"/>
      <c r="AB749" s="156"/>
      <c r="AC749" s="66"/>
      <c r="AD749" s="66"/>
      <c r="AE749" s="66"/>
      <c r="AF749" s="66"/>
      <c r="AG749" s="66"/>
      <c r="AH749" s="66"/>
      <c r="AI749" s="34"/>
      <c r="AJ749" s="88">
        <f t="shared" si="854"/>
        <v>0</v>
      </c>
      <c r="AK749" s="88">
        <f t="shared" si="855"/>
        <v>0</v>
      </c>
      <c r="AL749" s="88">
        <v>0</v>
      </c>
      <c r="AM749" s="88">
        <v>0</v>
      </c>
      <c r="AN749" s="81" t="str">
        <f t="shared" si="893"/>
        <v/>
      </c>
      <c r="AO749" s="88">
        <f t="shared" si="856"/>
        <v>0</v>
      </c>
      <c r="AP749" s="88">
        <f t="shared" si="857"/>
        <v>0</v>
      </c>
      <c r="AQ749" s="81" t="str">
        <f t="shared" si="858"/>
        <v/>
      </c>
      <c r="AS749" s="41" t="b">
        <f t="shared" si="859"/>
        <v>1</v>
      </c>
      <c r="AT749" s="38">
        <f t="shared" si="860"/>
        <v>0</v>
      </c>
      <c r="AU749" s="60">
        <f t="shared" si="861"/>
        <v>0</v>
      </c>
      <c r="AV749" s="41">
        <f t="shared" si="862"/>
        <v>0</v>
      </c>
      <c r="AW749" s="41" t="b">
        <f t="shared" si="863"/>
        <v>0</v>
      </c>
      <c r="AX749" t="str">
        <f t="shared" si="864"/>
        <v>+00</v>
      </c>
      <c r="AY749" t="str">
        <f t="shared" si="865"/>
        <v>+00</v>
      </c>
      <c r="BA749" s="47" t="b">
        <f t="shared" si="894"/>
        <v>1</v>
      </c>
      <c r="BB749" s="42" t="b">
        <f t="shared" si="895"/>
        <v>1</v>
      </c>
      <c r="BC749" s="42" t="b">
        <f t="shared" si="896"/>
        <v>0</v>
      </c>
      <c r="BD749" s="42" t="b">
        <f t="shared" si="897"/>
        <v>0</v>
      </c>
      <c r="BE749" s="70">
        <f t="shared" si="898"/>
        <v>0</v>
      </c>
      <c r="BF749" s="70">
        <f t="shared" si="899"/>
        <v>0</v>
      </c>
      <c r="BG749" s="34"/>
      <c r="BI749" s="47" t="b">
        <f t="shared" si="900"/>
        <v>1</v>
      </c>
      <c r="BJ749" s="47" t="b">
        <f t="shared" si="901"/>
        <v>1</v>
      </c>
      <c r="BK749" s="42" t="b">
        <f t="shared" si="902"/>
        <v>0</v>
      </c>
      <c r="BL749" s="42" t="b">
        <f t="shared" si="903"/>
        <v>0</v>
      </c>
      <c r="BM749" s="42">
        <f t="shared" si="904"/>
        <v>0</v>
      </c>
      <c r="BN749" s="42">
        <f t="shared" si="905"/>
        <v>0</v>
      </c>
      <c r="BP749" t="e">
        <f t="shared" si="906"/>
        <v>#N/A</v>
      </c>
      <c r="BQ749" t="e">
        <f t="shared" si="907"/>
        <v>#N/A</v>
      </c>
      <c r="BR749" t="e">
        <f t="shared" si="908"/>
        <v>#N/A</v>
      </c>
      <c r="BT749" s="60">
        <f t="shared" si="909"/>
        <v>0</v>
      </c>
      <c r="BU749" s="60">
        <f t="shared" si="910"/>
        <v>0</v>
      </c>
      <c r="BV749" s="60">
        <f t="shared" si="911"/>
        <v>0</v>
      </c>
      <c r="BW749" s="60">
        <f t="shared" si="912"/>
        <v>0</v>
      </c>
      <c r="BX749" s="60">
        <f t="shared" si="913"/>
        <v>0</v>
      </c>
      <c r="BY749" s="60">
        <f t="shared" si="914"/>
        <v>0</v>
      </c>
      <c r="BZ749" s="60">
        <f t="shared" si="915"/>
        <v>0</v>
      </c>
      <c r="CA749" s="60">
        <f t="shared" si="916"/>
        <v>0</v>
      </c>
      <c r="CB749" s="60" t="e">
        <f t="shared" si="866"/>
        <v>#N/A</v>
      </c>
      <c r="CC749" s="60">
        <f t="shared" si="867"/>
        <v>100000</v>
      </c>
      <c r="CD749" s="60" t="e">
        <f t="shared" si="868"/>
        <v>#N/A</v>
      </c>
      <c r="CE749" s="60">
        <f t="shared" si="869"/>
        <v>100000</v>
      </c>
      <c r="CF749" s="83" t="e">
        <f t="shared" si="917"/>
        <v>#N/A</v>
      </c>
      <c r="CG749" s="83">
        <f t="shared" si="918"/>
        <v>0</v>
      </c>
      <c r="CH749" s="83" t="e">
        <f t="shared" si="919"/>
        <v>#N/A</v>
      </c>
      <c r="CI749" s="83">
        <f t="shared" si="920"/>
        <v>0</v>
      </c>
      <c r="CJ749" s="86" t="e">
        <f t="shared" si="870"/>
        <v>#N/A</v>
      </c>
      <c r="CK749" s="82">
        <f t="shared" si="871"/>
        <v>5.3070370403969858E-3</v>
      </c>
      <c r="CL749" s="82" t="e">
        <f t="shared" si="872"/>
        <v>#N/A</v>
      </c>
      <c r="CM749" s="82">
        <f t="shared" si="873"/>
        <v>5.3070370403969858E-3</v>
      </c>
      <c r="CO749" s="149" t="str">
        <f>IF($I749&lt;&gt;"",IF(O749="User Specified",U749,INDEX('Refrigerant GWPs'!$G$2:$G$156,MATCH(O749,'Refrigerant GWPs'!$A$2:$A$156,0))),"")</f>
        <v/>
      </c>
      <c r="CP749" s="138" t="str">
        <f>IF($I749&lt;&gt;"",INDEX('Device Refrigerant Leakage'!$E$2:$E$42,MATCH($M749,'Device Refrigerant Leakage'!$B$2:$B$42,0)),"")</f>
        <v/>
      </c>
      <c r="CQ749" s="138" t="str">
        <f>IF($I749&lt;&gt;"",INDEX('Device Refrigerant Leakage'!$F$2:$F$42,MATCH($M749,'Device Refrigerant Leakage'!$B$2:$B$42,0)),"")</f>
        <v/>
      </c>
      <c r="CR749" s="145" t="str">
        <f>IF($I749&lt;&gt;"",INDEX('Device Refrigerant Leakage'!$G$2:$G$42,MATCH($M749,'Device Refrigerant Leakage'!$B$2:$B$42,0)),"")</f>
        <v/>
      </c>
      <c r="CS749" s="145" t="str">
        <f>IF($I749&lt;&gt;"",INDEX('Device Refrigerant Leakage'!$D$2:$D$42,MATCH($M749,'Device Refrigerant Leakage'!$B$2:$B$42,0))*CP749/2204.62*CO749,"")</f>
        <v/>
      </c>
      <c r="CT749" s="145" t="str">
        <f>IF($I749&lt;&gt;"",J749*(INDEX('Device Refrigerant Leakage'!$D$2:$D$42,MATCH($M749,'Device Refrigerant Leakage'!$B$2:$B$42,0))-(INDEX('Device Refrigerant Leakage'!$D$2:$D$42,MATCH($M749,'Device Refrigerant Leakage'!$B$2:$B$42,0)))*CR749*CP749)*CQ749/2204.62*CO749,"")</f>
        <v/>
      </c>
      <c r="CU749" s="135" t="str">
        <f>IF($I749&lt;&gt;"",J749*IF(W749&lt;&gt;"AR",(CS749*K749)+CT749,(CS749*AB749)+CT749*(AB749/INDEX('Device Refrigerant Leakage'!$C$2:$C$42,MATCH($M749,'Device Refrigerant Leakage'!$B$2:$B$42,0)))),"")</f>
        <v/>
      </c>
      <c r="CW749" s="135" t="str">
        <f>IF($I749&lt;&gt;"",IF(S749="User Specified",V749,INDEX('Refrigerant GWPs'!$G$2:$G$156,MATCH(S749,'Refrigerant GWPs'!$A$2:$A$157,0))),"")</f>
        <v/>
      </c>
      <c r="CX749" s="138" t="str">
        <f>IF($I749&lt;&gt;"",INDEX('Device Refrigerant Leakage'!$E$2:$E$42,MATCH($Q749,'Device Refrigerant Leakage'!$B$2:$B$42,0)),"")</f>
        <v/>
      </c>
      <c r="CY749" s="138" t="str">
        <f>IF($I749&lt;&gt;"",INDEX('Device Refrigerant Leakage'!$F$2:$F$42,MATCH($Q749,'Device Refrigerant Leakage'!$B$2:$B$42,0)),"")</f>
        <v/>
      </c>
      <c r="CZ749" s="145" t="str">
        <f>IF($I749&lt;&gt;"",INDEX('Device Refrigerant Leakage'!$G$2:$G$42,MATCH($Q749,'Device Refrigerant Leakage'!$B$2:$B$42,0)),"")</f>
        <v/>
      </c>
      <c r="DA749" s="145" t="str">
        <f>IF($I749&lt;&gt;"",J749*INDEX('Device Refrigerant Leakage'!$D$2:$D$42,MATCH($Q749,'Device Refrigerant Leakage'!$B$2:$B$42,0))*CX749/2204.62*CW749,"")</f>
        <v/>
      </c>
      <c r="DB749" s="145" t="str">
        <f>IF($I749&lt;&gt;"",J749*(INDEX('Device Refrigerant Leakage'!$D$2:$D$42,MATCH($Q749,'Device Refrigerant Leakage'!$B$2:$B$42,0))-(INDEX('Device Refrigerant Leakage'!$D$2:$D$42,MATCH($Q749,'Device Refrigerant Leakage'!$B$2:$B$42,0)))*CZ749*CX749)*CY749/2204.62*CW749,"")</f>
        <v/>
      </c>
      <c r="DC749" s="135" t="str">
        <f t="shared" si="892"/>
        <v/>
      </c>
      <c r="DE749" s="146" t="str">
        <f>IF(W749&lt;&gt;"AR","",IF(Y749="User Specified", AA749, INDEX('Refrigerant GWPs'!$G$2:$G$154,MATCH(Y749,'Refrigerant GWPs'!$A$2:$A$154,0))))</f>
        <v/>
      </c>
      <c r="DF749" s="146" t="str">
        <f>IF(W749&lt;&gt;"AR","",INDEX('Device Refrigerant Leakage'!$E$2:$E$42,MATCH(X749,'Device Refrigerant Leakage'!$B$2:$B$42,0)))</f>
        <v/>
      </c>
      <c r="DG749" s="146" t="str">
        <f>IF(W749&lt;&gt;"AR","",INDEX('Device Refrigerant Leakage'!$F$2:$F$42,MATCH(X749,'Device Refrigerant Leakage'!$B$2:$B$42,0)))</f>
        <v/>
      </c>
      <c r="DH749" s="146" t="str">
        <f>IF(W749&lt;&gt;"AR","",INDEX('Device Refrigerant Leakage'!$G$2:$G$42,MATCH(X749,'Device Refrigerant Leakage'!$B$2:$B$42,0)))</f>
        <v/>
      </c>
      <c r="DI749" s="146" t="str">
        <f>IF(W749&lt;&gt;"AR","",J749*INDEX('Device Refrigerant Leakage'!$D$2:$D$42,MATCH(X749,'Device Refrigerant Leakage'!$B$2:$B$42,0))*DF749/2204.62*DE749)</f>
        <v/>
      </c>
      <c r="DJ749" s="146" t="str">
        <f>IF(W749&lt;&gt;"AR","",J749*(INDEX('Device Refrigerant Leakage'!$D$2:$D$42,MATCH(X749,'Device Refrigerant Leakage'!$B$2:$B$42,0))-(INDEX('Device Refrigerant Leakage'!$D$2:$D$42,MATCH(X749,'Device Refrigerant Leakage'!$B$2:$B$42,0)))*DH749*DF749)*DG749/2204.62*DE749)</f>
        <v/>
      </c>
      <c r="DK749" s="146" t="str">
        <f>IF(W749&lt;&gt;"AR","",DI749*(K749-AB749)+'Fuel Sub Calcs-Deemed'!DJ749*((K749-AB749)/INDEX('Device Refrigerant Leakage'!$C$2:$C$42,MATCH('Fuel Sub Calcs-Deemed'!X749,'Device Refrigerant Leakage'!$B$2:$B$42,0))))</f>
        <v/>
      </c>
      <c r="DM749" s="56">
        <v>735</v>
      </c>
      <c r="DN749" s="67" t="e">
        <f t="shared" si="874"/>
        <v>#N/A</v>
      </c>
      <c r="DO749" s="45" t="e">
        <f t="shared" si="875"/>
        <v>#N/A</v>
      </c>
      <c r="DP749" s="67" t="e">
        <f t="shared" si="876"/>
        <v>#N/A</v>
      </c>
      <c r="DQ749" s="45" t="e">
        <f t="shared" si="877"/>
        <v>#N/A</v>
      </c>
      <c r="DR749" s="69" t="e">
        <f t="shared" si="878"/>
        <v>#N/A</v>
      </c>
      <c r="DS749" s="34"/>
      <c r="DT749" s="67" t="e">
        <f>((BX749*CJ749)+IF($W749=MAT_AR,(BZ749*CL749),0))*(1+Reference!$E$50+Reference!$E$51)</f>
        <v>#N/A</v>
      </c>
      <c r="DU749" s="67">
        <f>((BY749*CK749)+IF($W749=MAT_AR,(CA749*CM749),0))*(1+Reference!$G$50+Reference!$G$51)</f>
        <v>0</v>
      </c>
      <c r="DV749" s="67" t="e">
        <f t="shared" si="879"/>
        <v>#VALUE!</v>
      </c>
      <c r="DX749" s="56">
        <v>735</v>
      </c>
      <c r="DY749" s="67">
        <f t="shared" si="880"/>
        <v>0</v>
      </c>
      <c r="DZ749" s="45" t="e">
        <f>VLOOKUP($R749,Dropdown!$C$3:$D$4,2,FALSE)</f>
        <v>#N/A</v>
      </c>
      <c r="EA749" s="68">
        <f t="shared" si="881"/>
        <v>0</v>
      </c>
      <c r="EB749" s="68" t="str">
        <f t="shared" si="882"/>
        <v>N/A</v>
      </c>
      <c r="EC749" s="68">
        <f t="shared" si="883"/>
        <v>0</v>
      </c>
      <c r="ED749" s="68" t="str">
        <f t="shared" si="921"/>
        <v>N/A</v>
      </c>
      <c r="EF749" s="56">
        <v>735</v>
      </c>
      <c r="EG749" s="46">
        <f t="shared" si="884"/>
        <v>0</v>
      </c>
      <c r="EH749" s="68" t="e">
        <f t="shared" si="885"/>
        <v>#N/A</v>
      </c>
      <c r="EI749" s="68" t="e">
        <f t="shared" si="886"/>
        <v>#N/A</v>
      </c>
      <c r="EJ749" s="68" t="e">
        <f t="shared" si="887"/>
        <v>#N/A</v>
      </c>
      <c r="EK749" s="68" t="e">
        <f t="shared" si="888"/>
        <v>#N/A</v>
      </c>
      <c r="EL749" s="46">
        <f t="shared" si="889"/>
        <v>0</v>
      </c>
      <c r="EM749" s="46">
        <f t="shared" si="890"/>
        <v>0</v>
      </c>
    </row>
    <row r="750" spans="1:143">
      <c r="A750" s="89"/>
      <c r="B750" s="89"/>
      <c r="C750" s="89"/>
      <c r="D750" s="89"/>
      <c r="E750" s="89"/>
      <c r="F750" s="89"/>
      <c r="G750" s="34"/>
      <c r="H750" s="56">
        <f t="shared" si="891"/>
        <v>736</v>
      </c>
      <c r="I750" s="165"/>
      <c r="J750" s="163"/>
      <c r="K750" s="163"/>
      <c r="L750" s="164"/>
      <c r="M750" s="155"/>
      <c r="N750" s="155"/>
      <c r="O750" s="144"/>
      <c r="P750" s="159" t="str">
        <f>IFERROR(IF(O750&lt;&gt;"User Specified",IF(O750&lt;&gt;"", INDEX('Refrigerant GWPs'!$G$2:$G$154,MATCH(O750,'Refrigerant GWPs'!$A$2:$A$154,0)),""),U750),0)</f>
        <v/>
      </c>
      <c r="Q750" s="155"/>
      <c r="R750" s="155"/>
      <c r="S750" s="144"/>
      <c r="T750" s="159" t="str">
        <f>IF(S750&lt;&gt;"User Specified",IF(AND(S750&lt;&gt;"User Specified",S750&lt;&gt;""), INDEX('Refrigerant GWPs'!$G$2:$G$154,MATCH(S750,'Refrigerant GWPs'!$A$2:$A$154,0)),""),V750)</f>
        <v/>
      </c>
      <c r="U750" s="144"/>
      <c r="V750" s="144"/>
      <c r="W750" s="155"/>
      <c r="X750" s="155"/>
      <c r="Y750" s="144"/>
      <c r="Z750" s="159" t="str">
        <f>IF(AND(Y750&lt;&gt;"User Specified",Y750&lt;&gt;""), INDEX('Refrigerant GWPs'!$G$2:$G$154,MATCH(Y750,'Refrigerant GWPs'!$A$2:$A$154,0)),"")</f>
        <v/>
      </c>
      <c r="AA750" s="155"/>
      <c r="AB750" s="156"/>
      <c r="AC750" s="66"/>
      <c r="AD750" s="66"/>
      <c r="AE750" s="66"/>
      <c r="AF750" s="66"/>
      <c r="AG750" s="66"/>
      <c r="AH750" s="66"/>
      <c r="AI750" s="34"/>
      <c r="AJ750" s="88">
        <f t="shared" si="854"/>
        <v>0</v>
      </c>
      <c r="AK750" s="88">
        <f t="shared" si="855"/>
        <v>0</v>
      </c>
      <c r="AL750" s="88">
        <v>0</v>
      </c>
      <c r="AM750" s="88">
        <v>0</v>
      </c>
      <c r="AN750" s="81" t="str">
        <f t="shared" si="893"/>
        <v/>
      </c>
      <c r="AO750" s="88">
        <f t="shared" si="856"/>
        <v>0</v>
      </c>
      <c r="AP750" s="88">
        <f t="shared" si="857"/>
        <v>0</v>
      </c>
      <c r="AQ750" s="81" t="str">
        <f t="shared" si="858"/>
        <v/>
      </c>
      <c r="AS750" s="41" t="b">
        <f t="shared" si="859"/>
        <v>1</v>
      </c>
      <c r="AT750" s="38">
        <f t="shared" si="860"/>
        <v>0</v>
      </c>
      <c r="AU750" s="60">
        <f t="shared" si="861"/>
        <v>0</v>
      </c>
      <c r="AV750" s="41">
        <f t="shared" si="862"/>
        <v>0</v>
      </c>
      <c r="AW750" s="41" t="b">
        <f t="shared" si="863"/>
        <v>0</v>
      </c>
      <c r="AX750" t="str">
        <f t="shared" si="864"/>
        <v>+00</v>
      </c>
      <c r="AY750" t="str">
        <f t="shared" si="865"/>
        <v>+00</v>
      </c>
      <c r="BA750" s="47" t="b">
        <f t="shared" si="894"/>
        <v>1</v>
      </c>
      <c r="BB750" s="42" t="b">
        <f t="shared" si="895"/>
        <v>1</v>
      </c>
      <c r="BC750" s="42" t="b">
        <f t="shared" si="896"/>
        <v>0</v>
      </c>
      <c r="BD750" s="42" t="b">
        <f t="shared" si="897"/>
        <v>0</v>
      </c>
      <c r="BE750" s="70">
        <f t="shared" si="898"/>
        <v>0</v>
      </c>
      <c r="BF750" s="70">
        <f t="shared" si="899"/>
        <v>0</v>
      </c>
      <c r="BG750" s="34"/>
      <c r="BI750" s="47" t="b">
        <f t="shared" si="900"/>
        <v>1</v>
      </c>
      <c r="BJ750" s="47" t="b">
        <f t="shared" si="901"/>
        <v>1</v>
      </c>
      <c r="BK750" s="42" t="b">
        <f t="shared" si="902"/>
        <v>0</v>
      </c>
      <c r="BL750" s="42" t="b">
        <f t="shared" si="903"/>
        <v>0</v>
      </c>
      <c r="BM750" s="42">
        <f t="shared" si="904"/>
        <v>0</v>
      </c>
      <c r="BN750" s="42">
        <f t="shared" si="905"/>
        <v>0</v>
      </c>
      <c r="BP750" t="e">
        <f t="shared" si="906"/>
        <v>#N/A</v>
      </c>
      <c r="BQ750" t="e">
        <f t="shared" si="907"/>
        <v>#N/A</v>
      </c>
      <c r="BR750" t="e">
        <f t="shared" si="908"/>
        <v>#N/A</v>
      </c>
      <c r="BT750" s="60">
        <f t="shared" si="909"/>
        <v>0</v>
      </c>
      <c r="BU750" s="60">
        <f t="shared" si="910"/>
        <v>0</v>
      </c>
      <c r="BV750" s="60">
        <f t="shared" si="911"/>
        <v>0</v>
      </c>
      <c r="BW750" s="60">
        <f t="shared" si="912"/>
        <v>0</v>
      </c>
      <c r="BX750" s="60">
        <f t="shared" si="913"/>
        <v>0</v>
      </c>
      <c r="BY750" s="60">
        <f t="shared" si="914"/>
        <v>0</v>
      </c>
      <c r="BZ750" s="60">
        <f t="shared" si="915"/>
        <v>0</v>
      </c>
      <c r="CA750" s="60">
        <f t="shared" si="916"/>
        <v>0</v>
      </c>
      <c r="CB750" s="60" t="e">
        <f t="shared" si="866"/>
        <v>#N/A</v>
      </c>
      <c r="CC750" s="60">
        <f t="shared" si="867"/>
        <v>100000</v>
      </c>
      <c r="CD750" s="60" t="e">
        <f t="shared" si="868"/>
        <v>#N/A</v>
      </c>
      <c r="CE750" s="60">
        <f t="shared" si="869"/>
        <v>100000</v>
      </c>
      <c r="CF750" s="83" t="e">
        <f t="shared" si="917"/>
        <v>#N/A</v>
      </c>
      <c r="CG750" s="83">
        <f t="shared" si="918"/>
        <v>0</v>
      </c>
      <c r="CH750" s="83" t="e">
        <f t="shared" si="919"/>
        <v>#N/A</v>
      </c>
      <c r="CI750" s="83">
        <f t="shared" si="920"/>
        <v>0</v>
      </c>
      <c r="CJ750" s="86" t="e">
        <f t="shared" si="870"/>
        <v>#N/A</v>
      </c>
      <c r="CK750" s="82">
        <f t="shared" si="871"/>
        <v>5.3070370403969858E-3</v>
      </c>
      <c r="CL750" s="82" t="e">
        <f t="shared" si="872"/>
        <v>#N/A</v>
      </c>
      <c r="CM750" s="82">
        <f t="shared" si="873"/>
        <v>5.3070370403969858E-3</v>
      </c>
      <c r="CO750" s="149" t="str">
        <f>IF($I750&lt;&gt;"",IF(O750="User Specified",U750,INDEX('Refrigerant GWPs'!$G$2:$G$156,MATCH(O750,'Refrigerant GWPs'!$A$2:$A$156,0))),"")</f>
        <v/>
      </c>
      <c r="CP750" s="138" t="str">
        <f>IF($I750&lt;&gt;"",INDEX('Device Refrigerant Leakage'!$E$2:$E$42,MATCH($M750,'Device Refrigerant Leakage'!$B$2:$B$42,0)),"")</f>
        <v/>
      </c>
      <c r="CQ750" s="138" t="str">
        <f>IF($I750&lt;&gt;"",INDEX('Device Refrigerant Leakage'!$F$2:$F$42,MATCH($M750,'Device Refrigerant Leakage'!$B$2:$B$42,0)),"")</f>
        <v/>
      </c>
      <c r="CR750" s="145" t="str">
        <f>IF($I750&lt;&gt;"",INDEX('Device Refrigerant Leakage'!$G$2:$G$42,MATCH($M750,'Device Refrigerant Leakage'!$B$2:$B$42,0)),"")</f>
        <v/>
      </c>
      <c r="CS750" s="145" t="str">
        <f>IF($I750&lt;&gt;"",INDEX('Device Refrigerant Leakage'!$D$2:$D$42,MATCH($M750,'Device Refrigerant Leakage'!$B$2:$B$42,0))*CP750/2204.62*CO750,"")</f>
        <v/>
      </c>
      <c r="CT750" s="145" t="str">
        <f>IF($I750&lt;&gt;"",J750*(INDEX('Device Refrigerant Leakage'!$D$2:$D$42,MATCH($M750,'Device Refrigerant Leakage'!$B$2:$B$42,0))-(INDEX('Device Refrigerant Leakage'!$D$2:$D$42,MATCH($M750,'Device Refrigerant Leakage'!$B$2:$B$42,0)))*CR750*CP750)*CQ750/2204.62*CO750,"")</f>
        <v/>
      </c>
      <c r="CU750" s="135" t="str">
        <f>IF($I750&lt;&gt;"",J750*IF(W750&lt;&gt;"AR",(CS750*K750)+CT750,(CS750*AB750)+CT750*(AB750/INDEX('Device Refrigerant Leakage'!$C$2:$C$42,MATCH($M750,'Device Refrigerant Leakage'!$B$2:$B$42,0)))),"")</f>
        <v/>
      </c>
      <c r="CW750" s="135" t="str">
        <f>IF($I750&lt;&gt;"",IF(S750="User Specified",V750,INDEX('Refrigerant GWPs'!$G$2:$G$156,MATCH(S750,'Refrigerant GWPs'!$A$2:$A$157,0))),"")</f>
        <v/>
      </c>
      <c r="CX750" s="138" t="str">
        <f>IF($I750&lt;&gt;"",INDEX('Device Refrigerant Leakage'!$E$2:$E$42,MATCH($Q750,'Device Refrigerant Leakage'!$B$2:$B$42,0)),"")</f>
        <v/>
      </c>
      <c r="CY750" s="138" t="str">
        <f>IF($I750&lt;&gt;"",INDEX('Device Refrigerant Leakage'!$F$2:$F$42,MATCH($Q750,'Device Refrigerant Leakage'!$B$2:$B$42,0)),"")</f>
        <v/>
      </c>
      <c r="CZ750" s="145" t="str">
        <f>IF($I750&lt;&gt;"",INDEX('Device Refrigerant Leakage'!$G$2:$G$42,MATCH($Q750,'Device Refrigerant Leakage'!$B$2:$B$42,0)),"")</f>
        <v/>
      </c>
      <c r="DA750" s="145" t="str">
        <f>IF($I750&lt;&gt;"",J750*INDEX('Device Refrigerant Leakage'!$D$2:$D$42,MATCH($Q750,'Device Refrigerant Leakage'!$B$2:$B$42,0))*CX750/2204.62*CW750,"")</f>
        <v/>
      </c>
      <c r="DB750" s="145" t="str">
        <f>IF($I750&lt;&gt;"",J750*(INDEX('Device Refrigerant Leakage'!$D$2:$D$42,MATCH($Q750,'Device Refrigerant Leakage'!$B$2:$B$42,0))-(INDEX('Device Refrigerant Leakage'!$D$2:$D$42,MATCH($Q750,'Device Refrigerant Leakage'!$B$2:$B$42,0)))*CZ750*CX750)*CY750/2204.62*CW750,"")</f>
        <v/>
      </c>
      <c r="DC750" s="135" t="str">
        <f t="shared" si="892"/>
        <v/>
      </c>
      <c r="DE750" s="146" t="str">
        <f>IF(W750&lt;&gt;"AR","",IF(Y750="User Specified", AA750, INDEX('Refrigerant GWPs'!$G$2:$G$154,MATCH(Y750,'Refrigerant GWPs'!$A$2:$A$154,0))))</f>
        <v/>
      </c>
      <c r="DF750" s="146" t="str">
        <f>IF(W750&lt;&gt;"AR","",INDEX('Device Refrigerant Leakage'!$E$2:$E$42,MATCH(X750,'Device Refrigerant Leakage'!$B$2:$B$42,0)))</f>
        <v/>
      </c>
      <c r="DG750" s="146" t="str">
        <f>IF(W750&lt;&gt;"AR","",INDEX('Device Refrigerant Leakage'!$F$2:$F$42,MATCH(X750,'Device Refrigerant Leakage'!$B$2:$B$42,0)))</f>
        <v/>
      </c>
      <c r="DH750" s="146" t="str">
        <f>IF(W750&lt;&gt;"AR","",INDEX('Device Refrigerant Leakage'!$G$2:$G$42,MATCH(X750,'Device Refrigerant Leakage'!$B$2:$B$42,0)))</f>
        <v/>
      </c>
      <c r="DI750" s="146" t="str">
        <f>IF(W750&lt;&gt;"AR","",J750*INDEX('Device Refrigerant Leakage'!$D$2:$D$42,MATCH(X750,'Device Refrigerant Leakage'!$B$2:$B$42,0))*DF750/2204.62*DE750)</f>
        <v/>
      </c>
      <c r="DJ750" s="146" t="str">
        <f>IF(W750&lt;&gt;"AR","",J750*(INDEX('Device Refrigerant Leakage'!$D$2:$D$42,MATCH(X750,'Device Refrigerant Leakage'!$B$2:$B$42,0))-(INDEX('Device Refrigerant Leakage'!$D$2:$D$42,MATCH(X750,'Device Refrigerant Leakage'!$B$2:$B$42,0)))*DH750*DF750)*DG750/2204.62*DE750)</f>
        <v/>
      </c>
      <c r="DK750" s="146" t="str">
        <f>IF(W750&lt;&gt;"AR","",DI750*(K750-AB750)+'Fuel Sub Calcs-Deemed'!DJ750*((K750-AB750)/INDEX('Device Refrigerant Leakage'!$C$2:$C$42,MATCH('Fuel Sub Calcs-Deemed'!X750,'Device Refrigerant Leakage'!$B$2:$B$42,0))))</f>
        <v/>
      </c>
      <c r="DM750" s="56">
        <v>736</v>
      </c>
      <c r="DN750" s="67" t="e">
        <f t="shared" si="874"/>
        <v>#N/A</v>
      </c>
      <c r="DO750" s="45" t="e">
        <f t="shared" si="875"/>
        <v>#N/A</v>
      </c>
      <c r="DP750" s="67" t="e">
        <f t="shared" si="876"/>
        <v>#N/A</v>
      </c>
      <c r="DQ750" s="45" t="e">
        <f t="shared" si="877"/>
        <v>#N/A</v>
      </c>
      <c r="DR750" s="69" t="e">
        <f t="shared" si="878"/>
        <v>#N/A</v>
      </c>
      <c r="DS750" s="34"/>
      <c r="DT750" s="67" t="e">
        <f>((BX750*CJ750)+IF($W750=MAT_AR,(BZ750*CL750),0))*(1+Reference!$E$50+Reference!$E$51)</f>
        <v>#N/A</v>
      </c>
      <c r="DU750" s="67">
        <f>((BY750*CK750)+IF($W750=MAT_AR,(CA750*CM750),0))*(1+Reference!$G$50+Reference!$G$51)</f>
        <v>0</v>
      </c>
      <c r="DV750" s="67" t="e">
        <f t="shared" si="879"/>
        <v>#VALUE!</v>
      </c>
      <c r="DX750" s="56">
        <v>736</v>
      </c>
      <c r="DY750" s="67">
        <f t="shared" si="880"/>
        <v>0</v>
      </c>
      <c r="DZ750" s="45" t="e">
        <f>VLOOKUP($R750,Dropdown!$C$3:$D$4,2,FALSE)</f>
        <v>#N/A</v>
      </c>
      <c r="EA750" s="68">
        <f t="shared" si="881"/>
        <v>0</v>
      </c>
      <c r="EB750" s="68" t="str">
        <f t="shared" si="882"/>
        <v>N/A</v>
      </c>
      <c r="EC750" s="68">
        <f t="shared" si="883"/>
        <v>0</v>
      </c>
      <c r="ED750" s="68" t="str">
        <f t="shared" si="921"/>
        <v>N/A</v>
      </c>
      <c r="EF750" s="56">
        <v>736</v>
      </c>
      <c r="EG750" s="46">
        <f t="shared" si="884"/>
        <v>0</v>
      </c>
      <c r="EH750" s="68" t="e">
        <f t="shared" si="885"/>
        <v>#N/A</v>
      </c>
      <c r="EI750" s="68" t="e">
        <f t="shared" si="886"/>
        <v>#N/A</v>
      </c>
      <c r="EJ750" s="68" t="e">
        <f t="shared" si="887"/>
        <v>#N/A</v>
      </c>
      <c r="EK750" s="68" t="e">
        <f t="shared" si="888"/>
        <v>#N/A</v>
      </c>
      <c r="EL750" s="46">
        <f t="shared" si="889"/>
        <v>0</v>
      </c>
      <c r="EM750" s="46">
        <f t="shared" si="890"/>
        <v>0</v>
      </c>
    </row>
    <row r="751" spans="1:143">
      <c r="A751" s="89"/>
      <c r="B751" s="89"/>
      <c r="C751" s="89"/>
      <c r="D751" s="89"/>
      <c r="E751" s="89"/>
      <c r="F751" s="89"/>
      <c r="G751" s="34"/>
      <c r="H751" s="56">
        <f t="shared" si="891"/>
        <v>737</v>
      </c>
      <c r="I751" s="165"/>
      <c r="J751" s="163"/>
      <c r="K751" s="163"/>
      <c r="L751" s="164"/>
      <c r="M751" s="155"/>
      <c r="N751" s="155"/>
      <c r="O751" s="144"/>
      <c r="P751" s="159" t="str">
        <f>IFERROR(IF(O751&lt;&gt;"User Specified",IF(O751&lt;&gt;"", INDEX('Refrigerant GWPs'!$G$2:$G$154,MATCH(O751,'Refrigerant GWPs'!$A$2:$A$154,0)),""),U751),0)</f>
        <v/>
      </c>
      <c r="Q751" s="155"/>
      <c r="R751" s="155"/>
      <c r="S751" s="144"/>
      <c r="T751" s="159" t="str">
        <f>IF(S751&lt;&gt;"User Specified",IF(AND(S751&lt;&gt;"User Specified",S751&lt;&gt;""), INDEX('Refrigerant GWPs'!$G$2:$G$154,MATCH(S751,'Refrigerant GWPs'!$A$2:$A$154,0)),""),V751)</f>
        <v/>
      </c>
      <c r="U751" s="144"/>
      <c r="V751" s="144"/>
      <c r="W751" s="155"/>
      <c r="X751" s="155"/>
      <c r="Y751" s="144"/>
      <c r="Z751" s="159" t="str">
        <f>IF(AND(Y751&lt;&gt;"User Specified",Y751&lt;&gt;""), INDEX('Refrigerant GWPs'!$G$2:$G$154,MATCH(Y751,'Refrigerant GWPs'!$A$2:$A$154,0)),"")</f>
        <v/>
      </c>
      <c r="AA751" s="155"/>
      <c r="AB751" s="156"/>
      <c r="AC751" s="66"/>
      <c r="AD751" s="66"/>
      <c r="AE751" s="66"/>
      <c r="AF751" s="66"/>
      <c r="AG751" s="66"/>
      <c r="AH751" s="66"/>
      <c r="AI751" s="34"/>
      <c r="AJ751" s="88">
        <f t="shared" si="854"/>
        <v>0</v>
      </c>
      <c r="AK751" s="88">
        <f t="shared" si="855"/>
        <v>0</v>
      </c>
      <c r="AL751" s="88">
        <v>0</v>
      </c>
      <c r="AM751" s="88">
        <v>0</v>
      </c>
      <c r="AN751" s="81" t="str">
        <f t="shared" si="893"/>
        <v/>
      </c>
      <c r="AO751" s="88">
        <f t="shared" si="856"/>
        <v>0</v>
      </c>
      <c r="AP751" s="88">
        <f t="shared" si="857"/>
        <v>0</v>
      </c>
      <c r="AQ751" s="81" t="str">
        <f t="shared" si="858"/>
        <v/>
      </c>
      <c r="AS751" s="41" t="b">
        <f t="shared" si="859"/>
        <v>1</v>
      </c>
      <c r="AT751" s="38">
        <f t="shared" si="860"/>
        <v>0</v>
      </c>
      <c r="AU751" s="60">
        <f t="shared" si="861"/>
        <v>0</v>
      </c>
      <c r="AV751" s="41">
        <f t="shared" si="862"/>
        <v>0</v>
      </c>
      <c r="AW751" s="41" t="b">
        <f t="shared" si="863"/>
        <v>0</v>
      </c>
      <c r="AX751" t="str">
        <f t="shared" si="864"/>
        <v>+00</v>
      </c>
      <c r="AY751" t="str">
        <f t="shared" si="865"/>
        <v>+00</v>
      </c>
      <c r="BA751" s="47" t="b">
        <f t="shared" si="894"/>
        <v>1</v>
      </c>
      <c r="BB751" s="42" t="b">
        <f t="shared" si="895"/>
        <v>1</v>
      </c>
      <c r="BC751" s="42" t="b">
        <f t="shared" si="896"/>
        <v>0</v>
      </c>
      <c r="BD751" s="42" t="b">
        <f t="shared" si="897"/>
        <v>0</v>
      </c>
      <c r="BE751" s="70">
        <f t="shared" si="898"/>
        <v>0</v>
      </c>
      <c r="BF751" s="70">
        <f t="shared" si="899"/>
        <v>0</v>
      </c>
      <c r="BG751" s="34"/>
      <c r="BI751" s="47" t="b">
        <f t="shared" si="900"/>
        <v>1</v>
      </c>
      <c r="BJ751" s="47" t="b">
        <f t="shared" si="901"/>
        <v>1</v>
      </c>
      <c r="BK751" s="42" t="b">
        <f t="shared" si="902"/>
        <v>0</v>
      </c>
      <c r="BL751" s="42" t="b">
        <f t="shared" si="903"/>
        <v>0</v>
      </c>
      <c r="BM751" s="42">
        <f t="shared" si="904"/>
        <v>0</v>
      </c>
      <c r="BN751" s="42">
        <f t="shared" si="905"/>
        <v>0</v>
      </c>
      <c r="BP751" t="e">
        <f t="shared" si="906"/>
        <v>#N/A</v>
      </c>
      <c r="BQ751" t="e">
        <f t="shared" si="907"/>
        <v>#N/A</v>
      </c>
      <c r="BR751" t="e">
        <f t="shared" si="908"/>
        <v>#N/A</v>
      </c>
      <c r="BT751" s="60">
        <f t="shared" si="909"/>
        <v>0</v>
      </c>
      <c r="BU751" s="60">
        <f t="shared" si="910"/>
        <v>0</v>
      </c>
      <c r="BV751" s="60">
        <f t="shared" si="911"/>
        <v>0</v>
      </c>
      <c r="BW751" s="60">
        <f t="shared" si="912"/>
        <v>0</v>
      </c>
      <c r="BX751" s="60">
        <f t="shared" si="913"/>
        <v>0</v>
      </c>
      <c r="BY751" s="60">
        <f t="shared" si="914"/>
        <v>0</v>
      </c>
      <c r="BZ751" s="60">
        <f t="shared" si="915"/>
        <v>0</v>
      </c>
      <c r="CA751" s="60">
        <f t="shared" si="916"/>
        <v>0</v>
      </c>
      <c r="CB751" s="60" t="e">
        <f t="shared" si="866"/>
        <v>#N/A</v>
      </c>
      <c r="CC751" s="60">
        <f t="shared" si="867"/>
        <v>100000</v>
      </c>
      <c r="CD751" s="60" t="e">
        <f t="shared" si="868"/>
        <v>#N/A</v>
      </c>
      <c r="CE751" s="60">
        <f t="shared" si="869"/>
        <v>100000</v>
      </c>
      <c r="CF751" s="83" t="e">
        <f t="shared" si="917"/>
        <v>#N/A</v>
      </c>
      <c r="CG751" s="83">
        <f t="shared" si="918"/>
        <v>0</v>
      </c>
      <c r="CH751" s="83" t="e">
        <f t="shared" si="919"/>
        <v>#N/A</v>
      </c>
      <c r="CI751" s="83">
        <f t="shared" si="920"/>
        <v>0</v>
      </c>
      <c r="CJ751" s="86" t="e">
        <f t="shared" si="870"/>
        <v>#N/A</v>
      </c>
      <c r="CK751" s="82">
        <f t="shared" si="871"/>
        <v>5.3070370403969858E-3</v>
      </c>
      <c r="CL751" s="82" t="e">
        <f t="shared" si="872"/>
        <v>#N/A</v>
      </c>
      <c r="CM751" s="82">
        <f t="shared" si="873"/>
        <v>5.3070370403969858E-3</v>
      </c>
      <c r="CO751" s="149" t="str">
        <f>IF($I751&lt;&gt;"",IF(O751="User Specified",U751,INDEX('Refrigerant GWPs'!$G$2:$G$156,MATCH(O751,'Refrigerant GWPs'!$A$2:$A$156,0))),"")</f>
        <v/>
      </c>
      <c r="CP751" s="138" t="str">
        <f>IF($I751&lt;&gt;"",INDEX('Device Refrigerant Leakage'!$E$2:$E$42,MATCH($M751,'Device Refrigerant Leakage'!$B$2:$B$42,0)),"")</f>
        <v/>
      </c>
      <c r="CQ751" s="138" t="str">
        <f>IF($I751&lt;&gt;"",INDEX('Device Refrigerant Leakage'!$F$2:$F$42,MATCH($M751,'Device Refrigerant Leakage'!$B$2:$B$42,0)),"")</f>
        <v/>
      </c>
      <c r="CR751" s="145" t="str">
        <f>IF($I751&lt;&gt;"",INDEX('Device Refrigerant Leakage'!$G$2:$G$42,MATCH($M751,'Device Refrigerant Leakage'!$B$2:$B$42,0)),"")</f>
        <v/>
      </c>
      <c r="CS751" s="145" t="str">
        <f>IF($I751&lt;&gt;"",INDEX('Device Refrigerant Leakage'!$D$2:$D$42,MATCH($M751,'Device Refrigerant Leakage'!$B$2:$B$42,0))*CP751/2204.62*CO751,"")</f>
        <v/>
      </c>
      <c r="CT751" s="145" t="str">
        <f>IF($I751&lt;&gt;"",J751*(INDEX('Device Refrigerant Leakage'!$D$2:$D$42,MATCH($M751,'Device Refrigerant Leakage'!$B$2:$B$42,0))-(INDEX('Device Refrigerant Leakage'!$D$2:$D$42,MATCH($M751,'Device Refrigerant Leakage'!$B$2:$B$42,0)))*CR751*CP751)*CQ751/2204.62*CO751,"")</f>
        <v/>
      </c>
      <c r="CU751" s="135" t="str">
        <f>IF($I751&lt;&gt;"",J751*IF(W751&lt;&gt;"AR",(CS751*K751)+CT751,(CS751*AB751)+CT751*(AB751/INDEX('Device Refrigerant Leakage'!$C$2:$C$42,MATCH($M751,'Device Refrigerant Leakage'!$B$2:$B$42,0)))),"")</f>
        <v/>
      </c>
      <c r="CW751" s="135" t="str">
        <f>IF($I751&lt;&gt;"",IF(S751="User Specified",V751,INDEX('Refrigerant GWPs'!$G$2:$G$156,MATCH(S751,'Refrigerant GWPs'!$A$2:$A$157,0))),"")</f>
        <v/>
      </c>
      <c r="CX751" s="138" t="str">
        <f>IF($I751&lt;&gt;"",INDEX('Device Refrigerant Leakage'!$E$2:$E$42,MATCH($Q751,'Device Refrigerant Leakage'!$B$2:$B$42,0)),"")</f>
        <v/>
      </c>
      <c r="CY751" s="138" t="str">
        <f>IF($I751&lt;&gt;"",INDEX('Device Refrigerant Leakage'!$F$2:$F$42,MATCH($Q751,'Device Refrigerant Leakage'!$B$2:$B$42,0)),"")</f>
        <v/>
      </c>
      <c r="CZ751" s="145" t="str">
        <f>IF($I751&lt;&gt;"",INDEX('Device Refrigerant Leakage'!$G$2:$G$42,MATCH($Q751,'Device Refrigerant Leakage'!$B$2:$B$42,0)),"")</f>
        <v/>
      </c>
      <c r="DA751" s="145" t="str">
        <f>IF($I751&lt;&gt;"",J751*INDEX('Device Refrigerant Leakage'!$D$2:$D$42,MATCH($Q751,'Device Refrigerant Leakage'!$B$2:$B$42,0))*CX751/2204.62*CW751,"")</f>
        <v/>
      </c>
      <c r="DB751" s="145" t="str">
        <f>IF($I751&lt;&gt;"",J751*(INDEX('Device Refrigerant Leakage'!$D$2:$D$42,MATCH($Q751,'Device Refrigerant Leakage'!$B$2:$B$42,0))-(INDEX('Device Refrigerant Leakage'!$D$2:$D$42,MATCH($Q751,'Device Refrigerant Leakage'!$B$2:$B$42,0)))*CZ751*CX751)*CY751/2204.62*CW751,"")</f>
        <v/>
      </c>
      <c r="DC751" s="135" t="str">
        <f t="shared" si="892"/>
        <v/>
      </c>
      <c r="DE751" s="146" t="str">
        <f>IF(W751&lt;&gt;"AR","",IF(Y751="User Specified", AA751, INDEX('Refrigerant GWPs'!$G$2:$G$154,MATCH(Y751,'Refrigerant GWPs'!$A$2:$A$154,0))))</f>
        <v/>
      </c>
      <c r="DF751" s="146" t="str">
        <f>IF(W751&lt;&gt;"AR","",INDEX('Device Refrigerant Leakage'!$E$2:$E$42,MATCH(X751,'Device Refrigerant Leakage'!$B$2:$B$42,0)))</f>
        <v/>
      </c>
      <c r="DG751" s="146" t="str">
        <f>IF(W751&lt;&gt;"AR","",INDEX('Device Refrigerant Leakage'!$F$2:$F$42,MATCH(X751,'Device Refrigerant Leakage'!$B$2:$B$42,0)))</f>
        <v/>
      </c>
      <c r="DH751" s="146" t="str">
        <f>IF(W751&lt;&gt;"AR","",INDEX('Device Refrigerant Leakage'!$G$2:$G$42,MATCH(X751,'Device Refrigerant Leakage'!$B$2:$B$42,0)))</f>
        <v/>
      </c>
      <c r="DI751" s="146" t="str">
        <f>IF(W751&lt;&gt;"AR","",J751*INDEX('Device Refrigerant Leakage'!$D$2:$D$42,MATCH(X751,'Device Refrigerant Leakage'!$B$2:$B$42,0))*DF751/2204.62*DE751)</f>
        <v/>
      </c>
      <c r="DJ751" s="146" t="str">
        <f>IF(W751&lt;&gt;"AR","",J751*(INDEX('Device Refrigerant Leakage'!$D$2:$D$42,MATCH(X751,'Device Refrigerant Leakage'!$B$2:$B$42,0))-(INDEX('Device Refrigerant Leakage'!$D$2:$D$42,MATCH(X751,'Device Refrigerant Leakage'!$B$2:$B$42,0)))*DH751*DF751)*DG751/2204.62*DE751)</f>
        <v/>
      </c>
      <c r="DK751" s="146" t="str">
        <f>IF(W751&lt;&gt;"AR","",DI751*(K751-AB751)+'Fuel Sub Calcs-Deemed'!DJ751*((K751-AB751)/INDEX('Device Refrigerant Leakage'!$C$2:$C$42,MATCH('Fuel Sub Calcs-Deemed'!X751,'Device Refrigerant Leakage'!$B$2:$B$42,0))))</f>
        <v/>
      </c>
      <c r="DM751" s="56">
        <v>737</v>
      </c>
      <c r="DN751" s="67" t="e">
        <f t="shared" si="874"/>
        <v>#N/A</v>
      </c>
      <c r="DO751" s="45" t="e">
        <f t="shared" si="875"/>
        <v>#N/A</v>
      </c>
      <c r="DP751" s="67" t="e">
        <f t="shared" si="876"/>
        <v>#N/A</v>
      </c>
      <c r="DQ751" s="45" t="e">
        <f t="shared" si="877"/>
        <v>#N/A</v>
      </c>
      <c r="DR751" s="69" t="e">
        <f t="shared" si="878"/>
        <v>#N/A</v>
      </c>
      <c r="DS751" s="34"/>
      <c r="DT751" s="67" t="e">
        <f>((BX751*CJ751)+IF($W751=MAT_AR,(BZ751*CL751),0))*(1+Reference!$E$50+Reference!$E$51)</f>
        <v>#N/A</v>
      </c>
      <c r="DU751" s="67">
        <f>((BY751*CK751)+IF($W751=MAT_AR,(CA751*CM751),0))*(1+Reference!$G$50+Reference!$G$51)</f>
        <v>0</v>
      </c>
      <c r="DV751" s="67" t="e">
        <f t="shared" si="879"/>
        <v>#VALUE!</v>
      </c>
      <c r="DX751" s="56">
        <v>737</v>
      </c>
      <c r="DY751" s="67">
        <f t="shared" si="880"/>
        <v>0</v>
      </c>
      <c r="DZ751" s="45" t="e">
        <f>VLOOKUP($R751,Dropdown!$C$3:$D$4,2,FALSE)</f>
        <v>#N/A</v>
      </c>
      <c r="EA751" s="68">
        <f t="shared" si="881"/>
        <v>0</v>
      </c>
      <c r="EB751" s="68" t="str">
        <f t="shared" si="882"/>
        <v>N/A</v>
      </c>
      <c r="EC751" s="68">
        <f t="shared" si="883"/>
        <v>0</v>
      </c>
      <c r="ED751" s="68" t="str">
        <f t="shared" si="921"/>
        <v>N/A</v>
      </c>
      <c r="EF751" s="56">
        <v>737</v>
      </c>
      <c r="EG751" s="46">
        <f t="shared" si="884"/>
        <v>0</v>
      </c>
      <c r="EH751" s="68" t="e">
        <f t="shared" si="885"/>
        <v>#N/A</v>
      </c>
      <c r="EI751" s="68" t="e">
        <f t="shared" si="886"/>
        <v>#N/A</v>
      </c>
      <c r="EJ751" s="68" t="e">
        <f t="shared" si="887"/>
        <v>#N/A</v>
      </c>
      <c r="EK751" s="68" t="e">
        <f t="shared" si="888"/>
        <v>#N/A</v>
      </c>
      <c r="EL751" s="46">
        <f t="shared" si="889"/>
        <v>0</v>
      </c>
      <c r="EM751" s="46">
        <f t="shared" si="890"/>
        <v>0</v>
      </c>
    </row>
    <row r="752" spans="1:143">
      <c r="A752" s="89"/>
      <c r="B752" s="89"/>
      <c r="C752" s="89"/>
      <c r="D752" s="89"/>
      <c r="E752" s="89"/>
      <c r="F752" s="89"/>
      <c r="G752" s="34"/>
      <c r="H752" s="56">
        <f t="shared" si="891"/>
        <v>738</v>
      </c>
      <c r="I752" s="165"/>
      <c r="J752" s="163"/>
      <c r="K752" s="163"/>
      <c r="L752" s="164"/>
      <c r="M752" s="155"/>
      <c r="N752" s="155"/>
      <c r="O752" s="144"/>
      <c r="P752" s="159" t="str">
        <f>IFERROR(IF(O752&lt;&gt;"User Specified",IF(O752&lt;&gt;"", INDEX('Refrigerant GWPs'!$G$2:$G$154,MATCH(O752,'Refrigerant GWPs'!$A$2:$A$154,0)),""),U752),0)</f>
        <v/>
      </c>
      <c r="Q752" s="155"/>
      <c r="R752" s="155"/>
      <c r="S752" s="144"/>
      <c r="T752" s="159" t="str">
        <f>IF(S752&lt;&gt;"User Specified",IF(AND(S752&lt;&gt;"User Specified",S752&lt;&gt;""), INDEX('Refrigerant GWPs'!$G$2:$G$154,MATCH(S752,'Refrigerant GWPs'!$A$2:$A$154,0)),""),V752)</f>
        <v/>
      </c>
      <c r="U752" s="144"/>
      <c r="V752" s="144"/>
      <c r="W752" s="155"/>
      <c r="X752" s="155"/>
      <c r="Y752" s="144"/>
      <c r="Z752" s="159" t="str">
        <f>IF(AND(Y752&lt;&gt;"User Specified",Y752&lt;&gt;""), INDEX('Refrigerant GWPs'!$G$2:$G$154,MATCH(Y752,'Refrigerant GWPs'!$A$2:$A$154,0)),"")</f>
        <v/>
      </c>
      <c r="AA752" s="155"/>
      <c r="AB752" s="156"/>
      <c r="AC752" s="66"/>
      <c r="AD752" s="66"/>
      <c r="AE752" s="66"/>
      <c r="AF752" s="66"/>
      <c r="AG752" s="66"/>
      <c r="AH752" s="66"/>
      <c r="AI752" s="34"/>
      <c r="AJ752" s="88">
        <f t="shared" si="854"/>
        <v>0</v>
      </c>
      <c r="AK752" s="88">
        <f t="shared" si="855"/>
        <v>0</v>
      </c>
      <c r="AL752" s="88">
        <v>0</v>
      </c>
      <c r="AM752" s="88">
        <v>0</v>
      </c>
      <c r="AN752" s="81" t="str">
        <f t="shared" si="893"/>
        <v/>
      </c>
      <c r="AO752" s="88">
        <f t="shared" si="856"/>
        <v>0</v>
      </c>
      <c r="AP752" s="88">
        <f t="shared" si="857"/>
        <v>0</v>
      </c>
      <c r="AQ752" s="81" t="str">
        <f t="shared" si="858"/>
        <v/>
      </c>
      <c r="AS752" s="41" t="b">
        <f t="shared" si="859"/>
        <v>1</v>
      </c>
      <c r="AT752" s="38">
        <f t="shared" si="860"/>
        <v>0</v>
      </c>
      <c r="AU752" s="60">
        <f t="shared" si="861"/>
        <v>0</v>
      </c>
      <c r="AV752" s="41">
        <f t="shared" si="862"/>
        <v>0</v>
      </c>
      <c r="AW752" s="41" t="b">
        <f t="shared" si="863"/>
        <v>0</v>
      </c>
      <c r="AX752" t="str">
        <f t="shared" si="864"/>
        <v>+00</v>
      </c>
      <c r="AY752" t="str">
        <f t="shared" si="865"/>
        <v>+00</v>
      </c>
      <c r="BA752" s="47" t="b">
        <f t="shared" si="894"/>
        <v>1</v>
      </c>
      <c r="BB752" s="42" t="b">
        <f t="shared" si="895"/>
        <v>1</v>
      </c>
      <c r="BC752" s="42" t="b">
        <f t="shared" si="896"/>
        <v>0</v>
      </c>
      <c r="BD752" s="42" t="b">
        <f t="shared" si="897"/>
        <v>0</v>
      </c>
      <c r="BE752" s="70">
        <f t="shared" si="898"/>
        <v>0</v>
      </c>
      <c r="BF752" s="70">
        <f t="shared" si="899"/>
        <v>0</v>
      </c>
      <c r="BG752" s="34"/>
      <c r="BI752" s="47" t="b">
        <f t="shared" si="900"/>
        <v>1</v>
      </c>
      <c r="BJ752" s="47" t="b">
        <f t="shared" si="901"/>
        <v>1</v>
      </c>
      <c r="BK752" s="42" t="b">
        <f t="shared" si="902"/>
        <v>0</v>
      </c>
      <c r="BL752" s="42" t="b">
        <f t="shared" si="903"/>
        <v>0</v>
      </c>
      <c r="BM752" s="42">
        <f t="shared" si="904"/>
        <v>0</v>
      </c>
      <c r="BN752" s="42">
        <f t="shared" si="905"/>
        <v>0</v>
      </c>
      <c r="BP752" t="e">
        <f t="shared" si="906"/>
        <v>#N/A</v>
      </c>
      <c r="BQ752" t="e">
        <f t="shared" si="907"/>
        <v>#N/A</v>
      </c>
      <c r="BR752" t="e">
        <f t="shared" si="908"/>
        <v>#N/A</v>
      </c>
      <c r="BT752" s="60">
        <f t="shared" si="909"/>
        <v>0</v>
      </c>
      <c r="BU752" s="60">
        <f t="shared" si="910"/>
        <v>0</v>
      </c>
      <c r="BV752" s="60">
        <f t="shared" si="911"/>
        <v>0</v>
      </c>
      <c r="BW752" s="60">
        <f t="shared" si="912"/>
        <v>0</v>
      </c>
      <c r="BX752" s="60">
        <f t="shared" si="913"/>
        <v>0</v>
      </c>
      <c r="BY752" s="60">
        <f t="shared" si="914"/>
        <v>0</v>
      </c>
      <c r="BZ752" s="60">
        <f t="shared" si="915"/>
        <v>0</v>
      </c>
      <c r="CA752" s="60">
        <f t="shared" si="916"/>
        <v>0</v>
      </c>
      <c r="CB752" s="60" t="e">
        <f t="shared" si="866"/>
        <v>#N/A</v>
      </c>
      <c r="CC752" s="60">
        <f t="shared" si="867"/>
        <v>100000</v>
      </c>
      <c r="CD752" s="60" t="e">
        <f t="shared" si="868"/>
        <v>#N/A</v>
      </c>
      <c r="CE752" s="60">
        <f t="shared" si="869"/>
        <v>100000</v>
      </c>
      <c r="CF752" s="83" t="e">
        <f t="shared" si="917"/>
        <v>#N/A</v>
      </c>
      <c r="CG752" s="83">
        <f t="shared" si="918"/>
        <v>0</v>
      </c>
      <c r="CH752" s="83" t="e">
        <f t="shared" si="919"/>
        <v>#N/A</v>
      </c>
      <c r="CI752" s="83">
        <f t="shared" si="920"/>
        <v>0</v>
      </c>
      <c r="CJ752" s="86" t="e">
        <f t="shared" si="870"/>
        <v>#N/A</v>
      </c>
      <c r="CK752" s="82">
        <f t="shared" si="871"/>
        <v>5.3070370403969858E-3</v>
      </c>
      <c r="CL752" s="82" t="e">
        <f t="shared" si="872"/>
        <v>#N/A</v>
      </c>
      <c r="CM752" s="82">
        <f t="shared" si="873"/>
        <v>5.3070370403969858E-3</v>
      </c>
      <c r="CO752" s="149" t="str">
        <f>IF($I752&lt;&gt;"",IF(O752="User Specified",U752,INDEX('Refrigerant GWPs'!$G$2:$G$156,MATCH(O752,'Refrigerant GWPs'!$A$2:$A$156,0))),"")</f>
        <v/>
      </c>
      <c r="CP752" s="138" t="str">
        <f>IF($I752&lt;&gt;"",INDEX('Device Refrigerant Leakage'!$E$2:$E$42,MATCH($M752,'Device Refrigerant Leakage'!$B$2:$B$42,0)),"")</f>
        <v/>
      </c>
      <c r="CQ752" s="138" t="str">
        <f>IF($I752&lt;&gt;"",INDEX('Device Refrigerant Leakage'!$F$2:$F$42,MATCH($M752,'Device Refrigerant Leakage'!$B$2:$B$42,0)),"")</f>
        <v/>
      </c>
      <c r="CR752" s="145" t="str">
        <f>IF($I752&lt;&gt;"",INDEX('Device Refrigerant Leakage'!$G$2:$G$42,MATCH($M752,'Device Refrigerant Leakage'!$B$2:$B$42,0)),"")</f>
        <v/>
      </c>
      <c r="CS752" s="145" t="str">
        <f>IF($I752&lt;&gt;"",INDEX('Device Refrigerant Leakage'!$D$2:$D$42,MATCH($M752,'Device Refrigerant Leakage'!$B$2:$B$42,0))*CP752/2204.62*CO752,"")</f>
        <v/>
      </c>
      <c r="CT752" s="145" t="str">
        <f>IF($I752&lt;&gt;"",J752*(INDEX('Device Refrigerant Leakage'!$D$2:$D$42,MATCH($M752,'Device Refrigerant Leakage'!$B$2:$B$42,0))-(INDEX('Device Refrigerant Leakage'!$D$2:$D$42,MATCH($M752,'Device Refrigerant Leakage'!$B$2:$B$42,0)))*CR752*CP752)*CQ752/2204.62*CO752,"")</f>
        <v/>
      </c>
      <c r="CU752" s="135" t="str">
        <f>IF($I752&lt;&gt;"",J752*IF(W752&lt;&gt;"AR",(CS752*K752)+CT752,(CS752*AB752)+CT752*(AB752/INDEX('Device Refrigerant Leakage'!$C$2:$C$42,MATCH($M752,'Device Refrigerant Leakage'!$B$2:$B$42,0)))),"")</f>
        <v/>
      </c>
      <c r="CW752" s="135" t="str">
        <f>IF($I752&lt;&gt;"",IF(S752="User Specified",V752,INDEX('Refrigerant GWPs'!$G$2:$G$156,MATCH(S752,'Refrigerant GWPs'!$A$2:$A$157,0))),"")</f>
        <v/>
      </c>
      <c r="CX752" s="138" t="str">
        <f>IF($I752&lt;&gt;"",INDEX('Device Refrigerant Leakage'!$E$2:$E$42,MATCH($Q752,'Device Refrigerant Leakage'!$B$2:$B$42,0)),"")</f>
        <v/>
      </c>
      <c r="CY752" s="138" t="str">
        <f>IF($I752&lt;&gt;"",INDEX('Device Refrigerant Leakage'!$F$2:$F$42,MATCH($Q752,'Device Refrigerant Leakage'!$B$2:$B$42,0)),"")</f>
        <v/>
      </c>
      <c r="CZ752" s="145" t="str">
        <f>IF($I752&lt;&gt;"",INDEX('Device Refrigerant Leakage'!$G$2:$G$42,MATCH($Q752,'Device Refrigerant Leakage'!$B$2:$B$42,0)),"")</f>
        <v/>
      </c>
      <c r="DA752" s="145" t="str">
        <f>IF($I752&lt;&gt;"",J752*INDEX('Device Refrigerant Leakage'!$D$2:$D$42,MATCH($Q752,'Device Refrigerant Leakage'!$B$2:$B$42,0))*CX752/2204.62*CW752,"")</f>
        <v/>
      </c>
      <c r="DB752" s="145" t="str">
        <f>IF($I752&lt;&gt;"",J752*(INDEX('Device Refrigerant Leakage'!$D$2:$D$42,MATCH($Q752,'Device Refrigerant Leakage'!$B$2:$B$42,0))-(INDEX('Device Refrigerant Leakage'!$D$2:$D$42,MATCH($Q752,'Device Refrigerant Leakage'!$B$2:$B$42,0)))*CZ752*CX752)*CY752/2204.62*CW752,"")</f>
        <v/>
      </c>
      <c r="DC752" s="135" t="str">
        <f t="shared" si="892"/>
        <v/>
      </c>
      <c r="DE752" s="146" t="str">
        <f>IF(W752&lt;&gt;"AR","",IF(Y752="User Specified", AA752, INDEX('Refrigerant GWPs'!$G$2:$G$154,MATCH(Y752,'Refrigerant GWPs'!$A$2:$A$154,0))))</f>
        <v/>
      </c>
      <c r="DF752" s="146" t="str">
        <f>IF(W752&lt;&gt;"AR","",INDEX('Device Refrigerant Leakage'!$E$2:$E$42,MATCH(X752,'Device Refrigerant Leakage'!$B$2:$B$42,0)))</f>
        <v/>
      </c>
      <c r="DG752" s="146" t="str">
        <f>IF(W752&lt;&gt;"AR","",INDEX('Device Refrigerant Leakage'!$F$2:$F$42,MATCH(X752,'Device Refrigerant Leakage'!$B$2:$B$42,0)))</f>
        <v/>
      </c>
      <c r="DH752" s="146" t="str">
        <f>IF(W752&lt;&gt;"AR","",INDEX('Device Refrigerant Leakage'!$G$2:$G$42,MATCH(X752,'Device Refrigerant Leakage'!$B$2:$B$42,0)))</f>
        <v/>
      </c>
      <c r="DI752" s="146" t="str">
        <f>IF(W752&lt;&gt;"AR","",J752*INDEX('Device Refrigerant Leakage'!$D$2:$D$42,MATCH(X752,'Device Refrigerant Leakage'!$B$2:$B$42,0))*DF752/2204.62*DE752)</f>
        <v/>
      </c>
      <c r="DJ752" s="146" t="str">
        <f>IF(W752&lt;&gt;"AR","",J752*(INDEX('Device Refrigerant Leakage'!$D$2:$D$42,MATCH(X752,'Device Refrigerant Leakage'!$B$2:$B$42,0))-(INDEX('Device Refrigerant Leakage'!$D$2:$D$42,MATCH(X752,'Device Refrigerant Leakage'!$B$2:$B$42,0)))*DH752*DF752)*DG752/2204.62*DE752)</f>
        <v/>
      </c>
      <c r="DK752" s="146" t="str">
        <f>IF(W752&lt;&gt;"AR","",DI752*(K752-AB752)+'Fuel Sub Calcs-Deemed'!DJ752*((K752-AB752)/INDEX('Device Refrigerant Leakage'!$C$2:$C$42,MATCH('Fuel Sub Calcs-Deemed'!X752,'Device Refrigerant Leakage'!$B$2:$B$42,0))))</f>
        <v/>
      </c>
      <c r="DM752" s="56">
        <v>738</v>
      </c>
      <c r="DN752" s="67" t="e">
        <f t="shared" si="874"/>
        <v>#N/A</v>
      </c>
      <c r="DO752" s="45" t="e">
        <f t="shared" si="875"/>
        <v>#N/A</v>
      </c>
      <c r="DP752" s="67" t="e">
        <f t="shared" si="876"/>
        <v>#N/A</v>
      </c>
      <c r="DQ752" s="45" t="e">
        <f t="shared" si="877"/>
        <v>#N/A</v>
      </c>
      <c r="DR752" s="69" t="e">
        <f t="shared" si="878"/>
        <v>#N/A</v>
      </c>
      <c r="DS752" s="34"/>
      <c r="DT752" s="67" t="e">
        <f>((BX752*CJ752)+IF($W752=MAT_AR,(BZ752*CL752),0))*(1+Reference!$E$50+Reference!$E$51)</f>
        <v>#N/A</v>
      </c>
      <c r="DU752" s="67">
        <f>((BY752*CK752)+IF($W752=MAT_AR,(CA752*CM752),0))*(1+Reference!$G$50+Reference!$G$51)</f>
        <v>0</v>
      </c>
      <c r="DV752" s="67" t="e">
        <f t="shared" si="879"/>
        <v>#VALUE!</v>
      </c>
      <c r="DX752" s="56">
        <v>738</v>
      </c>
      <c r="DY752" s="67">
        <f t="shared" si="880"/>
        <v>0</v>
      </c>
      <c r="DZ752" s="45" t="e">
        <f>VLOOKUP($R752,Dropdown!$C$3:$D$4,2,FALSE)</f>
        <v>#N/A</v>
      </c>
      <c r="EA752" s="68">
        <f t="shared" si="881"/>
        <v>0</v>
      </c>
      <c r="EB752" s="68" t="str">
        <f t="shared" si="882"/>
        <v>N/A</v>
      </c>
      <c r="EC752" s="68">
        <f t="shared" si="883"/>
        <v>0</v>
      </c>
      <c r="ED752" s="68" t="str">
        <f t="shared" si="921"/>
        <v>N/A</v>
      </c>
      <c r="EF752" s="56">
        <v>738</v>
      </c>
      <c r="EG752" s="46">
        <f t="shared" si="884"/>
        <v>0</v>
      </c>
      <c r="EH752" s="68" t="e">
        <f t="shared" si="885"/>
        <v>#N/A</v>
      </c>
      <c r="EI752" s="68" t="e">
        <f t="shared" si="886"/>
        <v>#N/A</v>
      </c>
      <c r="EJ752" s="68" t="e">
        <f t="shared" si="887"/>
        <v>#N/A</v>
      </c>
      <c r="EK752" s="68" t="e">
        <f t="shared" si="888"/>
        <v>#N/A</v>
      </c>
      <c r="EL752" s="46">
        <f t="shared" si="889"/>
        <v>0</v>
      </c>
      <c r="EM752" s="46">
        <f t="shared" si="890"/>
        <v>0</v>
      </c>
    </row>
    <row r="753" spans="1:143">
      <c r="A753" s="89"/>
      <c r="B753" s="89"/>
      <c r="C753" s="89"/>
      <c r="D753" s="89"/>
      <c r="E753" s="89"/>
      <c r="F753" s="89"/>
      <c r="G753" s="34"/>
      <c r="H753" s="56">
        <f t="shared" si="891"/>
        <v>739</v>
      </c>
      <c r="I753" s="165"/>
      <c r="J753" s="163"/>
      <c r="K753" s="163"/>
      <c r="L753" s="164"/>
      <c r="M753" s="155"/>
      <c r="N753" s="155"/>
      <c r="O753" s="144"/>
      <c r="P753" s="159" t="str">
        <f>IFERROR(IF(O753&lt;&gt;"User Specified",IF(O753&lt;&gt;"", INDEX('Refrigerant GWPs'!$G$2:$G$154,MATCH(O753,'Refrigerant GWPs'!$A$2:$A$154,0)),""),U753),0)</f>
        <v/>
      </c>
      <c r="Q753" s="155"/>
      <c r="R753" s="155"/>
      <c r="S753" s="144"/>
      <c r="T753" s="159" t="str">
        <f>IF(S753&lt;&gt;"User Specified",IF(AND(S753&lt;&gt;"User Specified",S753&lt;&gt;""), INDEX('Refrigerant GWPs'!$G$2:$G$154,MATCH(S753,'Refrigerant GWPs'!$A$2:$A$154,0)),""),V753)</f>
        <v/>
      </c>
      <c r="U753" s="144"/>
      <c r="V753" s="144"/>
      <c r="W753" s="155"/>
      <c r="X753" s="155"/>
      <c r="Y753" s="144"/>
      <c r="Z753" s="159" t="str">
        <f>IF(AND(Y753&lt;&gt;"User Specified",Y753&lt;&gt;""), INDEX('Refrigerant GWPs'!$G$2:$G$154,MATCH(Y753,'Refrigerant GWPs'!$A$2:$A$154,0)),"")</f>
        <v/>
      </c>
      <c r="AA753" s="155"/>
      <c r="AB753" s="156"/>
      <c r="AC753" s="66"/>
      <c r="AD753" s="66"/>
      <c r="AE753" s="66"/>
      <c r="AF753" s="66"/>
      <c r="AG753" s="66"/>
      <c r="AH753" s="66"/>
      <c r="AI753" s="34"/>
      <c r="AJ753" s="88">
        <f t="shared" si="854"/>
        <v>0</v>
      </c>
      <c r="AK753" s="88">
        <f t="shared" si="855"/>
        <v>0</v>
      </c>
      <c r="AL753" s="88">
        <v>0</v>
      </c>
      <c r="AM753" s="88">
        <v>0</v>
      </c>
      <c r="AN753" s="81" t="str">
        <f t="shared" si="893"/>
        <v/>
      </c>
      <c r="AO753" s="88">
        <f t="shared" si="856"/>
        <v>0</v>
      </c>
      <c r="AP753" s="88">
        <f t="shared" si="857"/>
        <v>0</v>
      </c>
      <c r="AQ753" s="81" t="str">
        <f t="shared" si="858"/>
        <v/>
      </c>
      <c r="AS753" s="41" t="b">
        <f t="shared" si="859"/>
        <v>1</v>
      </c>
      <c r="AT753" s="38">
        <f t="shared" si="860"/>
        <v>0</v>
      </c>
      <c r="AU753" s="60">
        <f t="shared" si="861"/>
        <v>0</v>
      </c>
      <c r="AV753" s="41">
        <f t="shared" si="862"/>
        <v>0</v>
      </c>
      <c r="AW753" s="41" t="b">
        <f t="shared" si="863"/>
        <v>0</v>
      </c>
      <c r="AX753" t="str">
        <f t="shared" si="864"/>
        <v>+00</v>
      </c>
      <c r="AY753" t="str">
        <f t="shared" si="865"/>
        <v>+00</v>
      </c>
      <c r="BA753" s="47" t="b">
        <f t="shared" si="894"/>
        <v>1</v>
      </c>
      <c r="BB753" s="42" t="b">
        <f t="shared" si="895"/>
        <v>1</v>
      </c>
      <c r="BC753" s="42" t="b">
        <f t="shared" si="896"/>
        <v>0</v>
      </c>
      <c r="BD753" s="42" t="b">
        <f t="shared" si="897"/>
        <v>0</v>
      </c>
      <c r="BE753" s="70">
        <f t="shared" si="898"/>
        <v>0</v>
      </c>
      <c r="BF753" s="70">
        <f t="shared" si="899"/>
        <v>0</v>
      </c>
      <c r="BG753" s="34"/>
      <c r="BI753" s="47" t="b">
        <f t="shared" si="900"/>
        <v>1</v>
      </c>
      <c r="BJ753" s="47" t="b">
        <f t="shared" si="901"/>
        <v>1</v>
      </c>
      <c r="BK753" s="42" t="b">
        <f t="shared" si="902"/>
        <v>0</v>
      </c>
      <c r="BL753" s="42" t="b">
        <f t="shared" si="903"/>
        <v>0</v>
      </c>
      <c r="BM753" s="42">
        <f t="shared" si="904"/>
        <v>0</v>
      </c>
      <c r="BN753" s="42">
        <f t="shared" si="905"/>
        <v>0</v>
      </c>
      <c r="BP753" t="e">
        <f t="shared" si="906"/>
        <v>#N/A</v>
      </c>
      <c r="BQ753" t="e">
        <f t="shared" si="907"/>
        <v>#N/A</v>
      </c>
      <c r="BR753" t="e">
        <f t="shared" si="908"/>
        <v>#N/A</v>
      </c>
      <c r="BT753" s="60">
        <f t="shared" si="909"/>
        <v>0</v>
      </c>
      <c r="BU753" s="60">
        <f t="shared" si="910"/>
        <v>0</v>
      </c>
      <c r="BV753" s="60">
        <f t="shared" si="911"/>
        <v>0</v>
      </c>
      <c r="BW753" s="60">
        <f t="shared" si="912"/>
        <v>0</v>
      </c>
      <c r="BX753" s="60">
        <f t="shared" si="913"/>
        <v>0</v>
      </c>
      <c r="BY753" s="60">
        <f t="shared" si="914"/>
        <v>0</v>
      </c>
      <c r="BZ753" s="60">
        <f t="shared" si="915"/>
        <v>0</v>
      </c>
      <c r="CA753" s="60">
        <f t="shared" si="916"/>
        <v>0</v>
      </c>
      <c r="CB753" s="60" t="e">
        <f t="shared" si="866"/>
        <v>#N/A</v>
      </c>
      <c r="CC753" s="60">
        <f t="shared" si="867"/>
        <v>100000</v>
      </c>
      <c r="CD753" s="60" t="e">
        <f t="shared" si="868"/>
        <v>#N/A</v>
      </c>
      <c r="CE753" s="60">
        <f t="shared" si="869"/>
        <v>100000</v>
      </c>
      <c r="CF753" s="83" t="e">
        <f t="shared" si="917"/>
        <v>#N/A</v>
      </c>
      <c r="CG753" s="83">
        <f t="shared" si="918"/>
        <v>0</v>
      </c>
      <c r="CH753" s="83" t="e">
        <f t="shared" si="919"/>
        <v>#N/A</v>
      </c>
      <c r="CI753" s="83">
        <f t="shared" si="920"/>
        <v>0</v>
      </c>
      <c r="CJ753" s="86" t="e">
        <f t="shared" si="870"/>
        <v>#N/A</v>
      </c>
      <c r="CK753" s="82">
        <f t="shared" si="871"/>
        <v>5.3070370403969858E-3</v>
      </c>
      <c r="CL753" s="82" t="e">
        <f t="shared" si="872"/>
        <v>#N/A</v>
      </c>
      <c r="CM753" s="82">
        <f t="shared" si="873"/>
        <v>5.3070370403969858E-3</v>
      </c>
      <c r="CO753" s="149" t="str">
        <f>IF($I753&lt;&gt;"",IF(O753="User Specified",U753,INDEX('Refrigerant GWPs'!$G$2:$G$156,MATCH(O753,'Refrigerant GWPs'!$A$2:$A$156,0))),"")</f>
        <v/>
      </c>
      <c r="CP753" s="138" t="str">
        <f>IF($I753&lt;&gt;"",INDEX('Device Refrigerant Leakage'!$E$2:$E$42,MATCH($M753,'Device Refrigerant Leakage'!$B$2:$B$42,0)),"")</f>
        <v/>
      </c>
      <c r="CQ753" s="138" t="str">
        <f>IF($I753&lt;&gt;"",INDEX('Device Refrigerant Leakage'!$F$2:$F$42,MATCH($M753,'Device Refrigerant Leakage'!$B$2:$B$42,0)),"")</f>
        <v/>
      </c>
      <c r="CR753" s="145" t="str">
        <f>IF($I753&lt;&gt;"",INDEX('Device Refrigerant Leakage'!$G$2:$G$42,MATCH($M753,'Device Refrigerant Leakage'!$B$2:$B$42,0)),"")</f>
        <v/>
      </c>
      <c r="CS753" s="145" t="str">
        <f>IF($I753&lt;&gt;"",INDEX('Device Refrigerant Leakage'!$D$2:$D$42,MATCH($M753,'Device Refrigerant Leakage'!$B$2:$B$42,0))*CP753/2204.62*CO753,"")</f>
        <v/>
      </c>
      <c r="CT753" s="145" t="str">
        <f>IF($I753&lt;&gt;"",J753*(INDEX('Device Refrigerant Leakage'!$D$2:$D$42,MATCH($M753,'Device Refrigerant Leakage'!$B$2:$B$42,0))-(INDEX('Device Refrigerant Leakage'!$D$2:$D$42,MATCH($M753,'Device Refrigerant Leakage'!$B$2:$B$42,0)))*CR753*CP753)*CQ753/2204.62*CO753,"")</f>
        <v/>
      </c>
      <c r="CU753" s="135" t="str">
        <f>IF($I753&lt;&gt;"",J753*IF(W753&lt;&gt;"AR",(CS753*K753)+CT753,(CS753*AB753)+CT753*(AB753/INDEX('Device Refrigerant Leakage'!$C$2:$C$42,MATCH($M753,'Device Refrigerant Leakage'!$B$2:$B$42,0)))),"")</f>
        <v/>
      </c>
      <c r="CW753" s="135" t="str">
        <f>IF($I753&lt;&gt;"",IF(S753="User Specified",V753,INDEX('Refrigerant GWPs'!$G$2:$G$156,MATCH(S753,'Refrigerant GWPs'!$A$2:$A$157,0))),"")</f>
        <v/>
      </c>
      <c r="CX753" s="138" t="str">
        <f>IF($I753&lt;&gt;"",INDEX('Device Refrigerant Leakage'!$E$2:$E$42,MATCH($Q753,'Device Refrigerant Leakage'!$B$2:$B$42,0)),"")</f>
        <v/>
      </c>
      <c r="CY753" s="138" t="str">
        <f>IF($I753&lt;&gt;"",INDEX('Device Refrigerant Leakage'!$F$2:$F$42,MATCH($Q753,'Device Refrigerant Leakage'!$B$2:$B$42,0)),"")</f>
        <v/>
      </c>
      <c r="CZ753" s="145" t="str">
        <f>IF($I753&lt;&gt;"",INDEX('Device Refrigerant Leakage'!$G$2:$G$42,MATCH($Q753,'Device Refrigerant Leakage'!$B$2:$B$42,0)),"")</f>
        <v/>
      </c>
      <c r="DA753" s="145" t="str">
        <f>IF($I753&lt;&gt;"",J753*INDEX('Device Refrigerant Leakage'!$D$2:$D$42,MATCH($Q753,'Device Refrigerant Leakage'!$B$2:$B$42,0))*CX753/2204.62*CW753,"")</f>
        <v/>
      </c>
      <c r="DB753" s="145" t="str">
        <f>IF($I753&lt;&gt;"",J753*(INDEX('Device Refrigerant Leakage'!$D$2:$D$42,MATCH($Q753,'Device Refrigerant Leakage'!$B$2:$B$42,0))-(INDEX('Device Refrigerant Leakage'!$D$2:$D$42,MATCH($Q753,'Device Refrigerant Leakage'!$B$2:$B$42,0)))*CZ753*CX753)*CY753/2204.62*CW753,"")</f>
        <v/>
      </c>
      <c r="DC753" s="135" t="str">
        <f t="shared" si="892"/>
        <v/>
      </c>
      <c r="DE753" s="146" t="str">
        <f>IF(W753&lt;&gt;"AR","",IF(Y753="User Specified", AA753, INDEX('Refrigerant GWPs'!$G$2:$G$154,MATCH(Y753,'Refrigerant GWPs'!$A$2:$A$154,0))))</f>
        <v/>
      </c>
      <c r="DF753" s="146" t="str">
        <f>IF(W753&lt;&gt;"AR","",INDEX('Device Refrigerant Leakage'!$E$2:$E$42,MATCH(X753,'Device Refrigerant Leakage'!$B$2:$B$42,0)))</f>
        <v/>
      </c>
      <c r="DG753" s="146" t="str">
        <f>IF(W753&lt;&gt;"AR","",INDEX('Device Refrigerant Leakage'!$F$2:$F$42,MATCH(X753,'Device Refrigerant Leakage'!$B$2:$B$42,0)))</f>
        <v/>
      </c>
      <c r="DH753" s="146" t="str">
        <f>IF(W753&lt;&gt;"AR","",INDEX('Device Refrigerant Leakage'!$G$2:$G$42,MATCH(X753,'Device Refrigerant Leakage'!$B$2:$B$42,0)))</f>
        <v/>
      </c>
      <c r="DI753" s="146" t="str">
        <f>IF(W753&lt;&gt;"AR","",J753*INDEX('Device Refrigerant Leakage'!$D$2:$D$42,MATCH(X753,'Device Refrigerant Leakage'!$B$2:$B$42,0))*DF753/2204.62*DE753)</f>
        <v/>
      </c>
      <c r="DJ753" s="146" t="str">
        <f>IF(W753&lt;&gt;"AR","",J753*(INDEX('Device Refrigerant Leakage'!$D$2:$D$42,MATCH(X753,'Device Refrigerant Leakage'!$B$2:$B$42,0))-(INDEX('Device Refrigerant Leakage'!$D$2:$D$42,MATCH(X753,'Device Refrigerant Leakage'!$B$2:$B$42,0)))*DH753*DF753)*DG753/2204.62*DE753)</f>
        <v/>
      </c>
      <c r="DK753" s="146" t="str">
        <f>IF(W753&lt;&gt;"AR","",DI753*(K753-AB753)+'Fuel Sub Calcs-Deemed'!DJ753*((K753-AB753)/INDEX('Device Refrigerant Leakage'!$C$2:$C$42,MATCH('Fuel Sub Calcs-Deemed'!X753,'Device Refrigerant Leakage'!$B$2:$B$42,0))))</f>
        <v/>
      </c>
      <c r="DM753" s="56">
        <v>739</v>
      </c>
      <c r="DN753" s="67" t="e">
        <f t="shared" si="874"/>
        <v>#N/A</v>
      </c>
      <c r="DO753" s="45" t="e">
        <f t="shared" si="875"/>
        <v>#N/A</v>
      </c>
      <c r="DP753" s="67" t="e">
        <f t="shared" si="876"/>
        <v>#N/A</v>
      </c>
      <c r="DQ753" s="45" t="e">
        <f t="shared" si="877"/>
        <v>#N/A</v>
      </c>
      <c r="DR753" s="69" t="e">
        <f t="shared" si="878"/>
        <v>#N/A</v>
      </c>
      <c r="DS753" s="34"/>
      <c r="DT753" s="67" t="e">
        <f>((BX753*CJ753)+IF($W753=MAT_AR,(BZ753*CL753),0))*(1+Reference!$E$50+Reference!$E$51)</f>
        <v>#N/A</v>
      </c>
      <c r="DU753" s="67">
        <f>((BY753*CK753)+IF($W753=MAT_AR,(CA753*CM753),0))*(1+Reference!$G$50+Reference!$G$51)</f>
        <v>0</v>
      </c>
      <c r="DV753" s="67" t="e">
        <f t="shared" si="879"/>
        <v>#VALUE!</v>
      </c>
      <c r="DX753" s="56">
        <v>739</v>
      </c>
      <c r="DY753" s="67">
        <f t="shared" si="880"/>
        <v>0</v>
      </c>
      <c r="DZ753" s="45" t="e">
        <f>VLOOKUP($R753,Dropdown!$C$3:$D$4,2,FALSE)</f>
        <v>#N/A</v>
      </c>
      <c r="EA753" s="68">
        <f t="shared" si="881"/>
        <v>0</v>
      </c>
      <c r="EB753" s="68" t="str">
        <f t="shared" si="882"/>
        <v>N/A</v>
      </c>
      <c r="EC753" s="68">
        <f t="shared" si="883"/>
        <v>0</v>
      </c>
      <c r="ED753" s="68" t="str">
        <f t="shared" si="921"/>
        <v>N/A</v>
      </c>
      <c r="EF753" s="56">
        <v>739</v>
      </c>
      <c r="EG753" s="46">
        <f t="shared" si="884"/>
        <v>0</v>
      </c>
      <c r="EH753" s="68" t="e">
        <f t="shared" si="885"/>
        <v>#N/A</v>
      </c>
      <c r="EI753" s="68" t="e">
        <f t="shared" si="886"/>
        <v>#N/A</v>
      </c>
      <c r="EJ753" s="68" t="e">
        <f t="shared" si="887"/>
        <v>#N/A</v>
      </c>
      <c r="EK753" s="68" t="e">
        <f t="shared" si="888"/>
        <v>#N/A</v>
      </c>
      <c r="EL753" s="46">
        <f t="shared" si="889"/>
        <v>0</v>
      </c>
      <c r="EM753" s="46">
        <f t="shared" si="890"/>
        <v>0</v>
      </c>
    </row>
    <row r="754" spans="1:143">
      <c r="A754" s="89"/>
      <c r="B754" s="89"/>
      <c r="C754" s="89"/>
      <c r="D754" s="89"/>
      <c r="E754" s="89"/>
      <c r="F754" s="89"/>
      <c r="G754" s="34"/>
      <c r="H754" s="56">
        <f t="shared" si="891"/>
        <v>740</v>
      </c>
      <c r="I754" s="165"/>
      <c r="J754" s="163"/>
      <c r="K754" s="163"/>
      <c r="L754" s="164"/>
      <c r="M754" s="155"/>
      <c r="N754" s="155"/>
      <c r="O754" s="144"/>
      <c r="P754" s="159" t="str">
        <f>IFERROR(IF(O754&lt;&gt;"User Specified",IF(O754&lt;&gt;"", INDEX('Refrigerant GWPs'!$G$2:$G$154,MATCH(O754,'Refrigerant GWPs'!$A$2:$A$154,0)),""),U754),0)</f>
        <v/>
      </c>
      <c r="Q754" s="155"/>
      <c r="R754" s="155"/>
      <c r="S754" s="144"/>
      <c r="T754" s="159" t="str">
        <f>IF(S754&lt;&gt;"User Specified",IF(AND(S754&lt;&gt;"User Specified",S754&lt;&gt;""), INDEX('Refrigerant GWPs'!$G$2:$G$154,MATCH(S754,'Refrigerant GWPs'!$A$2:$A$154,0)),""),V754)</f>
        <v/>
      </c>
      <c r="U754" s="144"/>
      <c r="V754" s="144"/>
      <c r="W754" s="155"/>
      <c r="X754" s="155"/>
      <c r="Y754" s="144"/>
      <c r="Z754" s="159" t="str">
        <f>IF(AND(Y754&lt;&gt;"User Specified",Y754&lt;&gt;""), INDEX('Refrigerant GWPs'!$G$2:$G$154,MATCH(Y754,'Refrigerant GWPs'!$A$2:$A$154,0)),"")</f>
        <v/>
      </c>
      <c r="AA754" s="155"/>
      <c r="AB754" s="156"/>
      <c r="AC754" s="66"/>
      <c r="AD754" s="66"/>
      <c r="AE754" s="66"/>
      <c r="AF754" s="66"/>
      <c r="AG754" s="66"/>
      <c r="AH754" s="66"/>
      <c r="AI754" s="34"/>
      <c r="AJ754" s="88">
        <f t="shared" si="854"/>
        <v>0</v>
      </c>
      <c r="AK754" s="88">
        <f t="shared" si="855"/>
        <v>0</v>
      </c>
      <c r="AL754" s="88">
        <v>0</v>
      </c>
      <c r="AM754" s="88">
        <v>0</v>
      </c>
      <c r="AN754" s="81" t="str">
        <f t="shared" si="893"/>
        <v/>
      </c>
      <c r="AO754" s="88">
        <f t="shared" si="856"/>
        <v>0</v>
      </c>
      <c r="AP754" s="88">
        <f t="shared" si="857"/>
        <v>0</v>
      </c>
      <c r="AQ754" s="81" t="str">
        <f t="shared" si="858"/>
        <v/>
      </c>
      <c r="AS754" s="41" t="b">
        <f t="shared" si="859"/>
        <v>1</v>
      </c>
      <c r="AT754" s="38">
        <f t="shared" si="860"/>
        <v>0</v>
      </c>
      <c r="AU754" s="60">
        <f t="shared" si="861"/>
        <v>0</v>
      </c>
      <c r="AV754" s="41">
        <f t="shared" si="862"/>
        <v>0</v>
      </c>
      <c r="AW754" s="41" t="b">
        <f t="shared" si="863"/>
        <v>0</v>
      </c>
      <c r="AX754" t="str">
        <f t="shared" si="864"/>
        <v>+00</v>
      </c>
      <c r="AY754" t="str">
        <f t="shared" si="865"/>
        <v>+00</v>
      </c>
      <c r="BA754" s="47" t="b">
        <f t="shared" si="894"/>
        <v>1</v>
      </c>
      <c r="BB754" s="42" t="b">
        <f t="shared" si="895"/>
        <v>1</v>
      </c>
      <c r="BC754" s="42" t="b">
        <f t="shared" si="896"/>
        <v>0</v>
      </c>
      <c r="BD754" s="42" t="b">
        <f t="shared" si="897"/>
        <v>0</v>
      </c>
      <c r="BE754" s="70">
        <f t="shared" si="898"/>
        <v>0</v>
      </c>
      <c r="BF754" s="70">
        <f t="shared" si="899"/>
        <v>0</v>
      </c>
      <c r="BG754" s="34"/>
      <c r="BI754" s="47" t="b">
        <f t="shared" si="900"/>
        <v>1</v>
      </c>
      <c r="BJ754" s="47" t="b">
        <f t="shared" si="901"/>
        <v>1</v>
      </c>
      <c r="BK754" s="42" t="b">
        <f t="shared" si="902"/>
        <v>0</v>
      </c>
      <c r="BL754" s="42" t="b">
        <f t="shared" si="903"/>
        <v>0</v>
      </c>
      <c r="BM754" s="42">
        <f t="shared" si="904"/>
        <v>0</v>
      </c>
      <c r="BN754" s="42">
        <f t="shared" si="905"/>
        <v>0</v>
      </c>
      <c r="BP754" t="e">
        <f t="shared" si="906"/>
        <v>#N/A</v>
      </c>
      <c r="BQ754" t="e">
        <f t="shared" si="907"/>
        <v>#N/A</v>
      </c>
      <c r="BR754" t="e">
        <f t="shared" si="908"/>
        <v>#N/A</v>
      </c>
      <c r="BT754" s="60">
        <f t="shared" si="909"/>
        <v>0</v>
      </c>
      <c r="BU754" s="60">
        <f t="shared" si="910"/>
        <v>0</v>
      </c>
      <c r="BV754" s="60">
        <f t="shared" si="911"/>
        <v>0</v>
      </c>
      <c r="BW754" s="60">
        <f t="shared" si="912"/>
        <v>0</v>
      </c>
      <c r="BX754" s="60">
        <f t="shared" si="913"/>
        <v>0</v>
      </c>
      <c r="BY754" s="60">
        <f t="shared" si="914"/>
        <v>0</v>
      </c>
      <c r="BZ754" s="60">
        <f t="shared" si="915"/>
        <v>0</v>
      </c>
      <c r="CA754" s="60">
        <f t="shared" si="916"/>
        <v>0</v>
      </c>
      <c r="CB754" s="60" t="e">
        <f t="shared" si="866"/>
        <v>#N/A</v>
      </c>
      <c r="CC754" s="60">
        <f t="shared" si="867"/>
        <v>100000</v>
      </c>
      <c r="CD754" s="60" t="e">
        <f t="shared" si="868"/>
        <v>#N/A</v>
      </c>
      <c r="CE754" s="60">
        <f t="shared" si="869"/>
        <v>100000</v>
      </c>
      <c r="CF754" s="83" t="e">
        <f t="shared" si="917"/>
        <v>#N/A</v>
      </c>
      <c r="CG754" s="83">
        <f t="shared" si="918"/>
        <v>0</v>
      </c>
      <c r="CH754" s="83" t="e">
        <f t="shared" si="919"/>
        <v>#N/A</v>
      </c>
      <c r="CI754" s="83">
        <f t="shared" si="920"/>
        <v>0</v>
      </c>
      <c r="CJ754" s="86" t="e">
        <f t="shared" si="870"/>
        <v>#N/A</v>
      </c>
      <c r="CK754" s="82">
        <f t="shared" si="871"/>
        <v>5.3070370403969858E-3</v>
      </c>
      <c r="CL754" s="82" t="e">
        <f t="shared" si="872"/>
        <v>#N/A</v>
      </c>
      <c r="CM754" s="82">
        <f t="shared" si="873"/>
        <v>5.3070370403969858E-3</v>
      </c>
      <c r="CO754" s="149" t="str">
        <f>IF($I754&lt;&gt;"",IF(O754="User Specified",U754,INDEX('Refrigerant GWPs'!$G$2:$G$156,MATCH(O754,'Refrigerant GWPs'!$A$2:$A$156,0))),"")</f>
        <v/>
      </c>
      <c r="CP754" s="138" t="str">
        <f>IF($I754&lt;&gt;"",INDEX('Device Refrigerant Leakage'!$E$2:$E$42,MATCH($M754,'Device Refrigerant Leakage'!$B$2:$B$42,0)),"")</f>
        <v/>
      </c>
      <c r="CQ754" s="138" t="str">
        <f>IF($I754&lt;&gt;"",INDEX('Device Refrigerant Leakage'!$F$2:$F$42,MATCH($M754,'Device Refrigerant Leakage'!$B$2:$B$42,0)),"")</f>
        <v/>
      </c>
      <c r="CR754" s="145" t="str">
        <f>IF($I754&lt;&gt;"",INDEX('Device Refrigerant Leakage'!$G$2:$G$42,MATCH($M754,'Device Refrigerant Leakage'!$B$2:$B$42,0)),"")</f>
        <v/>
      </c>
      <c r="CS754" s="145" t="str">
        <f>IF($I754&lt;&gt;"",INDEX('Device Refrigerant Leakage'!$D$2:$D$42,MATCH($M754,'Device Refrigerant Leakage'!$B$2:$B$42,0))*CP754/2204.62*CO754,"")</f>
        <v/>
      </c>
      <c r="CT754" s="145" t="str">
        <f>IF($I754&lt;&gt;"",J754*(INDEX('Device Refrigerant Leakage'!$D$2:$D$42,MATCH($M754,'Device Refrigerant Leakage'!$B$2:$B$42,0))-(INDEX('Device Refrigerant Leakage'!$D$2:$D$42,MATCH($M754,'Device Refrigerant Leakage'!$B$2:$B$42,0)))*CR754*CP754)*CQ754/2204.62*CO754,"")</f>
        <v/>
      </c>
      <c r="CU754" s="135" t="str">
        <f>IF($I754&lt;&gt;"",J754*IF(W754&lt;&gt;"AR",(CS754*K754)+CT754,(CS754*AB754)+CT754*(AB754/INDEX('Device Refrigerant Leakage'!$C$2:$C$42,MATCH($M754,'Device Refrigerant Leakage'!$B$2:$B$42,0)))),"")</f>
        <v/>
      </c>
      <c r="CW754" s="135" t="str">
        <f>IF($I754&lt;&gt;"",IF(S754="User Specified",V754,INDEX('Refrigerant GWPs'!$G$2:$G$156,MATCH(S754,'Refrigerant GWPs'!$A$2:$A$157,0))),"")</f>
        <v/>
      </c>
      <c r="CX754" s="138" t="str">
        <f>IF($I754&lt;&gt;"",INDEX('Device Refrigerant Leakage'!$E$2:$E$42,MATCH($Q754,'Device Refrigerant Leakage'!$B$2:$B$42,0)),"")</f>
        <v/>
      </c>
      <c r="CY754" s="138" t="str">
        <f>IF($I754&lt;&gt;"",INDEX('Device Refrigerant Leakage'!$F$2:$F$42,MATCH($Q754,'Device Refrigerant Leakage'!$B$2:$B$42,0)),"")</f>
        <v/>
      </c>
      <c r="CZ754" s="145" t="str">
        <f>IF($I754&lt;&gt;"",INDEX('Device Refrigerant Leakage'!$G$2:$G$42,MATCH($Q754,'Device Refrigerant Leakage'!$B$2:$B$42,0)),"")</f>
        <v/>
      </c>
      <c r="DA754" s="145" t="str">
        <f>IF($I754&lt;&gt;"",J754*INDEX('Device Refrigerant Leakage'!$D$2:$D$42,MATCH($Q754,'Device Refrigerant Leakage'!$B$2:$B$42,0))*CX754/2204.62*CW754,"")</f>
        <v/>
      </c>
      <c r="DB754" s="145" t="str">
        <f>IF($I754&lt;&gt;"",J754*(INDEX('Device Refrigerant Leakage'!$D$2:$D$42,MATCH($Q754,'Device Refrigerant Leakage'!$B$2:$B$42,0))-(INDEX('Device Refrigerant Leakage'!$D$2:$D$42,MATCH($Q754,'Device Refrigerant Leakage'!$B$2:$B$42,0)))*CZ754*CX754)*CY754/2204.62*CW754,"")</f>
        <v/>
      </c>
      <c r="DC754" s="135" t="str">
        <f t="shared" si="892"/>
        <v/>
      </c>
      <c r="DE754" s="146" t="str">
        <f>IF(W754&lt;&gt;"AR","",IF(Y754="User Specified", AA754, INDEX('Refrigerant GWPs'!$G$2:$G$154,MATCH(Y754,'Refrigerant GWPs'!$A$2:$A$154,0))))</f>
        <v/>
      </c>
      <c r="DF754" s="146" t="str">
        <f>IF(W754&lt;&gt;"AR","",INDEX('Device Refrigerant Leakage'!$E$2:$E$42,MATCH(X754,'Device Refrigerant Leakage'!$B$2:$B$42,0)))</f>
        <v/>
      </c>
      <c r="DG754" s="146" t="str">
        <f>IF(W754&lt;&gt;"AR","",INDEX('Device Refrigerant Leakage'!$F$2:$F$42,MATCH(X754,'Device Refrigerant Leakage'!$B$2:$B$42,0)))</f>
        <v/>
      </c>
      <c r="DH754" s="146" t="str">
        <f>IF(W754&lt;&gt;"AR","",INDEX('Device Refrigerant Leakage'!$G$2:$G$42,MATCH(X754,'Device Refrigerant Leakage'!$B$2:$B$42,0)))</f>
        <v/>
      </c>
      <c r="DI754" s="146" t="str">
        <f>IF(W754&lt;&gt;"AR","",J754*INDEX('Device Refrigerant Leakage'!$D$2:$D$42,MATCH(X754,'Device Refrigerant Leakage'!$B$2:$B$42,0))*DF754/2204.62*DE754)</f>
        <v/>
      </c>
      <c r="DJ754" s="146" t="str">
        <f>IF(W754&lt;&gt;"AR","",J754*(INDEX('Device Refrigerant Leakage'!$D$2:$D$42,MATCH(X754,'Device Refrigerant Leakage'!$B$2:$B$42,0))-(INDEX('Device Refrigerant Leakage'!$D$2:$D$42,MATCH(X754,'Device Refrigerant Leakage'!$B$2:$B$42,0)))*DH754*DF754)*DG754/2204.62*DE754)</f>
        <v/>
      </c>
      <c r="DK754" s="146" t="str">
        <f>IF(W754&lt;&gt;"AR","",DI754*(K754-AB754)+'Fuel Sub Calcs-Deemed'!DJ754*((K754-AB754)/INDEX('Device Refrigerant Leakage'!$C$2:$C$42,MATCH('Fuel Sub Calcs-Deemed'!X754,'Device Refrigerant Leakage'!$B$2:$B$42,0))))</f>
        <v/>
      </c>
      <c r="DM754" s="56">
        <v>740</v>
      </c>
      <c r="DN754" s="67" t="e">
        <f t="shared" si="874"/>
        <v>#N/A</v>
      </c>
      <c r="DO754" s="45" t="e">
        <f t="shared" si="875"/>
        <v>#N/A</v>
      </c>
      <c r="DP754" s="67" t="e">
        <f t="shared" si="876"/>
        <v>#N/A</v>
      </c>
      <c r="DQ754" s="45" t="e">
        <f t="shared" si="877"/>
        <v>#N/A</v>
      </c>
      <c r="DR754" s="69" t="e">
        <f t="shared" si="878"/>
        <v>#N/A</v>
      </c>
      <c r="DS754" s="34"/>
      <c r="DT754" s="67" t="e">
        <f>((BX754*CJ754)+IF($W754=MAT_AR,(BZ754*CL754),0))*(1+Reference!$E$50+Reference!$E$51)</f>
        <v>#N/A</v>
      </c>
      <c r="DU754" s="67">
        <f>((BY754*CK754)+IF($W754=MAT_AR,(CA754*CM754),0))*(1+Reference!$G$50+Reference!$G$51)</f>
        <v>0</v>
      </c>
      <c r="DV754" s="67" t="e">
        <f t="shared" si="879"/>
        <v>#VALUE!</v>
      </c>
      <c r="DX754" s="56">
        <v>740</v>
      </c>
      <c r="DY754" s="67">
        <f t="shared" si="880"/>
        <v>0</v>
      </c>
      <c r="DZ754" s="45" t="e">
        <f>VLOOKUP($R754,Dropdown!$C$3:$D$4,2,FALSE)</f>
        <v>#N/A</v>
      </c>
      <c r="EA754" s="68">
        <f t="shared" si="881"/>
        <v>0</v>
      </c>
      <c r="EB754" s="68" t="str">
        <f t="shared" si="882"/>
        <v>N/A</v>
      </c>
      <c r="EC754" s="68">
        <f t="shared" si="883"/>
        <v>0</v>
      </c>
      <c r="ED754" s="68" t="str">
        <f t="shared" si="921"/>
        <v>N/A</v>
      </c>
      <c r="EF754" s="56">
        <v>740</v>
      </c>
      <c r="EG754" s="46">
        <f t="shared" si="884"/>
        <v>0</v>
      </c>
      <c r="EH754" s="68" t="e">
        <f t="shared" si="885"/>
        <v>#N/A</v>
      </c>
      <c r="EI754" s="68" t="e">
        <f t="shared" si="886"/>
        <v>#N/A</v>
      </c>
      <c r="EJ754" s="68" t="e">
        <f t="shared" si="887"/>
        <v>#N/A</v>
      </c>
      <c r="EK754" s="68" t="e">
        <f t="shared" si="888"/>
        <v>#N/A</v>
      </c>
      <c r="EL754" s="46">
        <f t="shared" si="889"/>
        <v>0</v>
      </c>
      <c r="EM754" s="46">
        <f t="shared" si="890"/>
        <v>0</v>
      </c>
    </row>
    <row r="755" spans="1:143">
      <c r="A755" s="89"/>
      <c r="B755" s="89"/>
      <c r="C755" s="89"/>
      <c r="D755" s="89"/>
      <c r="E755" s="89"/>
      <c r="F755" s="89"/>
      <c r="G755" s="34"/>
      <c r="H755" s="56">
        <f t="shared" si="891"/>
        <v>741</v>
      </c>
      <c r="I755" s="165"/>
      <c r="J755" s="163"/>
      <c r="K755" s="163"/>
      <c r="L755" s="164"/>
      <c r="M755" s="155"/>
      <c r="N755" s="155"/>
      <c r="O755" s="144"/>
      <c r="P755" s="159" t="str">
        <f>IFERROR(IF(O755&lt;&gt;"User Specified",IF(O755&lt;&gt;"", INDEX('Refrigerant GWPs'!$G$2:$G$154,MATCH(O755,'Refrigerant GWPs'!$A$2:$A$154,0)),""),U755),0)</f>
        <v/>
      </c>
      <c r="Q755" s="155"/>
      <c r="R755" s="155"/>
      <c r="S755" s="144"/>
      <c r="T755" s="159" t="str">
        <f>IF(S755&lt;&gt;"User Specified",IF(AND(S755&lt;&gt;"User Specified",S755&lt;&gt;""), INDEX('Refrigerant GWPs'!$G$2:$G$154,MATCH(S755,'Refrigerant GWPs'!$A$2:$A$154,0)),""),V755)</f>
        <v/>
      </c>
      <c r="U755" s="144"/>
      <c r="V755" s="144"/>
      <c r="W755" s="155"/>
      <c r="X755" s="155"/>
      <c r="Y755" s="144"/>
      <c r="Z755" s="159" t="str">
        <f>IF(AND(Y755&lt;&gt;"User Specified",Y755&lt;&gt;""), INDEX('Refrigerant GWPs'!$G$2:$G$154,MATCH(Y755,'Refrigerant GWPs'!$A$2:$A$154,0)),"")</f>
        <v/>
      </c>
      <c r="AA755" s="155"/>
      <c r="AB755" s="156"/>
      <c r="AC755" s="66"/>
      <c r="AD755" s="66"/>
      <c r="AE755" s="66"/>
      <c r="AF755" s="66"/>
      <c r="AG755" s="66"/>
      <c r="AH755" s="66"/>
      <c r="AI755" s="34"/>
      <c r="AJ755" s="88">
        <f t="shared" si="854"/>
        <v>0</v>
      </c>
      <c r="AK755" s="88">
        <f t="shared" si="855"/>
        <v>0</v>
      </c>
      <c r="AL755" s="88">
        <v>0</v>
      </c>
      <c r="AM755" s="88">
        <v>0</v>
      </c>
      <c r="AN755" s="81" t="str">
        <f t="shared" si="893"/>
        <v/>
      </c>
      <c r="AO755" s="88">
        <f t="shared" si="856"/>
        <v>0</v>
      </c>
      <c r="AP755" s="88">
        <f t="shared" si="857"/>
        <v>0</v>
      </c>
      <c r="AQ755" s="81" t="str">
        <f t="shared" si="858"/>
        <v/>
      </c>
      <c r="AS755" s="41" t="b">
        <f t="shared" si="859"/>
        <v>1</v>
      </c>
      <c r="AT755" s="38">
        <f t="shared" si="860"/>
        <v>0</v>
      </c>
      <c r="AU755" s="60">
        <f t="shared" si="861"/>
        <v>0</v>
      </c>
      <c r="AV755" s="41">
        <f t="shared" si="862"/>
        <v>0</v>
      </c>
      <c r="AW755" s="41" t="b">
        <f t="shared" si="863"/>
        <v>0</v>
      </c>
      <c r="AX755" t="str">
        <f t="shared" si="864"/>
        <v>+00</v>
      </c>
      <c r="AY755" t="str">
        <f t="shared" si="865"/>
        <v>+00</v>
      </c>
      <c r="BA755" s="47" t="b">
        <f t="shared" si="894"/>
        <v>1</v>
      </c>
      <c r="BB755" s="42" t="b">
        <f t="shared" si="895"/>
        <v>1</v>
      </c>
      <c r="BC755" s="42" t="b">
        <f t="shared" si="896"/>
        <v>0</v>
      </c>
      <c r="BD755" s="42" t="b">
        <f t="shared" si="897"/>
        <v>0</v>
      </c>
      <c r="BE755" s="70">
        <f t="shared" si="898"/>
        <v>0</v>
      </c>
      <c r="BF755" s="70">
        <f t="shared" si="899"/>
        <v>0</v>
      </c>
      <c r="BG755" s="34"/>
      <c r="BI755" s="47" t="b">
        <f t="shared" si="900"/>
        <v>1</v>
      </c>
      <c r="BJ755" s="47" t="b">
        <f t="shared" si="901"/>
        <v>1</v>
      </c>
      <c r="BK755" s="42" t="b">
        <f t="shared" si="902"/>
        <v>0</v>
      </c>
      <c r="BL755" s="42" t="b">
        <f t="shared" si="903"/>
        <v>0</v>
      </c>
      <c r="BM755" s="42">
        <f t="shared" si="904"/>
        <v>0</v>
      </c>
      <c r="BN755" s="42">
        <f t="shared" si="905"/>
        <v>0</v>
      </c>
      <c r="BP755" t="e">
        <f t="shared" si="906"/>
        <v>#N/A</v>
      </c>
      <c r="BQ755" t="e">
        <f t="shared" si="907"/>
        <v>#N/A</v>
      </c>
      <c r="BR755" t="e">
        <f t="shared" si="908"/>
        <v>#N/A</v>
      </c>
      <c r="BT755" s="60">
        <f t="shared" si="909"/>
        <v>0</v>
      </c>
      <c r="BU755" s="60">
        <f t="shared" si="910"/>
        <v>0</v>
      </c>
      <c r="BV755" s="60">
        <f t="shared" si="911"/>
        <v>0</v>
      </c>
      <c r="BW755" s="60">
        <f t="shared" si="912"/>
        <v>0</v>
      </c>
      <c r="BX755" s="60">
        <f t="shared" si="913"/>
        <v>0</v>
      </c>
      <c r="BY755" s="60">
        <f t="shared" si="914"/>
        <v>0</v>
      </c>
      <c r="BZ755" s="60">
        <f t="shared" si="915"/>
        <v>0</v>
      </c>
      <c r="CA755" s="60">
        <f t="shared" si="916"/>
        <v>0</v>
      </c>
      <c r="CB755" s="60" t="e">
        <f t="shared" si="866"/>
        <v>#N/A</v>
      </c>
      <c r="CC755" s="60">
        <f t="shared" si="867"/>
        <v>100000</v>
      </c>
      <c r="CD755" s="60" t="e">
        <f t="shared" si="868"/>
        <v>#N/A</v>
      </c>
      <c r="CE755" s="60">
        <f t="shared" si="869"/>
        <v>100000</v>
      </c>
      <c r="CF755" s="83" t="e">
        <f t="shared" si="917"/>
        <v>#N/A</v>
      </c>
      <c r="CG755" s="83">
        <f t="shared" si="918"/>
        <v>0</v>
      </c>
      <c r="CH755" s="83" t="e">
        <f t="shared" si="919"/>
        <v>#N/A</v>
      </c>
      <c r="CI755" s="83">
        <f t="shared" si="920"/>
        <v>0</v>
      </c>
      <c r="CJ755" s="86" t="e">
        <f t="shared" si="870"/>
        <v>#N/A</v>
      </c>
      <c r="CK755" s="82">
        <f t="shared" si="871"/>
        <v>5.3070370403969858E-3</v>
      </c>
      <c r="CL755" s="82" t="e">
        <f t="shared" si="872"/>
        <v>#N/A</v>
      </c>
      <c r="CM755" s="82">
        <f t="shared" si="873"/>
        <v>5.3070370403969858E-3</v>
      </c>
      <c r="CO755" s="149" t="str">
        <f>IF($I755&lt;&gt;"",IF(O755="User Specified",U755,INDEX('Refrigerant GWPs'!$G$2:$G$156,MATCH(O755,'Refrigerant GWPs'!$A$2:$A$156,0))),"")</f>
        <v/>
      </c>
      <c r="CP755" s="138" t="str">
        <f>IF($I755&lt;&gt;"",INDEX('Device Refrigerant Leakage'!$E$2:$E$42,MATCH($M755,'Device Refrigerant Leakage'!$B$2:$B$42,0)),"")</f>
        <v/>
      </c>
      <c r="CQ755" s="138" t="str">
        <f>IF($I755&lt;&gt;"",INDEX('Device Refrigerant Leakage'!$F$2:$F$42,MATCH($M755,'Device Refrigerant Leakage'!$B$2:$B$42,0)),"")</f>
        <v/>
      </c>
      <c r="CR755" s="145" t="str">
        <f>IF($I755&lt;&gt;"",INDEX('Device Refrigerant Leakage'!$G$2:$G$42,MATCH($M755,'Device Refrigerant Leakage'!$B$2:$B$42,0)),"")</f>
        <v/>
      </c>
      <c r="CS755" s="145" t="str">
        <f>IF($I755&lt;&gt;"",INDEX('Device Refrigerant Leakage'!$D$2:$D$42,MATCH($M755,'Device Refrigerant Leakage'!$B$2:$B$42,0))*CP755/2204.62*CO755,"")</f>
        <v/>
      </c>
      <c r="CT755" s="145" t="str">
        <f>IF($I755&lt;&gt;"",J755*(INDEX('Device Refrigerant Leakage'!$D$2:$D$42,MATCH($M755,'Device Refrigerant Leakage'!$B$2:$B$42,0))-(INDEX('Device Refrigerant Leakage'!$D$2:$D$42,MATCH($M755,'Device Refrigerant Leakage'!$B$2:$B$42,0)))*CR755*CP755)*CQ755/2204.62*CO755,"")</f>
        <v/>
      </c>
      <c r="CU755" s="135" t="str">
        <f>IF($I755&lt;&gt;"",J755*IF(W755&lt;&gt;"AR",(CS755*K755)+CT755,(CS755*AB755)+CT755*(AB755/INDEX('Device Refrigerant Leakage'!$C$2:$C$42,MATCH($M755,'Device Refrigerant Leakage'!$B$2:$B$42,0)))),"")</f>
        <v/>
      </c>
      <c r="CW755" s="135" t="str">
        <f>IF($I755&lt;&gt;"",IF(S755="User Specified",V755,INDEX('Refrigerant GWPs'!$G$2:$G$156,MATCH(S755,'Refrigerant GWPs'!$A$2:$A$157,0))),"")</f>
        <v/>
      </c>
      <c r="CX755" s="138" t="str">
        <f>IF($I755&lt;&gt;"",INDEX('Device Refrigerant Leakage'!$E$2:$E$42,MATCH($Q755,'Device Refrigerant Leakage'!$B$2:$B$42,0)),"")</f>
        <v/>
      </c>
      <c r="CY755" s="138" t="str">
        <f>IF($I755&lt;&gt;"",INDEX('Device Refrigerant Leakage'!$F$2:$F$42,MATCH($Q755,'Device Refrigerant Leakage'!$B$2:$B$42,0)),"")</f>
        <v/>
      </c>
      <c r="CZ755" s="145" t="str">
        <f>IF($I755&lt;&gt;"",INDEX('Device Refrigerant Leakage'!$G$2:$G$42,MATCH($Q755,'Device Refrigerant Leakage'!$B$2:$B$42,0)),"")</f>
        <v/>
      </c>
      <c r="DA755" s="145" t="str">
        <f>IF($I755&lt;&gt;"",J755*INDEX('Device Refrigerant Leakage'!$D$2:$D$42,MATCH($Q755,'Device Refrigerant Leakage'!$B$2:$B$42,0))*CX755/2204.62*CW755,"")</f>
        <v/>
      </c>
      <c r="DB755" s="145" t="str">
        <f>IF($I755&lt;&gt;"",J755*(INDEX('Device Refrigerant Leakage'!$D$2:$D$42,MATCH($Q755,'Device Refrigerant Leakage'!$B$2:$B$42,0))-(INDEX('Device Refrigerant Leakage'!$D$2:$D$42,MATCH($Q755,'Device Refrigerant Leakage'!$B$2:$B$42,0)))*CZ755*CX755)*CY755/2204.62*CW755,"")</f>
        <v/>
      </c>
      <c r="DC755" s="135" t="str">
        <f t="shared" si="892"/>
        <v/>
      </c>
      <c r="DE755" s="146" t="str">
        <f>IF(W755&lt;&gt;"AR","",IF(Y755="User Specified", AA755, INDEX('Refrigerant GWPs'!$G$2:$G$154,MATCH(Y755,'Refrigerant GWPs'!$A$2:$A$154,0))))</f>
        <v/>
      </c>
      <c r="DF755" s="146" t="str">
        <f>IF(W755&lt;&gt;"AR","",INDEX('Device Refrigerant Leakage'!$E$2:$E$42,MATCH(X755,'Device Refrigerant Leakage'!$B$2:$B$42,0)))</f>
        <v/>
      </c>
      <c r="DG755" s="146" t="str">
        <f>IF(W755&lt;&gt;"AR","",INDEX('Device Refrigerant Leakage'!$F$2:$F$42,MATCH(X755,'Device Refrigerant Leakage'!$B$2:$B$42,0)))</f>
        <v/>
      </c>
      <c r="DH755" s="146" t="str">
        <f>IF(W755&lt;&gt;"AR","",INDEX('Device Refrigerant Leakage'!$G$2:$G$42,MATCH(X755,'Device Refrigerant Leakage'!$B$2:$B$42,0)))</f>
        <v/>
      </c>
      <c r="DI755" s="146" t="str">
        <f>IF(W755&lt;&gt;"AR","",J755*INDEX('Device Refrigerant Leakage'!$D$2:$D$42,MATCH(X755,'Device Refrigerant Leakage'!$B$2:$B$42,0))*DF755/2204.62*DE755)</f>
        <v/>
      </c>
      <c r="DJ755" s="146" t="str">
        <f>IF(W755&lt;&gt;"AR","",J755*(INDEX('Device Refrigerant Leakage'!$D$2:$D$42,MATCH(X755,'Device Refrigerant Leakage'!$B$2:$B$42,0))-(INDEX('Device Refrigerant Leakage'!$D$2:$D$42,MATCH(X755,'Device Refrigerant Leakage'!$B$2:$B$42,0)))*DH755*DF755)*DG755/2204.62*DE755)</f>
        <v/>
      </c>
      <c r="DK755" s="146" t="str">
        <f>IF(W755&lt;&gt;"AR","",DI755*(K755-AB755)+'Fuel Sub Calcs-Deemed'!DJ755*((K755-AB755)/INDEX('Device Refrigerant Leakage'!$C$2:$C$42,MATCH('Fuel Sub Calcs-Deemed'!X755,'Device Refrigerant Leakage'!$B$2:$B$42,0))))</f>
        <v/>
      </c>
      <c r="DM755" s="56">
        <v>741</v>
      </c>
      <c r="DN755" s="67" t="e">
        <f t="shared" si="874"/>
        <v>#N/A</v>
      </c>
      <c r="DO755" s="45" t="e">
        <f t="shared" si="875"/>
        <v>#N/A</v>
      </c>
      <c r="DP755" s="67" t="e">
        <f t="shared" si="876"/>
        <v>#N/A</v>
      </c>
      <c r="DQ755" s="45" t="e">
        <f t="shared" si="877"/>
        <v>#N/A</v>
      </c>
      <c r="DR755" s="69" t="e">
        <f t="shared" si="878"/>
        <v>#N/A</v>
      </c>
      <c r="DS755" s="34"/>
      <c r="DT755" s="67" t="e">
        <f>((BX755*CJ755)+IF($W755=MAT_AR,(BZ755*CL755),0))*(1+Reference!$E$50+Reference!$E$51)</f>
        <v>#N/A</v>
      </c>
      <c r="DU755" s="67">
        <f>((BY755*CK755)+IF($W755=MAT_AR,(CA755*CM755),0))*(1+Reference!$G$50+Reference!$G$51)</f>
        <v>0</v>
      </c>
      <c r="DV755" s="67" t="e">
        <f t="shared" si="879"/>
        <v>#VALUE!</v>
      </c>
      <c r="DX755" s="56">
        <v>741</v>
      </c>
      <c r="DY755" s="67">
        <f t="shared" si="880"/>
        <v>0</v>
      </c>
      <c r="DZ755" s="45" t="e">
        <f>VLOOKUP($R755,Dropdown!$C$3:$D$4,2,FALSE)</f>
        <v>#N/A</v>
      </c>
      <c r="EA755" s="68">
        <f t="shared" si="881"/>
        <v>0</v>
      </c>
      <c r="EB755" s="68" t="str">
        <f t="shared" si="882"/>
        <v>N/A</v>
      </c>
      <c r="EC755" s="68">
        <f t="shared" si="883"/>
        <v>0</v>
      </c>
      <c r="ED755" s="68" t="str">
        <f t="shared" si="921"/>
        <v>N/A</v>
      </c>
      <c r="EF755" s="56">
        <v>741</v>
      </c>
      <c r="EG755" s="46">
        <f t="shared" si="884"/>
        <v>0</v>
      </c>
      <c r="EH755" s="68" t="e">
        <f t="shared" si="885"/>
        <v>#N/A</v>
      </c>
      <c r="EI755" s="68" t="e">
        <f t="shared" si="886"/>
        <v>#N/A</v>
      </c>
      <c r="EJ755" s="68" t="e">
        <f t="shared" si="887"/>
        <v>#N/A</v>
      </c>
      <c r="EK755" s="68" t="e">
        <f t="shared" si="888"/>
        <v>#N/A</v>
      </c>
      <c r="EL755" s="46">
        <f t="shared" si="889"/>
        <v>0</v>
      </c>
      <c r="EM755" s="46">
        <f t="shared" si="890"/>
        <v>0</v>
      </c>
    </row>
    <row r="756" spans="1:143">
      <c r="A756" s="89"/>
      <c r="B756" s="89"/>
      <c r="C756" s="89"/>
      <c r="D756" s="89"/>
      <c r="E756" s="89"/>
      <c r="F756" s="89"/>
      <c r="G756" s="34"/>
      <c r="H756" s="56">
        <f t="shared" si="891"/>
        <v>742</v>
      </c>
      <c r="I756" s="165"/>
      <c r="J756" s="163"/>
      <c r="K756" s="163"/>
      <c r="L756" s="164"/>
      <c r="M756" s="155"/>
      <c r="N756" s="155"/>
      <c r="O756" s="144"/>
      <c r="P756" s="159" t="str">
        <f>IFERROR(IF(O756&lt;&gt;"User Specified",IF(O756&lt;&gt;"", INDEX('Refrigerant GWPs'!$G$2:$G$154,MATCH(O756,'Refrigerant GWPs'!$A$2:$A$154,0)),""),U756),0)</f>
        <v/>
      </c>
      <c r="Q756" s="155"/>
      <c r="R756" s="155"/>
      <c r="S756" s="144"/>
      <c r="T756" s="159" t="str">
        <f>IF(S756&lt;&gt;"User Specified",IF(AND(S756&lt;&gt;"User Specified",S756&lt;&gt;""), INDEX('Refrigerant GWPs'!$G$2:$G$154,MATCH(S756,'Refrigerant GWPs'!$A$2:$A$154,0)),""),V756)</f>
        <v/>
      </c>
      <c r="U756" s="144"/>
      <c r="V756" s="144"/>
      <c r="W756" s="155"/>
      <c r="X756" s="155"/>
      <c r="Y756" s="144"/>
      <c r="Z756" s="159" t="str">
        <f>IF(AND(Y756&lt;&gt;"User Specified",Y756&lt;&gt;""), INDEX('Refrigerant GWPs'!$G$2:$G$154,MATCH(Y756,'Refrigerant GWPs'!$A$2:$A$154,0)),"")</f>
        <v/>
      </c>
      <c r="AA756" s="155"/>
      <c r="AB756" s="156"/>
      <c r="AC756" s="66"/>
      <c r="AD756" s="66"/>
      <c r="AE756" s="66"/>
      <c r="AF756" s="66"/>
      <c r="AG756" s="66"/>
      <c r="AH756" s="66"/>
      <c r="AI756" s="34"/>
      <c r="AJ756" s="88">
        <f t="shared" si="854"/>
        <v>0</v>
      </c>
      <c r="AK756" s="88">
        <f t="shared" si="855"/>
        <v>0</v>
      </c>
      <c r="AL756" s="88">
        <v>0</v>
      </c>
      <c r="AM756" s="88">
        <v>0</v>
      </c>
      <c r="AN756" s="81" t="str">
        <f t="shared" si="893"/>
        <v/>
      </c>
      <c r="AO756" s="88">
        <f t="shared" si="856"/>
        <v>0</v>
      </c>
      <c r="AP756" s="88">
        <f t="shared" si="857"/>
        <v>0</v>
      </c>
      <c r="AQ756" s="81" t="str">
        <f t="shared" si="858"/>
        <v/>
      </c>
      <c r="AS756" s="41" t="b">
        <f t="shared" si="859"/>
        <v>1</v>
      </c>
      <c r="AT756" s="38">
        <f t="shared" si="860"/>
        <v>0</v>
      </c>
      <c r="AU756" s="60">
        <f t="shared" si="861"/>
        <v>0</v>
      </c>
      <c r="AV756" s="41">
        <f t="shared" si="862"/>
        <v>0</v>
      </c>
      <c r="AW756" s="41" t="b">
        <f t="shared" si="863"/>
        <v>0</v>
      </c>
      <c r="AX756" t="str">
        <f t="shared" si="864"/>
        <v>+00</v>
      </c>
      <c r="AY756" t="str">
        <f t="shared" si="865"/>
        <v>+00</v>
      </c>
      <c r="BA756" s="47" t="b">
        <f t="shared" si="894"/>
        <v>1</v>
      </c>
      <c r="BB756" s="42" t="b">
        <f t="shared" si="895"/>
        <v>1</v>
      </c>
      <c r="BC756" s="42" t="b">
        <f t="shared" si="896"/>
        <v>0</v>
      </c>
      <c r="BD756" s="42" t="b">
        <f t="shared" si="897"/>
        <v>0</v>
      </c>
      <c r="BE756" s="70">
        <f t="shared" si="898"/>
        <v>0</v>
      </c>
      <c r="BF756" s="70">
        <f t="shared" si="899"/>
        <v>0</v>
      </c>
      <c r="BG756" s="34"/>
      <c r="BI756" s="47" t="b">
        <f t="shared" si="900"/>
        <v>1</v>
      </c>
      <c r="BJ756" s="47" t="b">
        <f t="shared" si="901"/>
        <v>1</v>
      </c>
      <c r="BK756" s="42" t="b">
        <f t="shared" si="902"/>
        <v>0</v>
      </c>
      <c r="BL756" s="42" t="b">
        <f t="shared" si="903"/>
        <v>0</v>
      </c>
      <c r="BM756" s="42">
        <f t="shared" si="904"/>
        <v>0</v>
      </c>
      <c r="BN756" s="42">
        <f t="shared" si="905"/>
        <v>0</v>
      </c>
      <c r="BP756" t="e">
        <f t="shared" si="906"/>
        <v>#N/A</v>
      </c>
      <c r="BQ756" t="e">
        <f t="shared" si="907"/>
        <v>#N/A</v>
      </c>
      <c r="BR756" t="e">
        <f t="shared" si="908"/>
        <v>#N/A</v>
      </c>
      <c r="BT756" s="60">
        <f t="shared" si="909"/>
        <v>0</v>
      </c>
      <c r="BU756" s="60">
        <f t="shared" si="910"/>
        <v>0</v>
      </c>
      <c r="BV756" s="60">
        <f t="shared" si="911"/>
        <v>0</v>
      </c>
      <c r="BW756" s="60">
        <f t="shared" si="912"/>
        <v>0</v>
      </c>
      <c r="BX756" s="60">
        <f t="shared" si="913"/>
        <v>0</v>
      </c>
      <c r="BY756" s="60">
        <f t="shared" si="914"/>
        <v>0</v>
      </c>
      <c r="BZ756" s="60">
        <f t="shared" si="915"/>
        <v>0</v>
      </c>
      <c r="CA756" s="60">
        <f t="shared" si="916"/>
        <v>0</v>
      </c>
      <c r="CB756" s="60" t="e">
        <f t="shared" si="866"/>
        <v>#N/A</v>
      </c>
      <c r="CC756" s="60">
        <f t="shared" si="867"/>
        <v>100000</v>
      </c>
      <c r="CD756" s="60" t="e">
        <f t="shared" si="868"/>
        <v>#N/A</v>
      </c>
      <c r="CE756" s="60">
        <f t="shared" si="869"/>
        <v>100000</v>
      </c>
      <c r="CF756" s="83" t="e">
        <f t="shared" si="917"/>
        <v>#N/A</v>
      </c>
      <c r="CG756" s="83">
        <f t="shared" si="918"/>
        <v>0</v>
      </c>
      <c r="CH756" s="83" t="e">
        <f t="shared" si="919"/>
        <v>#N/A</v>
      </c>
      <c r="CI756" s="83">
        <f t="shared" si="920"/>
        <v>0</v>
      </c>
      <c r="CJ756" s="86" t="e">
        <f t="shared" si="870"/>
        <v>#N/A</v>
      </c>
      <c r="CK756" s="82">
        <f t="shared" si="871"/>
        <v>5.3070370403969858E-3</v>
      </c>
      <c r="CL756" s="82" t="e">
        <f t="shared" si="872"/>
        <v>#N/A</v>
      </c>
      <c r="CM756" s="82">
        <f t="shared" si="873"/>
        <v>5.3070370403969858E-3</v>
      </c>
      <c r="CO756" s="149" t="str">
        <f>IF($I756&lt;&gt;"",IF(O756="User Specified",U756,INDEX('Refrigerant GWPs'!$G$2:$G$156,MATCH(O756,'Refrigerant GWPs'!$A$2:$A$156,0))),"")</f>
        <v/>
      </c>
      <c r="CP756" s="138" t="str">
        <f>IF($I756&lt;&gt;"",INDEX('Device Refrigerant Leakage'!$E$2:$E$42,MATCH($M756,'Device Refrigerant Leakage'!$B$2:$B$42,0)),"")</f>
        <v/>
      </c>
      <c r="CQ756" s="138" t="str">
        <f>IF($I756&lt;&gt;"",INDEX('Device Refrigerant Leakage'!$F$2:$F$42,MATCH($M756,'Device Refrigerant Leakage'!$B$2:$B$42,0)),"")</f>
        <v/>
      </c>
      <c r="CR756" s="145" t="str">
        <f>IF($I756&lt;&gt;"",INDEX('Device Refrigerant Leakage'!$G$2:$G$42,MATCH($M756,'Device Refrigerant Leakage'!$B$2:$B$42,0)),"")</f>
        <v/>
      </c>
      <c r="CS756" s="145" t="str">
        <f>IF($I756&lt;&gt;"",INDEX('Device Refrigerant Leakage'!$D$2:$D$42,MATCH($M756,'Device Refrigerant Leakage'!$B$2:$B$42,0))*CP756/2204.62*CO756,"")</f>
        <v/>
      </c>
      <c r="CT756" s="145" t="str">
        <f>IF($I756&lt;&gt;"",J756*(INDEX('Device Refrigerant Leakage'!$D$2:$D$42,MATCH($M756,'Device Refrigerant Leakage'!$B$2:$B$42,0))-(INDEX('Device Refrigerant Leakage'!$D$2:$D$42,MATCH($M756,'Device Refrigerant Leakage'!$B$2:$B$42,0)))*CR756*CP756)*CQ756/2204.62*CO756,"")</f>
        <v/>
      </c>
      <c r="CU756" s="135" t="str">
        <f>IF($I756&lt;&gt;"",J756*IF(W756&lt;&gt;"AR",(CS756*K756)+CT756,(CS756*AB756)+CT756*(AB756/INDEX('Device Refrigerant Leakage'!$C$2:$C$42,MATCH($M756,'Device Refrigerant Leakage'!$B$2:$B$42,0)))),"")</f>
        <v/>
      </c>
      <c r="CW756" s="135" t="str">
        <f>IF($I756&lt;&gt;"",IF(S756="User Specified",V756,INDEX('Refrigerant GWPs'!$G$2:$G$156,MATCH(S756,'Refrigerant GWPs'!$A$2:$A$157,0))),"")</f>
        <v/>
      </c>
      <c r="CX756" s="138" t="str">
        <f>IF($I756&lt;&gt;"",INDEX('Device Refrigerant Leakage'!$E$2:$E$42,MATCH($Q756,'Device Refrigerant Leakage'!$B$2:$B$42,0)),"")</f>
        <v/>
      </c>
      <c r="CY756" s="138" t="str">
        <f>IF($I756&lt;&gt;"",INDEX('Device Refrigerant Leakage'!$F$2:$F$42,MATCH($Q756,'Device Refrigerant Leakage'!$B$2:$B$42,0)),"")</f>
        <v/>
      </c>
      <c r="CZ756" s="145" t="str">
        <f>IF($I756&lt;&gt;"",INDEX('Device Refrigerant Leakage'!$G$2:$G$42,MATCH($Q756,'Device Refrigerant Leakage'!$B$2:$B$42,0)),"")</f>
        <v/>
      </c>
      <c r="DA756" s="145" t="str">
        <f>IF($I756&lt;&gt;"",J756*INDEX('Device Refrigerant Leakage'!$D$2:$D$42,MATCH($Q756,'Device Refrigerant Leakage'!$B$2:$B$42,0))*CX756/2204.62*CW756,"")</f>
        <v/>
      </c>
      <c r="DB756" s="145" t="str">
        <f>IF($I756&lt;&gt;"",J756*(INDEX('Device Refrigerant Leakage'!$D$2:$D$42,MATCH($Q756,'Device Refrigerant Leakage'!$B$2:$B$42,0))-(INDEX('Device Refrigerant Leakage'!$D$2:$D$42,MATCH($Q756,'Device Refrigerant Leakage'!$B$2:$B$42,0)))*CZ756*CX756)*CY756/2204.62*CW756,"")</f>
        <v/>
      </c>
      <c r="DC756" s="135" t="str">
        <f t="shared" si="892"/>
        <v/>
      </c>
      <c r="DE756" s="146" t="str">
        <f>IF(W756&lt;&gt;"AR","",IF(Y756="User Specified", AA756, INDEX('Refrigerant GWPs'!$G$2:$G$154,MATCH(Y756,'Refrigerant GWPs'!$A$2:$A$154,0))))</f>
        <v/>
      </c>
      <c r="DF756" s="146" t="str">
        <f>IF(W756&lt;&gt;"AR","",INDEX('Device Refrigerant Leakage'!$E$2:$E$42,MATCH(X756,'Device Refrigerant Leakage'!$B$2:$B$42,0)))</f>
        <v/>
      </c>
      <c r="DG756" s="146" t="str">
        <f>IF(W756&lt;&gt;"AR","",INDEX('Device Refrigerant Leakage'!$F$2:$F$42,MATCH(X756,'Device Refrigerant Leakage'!$B$2:$B$42,0)))</f>
        <v/>
      </c>
      <c r="DH756" s="146" t="str">
        <f>IF(W756&lt;&gt;"AR","",INDEX('Device Refrigerant Leakage'!$G$2:$G$42,MATCH(X756,'Device Refrigerant Leakage'!$B$2:$B$42,0)))</f>
        <v/>
      </c>
      <c r="DI756" s="146" t="str">
        <f>IF(W756&lt;&gt;"AR","",J756*INDEX('Device Refrigerant Leakage'!$D$2:$D$42,MATCH(X756,'Device Refrigerant Leakage'!$B$2:$B$42,0))*DF756/2204.62*DE756)</f>
        <v/>
      </c>
      <c r="DJ756" s="146" t="str">
        <f>IF(W756&lt;&gt;"AR","",J756*(INDEX('Device Refrigerant Leakage'!$D$2:$D$42,MATCH(X756,'Device Refrigerant Leakage'!$B$2:$B$42,0))-(INDEX('Device Refrigerant Leakage'!$D$2:$D$42,MATCH(X756,'Device Refrigerant Leakage'!$B$2:$B$42,0)))*DH756*DF756)*DG756/2204.62*DE756)</f>
        <v/>
      </c>
      <c r="DK756" s="146" t="str">
        <f>IF(W756&lt;&gt;"AR","",DI756*(K756-AB756)+'Fuel Sub Calcs-Deemed'!DJ756*((K756-AB756)/INDEX('Device Refrigerant Leakage'!$C$2:$C$42,MATCH('Fuel Sub Calcs-Deemed'!X756,'Device Refrigerant Leakage'!$B$2:$B$42,0))))</f>
        <v/>
      </c>
      <c r="DM756" s="56">
        <v>742</v>
      </c>
      <c r="DN756" s="67" t="e">
        <f t="shared" si="874"/>
        <v>#N/A</v>
      </c>
      <c r="DO756" s="45" t="e">
        <f t="shared" si="875"/>
        <v>#N/A</v>
      </c>
      <c r="DP756" s="67" t="e">
        <f t="shared" si="876"/>
        <v>#N/A</v>
      </c>
      <c r="DQ756" s="45" t="e">
        <f t="shared" si="877"/>
        <v>#N/A</v>
      </c>
      <c r="DR756" s="69" t="e">
        <f t="shared" si="878"/>
        <v>#N/A</v>
      </c>
      <c r="DS756" s="34"/>
      <c r="DT756" s="67" t="e">
        <f>((BX756*CJ756)+IF($W756=MAT_AR,(BZ756*CL756),0))*(1+Reference!$E$50+Reference!$E$51)</f>
        <v>#N/A</v>
      </c>
      <c r="DU756" s="67">
        <f>((BY756*CK756)+IF($W756=MAT_AR,(CA756*CM756),0))*(1+Reference!$G$50+Reference!$G$51)</f>
        <v>0</v>
      </c>
      <c r="DV756" s="67" t="e">
        <f t="shared" si="879"/>
        <v>#VALUE!</v>
      </c>
      <c r="DX756" s="56">
        <v>742</v>
      </c>
      <c r="DY756" s="67">
        <f t="shared" si="880"/>
        <v>0</v>
      </c>
      <c r="DZ756" s="45" t="e">
        <f>VLOOKUP($R756,Dropdown!$C$3:$D$4,2,FALSE)</f>
        <v>#N/A</v>
      </c>
      <c r="EA756" s="68">
        <f t="shared" si="881"/>
        <v>0</v>
      </c>
      <c r="EB756" s="68" t="str">
        <f t="shared" si="882"/>
        <v>N/A</v>
      </c>
      <c r="EC756" s="68">
        <f t="shared" si="883"/>
        <v>0</v>
      </c>
      <c r="ED756" s="68" t="str">
        <f t="shared" si="921"/>
        <v>N/A</v>
      </c>
      <c r="EF756" s="56">
        <v>742</v>
      </c>
      <c r="EG756" s="46">
        <f t="shared" si="884"/>
        <v>0</v>
      </c>
      <c r="EH756" s="68" t="e">
        <f t="shared" si="885"/>
        <v>#N/A</v>
      </c>
      <c r="EI756" s="68" t="e">
        <f t="shared" si="886"/>
        <v>#N/A</v>
      </c>
      <c r="EJ756" s="68" t="e">
        <f t="shared" si="887"/>
        <v>#N/A</v>
      </c>
      <c r="EK756" s="68" t="e">
        <f t="shared" si="888"/>
        <v>#N/A</v>
      </c>
      <c r="EL756" s="46">
        <f t="shared" si="889"/>
        <v>0</v>
      </c>
      <c r="EM756" s="46">
        <f t="shared" si="890"/>
        <v>0</v>
      </c>
    </row>
    <row r="757" spans="1:143">
      <c r="A757" s="89"/>
      <c r="B757" s="89"/>
      <c r="C757" s="89"/>
      <c r="D757" s="89"/>
      <c r="E757" s="89"/>
      <c r="F757" s="89"/>
      <c r="G757" s="34"/>
      <c r="H757" s="56">
        <f t="shared" si="891"/>
        <v>743</v>
      </c>
      <c r="I757" s="165"/>
      <c r="J757" s="163"/>
      <c r="K757" s="163"/>
      <c r="L757" s="164"/>
      <c r="M757" s="155"/>
      <c r="N757" s="155"/>
      <c r="O757" s="144"/>
      <c r="P757" s="159" t="str">
        <f>IFERROR(IF(O757&lt;&gt;"User Specified",IF(O757&lt;&gt;"", INDEX('Refrigerant GWPs'!$G$2:$G$154,MATCH(O757,'Refrigerant GWPs'!$A$2:$A$154,0)),""),U757),0)</f>
        <v/>
      </c>
      <c r="Q757" s="155"/>
      <c r="R757" s="155"/>
      <c r="S757" s="144"/>
      <c r="T757" s="159" t="str">
        <f>IF(S757&lt;&gt;"User Specified",IF(AND(S757&lt;&gt;"User Specified",S757&lt;&gt;""), INDEX('Refrigerant GWPs'!$G$2:$G$154,MATCH(S757,'Refrigerant GWPs'!$A$2:$A$154,0)),""),V757)</f>
        <v/>
      </c>
      <c r="U757" s="144"/>
      <c r="V757" s="144"/>
      <c r="W757" s="155"/>
      <c r="X757" s="155"/>
      <c r="Y757" s="144"/>
      <c r="Z757" s="159" t="str">
        <f>IF(AND(Y757&lt;&gt;"User Specified",Y757&lt;&gt;""), INDEX('Refrigerant GWPs'!$G$2:$G$154,MATCH(Y757,'Refrigerant GWPs'!$A$2:$A$154,0)),"")</f>
        <v/>
      </c>
      <c r="AA757" s="155"/>
      <c r="AB757" s="156"/>
      <c r="AC757" s="66"/>
      <c r="AD757" s="66"/>
      <c r="AE757" s="66"/>
      <c r="AF757" s="66"/>
      <c r="AG757" s="66"/>
      <c r="AH757" s="66"/>
      <c r="AI757" s="34"/>
      <c r="AJ757" s="88">
        <f t="shared" si="854"/>
        <v>0</v>
      </c>
      <c r="AK757" s="88">
        <f t="shared" si="855"/>
        <v>0</v>
      </c>
      <c r="AL757" s="88">
        <v>0</v>
      </c>
      <c r="AM757" s="88">
        <v>0</v>
      </c>
      <c r="AN757" s="81" t="str">
        <f t="shared" si="893"/>
        <v/>
      </c>
      <c r="AO757" s="88">
        <f t="shared" si="856"/>
        <v>0</v>
      </c>
      <c r="AP757" s="88">
        <f t="shared" si="857"/>
        <v>0</v>
      </c>
      <c r="AQ757" s="81" t="str">
        <f t="shared" si="858"/>
        <v/>
      </c>
      <c r="AS757" s="41" t="b">
        <f t="shared" si="859"/>
        <v>1</v>
      </c>
      <c r="AT757" s="38">
        <f t="shared" si="860"/>
        <v>0</v>
      </c>
      <c r="AU757" s="60">
        <f t="shared" si="861"/>
        <v>0</v>
      </c>
      <c r="AV757" s="41">
        <f t="shared" si="862"/>
        <v>0</v>
      </c>
      <c r="AW757" s="41" t="b">
        <f t="shared" si="863"/>
        <v>0</v>
      </c>
      <c r="AX757" t="str">
        <f t="shared" si="864"/>
        <v>+00</v>
      </c>
      <c r="AY757" t="str">
        <f t="shared" si="865"/>
        <v>+00</v>
      </c>
      <c r="BA757" s="47" t="b">
        <f t="shared" si="894"/>
        <v>1</v>
      </c>
      <c r="BB757" s="42" t="b">
        <f t="shared" si="895"/>
        <v>1</v>
      </c>
      <c r="BC757" s="42" t="b">
        <f t="shared" si="896"/>
        <v>0</v>
      </c>
      <c r="BD757" s="42" t="b">
        <f t="shared" si="897"/>
        <v>0</v>
      </c>
      <c r="BE757" s="70">
        <f t="shared" si="898"/>
        <v>0</v>
      </c>
      <c r="BF757" s="70">
        <f t="shared" si="899"/>
        <v>0</v>
      </c>
      <c r="BG757" s="34"/>
      <c r="BI757" s="47" t="b">
        <f t="shared" si="900"/>
        <v>1</v>
      </c>
      <c r="BJ757" s="47" t="b">
        <f t="shared" si="901"/>
        <v>1</v>
      </c>
      <c r="BK757" s="42" t="b">
        <f t="shared" si="902"/>
        <v>0</v>
      </c>
      <c r="BL757" s="42" t="b">
        <f t="shared" si="903"/>
        <v>0</v>
      </c>
      <c r="BM757" s="42">
        <f t="shared" si="904"/>
        <v>0</v>
      </c>
      <c r="BN757" s="42">
        <f t="shared" si="905"/>
        <v>0</v>
      </c>
      <c r="BP757" t="e">
        <f t="shared" si="906"/>
        <v>#N/A</v>
      </c>
      <c r="BQ757" t="e">
        <f t="shared" si="907"/>
        <v>#N/A</v>
      </c>
      <c r="BR757" t="e">
        <f t="shared" si="908"/>
        <v>#N/A</v>
      </c>
      <c r="BT757" s="60">
        <f t="shared" si="909"/>
        <v>0</v>
      </c>
      <c r="BU757" s="60">
        <f t="shared" si="910"/>
        <v>0</v>
      </c>
      <c r="BV757" s="60">
        <f t="shared" si="911"/>
        <v>0</v>
      </c>
      <c r="BW757" s="60">
        <f t="shared" si="912"/>
        <v>0</v>
      </c>
      <c r="BX757" s="60">
        <f t="shared" si="913"/>
        <v>0</v>
      </c>
      <c r="BY757" s="60">
        <f t="shared" si="914"/>
        <v>0</v>
      </c>
      <c r="BZ757" s="60">
        <f t="shared" si="915"/>
        <v>0</v>
      </c>
      <c r="CA757" s="60">
        <f t="shared" si="916"/>
        <v>0</v>
      </c>
      <c r="CB757" s="60" t="e">
        <f t="shared" si="866"/>
        <v>#N/A</v>
      </c>
      <c r="CC757" s="60">
        <f t="shared" si="867"/>
        <v>100000</v>
      </c>
      <c r="CD757" s="60" t="e">
        <f t="shared" si="868"/>
        <v>#N/A</v>
      </c>
      <c r="CE757" s="60">
        <f t="shared" si="869"/>
        <v>100000</v>
      </c>
      <c r="CF757" s="83" t="e">
        <f t="shared" si="917"/>
        <v>#N/A</v>
      </c>
      <c r="CG757" s="83">
        <f t="shared" si="918"/>
        <v>0</v>
      </c>
      <c r="CH757" s="83" t="e">
        <f t="shared" si="919"/>
        <v>#N/A</v>
      </c>
      <c r="CI757" s="83">
        <f t="shared" si="920"/>
        <v>0</v>
      </c>
      <c r="CJ757" s="86" t="e">
        <f t="shared" si="870"/>
        <v>#N/A</v>
      </c>
      <c r="CK757" s="82">
        <f t="shared" si="871"/>
        <v>5.3070370403969858E-3</v>
      </c>
      <c r="CL757" s="82" t="e">
        <f t="shared" si="872"/>
        <v>#N/A</v>
      </c>
      <c r="CM757" s="82">
        <f t="shared" si="873"/>
        <v>5.3070370403969858E-3</v>
      </c>
      <c r="CO757" s="149" t="str">
        <f>IF($I757&lt;&gt;"",IF(O757="User Specified",U757,INDEX('Refrigerant GWPs'!$G$2:$G$156,MATCH(O757,'Refrigerant GWPs'!$A$2:$A$156,0))),"")</f>
        <v/>
      </c>
      <c r="CP757" s="138" t="str">
        <f>IF($I757&lt;&gt;"",INDEX('Device Refrigerant Leakage'!$E$2:$E$42,MATCH($M757,'Device Refrigerant Leakage'!$B$2:$B$42,0)),"")</f>
        <v/>
      </c>
      <c r="CQ757" s="138" t="str">
        <f>IF($I757&lt;&gt;"",INDEX('Device Refrigerant Leakage'!$F$2:$F$42,MATCH($M757,'Device Refrigerant Leakage'!$B$2:$B$42,0)),"")</f>
        <v/>
      </c>
      <c r="CR757" s="145" t="str">
        <f>IF($I757&lt;&gt;"",INDEX('Device Refrigerant Leakage'!$G$2:$G$42,MATCH($M757,'Device Refrigerant Leakage'!$B$2:$B$42,0)),"")</f>
        <v/>
      </c>
      <c r="CS757" s="145" t="str">
        <f>IF($I757&lt;&gt;"",INDEX('Device Refrigerant Leakage'!$D$2:$D$42,MATCH($M757,'Device Refrigerant Leakage'!$B$2:$B$42,0))*CP757/2204.62*CO757,"")</f>
        <v/>
      </c>
      <c r="CT757" s="145" t="str">
        <f>IF($I757&lt;&gt;"",J757*(INDEX('Device Refrigerant Leakage'!$D$2:$D$42,MATCH($M757,'Device Refrigerant Leakage'!$B$2:$B$42,0))-(INDEX('Device Refrigerant Leakage'!$D$2:$D$42,MATCH($M757,'Device Refrigerant Leakage'!$B$2:$B$42,0)))*CR757*CP757)*CQ757/2204.62*CO757,"")</f>
        <v/>
      </c>
      <c r="CU757" s="135" t="str">
        <f>IF($I757&lt;&gt;"",J757*IF(W757&lt;&gt;"AR",(CS757*K757)+CT757,(CS757*AB757)+CT757*(AB757/INDEX('Device Refrigerant Leakage'!$C$2:$C$42,MATCH($M757,'Device Refrigerant Leakage'!$B$2:$B$42,0)))),"")</f>
        <v/>
      </c>
      <c r="CW757" s="135" t="str">
        <f>IF($I757&lt;&gt;"",IF(S757="User Specified",V757,INDEX('Refrigerant GWPs'!$G$2:$G$156,MATCH(S757,'Refrigerant GWPs'!$A$2:$A$157,0))),"")</f>
        <v/>
      </c>
      <c r="CX757" s="138" t="str">
        <f>IF($I757&lt;&gt;"",INDEX('Device Refrigerant Leakage'!$E$2:$E$42,MATCH($Q757,'Device Refrigerant Leakage'!$B$2:$B$42,0)),"")</f>
        <v/>
      </c>
      <c r="CY757" s="138" t="str">
        <f>IF($I757&lt;&gt;"",INDEX('Device Refrigerant Leakage'!$F$2:$F$42,MATCH($Q757,'Device Refrigerant Leakage'!$B$2:$B$42,0)),"")</f>
        <v/>
      </c>
      <c r="CZ757" s="145" t="str">
        <f>IF($I757&lt;&gt;"",INDEX('Device Refrigerant Leakage'!$G$2:$G$42,MATCH($Q757,'Device Refrigerant Leakage'!$B$2:$B$42,0)),"")</f>
        <v/>
      </c>
      <c r="DA757" s="145" t="str">
        <f>IF($I757&lt;&gt;"",J757*INDEX('Device Refrigerant Leakage'!$D$2:$D$42,MATCH($Q757,'Device Refrigerant Leakage'!$B$2:$B$42,0))*CX757/2204.62*CW757,"")</f>
        <v/>
      </c>
      <c r="DB757" s="145" t="str">
        <f>IF($I757&lt;&gt;"",J757*(INDEX('Device Refrigerant Leakage'!$D$2:$D$42,MATCH($Q757,'Device Refrigerant Leakage'!$B$2:$B$42,0))-(INDEX('Device Refrigerant Leakage'!$D$2:$D$42,MATCH($Q757,'Device Refrigerant Leakage'!$B$2:$B$42,0)))*CZ757*CX757)*CY757/2204.62*CW757,"")</f>
        <v/>
      </c>
      <c r="DC757" s="135" t="str">
        <f t="shared" si="892"/>
        <v/>
      </c>
      <c r="DE757" s="146" t="str">
        <f>IF(W757&lt;&gt;"AR","",IF(Y757="User Specified", AA757, INDEX('Refrigerant GWPs'!$G$2:$G$154,MATCH(Y757,'Refrigerant GWPs'!$A$2:$A$154,0))))</f>
        <v/>
      </c>
      <c r="DF757" s="146" t="str">
        <f>IF(W757&lt;&gt;"AR","",INDEX('Device Refrigerant Leakage'!$E$2:$E$42,MATCH(X757,'Device Refrigerant Leakage'!$B$2:$B$42,0)))</f>
        <v/>
      </c>
      <c r="DG757" s="146" t="str">
        <f>IF(W757&lt;&gt;"AR","",INDEX('Device Refrigerant Leakage'!$F$2:$F$42,MATCH(X757,'Device Refrigerant Leakage'!$B$2:$B$42,0)))</f>
        <v/>
      </c>
      <c r="DH757" s="146" t="str">
        <f>IF(W757&lt;&gt;"AR","",INDEX('Device Refrigerant Leakage'!$G$2:$G$42,MATCH(X757,'Device Refrigerant Leakage'!$B$2:$B$42,0)))</f>
        <v/>
      </c>
      <c r="DI757" s="146" t="str">
        <f>IF(W757&lt;&gt;"AR","",J757*INDEX('Device Refrigerant Leakage'!$D$2:$D$42,MATCH(X757,'Device Refrigerant Leakage'!$B$2:$B$42,0))*DF757/2204.62*DE757)</f>
        <v/>
      </c>
      <c r="DJ757" s="146" t="str">
        <f>IF(W757&lt;&gt;"AR","",J757*(INDEX('Device Refrigerant Leakage'!$D$2:$D$42,MATCH(X757,'Device Refrigerant Leakage'!$B$2:$B$42,0))-(INDEX('Device Refrigerant Leakage'!$D$2:$D$42,MATCH(X757,'Device Refrigerant Leakage'!$B$2:$B$42,0)))*DH757*DF757)*DG757/2204.62*DE757)</f>
        <v/>
      </c>
      <c r="DK757" s="146" t="str">
        <f>IF(W757&lt;&gt;"AR","",DI757*(K757-AB757)+'Fuel Sub Calcs-Deemed'!DJ757*((K757-AB757)/INDEX('Device Refrigerant Leakage'!$C$2:$C$42,MATCH('Fuel Sub Calcs-Deemed'!X757,'Device Refrigerant Leakage'!$B$2:$B$42,0))))</f>
        <v/>
      </c>
      <c r="DM757" s="56">
        <v>743</v>
      </c>
      <c r="DN757" s="67" t="e">
        <f t="shared" si="874"/>
        <v>#N/A</v>
      </c>
      <c r="DO757" s="45" t="e">
        <f t="shared" si="875"/>
        <v>#N/A</v>
      </c>
      <c r="DP757" s="67" t="e">
        <f t="shared" si="876"/>
        <v>#N/A</v>
      </c>
      <c r="DQ757" s="45" t="e">
        <f t="shared" si="877"/>
        <v>#N/A</v>
      </c>
      <c r="DR757" s="69" t="e">
        <f t="shared" si="878"/>
        <v>#N/A</v>
      </c>
      <c r="DS757" s="34"/>
      <c r="DT757" s="67" t="e">
        <f>((BX757*CJ757)+IF($W757=MAT_AR,(BZ757*CL757),0))*(1+Reference!$E$50+Reference!$E$51)</f>
        <v>#N/A</v>
      </c>
      <c r="DU757" s="67">
        <f>((BY757*CK757)+IF($W757=MAT_AR,(CA757*CM757),0))*(1+Reference!$G$50+Reference!$G$51)</f>
        <v>0</v>
      </c>
      <c r="DV757" s="67" t="e">
        <f t="shared" si="879"/>
        <v>#VALUE!</v>
      </c>
      <c r="DX757" s="56">
        <v>743</v>
      </c>
      <c r="DY757" s="67">
        <f t="shared" si="880"/>
        <v>0</v>
      </c>
      <c r="DZ757" s="45" t="e">
        <f>VLOOKUP($R757,Dropdown!$C$3:$D$4,2,FALSE)</f>
        <v>#N/A</v>
      </c>
      <c r="EA757" s="68">
        <f t="shared" si="881"/>
        <v>0</v>
      </c>
      <c r="EB757" s="68" t="str">
        <f t="shared" si="882"/>
        <v>N/A</v>
      </c>
      <c r="EC757" s="68">
        <f t="shared" si="883"/>
        <v>0</v>
      </c>
      <c r="ED757" s="68" t="str">
        <f t="shared" si="921"/>
        <v>N/A</v>
      </c>
      <c r="EF757" s="56">
        <v>743</v>
      </c>
      <c r="EG757" s="46">
        <f t="shared" si="884"/>
        <v>0</v>
      </c>
      <c r="EH757" s="68" t="e">
        <f t="shared" si="885"/>
        <v>#N/A</v>
      </c>
      <c r="EI757" s="68" t="e">
        <f t="shared" si="886"/>
        <v>#N/A</v>
      </c>
      <c r="EJ757" s="68" t="e">
        <f t="shared" si="887"/>
        <v>#N/A</v>
      </c>
      <c r="EK757" s="68" t="e">
        <f t="shared" si="888"/>
        <v>#N/A</v>
      </c>
      <c r="EL757" s="46">
        <f t="shared" si="889"/>
        <v>0</v>
      </c>
      <c r="EM757" s="46">
        <f t="shared" si="890"/>
        <v>0</v>
      </c>
    </row>
    <row r="758" spans="1:143">
      <c r="A758" s="89"/>
      <c r="B758" s="89"/>
      <c r="C758" s="89"/>
      <c r="D758" s="89"/>
      <c r="E758" s="89"/>
      <c r="F758" s="89"/>
      <c r="G758" s="34"/>
      <c r="H758" s="56">
        <f t="shared" si="891"/>
        <v>744</v>
      </c>
      <c r="I758" s="165"/>
      <c r="J758" s="163"/>
      <c r="K758" s="163"/>
      <c r="L758" s="164"/>
      <c r="M758" s="155"/>
      <c r="N758" s="155"/>
      <c r="O758" s="144"/>
      <c r="P758" s="159" t="str">
        <f>IFERROR(IF(O758&lt;&gt;"User Specified",IF(O758&lt;&gt;"", INDEX('Refrigerant GWPs'!$G$2:$G$154,MATCH(O758,'Refrigerant GWPs'!$A$2:$A$154,0)),""),U758),0)</f>
        <v/>
      </c>
      <c r="Q758" s="155"/>
      <c r="R758" s="155"/>
      <c r="S758" s="144"/>
      <c r="T758" s="159" t="str">
        <f>IF(S758&lt;&gt;"User Specified",IF(AND(S758&lt;&gt;"User Specified",S758&lt;&gt;""), INDEX('Refrigerant GWPs'!$G$2:$G$154,MATCH(S758,'Refrigerant GWPs'!$A$2:$A$154,0)),""),V758)</f>
        <v/>
      </c>
      <c r="U758" s="144"/>
      <c r="V758" s="144"/>
      <c r="W758" s="155"/>
      <c r="X758" s="155"/>
      <c r="Y758" s="144"/>
      <c r="Z758" s="159" t="str">
        <f>IF(AND(Y758&lt;&gt;"User Specified",Y758&lt;&gt;""), INDEX('Refrigerant GWPs'!$G$2:$G$154,MATCH(Y758,'Refrigerant GWPs'!$A$2:$A$154,0)),"")</f>
        <v/>
      </c>
      <c r="AA758" s="155"/>
      <c r="AB758" s="156"/>
      <c r="AC758" s="66"/>
      <c r="AD758" s="66"/>
      <c r="AE758" s="66"/>
      <c r="AF758" s="66"/>
      <c r="AG758" s="66"/>
      <c r="AH758" s="66"/>
      <c r="AI758" s="34"/>
      <c r="AJ758" s="88">
        <f t="shared" si="854"/>
        <v>0</v>
      </c>
      <c r="AK758" s="88">
        <f t="shared" si="855"/>
        <v>0</v>
      </c>
      <c r="AL758" s="88">
        <v>0</v>
      </c>
      <c r="AM758" s="88">
        <v>0</v>
      </c>
      <c r="AN758" s="81" t="str">
        <f t="shared" si="893"/>
        <v/>
      </c>
      <c r="AO758" s="88">
        <f t="shared" si="856"/>
        <v>0</v>
      </c>
      <c r="AP758" s="88">
        <f t="shared" si="857"/>
        <v>0</v>
      </c>
      <c r="AQ758" s="81" t="str">
        <f t="shared" si="858"/>
        <v/>
      </c>
      <c r="AS758" s="41" t="b">
        <f t="shared" si="859"/>
        <v>1</v>
      </c>
      <c r="AT758" s="38">
        <f t="shared" si="860"/>
        <v>0</v>
      </c>
      <c r="AU758" s="60">
        <f t="shared" si="861"/>
        <v>0</v>
      </c>
      <c r="AV758" s="41">
        <f t="shared" si="862"/>
        <v>0</v>
      </c>
      <c r="AW758" s="41" t="b">
        <f t="shared" si="863"/>
        <v>0</v>
      </c>
      <c r="AX758" t="str">
        <f t="shared" si="864"/>
        <v>+00</v>
      </c>
      <c r="AY758" t="str">
        <f t="shared" si="865"/>
        <v>+00</v>
      </c>
      <c r="BA758" s="47" t="b">
        <f t="shared" si="894"/>
        <v>1</v>
      </c>
      <c r="BB758" s="42" t="b">
        <f t="shared" si="895"/>
        <v>1</v>
      </c>
      <c r="BC758" s="42" t="b">
        <f t="shared" si="896"/>
        <v>0</v>
      </c>
      <c r="BD758" s="42" t="b">
        <f t="shared" si="897"/>
        <v>0</v>
      </c>
      <c r="BE758" s="70">
        <f t="shared" si="898"/>
        <v>0</v>
      </c>
      <c r="BF758" s="70">
        <f t="shared" si="899"/>
        <v>0</v>
      </c>
      <c r="BG758" s="34"/>
      <c r="BI758" s="47" t="b">
        <f t="shared" si="900"/>
        <v>1</v>
      </c>
      <c r="BJ758" s="47" t="b">
        <f t="shared" si="901"/>
        <v>1</v>
      </c>
      <c r="BK758" s="42" t="b">
        <f t="shared" si="902"/>
        <v>0</v>
      </c>
      <c r="BL758" s="42" t="b">
        <f t="shared" si="903"/>
        <v>0</v>
      </c>
      <c r="BM758" s="42">
        <f t="shared" si="904"/>
        <v>0</v>
      </c>
      <c r="BN758" s="42">
        <f t="shared" si="905"/>
        <v>0</v>
      </c>
      <c r="BP758" t="e">
        <f t="shared" si="906"/>
        <v>#N/A</v>
      </c>
      <c r="BQ758" t="e">
        <f t="shared" si="907"/>
        <v>#N/A</v>
      </c>
      <c r="BR758" t="e">
        <f t="shared" si="908"/>
        <v>#N/A</v>
      </c>
      <c r="BT758" s="60">
        <f t="shared" si="909"/>
        <v>0</v>
      </c>
      <c r="BU758" s="60">
        <f t="shared" si="910"/>
        <v>0</v>
      </c>
      <c r="BV758" s="60">
        <f t="shared" si="911"/>
        <v>0</v>
      </c>
      <c r="BW758" s="60">
        <f t="shared" si="912"/>
        <v>0</v>
      </c>
      <c r="BX758" s="60">
        <f t="shared" si="913"/>
        <v>0</v>
      </c>
      <c r="BY758" s="60">
        <f t="shared" si="914"/>
        <v>0</v>
      </c>
      <c r="BZ758" s="60">
        <f t="shared" si="915"/>
        <v>0</v>
      </c>
      <c r="CA758" s="60">
        <f t="shared" si="916"/>
        <v>0</v>
      </c>
      <c r="CB758" s="60" t="e">
        <f t="shared" si="866"/>
        <v>#N/A</v>
      </c>
      <c r="CC758" s="60">
        <f t="shared" si="867"/>
        <v>100000</v>
      </c>
      <c r="CD758" s="60" t="e">
        <f t="shared" si="868"/>
        <v>#N/A</v>
      </c>
      <c r="CE758" s="60">
        <f t="shared" si="869"/>
        <v>100000</v>
      </c>
      <c r="CF758" s="83" t="e">
        <f t="shared" si="917"/>
        <v>#N/A</v>
      </c>
      <c r="CG758" s="83">
        <f t="shared" si="918"/>
        <v>0</v>
      </c>
      <c r="CH758" s="83" t="e">
        <f t="shared" si="919"/>
        <v>#N/A</v>
      </c>
      <c r="CI758" s="83">
        <f t="shared" si="920"/>
        <v>0</v>
      </c>
      <c r="CJ758" s="86" t="e">
        <f t="shared" si="870"/>
        <v>#N/A</v>
      </c>
      <c r="CK758" s="82">
        <f t="shared" si="871"/>
        <v>5.3070370403969858E-3</v>
      </c>
      <c r="CL758" s="82" t="e">
        <f t="shared" si="872"/>
        <v>#N/A</v>
      </c>
      <c r="CM758" s="82">
        <f t="shared" si="873"/>
        <v>5.3070370403969858E-3</v>
      </c>
      <c r="CO758" s="149" t="str">
        <f>IF($I758&lt;&gt;"",IF(O758="User Specified",U758,INDEX('Refrigerant GWPs'!$G$2:$G$156,MATCH(O758,'Refrigerant GWPs'!$A$2:$A$156,0))),"")</f>
        <v/>
      </c>
      <c r="CP758" s="138" t="str">
        <f>IF($I758&lt;&gt;"",INDEX('Device Refrigerant Leakage'!$E$2:$E$42,MATCH($M758,'Device Refrigerant Leakage'!$B$2:$B$42,0)),"")</f>
        <v/>
      </c>
      <c r="CQ758" s="138" t="str">
        <f>IF($I758&lt;&gt;"",INDEX('Device Refrigerant Leakage'!$F$2:$F$42,MATCH($M758,'Device Refrigerant Leakage'!$B$2:$B$42,0)),"")</f>
        <v/>
      </c>
      <c r="CR758" s="145" t="str">
        <f>IF($I758&lt;&gt;"",INDEX('Device Refrigerant Leakage'!$G$2:$G$42,MATCH($M758,'Device Refrigerant Leakage'!$B$2:$B$42,0)),"")</f>
        <v/>
      </c>
      <c r="CS758" s="145" t="str">
        <f>IF($I758&lt;&gt;"",INDEX('Device Refrigerant Leakage'!$D$2:$D$42,MATCH($M758,'Device Refrigerant Leakage'!$B$2:$B$42,0))*CP758/2204.62*CO758,"")</f>
        <v/>
      </c>
      <c r="CT758" s="145" t="str">
        <f>IF($I758&lt;&gt;"",J758*(INDEX('Device Refrigerant Leakage'!$D$2:$D$42,MATCH($M758,'Device Refrigerant Leakage'!$B$2:$B$42,0))-(INDEX('Device Refrigerant Leakage'!$D$2:$D$42,MATCH($M758,'Device Refrigerant Leakage'!$B$2:$B$42,0)))*CR758*CP758)*CQ758/2204.62*CO758,"")</f>
        <v/>
      </c>
      <c r="CU758" s="135" t="str">
        <f>IF($I758&lt;&gt;"",J758*IF(W758&lt;&gt;"AR",(CS758*K758)+CT758,(CS758*AB758)+CT758*(AB758/INDEX('Device Refrigerant Leakage'!$C$2:$C$42,MATCH($M758,'Device Refrigerant Leakage'!$B$2:$B$42,0)))),"")</f>
        <v/>
      </c>
      <c r="CW758" s="135" t="str">
        <f>IF($I758&lt;&gt;"",IF(S758="User Specified",V758,INDEX('Refrigerant GWPs'!$G$2:$G$156,MATCH(S758,'Refrigerant GWPs'!$A$2:$A$157,0))),"")</f>
        <v/>
      </c>
      <c r="CX758" s="138" t="str">
        <f>IF($I758&lt;&gt;"",INDEX('Device Refrigerant Leakage'!$E$2:$E$42,MATCH($Q758,'Device Refrigerant Leakage'!$B$2:$B$42,0)),"")</f>
        <v/>
      </c>
      <c r="CY758" s="138" t="str">
        <f>IF($I758&lt;&gt;"",INDEX('Device Refrigerant Leakage'!$F$2:$F$42,MATCH($Q758,'Device Refrigerant Leakage'!$B$2:$B$42,0)),"")</f>
        <v/>
      </c>
      <c r="CZ758" s="145" t="str">
        <f>IF($I758&lt;&gt;"",INDEX('Device Refrigerant Leakage'!$G$2:$G$42,MATCH($Q758,'Device Refrigerant Leakage'!$B$2:$B$42,0)),"")</f>
        <v/>
      </c>
      <c r="DA758" s="145" t="str">
        <f>IF($I758&lt;&gt;"",J758*INDEX('Device Refrigerant Leakage'!$D$2:$D$42,MATCH($Q758,'Device Refrigerant Leakage'!$B$2:$B$42,0))*CX758/2204.62*CW758,"")</f>
        <v/>
      </c>
      <c r="DB758" s="145" t="str">
        <f>IF($I758&lt;&gt;"",J758*(INDEX('Device Refrigerant Leakage'!$D$2:$D$42,MATCH($Q758,'Device Refrigerant Leakage'!$B$2:$B$42,0))-(INDEX('Device Refrigerant Leakage'!$D$2:$D$42,MATCH($Q758,'Device Refrigerant Leakage'!$B$2:$B$42,0)))*CZ758*CX758)*CY758/2204.62*CW758,"")</f>
        <v/>
      </c>
      <c r="DC758" s="135" t="str">
        <f t="shared" si="892"/>
        <v/>
      </c>
      <c r="DE758" s="146" t="str">
        <f>IF(W758&lt;&gt;"AR","",IF(Y758="User Specified", AA758, INDEX('Refrigerant GWPs'!$G$2:$G$154,MATCH(Y758,'Refrigerant GWPs'!$A$2:$A$154,0))))</f>
        <v/>
      </c>
      <c r="DF758" s="146" t="str">
        <f>IF(W758&lt;&gt;"AR","",INDEX('Device Refrigerant Leakage'!$E$2:$E$42,MATCH(X758,'Device Refrigerant Leakage'!$B$2:$B$42,0)))</f>
        <v/>
      </c>
      <c r="DG758" s="146" t="str">
        <f>IF(W758&lt;&gt;"AR","",INDEX('Device Refrigerant Leakage'!$F$2:$F$42,MATCH(X758,'Device Refrigerant Leakage'!$B$2:$B$42,0)))</f>
        <v/>
      </c>
      <c r="DH758" s="146" t="str">
        <f>IF(W758&lt;&gt;"AR","",INDEX('Device Refrigerant Leakage'!$G$2:$G$42,MATCH(X758,'Device Refrigerant Leakage'!$B$2:$B$42,0)))</f>
        <v/>
      </c>
      <c r="DI758" s="146" t="str">
        <f>IF(W758&lt;&gt;"AR","",J758*INDEX('Device Refrigerant Leakage'!$D$2:$D$42,MATCH(X758,'Device Refrigerant Leakage'!$B$2:$B$42,0))*DF758/2204.62*DE758)</f>
        <v/>
      </c>
      <c r="DJ758" s="146" t="str">
        <f>IF(W758&lt;&gt;"AR","",J758*(INDEX('Device Refrigerant Leakage'!$D$2:$D$42,MATCH(X758,'Device Refrigerant Leakage'!$B$2:$B$42,0))-(INDEX('Device Refrigerant Leakage'!$D$2:$D$42,MATCH(X758,'Device Refrigerant Leakage'!$B$2:$B$42,0)))*DH758*DF758)*DG758/2204.62*DE758)</f>
        <v/>
      </c>
      <c r="DK758" s="146" t="str">
        <f>IF(W758&lt;&gt;"AR","",DI758*(K758-AB758)+'Fuel Sub Calcs-Deemed'!DJ758*((K758-AB758)/INDEX('Device Refrigerant Leakage'!$C$2:$C$42,MATCH('Fuel Sub Calcs-Deemed'!X758,'Device Refrigerant Leakage'!$B$2:$B$42,0))))</f>
        <v/>
      </c>
      <c r="DM758" s="56">
        <v>744</v>
      </c>
      <c r="DN758" s="67" t="e">
        <f t="shared" si="874"/>
        <v>#N/A</v>
      </c>
      <c r="DO758" s="45" t="e">
        <f t="shared" si="875"/>
        <v>#N/A</v>
      </c>
      <c r="DP758" s="67" t="e">
        <f t="shared" si="876"/>
        <v>#N/A</v>
      </c>
      <c r="DQ758" s="45" t="e">
        <f t="shared" si="877"/>
        <v>#N/A</v>
      </c>
      <c r="DR758" s="69" t="e">
        <f t="shared" si="878"/>
        <v>#N/A</v>
      </c>
      <c r="DS758" s="34"/>
      <c r="DT758" s="67" t="e">
        <f>((BX758*CJ758)+IF($W758=MAT_AR,(BZ758*CL758),0))*(1+Reference!$E$50+Reference!$E$51)</f>
        <v>#N/A</v>
      </c>
      <c r="DU758" s="67">
        <f>((BY758*CK758)+IF($W758=MAT_AR,(CA758*CM758),0))*(1+Reference!$G$50+Reference!$G$51)</f>
        <v>0</v>
      </c>
      <c r="DV758" s="67" t="e">
        <f t="shared" si="879"/>
        <v>#VALUE!</v>
      </c>
      <c r="DX758" s="56">
        <v>744</v>
      </c>
      <c r="DY758" s="67">
        <f t="shared" si="880"/>
        <v>0</v>
      </c>
      <c r="DZ758" s="45" t="e">
        <f>VLOOKUP($R758,Dropdown!$C$3:$D$4,2,FALSE)</f>
        <v>#N/A</v>
      </c>
      <c r="EA758" s="68">
        <f t="shared" si="881"/>
        <v>0</v>
      </c>
      <c r="EB758" s="68" t="str">
        <f t="shared" si="882"/>
        <v>N/A</v>
      </c>
      <c r="EC758" s="68">
        <f t="shared" si="883"/>
        <v>0</v>
      </c>
      <c r="ED758" s="68" t="str">
        <f t="shared" si="921"/>
        <v>N/A</v>
      </c>
      <c r="EF758" s="56">
        <v>744</v>
      </c>
      <c r="EG758" s="46">
        <f t="shared" si="884"/>
        <v>0</v>
      </c>
      <c r="EH758" s="68" t="e">
        <f t="shared" si="885"/>
        <v>#N/A</v>
      </c>
      <c r="EI758" s="68" t="e">
        <f t="shared" si="886"/>
        <v>#N/A</v>
      </c>
      <c r="EJ758" s="68" t="e">
        <f t="shared" si="887"/>
        <v>#N/A</v>
      </c>
      <c r="EK758" s="68" t="e">
        <f t="shared" si="888"/>
        <v>#N/A</v>
      </c>
      <c r="EL758" s="46">
        <f t="shared" si="889"/>
        <v>0</v>
      </c>
      <c r="EM758" s="46">
        <f t="shared" si="890"/>
        <v>0</v>
      </c>
    </row>
    <row r="759" spans="1:143">
      <c r="A759" s="89"/>
      <c r="B759" s="89"/>
      <c r="C759" s="89"/>
      <c r="D759" s="89"/>
      <c r="E759" s="89"/>
      <c r="F759" s="89"/>
      <c r="G759" s="34"/>
      <c r="H759" s="56">
        <f t="shared" si="891"/>
        <v>745</v>
      </c>
      <c r="I759" s="165"/>
      <c r="J759" s="163"/>
      <c r="K759" s="163"/>
      <c r="L759" s="164"/>
      <c r="M759" s="155"/>
      <c r="N759" s="155"/>
      <c r="O759" s="144"/>
      <c r="P759" s="159" t="str">
        <f>IFERROR(IF(O759&lt;&gt;"User Specified",IF(O759&lt;&gt;"", INDEX('Refrigerant GWPs'!$G$2:$G$154,MATCH(O759,'Refrigerant GWPs'!$A$2:$A$154,0)),""),U759),0)</f>
        <v/>
      </c>
      <c r="Q759" s="155"/>
      <c r="R759" s="155"/>
      <c r="S759" s="144"/>
      <c r="T759" s="159" t="str">
        <f>IF(S759&lt;&gt;"User Specified",IF(AND(S759&lt;&gt;"User Specified",S759&lt;&gt;""), INDEX('Refrigerant GWPs'!$G$2:$G$154,MATCH(S759,'Refrigerant GWPs'!$A$2:$A$154,0)),""),V759)</f>
        <v/>
      </c>
      <c r="U759" s="144"/>
      <c r="V759" s="144"/>
      <c r="W759" s="155"/>
      <c r="X759" s="155"/>
      <c r="Y759" s="144"/>
      <c r="Z759" s="159" t="str">
        <f>IF(AND(Y759&lt;&gt;"User Specified",Y759&lt;&gt;""), INDEX('Refrigerant GWPs'!$G$2:$G$154,MATCH(Y759,'Refrigerant GWPs'!$A$2:$A$154,0)),"")</f>
        <v/>
      </c>
      <c r="AA759" s="155"/>
      <c r="AB759" s="156"/>
      <c r="AC759" s="66"/>
      <c r="AD759" s="66"/>
      <c r="AE759" s="66"/>
      <c r="AF759" s="66"/>
      <c r="AG759" s="66"/>
      <c r="AH759" s="66"/>
      <c r="AI759" s="34"/>
      <c r="AJ759" s="88">
        <f t="shared" si="854"/>
        <v>0</v>
      </c>
      <c r="AK759" s="88">
        <f t="shared" si="855"/>
        <v>0</v>
      </c>
      <c r="AL759" s="88">
        <v>0</v>
      </c>
      <c r="AM759" s="88">
        <v>0</v>
      </c>
      <c r="AN759" s="81" t="str">
        <f t="shared" si="893"/>
        <v/>
      </c>
      <c r="AO759" s="88">
        <f t="shared" si="856"/>
        <v>0</v>
      </c>
      <c r="AP759" s="88">
        <f t="shared" si="857"/>
        <v>0</v>
      </c>
      <c r="AQ759" s="81" t="str">
        <f t="shared" si="858"/>
        <v/>
      </c>
      <c r="AS759" s="41" t="b">
        <f t="shared" si="859"/>
        <v>1</v>
      </c>
      <c r="AT759" s="38">
        <f t="shared" si="860"/>
        <v>0</v>
      </c>
      <c r="AU759" s="60">
        <f t="shared" si="861"/>
        <v>0</v>
      </c>
      <c r="AV759" s="41">
        <f t="shared" si="862"/>
        <v>0</v>
      </c>
      <c r="AW759" s="41" t="b">
        <f t="shared" si="863"/>
        <v>0</v>
      </c>
      <c r="AX759" t="str">
        <f t="shared" si="864"/>
        <v>+00</v>
      </c>
      <c r="AY759" t="str">
        <f t="shared" si="865"/>
        <v>+00</v>
      </c>
      <c r="BA759" s="47" t="b">
        <f t="shared" si="894"/>
        <v>1</v>
      </c>
      <c r="BB759" s="42" t="b">
        <f t="shared" si="895"/>
        <v>1</v>
      </c>
      <c r="BC759" s="42" t="b">
        <f t="shared" si="896"/>
        <v>0</v>
      </c>
      <c r="BD759" s="42" t="b">
        <f t="shared" si="897"/>
        <v>0</v>
      </c>
      <c r="BE759" s="70">
        <f t="shared" si="898"/>
        <v>0</v>
      </c>
      <c r="BF759" s="70">
        <f t="shared" si="899"/>
        <v>0</v>
      </c>
      <c r="BG759" s="34"/>
      <c r="BI759" s="47" t="b">
        <f t="shared" si="900"/>
        <v>1</v>
      </c>
      <c r="BJ759" s="47" t="b">
        <f t="shared" si="901"/>
        <v>1</v>
      </c>
      <c r="BK759" s="42" t="b">
        <f t="shared" si="902"/>
        <v>0</v>
      </c>
      <c r="BL759" s="42" t="b">
        <f t="shared" si="903"/>
        <v>0</v>
      </c>
      <c r="BM759" s="42">
        <f t="shared" si="904"/>
        <v>0</v>
      </c>
      <c r="BN759" s="42">
        <f t="shared" si="905"/>
        <v>0</v>
      </c>
      <c r="BP759" t="e">
        <f t="shared" si="906"/>
        <v>#N/A</v>
      </c>
      <c r="BQ759" t="e">
        <f t="shared" si="907"/>
        <v>#N/A</v>
      </c>
      <c r="BR759" t="e">
        <f t="shared" si="908"/>
        <v>#N/A</v>
      </c>
      <c r="BT759" s="60">
        <f t="shared" si="909"/>
        <v>0</v>
      </c>
      <c r="BU759" s="60">
        <f t="shared" si="910"/>
        <v>0</v>
      </c>
      <c r="BV759" s="60">
        <f t="shared" si="911"/>
        <v>0</v>
      </c>
      <c r="BW759" s="60">
        <f t="shared" si="912"/>
        <v>0</v>
      </c>
      <c r="BX759" s="60">
        <f t="shared" si="913"/>
        <v>0</v>
      </c>
      <c r="BY759" s="60">
        <f t="shared" si="914"/>
        <v>0</v>
      </c>
      <c r="BZ759" s="60">
        <f t="shared" si="915"/>
        <v>0</v>
      </c>
      <c r="CA759" s="60">
        <f t="shared" si="916"/>
        <v>0</v>
      </c>
      <c r="CB759" s="60" t="e">
        <f t="shared" si="866"/>
        <v>#N/A</v>
      </c>
      <c r="CC759" s="60">
        <f t="shared" si="867"/>
        <v>100000</v>
      </c>
      <c r="CD759" s="60" t="e">
        <f t="shared" si="868"/>
        <v>#N/A</v>
      </c>
      <c r="CE759" s="60">
        <f t="shared" si="869"/>
        <v>100000</v>
      </c>
      <c r="CF759" s="83" t="e">
        <f t="shared" si="917"/>
        <v>#N/A</v>
      </c>
      <c r="CG759" s="83">
        <f t="shared" si="918"/>
        <v>0</v>
      </c>
      <c r="CH759" s="83" t="e">
        <f t="shared" si="919"/>
        <v>#N/A</v>
      </c>
      <c r="CI759" s="83">
        <f t="shared" si="920"/>
        <v>0</v>
      </c>
      <c r="CJ759" s="86" t="e">
        <f t="shared" si="870"/>
        <v>#N/A</v>
      </c>
      <c r="CK759" s="82">
        <f t="shared" si="871"/>
        <v>5.3070370403969858E-3</v>
      </c>
      <c r="CL759" s="82" t="e">
        <f t="shared" si="872"/>
        <v>#N/A</v>
      </c>
      <c r="CM759" s="82">
        <f t="shared" si="873"/>
        <v>5.3070370403969858E-3</v>
      </c>
      <c r="CO759" s="149" t="str">
        <f>IF($I759&lt;&gt;"",IF(O759="User Specified",U759,INDEX('Refrigerant GWPs'!$G$2:$G$156,MATCH(O759,'Refrigerant GWPs'!$A$2:$A$156,0))),"")</f>
        <v/>
      </c>
      <c r="CP759" s="138" t="str">
        <f>IF($I759&lt;&gt;"",INDEX('Device Refrigerant Leakage'!$E$2:$E$42,MATCH($M759,'Device Refrigerant Leakage'!$B$2:$B$42,0)),"")</f>
        <v/>
      </c>
      <c r="CQ759" s="138" t="str">
        <f>IF($I759&lt;&gt;"",INDEX('Device Refrigerant Leakage'!$F$2:$F$42,MATCH($M759,'Device Refrigerant Leakage'!$B$2:$B$42,0)),"")</f>
        <v/>
      </c>
      <c r="CR759" s="145" t="str">
        <f>IF($I759&lt;&gt;"",INDEX('Device Refrigerant Leakage'!$G$2:$G$42,MATCH($M759,'Device Refrigerant Leakage'!$B$2:$B$42,0)),"")</f>
        <v/>
      </c>
      <c r="CS759" s="145" t="str">
        <f>IF($I759&lt;&gt;"",INDEX('Device Refrigerant Leakage'!$D$2:$D$42,MATCH($M759,'Device Refrigerant Leakage'!$B$2:$B$42,0))*CP759/2204.62*CO759,"")</f>
        <v/>
      </c>
      <c r="CT759" s="145" t="str">
        <f>IF($I759&lt;&gt;"",J759*(INDEX('Device Refrigerant Leakage'!$D$2:$D$42,MATCH($M759,'Device Refrigerant Leakage'!$B$2:$B$42,0))-(INDEX('Device Refrigerant Leakage'!$D$2:$D$42,MATCH($M759,'Device Refrigerant Leakage'!$B$2:$B$42,0)))*CR759*CP759)*CQ759/2204.62*CO759,"")</f>
        <v/>
      </c>
      <c r="CU759" s="135" t="str">
        <f>IF($I759&lt;&gt;"",J759*IF(W759&lt;&gt;"AR",(CS759*K759)+CT759,(CS759*AB759)+CT759*(AB759/INDEX('Device Refrigerant Leakage'!$C$2:$C$42,MATCH($M759,'Device Refrigerant Leakage'!$B$2:$B$42,0)))),"")</f>
        <v/>
      </c>
      <c r="CW759" s="135" t="str">
        <f>IF($I759&lt;&gt;"",IF(S759="User Specified",V759,INDEX('Refrigerant GWPs'!$G$2:$G$156,MATCH(S759,'Refrigerant GWPs'!$A$2:$A$157,0))),"")</f>
        <v/>
      </c>
      <c r="CX759" s="138" t="str">
        <f>IF($I759&lt;&gt;"",INDEX('Device Refrigerant Leakage'!$E$2:$E$42,MATCH($Q759,'Device Refrigerant Leakage'!$B$2:$B$42,0)),"")</f>
        <v/>
      </c>
      <c r="CY759" s="138" t="str">
        <f>IF($I759&lt;&gt;"",INDEX('Device Refrigerant Leakage'!$F$2:$F$42,MATCH($Q759,'Device Refrigerant Leakage'!$B$2:$B$42,0)),"")</f>
        <v/>
      </c>
      <c r="CZ759" s="145" t="str">
        <f>IF($I759&lt;&gt;"",INDEX('Device Refrigerant Leakage'!$G$2:$G$42,MATCH($Q759,'Device Refrigerant Leakage'!$B$2:$B$42,0)),"")</f>
        <v/>
      </c>
      <c r="DA759" s="145" t="str">
        <f>IF($I759&lt;&gt;"",J759*INDEX('Device Refrigerant Leakage'!$D$2:$D$42,MATCH($Q759,'Device Refrigerant Leakage'!$B$2:$B$42,0))*CX759/2204.62*CW759,"")</f>
        <v/>
      </c>
      <c r="DB759" s="145" t="str">
        <f>IF($I759&lt;&gt;"",J759*(INDEX('Device Refrigerant Leakage'!$D$2:$D$42,MATCH($Q759,'Device Refrigerant Leakage'!$B$2:$B$42,0))-(INDEX('Device Refrigerant Leakage'!$D$2:$D$42,MATCH($Q759,'Device Refrigerant Leakage'!$B$2:$B$42,0)))*CZ759*CX759)*CY759/2204.62*CW759,"")</f>
        <v/>
      </c>
      <c r="DC759" s="135" t="str">
        <f t="shared" si="892"/>
        <v/>
      </c>
      <c r="DE759" s="146" t="str">
        <f>IF(W759&lt;&gt;"AR","",IF(Y759="User Specified", AA759, INDEX('Refrigerant GWPs'!$G$2:$G$154,MATCH(Y759,'Refrigerant GWPs'!$A$2:$A$154,0))))</f>
        <v/>
      </c>
      <c r="DF759" s="146" t="str">
        <f>IF(W759&lt;&gt;"AR","",INDEX('Device Refrigerant Leakage'!$E$2:$E$42,MATCH(X759,'Device Refrigerant Leakage'!$B$2:$B$42,0)))</f>
        <v/>
      </c>
      <c r="DG759" s="146" t="str">
        <f>IF(W759&lt;&gt;"AR","",INDEX('Device Refrigerant Leakage'!$F$2:$F$42,MATCH(X759,'Device Refrigerant Leakage'!$B$2:$B$42,0)))</f>
        <v/>
      </c>
      <c r="DH759" s="146" t="str">
        <f>IF(W759&lt;&gt;"AR","",INDEX('Device Refrigerant Leakage'!$G$2:$G$42,MATCH(X759,'Device Refrigerant Leakage'!$B$2:$B$42,0)))</f>
        <v/>
      </c>
      <c r="DI759" s="146" t="str">
        <f>IF(W759&lt;&gt;"AR","",J759*INDEX('Device Refrigerant Leakage'!$D$2:$D$42,MATCH(X759,'Device Refrigerant Leakage'!$B$2:$B$42,0))*DF759/2204.62*DE759)</f>
        <v/>
      </c>
      <c r="DJ759" s="146" t="str">
        <f>IF(W759&lt;&gt;"AR","",J759*(INDEX('Device Refrigerant Leakage'!$D$2:$D$42,MATCH(X759,'Device Refrigerant Leakage'!$B$2:$B$42,0))-(INDEX('Device Refrigerant Leakage'!$D$2:$D$42,MATCH(X759,'Device Refrigerant Leakage'!$B$2:$B$42,0)))*DH759*DF759)*DG759/2204.62*DE759)</f>
        <v/>
      </c>
      <c r="DK759" s="146" t="str">
        <f>IF(W759&lt;&gt;"AR","",DI759*(K759-AB759)+'Fuel Sub Calcs-Deemed'!DJ759*((K759-AB759)/INDEX('Device Refrigerant Leakage'!$C$2:$C$42,MATCH('Fuel Sub Calcs-Deemed'!X759,'Device Refrigerant Leakage'!$B$2:$B$42,0))))</f>
        <v/>
      </c>
      <c r="DM759" s="56">
        <v>745</v>
      </c>
      <c r="DN759" s="67" t="e">
        <f t="shared" si="874"/>
        <v>#N/A</v>
      </c>
      <c r="DO759" s="45" t="e">
        <f t="shared" si="875"/>
        <v>#N/A</v>
      </c>
      <c r="DP759" s="67" t="e">
        <f t="shared" si="876"/>
        <v>#N/A</v>
      </c>
      <c r="DQ759" s="45" t="e">
        <f t="shared" si="877"/>
        <v>#N/A</v>
      </c>
      <c r="DR759" s="69" t="e">
        <f t="shared" si="878"/>
        <v>#N/A</v>
      </c>
      <c r="DS759" s="34"/>
      <c r="DT759" s="67" t="e">
        <f>((BX759*CJ759)+IF($W759=MAT_AR,(BZ759*CL759),0))*(1+Reference!$E$50+Reference!$E$51)</f>
        <v>#N/A</v>
      </c>
      <c r="DU759" s="67">
        <f>((BY759*CK759)+IF($W759=MAT_AR,(CA759*CM759),0))*(1+Reference!$G$50+Reference!$G$51)</f>
        <v>0</v>
      </c>
      <c r="DV759" s="67" t="e">
        <f t="shared" si="879"/>
        <v>#VALUE!</v>
      </c>
      <c r="DX759" s="56">
        <v>745</v>
      </c>
      <c r="DY759" s="67">
        <f t="shared" si="880"/>
        <v>0</v>
      </c>
      <c r="DZ759" s="45" t="e">
        <f>VLOOKUP($R759,Dropdown!$C$3:$D$4,2,FALSE)</f>
        <v>#N/A</v>
      </c>
      <c r="EA759" s="68">
        <f t="shared" si="881"/>
        <v>0</v>
      </c>
      <c r="EB759" s="68" t="str">
        <f t="shared" si="882"/>
        <v>N/A</v>
      </c>
      <c r="EC759" s="68">
        <f t="shared" si="883"/>
        <v>0</v>
      </c>
      <c r="ED759" s="68" t="str">
        <f t="shared" si="921"/>
        <v>N/A</v>
      </c>
      <c r="EF759" s="56">
        <v>745</v>
      </c>
      <c r="EG759" s="46">
        <f t="shared" si="884"/>
        <v>0</v>
      </c>
      <c r="EH759" s="68" t="e">
        <f t="shared" si="885"/>
        <v>#N/A</v>
      </c>
      <c r="EI759" s="68" t="e">
        <f t="shared" si="886"/>
        <v>#N/A</v>
      </c>
      <c r="EJ759" s="68" t="e">
        <f t="shared" si="887"/>
        <v>#N/A</v>
      </c>
      <c r="EK759" s="68" t="e">
        <f t="shared" si="888"/>
        <v>#N/A</v>
      </c>
      <c r="EL759" s="46">
        <f t="shared" si="889"/>
        <v>0</v>
      </c>
      <c r="EM759" s="46">
        <f t="shared" si="890"/>
        <v>0</v>
      </c>
    </row>
    <row r="760" spans="1:143">
      <c r="A760" s="89"/>
      <c r="B760" s="89"/>
      <c r="C760" s="89"/>
      <c r="D760" s="89"/>
      <c r="E760" s="89"/>
      <c r="F760" s="89"/>
      <c r="G760" s="34"/>
      <c r="H760" s="56">
        <f t="shared" si="891"/>
        <v>746</v>
      </c>
      <c r="I760" s="165"/>
      <c r="J760" s="163"/>
      <c r="K760" s="163"/>
      <c r="L760" s="164"/>
      <c r="M760" s="155"/>
      <c r="N760" s="155"/>
      <c r="O760" s="144"/>
      <c r="P760" s="159" t="str">
        <f>IFERROR(IF(O760&lt;&gt;"User Specified",IF(O760&lt;&gt;"", INDEX('Refrigerant GWPs'!$G$2:$G$154,MATCH(O760,'Refrigerant GWPs'!$A$2:$A$154,0)),""),U760),0)</f>
        <v/>
      </c>
      <c r="Q760" s="155"/>
      <c r="R760" s="155"/>
      <c r="S760" s="144"/>
      <c r="T760" s="159" t="str">
        <f>IF(S760&lt;&gt;"User Specified",IF(AND(S760&lt;&gt;"User Specified",S760&lt;&gt;""), INDEX('Refrigerant GWPs'!$G$2:$G$154,MATCH(S760,'Refrigerant GWPs'!$A$2:$A$154,0)),""),V760)</f>
        <v/>
      </c>
      <c r="U760" s="144"/>
      <c r="V760" s="144"/>
      <c r="W760" s="155"/>
      <c r="X760" s="155"/>
      <c r="Y760" s="144"/>
      <c r="Z760" s="159" t="str">
        <f>IF(AND(Y760&lt;&gt;"User Specified",Y760&lt;&gt;""), INDEX('Refrigerant GWPs'!$G$2:$G$154,MATCH(Y760,'Refrigerant GWPs'!$A$2:$A$154,0)),"")</f>
        <v/>
      </c>
      <c r="AA760" s="155"/>
      <c r="AB760" s="156"/>
      <c r="AC760" s="66"/>
      <c r="AD760" s="66"/>
      <c r="AE760" s="66"/>
      <c r="AF760" s="66"/>
      <c r="AG760" s="66"/>
      <c r="AH760" s="66"/>
      <c r="AI760" s="34"/>
      <c r="AJ760" s="88">
        <f t="shared" si="854"/>
        <v>0</v>
      </c>
      <c r="AK760" s="88">
        <f t="shared" si="855"/>
        <v>0</v>
      </c>
      <c r="AL760" s="88">
        <v>0</v>
      </c>
      <c r="AM760" s="88">
        <v>0</v>
      </c>
      <c r="AN760" s="81" t="str">
        <f t="shared" si="893"/>
        <v/>
      </c>
      <c r="AO760" s="88">
        <f t="shared" si="856"/>
        <v>0</v>
      </c>
      <c r="AP760" s="88">
        <f t="shared" si="857"/>
        <v>0</v>
      </c>
      <c r="AQ760" s="81" t="str">
        <f t="shared" si="858"/>
        <v/>
      </c>
      <c r="AS760" s="41" t="b">
        <f t="shared" si="859"/>
        <v>1</v>
      </c>
      <c r="AT760" s="38">
        <f t="shared" si="860"/>
        <v>0</v>
      </c>
      <c r="AU760" s="60">
        <f t="shared" si="861"/>
        <v>0</v>
      </c>
      <c r="AV760" s="41">
        <f t="shared" si="862"/>
        <v>0</v>
      </c>
      <c r="AW760" s="41" t="b">
        <f t="shared" si="863"/>
        <v>0</v>
      </c>
      <c r="AX760" t="str">
        <f t="shared" si="864"/>
        <v>+00</v>
      </c>
      <c r="AY760" t="str">
        <f t="shared" si="865"/>
        <v>+00</v>
      </c>
      <c r="BA760" s="47" t="b">
        <f t="shared" si="894"/>
        <v>1</v>
      </c>
      <c r="BB760" s="42" t="b">
        <f t="shared" si="895"/>
        <v>1</v>
      </c>
      <c r="BC760" s="42" t="b">
        <f t="shared" si="896"/>
        <v>0</v>
      </c>
      <c r="BD760" s="42" t="b">
        <f t="shared" si="897"/>
        <v>0</v>
      </c>
      <c r="BE760" s="70">
        <f t="shared" si="898"/>
        <v>0</v>
      </c>
      <c r="BF760" s="70">
        <f t="shared" si="899"/>
        <v>0</v>
      </c>
      <c r="BG760" s="34"/>
      <c r="BI760" s="47" t="b">
        <f t="shared" si="900"/>
        <v>1</v>
      </c>
      <c r="BJ760" s="47" t="b">
        <f t="shared" si="901"/>
        <v>1</v>
      </c>
      <c r="BK760" s="42" t="b">
        <f t="shared" si="902"/>
        <v>0</v>
      </c>
      <c r="BL760" s="42" t="b">
        <f t="shared" si="903"/>
        <v>0</v>
      </c>
      <c r="BM760" s="42">
        <f t="shared" si="904"/>
        <v>0</v>
      </c>
      <c r="BN760" s="42">
        <f t="shared" si="905"/>
        <v>0</v>
      </c>
      <c r="BP760" t="e">
        <f t="shared" si="906"/>
        <v>#N/A</v>
      </c>
      <c r="BQ760" t="e">
        <f t="shared" si="907"/>
        <v>#N/A</v>
      </c>
      <c r="BR760" t="e">
        <f t="shared" si="908"/>
        <v>#N/A</v>
      </c>
      <c r="BT760" s="60">
        <f t="shared" si="909"/>
        <v>0</v>
      </c>
      <c r="BU760" s="60">
        <f t="shared" si="910"/>
        <v>0</v>
      </c>
      <c r="BV760" s="60">
        <f t="shared" si="911"/>
        <v>0</v>
      </c>
      <c r="BW760" s="60">
        <f t="shared" si="912"/>
        <v>0</v>
      </c>
      <c r="BX760" s="60">
        <f t="shared" si="913"/>
        <v>0</v>
      </c>
      <c r="BY760" s="60">
        <f t="shared" si="914"/>
        <v>0</v>
      </c>
      <c r="BZ760" s="60">
        <f t="shared" si="915"/>
        <v>0</v>
      </c>
      <c r="CA760" s="60">
        <f t="shared" si="916"/>
        <v>0</v>
      </c>
      <c r="CB760" s="60" t="e">
        <f t="shared" si="866"/>
        <v>#N/A</v>
      </c>
      <c r="CC760" s="60">
        <f t="shared" si="867"/>
        <v>100000</v>
      </c>
      <c r="CD760" s="60" t="e">
        <f t="shared" si="868"/>
        <v>#N/A</v>
      </c>
      <c r="CE760" s="60">
        <f t="shared" si="869"/>
        <v>100000</v>
      </c>
      <c r="CF760" s="83" t="e">
        <f t="shared" si="917"/>
        <v>#N/A</v>
      </c>
      <c r="CG760" s="83">
        <f t="shared" si="918"/>
        <v>0</v>
      </c>
      <c r="CH760" s="83" t="e">
        <f t="shared" si="919"/>
        <v>#N/A</v>
      </c>
      <c r="CI760" s="83">
        <f t="shared" si="920"/>
        <v>0</v>
      </c>
      <c r="CJ760" s="86" t="e">
        <f t="shared" si="870"/>
        <v>#N/A</v>
      </c>
      <c r="CK760" s="82">
        <f t="shared" si="871"/>
        <v>5.3070370403969858E-3</v>
      </c>
      <c r="CL760" s="82" t="e">
        <f t="shared" si="872"/>
        <v>#N/A</v>
      </c>
      <c r="CM760" s="82">
        <f t="shared" si="873"/>
        <v>5.3070370403969858E-3</v>
      </c>
      <c r="CO760" s="149" t="str">
        <f>IF($I760&lt;&gt;"",IF(O760="User Specified",U760,INDEX('Refrigerant GWPs'!$G$2:$G$156,MATCH(O760,'Refrigerant GWPs'!$A$2:$A$156,0))),"")</f>
        <v/>
      </c>
      <c r="CP760" s="138" t="str">
        <f>IF($I760&lt;&gt;"",INDEX('Device Refrigerant Leakage'!$E$2:$E$42,MATCH($M760,'Device Refrigerant Leakage'!$B$2:$B$42,0)),"")</f>
        <v/>
      </c>
      <c r="CQ760" s="138" t="str">
        <f>IF($I760&lt;&gt;"",INDEX('Device Refrigerant Leakage'!$F$2:$F$42,MATCH($M760,'Device Refrigerant Leakage'!$B$2:$B$42,0)),"")</f>
        <v/>
      </c>
      <c r="CR760" s="145" t="str">
        <f>IF($I760&lt;&gt;"",INDEX('Device Refrigerant Leakage'!$G$2:$G$42,MATCH($M760,'Device Refrigerant Leakage'!$B$2:$B$42,0)),"")</f>
        <v/>
      </c>
      <c r="CS760" s="145" t="str">
        <f>IF($I760&lt;&gt;"",INDEX('Device Refrigerant Leakage'!$D$2:$D$42,MATCH($M760,'Device Refrigerant Leakage'!$B$2:$B$42,0))*CP760/2204.62*CO760,"")</f>
        <v/>
      </c>
      <c r="CT760" s="145" t="str">
        <f>IF($I760&lt;&gt;"",J760*(INDEX('Device Refrigerant Leakage'!$D$2:$D$42,MATCH($M760,'Device Refrigerant Leakage'!$B$2:$B$42,0))-(INDEX('Device Refrigerant Leakage'!$D$2:$D$42,MATCH($M760,'Device Refrigerant Leakage'!$B$2:$B$42,0)))*CR760*CP760)*CQ760/2204.62*CO760,"")</f>
        <v/>
      </c>
      <c r="CU760" s="135" t="str">
        <f>IF($I760&lt;&gt;"",J760*IF(W760&lt;&gt;"AR",(CS760*K760)+CT760,(CS760*AB760)+CT760*(AB760/INDEX('Device Refrigerant Leakage'!$C$2:$C$42,MATCH($M760,'Device Refrigerant Leakage'!$B$2:$B$42,0)))),"")</f>
        <v/>
      </c>
      <c r="CW760" s="135" t="str">
        <f>IF($I760&lt;&gt;"",IF(S760="User Specified",V760,INDEX('Refrigerant GWPs'!$G$2:$G$156,MATCH(S760,'Refrigerant GWPs'!$A$2:$A$157,0))),"")</f>
        <v/>
      </c>
      <c r="CX760" s="138" t="str">
        <f>IF($I760&lt;&gt;"",INDEX('Device Refrigerant Leakage'!$E$2:$E$42,MATCH($Q760,'Device Refrigerant Leakage'!$B$2:$B$42,0)),"")</f>
        <v/>
      </c>
      <c r="CY760" s="138" t="str">
        <f>IF($I760&lt;&gt;"",INDEX('Device Refrigerant Leakage'!$F$2:$F$42,MATCH($Q760,'Device Refrigerant Leakage'!$B$2:$B$42,0)),"")</f>
        <v/>
      </c>
      <c r="CZ760" s="145" t="str">
        <f>IF($I760&lt;&gt;"",INDEX('Device Refrigerant Leakage'!$G$2:$G$42,MATCH($Q760,'Device Refrigerant Leakage'!$B$2:$B$42,0)),"")</f>
        <v/>
      </c>
      <c r="DA760" s="145" t="str">
        <f>IF($I760&lt;&gt;"",J760*INDEX('Device Refrigerant Leakage'!$D$2:$D$42,MATCH($Q760,'Device Refrigerant Leakage'!$B$2:$B$42,0))*CX760/2204.62*CW760,"")</f>
        <v/>
      </c>
      <c r="DB760" s="145" t="str">
        <f>IF($I760&lt;&gt;"",J760*(INDEX('Device Refrigerant Leakage'!$D$2:$D$42,MATCH($Q760,'Device Refrigerant Leakage'!$B$2:$B$42,0))-(INDEX('Device Refrigerant Leakage'!$D$2:$D$42,MATCH($Q760,'Device Refrigerant Leakage'!$B$2:$B$42,0)))*CZ760*CX760)*CY760/2204.62*CW760,"")</f>
        <v/>
      </c>
      <c r="DC760" s="135" t="str">
        <f t="shared" si="892"/>
        <v/>
      </c>
      <c r="DE760" s="146" t="str">
        <f>IF(W760&lt;&gt;"AR","",IF(Y760="User Specified", AA760, INDEX('Refrigerant GWPs'!$G$2:$G$154,MATCH(Y760,'Refrigerant GWPs'!$A$2:$A$154,0))))</f>
        <v/>
      </c>
      <c r="DF760" s="146" t="str">
        <f>IF(W760&lt;&gt;"AR","",INDEX('Device Refrigerant Leakage'!$E$2:$E$42,MATCH(X760,'Device Refrigerant Leakage'!$B$2:$B$42,0)))</f>
        <v/>
      </c>
      <c r="DG760" s="146" t="str">
        <f>IF(W760&lt;&gt;"AR","",INDEX('Device Refrigerant Leakage'!$F$2:$F$42,MATCH(X760,'Device Refrigerant Leakage'!$B$2:$B$42,0)))</f>
        <v/>
      </c>
      <c r="DH760" s="146" t="str">
        <f>IF(W760&lt;&gt;"AR","",INDEX('Device Refrigerant Leakage'!$G$2:$G$42,MATCH(X760,'Device Refrigerant Leakage'!$B$2:$B$42,0)))</f>
        <v/>
      </c>
      <c r="DI760" s="146" t="str">
        <f>IF(W760&lt;&gt;"AR","",J760*INDEX('Device Refrigerant Leakage'!$D$2:$D$42,MATCH(X760,'Device Refrigerant Leakage'!$B$2:$B$42,0))*DF760/2204.62*DE760)</f>
        <v/>
      </c>
      <c r="DJ760" s="146" t="str">
        <f>IF(W760&lt;&gt;"AR","",J760*(INDEX('Device Refrigerant Leakage'!$D$2:$D$42,MATCH(X760,'Device Refrigerant Leakage'!$B$2:$B$42,0))-(INDEX('Device Refrigerant Leakage'!$D$2:$D$42,MATCH(X760,'Device Refrigerant Leakage'!$B$2:$B$42,0)))*DH760*DF760)*DG760/2204.62*DE760)</f>
        <v/>
      </c>
      <c r="DK760" s="146" t="str">
        <f>IF(W760&lt;&gt;"AR","",DI760*(K760-AB760)+'Fuel Sub Calcs-Deemed'!DJ760*((K760-AB760)/INDEX('Device Refrigerant Leakage'!$C$2:$C$42,MATCH('Fuel Sub Calcs-Deemed'!X760,'Device Refrigerant Leakage'!$B$2:$B$42,0))))</f>
        <v/>
      </c>
      <c r="DM760" s="56">
        <v>746</v>
      </c>
      <c r="DN760" s="67" t="e">
        <f t="shared" si="874"/>
        <v>#N/A</v>
      </c>
      <c r="DO760" s="45" t="e">
        <f t="shared" si="875"/>
        <v>#N/A</v>
      </c>
      <c r="DP760" s="67" t="e">
        <f t="shared" si="876"/>
        <v>#N/A</v>
      </c>
      <c r="DQ760" s="45" t="e">
        <f t="shared" si="877"/>
        <v>#N/A</v>
      </c>
      <c r="DR760" s="69" t="e">
        <f t="shared" si="878"/>
        <v>#N/A</v>
      </c>
      <c r="DS760" s="34"/>
      <c r="DT760" s="67" t="e">
        <f>((BX760*CJ760)+IF($W760=MAT_AR,(BZ760*CL760),0))*(1+Reference!$E$50+Reference!$E$51)</f>
        <v>#N/A</v>
      </c>
      <c r="DU760" s="67">
        <f>((BY760*CK760)+IF($W760=MAT_AR,(CA760*CM760),0))*(1+Reference!$G$50+Reference!$G$51)</f>
        <v>0</v>
      </c>
      <c r="DV760" s="67" t="e">
        <f t="shared" si="879"/>
        <v>#VALUE!</v>
      </c>
      <c r="DX760" s="56">
        <v>746</v>
      </c>
      <c r="DY760" s="67">
        <f t="shared" si="880"/>
        <v>0</v>
      </c>
      <c r="DZ760" s="45" t="e">
        <f>VLOOKUP($R760,Dropdown!$C$3:$D$4,2,FALSE)</f>
        <v>#N/A</v>
      </c>
      <c r="EA760" s="68">
        <f t="shared" si="881"/>
        <v>0</v>
      </c>
      <c r="EB760" s="68" t="str">
        <f t="shared" si="882"/>
        <v>N/A</v>
      </c>
      <c r="EC760" s="68">
        <f t="shared" si="883"/>
        <v>0</v>
      </c>
      <c r="ED760" s="68" t="str">
        <f t="shared" si="921"/>
        <v>N/A</v>
      </c>
      <c r="EF760" s="56">
        <v>746</v>
      </c>
      <c r="EG760" s="46">
        <f t="shared" si="884"/>
        <v>0</v>
      </c>
      <c r="EH760" s="68" t="e">
        <f t="shared" si="885"/>
        <v>#N/A</v>
      </c>
      <c r="EI760" s="68" t="e">
        <f t="shared" si="886"/>
        <v>#N/A</v>
      </c>
      <c r="EJ760" s="68" t="e">
        <f t="shared" si="887"/>
        <v>#N/A</v>
      </c>
      <c r="EK760" s="68" t="e">
        <f t="shared" si="888"/>
        <v>#N/A</v>
      </c>
      <c r="EL760" s="46">
        <f t="shared" si="889"/>
        <v>0</v>
      </c>
      <c r="EM760" s="46">
        <f t="shared" si="890"/>
        <v>0</v>
      </c>
    </row>
    <row r="761" spans="1:143">
      <c r="A761" s="89"/>
      <c r="B761" s="89"/>
      <c r="C761" s="89"/>
      <c r="D761" s="89"/>
      <c r="E761" s="89"/>
      <c r="F761" s="89"/>
      <c r="G761" s="34"/>
      <c r="H761" s="56">
        <f t="shared" si="891"/>
        <v>747</v>
      </c>
      <c r="I761" s="165"/>
      <c r="J761" s="163"/>
      <c r="K761" s="163"/>
      <c r="L761" s="164"/>
      <c r="M761" s="155"/>
      <c r="N761" s="155"/>
      <c r="O761" s="144"/>
      <c r="P761" s="159" t="str">
        <f>IFERROR(IF(O761&lt;&gt;"User Specified",IF(O761&lt;&gt;"", INDEX('Refrigerant GWPs'!$G$2:$G$154,MATCH(O761,'Refrigerant GWPs'!$A$2:$A$154,0)),""),U761),0)</f>
        <v/>
      </c>
      <c r="Q761" s="155"/>
      <c r="R761" s="155"/>
      <c r="S761" s="144"/>
      <c r="T761" s="159" t="str">
        <f>IF(S761&lt;&gt;"User Specified",IF(AND(S761&lt;&gt;"User Specified",S761&lt;&gt;""), INDEX('Refrigerant GWPs'!$G$2:$G$154,MATCH(S761,'Refrigerant GWPs'!$A$2:$A$154,0)),""),V761)</f>
        <v/>
      </c>
      <c r="U761" s="144"/>
      <c r="V761" s="144"/>
      <c r="W761" s="155"/>
      <c r="X761" s="155"/>
      <c r="Y761" s="144"/>
      <c r="Z761" s="159" t="str">
        <f>IF(AND(Y761&lt;&gt;"User Specified",Y761&lt;&gt;""), INDEX('Refrigerant GWPs'!$G$2:$G$154,MATCH(Y761,'Refrigerant GWPs'!$A$2:$A$154,0)),"")</f>
        <v/>
      </c>
      <c r="AA761" s="155"/>
      <c r="AB761" s="156"/>
      <c r="AC761" s="66"/>
      <c r="AD761" s="66"/>
      <c r="AE761" s="66"/>
      <c r="AF761" s="66"/>
      <c r="AG761" s="66"/>
      <c r="AH761" s="66"/>
      <c r="AI761" s="34"/>
      <c r="AJ761" s="88">
        <f t="shared" si="854"/>
        <v>0</v>
      </c>
      <c r="AK761" s="88">
        <f t="shared" si="855"/>
        <v>0</v>
      </c>
      <c r="AL761" s="88">
        <v>0</v>
      </c>
      <c r="AM761" s="88">
        <v>0</v>
      </c>
      <c r="AN761" s="81" t="str">
        <f t="shared" si="893"/>
        <v/>
      </c>
      <c r="AO761" s="88">
        <f t="shared" si="856"/>
        <v>0</v>
      </c>
      <c r="AP761" s="88">
        <f t="shared" si="857"/>
        <v>0</v>
      </c>
      <c r="AQ761" s="81" t="str">
        <f t="shared" si="858"/>
        <v/>
      </c>
      <c r="AS761" s="41" t="b">
        <f t="shared" si="859"/>
        <v>1</v>
      </c>
      <c r="AT761" s="38">
        <f t="shared" si="860"/>
        <v>0</v>
      </c>
      <c r="AU761" s="60">
        <f t="shared" si="861"/>
        <v>0</v>
      </c>
      <c r="AV761" s="41">
        <f t="shared" si="862"/>
        <v>0</v>
      </c>
      <c r="AW761" s="41" t="b">
        <f t="shared" si="863"/>
        <v>0</v>
      </c>
      <c r="AX761" t="str">
        <f t="shared" si="864"/>
        <v>+00</v>
      </c>
      <c r="AY761" t="str">
        <f t="shared" si="865"/>
        <v>+00</v>
      </c>
      <c r="BA761" s="47" t="b">
        <f t="shared" si="894"/>
        <v>1</v>
      </c>
      <c r="BB761" s="42" t="b">
        <f t="shared" si="895"/>
        <v>1</v>
      </c>
      <c r="BC761" s="42" t="b">
        <f t="shared" si="896"/>
        <v>0</v>
      </c>
      <c r="BD761" s="42" t="b">
        <f t="shared" si="897"/>
        <v>0</v>
      </c>
      <c r="BE761" s="70">
        <f t="shared" si="898"/>
        <v>0</v>
      </c>
      <c r="BF761" s="70">
        <f t="shared" si="899"/>
        <v>0</v>
      </c>
      <c r="BG761" s="34"/>
      <c r="BI761" s="47" t="b">
        <f t="shared" si="900"/>
        <v>1</v>
      </c>
      <c r="BJ761" s="47" t="b">
        <f t="shared" si="901"/>
        <v>1</v>
      </c>
      <c r="BK761" s="42" t="b">
        <f t="shared" si="902"/>
        <v>0</v>
      </c>
      <c r="BL761" s="42" t="b">
        <f t="shared" si="903"/>
        <v>0</v>
      </c>
      <c r="BM761" s="42">
        <f t="shared" si="904"/>
        <v>0</v>
      </c>
      <c r="BN761" s="42">
        <f t="shared" si="905"/>
        <v>0</v>
      </c>
      <c r="BP761" t="e">
        <f t="shared" si="906"/>
        <v>#N/A</v>
      </c>
      <c r="BQ761" t="e">
        <f t="shared" si="907"/>
        <v>#N/A</v>
      </c>
      <c r="BR761" t="e">
        <f t="shared" si="908"/>
        <v>#N/A</v>
      </c>
      <c r="BT761" s="60">
        <f t="shared" si="909"/>
        <v>0</v>
      </c>
      <c r="BU761" s="60">
        <f t="shared" si="910"/>
        <v>0</v>
      </c>
      <c r="BV761" s="60">
        <f t="shared" si="911"/>
        <v>0</v>
      </c>
      <c r="BW761" s="60">
        <f t="shared" si="912"/>
        <v>0</v>
      </c>
      <c r="BX761" s="60">
        <f t="shared" si="913"/>
        <v>0</v>
      </c>
      <c r="BY761" s="60">
        <f t="shared" si="914"/>
        <v>0</v>
      </c>
      <c r="BZ761" s="60">
        <f t="shared" si="915"/>
        <v>0</v>
      </c>
      <c r="CA761" s="60">
        <f t="shared" si="916"/>
        <v>0</v>
      </c>
      <c r="CB761" s="60" t="e">
        <f t="shared" si="866"/>
        <v>#N/A</v>
      </c>
      <c r="CC761" s="60">
        <f t="shared" si="867"/>
        <v>100000</v>
      </c>
      <c r="CD761" s="60" t="e">
        <f t="shared" si="868"/>
        <v>#N/A</v>
      </c>
      <c r="CE761" s="60">
        <f t="shared" si="869"/>
        <v>100000</v>
      </c>
      <c r="CF761" s="83" t="e">
        <f t="shared" si="917"/>
        <v>#N/A</v>
      </c>
      <c r="CG761" s="83">
        <f t="shared" si="918"/>
        <v>0</v>
      </c>
      <c r="CH761" s="83" t="e">
        <f t="shared" si="919"/>
        <v>#N/A</v>
      </c>
      <c r="CI761" s="83">
        <f t="shared" si="920"/>
        <v>0</v>
      </c>
      <c r="CJ761" s="86" t="e">
        <f t="shared" si="870"/>
        <v>#N/A</v>
      </c>
      <c r="CK761" s="82">
        <f t="shared" si="871"/>
        <v>5.3070370403969858E-3</v>
      </c>
      <c r="CL761" s="82" t="e">
        <f t="shared" si="872"/>
        <v>#N/A</v>
      </c>
      <c r="CM761" s="82">
        <f t="shared" si="873"/>
        <v>5.3070370403969858E-3</v>
      </c>
      <c r="CO761" s="149" t="str">
        <f>IF($I761&lt;&gt;"",IF(O761="User Specified",U761,INDEX('Refrigerant GWPs'!$G$2:$G$156,MATCH(O761,'Refrigerant GWPs'!$A$2:$A$156,0))),"")</f>
        <v/>
      </c>
      <c r="CP761" s="138" t="str">
        <f>IF($I761&lt;&gt;"",INDEX('Device Refrigerant Leakage'!$E$2:$E$42,MATCH($M761,'Device Refrigerant Leakage'!$B$2:$B$42,0)),"")</f>
        <v/>
      </c>
      <c r="CQ761" s="138" t="str">
        <f>IF($I761&lt;&gt;"",INDEX('Device Refrigerant Leakage'!$F$2:$F$42,MATCH($M761,'Device Refrigerant Leakage'!$B$2:$B$42,0)),"")</f>
        <v/>
      </c>
      <c r="CR761" s="145" t="str">
        <f>IF($I761&lt;&gt;"",INDEX('Device Refrigerant Leakage'!$G$2:$G$42,MATCH($M761,'Device Refrigerant Leakage'!$B$2:$B$42,0)),"")</f>
        <v/>
      </c>
      <c r="CS761" s="145" t="str">
        <f>IF($I761&lt;&gt;"",INDEX('Device Refrigerant Leakage'!$D$2:$D$42,MATCH($M761,'Device Refrigerant Leakage'!$B$2:$B$42,0))*CP761/2204.62*CO761,"")</f>
        <v/>
      </c>
      <c r="CT761" s="145" t="str">
        <f>IF($I761&lt;&gt;"",J761*(INDEX('Device Refrigerant Leakage'!$D$2:$D$42,MATCH($M761,'Device Refrigerant Leakage'!$B$2:$B$42,0))-(INDEX('Device Refrigerant Leakage'!$D$2:$D$42,MATCH($M761,'Device Refrigerant Leakage'!$B$2:$B$42,0)))*CR761*CP761)*CQ761/2204.62*CO761,"")</f>
        <v/>
      </c>
      <c r="CU761" s="135" t="str">
        <f>IF($I761&lt;&gt;"",J761*IF(W761&lt;&gt;"AR",(CS761*K761)+CT761,(CS761*AB761)+CT761*(AB761/INDEX('Device Refrigerant Leakage'!$C$2:$C$42,MATCH($M761,'Device Refrigerant Leakage'!$B$2:$B$42,0)))),"")</f>
        <v/>
      </c>
      <c r="CW761" s="135" t="str">
        <f>IF($I761&lt;&gt;"",IF(S761="User Specified",V761,INDEX('Refrigerant GWPs'!$G$2:$G$156,MATCH(S761,'Refrigerant GWPs'!$A$2:$A$157,0))),"")</f>
        <v/>
      </c>
      <c r="CX761" s="138" t="str">
        <f>IF($I761&lt;&gt;"",INDEX('Device Refrigerant Leakage'!$E$2:$E$42,MATCH($Q761,'Device Refrigerant Leakage'!$B$2:$B$42,0)),"")</f>
        <v/>
      </c>
      <c r="CY761" s="138" t="str">
        <f>IF($I761&lt;&gt;"",INDEX('Device Refrigerant Leakage'!$F$2:$F$42,MATCH($Q761,'Device Refrigerant Leakage'!$B$2:$B$42,0)),"")</f>
        <v/>
      </c>
      <c r="CZ761" s="145" t="str">
        <f>IF($I761&lt;&gt;"",INDEX('Device Refrigerant Leakage'!$G$2:$G$42,MATCH($Q761,'Device Refrigerant Leakage'!$B$2:$B$42,0)),"")</f>
        <v/>
      </c>
      <c r="DA761" s="145" t="str">
        <f>IF($I761&lt;&gt;"",J761*INDEX('Device Refrigerant Leakage'!$D$2:$D$42,MATCH($Q761,'Device Refrigerant Leakage'!$B$2:$B$42,0))*CX761/2204.62*CW761,"")</f>
        <v/>
      </c>
      <c r="DB761" s="145" t="str">
        <f>IF($I761&lt;&gt;"",J761*(INDEX('Device Refrigerant Leakage'!$D$2:$D$42,MATCH($Q761,'Device Refrigerant Leakage'!$B$2:$B$42,0))-(INDEX('Device Refrigerant Leakage'!$D$2:$D$42,MATCH($Q761,'Device Refrigerant Leakage'!$B$2:$B$42,0)))*CZ761*CX761)*CY761/2204.62*CW761,"")</f>
        <v/>
      </c>
      <c r="DC761" s="135" t="str">
        <f t="shared" si="892"/>
        <v/>
      </c>
      <c r="DE761" s="146" t="str">
        <f>IF(W761&lt;&gt;"AR","",IF(Y761="User Specified", AA761, INDEX('Refrigerant GWPs'!$G$2:$G$154,MATCH(Y761,'Refrigerant GWPs'!$A$2:$A$154,0))))</f>
        <v/>
      </c>
      <c r="DF761" s="146" t="str">
        <f>IF(W761&lt;&gt;"AR","",INDEX('Device Refrigerant Leakage'!$E$2:$E$42,MATCH(X761,'Device Refrigerant Leakage'!$B$2:$B$42,0)))</f>
        <v/>
      </c>
      <c r="DG761" s="146" t="str">
        <f>IF(W761&lt;&gt;"AR","",INDEX('Device Refrigerant Leakage'!$F$2:$F$42,MATCH(X761,'Device Refrigerant Leakage'!$B$2:$B$42,0)))</f>
        <v/>
      </c>
      <c r="DH761" s="146" t="str">
        <f>IF(W761&lt;&gt;"AR","",INDEX('Device Refrigerant Leakage'!$G$2:$G$42,MATCH(X761,'Device Refrigerant Leakage'!$B$2:$B$42,0)))</f>
        <v/>
      </c>
      <c r="DI761" s="146" t="str">
        <f>IF(W761&lt;&gt;"AR","",J761*INDEX('Device Refrigerant Leakage'!$D$2:$D$42,MATCH(X761,'Device Refrigerant Leakage'!$B$2:$B$42,0))*DF761/2204.62*DE761)</f>
        <v/>
      </c>
      <c r="DJ761" s="146" t="str">
        <f>IF(W761&lt;&gt;"AR","",J761*(INDEX('Device Refrigerant Leakage'!$D$2:$D$42,MATCH(X761,'Device Refrigerant Leakage'!$B$2:$B$42,0))-(INDEX('Device Refrigerant Leakage'!$D$2:$D$42,MATCH(X761,'Device Refrigerant Leakage'!$B$2:$B$42,0)))*DH761*DF761)*DG761/2204.62*DE761)</f>
        <v/>
      </c>
      <c r="DK761" s="146" t="str">
        <f>IF(W761&lt;&gt;"AR","",DI761*(K761-AB761)+'Fuel Sub Calcs-Deemed'!DJ761*((K761-AB761)/INDEX('Device Refrigerant Leakage'!$C$2:$C$42,MATCH('Fuel Sub Calcs-Deemed'!X761,'Device Refrigerant Leakage'!$B$2:$B$42,0))))</f>
        <v/>
      </c>
      <c r="DM761" s="56">
        <v>747</v>
      </c>
      <c r="DN761" s="67" t="e">
        <f t="shared" si="874"/>
        <v>#N/A</v>
      </c>
      <c r="DO761" s="45" t="e">
        <f t="shared" si="875"/>
        <v>#N/A</v>
      </c>
      <c r="DP761" s="67" t="e">
        <f t="shared" si="876"/>
        <v>#N/A</v>
      </c>
      <c r="DQ761" s="45" t="e">
        <f t="shared" si="877"/>
        <v>#N/A</v>
      </c>
      <c r="DR761" s="69" t="e">
        <f t="shared" si="878"/>
        <v>#N/A</v>
      </c>
      <c r="DS761" s="34"/>
      <c r="DT761" s="67" t="e">
        <f>((BX761*CJ761)+IF($W761=MAT_AR,(BZ761*CL761),0))*(1+Reference!$E$50+Reference!$E$51)</f>
        <v>#N/A</v>
      </c>
      <c r="DU761" s="67">
        <f>((BY761*CK761)+IF($W761=MAT_AR,(CA761*CM761),0))*(1+Reference!$G$50+Reference!$G$51)</f>
        <v>0</v>
      </c>
      <c r="DV761" s="67" t="e">
        <f t="shared" si="879"/>
        <v>#VALUE!</v>
      </c>
      <c r="DX761" s="56">
        <v>747</v>
      </c>
      <c r="DY761" s="67">
        <f t="shared" si="880"/>
        <v>0</v>
      </c>
      <c r="DZ761" s="45" t="e">
        <f>VLOOKUP($R761,Dropdown!$C$3:$D$4,2,FALSE)</f>
        <v>#N/A</v>
      </c>
      <c r="EA761" s="68">
        <f t="shared" si="881"/>
        <v>0</v>
      </c>
      <c r="EB761" s="68" t="str">
        <f t="shared" si="882"/>
        <v>N/A</v>
      </c>
      <c r="EC761" s="68">
        <f t="shared" si="883"/>
        <v>0</v>
      </c>
      <c r="ED761" s="68" t="str">
        <f t="shared" si="921"/>
        <v>N/A</v>
      </c>
      <c r="EF761" s="56">
        <v>747</v>
      </c>
      <c r="EG761" s="46">
        <f t="shared" si="884"/>
        <v>0</v>
      </c>
      <c r="EH761" s="68" t="e">
        <f t="shared" si="885"/>
        <v>#N/A</v>
      </c>
      <c r="EI761" s="68" t="e">
        <f t="shared" si="886"/>
        <v>#N/A</v>
      </c>
      <c r="EJ761" s="68" t="e">
        <f t="shared" si="887"/>
        <v>#N/A</v>
      </c>
      <c r="EK761" s="68" t="e">
        <f t="shared" si="888"/>
        <v>#N/A</v>
      </c>
      <c r="EL761" s="46">
        <f t="shared" si="889"/>
        <v>0</v>
      </c>
      <c r="EM761" s="46">
        <f t="shared" si="890"/>
        <v>0</v>
      </c>
    </row>
    <row r="762" spans="1:143">
      <c r="A762" s="89"/>
      <c r="B762" s="89"/>
      <c r="C762" s="89"/>
      <c r="D762" s="89"/>
      <c r="E762" s="89"/>
      <c r="F762" s="89"/>
      <c r="G762" s="34"/>
      <c r="H762" s="56">
        <f t="shared" si="891"/>
        <v>748</v>
      </c>
      <c r="I762" s="165"/>
      <c r="J762" s="163"/>
      <c r="K762" s="163"/>
      <c r="L762" s="164"/>
      <c r="M762" s="155"/>
      <c r="N762" s="155"/>
      <c r="O762" s="144"/>
      <c r="P762" s="159" t="str">
        <f>IFERROR(IF(O762&lt;&gt;"User Specified",IF(O762&lt;&gt;"", INDEX('Refrigerant GWPs'!$G$2:$G$154,MATCH(O762,'Refrigerant GWPs'!$A$2:$A$154,0)),""),U762),0)</f>
        <v/>
      </c>
      <c r="Q762" s="155"/>
      <c r="R762" s="155"/>
      <c r="S762" s="144"/>
      <c r="T762" s="159" t="str">
        <f>IF(S762&lt;&gt;"User Specified",IF(AND(S762&lt;&gt;"User Specified",S762&lt;&gt;""), INDEX('Refrigerant GWPs'!$G$2:$G$154,MATCH(S762,'Refrigerant GWPs'!$A$2:$A$154,0)),""),V762)</f>
        <v/>
      </c>
      <c r="U762" s="144"/>
      <c r="V762" s="144"/>
      <c r="W762" s="155"/>
      <c r="X762" s="155"/>
      <c r="Y762" s="144"/>
      <c r="Z762" s="159" t="str">
        <f>IF(AND(Y762&lt;&gt;"User Specified",Y762&lt;&gt;""), INDEX('Refrigerant GWPs'!$G$2:$G$154,MATCH(Y762,'Refrigerant GWPs'!$A$2:$A$154,0)),"")</f>
        <v/>
      </c>
      <c r="AA762" s="155"/>
      <c r="AB762" s="156"/>
      <c r="AC762" s="66"/>
      <c r="AD762" s="66"/>
      <c r="AE762" s="66"/>
      <c r="AF762" s="66"/>
      <c r="AG762" s="66"/>
      <c r="AH762" s="66"/>
      <c r="AI762" s="34"/>
      <c r="AJ762" s="88">
        <f t="shared" si="854"/>
        <v>0</v>
      </c>
      <c r="AK762" s="88">
        <f t="shared" si="855"/>
        <v>0</v>
      </c>
      <c r="AL762" s="88">
        <v>0</v>
      </c>
      <c r="AM762" s="88">
        <v>0</v>
      </c>
      <c r="AN762" s="81" t="str">
        <f t="shared" si="893"/>
        <v/>
      </c>
      <c r="AO762" s="88">
        <f t="shared" si="856"/>
        <v>0</v>
      </c>
      <c r="AP762" s="88">
        <f t="shared" si="857"/>
        <v>0</v>
      </c>
      <c r="AQ762" s="81" t="str">
        <f t="shared" si="858"/>
        <v/>
      </c>
      <c r="AS762" s="41" t="b">
        <f t="shared" si="859"/>
        <v>1</v>
      </c>
      <c r="AT762" s="38">
        <f t="shared" si="860"/>
        <v>0</v>
      </c>
      <c r="AU762" s="60">
        <f t="shared" si="861"/>
        <v>0</v>
      </c>
      <c r="AV762" s="41">
        <f t="shared" si="862"/>
        <v>0</v>
      </c>
      <c r="AW762" s="41" t="b">
        <f t="shared" si="863"/>
        <v>0</v>
      </c>
      <c r="AX762" t="str">
        <f t="shared" si="864"/>
        <v>+00</v>
      </c>
      <c r="AY762" t="str">
        <f t="shared" si="865"/>
        <v>+00</v>
      </c>
      <c r="BA762" s="47" t="b">
        <f t="shared" si="894"/>
        <v>1</v>
      </c>
      <c r="BB762" s="42" t="b">
        <f t="shared" si="895"/>
        <v>1</v>
      </c>
      <c r="BC762" s="42" t="b">
        <f t="shared" si="896"/>
        <v>0</v>
      </c>
      <c r="BD762" s="42" t="b">
        <f t="shared" si="897"/>
        <v>0</v>
      </c>
      <c r="BE762" s="70">
        <f t="shared" si="898"/>
        <v>0</v>
      </c>
      <c r="BF762" s="70">
        <f t="shared" si="899"/>
        <v>0</v>
      </c>
      <c r="BG762" s="34"/>
      <c r="BI762" s="47" t="b">
        <f t="shared" si="900"/>
        <v>1</v>
      </c>
      <c r="BJ762" s="47" t="b">
        <f t="shared" si="901"/>
        <v>1</v>
      </c>
      <c r="BK762" s="42" t="b">
        <f t="shared" si="902"/>
        <v>0</v>
      </c>
      <c r="BL762" s="42" t="b">
        <f t="shared" si="903"/>
        <v>0</v>
      </c>
      <c r="BM762" s="42">
        <f t="shared" si="904"/>
        <v>0</v>
      </c>
      <c r="BN762" s="42">
        <f t="shared" si="905"/>
        <v>0</v>
      </c>
      <c r="BP762" t="e">
        <f t="shared" si="906"/>
        <v>#N/A</v>
      </c>
      <c r="BQ762" t="e">
        <f t="shared" si="907"/>
        <v>#N/A</v>
      </c>
      <c r="BR762" t="e">
        <f t="shared" si="908"/>
        <v>#N/A</v>
      </c>
      <c r="BT762" s="60">
        <f t="shared" si="909"/>
        <v>0</v>
      </c>
      <c r="BU762" s="60">
        <f t="shared" si="910"/>
        <v>0</v>
      </c>
      <c r="BV762" s="60">
        <f t="shared" si="911"/>
        <v>0</v>
      </c>
      <c r="BW762" s="60">
        <f t="shared" si="912"/>
        <v>0</v>
      </c>
      <c r="BX762" s="60">
        <f t="shared" si="913"/>
        <v>0</v>
      </c>
      <c r="BY762" s="60">
        <f t="shared" si="914"/>
        <v>0</v>
      </c>
      <c r="BZ762" s="60">
        <f t="shared" si="915"/>
        <v>0</v>
      </c>
      <c r="CA762" s="60">
        <f t="shared" si="916"/>
        <v>0</v>
      </c>
      <c r="CB762" s="60" t="e">
        <f t="shared" si="866"/>
        <v>#N/A</v>
      </c>
      <c r="CC762" s="60">
        <f t="shared" si="867"/>
        <v>100000</v>
      </c>
      <c r="CD762" s="60" t="e">
        <f t="shared" si="868"/>
        <v>#N/A</v>
      </c>
      <c r="CE762" s="60">
        <f t="shared" si="869"/>
        <v>100000</v>
      </c>
      <c r="CF762" s="83" t="e">
        <f t="shared" si="917"/>
        <v>#N/A</v>
      </c>
      <c r="CG762" s="83">
        <f t="shared" si="918"/>
        <v>0</v>
      </c>
      <c r="CH762" s="83" t="e">
        <f t="shared" si="919"/>
        <v>#N/A</v>
      </c>
      <c r="CI762" s="83">
        <f t="shared" si="920"/>
        <v>0</v>
      </c>
      <c r="CJ762" s="86" t="e">
        <f t="shared" si="870"/>
        <v>#N/A</v>
      </c>
      <c r="CK762" s="82">
        <f t="shared" si="871"/>
        <v>5.3070370403969858E-3</v>
      </c>
      <c r="CL762" s="82" t="e">
        <f t="shared" si="872"/>
        <v>#N/A</v>
      </c>
      <c r="CM762" s="82">
        <f t="shared" si="873"/>
        <v>5.3070370403969858E-3</v>
      </c>
      <c r="CO762" s="149" t="str">
        <f>IF($I762&lt;&gt;"",IF(O762="User Specified",U762,INDEX('Refrigerant GWPs'!$G$2:$G$156,MATCH(O762,'Refrigerant GWPs'!$A$2:$A$156,0))),"")</f>
        <v/>
      </c>
      <c r="CP762" s="138" t="str">
        <f>IF($I762&lt;&gt;"",INDEX('Device Refrigerant Leakage'!$E$2:$E$42,MATCH($M762,'Device Refrigerant Leakage'!$B$2:$B$42,0)),"")</f>
        <v/>
      </c>
      <c r="CQ762" s="138" t="str">
        <f>IF($I762&lt;&gt;"",INDEX('Device Refrigerant Leakage'!$F$2:$F$42,MATCH($M762,'Device Refrigerant Leakage'!$B$2:$B$42,0)),"")</f>
        <v/>
      </c>
      <c r="CR762" s="145" t="str">
        <f>IF($I762&lt;&gt;"",INDEX('Device Refrigerant Leakage'!$G$2:$G$42,MATCH($M762,'Device Refrigerant Leakage'!$B$2:$B$42,0)),"")</f>
        <v/>
      </c>
      <c r="CS762" s="145" t="str">
        <f>IF($I762&lt;&gt;"",INDEX('Device Refrigerant Leakage'!$D$2:$D$42,MATCH($M762,'Device Refrigerant Leakage'!$B$2:$B$42,0))*CP762/2204.62*CO762,"")</f>
        <v/>
      </c>
      <c r="CT762" s="145" t="str">
        <f>IF($I762&lt;&gt;"",J762*(INDEX('Device Refrigerant Leakage'!$D$2:$D$42,MATCH($M762,'Device Refrigerant Leakage'!$B$2:$B$42,0))-(INDEX('Device Refrigerant Leakage'!$D$2:$D$42,MATCH($M762,'Device Refrigerant Leakage'!$B$2:$B$42,0)))*CR762*CP762)*CQ762/2204.62*CO762,"")</f>
        <v/>
      </c>
      <c r="CU762" s="135" t="str">
        <f>IF($I762&lt;&gt;"",J762*IF(W762&lt;&gt;"AR",(CS762*K762)+CT762,(CS762*AB762)+CT762*(AB762/INDEX('Device Refrigerant Leakage'!$C$2:$C$42,MATCH($M762,'Device Refrigerant Leakage'!$B$2:$B$42,0)))),"")</f>
        <v/>
      </c>
      <c r="CW762" s="135" t="str">
        <f>IF($I762&lt;&gt;"",IF(S762="User Specified",V762,INDEX('Refrigerant GWPs'!$G$2:$G$156,MATCH(S762,'Refrigerant GWPs'!$A$2:$A$157,0))),"")</f>
        <v/>
      </c>
      <c r="CX762" s="138" t="str">
        <f>IF($I762&lt;&gt;"",INDEX('Device Refrigerant Leakage'!$E$2:$E$42,MATCH($Q762,'Device Refrigerant Leakage'!$B$2:$B$42,0)),"")</f>
        <v/>
      </c>
      <c r="CY762" s="138" t="str">
        <f>IF($I762&lt;&gt;"",INDEX('Device Refrigerant Leakage'!$F$2:$F$42,MATCH($Q762,'Device Refrigerant Leakage'!$B$2:$B$42,0)),"")</f>
        <v/>
      </c>
      <c r="CZ762" s="145" t="str">
        <f>IF($I762&lt;&gt;"",INDEX('Device Refrigerant Leakage'!$G$2:$G$42,MATCH($Q762,'Device Refrigerant Leakage'!$B$2:$B$42,0)),"")</f>
        <v/>
      </c>
      <c r="DA762" s="145" t="str">
        <f>IF($I762&lt;&gt;"",J762*INDEX('Device Refrigerant Leakage'!$D$2:$D$42,MATCH($Q762,'Device Refrigerant Leakage'!$B$2:$B$42,0))*CX762/2204.62*CW762,"")</f>
        <v/>
      </c>
      <c r="DB762" s="145" t="str">
        <f>IF($I762&lt;&gt;"",J762*(INDEX('Device Refrigerant Leakage'!$D$2:$D$42,MATCH($Q762,'Device Refrigerant Leakage'!$B$2:$B$42,0))-(INDEX('Device Refrigerant Leakage'!$D$2:$D$42,MATCH($Q762,'Device Refrigerant Leakage'!$B$2:$B$42,0)))*CZ762*CX762)*CY762/2204.62*CW762,"")</f>
        <v/>
      </c>
      <c r="DC762" s="135" t="str">
        <f t="shared" si="892"/>
        <v/>
      </c>
      <c r="DE762" s="146" t="str">
        <f>IF(W762&lt;&gt;"AR","",IF(Y762="User Specified", AA762, INDEX('Refrigerant GWPs'!$G$2:$G$154,MATCH(Y762,'Refrigerant GWPs'!$A$2:$A$154,0))))</f>
        <v/>
      </c>
      <c r="DF762" s="146" t="str">
        <f>IF(W762&lt;&gt;"AR","",INDEX('Device Refrigerant Leakage'!$E$2:$E$42,MATCH(X762,'Device Refrigerant Leakage'!$B$2:$B$42,0)))</f>
        <v/>
      </c>
      <c r="DG762" s="146" t="str">
        <f>IF(W762&lt;&gt;"AR","",INDEX('Device Refrigerant Leakage'!$F$2:$F$42,MATCH(X762,'Device Refrigerant Leakage'!$B$2:$B$42,0)))</f>
        <v/>
      </c>
      <c r="DH762" s="146" t="str">
        <f>IF(W762&lt;&gt;"AR","",INDEX('Device Refrigerant Leakage'!$G$2:$G$42,MATCH(X762,'Device Refrigerant Leakage'!$B$2:$B$42,0)))</f>
        <v/>
      </c>
      <c r="DI762" s="146" t="str">
        <f>IF(W762&lt;&gt;"AR","",J762*INDEX('Device Refrigerant Leakage'!$D$2:$D$42,MATCH(X762,'Device Refrigerant Leakage'!$B$2:$B$42,0))*DF762/2204.62*DE762)</f>
        <v/>
      </c>
      <c r="DJ762" s="146" t="str">
        <f>IF(W762&lt;&gt;"AR","",J762*(INDEX('Device Refrigerant Leakage'!$D$2:$D$42,MATCH(X762,'Device Refrigerant Leakage'!$B$2:$B$42,0))-(INDEX('Device Refrigerant Leakage'!$D$2:$D$42,MATCH(X762,'Device Refrigerant Leakage'!$B$2:$B$42,0)))*DH762*DF762)*DG762/2204.62*DE762)</f>
        <v/>
      </c>
      <c r="DK762" s="146" t="str">
        <f>IF(W762&lt;&gt;"AR","",DI762*(K762-AB762)+'Fuel Sub Calcs-Deemed'!DJ762*((K762-AB762)/INDEX('Device Refrigerant Leakage'!$C$2:$C$42,MATCH('Fuel Sub Calcs-Deemed'!X762,'Device Refrigerant Leakage'!$B$2:$B$42,0))))</f>
        <v/>
      </c>
      <c r="DM762" s="56">
        <v>748</v>
      </c>
      <c r="DN762" s="67" t="e">
        <f t="shared" si="874"/>
        <v>#N/A</v>
      </c>
      <c r="DO762" s="45" t="e">
        <f t="shared" si="875"/>
        <v>#N/A</v>
      </c>
      <c r="DP762" s="67" t="e">
        <f t="shared" si="876"/>
        <v>#N/A</v>
      </c>
      <c r="DQ762" s="45" t="e">
        <f t="shared" si="877"/>
        <v>#N/A</v>
      </c>
      <c r="DR762" s="69" t="e">
        <f t="shared" si="878"/>
        <v>#N/A</v>
      </c>
      <c r="DS762" s="34"/>
      <c r="DT762" s="67" t="e">
        <f>((BX762*CJ762)+IF($W762=MAT_AR,(BZ762*CL762),0))*(1+Reference!$E$50+Reference!$E$51)</f>
        <v>#N/A</v>
      </c>
      <c r="DU762" s="67">
        <f>((BY762*CK762)+IF($W762=MAT_AR,(CA762*CM762),0))*(1+Reference!$G$50+Reference!$G$51)</f>
        <v>0</v>
      </c>
      <c r="DV762" s="67" t="e">
        <f t="shared" si="879"/>
        <v>#VALUE!</v>
      </c>
      <c r="DX762" s="56">
        <v>748</v>
      </c>
      <c r="DY762" s="67">
        <f t="shared" si="880"/>
        <v>0</v>
      </c>
      <c r="DZ762" s="45" t="e">
        <f>VLOOKUP($R762,Dropdown!$C$3:$D$4,2,FALSE)</f>
        <v>#N/A</v>
      </c>
      <c r="EA762" s="68">
        <f t="shared" si="881"/>
        <v>0</v>
      </c>
      <c r="EB762" s="68" t="str">
        <f t="shared" si="882"/>
        <v>N/A</v>
      </c>
      <c r="EC762" s="68">
        <f t="shared" si="883"/>
        <v>0</v>
      </c>
      <c r="ED762" s="68" t="str">
        <f t="shared" si="921"/>
        <v>N/A</v>
      </c>
      <c r="EF762" s="56">
        <v>748</v>
      </c>
      <c r="EG762" s="46">
        <f t="shared" si="884"/>
        <v>0</v>
      </c>
      <c r="EH762" s="68" t="e">
        <f t="shared" si="885"/>
        <v>#N/A</v>
      </c>
      <c r="EI762" s="68" t="e">
        <f t="shared" si="886"/>
        <v>#N/A</v>
      </c>
      <c r="EJ762" s="68" t="e">
        <f t="shared" si="887"/>
        <v>#N/A</v>
      </c>
      <c r="EK762" s="68" t="e">
        <f t="shared" si="888"/>
        <v>#N/A</v>
      </c>
      <c r="EL762" s="46">
        <f t="shared" si="889"/>
        <v>0</v>
      </c>
      <c r="EM762" s="46">
        <f t="shared" si="890"/>
        <v>0</v>
      </c>
    </row>
    <row r="763" spans="1:143">
      <c r="A763" s="89"/>
      <c r="B763" s="89"/>
      <c r="C763" s="89"/>
      <c r="D763" s="89"/>
      <c r="E763" s="89"/>
      <c r="F763" s="89"/>
      <c r="G763" s="34"/>
      <c r="H763" s="56">
        <f t="shared" si="891"/>
        <v>749</v>
      </c>
      <c r="I763" s="165"/>
      <c r="J763" s="163"/>
      <c r="K763" s="163"/>
      <c r="L763" s="164"/>
      <c r="M763" s="155"/>
      <c r="N763" s="155"/>
      <c r="O763" s="144"/>
      <c r="P763" s="159" t="str">
        <f>IFERROR(IF(O763&lt;&gt;"User Specified",IF(O763&lt;&gt;"", INDEX('Refrigerant GWPs'!$G$2:$G$154,MATCH(O763,'Refrigerant GWPs'!$A$2:$A$154,0)),""),U763),0)</f>
        <v/>
      </c>
      <c r="Q763" s="155"/>
      <c r="R763" s="155"/>
      <c r="S763" s="144"/>
      <c r="T763" s="159" t="str">
        <f>IF(S763&lt;&gt;"User Specified",IF(AND(S763&lt;&gt;"User Specified",S763&lt;&gt;""), INDEX('Refrigerant GWPs'!$G$2:$G$154,MATCH(S763,'Refrigerant GWPs'!$A$2:$A$154,0)),""),V763)</f>
        <v/>
      </c>
      <c r="U763" s="144"/>
      <c r="V763" s="144"/>
      <c r="W763" s="155"/>
      <c r="X763" s="155"/>
      <c r="Y763" s="144"/>
      <c r="Z763" s="159" t="str">
        <f>IF(AND(Y763&lt;&gt;"User Specified",Y763&lt;&gt;""), INDEX('Refrigerant GWPs'!$G$2:$G$154,MATCH(Y763,'Refrigerant GWPs'!$A$2:$A$154,0)),"")</f>
        <v/>
      </c>
      <c r="AA763" s="155"/>
      <c r="AB763" s="156"/>
      <c r="AC763" s="66"/>
      <c r="AD763" s="66"/>
      <c r="AE763" s="66"/>
      <c r="AF763" s="66"/>
      <c r="AG763" s="66"/>
      <c r="AH763" s="66"/>
      <c r="AI763" s="34"/>
      <c r="AJ763" s="88">
        <f t="shared" si="854"/>
        <v>0</v>
      </c>
      <c r="AK763" s="88">
        <f t="shared" si="855"/>
        <v>0</v>
      </c>
      <c r="AL763" s="88">
        <v>0</v>
      </c>
      <c r="AM763" s="88">
        <v>0</v>
      </c>
      <c r="AN763" s="81" t="str">
        <f t="shared" si="893"/>
        <v/>
      </c>
      <c r="AO763" s="88">
        <f t="shared" si="856"/>
        <v>0</v>
      </c>
      <c r="AP763" s="88">
        <f t="shared" si="857"/>
        <v>0</v>
      </c>
      <c r="AQ763" s="81" t="str">
        <f t="shared" si="858"/>
        <v/>
      </c>
      <c r="AS763" s="41" t="b">
        <f t="shared" si="859"/>
        <v>1</v>
      </c>
      <c r="AT763" s="38">
        <f t="shared" si="860"/>
        <v>0</v>
      </c>
      <c r="AU763" s="60">
        <f t="shared" si="861"/>
        <v>0</v>
      </c>
      <c r="AV763" s="41">
        <f t="shared" si="862"/>
        <v>0</v>
      </c>
      <c r="AW763" s="41" t="b">
        <f t="shared" si="863"/>
        <v>0</v>
      </c>
      <c r="AX763" t="str">
        <f t="shared" si="864"/>
        <v>+00</v>
      </c>
      <c r="AY763" t="str">
        <f t="shared" si="865"/>
        <v>+00</v>
      </c>
      <c r="BA763" s="47" t="b">
        <f t="shared" si="894"/>
        <v>1</v>
      </c>
      <c r="BB763" s="42" t="b">
        <f t="shared" si="895"/>
        <v>1</v>
      </c>
      <c r="BC763" s="42" t="b">
        <f t="shared" si="896"/>
        <v>0</v>
      </c>
      <c r="BD763" s="42" t="b">
        <f t="shared" si="897"/>
        <v>0</v>
      </c>
      <c r="BE763" s="70">
        <f t="shared" si="898"/>
        <v>0</v>
      </c>
      <c r="BF763" s="70">
        <f t="shared" si="899"/>
        <v>0</v>
      </c>
      <c r="BG763" s="34"/>
      <c r="BI763" s="47" t="b">
        <f t="shared" si="900"/>
        <v>1</v>
      </c>
      <c r="BJ763" s="47" t="b">
        <f t="shared" si="901"/>
        <v>1</v>
      </c>
      <c r="BK763" s="42" t="b">
        <f t="shared" si="902"/>
        <v>0</v>
      </c>
      <c r="BL763" s="42" t="b">
        <f t="shared" si="903"/>
        <v>0</v>
      </c>
      <c r="BM763" s="42">
        <f t="shared" si="904"/>
        <v>0</v>
      </c>
      <c r="BN763" s="42">
        <f t="shared" si="905"/>
        <v>0</v>
      </c>
      <c r="BP763" t="e">
        <f t="shared" si="906"/>
        <v>#N/A</v>
      </c>
      <c r="BQ763" t="e">
        <f t="shared" si="907"/>
        <v>#N/A</v>
      </c>
      <c r="BR763" t="e">
        <f t="shared" si="908"/>
        <v>#N/A</v>
      </c>
      <c r="BT763" s="60">
        <f t="shared" si="909"/>
        <v>0</v>
      </c>
      <c r="BU763" s="60">
        <f t="shared" si="910"/>
        <v>0</v>
      </c>
      <c r="BV763" s="60">
        <f t="shared" si="911"/>
        <v>0</v>
      </c>
      <c r="BW763" s="60">
        <f t="shared" si="912"/>
        <v>0</v>
      </c>
      <c r="BX763" s="60">
        <f t="shared" si="913"/>
        <v>0</v>
      </c>
      <c r="BY763" s="60">
        <f t="shared" si="914"/>
        <v>0</v>
      </c>
      <c r="BZ763" s="60">
        <f t="shared" si="915"/>
        <v>0</v>
      </c>
      <c r="CA763" s="60">
        <f t="shared" si="916"/>
        <v>0</v>
      </c>
      <c r="CB763" s="60" t="e">
        <f t="shared" si="866"/>
        <v>#N/A</v>
      </c>
      <c r="CC763" s="60">
        <f t="shared" si="867"/>
        <v>100000</v>
      </c>
      <c r="CD763" s="60" t="e">
        <f t="shared" si="868"/>
        <v>#N/A</v>
      </c>
      <c r="CE763" s="60">
        <f t="shared" si="869"/>
        <v>100000</v>
      </c>
      <c r="CF763" s="83" t="e">
        <f t="shared" si="917"/>
        <v>#N/A</v>
      </c>
      <c r="CG763" s="83">
        <f t="shared" si="918"/>
        <v>0</v>
      </c>
      <c r="CH763" s="83" t="e">
        <f t="shared" si="919"/>
        <v>#N/A</v>
      </c>
      <c r="CI763" s="83">
        <f t="shared" si="920"/>
        <v>0</v>
      </c>
      <c r="CJ763" s="86" t="e">
        <f t="shared" si="870"/>
        <v>#N/A</v>
      </c>
      <c r="CK763" s="82">
        <f t="shared" si="871"/>
        <v>5.3070370403969858E-3</v>
      </c>
      <c r="CL763" s="82" t="e">
        <f t="shared" si="872"/>
        <v>#N/A</v>
      </c>
      <c r="CM763" s="82">
        <f t="shared" si="873"/>
        <v>5.3070370403969858E-3</v>
      </c>
      <c r="CO763" s="149" t="str">
        <f>IF($I763&lt;&gt;"",IF(O763="User Specified",U763,INDEX('Refrigerant GWPs'!$G$2:$G$156,MATCH(O763,'Refrigerant GWPs'!$A$2:$A$156,0))),"")</f>
        <v/>
      </c>
      <c r="CP763" s="138" t="str">
        <f>IF($I763&lt;&gt;"",INDEX('Device Refrigerant Leakage'!$E$2:$E$42,MATCH($M763,'Device Refrigerant Leakage'!$B$2:$B$42,0)),"")</f>
        <v/>
      </c>
      <c r="CQ763" s="138" t="str">
        <f>IF($I763&lt;&gt;"",INDEX('Device Refrigerant Leakage'!$F$2:$F$42,MATCH($M763,'Device Refrigerant Leakage'!$B$2:$B$42,0)),"")</f>
        <v/>
      </c>
      <c r="CR763" s="145" t="str">
        <f>IF($I763&lt;&gt;"",INDEX('Device Refrigerant Leakage'!$G$2:$G$42,MATCH($M763,'Device Refrigerant Leakage'!$B$2:$B$42,0)),"")</f>
        <v/>
      </c>
      <c r="CS763" s="145" t="str">
        <f>IF($I763&lt;&gt;"",INDEX('Device Refrigerant Leakage'!$D$2:$D$42,MATCH($M763,'Device Refrigerant Leakage'!$B$2:$B$42,0))*CP763/2204.62*CO763,"")</f>
        <v/>
      </c>
      <c r="CT763" s="145" t="str">
        <f>IF($I763&lt;&gt;"",J763*(INDEX('Device Refrigerant Leakage'!$D$2:$D$42,MATCH($M763,'Device Refrigerant Leakage'!$B$2:$B$42,0))-(INDEX('Device Refrigerant Leakage'!$D$2:$D$42,MATCH($M763,'Device Refrigerant Leakage'!$B$2:$B$42,0)))*CR763*CP763)*CQ763/2204.62*CO763,"")</f>
        <v/>
      </c>
      <c r="CU763" s="135" t="str">
        <f>IF($I763&lt;&gt;"",J763*IF(W763&lt;&gt;"AR",(CS763*K763)+CT763,(CS763*AB763)+CT763*(AB763/INDEX('Device Refrigerant Leakage'!$C$2:$C$42,MATCH($M763,'Device Refrigerant Leakage'!$B$2:$B$42,0)))),"")</f>
        <v/>
      </c>
      <c r="CW763" s="135" t="str">
        <f>IF($I763&lt;&gt;"",IF(S763="User Specified",V763,INDEX('Refrigerant GWPs'!$G$2:$G$156,MATCH(S763,'Refrigerant GWPs'!$A$2:$A$157,0))),"")</f>
        <v/>
      </c>
      <c r="CX763" s="138" t="str">
        <f>IF($I763&lt;&gt;"",INDEX('Device Refrigerant Leakage'!$E$2:$E$42,MATCH($Q763,'Device Refrigerant Leakage'!$B$2:$B$42,0)),"")</f>
        <v/>
      </c>
      <c r="CY763" s="138" t="str">
        <f>IF($I763&lt;&gt;"",INDEX('Device Refrigerant Leakage'!$F$2:$F$42,MATCH($Q763,'Device Refrigerant Leakage'!$B$2:$B$42,0)),"")</f>
        <v/>
      </c>
      <c r="CZ763" s="145" t="str">
        <f>IF($I763&lt;&gt;"",INDEX('Device Refrigerant Leakage'!$G$2:$G$42,MATCH($Q763,'Device Refrigerant Leakage'!$B$2:$B$42,0)),"")</f>
        <v/>
      </c>
      <c r="DA763" s="145" t="str">
        <f>IF($I763&lt;&gt;"",J763*INDEX('Device Refrigerant Leakage'!$D$2:$D$42,MATCH($Q763,'Device Refrigerant Leakage'!$B$2:$B$42,0))*CX763/2204.62*CW763,"")</f>
        <v/>
      </c>
      <c r="DB763" s="145" t="str">
        <f>IF($I763&lt;&gt;"",J763*(INDEX('Device Refrigerant Leakage'!$D$2:$D$42,MATCH($Q763,'Device Refrigerant Leakage'!$B$2:$B$42,0))-(INDEX('Device Refrigerant Leakage'!$D$2:$D$42,MATCH($Q763,'Device Refrigerant Leakage'!$B$2:$B$42,0)))*CZ763*CX763)*CY763/2204.62*CW763,"")</f>
        <v/>
      </c>
      <c r="DC763" s="135" t="str">
        <f t="shared" si="892"/>
        <v/>
      </c>
      <c r="DE763" s="146" t="str">
        <f>IF(W763&lt;&gt;"AR","",IF(Y763="User Specified", AA763, INDEX('Refrigerant GWPs'!$G$2:$G$154,MATCH(Y763,'Refrigerant GWPs'!$A$2:$A$154,0))))</f>
        <v/>
      </c>
      <c r="DF763" s="146" t="str">
        <f>IF(W763&lt;&gt;"AR","",INDEX('Device Refrigerant Leakage'!$E$2:$E$42,MATCH(X763,'Device Refrigerant Leakage'!$B$2:$B$42,0)))</f>
        <v/>
      </c>
      <c r="DG763" s="146" t="str">
        <f>IF(W763&lt;&gt;"AR","",INDEX('Device Refrigerant Leakage'!$F$2:$F$42,MATCH(X763,'Device Refrigerant Leakage'!$B$2:$B$42,0)))</f>
        <v/>
      </c>
      <c r="DH763" s="146" t="str">
        <f>IF(W763&lt;&gt;"AR","",INDEX('Device Refrigerant Leakage'!$G$2:$G$42,MATCH(X763,'Device Refrigerant Leakage'!$B$2:$B$42,0)))</f>
        <v/>
      </c>
      <c r="DI763" s="146" t="str">
        <f>IF(W763&lt;&gt;"AR","",J763*INDEX('Device Refrigerant Leakage'!$D$2:$D$42,MATCH(X763,'Device Refrigerant Leakage'!$B$2:$B$42,0))*DF763/2204.62*DE763)</f>
        <v/>
      </c>
      <c r="DJ763" s="146" t="str">
        <f>IF(W763&lt;&gt;"AR","",J763*(INDEX('Device Refrigerant Leakage'!$D$2:$D$42,MATCH(X763,'Device Refrigerant Leakage'!$B$2:$B$42,0))-(INDEX('Device Refrigerant Leakage'!$D$2:$D$42,MATCH(X763,'Device Refrigerant Leakage'!$B$2:$B$42,0)))*DH763*DF763)*DG763/2204.62*DE763)</f>
        <v/>
      </c>
      <c r="DK763" s="146" t="str">
        <f>IF(W763&lt;&gt;"AR","",DI763*(K763-AB763)+'Fuel Sub Calcs-Deemed'!DJ763*((K763-AB763)/INDEX('Device Refrigerant Leakage'!$C$2:$C$42,MATCH('Fuel Sub Calcs-Deemed'!X763,'Device Refrigerant Leakage'!$B$2:$B$42,0))))</f>
        <v/>
      </c>
      <c r="DM763" s="56">
        <v>749</v>
      </c>
      <c r="DN763" s="67" t="e">
        <f t="shared" si="874"/>
        <v>#N/A</v>
      </c>
      <c r="DO763" s="45" t="e">
        <f t="shared" si="875"/>
        <v>#N/A</v>
      </c>
      <c r="DP763" s="67" t="e">
        <f t="shared" si="876"/>
        <v>#N/A</v>
      </c>
      <c r="DQ763" s="45" t="e">
        <f t="shared" si="877"/>
        <v>#N/A</v>
      </c>
      <c r="DR763" s="69" t="e">
        <f t="shared" si="878"/>
        <v>#N/A</v>
      </c>
      <c r="DS763" s="34"/>
      <c r="DT763" s="67" t="e">
        <f>((BX763*CJ763)+IF($W763=MAT_AR,(BZ763*CL763),0))*(1+Reference!$E$50+Reference!$E$51)</f>
        <v>#N/A</v>
      </c>
      <c r="DU763" s="67">
        <f>((BY763*CK763)+IF($W763=MAT_AR,(CA763*CM763),0))*(1+Reference!$G$50+Reference!$G$51)</f>
        <v>0</v>
      </c>
      <c r="DV763" s="67" t="e">
        <f t="shared" si="879"/>
        <v>#VALUE!</v>
      </c>
      <c r="DX763" s="56">
        <v>749</v>
      </c>
      <c r="DY763" s="67">
        <f t="shared" si="880"/>
        <v>0</v>
      </c>
      <c r="DZ763" s="45" t="e">
        <f>VLOOKUP($R763,Dropdown!$C$3:$D$4,2,FALSE)</f>
        <v>#N/A</v>
      </c>
      <c r="EA763" s="68">
        <f t="shared" si="881"/>
        <v>0</v>
      </c>
      <c r="EB763" s="68" t="str">
        <f t="shared" si="882"/>
        <v>N/A</v>
      </c>
      <c r="EC763" s="68">
        <f t="shared" si="883"/>
        <v>0</v>
      </c>
      <c r="ED763" s="68" t="str">
        <f t="shared" si="921"/>
        <v>N/A</v>
      </c>
      <c r="EF763" s="56">
        <v>749</v>
      </c>
      <c r="EG763" s="46">
        <f t="shared" si="884"/>
        <v>0</v>
      </c>
      <c r="EH763" s="68" t="e">
        <f t="shared" si="885"/>
        <v>#N/A</v>
      </c>
      <c r="EI763" s="68" t="e">
        <f t="shared" si="886"/>
        <v>#N/A</v>
      </c>
      <c r="EJ763" s="68" t="e">
        <f t="shared" si="887"/>
        <v>#N/A</v>
      </c>
      <c r="EK763" s="68" t="e">
        <f t="shared" si="888"/>
        <v>#N/A</v>
      </c>
      <c r="EL763" s="46">
        <f t="shared" si="889"/>
        <v>0</v>
      </c>
      <c r="EM763" s="46">
        <f t="shared" si="890"/>
        <v>0</v>
      </c>
    </row>
    <row r="764" spans="1:143">
      <c r="A764" s="89"/>
      <c r="B764" s="89"/>
      <c r="C764" s="89"/>
      <c r="D764" s="89"/>
      <c r="E764" s="89"/>
      <c r="F764" s="89"/>
      <c r="G764" s="34"/>
      <c r="H764" s="56">
        <f t="shared" si="891"/>
        <v>750</v>
      </c>
      <c r="I764" s="165"/>
      <c r="J764" s="163"/>
      <c r="K764" s="163"/>
      <c r="L764" s="164"/>
      <c r="M764" s="155"/>
      <c r="N764" s="155"/>
      <c r="O764" s="144"/>
      <c r="P764" s="159" t="str">
        <f>IFERROR(IF(O764&lt;&gt;"User Specified",IF(O764&lt;&gt;"", INDEX('Refrigerant GWPs'!$G$2:$G$154,MATCH(O764,'Refrigerant GWPs'!$A$2:$A$154,0)),""),U764),0)</f>
        <v/>
      </c>
      <c r="Q764" s="155"/>
      <c r="R764" s="155"/>
      <c r="S764" s="144"/>
      <c r="T764" s="159" t="str">
        <f>IF(S764&lt;&gt;"User Specified",IF(AND(S764&lt;&gt;"User Specified",S764&lt;&gt;""), INDEX('Refrigerant GWPs'!$G$2:$G$154,MATCH(S764,'Refrigerant GWPs'!$A$2:$A$154,0)),""),V764)</f>
        <v/>
      </c>
      <c r="U764" s="144"/>
      <c r="V764" s="144"/>
      <c r="W764" s="155"/>
      <c r="X764" s="155"/>
      <c r="Y764" s="144"/>
      <c r="Z764" s="159" t="str">
        <f>IF(AND(Y764&lt;&gt;"User Specified",Y764&lt;&gt;""), INDEX('Refrigerant GWPs'!$G$2:$G$154,MATCH(Y764,'Refrigerant GWPs'!$A$2:$A$154,0)),"")</f>
        <v/>
      </c>
      <c r="AA764" s="155"/>
      <c r="AB764" s="156"/>
      <c r="AC764" s="66"/>
      <c r="AD764" s="66"/>
      <c r="AE764" s="66"/>
      <c r="AF764" s="66"/>
      <c r="AG764" s="66"/>
      <c r="AH764" s="66"/>
      <c r="AI764" s="34"/>
      <c r="AJ764" s="88">
        <f t="shared" si="854"/>
        <v>0</v>
      </c>
      <c r="AK764" s="88">
        <f t="shared" si="855"/>
        <v>0</v>
      </c>
      <c r="AL764" s="88">
        <v>0</v>
      </c>
      <c r="AM764" s="88">
        <v>0</v>
      </c>
      <c r="AN764" s="81" t="str">
        <f t="shared" si="893"/>
        <v/>
      </c>
      <c r="AO764" s="88">
        <f t="shared" si="856"/>
        <v>0</v>
      </c>
      <c r="AP764" s="88">
        <f t="shared" si="857"/>
        <v>0</v>
      </c>
      <c r="AQ764" s="81" t="str">
        <f t="shared" si="858"/>
        <v/>
      </c>
      <c r="AS764" s="41" t="b">
        <f t="shared" si="859"/>
        <v>1</v>
      </c>
      <c r="AT764" s="38">
        <f t="shared" si="860"/>
        <v>0</v>
      </c>
      <c r="AU764" s="60">
        <f t="shared" si="861"/>
        <v>0</v>
      </c>
      <c r="AV764" s="41">
        <f t="shared" si="862"/>
        <v>0</v>
      </c>
      <c r="AW764" s="41" t="b">
        <f t="shared" si="863"/>
        <v>0</v>
      </c>
      <c r="AX764" t="str">
        <f t="shared" si="864"/>
        <v>+00</v>
      </c>
      <c r="AY764" t="str">
        <f t="shared" si="865"/>
        <v>+00</v>
      </c>
      <c r="BA764" s="47" t="b">
        <f t="shared" si="894"/>
        <v>1</v>
      </c>
      <c r="BB764" s="42" t="b">
        <f t="shared" si="895"/>
        <v>1</v>
      </c>
      <c r="BC764" s="42" t="b">
        <f t="shared" si="896"/>
        <v>0</v>
      </c>
      <c r="BD764" s="42" t="b">
        <f t="shared" si="897"/>
        <v>0</v>
      </c>
      <c r="BE764" s="70">
        <f t="shared" si="898"/>
        <v>0</v>
      </c>
      <c r="BF764" s="70">
        <f t="shared" si="899"/>
        <v>0</v>
      </c>
      <c r="BG764" s="34"/>
      <c r="BI764" s="47" t="b">
        <f t="shared" si="900"/>
        <v>1</v>
      </c>
      <c r="BJ764" s="47" t="b">
        <f t="shared" si="901"/>
        <v>1</v>
      </c>
      <c r="BK764" s="42" t="b">
        <f t="shared" si="902"/>
        <v>0</v>
      </c>
      <c r="BL764" s="42" t="b">
        <f t="shared" si="903"/>
        <v>0</v>
      </c>
      <c r="BM764" s="42">
        <f t="shared" si="904"/>
        <v>0</v>
      </c>
      <c r="BN764" s="42">
        <f t="shared" si="905"/>
        <v>0</v>
      </c>
      <c r="BP764" t="e">
        <f t="shared" si="906"/>
        <v>#N/A</v>
      </c>
      <c r="BQ764" t="e">
        <f t="shared" si="907"/>
        <v>#N/A</v>
      </c>
      <c r="BR764" t="e">
        <f t="shared" si="908"/>
        <v>#N/A</v>
      </c>
      <c r="BT764" s="60">
        <f t="shared" si="909"/>
        <v>0</v>
      </c>
      <c r="BU764" s="60">
        <f t="shared" si="910"/>
        <v>0</v>
      </c>
      <c r="BV764" s="60">
        <f t="shared" si="911"/>
        <v>0</v>
      </c>
      <c r="BW764" s="60">
        <f t="shared" si="912"/>
        <v>0</v>
      </c>
      <c r="BX764" s="60">
        <f t="shared" si="913"/>
        <v>0</v>
      </c>
      <c r="BY764" s="60">
        <f t="shared" si="914"/>
        <v>0</v>
      </c>
      <c r="BZ764" s="60">
        <f t="shared" si="915"/>
        <v>0</v>
      </c>
      <c r="CA764" s="60">
        <f t="shared" si="916"/>
        <v>0</v>
      </c>
      <c r="CB764" s="60" t="e">
        <f t="shared" si="866"/>
        <v>#N/A</v>
      </c>
      <c r="CC764" s="60">
        <f t="shared" si="867"/>
        <v>100000</v>
      </c>
      <c r="CD764" s="60" t="e">
        <f t="shared" si="868"/>
        <v>#N/A</v>
      </c>
      <c r="CE764" s="60">
        <f t="shared" si="869"/>
        <v>100000</v>
      </c>
      <c r="CF764" s="83" t="e">
        <f t="shared" si="917"/>
        <v>#N/A</v>
      </c>
      <c r="CG764" s="83">
        <f t="shared" si="918"/>
        <v>0</v>
      </c>
      <c r="CH764" s="83" t="e">
        <f t="shared" si="919"/>
        <v>#N/A</v>
      </c>
      <c r="CI764" s="83">
        <f t="shared" si="920"/>
        <v>0</v>
      </c>
      <c r="CJ764" s="86" t="e">
        <f t="shared" si="870"/>
        <v>#N/A</v>
      </c>
      <c r="CK764" s="82">
        <f t="shared" si="871"/>
        <v>5.3070370403969858E-3</v>
      </c>
      <c r="CL764" s="82" t="e">
        <f t="shared" si="872"/>
        <v>#N/A</v>
      </c>
      <c r="CM764" s="82">
        <f t="shared" si="873"/>
        <v>5.3070370403969858E-3</v>
      </c>
      <c r="CO764" s="149" t="str">
        <f>IF($I764&lt;&gt;"",IF(O764="User Specified",U764,INDEX('Refrigerant GWPs'!$G$2:$G$156,MATCH(O764,'Refrigerant GWPs'!$A$2:$A$156,0))),"")</f>
        <v/>
      </c>
      <c r="CP764" s="138" t="str">
        <f>IF($I764&lt;&gt;"",INDEX('Device Refrigerant Leakage'!$E$2:$E$42,MATCH($M764,'Device Refrigerant Leakage'!$B$2:$B$42,0)),"")</f>
        <v/>
      </c>
      <c r="CQ764" s="138" t="str">
        <f>IF($I764&lt;&gt;"",INDEX('Device Refrigerant Leakage'!$F$2:$F$42,MATCH($M764,'Device Refrigerant Leakage'!$B$2:$B$42,0)),"")</f>
        <v/>
      </c>
      <c r="CR764" s="145" t="str">
        <f>IF($I764&lt;&gt;"",INDEX('Device Refrigerant Leakage'!$G$2:$G$42,MATCH($M764,'Device Refrigerant Leakage'!$B$2:$B$42,0)),"")</f>
        <v/>
      </c>
      <c r="CS764" s="145" t="str">
        <f>IF($I764&lt;&gt;"",INDEX('Device Refrigerant Leakage'!$D$2:$D$42,MATCH($M764,'Device Refrigerant Leakage'!$B$2:$B$42,0))*CP764/2204.62*CO764,"")</f>
        <v/>
      </c>
      <c r="CT764" s="145" t="str">
        <f>IF($I764&lt;&gt;"",J764*(INDEX('Device Refrigerant Leakage'!$D$2:$D$42,MATCH($M764,'Device Refrigerant Leakage'!$B$2:$B$42,0))-(INDEX('Device Refrigerant Leakage'!$D$2:$D$42,MATCH($M764,'Device Refrigerant Leakage'!$B$2:$B$42,0)))*CR764*CP764)*CQ764/2204.62*CO764,"")</f>
        <v/>
      </c>
      <c r="CU764" s="135" t="str">
        <f>IF($I764&lt;&gt;"",J764*IF(W764&lt;&gt;"AR",(CS764*K764)+CT764,(CS764*AB764)+CT764*(AB764/INDEX('Device Refrigerant Leakage'!$C$2:$C$42,MATCH($M764,'Device Refrigerant Leakage'!$B$2:$B$42,0)))),"")</f>
        <v/>
      </c>
      <c r="CW764" s="135" t="str">
        <f>IF($I764&lt;&gt;"",IF(S764="User Specified",V764,INDEX('Refrigerant GWPs'!$G$2:$G$156,MATCH(S764,'Refrigerant GWPs'!$A$2:$A$157,0))),"")</f>
        <v/>
      </c>
      <c r="CX764" s="138" t="str">
        <f>IF($I764&lt;&gt;"",INDEX('Device Refrigerant Leakage'!$E$2:$E$42,MATCH($Q764,'Device Refrigerant Leakage'!$B$2:$B$42,0)),"")</f>
        <v/>
      </c>
      <c r="CY764" s="138" t="str">
        <f>IF($I764&lt;&gt;"",INDEX('Device Refrigerant Leakage'!$F$2:$F$42,MATCH($Q764,'Device Refrigerant Leakage'!$B$2:$B$42,0)),"")</f>
        <v/>
      </c>
      <c r="CZ764" s="145" t="str">
        <f>IF($I764&lt;&gt;"",INDEX('Device Refrigerant Leakage'!$G$2:$G$42,MATCH($Q764,'Device Refrigerant Leakage'!$B$2:$B$42,0)),"")</f>
        <v/>
      </c>
      <c r="DA764" s="145" t="str">
        <f>IF($I764&lt;&gt;"",J764*INDEX('Device Refrigerant Leakage'!$D$2:$D$42,MATCH($Q764,'Device Refrigerant Leakage'!$B$2:$B$42,0))*CX764/2204.62*CW764,"")</f>
        <v/>
      </c>
      <c r="DB764" s="145" t="str">
        <f>IF($I764&lt;&gt;"",J764*(INDEX('Device Refrigerant Leakage'!$D$2:$D$42,MATCH($Q764,'Device Refrigerant Leakage'!$B$2:$B$42,0))-(INDEX('Device Refrigerant Leakage'!$D$2:$D$42,MATCH($Q764,'Device Refrigerant Leakage'!$B$2:$B$42,0)))*CZ764*CX764)*CY764/2204.62*CW764,"")</f>
        <v/>
      </c>
      <c r="DC764" s="135" t="str">
        <f t="shared" si="892"/>
        <v/>
      </c>
      <c r="DE764" s="146" t="str">
        <f>IF(W764&lt;&gt;"AR","",IF(Y764="User Specified", AA764, INDEX('Refrigerant GWPs'!$G$2:$G$154,MATCH(Y764,'Refrigerant GWPs'!$A$2:$A$154,0))))</f>
        <v/>
      </c>
      <c r="DF764" s="146" t="str">
        <f>IF(W764&lt;&gt;"AR","",INDEX('Device Refrigerant Leakage'!$E$2:$E$42,MATCH(X764,'Device Refrigerant Leakage'!$B$2:$B$42,0)))</f>
        <v/>
      </c>
      <c r="DG764" s="146" t="str">
        <f>IF(W764&lt;&gt;"AR","",INDEX('Device Refrigerant Leakage'!$F$2:$F$42,MATCH(X764,'Device Refrigerant Leakage'!$B$2:$B$42,0)))</f>
        <v/>
      </c>
      <c r="DH764" s="146" t="str">
        <f>IF(W764&lt;&gt;"AR","",INDEX('Device Refrigerant Leakage'!$G$2:$G$42,MATCH(X764,'Device Refrigerant Leakage'!$B$2:$B$42,0)))</f>
        <v/>
      </c>
      <c r="DI764" s="146" t="str">
        <f>IF(W764&lt;&gt;"AR","",J764*INDEX('Device Refrigerant Leakage'!$D$2:$D$42,MATCH(X764,'Device Refrigerant Leakage'!$B$2:$B$42,0))*DF764/2204.62*DE764)</f>
        <v/>
      </c>
      <c r="DJ764" s="146" t="str">
        <f>IF(W764&lt;&gt;"AR","",J764*(INDEX('Device Refrigerant Leakage'!$D$2:$D$42,MATCH(X764,'Device Refrigerant Leakage'!$B$2:$B$42,0))-(INDEX('Device Refrigerant Leakage'!$D$2:$D$42,MATCH(X764,'Device Refrigerant Leakage'!$B$2:$B$42,0)))*DH764*DF764)*DG764/2204.62*DE764)</f>
        <v/>
      </c>
      <c r="DK764" s="146" t="str">
        <f>IF(W764&lt;&gt;"AR","",DI764*(K764-AB764)+'Fuel Sub Calcs-Deemed'!DJ764*((K764-AB764)/INDEX('Device Refrigerant Leakage'!$C$2:$C$42,MATCH('Fuel Sub Calcs-Deemed'!X764,'Device Refrigerant Leakage'!$B$2:$B$42,0))))</f>
        <v/>
      </c>
      <c r="DM764" s="56">
        <v>750</v>
      </c>
      <c r="DN764" s="67" t="e">
        <f t="shared" si="874"/>
        <v>#N/A</v>
      </c>
      <c r="DO764" s="45" t="e">
        <f t="shared" si="875"/>
        <v>#N/A</v>
      </c>
      <c r="DP764" s="67" t="e">
        <f t="shared" si="876"/>
        <v>#N/A</v>
      </c>
      <c r="DQ764" s="45" t="e">
        <f t="shared" si="877"/>
        <v>#N/A</v>
      </c>
      <c r="DR764" s="69" t="e">
        <f t="shared" si="878"/>
        <v>#N/A</v>
      </c>
      <c r="DS764" s="34"/>
      <c r="DT764" s="67" t="e">
        <f>((BX764*CJ764)+IF($W764=MAT_AR,(BZ764*CL764),0))*(1+Reference!$E$50+Reference!$E$51)</f>
        <v>#N/A</v>
      </c>
      <c r="DU764" s="67">
        <f>((BY764*CK764)+IF($W764=MAT_AR,(CA764*CM764),0))*(1+Reference!$G$50+Reference!$G$51)</f>
        <v>0</v>
      </c>
      <c r="DV764" s="67" t="e">
        <f t="shared" si="879"/>
        <v>#VALUE!</v>
      </c>
      <c r="DX764" s="56">
        <v>750</v>
      </c>
      <c r="DY764" s="67">
        <f t="shared" si="880"/>
        <v>0</v>
      </c>
      <c r="DZ764" s="45" t="e">
        <f>VLOOKUP($R764,Dropdown!$C$3:$D$4,2,FALSE)</f>
        <v>#N/A</v>
      </c>
      <c r="EA764" s="68">
        <f t="shared" si="881"/>
        <v>0</v>
      </c>
      <c r="EB764" s="68" t="str">
        <f t="shared" si="882"/>
        <v>N/A</v>
      </c>
      <c r="EC764" s="68">
        <f t="shared" si="883"/>
        <v>0</v>
      </c>
      <c r="ED764" s="68" t="str">
        <f t="shared" si="921"/>
        <v>N/A</v>
      </c>
      <c r="EF764" s="56">
        <v>750</v>
      </c>
      <c r="EG764" s="46">
        <f t="shared" si="884"/>
        <v>0</v>
      </c>
      <c r="EH764" s="68" t="e">
        <f t="shared" si="885"/>
        <v>#N/A</v>
      </c>
      <c r="EI764" s="68" t="e">
        <f t="shared" si="886"/>
        <v>#N/A</v>
      </c>
      <c r="EJ764" s="68" t="e">
        <f t="shared" si="887"/>
        <v>#N/A</v>
      </c>
      <c r="EK764" s="68" t="e">
        <f t="shared" si="888"/>
        <v>#N/A</v>
      </c>
      <c r="EL764" s="46">
        <f t="shared" si="889"/>
        <v>0</v>
      </c>
      <c r="EM764" s="46">
        <f t="shared" si="890"/>
        <v>0</v>
      </c>
    </row>
    <row r="765" spans="1:143">
      <c r="A765" s="89"/>
      <c r="B765" s="89"/>
      <c r="C765" s="89"/>
      <c r="D765" s="89"/>
      <c r="E765" s="89"/>
      <c r="F765" s="89"/>
      <c r="G765" s="34"/>
      <c r="H765" s="56">
        <f t="shared" si="891"/>
        <v>751</v>
      </c>
      <c r="I765" s="165"/>
      <c r="J765" s="163"/>
      <c r="K765" s="163"/>
      <c r="L765" s="164"/>
      <c r="M765" s="155"/>
      <c r="N765" s="155"/>
      <c r="O765" s="144"/>
      <c r="P765" s="159" t="str">
        <f>IFERROR(IF(O765&lt;&gt;"User Specified",IF(O765&lt;&gt;"", INDEX('Refrigerant GWPs'!$G$2:$G$154,MATCH(O765,'Refrigerant GWPs'!$A$2:$A$154,0)),""),U765),0)</f>
        <v/>
      </c>
      <c r="Q765" s="155"/>
      <c r="R765" s="155"/>
      <c r="S765" s="144"/>
      <c r="T765" s="159" t="str">
        <f>IF(S765&lt;&gt;"User Specified",IF(AND(S765&lt;&gt;"User Specified",S765&lt;&gt;""), INDEX('Refrigerant GWPs'!$G$2:$G$154,MATCH(S765,'Refrigerant GWPs'!$A$2:$A$154,0)),""),V765)</f>
        <v/>
      </c>
      <c r="U765" s="144"/>
      <c r="V765" s="144"/>
      <c r="W765" s="155"/>
      <c r="X765" s="155"/>
      <c r="Y765" s="144"/>
      <c r="Z765" s="159" t="str">
        <f>IF(AND(Y765&lt;&gt;"User Specified",Y765&lt;&gt;""), INDEX('Refrigerant GWPs'!$G$2:$G$154,MATCH(Y765,'Refrigerant GWPs'!$A$2:$A$154,0)),"")</f>
        <v/>
      </c>
      <c r="AA765" s="155"/>
      <c r="AB765" s="156"/>
      <c r="AC765" s="66"/>
      <c r="AD765" s="66"/>
      <c r="AE765" s="66"/>
      <c r="AF765" s="66"/>
      <c r="AG765" s="66"/>
      <c r="AH765" s="66"/>
      <c r="AI765" s="34"/>
      <c r="AJ765" s="88">
        <f t="shared" si="854"/>
        <v>0</v>
      </c>
      <c r="AK765" s="88">
        <f t="shared" si="855"/>
        <v>0</v>
      </c>
      <c r="AL765" s="88">
        <v>0</v>
      </c>
      <c r="AM765" s="88">
        <v>0</v>
      </c>
      <c r="AN765" s="81" t="str">
        <f t="shared" si="893"/>
        <v/>
      </c>
      <c r="AO765" s="88">
        <f t="shared" si="856"/>
        <v>0</v>
      </c>
      <c r="AP765" s="88">
        <f t="shared" si="857"/>
        <v>0</v>
      </c>
      <c r="AQ765" s="81" t="str">
        <f t="shared" si="858"/>
        <v/>
      </c>
      <c r="AS765" s="41" t="b">
        <f t="shared" si="859"/>
        <v>1</v>
      </c>
      <c r="AT765" s="38">
        <f t="shared" si="860"/>
        <v>0</v>
      </c>
      <c r="AU765" s="60">
        <f t="shared" si="861"/>
        <v>0</v>
      </c>
      <c r="AV765" s="41">
        <f t="shared" si="862"/>
        <v>0</v>
      </c>
      <c r="AW765" s="41" t="b">
        <f t="shared" si="863"/>
        <v>0</v>
      </c>
      <c r="AX765" t="str">
        <f t="shared" si="864"/>
        <v>+00</v>
      </c>
      <c r="AY765" t="str">
        <f t="shared" si="865"/>
        <v>+00</v>
      </c>
      <c r="BA765" s="47" t="b">
        <f t="shared" si="894"/>
        <v>1</v>
      </c>
      <c r="BB765" s="42" t="b">
        <f t="shared" si="895"/>
        <v>1</v>
      </c>
      <c r="BC765" s="42" t="b">
        <f t="shared" si="896"/>
        <v>0</v>
      </c>
      <c r="BD765" s="42" t="b">
        <f t="shared" si="897"/>
        <v>0</v>
      </c>
      <c r="BE765" s="70">
        <f t="shared" si="898"/>
        <v>0</v>
      </c>
      <c r="BF765" s="70">
        <f t="shared" si="899"/>
        <v>0</v>
      </c>
      <c r="BG765" s="34"/>
      <c r="BI765" s="47" t="b">
        <f t="shared" si="900"/>
        <v>1</v>
      </c>
      <c r="BJ765" s="47" t="b">
        <f t="shared" si="901"/>
        <v>1</v>
      </c>
      <c r="BK765" s="42" t="b">
        <f t="shared" si="902"/>
        <v>0</v>
      </c>
      <c r="BL765" s="42" t="b">
        <f t="shared" si="903"/>
        <v>0</v>
      </c>
      <c r="BM765" s="42">
        <f t="shared" si="904"/>
        <v>0</v>
      </c>
      <c r="BN765" s="42">
        <f t="shared" si="905"/>
        <v>0</v>
      </c>
      <c r="BP765" t="e">
        <f t="shared" si="906"/>
        <v>#N/A</v>
      </c>
      <c r="BQ765" t="e">
        <f t="shared" si="907"/>
        <v>#N/A</v>
      </c>
      <c r="BR765" t="e">
        <f t="shared" si="908"/>
        <v>#N/A</v>
      </c>
      <c r="BT765" s="60">
        <f t="shared" si="909"/>
        <v>0</v>
      </c>
      <c r="BU765" s="60">
        <f t="shared" si="910"/>
        <v>0</v>
      </c>
      <c r="BV765" s="60">
        <f t="shared" si="911"/>
        <v>0</v>
      </c>
      <c r="BW765" s="60">
        <f t="shared" si="912"/>
        <v>0</v>
      </c>
      <c r="BX765" s="60">
        <f t="shared" si="913"/>
        <v>0</v>
      </c>
      <c r="BY765" s="60">
        <f t="shared" si="914"/>
        <v>0</v>
      </c>
      <c r="BZ765" s="60">
        <f t="shared" si="915"/>
        <v>0</v>
      </c>
      <c r="CA765" s="60">
        <f t="shared" si="916"/>
        <v>0</v>
      </c>
      <c r="CB765" s="60" t="e">
        <f t="shared" si="866"/>
        <v>#N/A</v>
      </c>
      <c r="CC765" s="60">
        <f t="shared" si="867"/>
        <v>100000</v>
      </c>
      <c r="CD765" s="60" t="e">
        <f t="shared" si="868"/>
        <v>#N/A</v>
      </c>
      <c r="CE765" s="60">
        <f t="shared" si="869"/>
        <v>100000</v>
      </c>
      <c r="CF765" s="83" t="e">
        <f t="shared" si="917"/>
        <v>#N/A</v>
      </c>
      <c r="CG765" s="83">
        <f t="shared" si="918"/>
        <v>0</v>
      </c>
      <c r="CH765" s="83" t="e">
        <f t="shared" si="919"/>
        <v>#N/A</v>
      </c>
      <c r="CI765" s="83">
        <f t="shared" si="920"/>
        <v>0</v>
      </c>
      <c r="CJ765" s="86" t="e">
        <f t="shared" si="870"/>
        <v>#N/A</v>
      </c>
      <c r="CK765" s="82">
        <f t="shared" si="871"/>
        <v>5.3070370403969858E-3</v>
      </c>
      <c r="CL765" s="82" t="e">
        <f t="shared" si="872"/>
        <v>#N/A</v>
      </c>
      <c r="CM765" s="82">
        <f t="shared" si="873"/>
        <v>5.3070370403969858E-3</v>
      </c>
      <c r="CO765" s="149" t="str">
        <f>IF($I765&lt;&gt;"",IF(O765="User Specified",U765,INDEX('Refrigerant GWPs'!$G$2:$G$156,MATCH(O765,'Refrigerant GWPs'!$A$2:$A$156,0))),"")</f>
        <v/>
      </c>
      <c r="CP765" s="138" t="str">
        <f>IF($I765&lt;&gt;"",INDEX('Device Refrigerant Leakage'!$E$2:$E$42,MATCH($M765,'Device Refrigerant Leakage'!$B$2:$B$42,0)),"")</f>
        <v/>
      </c>
      <c r="CQ765" s="138" t="str">
        <f>IF($I765&lt;&gt;"",INDEX('Device Refrigerant Leakage'!$F$2:$F$42,MATCH($M765,'Device Refrigerant Leakage'!$B$2:$B$42,0)),"")</f>
        <v/>
      </c>
      <c r="CR765" s="145" t="str">
        <f>IF($I765&lt;&gt;"",INDEX('Device Refrigerant Leakage'!$G$2:$G$42,MATCH($M765,'Device Refrigerant Leakage'!$B$2:$B$42,0)),"")</f>
        <v/>
      </c>
      <c r="CS765" s="145" t="str">
        <f>IF($I765&lt;&gt;"",INDEX('Device Refrigerant Leakage'!$D$2:$D$42,MATCH($M765,'Device Refrigerant Leakage'!$B$2:$B$42,0))*CP765/2204.62*CO765,"")</f>
        <v/>
      </c>
      <c r="CT765" s="145" t="str">
        <f>IF($I765&lt;&gt;"",J765*(INDEX('Device Refrigerant Leakage'!$D$2:$D$42,MATCH($M765,'Device Refrigerant Leakage'!$B$2:$B$42,0))-(INDEX('Device Refrigerant Leakage'!$D$2:$D$42,MATCH($M765,'Device Refrigerant Leakage'!$B$2:$B$42,0)))*CR765*CP765)*CQ765/2204.62*CO765,"")</f>
        <v/>
      </c>
      <c r="CU765" s="135" t="str">
        <f>IF($I765&lt;&gt;"",J765*IF(W765&lt;&gt;"AR",(CS765*K765)+CT765,(CS765*AB765)+CT765*(AB765/INDEX('Device Refrigerant Leakage'!$C$2:$C$42,MATCH($M765,'Device Refrigerant Leakage'!$B$2:$B$42,0)))),"")</f>
        <v/>
      </c>
      <c r="CW765" s="135" t="str">
        <f>IF($I765&lt;&gt;"",IF(S765="User Specified",V765,INDEX('Refrigerant GWPs'!$G$2:$G$156,MATCH(S765,'Refrigerant GWPs'!$A$2:$A$157,0))),"")</f>
        <v/>
      </c>
      <c r="CX765" s="138" t="str">
        <f>IF($I765&lt;&gt;"",INDEX('Device Refrigerant Leakage'!$E$2:$E$42,MATCH($Q765,'Device Refrigerant Leakage'!$B$2:$B$42,0)),"")</f>
        <v/>
      </c>
      <c r="CY765" s="138" t="str">
        <f>IF($I765&lt;&gt;"",INDEX('Device Refrigerant Leakage'!$F$2:$F$42,MATCH($Q765,'Device Refrigerant Leakage'!$B$2:$B$42,0)),"")</f>
        <v/>
      </c>
      <c r="CZ765" s="145" t="str">
        <f>IF($I765&lt;&gt;"",INDEX('Device Refrigerant Leakage'!$G$2:$G$42,MATCH($Q765,'Device Refrigerant Leakage'!$B$2:$B$42,0)),"")</f>
        <v/>
      </c>
      <c r="DA765" s="145" t="str">
        <f>IF($I765&lt;&gt;"",J765*INDEX('Device Refrigerant Leakage'!$D$2:$D$42,MATCH($Q765,'Device Refrigerant Leakage'!$B$2:$B$42,0))*CX765/2204.62*CW765,"")</f>
        <v/>
      </c>
      <c r="DB765" s="145" t="str">
        <f>IF($I765&lt;&gt;"",J765*(INDEX('Device Refrigerant Leakage'!$D$2:$D$42,MATCH($Q765,'Device Refrigerant Leakage'!$B$2:$B$42,0))-(INDEX('Device Refrigerant Leakage'!$D$2:$D$42,MATCH($Q765,'Device Refrigerant Leakage'!$B$2:$B$42,0)))*CZ765*CX765)*CY765/2204.62*CW765,"")</f>
        <v/>
      </c>
      <c r="DC765" s="135" t="str">
        <f t="shared" si="892"/>
        <v/>
      </c>
      <c r="DE765" s="146" t="str">
        <f>IF(W765&lt;&gt;"AR","",IF(Y765="User Specified", AA765, INDEX('Refrigerant GWPs'!$G$2:$G$154,MATCH(Y765,'Refrigerant GWPs'!$A$2:$A$154,0))))</f>
        <v/>
      </c>
      <c r="DF765" s="146" t="str">
        <f>IF(W765&lt;&gt;"AR","",INDEX('Device Refrigerant Leakage'!$E$2:$E$42,MATCH(X765,'Device Refrigerant Leakage'!$B$2:$B$42,0)))</f>
        <v/>
      </c>
      <c r="DG765" s="146" t="str">
        <f>IF(W765&lt;&gt;"AR","",INDEX('Device Refrigerant Leakage'!$F$2:$F$42,MATCH(X765,'Device Refrigerant Leakage'!$B$2:$B$42,0)))</f>
        <v/>
      </c>
      <c r="DH765" s="146" t="str">
        <f>IF(W765&lt;&gt;"AR","",INDEX('Device Refrigerant Leakage'!$G$2:$G$42,MATCH(X765,'Device Refrigerant Leakage'!$B$2:$B$42,0)))</f>
        <v/>
      </c>
      <c r="DI765" s="146" t="str">
        <f>IF(W765&lt;&gt;"AR","",J765*INDEX('Device Refrigerant Leakage'!$D$2:$D$42,MATCH(X765,'Device Refrigerant Leakage'!$B$2:$B$42,0))*DF765/2204.62*DE765)</f>
        <v/>
      </c>
      <c r="DJ765" s="146" t="str">
        <f>IF(W765&lt;&gt;"AR","",J765*(INDEX('Device Refrigerant Leakage'!$D$2:$D$42,MATCH(X765,'Device Refrigerant Leakage'!$B$2:$B$42,0))-(INDEX('Device Refrigerant Leakage'!$D$2:$D$42,MATCH(X765,'Device Refrigerant Leakage'!$B$2:$B$42,0)))*DH765*DF765)*DG765/2204.62*DE765)</f>
        <v/>
      </c>
      <c r="DK765" s="146" t="str">
        <f>IF(W765&lt;&gt;"AR","",DI765*(K765-AB765)+'Fuel Sub Calcs-Deemed'!DJ765*((K765-AB765)/INDEX('Device Refrigerant Leakage'!$C$2:$C$42,MATCH('Fuel Sub Calcs-Deemed'!X765,'Device Refrigerant Leakage'!$B$2:$B$42,0))))</f>
        <v/>
      </c>
      <c r="DM765" s="56">
        <v>751</v>
      </c>
      <c r="DN765" s="67" t="e">
        <f t="shared" si="874"/>
        <v>#N/A</v>
      </c>
      <c r="DO765" s="45" t="e">
        <f t="shared" si="875"/>
        <v>#N/A</v>
      </c>
      <c r="DP765" s="67" t="e">
        <f t="shared" si="876"/>
        <v>#N/A</v>
      </c>
      <c r="DQ765" s="45" t="e">
        <f t="shared" si="877"/>
        <v>#N/A</v>
      </c>
      <c r="DR765" s="69" t="e">
        <f t="shared" si="878"/>
        <v>#N/A</v>
      </c>
      <c r="DS765" s="34"/>
      <c r="DT765" s="67" t="e">
        <f>((BX765*CJ765)+IF($W765=MAT_AR,(BZ765*CL765),0))*(1+Reference!$E$50+Reference!$E$51)</f>
        <v>#N/A</v>
      </c>
      <c r="DU765" s="67">
        <f>((BY765*CK765)+IF($W765=MAT_AR,(CA765*CM765),0))*(1+Reference!$G$50+Reference!$G$51)</f>
        <v>0</v>
      </c>
      <c r="DV765" s="67" t="e">
        <f t="shared" si="879"/>
        <v>#VALUE!</v>
      </c>
      <c r="DX765" s="56">
        <v>751</v>
      </c>
      <c r="DY765" s="67">
        <f t="shared" si="880"/>
        <v>0</v>
      </c>
      <c r="DZ765" s="45" t="e">
        <f>VLOOKUP($R765,Dropdown!$C$3:$D$4,2,FALSE)</f>
        <v>#N/A</v>
      </c>
      <c r="EA765" s="68">
        <f t="shared" si="881"/>
        <v>0</v>
      </c>
      <c r="EB765" s="68" t="str">
        <f t="shared" si="882"/>
        <v>N/A</v>
      </c>
      <c r="EC765" s="68">
        <f t="shared" si="883"/>
        <v>0</v>
      </c>
      <c r="ED765" s="68" t="str">
        <f t="shared" si="921"/>
        <v>N/A</v>
      </c>
      <c r="EF765" s="56">
        <v>751</v>
      </c>
      <c r="EG765" s="46">
        <f t="shared" si="884"/>
        <v>0</v>
      </c>
      <c r="EH765" s="68" t="e">
        <f t="shared" si="885"/>
        <v>#N/A</v>
      </c>
      <c r="EI765" s="68" t="e">
        <f t="shared" si="886"/>
        <v>#N/A</v>
      </c>
      <c r="EJ765" s="68" t="e">
        <f t="shared" si="887"/>
        <v>#N/A</v>
      </c>
      <c r="EK765" s="68" t="e">
        <f t="shared" si="888"/>
        <v>#N/A</v>
      </c>
      <c r="EL765" s="46">
        <f t="shared" si="889"/>
        <v>0</v>
      </c>
      <c r="EM765" s="46">
        <f t="shared" si="890"/>
        <v>0</v>
      </c>
    </row>
    <row r="766" spans="1:143">
      <c r="A766" s="89"/>
      <c r="B766" s="89"/>
      <c r="C766" s="89"/>
      <c r="D766" s="89"/>
      <c r="E766" s="89"/>
      <c r="F766" s="89"/>
      <c r="G766" s="34"/>
      <c r="H766" s="56">
        <f t="shared" si="891"/>
        <v>752</v>
      </c>
      <c r="I766" s="165"/>
      <c r="J766" s="163"/>
      <c r="K766" s="163"/>
      <c r="L766" s="164"/>
      <c r="M766" s="155"/>
      <c r="N766" s="155"/>
      <c r="O766" s="144"/>
      <c r="P766" s="159" t="str">
        <f>IFERROR(IF(O766&lt;&gt;"User Specified",IF(O766&lt;&gt;"", INDEX('Refrigerant GWPs'!$G$2:$G$154,MATCH(O766,'Refrigerant GWPs'!$A$2:$A$154,0)),""),U766),0)</f>
        <v/>
      </c>
      <c r="Q766" s="155"/>
      <c r="R766" s="155"/>
      <c r="S766" s="144"/>
      <c r="T766" s="159" t="str">
        <f>IF(S766&lt;&gt;"User Specified",IF(AND(S766&lt;&gt;"User Specified",S766&lt;&gt;""), INDEX('Refrigerant GWPs'!$G$2:$G$154,MATCH(S766,'Refrigerant GWPs'!$A$2:$A$154,0)),""),V766)</f>
        <v/>
      </c>
      <c r="U766" s="144"/>
      <c r="V766" s="144"/>
      <c r="W766" s="155"/>
      <c r="X766" s="155"/>
      <c r="Y766" s="144"/>
      <c r="Z766" s="159" t="str">
        <f>IF(AND(Y766&lt;&gt;"User Specified",Y766&lt;&gt;""), INDEX('Refrigerant GWPs'!$G$2:$G$154,MATCH(Y766,'Refrigerant GWPs'!$A$2:$A$154,0)),"")</f>
        <v/>
      </c>
      <c r="AA766" s="155"/>
      <c r="AB766" s="156"/>
      <c r="AC766" s="66"/>
      <c r="AD766" s="66"/>
      <c r="AE766" s="66"/>
      <c r="AF766" s="66"/>
      <c r="AG766" s="66"/>
      <c r="AH766" s="66"/>
      <c r="AI766" s="34"/>
      <c r="AJ766" s="88">
        <f t="shared" si="854"/>
        <v>0</v>
      </c>
      <c r="AK766" s="88">
        <f t="shared" si="855"/>
        <v>0</v>
      </c>
      <c r="AL766" s="88">
        <v>0</v>
      </c>
      <c r="AM766" s="88">
        <v>0</v>
      </c>
      <c r="AN766" s="81" t="str">
        <f t="shared" si="893"/>
        <v/>
      </c>
      <c r="AO766" s="88">
        <f t="shared" si="856"/>
        <v>0</v>
      </c>
      <c r="AP766" s="88">
        <f t="shared" si="857"/>
        <v>0</v>
      </c>
      <c r="AQ766" s="81" t="str">
        <f t="shared" si="858"/>
        <v/>
      </c>
      <c r="AS766" s="41" t="b">
        <f t="shared" si="859"/>
        <v>1</v>
      </c>
      <c r="AT766" s="38">
        <f t="shared" si="860"/>
        <v>0</v>
      </c>
      <c r="AU766" s="60">
        <f t="shared" si="861"/>
        <v>0</v>
      </c>
      <c r="AV766" s="41">
        <f t="shared" si="862"/>
        <v>0</v>
      </c>
      <c r="AW766" s="41" t="b">
        <f t="shared" si="863"/>
        <v>0</v>
      </c>
      <c r="AX766" t="str">
        <f t="shared" si="864"/>
        <v>+00</v>
      </c>
      <c r="AY766" t="str">
        <f t="shared" si="865"/>
        <v>+00</v>
      </c>
      <c r="BA766" s="47" t="b">
        <f t="shared" si="894"/>
        <v>1</v>
      </c>
      <c r="BB766" s="42" t="b">
        <f t="shared" si="895"/>
        <v>1</v>
      </c>
      <c r="BC766" s="42" t="b">
        <f t="shared" si="896"/>
        <v>0</v>
      </c>
      <c r="BD766" s="42" t="b">
        <f t="shared" si="897"/>
        <v>0</v>
      </c>
      <c r="BE766" s="70">
        <f t="shared" si="898"/>
        <v>0</v>
      </c>
      <c r="BF766" s="70">
        <f t="shared" si="899"/>
        <v>0</v>
      </c>
      <c r="BG766" s="34"/>
      <c r="BI766" s="47" t="b">
        <f t="shared" si="900"/>
        <v>1</v>
      </c>
      <c r="BJ766" s="47" t="b">
        <f t="shared" si="901"/>
        <v>1</v>
      </c>
      <c r="BK766" s="42" t="b">
        <f t="shared" si="902"/>
        <v>0</v>
      </c>
      <c r="BL766" s="42" t="b">
        <f t="shared" si="903"/>
        <v>0</v>
      </c>
      <c r="BM766" s="42">
        <f t="shared" si="904"/>
        <v>0</v>
      </c>
      <c r="BN766" s="42">
        <f t="shared" si="905"/>
        <v>0</v>
      </c>
      <c r="BP766" t="e">
        <f t="shared" si="906"/>
        <v>#N/A</v>
      </c>
      <c r="BQ766" t="e">
        <f t="shared" si="907"/>
        <v>#N/A</v>
      </c>
      <c r="BR766" t="e">
        <f t="shared" si="908"/>
        <v>#N/A</v>
      </c>
      <c r="BT766" s="60">
        <f t="shared" si="909"/>
        <v>0</v>
      </c>
      <c r="BU766" s="60">
        <f t="shared" si="910"/>
        <v>0</v>
      </c>
      <c r="BV766" s="60">
        <f t="shared" si="911"/>
        <v>0</v>
      </c>
      <c r="BW766" s="60">
        <f t="shared" si="912"/>
        <v>0</v>
      </c>
      <c r="BX766" s="60">
        <f t="shared" si="913"/>
        <v>0</v>
      </c>
      <c r="BY766" s="60">
        <f t="shared" si="914"/>
        <v>0</v>
      </c>
      <c r="BZ766" s="60">
        <f t="shared" si="915"/>
        <v>0</v>
      </c>
      <c r="CA766" s="60">
        <f t="shared" si="916"/>
        <v>0</v>
      </c>
      <c r="CB766" s="60" t="e">
        <f t="shared" si="866"/>
        <v>#N/A</v>
      </c>
      <c r="CC766" s="60">
        <f t="shared" si="867"/>
        <v>100000</v>
      </c>
      <c r="CD766" s="60" t="e">
        <f t="shared" si="868"/>
        <v>#N/A</v>
      </c>
      <c r="CE766" s="60">
        <f t="shared" si="869"/>
        <v>100000</v>
      </c>
      <c r="CF766" s="83" t="e">
        <f t="shared" si="917"/>
        <v>#N/A</v>
      </c>
      <c r="CG766" s="83">
        <f t="shared" si="918"/>
        <v>0</v>
      </c>
      <c r="CH766" s="83" t="e">
        <f t="shared" si="919"/>
        <v>#N/A</v>
      </c>
      <c r="CI766" s="83">
        <f t="shared" si="920"/>
        <v>0</v>
      </c>
      <c r="CJ766" s="86" t="e">
        <f t="shared" si="870"/>
        <v>#N/A</v>
      </c>
      <c r="CK766" s="82">
        <f t="shared" si="871"/>
        <v>5.3070370403969858E-3</v>
      </c>
      <c r="CL766" s="82" t="e">
        <f t="shared" si="872"/>
        <v>#N/A</v>
      </c>
      <c r="CM766" s="82">
        <f t="shared" si="873"/>
        <v>5.3070370403969858E-3</v>
      </c>
      <c r="CO766" s="149" t="str">
        <f>IF($I766&lt;&gt;"",IF(O766="User Specified",U766,INDEX('Refrigerant GWPs'!$G$2:$G$156,MATCH(O766,'Refrigerant GWPs'!$A$2:$A$156,0))),"")</f>
        <v/>
      </c>
      <c r="CP766" s="138" t="str">
        <f>IF($I766&lt;&gt;"",INDEX('Device Refrigerant Leakage'!$E$2:$E$42,MATCH($M766,'Device Refrigerant Leakage'!$B$2:$B$42,0)),"")</f>
        <v/>
      </c>
      <c r="CQ766" s="138" t="str">
        <f>IF($I766&lt;&gt;"",INDEX('Device Refrigerant Leakage'!$F$2:$F$42,MATCH($M766,'Device Refrigerant Leakage'!$B$2:$B$42,0)),"")</f>
        <v/>
      </c>
      <c r="CR766" s="145" t="str">
        <f>IF($I766&lt;&gt;"",INDEX('Device Refrigerant Leakage'!$G$2:$G$42,MATCH($M766,'Device Refrigerant Leakage'!$B$2:$B$42,0)),"")</f>
        <v/>
      </c>
      <c r="CS766" s="145" t="str">
        <f>IF($I766&lt;&gt;"",INDEX('Device Refrigerant Leakage'!$D$2:$D$42,MATCH($M766,'Device Refrigerant Leakage'!$B$2:$B$42,0))*CP766/2204.62*CO766,"")</f>
        <v/>
      </c>
      <c r="CT766" s="145" t="str">
        <f>IF($I766&lt;&gt;"",J766*(INDEX('Device Refrigerant Leakage'!$D$2:$D$42,MATCH($M766,'Device Refrigerant Leakage'!$B$2:$B$42,0))-(INDEX('Device Refrigerant Leakage'!$D$2:$D$42,MATCH($M766,'Device Refrigerant Leakage'!$B$2:$B$42,0)))*CR766*CP766)*CQ766/2204.62*CO766,"")</f>
        <v/>
      </c>
      <c r="CU766" s="135" t="str">
        <f>IF($I766&lt;&gt;"",J766*IF(W766&lt;&gt;"AR",(CS766*K766)+CT766,(CS766*AB766)+CT766*(AB766/INDEX('Device Refrigerant Leakage'!$C$2:$C$42,MATCH($M766,'Device Refrigerant Leakage'!$B$2:$B$42,0)))),"")</f>
        <v/>
      </c>
      <c r="CW766" s="135" t="str">
        <f>IF($I766&lt;&gt;"",IF(S766="User Specified",V766,INDEX('Refrigerant GWPs'!$G$2:$G$156,MATCH(S766,'Refrigerant GWPs'!$A$2:$A$157,0))),"")</f>
        <v/>
      </c>
      <c r="CX766" s="138" t="str">
        <f>IF($I766&lt;&gt;"",INDEX('Device Refrigerant Leakage'!$E$2:$E$42,MATCH($Q766,'Device Refrigerant Leakage'!$B$2:$B$42,0)),"")</f>
        <v/>
      </c>
      <c r="CY766" s="138" t="str">
        <f>IF($I766&lt;&gt;"",INDEX('Device Refrigerant Leakage'!$F$2:$F$42,MATCH($Q766,'Device Refrigerant Leakage'!$B$2:$B$42,0)),"")</f>
        <v/>
      </c>
      <c r="CZ766" s="145" t="str">
        <f>IF($I766&lt;&gt;"",INDEX('Device Refrigerant Leakage'!$G$2:$G$42,MATCH($Q766,'Device Refrigerant Leakage'!$B$2:$B$42,0)),"")</f>
        <v/>
      </c>
      <c r="DA766" s="145" t="str">
        <f>IF($I766&lt;&gt;"",J766*INDEX('Device Refrigerant Leakage'!$D$2:$D$42,MATCH($Q766,'Device Refrigerant Leakage'!$B$2:$B$42,0))*CX766/2204.62*CW766,"")</f>
        <v/>
      </c>
      <c r="DB766" s="145" t="str">
        <f>IF($I766&lt;&gt;"",J766*(INDEX('Device Refrigerant Leakage'!$D$2:$D$42,MATCH($Q766,'Device Refrigerant Leakage'!$B$2:$B$42,0))-(INDEX('Device Refrigerant Leakage'!$D$2:$D$42,MATCH($Q766,'Device Refrigerant Leakage'!$B$2:$B$42,0)))*CZ766*CX766)*CY766/2204.62*CW766,"")</f>
        <v/>
      </c>
      <c r="DC766" s="135" t="str">
        <f t="shared" si="892"/>
        <v/>
      </c>
      <c r="DE766" s="146" t="str">
        <f>IF(W766&lt;&gt;"AR","",IF(Y766="User Specified", AA766, INDEX('Refrigerant GWPs'!$G$2:$G$154,MATCH(Y766,'Refrigerant GWPs'!$A$2:$A$154,0))))</f>
        <v/>
      </c>
      <c r="DF766" s="146" t="str">
        <f>IF(W766&lt;&gt;"AR","",INDEX('Device Refrigerant Leakage'!$E$2:$E$42,MATCH(X766,'Device Refrigerant Leakage'!$B$2:$B$42,0)))</f>
        <v/>
      </c>
      <c r="DG766" s="146" t="str">
        <f>IF(W766&lt;&gt;"AR","",INDEX('Device Refrigerant Leakage'!$F$2:$F$42,MATCH(X766,'Device Refrigerant Leakage'!$B$2:$B$42,0)))</f>
        <v/>
      </c>
      <c r="DH766" s="146" t="str">
        <f>IF(W766&lt;&gt;"AR","",INDEX('Device Refrigerant Leakage'!$G$2:$G$42,MATCH(X766,'Device Refrigerant Leakage'!$B$2:$B$42,0)))</f>
        <v/>
      </c>
      <c r="DI766" s="146" t="str">
        <f>IF(W766&lt;&gt;"AR","",J766*INDEX('Device Refrigerant Leakage'!$D$2:$D$42,MATCH(X766,'Device Refrigerant Leakage'!$B$2:$B$42,0))*DF766/2204.62*DE766)</f>
        <v/>
      </c>
      <c r="DJ766" s="146" t="str">
        <f>IF(W766&lt;&gt;"AR","",J766*(INDEX('Device Refrigerant Leakage'!$D$2:$D$42,MATCH(X766,'Device Refrigerant Leakage'!$B$2:$B$42,0))-(INDEX('Device Refrigerant Leakage'!$D$2:$D$42,MATCH(X766,'Device Refrigerant Leakage'!$B$2:$B$42,0)))*DH766*DF766)*DG766/2204.62*DE766)</f>
        <v/>
      </c>
      <c r="DK766" s="146" t="str">
        <f>IF(W766&lt;&gt;"AR","",DI766*(K766-AB766)+'Fuel Sub Calcs-Deemed'!DJ766*((K766-AB766)/INDEX('Device Refrigerant Leakage'!$C$2:$C$42,MATCH('Fuel Sub Calcs-Deemed'!X766,'Device Refrigerant Leakage'!$B$2:$B$42,0))))</f>
        <v/>
      </c>
      <c r="DM766" s="56">
        <v>752</v>
      </c>
      <c r="DN766" s="67" t="e">
        <f t="shared" si="874"/>
        <v>#N/A</v>
      </c>
      <c r="DO766" s="45" t="e">
        <f t="shared" si="875"/>
        <v>#N/A</v>
      </c>
      <c r="DP766" s="67" t="e">
        <f t="shared" si="876"/>
        <v>#N/A</v>
      </c>
      <c r="DQ766" s="45" t="e">
        <f t="shared" si="877"/>
        <v>#N/A</v>
      </c>
      <c r="DR766" s="69" t="e">
        <f t="shared" si="878"/>
        <v>#N/A</v>
      </c>
      <c r="DS766" s="34"/>
      <c r="DT766" s="67" t="e">
        <f>((BX766*CJ766)+IF($W766=MAT_AR,(BZ766*CL766),0))*(1+Reference!$E$50+Reference!$E$51)</f>
        <v>#N/A</v>
      </c>
      <c r="DU766" s="67">
        <f>((BY766*CK766)+IF($W766=MAT_AR,(CA766*CM766),0))*(1+Reference!$G$50+Reference!$G$51)</f>
        <v>0</v>
      </c>
      <c r="DV766" s="67" t="e">
        <f t="shared" si="879"/>
        <v>#VALUE!</v>
      </c>
      <c r="DX766" s="56">
        <v>752</v>
      </c>
      <c r="DY766" s="67">
        <f t="shared" si="880"/>
        <v>0</v>
      </c>
      <c r="DZ766" s="45" t="e">
        <f>VLOOKUP($R766,Dropdown!$C$3:$D$4,2,FALSE)</f>
        <v>#N/A</v>
      </c>
      <c r="EA766" s="68">
        <f t="shared" si="881"/>
        <v>0</v>
      </c>
      <c r="EB766" s="68" t="str">
        <f t="shared" si="882"/>
        <v>N/A</v>
      </c>
      <c r="EC766" s="68">
        <f t="shared" si="883"/>
        <v>0</v>
      </c>
      <c r="ED766" s="68" t="str">
        <f t="shared" si="921"/>
        <v>N/A</v>
      </c>
      <c r="EF766" s="56">
        <v>752</v>
      </c>
      <c r="EG766" s="46">
        <f t="shared" si="884"/>
        <v>0</v>
      </c>
      <c r="EH766" s="68" t="e">
        <f t="shared" si="885"/>
        <v>#N/A</v>
      </c>
      <c r="EI766" s="68" t="e">
        <f t="shared" si="886"/>
        <v>#N/A</v>
      </c>
      <c r="EJ766" s="68" t="e">
        <f t="shared" si="887"/>
        <v>#N/A</v>
      </c>
      <c r="EK766" s="68" t="e">
        <f t="shared" si="888"/>
        <v>#N/A</v>
      </c>
      <c r="EL766" s="46">
        <f t="shared" si="889"/>
        <v>0</v>
      </c>
      <c r="EM766" s="46">
        <f t="shared" si="890"/>
        <v>0</v>
      </c>
    </row>
    <row r="767" spans="1:143">
      <c r="A767" s="89"/>
      <c r="B767" s="89"/>
      <c r="C767" s="89"/>
      <c r="D767" s="89"/>
      <c r="E767" s="89"/>
      <c r="F767" s="89"/>
      <c r="G767" s="34"/>
      <c r="H767" s="56">
        <f t="shared" si="891"/>
        <v>753</v>
      </c>
      <c r="I767" s="165"/>
      <c r="J767" s="163"/>
      <c r="K767" s="163"/>
      <c r="L767" s="164"/>
      <c r="M767" s="155"/>
      <c r="N767" s="155"/>
      <c r="O767" s="144"/>
      <c r="P767" s="159" t="str">
        <f>IFERROR(IF(O767&lt;&gt;"User Specified",IF(O767&lt;&gt;"", INDEX('Refrigerant GWPs'!$G$2:$G$154,MATCH(O767,'Refrigerant GWPs'!$A$2:$A$154,0)),""),U767),0)</f>
        <v/>
      </c>
      <c r="Q767" s="155"/>
      <c r="R767" s="155"/>
      <c r="S767" s="144"/>
      <c r="T767" s="159" t="str">
        <f>IF(S767&lt;&gt;"User Specified",IF(AND(S767&lt;&gt;"User Specified",S767&lt;&gt;""), INDEX('Refrigerant GWPs'!$G$2:$G$154,MATCH(S767,'Refrigerant GWPs'!$A$2:$A$154,0)),""),V767)</f>
        <v/>
      </c>
      <c r="U767" s="144"/>
      <c r="V767" s="144"/>
      <c r="W767" s="155"/>
      <c r="X767" s="155"/>
      <c r="Y767" s="144"/>
      <c r="Z767" s="159" t="str">
        <f>IF(AND(Y767&lt;&gt;"User Specified",Y767&lt;&gt;""), INDEX('Refrigerant GWPs'!$G$2:$G$154,MATCH(Y767,'Refrigerant GWPs'!$A$2:$A$154,0)),"")</f>
        <v/>
      </c>
      <c r="AA767" s="155"/>
      <c r="AB767" s="156"/>
      <c r="AC767" s="66"/>
      <c r="AD767" s="66"/>
      <c r="AE767" s="66"/>
      <c r="AF767" s="66"/>
      <c r="AG767" s="66"/>
      <c r="AH767" s="66"/>
      <c r="AI767" s="34"/>
      <c r="AJ767" s="88">
        <f t="shared" si="854"/>
        <v>0</v>
      </c>
      <c r="AK767" s="88">
        <f t="shared" si="855"/>
        <v>0</v>
      </c>
      <c r="AL767" s="88">
        <v>0</v>
      </c>
      <c r="AM767" s="88">
        <v>0</v>
      </c>
      <c r="AN767" s="81" t="str">
        <f t="shared" si="893"/>
        <v/>
      </c>
      <c r="AO767" s="88">
        <f t="shared" si="856"/>
        <v>0</v>
      </c>
      <c r="AP767" s="88">
        <f t="shared" si="857"/>
        <v>0</v>
      </c>
      <c r="AQ767" s="81" t="str">
        <f t="shared" si="858"/>
        <v/>
      </c>
      <c r="AS767" s="41" t="b">
        <f t="shared" si="859"/>
        <v>1</v>
      </c>
      <c r="AT767" s="38">
        <f t="shared" si="860"/>
        <v>0</v>
      </c>
      <c r="AU767" s="60">
        <f t="shared" si="861"/>
        <v>0</v>
      </c>
      <c r="AV767" s="41">
        <f t="shared" si="862"/>
        <v>0</v>
      </c>
      <c r="AW767" s="41" t="b">
        <f t="shared" si="863"/>
        <v>0</v>
      </c>
      <c r="AX767" t="str">
        <f t="shared" si="864"/>
        <v>+00</v>
      </c>
      <c r="AY767" t="str">
        <f t="shared" si="865"/>
        <v>+00</v>
      </c>
      <c r="BA767" s="47" t="b">
        <f t="shared" si="894"/>
        <v>1</v>
      </c>
      <c r="BB767" s="42" t="b">
        <f t="shared" si="895"/>
        <v>1</v>
      </c>
      <c r="BC767" s="42" t="b">
        <f t="shared" si="896"/>
        <v>0</v>
      </c>
      <c r="BD767" s="42" t="b">
        <f t="shared" si="897"/>
        <v>0</v>
      </c>
      <c r="BE767" s="70">
        <f t="shared" si="898"/>
        <v>0</v>
      </c>
      <c r="BF767" s="70">
        <f t="shared" si="899"/>
        <v>0</v>
      </c>
      <c r="BG767" s="34"/>
      <c r="BI767" s="47" t="b">
        <f t="shared" si="900"/>
        <v>1</v>
      </c>
      <c r="BJ767" s="47" t="b">
        <f t="shared" si="901"/>
        <v>1</v>
      </c>
      <c r="BK767" s="42" t="b">
        <f t="shared" si="902"/>
        <v>0</v>
      </c>
      <c r="BL767" s="42" t="b">
        <f t="shared" si="903"/>
        <v>0</v>
      </c>
      <c r="BM767" s="42">
        <f t="shared" si="904"/>
        <v>0</v>
      </c>
      <c r="BN767" s="42">
        <f t="shared" si="905"/>
        <v>0</v>
      </c>
      <c r="BP767" t="e">
        <f t="shared" si="906"/>
        <v>#N/A</v>
      </c>
      <c r="BQ767" t="e">
        <f t="shared" si="907"/>
        <v>#N/A</v>
      </c>
      <c r="BR767" t="e">
        <f t="shared" si="908"/>
        <v>#N/A</v>
      </c>
      <c r="BT767" s="60">
        <f t="shared" si="909"/>
        <v>0</v>
      </c>
      <c r="BU767" s="60">
        <f t="shared" si="910"/>
        <v>0</v>
      </c>
      <c r="BV767" s="60">
        <f t="shared" si="911"/>
        <v>0</v>
      </c>
      <c r="BW767" s="60">
        <f t="shared" si="912"/>
        <v>0</v>
      </c>
      <c r="BX767" s="60">
        <f t="shared" si="913"/>
        <v>0</v>
      </c>
      <c r="BY767" s="60">
        <f t="shared" si="914"/>
        <v>0</v>
      </c>
      <c r="BZ767" s="60">
        <f t="shared" si="915"/>
        <v>0</v>
      </c>
      <c r="CA767" s="60">
        <f t="shared" si="916"/>
        <v>0</v>
      </c>
      <c r="CB767" s="60" t="e">
        <f t="shared" si="866"/>
        <v>#N/A</v>
      </c>
      <c r="CC767" s="60">
        <f t="shared" si="867"/>
        <v>100000</v>
      </c>
      <c r="CD767" s="60" t="e">
        <f t="shared" si="868"/>
        <v>#N/A</v>
      </c>
      <c r="CE767" s="60">
        <f t="shared" si="869"/>
        <v>100000</v>
      </c>
      <c r="CF767" s="83" t="e">
        <f t="shared" si="917"/>
        <v>#N/A</v>
      </c>
      <c r="CG767" s="83">
        <f t="shared" si="918"/>
        <v>0</v>
      </c>
      <c r="CH767" s="83" t="e">
        <f t="shared" si="919"/>
        <v>#N/A</v>
      </c>
      <c r="CI767" s="83">
        <f t="shared" si="920"/>
        <v>0</v>
      </c>
      <c r="CJ767" s="86" t="e">
        <f t="shared" si="870"/>
        <v>#N/A</v>
      </c>
      <c r="CK767" s="82">
        <f t="shared" si="871"/>
        <v>5.3070370403969858E-3</v>
      </c>
      <c r="CL767" s="82" t="e">
        <f t="shared" si="872"/>
        <v>#N/A</v>
      </c>
      <c r="CM767" s="82">
        <f t="shared" si="873"/>
        <v>5.3070370403969858E-3</v>
      </c>
      <c r="CO767" s="149" t="str">
        <f>IF($I767&lt;&gt;"",IF(O767="User Specified",U767,INDEX('Refrigerant GWPs'!$G$2:$G$156,MATCH(O767,'Refrigerant GWPs'!$A$2:$A$156,0))),"")</f>
        <v/>
      </c>
      <c r="CP767" s="138" t="str">
        <f>IF($I767&lt;&gt;"",INDEX('Device Refrigerant Leakage'!$E$2:$E$42,MATCH($M767,'Device Refrigerant Leakage'!$B$2:$B$42,0)),"")</f>
        <v/>
      </c>
      <c r="CQ767" s="138" t="str">
        <f>IF($I767&lt;&gt;"",INDEX('Device Refrigerant Leakage'!$F$2:$F$42,MATCH($M767,'Device Refrigerant Leakage'!$B$2:$B$42,0)),"")</f>
        <v/>
      </c>
      <c r="CR767" s="145" t="str">
        <f>IF($I767&lt;&gt;"",INDEX('Device Refrigerant Leakage'!$G$2:$G$42,MATCH($M767,'Device Refrigerant Leakage'!$B$2:$B$42,0)),"")</f>
        <v/>
      </c>
      <c r="CS767" s="145" t="str">
        <f>IF($I767&lt;&gt;"",INDEX('Device Refrigerant Leakage'!$D$2:$D$42,MATCH($M767,'Device Refrigerant Leakage'!$B$2:$B$42,0))*CP767/2204.62*CO767,"")</f>
        <v/>
      </c>
      <c r="CT767" s="145" t="str">
        <f>IF($I767&lt;&gt;"",J767*(INDEX('Device Refrigerant Leakage'!$D$2:$D$42,MATCH($M767,'Device Refrigerant Leakage'!$B$2:$B$42,0))-(INDEX('Device Refrigerant Leakage'!$D$2:$D$42,MATCH($M767,'Device Refrigerant Leakage'!$B$2:$B$42,0)))*CR767*CP767)*CQ767/2204.62*CO767,"")</f>
        <v/>
      </c>
      <c r="CU767" s="135" t="str">
        <f>IF($I767&lt;&gt;"",J767*IF(W767&lt;&gt;"AR",(CS767*K767)+CT767,(CS767*AB767)+CT767*(AB767/INDEX('Device Refrigerant Leakage'!$C$2:$C$42,MATCH($M767,'Device Refrigerant Leakage'!$B$2:$B$42,0)))),"")</f>
        <v/>
      </c>
      <c r="CW767" s="135" t="str">
        <f>IF($I767&lt;&gt;"",IF(S767="User Specified",V767,INDEX('Refrigerant GWPs'!$G$2:$G$156,MATCH(S767,'Refrigerant GWPs'!$A$2:$A$157,0))),"")</f>
        <v/>
      </c>
      <c r="CX767" s="138" t="str">
        <f>IF($I767&lt;&gt;"",INDEX('Device Refrigerant Leakage'!$E$2:$E$42,MATCH($Q767,'Device Refrigerant Leakage'!$B$2:$B$42,0)),"")</f>
        <v/>
      </c>
      <c r="CY767" s="138" t="str">
        <f>IF($I767&lt;&gt;"",INDEX('Device Refrigerant Leakage'!$F$2:$F$42,MATCH($Q767,'Device Refrigerant Leakage'!$B$2:$B$42,0)),"")</f>
        <v/>
      </c>
      <c r="CZ767" s="145" t="str">
        <f>IF($I767&lt;&gt;"",INDEX('Device Refrigerant Leakage'!$G$2:$G$42,MATCH($Q767,'Device Refrigerant Leakage'!$B$2:$B$42,0)),"")</f>
        <v/>
      </c>
      <c r="DA767" s="145" t="str">
        <f>IF($I767&lt;&gt;"",J767*INDEX('Device Refrigerant Leakage'!$D$2:$D$42,MATCH($Q767,'Device Refrigerant Leakage'!$B$2:$B$42,0))*CX767/2204.62*CW767,"")</f>
        <v/>
      </c>
      <c r="DB767" s="145" t="str">
        <f>IF($I767&lt;&gt;"",J767*(INDEX('Device Refrigerant Leakage'!$D$2:$D$42,MATCH($Q767,'Device Refrigerant Leakage'!$B$2:$B$42,0))-(INDEX('Device Refrigerant Leakage'!$D$2:$D$42,MATCH($Q767,'Device Refrigerant Leakage'!$B$2:$B$42,0)))*CZ767*CX767)*CY767/2204.62*CW767,"")</f>
        <v/>
      </c>
      <c r="DC767" s="135" t="str">
        <f t="shared" si="892"/>
        <v/>
      </c>
      <c r="DE767" s="146" t="str">
        <f>IF(W767&lt;&gt;"AR","",IF(Y767="User Specified", AA767, INDEX('Refrigerant GWPs'!$G$2:$G$154,MATCH(Y767,'Refrigerant GWPs'!$A$2:$A$154,0))))</f>
        <v/>
      </c>
      <c r="DF767" s="146" t="str">
        <f>IF(W767&lt;&gt;"AR","",INDEX('Device Refrigerant Leakage'!$E$2:$E$42,MATCH(X767,'Device Refrigerant Leakage'!$B$2:$B$42,0)))</f>
        <v/>
      </c>
      <c r="DG767" s="146" t="str">
        <f>IF(W767&lt;&gt;"AR","",INDEX('Device Refrigerant Leakage'!$F$2:$F$42,MATCH(X767,'Device Refrigerant Leakage'!$B$2:$B$42,0)))</f>
        <v/>
      </c>
      <c r="DH767" s="146" t="str">
        <f>IF(W767&lt;&gt;"AR","",INDEX('Device Refrigerant Leakage'!$G$2:$G$42,MATCH(X767,'Device Refrigerant Leakage'!$B$2:$B$42,0)))</f>
        <v/>
      </c>
      <c r="DI767" s="146" t="str">
        <f>IF(W767&lt;&gt;"AR","",J767*INDEX('Device Refrigerant Leakage'!$D$2:$D$42,MATCH(X767,'Device Refrigerant Leakage'!$B$2:$B$42,0))*DF767/2204.62*DE767)</f>
        <v/>
      </c>
      <c r="DJ767" s="146" t="str">
        <f>IF(W767&lt;&gt;"AR","",J767*(INDEX('Device Refrigerant Leakage'!$D$2:$D$42,MATCH(X767,'Device Refrigerant Leakage'!$B$2:$B$42,0))-(INDEX('Device Refrigerant Leakage'!$D$2:$D$42,MATCH(X767,'Device Refrigerant Leakage'!$B$2:$B$42,0)))*DH767*DF767)*DG767/2204.62*DE767)</f>
        <v/>
      </c>
      <c r="DK767" s="146" t="str">
        <f>IF(W767&lt;&gt;"AR","",DI767*(K767-AB767)+'Fuel Sub Calcs-Deemed'!DJ767*((K767-AB767)/INDEX('Device Refrigerant Leakage'!$C$2:$C$42,MATCH('Fuel Sub Calcs-Deemed'!X767,'Device Refrigerant Leakage'!$B$2:$B$42,0))))</f>
        <v/>
      </c>
      <c r="DM767" s="56">
        <v>753</v>
      </c>
      <c r="DN767" s="67" t="e">
        <f t="shared" si="874"/>
        <v>#N/A</v>
      </c>
      <c r="DO767" s="45" t="e">
        <f t="shared" si="875"/>
        <v>#N/A</v>
      </c>
      <c r="DP767" s="67" t="e">
        <f t="shared" si="876"/>
        <v>#N/A</v>
      </c>
      <c r="DQ767" s="45" t="e">
        <f t="shared" si="877"/>
        <v>#N/A</v>
      </c>
      <c r="DR767" s="69" t="e">
        <f t="shared" si="878"/>
        <v>#N/A</v>
      </c>
      <c r="DS767" s="34"/>
      <c r="DT767" s="67" t="e">
        <f>((BX767*CJ767)+IF($W767=MAT_AR,(BZ767*CL767),0))*(1+Reference!$E$50+Reference!$E$51)</f>
        <v>#N/A</v>
      </c>
      <c r="DU767" s="67">
        <f>((BY767*CK767)+IF($W767=MAT_AR,(CA767*CM767),0))*(1+Reference!$G$50+Reference!$G$51)</f>
        <v>0</v>
      </c>
      <c r="DV767" s="67" t="e">
        <f t="shared" si="879"/>
        <v>#VALUE!</v>
      </c>
      <c r="DX767" s="56">
        <v>753</v>
      </c>
      <c r="DY767" s="67">
        <f t="shared" si="880"/>
        <v>0</v>
      </c>
      <c r="DZ767" s="45" t="e">
        <f>VLOOKUP($R767,Dropdown!$C$3:$D$4,2,FALSE)</f>
        <v>#N/A</v>
      </c>
      <c r="EA767" s="68">
        <f t="shared" si="881"/>
        <v>0</v>
      </c>
      <c r="EB767" s="68" t="str">
        <f t="shared" si="882"/>
        <v>N/A</v>
      </c>
      <c r="EC767" s="68">
        <f t="shared" si="883"/>
        <v>0</v>
      </c>
      <c r="ED767" s="68" t="str">
        <f t="shared" si="921"/>
        <v>N/A</v>
      </c>
      <c r="EF767" s="56">
        <v>753</v>
      </c>
      <c r="EG767" s="46">
        <f t="shared" si="884"/>
        <v>0</v>
      </c>
      <c r="EH767" s="68" t="e">
        <f t="shared" si="885"/>
        <v>#N/A</v>
      </c>
      <c r="EI767" s="68" t="e">
        <f t="shared" si="886"/>
        <v>#N/A</v>
      </c>
      <c r="EJ767" s="68" t="e">
        <f t="shared" si="887"/>
        <v>#N/A</v>
      </c>
      <c r="EK767" s="68" t="e">
        <f t="shared" si="888"/>
        <v>#N/A</v>
      </c>
      <c r="EL767" s="46">
        <f t="shared" si="889"/>
        <v>0</v>
      </c>
      <c r="EM767" s="46">
        <f t="shared" si="890"/>
        <v>0</v>
      </c>
    </row>
    <row r="768" spans="1:143">
      <c r="A768" s="89"/>
      <c r="B768" s="89"/>
      <c r="C768" s="89"/>
      <c r="D768" s="89"/>
      <c r="E768" s="89"/>
      <c r="F768" s="89"/>
      <c r="G768" s="34"/>
      <c r="H768" s="56">
        <f t="shared" si="891"/>
        <v>754</v>
      </c>
      <c r="I768" s="165"/>
      <c r="J768" s="163"/>
      <c r="K768" s="163"/>
      <c r="L768" s="164"/>
      <c r="M768" s="155"/>
      <c r="N768" s="155"/>
      <c r="O768" s="144"/>
      <c r="P768" s="159" t="str">
        <f>IFERROR(IF(O768&lt;&gt;"User Specified",IF(O768&lt;&gt;"", INDEX('Refrigerant GWPs'!$G$2:$G$154,MATCH(O768,'Refrigerant GWPs'!$A$2:$A$154,0)),""),U768),0)</f>
        <v/>
      </c>
      <c r="Q768" s="155"/>
      <c r="R768" s="155"/>
      <c r="S768" s="144"/>
      <c r="T768" s="159" t="str">
        <f>IF(S768&lt;&gt;"User Specified",IF(AND(S768&lt;&gt;"User Specified",S768&lt;&gt;""), INDEX('Refrigerant GWPs'!$G$2:$G$154,MATCH(S768,'Refrigerant GWPs'!$A$2:$A$154,0)),""),V768)</f>
        <v/>
      </c>
      <c r="U768" s="144"/>
      <c r="V768" s="144"/>
      <c r="W768" s="155"/>
      <c r="X768" s="155"/>
      <c r="Y768" s="144"/>
      <c r="Z768" s="159" t="str">
        <f>IF(AND(Y768&lt;&gt;"User Specified",Y768&lt;&gt;""), INDEX('Refrigerant GWPs'!$G$2:$G$154,MATCH(Y768,'Refrigerant GWPs'!$A$2:$A$154,0)),"")</f>
        <v/>
      </c>
      <c r="AA768" s="155"/>
      <c r="AB768" s="156"/>
      <c r="AC768" s="66"/>
      <c r="AD768" s="66"/>
      <c r="AE768" s="66"/>
      <c r="AF768" s="66"/>
      <c r="AG768" s="66"/>
      <c r="AH768" s="66"/>
      <c r="AI768" s="34"/>
      <c r="AJ768" s="88">
        <f t="shared" si="854"/>
        <v>0</v>
      </c>
      <c r="AK768" s="88">
        <f t="shared" si="855"/>
        <v>0</v>
      </c>
      <c r="AL768" s="88">
        <v>0</v>
      </c>
      <c r="AM768" s="88">
        <v>0</v>
      </c>
      <c r="AN768" s="81" t="str">
        <f t="shared" si="893"/>
        <v/>
      </c>
      <c r="AO768" s="88">
        <f t="shared" si="856"/>
        <v>0</v>
      </c>
      <c r="AP768" s="88">
        <f t="shared" si="857"/>
        <v>0</v>
      </c>
      <c r="AQ768" s="81" t="str">
        <f t="shared" si="858"/>
        <v/>
      </c>
      <c r="AS768" s="41" t="b">
        <f t="shared" si="859"/>
        <v>1</v>
      </c>
      <c r="AT768" s="38">
        <f t="shared" si="860"/>
        <v>0</v>
      </c>
      <c r="AU768" s="60">
        <f t="shared" si="861"/>
        <v>0</v>
      </c>
      <c r="AV768" s="41">
        <f t="shared" si="862"/>
        <v>0</v>
      </c>
      <c r="AW768" s="41" t="b">
        <f t="shared" si="863"/>
        <v>0</v>
      </c>
      <c r="AX768" t="str">
        <f t="shared" si="864"/>
        <v>+00</v>
      </c>
      <c r="AY768" t="str">
        <f t="shared" si="865"/>
        <v>+00</v>
      </c>
      <c r="BA768" s="47" t="b">
        <f t="shared" si="894"/>
        <v>1</v>
      </c>
      <c r="BB768" s="42" t="b">
        <f t="shared" si="895"/>
        <v>1</v>
      </c>
      <c r="BC768" s="42" t="b">
        <f t="shared" si="896"/>
        <v>0</v>
      </c>
      <c r="BD768" s="42" t="b">
        <f t="shared" si="897"/>
        <v>0</v>
      </c>
      <c r="BE768" s="70">
        <f t="shared" si="898"/>
        <v>0</v>
      </c>
      <c r="BF768" s="70">
        <f t="shared" si="899"/>
        <v>0</v>
      </c>
      <c r="BG768" s="34"/>
      <c r="BI768" s="47" t="b">
        <f t="shared" si="900"/>
        <v>1</v>
      </c>
      <c r="BJ768" s="47" t="b">
        <f t="shared" si="901"/>
        <v>1</v>
      </c>
      <c r="BK768" s="42" t="b">
        <f t="shared" si="902"/>
        <v>0</v>
      </c>
      <c r="BL768" s="42" t="b">
        <f t="shared" si="903"/>
        <v>0</v>
      </c>
      <c r="BM768" s="42">
        <f t="shared" si="904"/>
        <v>0</v>
      </c>
      <c r="BN768" s="42">
        <f t="shared" si="905"/>
        <v>0</v>
      </c>
      <c r="BP768" t="e">
        <f t="shared" si="906"/>
        <v>#N/A</v>
      </c>
      <c r="BQ768" t="e">
        <f t="shared" si="907"/>
        <v>#N/A</v>
      </c>
      <c r="BR768" t="e">
        <f t="shared" si="908"/>
        <v>#N/A</v>
      </c>
      <c r="BT768" s="60">
        <f t="shared" si="909"/>
        <v>0</v>
      </c>
      <c r="BU768" s="60">
        <f t="shared" si="910"/>
        <v>0</v>
      </c>
      <c r="BV768" s="60">
        <f t="shared" si="911"/>
        <v>0</v>
      </c>
      <c r="BW768" s="60">
        <f t="shared" si="912"/>
        <v>0</v>
      </c>
      <c r="BX768" s="60">
        <f t="shared" si="913"/>
        <v>0</v>
      </c>
      <c r="BY768" s="60">
        <f t="shared" si="914"/>
        <v>0</v>
      </c>
      <c r="BZ768" s="60">
        <f t="shared" si="915"/>
        <v>0</v>
      </c>
      <c r="CA768" s="60">
        <f t="shared" si="916"/>
        <v>0</v>
      </c>
      <c r="CB768" s="60" t="e">
        <f t="shared" si="866"/>
        <v>#N/A</v>
      </c>
      <c r="CC768" s="60">
        <f t="shared" si="867"/>
        <v>100000</v>
      </c>
      <c r="CD768" s="60" t="e">
        <f t="shared" si="868"/>
        <v>#N/A</v>
      </c>
      <c r="CE768" s="60">
        <f t="shared" si="869"/>
        <v>100000</v>
      </c>
      <c r="CF768" s="83" t="e">
        <f t="shared" si="917"/>
        <v>#N/A</v>
      </c>
      <c r="CG768" s="83">
        <f t="shared" si="918"/>
        <v>0</v>
      </c>
      <c r="CH768" s="83" t="e">
        <f t="shared" si="919"/>
        <v>#N/A</v>
      </c>
      <c r="CI768" s="83">
        <f t="shared" si="920"/>
        <v>0</v>
      </c>
      <c r="CJ768" s="86" t="e">
        <f t="shared" si="870"/>
        <v>#N/A</v>
      </c>
      <c r="CK768" s="82">
        <f t="shared" si="871"/>
        <v>5.3070370403969858E-3</v>
      </c>
      <c r="CL768" s="82" t="e">
        <f t="shared" si="872"/>
        <v>#N/A</v>
      </c>
      <c r="CM768" s="82">
        <f t="shared" si="873"/>
        <v>5.3070370403969858E-3</v>
      </c>
      <c r="CO768" s="149" t="str">
        <f>IF($I768&lt;&gt;"",IF(O768="User Specified",U768,INDEX('Refrigerant GWPs'!$G$2:$G$156,MATCH(O768,'Refrigerant GWPs'!$A$2:$A$156,0))),"")</f>
        <v/>
      </c>
      <c r="CP768" s="138" t="str">
        <f>IF($I768&lt;&gt;"",INDEX('Device Refrigerant Leakage'!$E$2:$E$42,MATCH($M768,'Device Refrigerant Leakage'!$B$2:$B$42,0)),"")</f>
        <v/>
      </c>
      <c r="CQ768" s="138" t="str">
        <f>IF($I768&lt;&gt;"",INDEX('Device Refrigerant Leakage'!$F$2:$F$42,MATCH($M768,'Device Refrigerant Leakage'!$B$2:$B$42,0)),"")</f>
        <v/>
      </c>
      <c r="CR768" s="145" t="str">
        <f>IF($I768&lt;&gt;"",INDEX('Device Refrigerant Leakage'!$G$2:$G$42,MATCH($M768,'Device Refrigerant Leakage'!$B$2:$B$42,0)),"")</f>
        <v/>
      </c>
      <c r="CS768" s="145" t="str">
        <f>IF($I768&lt;&gt;"",INDEX('Device Refrigerant Leakage'!$D$2:$D$42,MATCH($M768,'Device Refrigerant Leakage'!$B$2:$B$42,0))*CP768/2204.62*CO768,"")</f>
        <v/>
      </c>
      <c r="CT768" s="145" t="str">
        <f>IF($I768&lt;&gt;"",J768*(INDEX('Device Refrigerant Leakage'!$D$2:$D$42,MATCH($M768,'Device Refrigerant Leakage'!$B$2:$B$42,0))-(INDEX('Device Refrigerant Leakage'!$D$2:$D$42,MATCH($M768,'Device Refrigerant Leakage'!$B$2:$B$42,0)))*CR768*CP768)*CQ768/2204.62*CO768,"")</f>
        <v/>
      </c>
      <c r="CU768" s="135" t="str">
        <f>IF($I768&lt;&gt;"",J768*IF(W768&lt;&gt;"AR",(CS768*K768)+CT768,(CS768*AB768)+CT768*(AB768/INDEX('Device Refrigerant Leakage'!$C$2:$C$42,MATCH($M768,'Device Refrigerant Leakage'!$B$2:$B$42,0)))),"")</f>
        <v/>
      </c>
      <c r="CW768" s="135" t="str">
        <f>IF($I768&lt;&gt;"",IF(S768="User Specified",V768,INDEX('Refrigerant GWPs'!$G$2:$G$156,MATCH(S768,'Refrigerant GWPs'!$A$2:$A$157,0))),"")</f>
        <v/>
      </c>
      <c r="CX768" s="138" t="str">
        <f>IF($I768&lt;&gt;"",INDEX('Device Refrigerant Leakage'!$E$2:$E$42,MATCH($Q768,'Device Refrigerant Leakage'!$B$2:$B$42,0)),"")</f>
        <v/>
      </c>
      <c r="CY768" s="138" t="str">
        <f>IF($I768&lt;&gt;"",INDEX('Device Refrigerant Leakage'!$F$2:$F$42,MATCH($Q768,'Device Refrigerant Leakage'!$B$2:$B$42,0)),"")</f>
        <v/>
      </c>
      <c r="CZ768" s="145" t="str">
        <f>IF($I768&lt;&gt;"",INDEX('Device Refrigerant Leakage'!$G$2:$G$42,MATCH($Q768,'Device Refrigerant Leakage'!$B$2:$B$42,0)),"")</f>
        <v/>
      </c>
      <c r="DA768" s="145" t="str">
        <f>IF($I768&lt;&gt;"",J768*INDEX('Device Refrigerant Leakage'!$D$2:$D$42,MATCH($Q768,'Device Refrigerant Leakage'!$B$2:$B$42,0))*CX768/2204.62*CW768,"")</f>
        <v/>
      </c>
      <c r="DB768" s="145" t="str">
        <f>IF($I768&lt;&gt;"",J768*(INDEX('Device Refrigerant Leakage'!$D$2:$D$42,MATCH($Q768,'Device Refrigerant Leakage'!$B$2:$B$42,0))-(INDEX('Device Refrigerant Leakage'!$D$2:$D$42,MATCH($Q768,'Device Refrigerant Leakage'!$B$2:$B$42,0)))*CZ768*CX768)*CY768/2204.62*CW768,"")</f>
        <v/>
      </c>
      <c r="DC768" s="135" t="str">
        <f t="shared" si="892"/>
        <v/>
      </c>
      <c r="DE768" s="146" t="str">
        <f>IF(W768&lt;&gt;"AR","",IF(Y768="User Specified", AA768, INDEX('Refrigerant GWPs'!$G$2:$G$154,MATCH(Y768,'Refrigerant GWPs'!$A$2:$A$154,0))))</f>
        <v/>
      </c>
      <c r="DF768" s="146" t="str">
        <f>IF(W768&lt;&gt;"AR","",INDEX('Device Refrigerant Leakage'!$E$2:$E$42,MATCH(X768,'Device Refrigerant Leakage'!$B$2:$B$42,0)))</f>
        <v/>
      </c>
      <c r="DG768" s="146" t="str">
        <f>IF(W768&lt;&gt;"AR","",INDEX('Device Refrigerant Leakage'!$F$2:$F$42,MATCH(X768,'Device Refrigerant Leakage'!$B$2:$B$42,0)))</f>
        <v/>
      </c>
      <c r="DH768" s="146" t="str">
        <f>IF(W768&lt;&gt;"AR","",INDEX('Device Refrigerant Leakage'!$G$2:$G$42,MATCH(X768,'Device Refrigerant Leakage'!$B$2:$B$42,0)))</f>
        <v/>
      </c>
      <c r="DI768" s="146" t="str">
        <f>IF(W768&lt;&gt;"AR","",J768*INDEX('Device Refrigerant Leakage'!$D$2:$D$42,MATCH(X768,'Device Refrigerant Leakage'!$B$2:$B$42,0))*DF768/2204.62*DE768)</f>
        <v/>
      </c>
      <c r="DJ768" s="146" t="str">
        <f>IF(W768&lt;&gt;"AR","",J768*(INDEX('Device Refrigerant Leakage'!$D$2:$D$42,MATCH(X768,'Device Refrigerant Leakage'!$B$2:$B$42,0))-(INDEX('Device Refrigerant Leakage'!$D$2:$D$42,MATCH(X768,'Device Refrigerant Leakage'!$B$2:$B$42,0)))*DH768*DF768)*DG768/2204.62*DE768)</f>
        <v/>
      </c>
      <c r="DK768" s="146" t="str">
        <f>IF(W768&lt;&gt;"AR","",DI768*(K768-AB768)+'Fuel Sub Calcs-Deemed'!DJ768*((K768-AB768)/INDEX('Device Refrigerant Leakage'!$C$2:$C$42,MATCH('Fuel Sub Calcs-Deemed'!X768,'Device Refrigerant Leakage'!$B$2:$B$42,0))))</f>
        <v/>
      </c>
      <c r="DM768" s="56">
        <v>754</v>
      </c>
      <c r="DN768" s="67" t="e">
        <f t="shared" si="874"/>
        <v>#N/A</v>
      </c>
      <c r="DO768" s="45" t="e">
        <f t="shared" si="875"/>
        <v>#N/A</v>
      </c>
      <c r="DP768" s="67" t="e">
        <f t="shared" si="876"/>
        <v>#N/A</v>
      </c>
      <c r="DQ768" s="45" t="e">
        <f t="shared" si="877"/>
        <v>#N/A</v>
      </c>
      <c r="DR768" s="69" t="e">
        <f t="shared" si="878"/>
        <v>#N/A</v>
      </c>
      <c r="DS768" s="34"/>
      <c r="DT768" s="67" t="e">
        <f>((BX768*CJ768)+IF($W768=MAT_AR,(BZ768*CL768),0))*(1+Reference!$E$50+Reference!$E$51)</f>
        <v>#N/A</v>
      </c>
      <c r="DU768" s="67">
        <f>((BY768*CK768)+IF($W768=MAT_AR,(CA768*CM768),0))*(1+Reference!$G$50+Reference!$G$51)</f>
        <v>0</v>
      </c>
      <c r="DV768" s="67" t="e">
        <f t="shared" si="879"/>
        <v>#VALUE!</v>
      </c>
      <c r="DX768" s="56">
        <v>754</v>
      </c>
      <c r="DY768" s="67">
        <f t="shared" si="880"/>
        <v>0</v>
      </c>
      <c r="DZ768" s="45" t="e">
        <f>VLOOKUP($R768,Dropdown!$C$3:$D$4,2,FALSE)</f>
        <v>#N/A</v>
      </c>
      <c r="EA768" s="68">
        <f t="shared" si="881"/>
        <v>0</v>
      </c>
      <c r="EB768" s="68" t="str">
        <f t="shared" si="882"/>
        <v>N/A</v>
      </c>
      <c r="EC768" s="68">
        <f t="shared" si="883"/>
        <v>0</v>
      </c>
      <c r="ED768" s="68" t="str">
        <f t="shared" si="921"/>
        <v>N/A</v>
      </c>
      <c r="EF768" s="56">
        <v>754</v>
      </c>
      <c r="EG768" s="46">
        <f t="shared" si="884"/>
        <v>0</v>
      </c>
      <c r="EH768" s="68" t="e">
        <f t="shared" si="885"/>
        <v>#N/A</v>
      </c>
      <c r="EI768" s="68" t="e">
        <f t="shared" si="886"/>
        <v>#N/A</v>
      </c>
      <c r="EJ768" s="68" t="e">
        <f t="shared" si="887"/>
        <v>#N/A</v>
      </c>
      <c r="EK768" s="68" t="e">
        <f t="shared" si="888"/>
        <v>#N/A</v>
      </c>
      <c r="EL768" s="46">
        <f t="shared" si="889"/>
        <v>0</v>
      </c>
      <c r="EM768" s="46">
        <f t="shared" si="890"/>
        <v>0</v>
      </c>
    </row>
    <row r="769" spans="1:143">
      <c r="A769" s="89"/>
      <c r="B769" s="89"/>
      <c r="C769" s="89"/>
      <c r="D769" s="89"/>
      <c r="E769" s="89"/>
      <c r="F769" s="89"/>
      <c r="G769" s="34"/>
      <c r="H769" s="56">
        <f t="shared" si="891"/>
        <v>755</v>
      </c>
      <c r="I769" s="165"/>
      <c r="J769" s="163"/>
      <c r="K769" s="163"/>
      <c r="L769" s="164"/>
      <c r="M769" s="155"/>
      <c r="N769" s="155"/>
      <c r="O769" s="144"/>
      <c r="P769" s="159" t="str">
        <f>IFERROR(IF(O769&lt;&gt;"User Specified",IF(O769&lt;&gt;"", INDEX('Refrigerant GWPs'!$G$2:$G$154,MATCH(O769,'Refrigerant GWPs'!$A$2:$A$154,0)),""),U769),0)</f>
        <v/>
      </c>
      <c r="Q769" s="155"/>
      <c r="R769" s="155"/>
      <c r="S769" s="144"/>
      <c r="T769" s="159" t="str">
        <f>IF(S769&lt;&gt;"User Specified",IF(AND(S769&lt;&gt;"User Specified",S769&lt;&gt;""), INDEX('Refrigerant GWPs'!$G$2:$G$154,MATCH(S769,'Refrigerant GWPs'!$A$2:$A$154,0)),""),V769)</f>
        <v/>
      </c>
      <c r="U769" s="144"/>
      <c r="V769" s="144"/>
      <c r="W769" s="155"/>
      <c r="X769" s="155"/>
      <c r="Y769" s="144"/>
      <c r="Z769" s="159" t="str">
        <f>IF(AND(Y769&lt;&gt;"User Specified",Y769&lt;&gt;""), INDEX('Refrigerant GWPs'!$G$2:$G$154,MATCH(Y769,'Refrigerant GWPs'!$A$2:$A$154,0)),"")</f>
        <v/>
      </c>
      <c r="AA769" s="155"/>
      <c r="AB769" s="156"/>
      <c r="AC769" s="66"/>
      <c r="AD769" s="66"/>
      <c r="AE769" s="66"/>
      <c r="AF769" s="66"/>
      <c r="AG769" s="66"/>
      <c r="AH769" s="66"/>
      <c r="AI769" s="34"/>
      <c r="AJ769" s="88">
        <f t="shared" si="854"/>
        <v>0</v>
      </c>
      <c r="AK769" s="88">
        <f t="shared" si="855"/>
        <v>0</v>
      </c>
      <c r="AL769" s="88">
        <v>0</v>
      </c>
      <c r="AM769" s="88">
        <v>0</v>
      </c>
      <c r="AN769" s="81" t="str">
        <f t="shared" si="893"/>
        <v/>
      </c>
      <c r="AO769" s="88">
        <f t="shared" si="856"/>
        <v>0</v>
      </c>
      <c r="AP769" s="88">
        <f t="shared" si="857"/>
        <v>0</v>
      </c>
      <c r="AQ769" s="81" t="str">
        <f t="shared" si="858"/>
        <v/>
      </c>
      <c r="AS769" s="41" t="b">
        <f t="shared" si="859"/>
        <v>1</v>
      </c>
      <c r="AT769" s="38">
        <f t="shared" si="860"/>
        <v>0</v>
      </c>
      <c r="AU769" s="60">
        <f t="shared" si="861"/>
        <v>0</v>
      </c>
      <c r="AV769" s="41">
        <f t="shared" si="862"/>
        <v>0</v>
      </c>
      <c r="AW769" s="41" t="b">
        <f t="shared" si="863"/>
        <v>0</v>
      </c>
      <c r="AX769" t="str">
        <f t="shared" si="864"/>
        <v>+00</v>
      </c>
      <c r="AY769" t="str">
        <f t="shared" si="865"/>
        <v>+00</v>
      </c>
      <c r="BA769" s="47" t="b">
        <f t="shared" si="894"/>
        <v>1</v>
      </c>
      <c r="BB769" s="42" t="b">
        <f t="shared" si="895"/>
        <v>1</v>
      </c>
      <c r="BC769" s="42" t="b">
        <f t="shared" si="896"/>
        <v>0</v>
      </c>
      <c r="BD769" s="42" t="b">
        <f t="shared" si="897"/>
        <v>0</v>
      </c>
      <c r="BE769" s="70">
        <f t="shared" si="898"/>
        <v>0</v>
      </c>
      <c r="BF769" s="70">
        <f t="shared" si="899"/>
        <v>0</v>
      </c>
      <c r="BG769" s="34"/>
      <c r="BI769" s="47" t="b">
        <f t="shared" si="900"/>
        <v>1</v>
      </c>
      <c r="BJ769" s="47" t="b">
        <f t="shared" si="901"/>
        <v>1</v>
      </c>
      <c r="BK769" s="42" t="b">
        <f t="shared" si="902"/>
        <v>0</v>
      </c>
      <c r="BL769" s="42" t="b">
        <f t="shared" si="903"/>
        <v>0</v>
      </c>
      <c r="BM769" s="42">
        <f t="shared" si="904"/>
        <v>0</v>
      </c>
      <c r="BN769" s="42">
        <f t="shared" si="905"/>
        <v>0</v>
      </c>
      <c r="BP769" t="e">
        <f t="shared" si="906"/>
        <v>#N/A</v>
      </c>
      <c r="BQ769" t="e">
        <f t="shared" si="907"/>
        <v>#N/A</v>
      </c>
      <c r="BR769" t="e">
        <f t="shared" si="908"/>
        <v>#N/A</v>
      </c>
      <c r="BT769" s="60">
        <f t="shared" si="909"/>
        <v>0</v>
      </c>
      <c r="BU769" s="60">
        <f t="shared" si="910"/>
        <v>0</v>
      </c>
      <c r="BV769" s="60">
        <f t="shared" si="911"/>
        <v>0</v>
      </c>
      <c r="BW769" s="60">
        <f t="shared" si="912"/>
        <v>0</v>
      </c>
      <c r="BX769" s="60">
        <f t="shared" si="913"/>
        <v>0</v>
      </c>
      <c r="BY769" s="60">
        <f t="shared" si="914"/>
        <v>0</v>
      </c>
      <c r="BZ769" s="60">
        <f t="shared" si="915"/>
        <v>0</v>
      </c>
      <c r="CA769" s="60">
        <f t="shared" si="916"/>
        <v>0</v>
      </c>
      <c r="CB769" s="60" t="e">
        <f t="shared" si="866"/>
        <v>#N/A</v>
      </c>
      <c r="CC769" s="60">
        <f t="shared" si="867"/>
        <v>100000</v>
      </c>
      <c r="CD769" s="60" t="e">
        <f t="shared" si="868"/>
        <v>#N/A</v>
      </c>
      <c r="CE769" s="60">
        <f t="shared" si="869"/>
        <v>100000</v>
      </c>
      <c r="CF769" s="83" t="e">
        <f t="shared" si="917"/>
        <v>#N/A</v>
      </c>
      <c r="CG769" s="83">
        <f t="shared" si="918"/>
        <v>0</v>
      </c>
      <c r="CH769" s="83" t="e">
        <f t="shared" si="919"/>
        <v>#N/A</v>
      </c>
      <c r="CI769" s="83">
        <f t="shared" si="920"/>
        <v>0</v>
      </c>
      <c r="CJ769" s="86" t="e">
        <f t="shared" si="870"/>
        <v>#N/A</v>
      </c>
      <c r="CK769" s="82">
        <f t="shared" si="871"/>
        <v>5.3070370403969858E-3</v>
      </c>
      <c r="CL769" s="82" t="e">
        <f t="shared" si="872"/>
        <v>#N/A</v>
      </c>
      <c r="CM769" s="82">
        <f t="shared" si="873"/>
        <v>5.3070370403969858E-3</v>
      </c>
      <c r="CO769" s="149" t="str">
        <f>IF($I769&lt;&gt;"",IF(O769="User Specified",U769,INDEX('Refrigerant GWPs'!$G$2:$G$156,MATCH(O769,'Refrigerant GWPs'!$A$2:$A$156,0))),"")</f>
        <v/>
      </c>
      <c r="CP769" s="138" t="str">
        <f>IF($I769&lt;&gt;"",INDEX('Device Refrigerant Leakage'!$E$2:$E$42,MATCH($M769,'Device Refrigerant Leakage'!$B$2:$B$42,0)),"")</f>
        <v/>
      </c>
      <c r="CQ769" s="138" t="str">
        <f>IF($I769&lt;&gt;"",INDEX('Device Refrigerant Leakage'!$F$2:$F$42,MATCH($M769,'Device Refrigerant Leakage'!$B$2:$B$42,0)),"")</f>
        <v/>
      </c>
      <c r="CR769" s="145" t="str">
        <f>IF($I769&lt;&gt;"",INDEX('Device Refrigerant Leakage'!$G$2:$G$42,MATCH($M769,'Device Refrigerant Leakage'!$B$2:$B$42,0)),"")</f>
        <v/>
      </c>
      <c r="CS769" s="145" t="str">
        <f>IF($I769&lt;&gt;"",INDEX('Device Refrigerant Leakage'!$D$2:$D$42,MATCH($M769,'Device Refrigerant Leakage'!$B$2:$B$42,0))*CP769/2204.62*CO769,"")</f>
        <v/>
      </c>
      <c r="CT769" s="145" t="str">
        <f>IF($I769&lt;&gt;"",J769*(INDEX('Device Refrigerant Leakage'!$D$2:$D$42,MATCH($M769,'Device Refrigerant Leakage'!$B$2:$B$42,0))-(INDEX('Device Refrigerant Leakage'!$D$2:$D$42,MATCH($M769,'Device Refrigerant Leakage'!$B$2:$B$42,0)))*CR769*CP769)*CQ769/2204.62*CO769,"")</f>
        <v/>
      </c>
      <c r="CU769" s="135" t="str">
        <f>IF($I769&lt;&gt;"",J769*IF(W769&lt;&gt;"AR",(CS769*K769)+CT769,(CS769*AB769)+CT769*(AB769/INDEX('Device Refrigerant Leakage'!$C$2:$C$42,MATCH($M769,'Device Refrigerant Leakage'!$B$2:$B$42,0)))),"")</f>
        <v/>
      </c>
      <c r="CW769" s="135" t="str">
        <f>IF($I769&lt;&gt;"",IF(S769="User Specified",V769,INDEX('Refrigerant GWPs'!$G$2:$G$156,MATCH(S769,'Refrigerant GWPs'!$A$2:$A$157,0))),"")</f>
        <v/>
      </c>
      <c r="CX769" s="138" t="str">
        <f>IF($I769&lt;&gt;"",INDEX('Device Refrigerant Leakage'!$E$2:$E$42,MATCH($Q769,'Device Refrigerant Leakage'!$B$2:$B$42,0)),"")</f>
        <v/>
      </c>
      <c r="CY769" s="138" t="str">
        <f>IF($I769&lt;&gt;"",INDEX('Device Refrigerant Leakage'!$F$2:$F$42,MATCH($Q769,'Device Refrigerant Leakage'!$B$2:$B$42,0)),"")</f>
        <v/>
      </c>
      <c r="CZ769" s="145" t="str">
        <f>IF($I769&lt;&gt;"",INDEX('Device Refrigerant Leakage'!$G$2:$G$42,MATCH($Q769,'Device Refrigerant Leakage'!$B$2:$B$42,0)),"")</f>
        <v/>
      </c>
      <c r="DA769" s="145" t="str">
        <f>IF($I769&lt;&gt;"",J769*INDEX('Device Refrigerant Leakage'!$D$2:$D$42,MATCH($Q769,'Device Refrigerant Leakage'!$B$2:$B$42,0))*CX769/2204.62*CW769,"")</f>
        <v/>
      </c>
      <c r="DB769" s="145" t="str">
        <f>IF($I769&lt;&gt;"",J769*(INDEX('Device Refrigerant Leakage'!$D$2:$D$42,MATCH($Q769,'Device Refrigerant Leakage'!$B$2:$B$42,0))-(INDEX('Device Refrigerant Leakage'!$D$2:$D$42,MATCH($Q769,'Device Refrigerant Leakage'!$B$2:$B$42,0)))*CZ769*CX769)*CY769/2204.62*CW769,"")</f>
        <v/>
      </c>
      <c r="DC769" s="135" t="str">
        <f t="shared" si="892"/>
        <v/>
      </c>
      <c r="DE769" s="146" t="str">
        <f>IF(W769&lt;&gt;"AR","",IF(Y769="User Specified", AA769, INDEX('Refrigerant GWPs'!$G$2:$G$154,MATCH(Y769,'Refrigerant GWPs'!$A$2:$A$154,0))))</f>
        <v/>
      </c>
      <c r="DF769" s="146" t="str">
        <f>IF(W769&lt;&gt;"AR","",INDEX('Device Refrigerant Leakage'!$E$2:$E$42,MATCH(X769,'Device Refrigerant Leakage'!$B$2:$B$42,0)))</f>
        <v/>
      </c>
      <c r="DG769" s="146" t="str">
        <f>IF(W769&lt;&gt;"AR","",INDEX('Device Refrigerant Leakage'!$F$2:$F$42,MATCH(X769,'Device Refrigerant Leakage'!$B$2:$B$42,0)))</f>
        <v/>
      </c>
      <c r="DH769" s="146" t="str">
        <f>IF(W769&lt;&gt;"AR","",INDEX('Device Refrigerant Leakage'!$G$2:$G$42,MATCH(X769,'Device Refrigerant Leakage'!$B$2:$B$42,0)))</f>
        <v/>
      </c>
      <c r="DI769" s="146" t="str">
        <f>IF(W769&lt;&gt;"AR","",J769*INDEX('Device Refrigerant Leakage'!$D$2:$D$42,MATCH(X769,'Device Refrigerant Leakage'!$B$2:$B$42,0))*DF769/2204.62*DE769)</f>
        <v/>
      </c>
      <c r="DJ769" s="146" t="str">
        <f>IF(W769&lt;&gt;"AR","",J769*(INDEX('Device Refrigerant Leakage'!$D$2:$D$42,MATCH(X769,'Device Refrigerant Leakage'!$B$2:$B$42,0))-(INDEX('Device Refrigerant Leakage'!$D$2:$D$42,MATCH(X769,'Device Refrigerant Leakage'!$B$2:$B$42,0)))*DH769*DF769)*DG769/2204.62*DE769)</f>
        <v/>
      </c>
      <c r="DK769" s="146" t="str">
        <f>IF(W769&lt;&gt;"AR","",DI769*(K769-AB769)+'Fuel Sub Calcs-Deemed'!DJ769*((K769-AB769)/INDEX('Device Refrigerant Leakage'!$C$2:$C$42,MATCH('Fuel Sub Calcs-Deemed'!X769,'Device Refrigerant Leakage'!$B$2:$B$42,0))))</f>
        <v/>
      </c>
      <c r="DM769" s="56">
        <v>755</v>
      </c>
      <c r="DN769" s="67" t="e">
        <f t="shared" si="874"/>
        <v>#N/A</v>
      </c>
      <c r="DO769" s="45" t="e">
        <f t="shared" si="875"/>
        <v>#N/A</v>
      </c>
      <c r="DP769" s="67" t="e">
        <f t="shared" si="876"/>
        <v>#N/A</v>
      </c>
      <c r="DQ769" s="45" t="e">
        <f t="shared" si="877"/>
        <v>#N/A</v>
      </c>
      <c r="DR769" s="69" t="e">
        <f t="shared" si="878"/>
        <v>#N/A</v>
      </c>
      <c r="DS769" s="34"/>
      <c r="DT769" s="67" t="e">
        <f>((BX769*CJ769)+IF($W769=MAT_AR,(BZ769*CL769),0))*(1+Reference!$E$50+Reference!$E$51)</f>
        <v>#N/A</v>
      </c>
      <c r="DU769" s="67">
        <f>((BY769*CK769)+IF($W769=MAT_AR,(CA769*CM769),0))*(1+Reference!$G$50+Reference!$G$51)</f>
        <v>0</v>
      </c>
      <c r="DV769" s="67" t="e">
        <f t="shared" si="879"/>
        <v>#VALUE!</v>
      </c>
      <c r="DX769" s="56">
        <v>755</v>
      </c>
      <c r="DY769" s="67">
        <f t="shared" si="880"/>
        <v>0</v>
      </c>
      <c r="DZ769" s="45" t="e">
        <f>VLOOKUP($R769,Dropdown!$C$3:$D$4,2,FALSE)</f>
        <v>#N/A</v>
      </c>
      <c r="EA769" s="68">
        <f t="shared" si="881"/>
        <v>0</v>
      </c>
      <c r="EB769" s="68" t="str">
        <f t="shared" si="882"/>
        <v>N/A</v>
      </c>
      <c r="EC769" s="68">
        <f t="shared" si="883"/>
        <v>0</v>
      </c>
      <c r="ED769" s="68" t="str">
        <f t="shared" si="921"/>
        <v>N/A</v>
      </c>
      <c r="EF769" s="56">
        <v>755</v>
      </c>
      <c r="EG769" s="46">
        <f t="shared" si="884"/>
        <v>0</v>
      </c>
      <c r="EH769" s="68" t="e">
        <f t="shared" si="885"/>
        <v>#N/A</v>
      </c>
      <c r="EI769" s="68" t="e">
        <f t="shared" si="886"/>
        <v>#N/A</v>
      </c>
      <c r="EJ769" s="68" t="e">
        <f t="shared" si="887"/>
        <v>#N/A</v>
      </c>
      <c r="EK769" s="68" t="e">
        <f t="shared" si="888"/>
        <v>#N/A</v>
      </c>
      <c r="EL769" s="46">
        <f t="shared" si="889"/>
        <v>0</v>
      </c>
      <c r="EM769" s="46">
        <f t="shared" si="890"/>
        <v>0</v>
      </c>
    </row>
    <row r="770" spans="1:143">
      <c r="A770" s="89"/>
      <c r="B770" s="89"/>
      <c r="C770" s="89"/>
      <c r="D770" s="89"/>
      <c r="E770" s="89"/>
      <c r="F770" s="89"/>
      <c r="G770" s="34"/>
      <c r="H770" s="56">
        <f t="shared" si="891"/>
        <v>756</v>
      </c>
      <c r="I770" s="165"/>
      <c r="J770" s="163"/>
      <c r="K770" s="163"/>
      <c r="L770" s="164"/>
      <c r="M770" s="155"/>
      <c r="N770" s="155"/>
      <c r="O770" s="144"/>
      <c r="P770" s="159" t="str">
        <f>IFERROR(IF(O770&lt;&gt;"User Specified",IF(O770&lt;&gt;"", INDEX('Refrigerant GWPs'!$G$2:$G$154,MATCH(O770,'Refrigerant GWPs'!$A$2:$A$154,0)),""),U770),0)</f>
        <v/>
      </c>
      <c r="Q770" s="155"/>
      <c r="R770" s="155"/>
      <c r="S770" s="144"/>
      <c r="T770" s="159" t="str">
        <f>IF(S770&lt;&gt;"User Specified",IF(AND(S770&lt;&gt;"User Specified",S770&lt;&gt;""), INDEX('Refrigerant GWPs'!$G$2:$G$154,MATCH(S770,'Refrigerant GWPs'!$A$2:$A$154,0)),""),V770)</f>
        <v/>
      </c>
      <c r="U770" s="144"/>
      <c r="V770" s="144"/>
      <c r="W770" s="155"/>
      <c r="X770" s="155"/>
      <c r="Y770" s="144"/>
      <c r="Z770" s="159" t="str">
        <f>IF(AND(Y770&lt;&gt;"User Specified",Y770&lt;&gt;""), INDEX('Refrigerant GWPs'!$G$2:$G$154,MATCH(Y770,'Refrigerant GWPs'!$A$2:$A$154,0)),"")</f>
        <v/>
      </c>
      <c r="AA770" s="155"/>
      <c r="AB770" s="156"/>
      <c r="AC770" s="66"/>
      <c r="AD770" s="66"/>
      <c r="AE770" s="66"/>
      <c r="AF770" s="66"/>
      <c r="AG770" s="66"/>
      <c r="AH770" s="66"/>
      <c r="AI770" s="34"/>
      <c r="AJ770" s="88">
        <f t="shared" si="854"/>
        <v>0</v>
      </c>
      <c r="AK770" s="88">
        <f t="shared" si="855"/>
        <v>0</v>
      </c>
      <c r="AL770" s="88">
        <v>0</v>
      </c>
      <c r="AM770" s="88">
        <v>0</v>
      </c>
      <c r="AN770" s="81" t="str">
        <f t="shared" si="893"/>
        <v/>
      </c>
      <c r="AO770" s="88">
        <f t="shared" si="856"/>
        <v>0</v>
      </c>
      <c r="AP770" s="88">
        <f t="shared" si="857"/>
        <v>0</v>
      </c>
      <c r="AQ770" s="81" t="str">
        <f t="shared" si="858"/>
        <v/>
      </c>
      <c r="AS770" s="41" t="b">
        <f t="shared" si="859"/>
        <v>1</v>
      </c>
      <c r="AT770" s="38">
        <f t="shared" si="860"/>
        <v>0</v>
      </c>
      <c r="AU770" s="60">
        <f t="shared" si="861"/>
        <v>0</v>
      </c>
      <c r="AV770" s="41">
        <f t="shared" si="862"/>
        <v>0</v>
      </c>
      <c r="AW770" s="41" t="b">
        <f t="shared" si="863"/>
        <v>0</v>
      </c>
      <c r="AX770" t="str">
        <f t="shared" si="864"/>
        <v>+00</v>
      </c>
      <c r="AY770" t="str">
        <f t="shared" si="865"/>
        <v>+00</v>
      </c>
      <c r="BA770" s="47" t="b">
        <f t="shared" si="894"/>
        <v>1</v>
      </c>
      <c r="BB770" s="42" t="b">
        <f t="shared" si="895"/>
        <v>1</v>
      </c>
      <c r="BC770" s="42" t="b">
        <f t="shared" si="896"/>
        <v>0</v>
      </c>
      <c r="BD770" s="42" t="b">
        <f t="shared" si="897"/>
        <v>0</v>
      </c>
      <c r="BE770" s="70">
        <f t="shared" si="898"/>
        <v>0</v>
      </c>
      <c r="BF770" s="70">
        <f t="shared" si="899"/>
        <v>0</v>
      </c>
      <c r="BG770" s="34"/>
      <c r="BI770" s="47" t="b">
        <f t="shared" si="900"/>
        <v>1</v>
      </c>
      <c r="BJ770" s="47" t="b">
        <f t="shared" si="901"/>
        <v>1</v>
      </c>
      <c r="BK770" s="42" t="b">
        <f t="shared" si="902"/>
        <v>0</v>
      </c>
      <c r="BL770" s="42" t="b">
        <f t="shared" si="903"/>
        <v>0</v>
      </c>
      <c r="BM770" s="42">
        <f t="shared" si="904"/>
        <v>0</v>
      </c>
      <c r="BN770" s="42">
        <f t="shared" si="905"/>
        <v>0</v>
      </c>
      <c r="BP770" t="e">
        <f t="shared" si="906"/>
        <v>#N/A</v>
      </c>
      <c r="BQ770" t="e">
        <f t="shared" si="907"/>
        <v>#N/A</v>
      </c>
      <c r="BR770" t="e">
        <f t="shared" si="908"/>
        <v>#N/A</v>
      </c>
      <c r="BT770" s="60">
        <f t="shared" si="909"/>
        <v>0</v>
      </c>
      <c r="BU770" s="60">
        <f t="shared" si="910"/>
        <v>0</v>
      </c>
      <c r="BV770" s="60">
        <f t="shared" si="911"/>
        <v>0</v>
      </c>
      <c r="BW770" s="60">
        <f t="shared" si="912"/>
        <v>0</v>
      </c>
      <c r="BX770" s="60">
        <f t="shared" si="913"/>
        <v>0</v>
      </c>
      <c r="BY770" s="60">
        <f t="shared" si="914"/>
        <v>0</v>
      </c>
      <c r="BZ770" s="60">
        <f t="shared" si="915"/>
        <v>0</v>
      </c>
      <c r="CA770" s="60">
        <f t="shared" si="916"/>
        <v>0</v>
      </c>
      <c r="CB770" s="60" t="e">
        <f t="shared" si="866"/>
        <v>#N/A</v>
      </c>
      <c r="CC770" s="60">
        <f t="shared" si="867"/>
        <v>100000</v>
      </c>
      <c r="CD770" s="60" t="e">
        <f t="shared" si="868"/>
        <v>#N/A</v>
      </c>
      <c r="CE770" s="60">
        <f t="shared" si="869"/>
        <v>100000</v>
      </c>
      <c r="CF770" s="83" t="e">
        <f t="shared" si="917"/>
        <v>#N/A</v>
      </c>
      <c r="CG770" s="83">
        <f t="shared" si="918"/>
        <v>0</v>
      </c>
      <c r="CH770" s="83" t="e">
        <f t="shared" si="919"/>
        <v>#N/A</v>
      </c>
      <c r="CI770" s="83">
        <f t="shared" si="920"/>
        <v>0</v>
      </c>
      <c r="CJ770" s="86" t="e">
        <f t="shared" si="870"/>
        <v>#N/A</v>
      </c>
      <c r="CK770" s="82">
        <f t="shared" si="871"/>
        <v>5.3070370403969858E-3</v>
      </c>
      <c r="CL770" s="82" t="e">
        <f t="shared" si="872"/>
        <v>#N/A</v>
      </c>
      <c r="CM770" s="82">
        <f t="shared" si="873"/>
        <v>5.3070370403969858E-3</v>
      </c>
      <c r="CO770" s="149" t="str">
        <f>IF($I770&lt;&gt;"",IF(O770="User Specified",U770,INDEX('Refrigerant GWPs'!$G$2:$G$156,MATCH(O770,'Refrigerant GWPs'!$A$2:$A$156,0))),"")</f>
        <v/>
      </c>
      <c r="CP770" s="138" t="str">
        <f>IF($I770&lt;&gt;"",INDEX('Device Refrigerant Leakage'!$E$2:$E$42,MATCH($M770,'Device Refrigerant Leakage'!$B$2:$B$42,0)),"")</f>
        <v/>
      </c>
      <c r="CQ770" s="138" t="str">
        <f>IF($I770&lt;&gt;"",INDEX('Device Refrigerant Leakage'!$F$2:$F$42,MATCH($M770,'Device Refrigerant Leakage'!$B$2:$B$42,0)),"")</f>
        <v/>
      </c>
      <c r="CR770" s="145" t="str">
        <f>IF($I770&lt;&gt;"",INDEX('Device Refrigerant Leakage'!$G$2:$G$42,MATCH($M770,'Device Refrigerant Leakage'!$B$2:$B$42,0)),"")</f>
        <v/>
      </c>
      <c r="CS770" s="145" t="str">
        <f>IF($I770&lt;&gt;"",INDEX('Device Refrigerant Leakage'!$D$2:$D$42,MATCH($M770,'Device Refrigerant Leakage'!$B$2:$B$42,0))*CP770/2204.62*CO770,"")</f>
        <v/>
      </c>
      <c r="CT770" s="145" t="str">
        <f>IF($I770&lt;&gt;"",J770*(INDEX('Device Refrigerant Leakage'!$D$2:$D$42,MATCH($M770,'Device Refrigerant Leakage'!$B$2:$B$42,0))-(INDEX('Device Refrigerant Leakage'!$D$2:$D$42,MATCH($M770,'Device Refrigerant Leakage'!$B$2:$B$42,0)))*CR770*CP770)*CQ770/2204.62*CO770,"")</f>
        <v/>
      </c>
      <c r="CU770" s="135" t="str">
        <f>IF($I770&lt;&gt;"",J770*IF(W770&lt;&gt;"AR",(CS770*K770)+CT770,(CS770*AB770)+CT770*(AB770/INDEX('Device Refrigerant Leakage'!$C$2:$C$42,MATCH($M770,'Device Refrigerant Leakage'!$B$2:$B$42,0)))),"")</f>
        <v/>
      </c>
      <c r="CW770" s="135" t="str">
        <f>IF($I770&lt;&gt;"",IF(S770="User Specified",V770,INDEX('Refrigerant GWPs'!$G$2:$G$156,MATCH(S770,'Refrigerant GWPs'!$A$2:$A$157,0))),"")</f>
        <v/>
      </c>
      <c r="CX770" s="138" t="str">
        <f>IF($I770&lt;&gt;"",INDEX('Device Refrigerant Leakage'!$E$2:$E$42,MATCH($Q770,'Device Refrigerant Leakage'!$B$2:$B$42,0)),"")</f>
        <v/>
      </c>
      <c r="CY770" s="138" t="str">
        <f>IF($I770&lt;&gt;"",INDEX('Device Refrigerant Leakage'!$F$2:$F$42,MATCH($Q770,'Device Refrigerant Leakage'!$B$2:$B$42,0)),"")</f>
        <v/>
      </c>
      <c r="CZ770" s="145" t="str">
        <f>IF($I770&lt;&gt;"",INDEX('Device Refrigerant Leakage'!$G$2:$G$42,MATCH($Q770,'Device Refrigerant Leakage'!$B$2:$B$42,0)),"")</f>
        <v/>
      </c>
      <c r="DA770" s="145" t="str">
        <f>IF($I770&lt;&gt;"",J770*INDEX('Device Refrigerant Leakage'!$D$2:$D$42,MATCH($Q770,'Device Refrigerant Leakage'!$B$2:$B$42,0))*CX770/2204.62*CW770,"")</f>
        <v/>
      </c>
      <c r="DB770" s="145" t="str">
        <f>IF($I770&lt;&gt;"",J770*(INDEX('Device Refrigerant Leakage'!$D$2:$D$42,MATCH($Q770,'Device Refrigerant Leakage'!$B$2:$B$42,0))-(INDEX('Device Refrigerant Leakage'!$D$2:$D$42,MATCH($Q770,'Device Refrigerant Leakage'!$B$2:$B$42,0)))*CZ770*CX770)*CY770/2204.62*CW770,"")</f>
        <v/>
      </c>
      <c r="DC770" s="135" t="str">
        <f t="shared" si="892"/>
        <v/>
      </c>
      <c r="DE770" s="146" t="str">
        <f>IF(W770&lt;&gt;"AR","",IF(Y770="User Specified", AA770, INDEX('Refrigerant GWPs'!$G$2:$G$154,MATCH(Y770,'Refrigerant GWPs'!$A$2:$A$154,0))))</f>
        <v/>
      </c>
      <c r="DF770" s="146" t="str">
        <f>IF(W770&lt;&gt;"AR","",INDEX('Device Refrigerant Leakage'!$E$2:$E$42,MATCH(X770,'Device Refrigerant Leakage'!$B$2:$B$42,0)))</f>
        <v/>
      </c>
      <c r="DG770" s="146" t="str">
        <f>IF(W770&lt;&gt;"AR","",INDEX('Device Refrigerant Leakage'!$F$2:$F$42,MATCH(X770,'Device Refrigerant Leakage'!$B$2:$B$42,0)))</f>
        <v/>
      </c>
      <c r="DH770" s="146" t="str">
        <f>IF(W770&lt;&gt;"AR","",INDEX('Device Refrigerant Leakage'!$G$2:$G$42,MATCH(X770,'Device Refrigerant Leakage'!$B$2:$B$42,0)))</f>
        <v/>
      </c>
      <c r="DI770" s="146" t="str">
        <f>IF(W770&lt;&gt;"AR","",J770*INDEX('Device Refrigerant Leakage'!$D$2:$D$42,MATCH(X770,'Device Refrigerant Leakage'!$B$2:$B$42,0))*DF770/2204.62*DE770)</f>
        <v/>
      </c>
      <c r="DJ770" s="146" t="str">
        <f>IF(W770&lt;&gt;"AR","",J770*(INDEX('Device Refrigerant Leakage'!$D$2:$D$42,MATCH(X770,'Device Refrigerant Leakage'!$B$2:$B$42,0))-(INDEX('Device Refrigerant Leakage'!$D$2:$D$42,MATCH(X770,'Device Refrigerant Leakage'!$B$2:$B$42,0)))*DH770*DF770)*DG770/2204.62*DE770)</f>
        <v/>
      </c>
      <c r="DK770" s="146" t="str">
        <f>IF(W770&lt;&gt;"AR","",DI770*(K770-AB770)+'Fuel Sub Calcs-Deemed'!DJ770*((K770-AB770)/INDEX('Device Refrigerant Leakage'!$C$2:$C$42,MATCH('Fuel Sub Calcs-Deemed'!X770,'Device Refrigerant Leakage'!$B$2:$B$42,0))))</f>
        <v/>
      </c>
      <c r="DM770" s="56">
        <v>756</v>
      </c>
      <c r="DN770" s="67" t="e">
        <f t="shared" si="874"/>
        <v>#N/A</v>
      </c>
      <c r="DO770" s="45" t="e">
        <f t="shared" si="875"/>
        <v>#N/A</v>
      </c>
      <c r="DP770" s="67" t="e">
        <f t="shared" si="876"/>
        <v>#N/A</v>
      </c>
      <c r="DQ770" s="45" t="e">
        <f t="shared" si="877"/>
        <v>#N/A</v>
      </c>
      <c r="DR770" s="69" t="e">
        <f t="shared" si="878"/>
        <v>#N/A</v>
      </c>
      <c r="DS770" s="34"/>
      <c r="DT770" s="67" t="e">
        <f>((BX770*CJ770)+IF($W770=MAT_AR,(BZ770*CL770),0))*(1+Reference!$E$50+Reference!$E$51)</f>
        <v>#N/A</v>
      </c>
      <c r="DU770" s="67">
        <f>((BY770*CK770)+IF($W770=MAT_AR,(CA770*CM770),0))*(1+Reference!$G$50+Reference!$G$51)</f>
        <v>0</v>
      </c>
      <c r="DV770" s="67" t="e">
        <f t="shared" si="879"/>
        <v>#VALUE!</v>
      </c>
      <c r="DX770" s="56">
        <v>756</v>
      </c>
      <c r="DY770" s="67">
        <f t="shared" si="880"/>
        <v>0</v>
      </c>
      <c r="DZ770" s="45" t="e">
        <f>VLOOKUP($R770,Dropdown!$C$3:$D$4,2,FALSE)</f>
        <v>#N/A</v>
      </c>
      <c r="EA770" s="68">
        <f t="shared" si="881"/>
        <v>0</v>
      </c>
      <c r="EB770" s="68" t="str">
        <f t="shared" si="882"/>
        <v>N/A</v>
      </c>
      <c r="EC770" s="68">
        <f t="shared" si="883"/>
        <v>0</v>
      </c>
      <c r="ED770" s="68" t="str">
        <f t="shared" si="921"/>
        <v>N/A</v>
      </c>
      <c r="EF770" s="56">
        <v>756</v>
      </c>
      <c r="EG770" s="46">
        <f t="shared" si="884"/>
        <v>0</v>
      </c>
      <c r="EH770" s="68" t="e">
        <f t="shared" si="885"/>
        <v>#N/A</v>
      </c>
      <c r="EI770" s="68" t="e">
        <f t="shared" si="886"/>
        <v>#N/A</v>
      </c>
      <c r="EJ770" s="68" t="e">
        <f t="shared" si="887"/>
        <v>#N/A</v>
      </c>
      <c r="EK770" s="68" t="e">
        <f t="shared" si="888"/>
        <v>#N/A</v>
      </c>
      <c r="EL770" s="46">
        <f t="shared" si="889"/>
        <v>0</v>
      </c>
      <c r="EM770" s="46">
        <f t="shared" si="890"/>
        <v>0</v>
      </c>
    </row>
    <row r="771" spans="1:143">
      <c r="A771" s="89"/>
      <c r="B771" s="89"/>
      <c r="C771" s="89"/>
      <c r="D771" s="89"/>
      <c r="E771" s="89"/>
      <c r="F771" s="89"/>
      <c r="G771" s="34"/>
      <c r="H771" s="56">
        <f t="shared" si="891"/>
        <v>757</v>
      </c>
      <c r="I771" s="165"/>
      <c r="J771" s="163"/>
      <c r="K771" s="163"/>
      <c r="L771" s="164"/>
      <c r="M771" s="155"/>
      <c r="N771" s="155"/>
      <c r="O771" s="144"/>
      <c r="P771" s="159" t="str">
        <f>IFERROR(IF(O771&lt;&gt;"User Specified",IF(O771&lt;&gt;"", INDEX('Refrigerant GWPs'!$G$2:$G$154,MATCH(O771,'Refrigerant GWPs'!$A$2:$A$154,0)),""),U771),0)</f>
        <v/>
      </c>
      <c r="Q771" s="155"/>
      <c r="R771" s="155"/>
      <c r="S771" s="144"/>
      <c r="T771" s="159" t="str">
        <f>IF(S771&lt;&gt;"User Specified",IF(AND(S771&lt;&gt;"User Specified",S771&lt;&gt;""), INDEX('Refrigerant GWPs'!$G$2:$G$154,MATCH(S771,'Refrigerant GWPs'!$A$2:$A$154,0)),""),V771)</f>
        <v/>
      </c>
      <c r="U771" s="144"/>
      <c r="V771" s="144"/>
      <c r="W771" s="155"/>
      <c r="X771" s="155"/>
      <c r="Y771" s="144"/>
      <c r="Z771" s="159" t="str">
        <f>IF(AND(Y771&lt;&gt;"User Specified",Y771&lt;&gt;""), INDEX('Refrigerant GWPs'!$G$2:$G$154,MATCH(Y771,'Refrigerant GWPs'!$A$2:$A$154,0)),"")</f>
        <v/>
      </c>
      <c r="AA771" s="155"/>
      <c r="AB771" s="156"/>
      <c r="AC771" s="66"/>
      <c r="AD771" s="66"/>
      <c r="AE771" s="66"/>
      <c r="AF771" s="66"/>
      <c r="AG771" s="66"/>
      <c r="AH771" s="66"/>
      <c r="AI771" s="34"/>
      <c r="AJ771" s="88">
        <f t="shared" si="854"/>
        <v>0</v>
      </c>
      <c r="AK771" s="88">
        <f t="shared" si="855"/>
        <v>0</v>
      </c>
      <c r="AL771" s="88">
        <v>0</v>
      </c>
      <c r="AM771" s="88">
        <v>0</v>
      </c>
      <c r="AN771" s="81" t="str">
        <f t="shared" si="893"/>
        <v/>
      </c>
      <c r="AO771" s="88">
        <f t="shared" si="856"/>
        <v>0</v>
      </c>
      <c r="AP771" s="88">
        <f t="shared" si="857"/>
        <v>0</v>
      </c>
      <c r="AQ771" s="81" t="str">
        <f t="shared" si="858"/>
        <v/>
      </c>
      <c r="AS771" s="41" t="b">
        <f t="shared" si="859"/>
        <v>1</v>
      </c>
      <c r="AT771" s="38">
        <f t="shared" si="860"/>
        <v>0</v>
      </c>
      <c r="AU771" s="60">
        <f t="shared" si="861"/>
        <v>0</v>
      </c>
      <c r="AV771" s="41">
        <f t="shared" si="862"/>
        <v>0</v>
      </c>
      <c r="AW771" s="41" t="b">
        <f t="shared" si="863"/>
        <v>0</v>
      </c>
      <c r="AX771" t="str">
        <f t="shared" si="864"/>
        <v>+00</v>
      </c>
      <c r="AY771" t="str">
        <f t="shared" si="865"/>
        <v>+00</v>
      </c>
      <c r="BA771" s="47" t="b">
        <f t="shared" si="894"/>
        <v>1</v>
      </c>
      <c r="BB771" s="42" t="b">
        <f t="shared" si="895"/>
        <v>1</v>
      </c>
      <c r="BC771" s="42" t="b">
        <f t="shared" si="896"/>
        <v>0</v>
      </c>
      <c r="BD771" s="42" t="b">
        <f t="shared" si="897"/>
        <v>0</v>
      </c>
      <c r="BE771" s="70">
        <f t="shared" si="898"/>
        <v>0</v>
      </c>
      <c r="BF771" s="70">
        <f t="shared" si="899"/>
        <v>0</v>
      </c>
      <c r="BG771" s="34"/>
      <c r="BI771" s="47" t="b">
        <f t="shared" si="900"/>
        <v>1</v>
      </c>
      <c r="BJ771" s="47" t="b">
        <f t="shared" si="901"/>
        <v>1</v>
      </c>
      <c r="BK771" s="42" t="b">
        <f t="shared" si="902"/>
        <v>0</v>
      </c>
      <c r="BL771" s="42" t="b">
        <f t="shared" si="903"/>
        <v>0</v>
      </c>
      <c r="BM771" s="42">
        <f t="shared" si="904"/>
        <v>0</v>
      </c>
      <c r="BN771" s="42">
        <f t="shared" si="905"/>
        <v>0</v>
      </c>
      <c r="BP771" t="e">
        <f t="shared" si="906"/>
        <v>#N/A</v>
      </c>
      <c r="BQ771" t="e">
        <f t="shared" si="907"/>
        <v>#N/A</v>
      </c>
      <c r="BR771" t="e">
        <f t="shared" si="908"/>
        <v>#N/A</v>
      </c>
      <c r="BT771" s="60">
        <f t="shared" si="909"/>
        <v>0</v>
      </c>
      <c r="BU771" s="60">
        <f t="shared" si="910"/>
        <v>0</v>
      </c>
      <c r="BV771" s="60">
        <f t="shared" si="911"/>
        <v>0</v>
      </c>
      <c r="BW771" s="60">
        <f t="shared" si="912"/>
        <v>0</v>
      </c>
      <c r="BX771" s="60">
        <f t="shared" si="913"/>
        <v>0</v>
      </c>
      <c r="BY771" s="60">
        <f t="shared" si="914"/>
        <v>0</v>
      </c>
      <c r="BZ771" s="60">
        <f t="shared" si="915"/>
        <v>0</v>
      </c>
      <c r="CA771" s="60">
        <f t="shared" si="916"/>
        <v>0</v>
      </c>
      <c r="CB771" s="60" t="e">
        <f t="shared" si="866"/>
        <v>#N/A</v>
      </c>
      <c r="CC771" s="60">
        <f t="shared" si="867"/>
        <v>100000</v>
      </c>
      <c r="CD771" s="60" t="e">
        <f t="shared" si="868"/>
        <v>#N/A</v>
      </c>
      <c r="CE771" s="60">
        <f t="shared" si="869"/>
        <v>100000</v>
      </c>
      <c r="CF771" s="83" t="e">
        <f t="shared" si="917"/>
        <v>#N/A</v>
      </c>
      <c r="CG771" s="83">
        <f t="shared" si="918"/>
        <v>0</v>
      </c>
      <c r="CH771" s="83" t="e">
        <f t="shared" si="919"/>
        <v>#N/A</v>
      </c>
      <c r="CI771" s="83">
        <f t="shared" si="920"/>
        <v>0</v>
      </c>
      <c r="CJ771" s="86" t="e">
        <f t="shared" si="870"/>
        <v>#N/A</v>
      </c>
      <c r="CK771" s="82">
        <f t="shared" si="871"/>
        <v>5.3070370403969858E-3</v>
      </c>
      <c r="CL771" s="82" t="e">
        <f t="shared" si="872"/>
        <v>#N/A</v>
      </c>
      <c r="CM771" s="82">
        <f t="shared" si="873"/>
        <v>5.3070370403969858E-3</v>
      </c>
      <c r="CO771" s="149" t="str">
        <f>IF($I771&lt;&gt;"",IF(O771="User Specified",U771,INDEX('Refrigerant GWPs'!$G$2:$G$156,MATCH(O771,'Refrigerant GWPs'!$A$2:$A$156,0))),"")</f>
        <v/>
      </c>
      <c r="CP771" s="138" t="str">
        <f>IF($I771&lt;&gt;"",INDEX('Device Refrigerant Leakage'!$E$2:$E$42,MATCH($M771,'Device Refrigerant Leakage'!$B$2:$B$42,0)),"")</f>
        <v/>
      </c>
      <c r="CQ771" s="138" t="str">
        <f>IF($I771&lt;&gt;"",INDEX('Device Refrigerant Leakage'!$F$2:$F$42,MATCH($M771,'Device Refrigerant Leakage'!$B$2:$B$42,0)),"")</f>
        <v/>
      </c>
      <c r="CR771" s="145" t="str">
        <f>IF($I771&lt;&gt;"",INDEX('Device Refrigerant Leakage'!$G$2:$G$42,MATCH($M771,'Device Refrigerant Leakage'!$B$2:$B$42,0)),"")</f>
        <v/>
      </c>
      <c r="CS771" s="145" t="str">
        <f>IF($I771&lt;&gt;"",INDEX('Device Refrigerant Leakage'!$D$2:$D$42,MATCH($M771,'Device Refrigerant Leakage'!$B$2:$B$42,0))*CP771/2204.62*CO771,"")</f>
        <v/>
      </c>
      <c r="CT771" s="145" t="str">
        <f>IF($I771&lt;&gt;"",J771*(INDEX('Device Refrigerant Leakage'!$D$2:$D$42,MATCH($M771,'Device Refrigerant Leakage'!$B$2:$B$42,0))-(INDEX('Device Refrigerant Leakage'!$D$2:$D$42,MATCH($M771,'Device Refrigerant Leakage'!$B$2:$B$42,0)))*CR771*CP771)*CQ771/2204.62*CO771,"")</f>
        <v/>
      </c>
      <c r="CU771" s="135" t="str">
        <f>IF($I771&lt;&gt;"",J771*IF(W771&lt;&gt;"AR",(CS771*K771)+CT771,(CS771*AB771)+CT771*(AB771/INDEX('Device Refrigerant Leakage'!$C$2:$C$42,MATCH($M771,'Device Refrigerant Leakage'!$B$2:$B$42,0)))),"")</f>
        <v/>
      </c>
      <c r="CW771" s="135" t="str">
        <f>IF($I771&lt;&gt;"",IF(S771="User Specified",V771,INDEX('Refrigerant GWPs'!$G$2:$G$156,MATCH(S771,'Refrigerant GWPs'!$A$2:$A$157,0))),"")</f>
        <v/>
      </c>
      <c r="CX771" s="138" t="str">
        <f>IF($I771&lt;&gt;"",INDEX('Device Refrigerant Leakage'!$E$2:$E$42,MATCH($Q771,'Device Refrigerant Leakage'!$B$2:$B$42,0)),"")</f>
        <v/>
      </c>
      <c r="CY771" s="138" t="str">
        <f>IF($I771&lt;&gt;"",INDEX('Device Refrigerant Leakage'!$F$2:$F$42,MATCH($Q771,'Device Refrigerant Leakage'!$B$2:$B$42,0)),"")</f>
        <v/>
      </c>
      <c r="CZ771" s="145" t="str">
        <f>IF($I771&lt;&gt;"",INDEX('Device Refrigerant Leakage'!$G$2:$G$42,MATCH($Q771,'Device Refrigerant Leakage'!$B$2:$B$42,0)),"")</f>
        <v/>
      </c>
      <c r="DA771" s="145" t="str">
        <f>IF($I771&lt;&gt;"",J771*INDEX('Device Refrigerant Leakage'!$D$2:$D$42,MATCH($Q771,'Device Refrigerant Leakage'!$B$2:$B$42,0))*CX771/2204.62*CW771,"")</f>
        <v/>
      </c>
      <c r="DB771" s="145" t="str">
        <f>IF($I771&lt;&gt;"",J771*(INDEX('Device Refrigerant Leakage'!$D$2:$D$42,MATCH($Q771,'Device Refrigerant Leakage'!$B$2:$B$42,0))-(INDEX('Device Refrigerant Leakage'!$D$2:$D$42,MATCH($Q771,'Device Refrigerant Leakage'!$B$2:$B$42,0)))*CZ771*CX771)*CY771/2204.62*CW771,"")</f>
        <v/>
      </c>
      <c r="DC771" s="135" t="str">
        <f t="shared" si="892"/>
        <v/>
      </c>
      <c r="DE771" s="146" t="str">
        <f>IF(W771&lt;&gt;"AR","",IF(Y771="User Specified", AA771, INDEX('Refrigerant GWPs'!$G$2:$G$154,MATCH(Y771,'Refrigerant GWPs'!$A$2:$A$154,0))))</f>
        <v/>
      </c>
      <c r="DF771" s="146" t="str">
        <f>IF(W771&lt;&gt;"AR","",INDEX('Device Refrigerant Leakage'!$E$2:$E$42,MATCH(X771,'Device Refrigerant Leakage'!$B$2:$B$42,0)))</f>
        <v/>
      </c>
      <c r="DG771" s="146" t="str">
        <f>IF(W771&lt;&gt;"AR","",INDEX('Device Refrigerant Leakage'!$F$2:$F$42,MATCH(X771,'Device Refrigerant Leakage'!$B$2:$B$42,0)))</f>
        <v/>
      </c>
      <c r="DH771" s="146" t="str">
        <f>IF(W771&lt;&gt;"AR","",INDEX('Device Refrigerant Leakage'!$G$2:$G$42,MATCH(X771,'Device Refrigerant Leakage'!$B$2:$B$42,0)))</f>
        <v/>
      </c>
      <c r="DI771" s="146" t="str">
        <f>IF(W771&lt;&gt;"AR","",J771*INDEX('Device Refrigerant Leakage'!$D$2:$D$42,MATCH(X771,'Device Refrigerant Leakage'!$B$2:$B$42,0))*DF771/2204.62*DE771)</f>
        <v/>
      </c>
      <c r="DJ771" s="146" t="str">
        <f>IF(W771&lt;&gt;"AR","",J771*(INDEX('Device Refrigerant Leakage'!$D$2:$D$42,MATCH(X771,'Device Refrigerant Leakage'!$B$2:$B$42,0))-(INDEX('Device Refrigerant Leakage'!$D$2:$D$42,MATCH(X771,'Device Refrigerant Leakage'!$B$2:$B$42,0)))*DH771*DF771)*DG771/2204.62*DE771)</f>
        <v/>
      </c>
      <c r="DK771" s="146" t="str">
        <f>IF(W771&lt;&gt;"AR","",DI771*(K771-AB771)+'Fuel Sub Calcs-Deemed'!DJ771*((K771-AB771)/INDEX('Device Refrigerant Leakage'!$C$2:$C$42,MATCH('Fuel Sub Calcs-Deemed'!X771,'Device Refrigerant Leakage'!$B$2:$B$42,0))))</f>
        <v/>
      </c>
      <c r="DM771" s="56">
        <v>757</v>
      </c>
      <c r="DN771" s="67" t="e">
        <f t="shared" si="874"/>
        <v>#N/A</v>
      </c>
      <c r="DO771" s="45" t="e">
        <f t="shared" si="875"/>
        <v>#N/A</v>
      </c>
      <c r="DP771" s="67" t="e">
        <f t="shared" si="876"/>
        <v>#N/A</v>
      </c>
      <c r="DQ771" s="45" t="e">
        <f t="shared" si="877"/>
        <v>#N/A</v>
      </c>
      <c r="DR771" s="69" t="e">
        <f t="shared" si="878"/>
        <v>#N/A</v>
      </c>
      <c r="DS771" s="34"/>
      <c r="DT771" s="67" t="e">
        <f>((BX771*CJ771)+IF($W771=MAT_AR,(BZ771*CL771),0))*(1+Reference!$E$50+Reference!$E$51)</f>
        <v>#N/A</v>
      </c>
      <c r="DU771" s="67">
        <f>((BY771*CK771)+IF($W771=MAT_AR,(CA771*CM771),0))*(1+Reference!$G$50+Reference!$G$51)</f>
        <v>0</v>
      </c>
      <c r="DV771" s="67" t="e">
        <f t="shared" si="879"/>
        <v>#VALUE!</v>
      </c>
      <c r="DX771" s="56">
        <v>757</v>
      </c>
      <c r="DY771" s="67">
        <f t="shared" si="880"/>
        <v>0</v>
      </c>
      <c r="DZ771" s="45" t="e">
        <f>VLOOKUP($R771,Dropdown!$C$3:$D$4,2,FALSE)</f>
        <v>#N/A</v>
      </c>
      <c r="EA771" s="68">
        <f t="shared" si="881"/>
        <v>0</v>
      </c>
      <c r="EB771" s="68" t="str">
        <f t="shared" si="882"/>
        <v>N/A</v>
      </c>
      <c r="EC771" s="68">
        <f t="shared" si="883"/>
        <v>0</v>
      </c>
      <c r="ED771" s="68" t="str">
        <f t="shared" si="921"/>
        <v>N/A</v>
      </c>
      <c r="EF771" s="56">
        <v>757</v>
      </c>
      <c r="EG771" s="46">
        <f t="shared" si="884"/>
        <v>0</v>
      </c>
      <c r="EH771" s="68" t="e">
        <f t="shared" si="885"/>
        <v>#N/A</v>
      </c>
      <c r="EI771" s="68" t="e">
        <f t="shared" si="886"/>
        <v>#N/A</v>
      </c>
      <c r="EJ771" s="68" t="e">
        <f t="shared" si="887"/>
        <v>#N/A</v>
      </c>
      <c r="EK771" s="68" t="e">
        <f t="shared" si="888"/>
        <v>#N/A</v>
      </c>
      <c r="EL771" s="46">
        <f t="shared" si="889"/>
        <v>0</v>
      </c>
      <c r="EM771" s="46">
        <f t="shared" si="890"/>
        <v>0</v>
      </c>
    </row>
    <row r="772" spans="1:143">
      <c r="A772" s="89"/>
      <c r="B772" s="89"/>
      <c r="C772" s="89"/>
      <c r="D772" s="89"/>
      <c r="E772" s="89"/>
      <c r="F772" s="89"/>
      <c r="G772" s="34"/>
      <c r="H772" s="56">
        <f t="shared" si="891"/>
        <v>758</v>
      </c>
      <c r="I772" s="165"/>
      <c r="J772" s="163"/>
      <c r="K772" s="163"/>
      <c r="L772" s="164"/>
      <c r="M772" s="155"/>
      <c r="N772" s="155"/>
      <c r="O772" s="144"/>
      <c r="P772" s="159" t="str">
        <f>IFERROR(IF(O772&lt;&gt;"User Specified",IF(O772&lt;&gt;"", INDEX('Refrigerant GWPs'!$G$2:$G$154,MATCH(O772,'Refrigerant GWPs'!$A$2:$A$154,0)),""),U772),0)</f>
        <v/>
      </c>
      <c r="Q772" s="155"/>
      <c r="R772" s="155"/>
      <c r="S772" s="144"/>
      <c r="T772" s="159" t="str">
        <f>IF(S772&lt;&gt;"User Specified",IF(AND(S772&lt;&gt;"User Specified",S772&lt;&gt;""), INDEX('Refrigerant GWPs'!$G$2:$G$154,MATCH(S772,'Refrigerant GWPs'!$A$2:$A$154,0)),""),V772)</f>
        <v/>
      </c>
      <c r="U772" s="144"/>
      <c r="V772" s="144"/>
      <c r="W772" s="155"/>
      <c r="X772" s="155"/>
      <c r="Y772" s="144"/>
      <c r="Z772" s="159" t="str">
        <f>IF(AND(Y772&lt;&gt;"User Specified",Y772&lt;&gt;""), INDEX('Refrigerant GWPs'!$G$2:$G$154,MATCH(Y772,'Refrigerant GWPs'!$A$2:$A$154,0)),"")</f>
        <v/>
      </c>
      <c r="AA772" s="155"/>
      <c r="AB772" s="156"/>
      <c r="AC772" s="66"/>
      <c r="AD772" s="66"/>
      <c r="AE772" s="66"/>
      <c r="AF772" s="66"/>
      <c r="AG772" s="66"/>
      <c r="AH772" s="66"/>
      <c r="AI772" s="34"/>
      <c r="AJ772" s="88">
        <f t="shared" si="854"/>
        <v>0</v>
      </c>
      <c r="AK772" s="88">
        <f t="shared" si="855"/>
        <v>0</v>
      </c>
      <c r="AL772" s="88">
        <v>0</v>
      </c>
      <c r="AM772" s="88">
        <v>0</v>
      </c>
      <c r="AN772" s="81" t="str">
        <f t="shared" si="893"/>
        <v/>
      </c>
      <c r="AO772" s="88">
        <f t="shared" si="856"/>
        <v>0</v>
      </c>
      <c r="AP772" s="88">
        <f t="shared" si="857"/>
        <v>0</v>
      </c>
      <c r="AQ772" s="81" t="str">
        <f t="shared" si="858"/>
        <v/>
      </c>
      <c r="AS772" s="41" t="b">
        <f t="shared" si="859"/>
        <v>1</v>
      </c>
      <c r="AT772" s="38">
        <f t="shared" si="860"/>
        <v>0</v>
      </c>
      <c r="AU772" s="60">
        <f t="shared" si="861"/>
        <v>0</v>
      </c>
      <c r="AV772" s="41">
        <f t="shared" si="862"/>
        <v>0</v>
      </c>
      <c r="AW772" s="41" t="b">
        <f t="shared" si="863"/>
        <v>0</v>
      </c>
      <c r="AX772" t="str">
        <f t="shared" si="864"/>
        <v>+00</v>
      </c>
      <c r="AY772" t="str">
        <f t="shared" si="865"/>
        <v>+00</v>
      </c>
      <c r="BA772" s="47" t="b">
        <f t="shared" si="894"/>
        <v>1</v>
      </c>
      <c r="BB772" s="42" t="b">
        <f t="shared" si="895"/>
        <v>1</v>
      </c>
      <c r="BC772" s="42" t="b">
        <f t="shared" si="896"/>
        <v>0</v>
      </c>
      <c r="BD772" s="42" t="b">
        <f t="shared" si="897"/>
        <v>0</v>
      </c>
      <c r="BE772" s="70">
        <f t="shared" si="898"/>
        <v>0</v>
      </c>
      <c r="BF772" s="70">
        <f t="shared" si="899"/>
        <v>0</v>
      </c>
      <c r="BG772" s="34"/>
      <c r="BI772" s="47" t="b">
        <f t="shared" si="900"/>
        <v>1</v>
      </c>
      <c r="BJ772" s="47" t="b">
        <f t="shared" si="901"/>
        <v>1</v>
      </c>
      <c r="BK772" s="42" t="b">
        <f t="shared" si="902"/>
        <v>0</v>
      </c>
      <c r="BL772" s="42" t="b">
        <f t="shared" si="903"/>
        <v>0</v>
      </c>
      <c r="BM772" s="42">
        <f t="shared" si="904"/>
        <v>0</v>
      </c>
      <c r="BN772" s="42">
        <f t="shared" si="905"/>
        <v>0</v>
      </c>
      <c r="BP772" t="e">
        <f t="shared" si="906"/>
        <v>#N/A</v>
      </c>
      <c r="BQ772" t="e">
        <f t="shared" si="907"/>
        <v>#N/A</v>
      </c>
      <c r="BR772" t="e">
        <f t="shared" si="908"/>
        <v>#N/A</v>
      </c>
      <c r="BT772" s="60">
        <f t="shared" si="909"/>
        <v>0</v>
      </c>
      <c r="BU772" s="60">
        <f t="shared" si="910"/>
        <v>0</v>
      </c>
      <c r="BV772" s="60">
        <f t="shared" si="911"/>
        <v>0</v>
      </c>
      <c r="BW772" s="60">
        <f t="shared" si="912"/>
        <v>0</v>
      </c>
      <c r="BX772" s="60">
        <f t="shared" si="913"/>
        <v>0</v>
      </c>
      <c r="BY772" s="60">
        <f t="shared" si="914"/>
        <v>0</v>
      </c>
      <c r="BZ772" s="60">
        <f t="shared" si="915"/>
        <v>0</v>
      </c>
      <c r="CA772" s="60">
        <f t="shared" si="916"/>
        <v>0</v>
      </c>
      <c r="CB772" s="60" t="e">
        <f t="shared" si="866"/>
        <v>#N/A</v>
      </c>
      <c r="CC772" s="60">
        <f t="shared" si="867"/>
        <v>100000</v>
      </c>
      <c r="CD772" s="60" t="e">
        <f t="shared" si="868"/>
        <v>#N/A</v>
      </c>
      <c r="CE772" s="60">
        <f t="shared" si="869"/>
        <v>100000</v>
      </c>
      <c r="CF772" s="83" t="e">
        <f t="shared" si="917"/>
        <v>#N/A</v>
      </c>
      <c r="CG772" s="83">
        <f t="shared" si="918"/>
        <v>0</v>
      </c>
      <c r="CH772" s="83" t="e">
        <f t="shared" si="919"/>
        <v>#N/A</v>
      </c>
      <c r="CI772" s="83">
        <f t="shared" si="920"/>
        <v>0</v>
      </c>
      <c r="CJ772" s="86" t="e">
        <f t="shared" si="870"/>
        <v>#N/A</v>
      </c>
      <c r="CK772" s="82">
        <f t="shared" si="871"/>
        <v>5.3070370403969858E-3</v>
      </c>
      <c r="CL772" s="82" t="e">
        <f t="shared" si="872"/>
        <v>#N/A</v>
      </c>
      <c r="CM772" s="82">
        <f t="shared" si="873"/>
        <v>5.3070370403969858E-3</v>
      </c>
      <c r="CO772" s="149" t="str">
        <f>IF($I772&lt;&gt;"",IF(O772="User Specified",U772,INDEX('Refrigerant GWPs'!$G$2:$G$156,MATCH(O772,'Refrigerant GWPs'!$A$2:$A$156,0))),"")</f>
        <v/>
      </c>
      <c r="CP772" s="138" t="str">
        <f>IF($I772&lt;&gt;"",INDEX('Device Refrigerant Leakage'!$E$2:$E$42,MATCH($M772,'Device Refrigerant Leakage'!$B$2:$B$42,0)),"")</f>
        <v/>
      </c>
      <c r="CQ772" s="138" t="str">
        <f>IF($I772&lt;&gt;"",INDEX('Device Refrigerant Leakage'!$F$2:$F$42,MATCH($M772,'Device Refrigerant Leakage'!$B$2:$B$42,0)),"")</f>
        <v/>
      </c>
      <c r="CR772" s="145" t="str">
        <f>IF($I772&lt;&gt;"",INDEX('Device Refrigerant Leakage'!$G$2:$G$42,MATCH($M772,'Device Refrigerant Leakage'!$B$2:$B$42,0)),"")</f>
        <v/>
      </c>
      <c r="CS772" s="145" t="str">
        <f>IF($I772&lt;&gt;"",INDEX('Device Refrigerant Leakage'!$D$2:$D$42,MATCH($M772,'Device Refrigerant Leakage'!$B$2:$B$42,0))*CP772/2204.62*CO772,"")</f>
        <v/>
      </c>
      <c r="CT772" s="145" t="str">
        <f>IF($I772&lt;&gt;"",J772*(INDEX('Device Refrigerant Leakage'!$D$2:$D$42,MATCH($M772,'Device Refrigerant Leakage'!$B$2:$B$42,0))-(INDEX('Device Refrigerant Leakage'!$D$2:$D$42,MATCH($M772,'Device Refrigerant Leakage'!$B$2:$B$42,0)))*CR772*CP772)*CQ772/2204.62*CO772,"")</f>
        <v/>
      </c>
      <c r="CU772" s="135" t="str">
        <f>IF($I772&lt;&gt;"",J772*IF(W772&lt;&gt;"AR",(CS772*K772)+CT772,(CS772*AB772)+CT772*(AB772/INDEX('Device Refrigerant Leakage'!$C$2:$C$42,MATCH($M772,'Device Refrigerant Leakage'!$B$2:$B$42,0)))),"")</f>
        <v/>
      </c>
      <c r="CW772" s="135" t="str">
        <f>IF($I772&lt;&gt;"",IF(S772="User Specified",V772,INDEX('Refrigerant GWPs'!$G$2:$G$156,MATCH(S772,'Refrigerant GWPs'!$A$2:$A$157,0))),"")</f>
        <v/>
      </c>
      <c r="CX772" s="138" t="str">
        <f>IF($I772&lt;&gt;"",INDEX('Device Refrigerant Leakage'!$E$2:$E$42,MATCH($Q772,'Device Refrigerant Leakage'!$B$2:$B$42,0)),"")</f>
        <v/>
      </c>
      <c r="CY772" s="138" t="str">
        <f>IF($I772&lt;&gt;"",INDEX('Device Refrigerant Leakage'!$F$2:$F$42,MATCH($Q772,'Device Refrigerant Leakage'!$B$2:$B$42,0)),"")</f>
        <v/>
      </c>
      <c r="CZ772" s="145" t="str">
        <f>IF($I772&lt;&gt;"",INDEX('Device Refrigerant Leakage'!$G$2:$G$42,MATCH($Q772,'Device Refrigerant Leakage'!$B$2:$B$42,0)),"")</f>
        <v/>
      </c>
      <c r="DA772" s="145" t="str">
        <f>IF($I772&lt;&gt;"",J772*INDEX('Device Refrigerant Leakage'!$D$2:$D$42,MATCH($Q772,'Device Refrigerant Leakage'!$B$2:$B$42,0))*CX772/2204.62*CW772,"")</f>
        <v/>
      </c>
      <c r="DB772" s="145" t="str">
        <f>IF($I772&lt;&gt;"",J772*(INDEX('Device Refrigerant Leakage'!$D$2:$D$42,MATCH($Q772,'Device Refrigerant Leakage'!$B$2:$B$42,0))-(INDEX('Device Refrigerant Leakage'!$D$2:$D$42,MATCH($Q772,'Device Refrigerant Leakage'!$B$2:$B$42,0)))*CZ772*CX772)*CY772/2204.62*CW772,"")</f>
        <v/>
      </c>
      <c r="DC772" s="135" t="str">
        <f t="shared" si="892"/>
        <v/>
      </c>
      <c r="DE772" s="146" t="str">
        <f>IF(W772&lt;&gt;"AR","",IF(Y772="User Specified", AA772, INDEX('Refrigerant GWPs'!$G$2:$G$154,MATCH(Y772,'Refrigerant GWPs'!$A$2:$A$154,0))))</f>
        <v/>
      </c>
      <c r="DF772" s="146" t="str">
        <f>IF(W772&lt;&gt;"AR","",INDEX('Device Refrigerant Leakage'!$E$2:$E$42,MATCH(X772,'Device Refrigerant Leakage'!$B$2:$B$42,0)))</f>
        <v/>
      </c>
      <c r="DG772" s="146" t="str">
        <f>IF(W772&lt;&gt;"AR","",INDEX('Device Refrigerant Leakage'!$F$2:$F$42,MATCH(X772,'Device Refrigerant Leakage'!$B$2:$B$42,0)))</f>
        <v/>
      </c>
      <c r="DH772" s="146" t="str">
        <f>IF(W772&lt;&gt;"AR","",INDEX('Device Refrigerant Leakage'!$G$2:$G$42,MATCH(X772,'Device Refrigerant Leakage'!$B$2:$B$42,0)))</f>
        <v/>
      </c>
      <c r="DI772" s="146" t="str">
        <f>IF(W772&lt;&gt;"AR","",J772*INDEX('Device Refrigerant Leakage'!$D$2:$D$42,MATCH(X772,'Device Refrigerant Leakage'!$B$2:$B$42,0))*DF772/2204.62*DE772)</f>
        <v/>
      </c>
      <c r="DJ772" s="146" t="str">
        <f>IF(W772&lt;&gt;"AR","",J772*(INDEX('Device Refrigerant Leakage'!$D$2:$D$42,MATCH(X772,'Device Refrigerant Leakage'!$B$2:$B$42,0))-(INDEX('Device Refrigerant Leakage'!$D$2:$D$42,MATCH(X772,'Device Refrigerant Leakage'!$B$2:$B$42,0)))*DH772*DF772)*DG772/2204.62*DE772)</f>
        <v/>
      </c>
      <c r="DK772" s="146" t="str">
        <f>IF(W772&lt;&gt;"AR","",DI772*(K772-AB772)+'Fuel Sub Calcs-Deemed'!DJ772*((K772-AB772)/INDEX('Device Refrigerant Leakage'!$C$2:$C$42,MATCH('Fuel Sub Calcs-Deemed'!X772,'Device Refrigerant Leakage'!$B$2:$B$42,0))))</f>
        <v/>
      </c>
      <c r="DM772" s="56">
        <v>758</v>
      </c>
      <c r="DN772" s="67" t="e">
        <f t="shared" si="874"/>
        <v>#N/A</v>
      </c>
      <c r="DO772" s="45" t="e">
        <f t="shared" si="875"/>
        <v>#N/A</v>
      </c>
      <c r="DP772" s="67" t="e">
        <f t="shared" si="876"/>
        <v>#N/A</v>
      </c>
      <c r="DQ772" s="45" t="e">
        <f t="shared" si="877"/>
        <v>#N/A</v>
      </c>
      <c r="DR772" s="69" t="e">
        <f t="shared" si="878"/>
        <v>#N/A</v>
      </c>
      <c r="DS772" s="34"/>
      <c r="DT772" s="67" t="e">
        <f>((BX772*CJ772)+IF($W772=MAT_AR,(BZ772*CL772),0))*(1+Reference!$E$50+Reference!$E$51)</f>
        <v>#N/A</v>
      </c>
      <c r="DU772" s="67">
        <f>((BY772*CK772)+IF($W772=MAT_AR,(CA772*CM772),0))*(1+Reference!$G$50+Reference!$G$51)</f>
        <v>0</v>
      </c>
      <c r="DV772" s="67" t="e">
        <f t="shared" si="879"/>
        <v>#VALUE!</v>
      </c>
      <c r="DX772" s="56">
        <v>758</v>
      </c>
      <c r="DY772" s="67">
        <f t="shared" si="880"/>
        <v>0</v>
      </c>
      <c r="DZ772" s="45" t="e">
        <f>VLOOKUP($R772,Dropdown!$C$3:$D$4,2,FALSE)</f>
        <v>#N/A</v>
      </c>
      <c r="EA772" s="68">
        <f t="shared" si="881"/>
        <v>0</v>
      </c>
      <c r="EB772" s="68" t="str">
        <f t="shared" si="882"/>
        <v>N/A</v>
      </c>
      <c r="EC772" s="68">
        <f t="shared" si="883"/>
        <v>0</v>
      </c>
      <c r="ED772" s="68" t="str">
        <f t="shared" si="921"/>
        <v>N/A</v>
      </c>
      <c r="EF772" s="56">
        <v>758</v>
      </c>
      <c r="EG772" s="46">
        <f t="shared" si="884"/>
        <v>0</v>
      </c>
      <c r="EH772" s="68" t="e">
        <f t="shared" si="885"/>
        <v>#N/A</v>
      </c>
      <c r="EI772" s="68" t="e">
        <f t="shared" si="886"/>
        <v>#N/A</v>
      </c>
      <c r="EJ772" s="68" t="e">
        <f t="shared" si="887"/>
        <v>#N/A</v>
      </c>
      <c r="EK772" s="68" t="e">
        <f t="shared" si="888"/>
        <v>#N/A</v>
      </c>
      <c r="EL772" s="46">
        <f t="shared" si="889"/>
        <v>0</v>
      </c>
      <c r="EM772" s="46">
        <f t="shared" si="890"/>
        <v>0</v>
      </c>
    </row>
    <row r="773" spans="1:143">
      <c r="A773" s="89"/>
      <c r="B773" s="89"/>
      <c r="C773" s="89"/>
      <c r="D773" s="89"/>
      <c r="E773" s="89"/>
      <c r="F773" s="89"/>
      <c r="G773" s="34"/>
      <c r="H773" s="56">
        <f t="shared" si="891"/>
        <v>759</v>
      </c>
      <c r="I773" s="165"/>
      <c r="J773" s="163"/>
      <c r="K773" s="163"/>
      <c r="L773" s="164"/>
      <c r="M773" s="155"/>
      <c r="N773" s="155"/>
      <c r="O773" s="144"/>
      <c r="P773" s="159" t="str">
        <f>IFERROR(IF(O773&lt;&gt;"User Specified",IF(O773&lt;&gt;"", INDEX('Refrigerant GWPs'!$G$2:$G$154,MATCH(O773,'Refrigerant GWPs'!$A$2:$A$154,0)),""),U773),0)</f>
        <v/>
      </c>
      <c r="Q773" s="155"/>
      <c r="R773" s="155"/>
      <c r="S773" s="144"/>
      <c r="T773" s="159" t="str">
        <f>IF(S773&lt;&gt;"User Specified",IF(AND(S773&lt;&gt;"User Specified",S773&lt;&gt;""), INDEX('Refrigerant GWPs'!$G$2:$G$154,MATCH(S773,'Refrigerant GWPs'!$A$2:$A$154,0)),""),V773)</f>
        <v/>
      </c>
      <c r="U773" s="144"/>
      <c r="V773" s="144"/>
      <c r="W773" s="155"/>
      <c r="X773" s="155"/>
      <c r="Y773" s="144"/>
      <c r="Z773" s="159" t="str">
        <f>IF(AND(Y773&lt;&gt;"User Specified",Y773&lt;&gt;""), INDEX('Refrigerant GWPs'!$G$2:$G$154,MATCH(Y773,'Refrigerant GWPs'!$A$2:$A$154,0)),"")</f>
        <v/>
      </c>
      <c r="AA773" s="155"/>
      <c r="AB773" s="156"/>
      <c r="AC773" s="66"/>
      <c r="AD773" s="66"/>
      <c r="AE773" s="66"/>
      <c r="AF773" s="66"/>
      <c r="AG773" s="66"/>
      <c r="AH773" s="66"/>
      <c r="AI773" s="34"/>
      <c r="AJ773" s="88">
        <f t="shared" si="854"/>
        <v>0</v>
      </c>
      <c r="AK773" s="88">
        <f t="shared" si="855"/>
        <v>0</v>
      </c>
      <c r="AL773" s="88">
        <v>0</v>
      </c>
      <c r="AM773" s="88">
        <v>0</v>
      </c>
      <c r="AN773" s="81" t="str">
        <f t="shared" si="893"/>
        <v/>
      </c>
      <c r="AO773" s="88">
        <f t="shared" si="856"/>
        <v>0</v>
      </c>
      <c r="AP773" s="88">
        <f t="shared" si="857"/>
        <v>0</v>
      </c>
      <c r="AQ773" s="81" t="str">
        <f t="shared" si="858"/>
        <v/>
      </c>
      <c r="AS773" s="41" t="b">
        <f t="shared" si="859"/>
        <v>1</v>
      </c>
      <c r="AT773" s="38">
        <f t="shared" si="860"/>
        <v>0</v>
      </c>
      <c r="AU773" s="60">
        <f t="shared" si="861"/>
        <v>0</v>
      </c>
      <c r="AV773" s="41">
        <f t="shared" si="862"/>
        <v>0</v>
      </c>
      <c r="AW773" s="41" t="b">
        <f t="shared" si="863"/>
        <v>0</v>
      </c>
      <c r="AX773" t="str">
        <f t="shared" si="864"/>
        <v>+00</v>
      </c>
      <c r="AY773" t="str">
        <f t="shared" si="865"/>
        <v>+00</v>
      </c>
      <c r="BA773" s="47" t="b">
        <f t="shared" si="894"/>
        <v>1</v>
      </c>
      <c r="BB773" s="42" t="b">
        <f t="shared" si="895"/>
        <v>1</v>
      </c>
      <c r="BC773" s="42" t="b">
        <f t="shared" si="896"/>
        <v>0</v>
      </c>
      <c r="BD773" s="42" t="b">
        <f t="shared" si="897"/>
        <v>0</v>
      </c>
      <c r="BE773" s="70">
        <f t="shared" si="898"/>
        <v>0</v>
      </c>
      <c r="BF773" s="70">
        <f t="shared" si="899"/>
        <v>0</v>
      </c>
      <c r="BG773" s="34"/>
      <c r="BI773" s="47" t="b">
        <f t="shared" si="900"/>
        <v>1</v>
      </c>
      <c r="BJ773" s="47" t="b">
        <f t="shared" si="901"/>
        <v>1</v>
      </c>
      <c r="BK773" s="42" t="b">
        <f t="shared" si="902"/>
        <v>0</v>
      </c>
      <c r="BL773" s="42" t="b">
        <f t="shared" si="903"/>
        <v>0</v>
      </c>
      <c r="BM773" s="42">
        <f t="shared" si="904"/>
        <v>0</v>
      </c>
      <c r="BN773" s="42">
        <f t="shared" si="905"/>
        <v>0</v>
      </c>
      <c r="BP773" t="e">
        <f t="shared" si="906"/>
        <v>#N/A</v>
      </c>
      <c r="BQ773" t="e">
        <f t="shared" si="907"/>
        <v>#N/A</v>
      </c>
      <c r="BR773" t="e">
        <f t="shared" si="908"/>
        <v>#N/A</v>
      </c>
      <c r="BT773" s="60">
        <f t="shared" si="909"/>
        <v>0</v>
      </c>
      <c r="BU773" s="60">
        <f t="shared" si="910"/>
        <v>0</v>
      </c>
      <c r="BV773" s="60">
        <f t="shared" si="911"/>
        <v>0</v>
      </c>
      <c r="BW773" s="60">
        <f t="shared" si="912"/>
        <v>0</v>
      </c>
      <c r="BX773" s="60">
        <f t="shared" si="913"/>
        <v>0</v>
      </c>
      <c r="BY773" s="60">
        <f t="shared" si="914"/>
        <v>0</v>
      </c>
      <c r="BZ773" s="60">
        <f t="shared" si="915"/>
        <v>0</v>
      </c>
      <c r="CA773" s="60">
        <f t="shared" si="916"/>
        <v>0</v>
      </c>
      <c r="CB773" s="60" t="e">
        <f t="shared" si="866"/>
        <v>#N/A</v>
      </c>
      <c r="CC773" s="60">
        <f t="shared" si="867"/>
        <v>100000</v>
      </c>
      <c r="CD773" s="60" t="e">
        <f t="shared" si="868"/>
        <v>#N/A</v>
      </c>
      <c r="CE773" s="60">
        <f t="shared" si="869"/>
        <v>100000</v>
      </c>
      <c r="CF773" s="83" t="e">
        <f t="shared" si="917"/>
        <v>#N/A</v>
      </c>
      <c r="CG773" s="83">
        <f t="shared" si="918"/>
        <v>0</v>
      </c>
      <c r="CH773" s="83" t="e">
        <f t="shared" si="919"/>
        <v>#N/A</v>
      </c>
      <c r="CI773" s="83">
        <f t="shared" si="920"/>
        <v>0</v>
      </c>
      <c r="CJ773" s="86" t="e">
        <f t="shared" si="870"/>
        <v>#N/A</v>
      </c>
      <c r="CK773" s="82">
        <f t="shared" si="871"/>
        <v>5.3070370403969858E-3</v>
      </c>
      <c r="CL773" s="82" t="e">
        <f t="shared" si="872"/>
        <v>#N/A</v>
      </c>
      <c r="CM773" s="82">
        <f t="shared" si="873"/>
        <v>5.3070370403969858E-3</v>
      </c>
      <c r="CO773" s="149" t="str">
        <f>IF($I773&lt;&gt;"",IF(O773="User Specified",U773,INDEX('Refrigerant GWPs'!$G$2:$G$156,MATCH(O773,'Refrigerant GWPs'!$A$2:$A$156,0))),"")</f>
        <v/>
      </c>
      <c r="CP773" s="138" t="str">
        <f>IF($I773&lt;&gt;"",INDEX('Device Refrigerant Leakage'!$E$2:$E$42,MATCH($M773,'Device Refrigerant Leakage'!$B$2:$B$42,0)),"")</f>
        <v/>
      </c>
      <c r="CQ773" s="138" t="str">
        <f>IF($I773&lt;&gt;"",INDEX('Device Refrigerant Leakage'!$F$2:$F$42,MATCH($M773,'Device Refrigerant Leakage'!$B$2:$B$42,0)),"")</f>
        <v/>
      </c>
      <c r="CR773" s="145" t="str">
        <f>IF($I773&lt;&gt;"",INDEX('Device Refrigerant Leakage'!$G$2:$G$42,MATCH($M773,'Device Refrigerant Leakage'!$B$2:$B$42,0)),"")</f>
        <v/>
      </c>
      <c r="CS773" s="145" t="str">
        <f>IF($I773&lt;&gt;"",INDEX('Device Refrigerant Leakage'!$D$2:$D$42,MATCH($M773,'Device Refrigerant Leakage'!$B$2:$B$42,0))*CP773/2204.62*CO773,"")</f>
        <v/>
      </c>
      <c r="CT773" s="145" t="str">
        <f>IF($I773&lt;&gt;"",J773*(INDEX('Device Refrigerant Leakage'!$D$2:$D$42,MATCH($M773,'Device Refrigerant Leakage'!$B$2:$B$42,0))-(INDEX('Device Refrigerant Leakage'!$D$2:$D$42,MATCH($M773,'Device Refrigerant Leakage'!$B$2:$B$42,0)))*CR773*CP773)*CQ773/2204.62*CO773,"")</f>
        <v/>
      </c>
      <c r="CU773" s="135" t="str">
        <f>IF($I773&lt;&gt;"",J773*IF(W773&lt;&gt;"AR",(CS773*K773)+CT773,(CS773*AB773)+CT773*(AB773/INDEX('Device Refrigerant Leakage'!$C$2:$C$42,MATCH($M773,'Device Refrigerant Leakage'!$B$2:$B$42,0)))),"")</f>
        <v/>
      </c>
      <c r="CW773" s="135" t="str">
        <f>IF($I773&lt;&gt;"",IF(S773="User Specified",V773,INDEX('Refrigerant GWPs'!$G$2:$G$156,MATCH(S773,'Refrigerant GWPs'!$A$2:$A$157,0))),"")</f>
        <v/>
      </c>
      <c r="CX773" s="138" t="str">
        <f>IF($I773&lt;&gt;"",INDEX('Device Refrigerant Leakage'!$E$2:$E$42,MATCH($Q773,'Device Refrigerant Leakage'!$B$2:$B$42,0)),"")</f>
        <v/>
      </c>
      <c r="CY773" s="138" t="str">
        <f>IF($I773&lt;&gt;"",INDEX('Device Refrigerant Leakage'!$F$2:$F$42,MATCH($Q773,'Device Refrigerant Leakage'!$B$2:$B$42,0)),"")</f>
        <v/>
      </c>
      <c r="CZ773" s="145" t="str">
        <f>IF($I773&lt;&gt;"",INDEX('Device Refrigerant Leakage'!$G$2:$G$42,MATCH($Q773,'Device Refrigerant Leakage'!$B$2:$B$42,0)),"")</f>
        <v/>
      </c>
      <c r="DA773" s="145" t="str">
        <f>IF($I773&lt;&gt;"",J773*INDEX('Device Refrigerant Leakage'!$D$2:$D$42,MATCH($Q773,'Device Refrigerant Leakage'!$B$2:$B$42,0))*CX773/2204.62*CW773,"")</f>
        <v/>
      </c>
      <c r="DB773" s="145" t="str">
        <f>IF($I773&lt;&gt;"",J773*(INDEX('Device Refrigerant Leakage'!$D$2:$D$42,MATCH($Q773,'Device Refrigerant Leakage'!$B$2:$B$42,0))-(INDEX('Device Refrigerant Leakage'!$D$2:$D$42,MATCH($Q773,'Device Refrigerant Leakage'!$B$2:$B$42,0)))*CZ773*CX773)*CY773/2204.62*CW773,"")</f>
        <v/>
      </c>
      <c r="DC773" s="135" t="str">
        <f t="shared" si="892"/>
        <v/>
      </c>
      <c r="DE773" s="146" t="str">
        <f>IF(W773&lt;&gt;"AR","",IF(Y773="User Specified", AA773, INDEX('Refrigerant GWPs'!$G$2:$G$154,MATCH(Y773,'Refrigerant GWPs'!$A$2:$A$154,0))))</f>
        <v/>
      </c>
      <c r="DF773" s="146" t="str">
        <f>IF(W773&lt;&gt;"AR","",INDEX('Device Refrigerant Leakage'!$E$2:$E$42,MATCH(X773,'Device Refrigerant Leakage'!$B$2:$B$42,0)))</f>
        <v/>
      </c>
      <c r="DG773" s="146" t="str">
        <f>IF(W773&lt;&gt;"AR","",INDEX('Device Refrigerant Leakage'!$F$2:$F$42,MATCH(X773,'Device Refrigerant Leakage'!$B$2:$B$42,0)))</f>
        <v/>
      </c>
      <c r="DH773" s="146" t="str">
        <f>IF(W773&lt;&gt;"AR","",INDEX('Device Refrigerant Leakage'!$G$2:$G$42,MATCH(X773,'Device Refrigerant Leakage'!$B$2:$B$42,0)))</f>
        <v/>
      </c>
      <c r="DI773" s="146" t="str">
        <f>IF(W773&lt;&gt;"AR","",J773*INDEX('Device Refrigerant Leakage'!$D$2:$D$42,MATCH(X773,'Device Refrigerant Leakage'!$B$2:$B$42,0))*DF773/2204.62*DE773)</f>
        <v/>
      </c>
      <c r="DJ773" s="146" t="str">
        <f>IF(W773&lt;&gt;"AR","",J773*(INDEX('Device Refrigerant Leakage'!$D$2:$D$42,MATCH(X773,'Device Refrigerant Leakage'!$B$2:$B$42,0))-(INDEX('Device Refrigerant Leakage'!$D$2:$D$42,MATCH(X773,'Device Refrigerant Leakage'!$B$2:$B$42,0)))*DH773*DF773)*DG773/2204.62*DE773)</f>
        <v/>
      </c>
      <c r="DK773" s="146" t="str">
        <f>IF(W773&lt;&gt;"AR","",DI773*(K773-AB773)+'Fuel Sub Calcs-Deemed'!DJ773*((K773-AB773)/INDEX('Device Refrigerant Leakage'!$C$2:$C$42,MATCH('Fuel Sub Calcs-Deemed'!X773,'Device Refrigerant Leakage'!$B$2:$B$42,0))))</f>
        <v/>
      </c>
      <c r="DM773" s="56">
        <v>759</v>
      </c>
      <c r="DN773" s="67" t="e">
        <f t="shared" si="874"/>
        <v>#N/A</v>
      </c>
      <c r="DO773" s="45" t="e">
        <f t="shared" si="875"/>
        <v>#N/A</v>
      </c>
      <c r="DP773" s="67" t="e">
        <f t="shared" si="876"/>
        <v>#N/A</v>
      </c>
      <c r="DQ773" s="45" t="e">
        <f t="shared" si="877"/>
        <v>#N/A</v>
      </c>
      <c r="DR773" s="69" t="e">
        <f t="shared" si="878"/>
        <v>#N/A</v>
      </c>
      <c r="DS773" s="34"/>
      <c r="DT773" s="67" t="e">
        <f>((BX773*CJ773)+IF($W773=MAT_AR,(BZ773*CL773),0))*(1+Reference!$E$50+Reference!$E$51)</f>
        <v>#N/A</v>
      </c>
      <c r="DU773" s="67">
        <f>((BY773*CK773)+IF($W773=MAT_AR,(CA773*CM773),0))*(1+Reference!$G$50+Reference!$G$51)</f>
        <v>0</v>
      </c>
      <c r="DV773" s="67" t="e">
        <f t="shared" si="879"/>
        <v>#VALUE!</v>
      </c>
      <c r="DX773" s="56">
        <v>759</v>
      </c>
      <c r="DY773" s="67">
        <f t="shared" si="880"/>
        <v>0</v>
      </c>
      <c r="DZ773" s="45" t="e">
        <f>VLOOKUP($R773,Dropdown!$C$3:$D$4,2,FALSE)</f>
        <v>#N/A</v>
      </c>
      <c r="EA773" s="68">
        <f t="shared" si="881"/>
        <v>0</v>
      </c>
      <c r="EB773" s="68" t="str">
        <f t="shared" si="882"/>
        <v>N/A</v>
      </c>
      <c r="EC773" s="68">
        <f t="shared" si="883"/>
        <v>0</v>
      </c>
      <c r="ED773" s="68" t="str">
        <f t="shared" si="921"/>
        <v>N/A</v>
      </c>
      <c r="EF773" s="56">
        <v>759</v>
      </c>
      <c r="EG773" s="46">
        <f t="shared" si="884"/>
        <v>0</v>
      </c>
      <c r="EH773" s="68" t="e">
        <f t="shared" si="885"/>
        <v>#N/A</v>
      </c>
      <c r="EI773" s="68" t="e">
        <f t="shared" si="886"/>
        <v>#N/A</v>
      </c>
      <c r="EJ773" s="68" t="e">
        <f t="shared" si="887"/>
        <v>#N/A</v>
      </c>
      <c r="EK773" s="68" t="e">
        <f t="shared" si="888"/>
        <v>#N/A</v>
      </c>
      <c r="EL773" s="46">
        <f t="shared" si="889"/>
        <v>0</v>
      </c>
      <c r="EM773" s="46">
        <f t="shared" si="890"/>
        <v>0</v>
      </c>
    </row>
    <row r="774" spans="1:143">
      <c r="A774" s="89"/>
      <c r="B774" s="89"/>
      <c r="C774" s="89"/>
      <c r="D774" s="89"/>
      <c r="E774" s="89"/>
      <c r="F774" s="89"/>
      <c r="G774" s="34"/>
      <c r="H774" s="56">
        <f t="shared" si="891"/>
        <v>760</v>
      </c>
      <c r="I774" s="165"/>
      <c r="J774" s="163"/>
      <c r="K774" s="163"/>
      <c r="L774" s="164"/>
      <c r="M774" s="155"/>
      <c r="N774" s="155"/>
      <c r="O774" s="144"/>
      <c r="P774" s="159" t="str">
        <f>IFERROR(IF(O774&lt;&gt;"User Specified",IF(O774&lt;&gt;"", INDEX('Refrigerant GWPs'!$G$2:$G$154,MATCH(O774,'Refrigerant GWPs'!$A$2:$A$154,0)),""),U774),0)</f>
        <v/>
      </c>
      <c r="Q774" s="155"/>
      <c r="R774" s="155"/>
      <c r="S774" s="144"/>
      <c r="T774" s="159" t="str">
        <f>IF(S774&lt;&gt;"User Specified",IF(AND(S774&lt;&gt;"User Specified",S774&lt;&gt;""), INDEX('Refrigerant GWPs'!$G$2:$G$154,MATCH(S774,'Refrigerant GWPs'!$A$2:$A$154,0)),""),V774)</f>
        <v/>
      </c>
      <c r="U774" s="144"/>
      <c r="V774" s="144"/>
      <c r="W774" s="155"/>
      <c r="X774" s="155"/>
      <c r="Y774" s="144"/>
      <c r="Z774" s="159" t="str">
        <f>IF(AND(Y774&lt;&gt;"User Specified",Y774&lt;&gt;""), INDEX('Refrigerant GWPs'!$G$2:$G$154,MATCH(Y774,'Refrigerant GWPs'!$A$2:$A$154,0)),"")</f>
        <v/>
      </c>
      <c r="AA774" s="155"/>
      <c r="AB774" s="156"/>
      <c r="AC774" s="66"/>
      <c r="AD774" s="66"/>
      <c r="AE774" s="66"/>
      <c r="AF774" s="66"/>
      <c r="AG774" s="66"/>
      <c r="AH774" s="66"/>
      <c r="AI774" s="34"/>
      <c r="AJ774" s="88">
        <f t="shared" si="854"/>
        <v>0</v>
      </c>
      <c r="AK774" s="88">
        <f t="shared" si="855"/>
        <v>0</v>
      </c>
      <c r="AL774" s="88">
        <v>0</v>
      </c>
      <c r="AM774" s="88">
        <v>0</v>
      </c>
      <c r="AN774" s="81" t="str">
        <f t="shared" si="893"/>
        <v/>
      </c>
      <c r="AO774" s="88">
        <f t="shared" si="856"/>
        <v>0</v>
      </c>
      <c r="AP774" s="88">
        <f t="shared" si="857"/>
        <v>0</v>
      </c>
      <c r="AQ774" s="81" t="str">
        <f t="shared" si="858"/>
        <v/>
      </c>
      <c r="AS774" s="41" t="b">
        <f t="shared" si="859"/>
        <v>1</v>
      </c>
      <c r="AT774" s="38">
        <f t="shared" si="860"/>
        <v>0</v>
      </c>
      <c r="AU774" s="60">
        <f t="shared" si="861"/>
        <v>0</v>
      </c>
      <c r="AV774" s="41">
        <f t="shared" si="862"/>
        <v>0</v>
      </c>
      <c r="AW774" s="41" t="b">
        <f t="shared" si="863"/>
        <v>0</v>
      </c>
      <c r="AX774" t="str">
        <f t="shared" si="864"/>
        <v>+00</v>
      </c>
      <c r="AY774" t="str">
        <f t="shared" si="865"/>
        <v>+00</v>
      </c>
      <c r="BA774" s="47" t="b">
        <f t="shared" si="894"/>
        <v>1</v>
      </c>
      <c r="BB774" s="42" t="b">
        <f t="shared" si="895"/>
        <v>1</v>
      </c>
      <c r="BC774" s="42" t="b">
        <f t="shared" si="896"/>
        <v>0</v>
      </c>
      <c r="BD774" s="42" t="b">
        <f t="shared" si="897"/>
        <v>0</v>
      </c>
      <c r="BE774" s="70">
        <f t="shared" si="898"/>
        <v>0</v>
      </c>
      <c r="BF774" s="70">
        <f t="shared" si="899"/>
        <v>0</v>
      </c>
      <c r="BG774" s="34"/>
      <c r="BI774" s="47" t="b">
        <f t="shared" si="900"/>
        <v>1</v>
      </c>
      <c r="BJ774" s="47" t="b">
        <f t="shared" si="901"/>
        <v>1</v>
      </c>
      <c r="BK774" s="42" t="b">
        <f t="shared" si="902"/>
        <v>0</v>
      </c>
      <c r="BL774" s="42" t="b">
        <f t="shared" si="903"/>
        <v>0</v>
      </c>
      <c r="BM774" s="42">
        <f t="shared" si="904"/>
        <v>0</v>
      </c>
      <c r="BN774" s="42">
        <f t="shared" si="905"/>
        <v>0</v>
      </c>
      <c r="BP774" t="e">
        <f t="shared" si="906"/>
        <v>#N/A</v>
      </c>
      <c r="BQ774" t="e">
        <f t="shared" si="907"/>
        <v>#N/A</v>
      </c>
      <c r="BR774" t="e">
        <f t="shared" si="908"/>
        <v>#N/A</v>
      </c>
      <c r="BT774" s="60">
        <f t="shared" si="909"/>
        <v>0</v>
      </c>
      <c r="BU774" s="60">
        <f t="shared" si="910"/>
        <v>0</v>
      </c>
      <c r="BV774" s="60">
        <f t="shared" si="911"/>
        <v>0</v>
      </c>
      <c r="BW774" s="60">
        <f t="shared" si="912"/>
        <v>0</v>
      </c>
      <c r="BX774" s="60">
        <f t="shared" si="913"/>
        <v>0</v>
      </c>
      <c r="BY774" s="60">
        <f t="shared" si="914"/>
        <v>0</v>
      </c>
      <c r="BZ774" s="60">
        <f t="shared" si="915"/>
        <v>0</v>
      </c>
      <c r="CA774" s="60">
        <f t="shared" si="916"/>
        <v>0</v>
      </c>
      <c r="CB774" s="60" t="e">
        <f t="shared" si="866"/>
        <v>#N/A</v>
      </c>
      <c r="CC774" s="60">
        <f t="shared" si="867"/>
        <v>100000</v>
      </c>
      <c r="CD774" s="60" t="e">
        <f t="shared" si="868"/>
        <v>#N/A</v>
      </c>
      <c r="CE774" s="60">
        <f t="shared" si="869"/>
        <v>100000</v>
      </c>
      <c r="CF774" s="83" t="e">
        <f t="shared" si="917"/>
        <v>#N/A</v>
      </c>
      <c r="CG774" s="83">
        <f t="shared" si="918"/>
        <v>0</v>
      </c>
      <c r="CH774" s="83" t="e">
        <f t="shared" si="919"/>
        <v>#N/A</v>
      </c>
      <c r="CI774" s="83">
        <f t="shared" si="920"/>
        <v>0</v>
      </c>
      <c r="CJ774" s="86" t="e">
        <f t="shared" si="870"/>
        <v>#N/A</v>
      </c>
      <c r="CK774" s="82">
        <f t="shared" si="871"/>
        <v>5.3070370403969858E-3</v>
      </c>
      <c r="CL774" s="82" t="e">
        <f t="shared" si="872"/>
        <v>#N/A</v>
      </c>
      <c r="CM774" s="82">
        <f t="shared" si="873"/>
        <v>5.3070370403969858E-3</v>
      </c>
      <c r="CO774" s="149" t="str">
        <f>IF($I774&lt;&gt;"",IF(O774="User Specified",U774,INDEX('Refrigerant GWPs'!$G$2:$G$156,MATCH(O774,'Refrigerant GWPs'!$A$2:$A$156,0))),"")</f>
        <v/>
      </c>
      <c r="CP774" s="138" t="str">
        <f>IF($I774&lt;&gt;"",INDEX('Device Refrigerant Leakage'!$E$2:$E$42,MATCH($M774,'Device Refrigerant Leakage'!$B$2:$B$42,0)),"")</f>
        <v/>
      </c>
      <c r="CQ774" s="138" t="str">
        <f>IF($I774&lt;&gt;"",INDEX('Device Refrigerant Leakage'!$F$2:$F$42,MATCH($M774,'Device Refrigerant Leakage'!$B$2:$B$42,0)),"")</f>
        <v/>
      </c>
      <c r="CR774" s="145" t="str">
        <f>IF($I774&lt;&gt;"",INDEX('Device Refrigerant Leakage'!$G$2:$G$42,MATCH($M774,'Device Refrigerant Leakage'!$B$2:$B$42,0)),"")</f>
        <v/>
      </c>
      <c r="CS774" s="145" t="str">
        <f>IF($I774&lt;&gt;"",INDEX('Device Refrigerant Leakage'!$D$2:$D$42,MATCH($M774,'Device Refrigerant Leakage'!$B$2:$B$42,0))*CP774/2204.62*CO774,"")</f>
        <v/>
      </c>
      <c r="CT774" s="145" t="str">
        <f>IF($I774&lt;&gt;"",J774*(INDEX('Device Refrigerant Leakage'!$D$2:$D$42,MATCH($M774,'Device Refrigerant Leakage'!$B$2:$B$42,0))-(INDEX('Device Refrigerant Leakage'!$D$2:$D$42,MATCH($M774,'Device Refrigerant Leakage'!$B$2:$B$42,0)))*CR774*CP774)*CQ774/2204.62*CO774,"")</f>
        <v/>
      </c>
      <c r="CU774" s="135" t="str">
        <f>IF($I774&lt;&gt;"",J774*IF(W774&lt;&gt;"AR",(CS774*K774)+CT774,(CS774*AB774)+CT774*(AB774/INDEX('Device Refrigerant Leakage'!$C$2:$C$42,MATCH($M774,'Device Refrigerant Leakage'!$B$2:$B$42,0)))),"")</f>
        <v/>
      </c>
      <c r="CW774" s="135" t="str">
        <f>IF($I774&lt;&gt;"",IF(S774="User Specified",V774,INDEX('Refrigerant GWPs'!$G$2:$G$156,MATCH(S774,'Refrigerant GWPs'!$A$2:$A$157,0))),"")</f>
        <v/>
      </c>
      <c r="CX774" s="138" t="str">
        <f>IF($I774&lt;&gt;"",INDEX('Device Refrigerant Leakage'!$E$2:$E$42,MATCH($Q774,'Device Refrigerant Leakage'!$B$2:$B$42,0)),"")</f>
        <v/>
      </c>
      <c r="CY774" s="138" t="str">
        <f>IF($I774&lt;&gt;"",INDEX('Device Refrigerant Leakage'!$F$2:$F$42,MATCH($Q774,'Device Refrigerant Leakage'!$B$2:$B$42,0)),"")</f>
        <v/>
      </c>
      <c r="CZ774" s="145" t="str">
        <f>IF($I774&lt;&gt;"",INDEX('Device Refrigerant Leakage'!$G$2:$G$42,MATCH($Q774,'Device Refrigerant Leakage'!$B$2:$B$42,0)),"")</f>
        <v/>
      </c>
      <c r="DA774" s="145" t="str">
        <f>IF($I774&lt;&gt;"",J774*INDEX('Device Refrigerant Leakage'!$D$2:$D$42,MATCH($Q774,'Device Refrigerant Leakage'!$B$2:$B$42,0))*CX774/2204.62*CW774,"")</f>
        <v/>
      </c>
      <c r="DB774" s="145" t="str">
        <f>IF($I774&lt;&gt;"",J774*(INDEX('Device Refrigerant Leakage'!$D$2:$D$42,MATCH($Q774,'Device Refrigerant Leakage'!$B$2:$B$42,0))-(INDEX('Device Refrigerant Leakage'!$D$2:$D$42,MATCH($Q774,'Device Refrigerant Leakage'!$B$2:$B$42,0)))*CZ774*CX774)*CY774/2204.62*CW774,"")</f>
        <v/>
      </c>
      <c r="DC774" s="135" t="str">
        <f t="shared" si="892"/>
        <v/>
      </c>
      <c r="DE774" s="146" t="str">
        <f>IF(W774&lt;&gt;"AR","",IF(Y774="User Specified", AA774, INDEX('Refrigerant GWPs'!$G$2:$G$154,MATCH(Y774,'Refrigerant GWPs'!$A$2:$A$154,0))))</f>
        <v/>
      </c>
      <c r="DF774" s="146" t="str">
        <f>IF(W774&lt;&gt;"AR","",INDEX('Device Refrigerant Leakage'!$E$2:$E$42,MATCH(X774,'Device Refrigerant Leakage'!$B$2:$B$42,0)))</f>
        <v/>
      </c>
      <c r="DG774" s="146" t="str">
        <f>IF(W774&lt;&gt;"AR","",INDEX('Device Refrigerant Leakage'!$F$2:$F$42,MATCH(X774,'Device Refrigerant Leakage'!$B$2:$B$42,0)))</f>
        <v/>
      </c>
      <c r="DH774" s="146" t="str">
        <f>IF(W774&lt;&gt;"AR","",INDEX('Device Refrigerant Leakage'!$G$2:$G$42,MATCH(X774,'Device Refrigerant Leakage'!$B$2:$B$42,0)))</f>
        <v/>
      </c>
      <c r="DI774" s="146" t="str">
        <f>IF(W774&lt;&gt;"AR","",J774*INDEX('Device Refrigerant Leakage'!$D$2:$D$42,MATCH(X774,'Device Refrigerant Leakage'!$B$2:$B$42,0))*DF774/2204.62*DE774)</f>
        <v/>
      </c>
      <c r="DJ774" s="146" t="str">
        <f>IF(W774&lt;&gt;"AR","",J774*(INDEX('Device Refrigerant Leakage'!$D$2:$D$42,MATCH(X774,'Device Refrigerant Leakage'!$B$2:$B$42,0))-(INDEX('Device Refrigerant Leakage'!$D$2:$D$42,MATCH(X774,'Device Refrigerant Leakage'!$B$2:$B$42,0)))*DH774*DF774)*DG774/2204.62*DE774)</f>
        <v/>
      </c>
      <c r="DK774" s="146" t="str">
        <f>IF(W774&lt;&gt;"AR","",DI774*(K774-AB774)+'Fuel Sub Calcs-Deemed'!DJ774*((K774-AB774)/INDEX('Device Refrigerant Leakage'!$C$2:$C$42,MATCH('Fuel Sub Calcs-Deemed'!X774,'Device Refrigerant Leakage'!$B$2:$B$42,0))))</f>
        <v/>
      </c>
      <c r="DM774" s="56">
        <v>760</v>
      </c>
      <c r="DN774" s="67" t="e">
        <f t="shared" si="874"/>
        <v>#N/A</v>
      </c>
      <c r="DO774" s="45" t="e">
        <f t="shared" si="875"/>
        <v>#N/A</v>
      </c>
      <c r="DP774" s="67" t="e">
        <f t="shared" si="876"/>
        <v>#N/A</v>
      </c>
      <c r="DQ774" s="45" t="e">
        <f t="shared" si="877"/>
        <v>#N/A</v>
      </c>
      <c r="DR774" s="69" t="e">
        <f t="shared" si="878"/>
        <v>#N/A</v>
      </c>
      <c r="DS774" s="34"/>
      <c r="DT774" s="67" t="e">
        <f>((BX774*CJ774)+IF($W774=MAT_AR,(BZ774*CL774),0))*(1+Reference!$E$50+Reference!$E$51)</f>
        <v>#N/A</v>
      </c>
      <c r="DU774" s="67">
        <f>((BY774*CK774)+IF($W774=MAT_AR,(CA774*CM774),0))*(1+Reference!$G$50+Reference!$G$51)</f>
        <v>0</v>
      </c>
      <c r="DV774" s="67" t="e">
        <f t="shared" si="879"/>
        <v>#VALUE!</v>
      </c>
      <c r="DX774" s="56">
        <v>760</v>
      </c>
      <c r="DY774" s="67">
        <f t="shared" si="880"/>
        <v>0</v>
      </c>
      <c r="DZ774" s="45" t="e">
        <f>VLOOKUP($R774,Dropdown!$C$3:$D$4,2,FALSE)</f>
        <v>#N/A</v>
      </c>
      <c r="EA774" s="68">
        <f t="shared" si="881"/>
        <v>0</v>
      </c>
      <c r="EB774" s="68" t="str">
        <f t="shared" si="882"/>
        <v>N/A</v>
      </c>
      <c r="EC774" s="68">
        <f t="shared" si="883"/>
        <v>0</v>
      </c>
      <c r="ED774" s="68" t="str">
        <f t="shared" si="921"/>
        <v>N/A</v>
      </c>
      <c r="EF774" s="56">
        <v>760</v>
      </c>
      <c r="EG774" s="46">
        <f t="shared" si="884"/>
        <v>0</v>
      </c>
      <c r="EH774" s="68" t="e">
        <f t="shared" si="885"/>
        <v>#N/A</v>
      </c>
      <c r="EI774" s="68" t="e">
        <f t="shared" si="886"/>
        <v>#N/A</v>
      </c>
      <c r="EJ774" s="68" t="e">
        <f t="shared" si="887"/>
        <v>#N/A</v>
      </c>
      <c r="EK774" s="68" t="e">
        <f t="shared" si="888"/>
        <v>#N/A</v>
      </c>
      <c r="EL774" s="46">
        <f t="shared" si="889"/>
        <v>0</v>
      </c>
      <c r="EM774" s="46">
        <f t="shared" si="890"/>
        <v>0</v>
      </c>
    </row>
    <row r="775" spans="1:143">
      <c r="A775" s="89"/>
      <c r="B775" s="89"/>
      <c r="C775" s="89"/>
      <c r="D775" s="89"/>
      <c r="E775" s="89"/>
      <c r="F775" s="89"/>
      <c r="G775" s="34"/>
      <c r="H775" s="56">
        <f t="shared" si="891"/>
        <v>761</v>
      </c>
      <c r="I775" s="165"/>
      <c r="J775" s="163"/>
      <c r="K775" s="163"/>
      <c r="L775" s="164"/>
      <c r="M775" s="155"/>
      <c r="N775" s="155"/>
      <c r="O775" s="144"/>
      <c r="P775" s="159" t="str">
        <f>IFERROR(IF(O775&lt;&gt;"User Specified",IF(O775&lt;&gt;"", INDEX('Refrigerant GWPs'!$G$2:$G$154,MATCH(O775,'Refrigerant GWPs'!$A$2:$A$154,0)),""),U775),0)</f>
        <v/>
      </c>
      <c r="Q775" s="155"/>
      <c r="R775" s="155"/>
      <c r="S775" s="144"/>
      <c r="T775" s="159" t="str">
        <f>IF(S775&lt;&gt;"User Specified",IF(AND(S775&lt;&gt;"User Specified",S775&lt;&gt;""), INDEX('Refrigerant GWPs'!$G$2:$G$154,MATCH(S775,'Refrigerant GWPs'!$A$2:$A$154,0)),""),V775)</f>
        <v/>
      </c>
      <c r="U775" s="144"/>
      <c r="V775" s="144"/>
      <c r="W775" s="155"/>
      <c r="X775" s="155"/>
      <c r="Y775" s="144"/>
      <c r="Z775" s="159" t="str">
        <f>IF(AND(Y775&lt;&gt;"User Specified",Y775&lt;&gt;""), INDEX('Refrigerant GWPs'!$G$2:$G$154,MATCH(Y775,'Refrigerant GWPs'!$A$2:$A$154,0)),"")</f>
        <v/>
      </c>
      <c r="AA775" s="155"/>
      <c r="AB775" s="156"/>
      <c r="AC775" s="66"/>
      <c r="AD775" s="66"/>
      <c r="AE775" s="66"/>
      <c r="AF775" s="66"/>
      <c r="AG775" s="66"/>
      <c r="AH775" s="66"/>
      <c r="AI775" s="34"/>
      <c r="AJ775" s="88">
        <f t="shared" si="854"/>
        <v>0</v>
      </c>
      <c r="AK775" s="88">
        <f t="shared" si="855"/>
        <v>0</v>
      </c>
      <c r="AL775" s="88">
        <v>0</v>
      </c>
      <c r="AM775" s="88">
        <v>0</v>
      </c>
      <c r="AN775" s="81" t="str">
        <f t="shared" si="893"/>
        <v/>
      </c>
      <c r="AO775" s="88">
        <f t="shared" si="856"/>
        <v>0</v>
      </c>
      <c r="AP775" s="88">
        <f t="shared" si="857"/>
        <v>0</v>
      </c>
      <c r="AQ775" s="81" t="str">
        <f t="shared" si="858"/>
        <v/>
      </c>
      <c r="AS775" s="41" t="b">
        <f t="shared" si="859"/>
        <v>1</v>
      </c>
      <c r="AT775" s="38">
        <f t="shared" si="860"/>
        <v>0</v>
      </c>
      <c r="AU775" s="60">
        <f t="shared" si="861"/>
        <v>0</v>
      </c>
      <c r="AV775" s="41">
        <f t="shared" si="862"/>
        <v>0</v>
      </c>
      <c r="AW775" s="41" t="b">
        <f t="shared" si="863"/>
        <v>0</v>
      </c>
      <c r="AX775" t="str">
        <f t="shared" si="864"/>
        <v>+00</v>
      </c>
      <c r="AY775" t="str">
        <f t="shared" si="865"/>
        <v>+00</v>
      </c>
      <c r="BA775" s="47" t="b">
        <f t="shared" si="894"/>
        <v>1</v>
      </c>
      <c r="BB775" s="42" t="b">
        <f t="shared" si="895"/>
        <v>1</v>
      </c>
      <c r="BC775" s="42" t="b">
        <f t="shared" si="896"/>
        <v>0</v>
      </c>
      <c r="BD775" s="42" t="b">
        <f t="shared" si="897"/>
        <v>0</v>
      </c>
      <c r="BE775" s="70">
        <f t="shared" si="898"/>
        <v>0</v>
      </c>
      <c r="BF775" s="70">
        <f t="shared" si="899"/>
        <v>0</v>
      </c>
      <c r="BG775" s="34"/>
      <c r="BI775" s="47" t="b">
        <f t="shared" si="900"/>
        <v>1</v>
      </c>
      <c r="BJ775" s="47" t="b">
        <f t="shared" si="901"/>
        <v>1</v>
      </c>
      <c r="BK775" s="42" t="b">
        <f t="shared" si="902"/>
        <v>0</v>
      </c>
      <c r="BL775" s="42" t="b">
        <f t="shared" si="903"/>
        <v>0</v>
      </c>
      <c r="BM775" s="42">
        <f t="shared" si="904"/>
        <v>0</v>
      </c>
      <c r="BN775" s="42">
        <f t="shared" si="905"/>
        <v>0</v>
      </c>
      <c r="BP775" t="e">
        <f t="shared" si="906"/>
        <v>#N/A</v>
      </c>
      <c r="BQ775" t="e">
        <f t="shared" si="907"/>
        <v>#N/A</v>
      </c>
      <c r="BR775" t="e">
        <f t="shared" si="908"/>
        <v>#N/A</v>
      </c>
      <c r="BT775" s="60">
        <f t="shared" si="909"/>
        <v>0</v>
      </c>
      <c r="BU775" s="60">
        <f t="shared" si="910"/>
        <v>0</v>
      </c>
      <c r="BV775" s="60">
        <f t="shared" si="911"/>
        <v>0</v>
      </c>
      <c r="BW775" s="60">
        <f t="shared" si="912"/>
        <v>0</v>
      </c>
      <c r="BX775" s="60">
        <f t="shared" si="913"/>
        <v>0</v>
      </c>
      <c r="BY775" s="60">
        <f t="shared" si="914"/>
        <v>0</v>
      </c>
      <c r="BZ775" s="60">
        <f t="shared" si="915"/>
        <v>0</v>
      </c>
      <c r="CA775" s="60">
        <f t="shared" si="916"/>
        <v>0</v>
      </c>
      <c r="CB775" s="60" t="e">
        <f t="shared" si="866"/>
        <v>#N/A</v>
      </c>
      <c r="CC775" s="60">
        <f t="shared" si="867"/>
        <v>100000</v>
      </c>
      <c r="CD775" s="60" t="e">
        <f t="shared" si="868"/>
        <v>#N/A</v>
      </c>
      <c r="CE775" s="60">
        <f t="shared" si="869"/>
        <v>100000</v>
      </c>
      <c r="CF775" s="83" t="e">
        <f t="shared" si="917"/>
        <v>#N/A</v>
      </c>
      <c r="CG775" s="83">
        <f t="shared" si="918"/>
        <v>0</v>
      </c>
      <c r="CH775" s="83" t="e">
        <f t="shared" si="919"/>
        <v>#N/A</v>
      </c>
      <c r="CI775" s="83">
        <f t="shared" si="920"/>
        <v>0</v>
      </c>
      <c r="CJ775" s="86" t="e">
        <f t="shared" si="870"/>
        <v>#N/A</v>
      </c>
      <c r="CK775" s="82">
        <f t="shared" si="871"/>
        <v>5.3070370403969858E-3</v>
      </c>
      <c r="CL775" s="82" t="e">
        <f t="shared" si="872"/>
        <v>#N/A</v>
      </c>
      <c r="CM775" s="82">
        <f t="shared" si="873"/>
        <v>5.3070370403969858E-3</v>
      </c>
      <c r="CO775" s="149" t="str">
        <f>IF($I775&lt;&gt;"",IF(O775="User Specified",U775,INDEX('Refrigerant GWPs'!$G$2:$G$156,MATCH(O775,'Refrigerant GWPs'!$A$2:$A$156,0))),"")</f>
        <v/>
      </c>
      <c r="CP775" s="138" t="str">
        <f>IF($I775&lt;&gt;"",INDEX('Device Refrigerant Leakage'!$E$2:$E$42,MATCH($M775,'Device Refrigerant Leakage'!$B$2:$B$42,0)),"")</f>
        <v/>
      </c>
      <c r="CQ775" s="138" t="str">
        <f>IF($I775&lt;&gt;"",INDEX('Device Refrigerant Leakage'!$F$2:$F$42,MATCH($M775,'Device Refrigerant Leakage'!$B$2:$B$42,0)),"")</f>
        <v/>
      </c>
      <c r="CR775" s="145" t="str">
        <f>IF($I775&lt;&gt;"",INDEX('Device Refrigerant Leakage'!$G$2:$G$42,MATCH($M775,'Device Refrigerant Leakage'!$B$2:$B$42,0)),"")</f>
        <v/>
      </c>
      <c r="CS775" s="145" t="str">
        <f>IF($I775&lt;&gt;"",INDEX('Device Refrigerant Leakage'!$D$2:$D$42,MATCH($M775,'Device Refrigerant Leakage'!$B$2:$B$42,0))*CP775/2204.62*CO775,"")</f>
        <v/>
      </c>
      <c r="CT775" s="145" t="str">
        <f>IF($I775&lt;&gt;"",J775*(INDEX('Device Refrigerant Leakage'!$D$2:$D$42,MATCH($M775,'Device Refrigerant Leakage'!$B$2:$B$42,0))-(INDEX('Device Refrigerant Leakage'!$D$2:$D$42,MATCH($M775,'Device Refrigerant Leakage'!$B$2:$B$42,0)))*CR775*CP775)*CQ775/2204.62*CO775,"")</f>
        <v/>
      </c>
      <c r="CU775" s="135" t="str">
        <f>IF($I775&lt;&gt;"",J775*IF(W775&lt;&gt;"AR",(CS775*K775)+CT775,(CS775*AB775)+CT775*(AB775/INDEX('Device Refrigerant Leakage'!$C$2:$C$42,MATCH($M775,'Device Refrigerant Leakage'!$B$2:$B$42,0)))),"")</f>
        <v/>
      </c>
      <c r="CW775" s="135" t="str">
        <f>IF($I775&lt;&gt;"",IF(S775="User Specified",V775,INDEX('Refrigerant GWPs'!$G$2:$G$156,MATCH(S775,'Refrigerant GWPs'!$A$2:$A$157,0))),"")</f>
        <v/>
      </c>
      <c r="CX775" s="138" t="str">
        <f>IF($I775&lt;&gt;"",INDEX('Device Refrigerant Leakage'!$E$2:$E$42,MATCH($Q775,'Device Refrigerant Leakage'!$B$2:$B$42,0)),"")</f>
        <v/>
      </c>
      <c r="CY775" s="138" t="str">
        <f>IF($I775&lt;&gt;"",INDEX('Device Refrigerant Leakage'!$F$2:$F$42,MATCH($Q775,'Device Refrigerant Leakage'!$B$2:$B$42,0)),"")</f>
        <v/>
      </c>
      <c r="CZ775" s="145" t="str">
        <f>IF($I775&lt;&gt;"",INDEX('Device Refrigerant Leakage'!$G$2:$G$42,MATCH($Q775,'Device Refrigerant Leakage'!$B$2:$B$42,0)),"")</f>
        <v/>
      </c>
      <c r="DA775" s="145" t="str">
        <f>IF($I775&lt;&gt;"",J775*INDEX('Device Refrigerant Leakage'!$D$2:$D$42,MATCH($Q775,'Device Refrigerant Leakage'!$B$2:$B$42,0))*CX775/2204.62*CW775,"")</f>
        <v/>
      </c>
      <c r="DB775" s="145" t="str">
        <f>IF($I775&lt;&gt;"",J775*(INDEX('Device Refrigerant Leakage'!$D$2:$D$42,MATCH($Q775,'Device Refrigerant Leakage'!$B$2:$B$42,0))-(INDEX('Device Refrigerant Leakage'!$D$2:$D$42,MATCH($Q775,'Device Refrigerant Leakage'!$B$2:$B$42,0)))*CZ775*CX775)*CY775/2204.62*CW775,"")</f>
        <v/>
      </c>
      <c r="DC775" s="135" t="str">
        <f t="shared" si="892"/>
        <v/>
      </c>
      <c r="DE775" s="146" t="str">
        <f>IF(W775&lt;&gt;"AR","",IF(Y775="User Specified", AA775, INDEX('Refrigerant GWPs'!$G$2:$G$154,MATCH(Y775,'Refrigerant GWPs'!$A$2:$A$154,0))))</f>
        <v/>
      </c>
      <c r="DF775" s="146" t="str">
        <f>IF(W775&lt;&gt;"AR","",INDEX('Device Refrigerant Leakage'!$E$2:$E$42,MATCH(X775,'Device Refrigerant Leakage'!$B$2:$B$42,0)))</f>
        <v/>
      </c>
      <c r="DG775" s="146" t="str">
        <f>IF(W775&lt;&gt;"AR","",INDEX('Device Refrigerant Leakage'!$F$2:$F$42,MATCH(X775,'Device Refrigerant Leakage'!$B$2:$B$42,0)))</f>
        <v/>
      </c>
      <c r="DH775" s="146" t="str">
        <f>IF(W775&lt;&gt;"AR","",INDEX('Device Refrigerant Leakage'!$G$2:$G$42,MATCH(X775,'Device Refrigerant Leakage'!$B$2:$B$42,0)))</f>
        <v/>
      </c>
      <c r="DI775" s="146" t="str">
        <f>IF(W775&lt;&gt;"AR","",J775*INDEX('Device Refrigerant Leakage'!$D$2:$D$42,MATCH(X775,'Device Refrigerant Leakage'!$B$2:$B$42,0))*DF775/2204.62*DE775)</f>
        <v/>
      </c>
      <c r="DJ775" s="146" t="str">
        <f>IF(W775&lt;&gt;"AR","",J775*(INDEX('Device Refrigerant Leakage'!$D$2:$D$42,MATCH(X775,'Device Refrigerant Leakage'!$B$2:$B$42,0))-(INDEX('Device Refrigerant Leakage'!$D$2:$D$42,MATCH(X775,'Device Refrigerant Leakage'!$B$2:$B$42,0)))*DH775*DF775)*DG775/2204.62*DE775)</f>
        <v/>
      </c>
      <c r="DK775" s="146" t="str">
        <f>IF(W775&lt;&gt;"AR","",DI775*(K775-AB775)+'Fuel Sub Calcs-Deemed'!DJ775*((K775-AB775)/INDEX('Device Refrigerant Leakage'!$C$2:$C$42,MATCH('Fuel Sub Calcs-Deemed'!X775,'Device Refrigerant Leakage'!$B$2:$B$42,0))))</f>
        <v/>
      </c>
      <c r="DM775" s="56">
        <v>761</v>
      </c>
      <c r="DN775" s="67" t="e">
        <f t="shared" si="874"/>
        <v>#N/A</v>
      </c>
      <c r="DO775" s="45" t="e">
        <f t="shared" si="875"/>
        <v>#N/A</v>
      </c>
      <c r="DP775" s="67" t="e">
        <f t="shared" si="876"/>
        <v>#N/A</v>
      </c>
      <c r="DQ775" s="45" t="e">
        <f t="shared" si="877"/>
        <v>#N/A</v>
      </c>
      <c r="DR775" s="69" t="e">
        <f t="shared" si="878"/>
        <v>#N/A</v>
      </c>
      <c r="DS775" s="34"/>
      <c r="DT775" s="67" t="e">
        <f>((BX775*CJ775)+IF($W775=MAT_AR,(BZ775*CL775),0))*(1+Reference!$E$50+Reference!$E$51)</f>
        <v>#N/A</v>
      </c>
      <c r="DU775" s="67">
        <f>((BY775*CK775)+IF($W775=MAT_AR,(CA775*CM775),0))*(1+Reference!$G$50+Reference!$G$51)</f>
        <v>0</v>
      </c>
      <c r="DV775" s="67" t="e">
        <f t="shared" si="879"/>
        <v>#VALUE!</v>
      </c>
      <c r="DX775" s="56">
        <v>761</v>
      </c>
      <c r="DY775" s="67">
        <f t="shared" si="880"/>
        <v>0</v>
      </c>
      <c r="DZ775" s="45" t="e">
        <f>VLOOKUP($R775,Dropdown!$C$3:$D$4,2,FALSE)</f>
        <v>#N/A</v>
      </c>
      <c r="EA775" s="68">
        <f t="shared" si="881"/>
        <v>0</v>
      </c>
      <c r="EB775" s="68" t="str">
        <f t="shared" si="882"/>
        <v>N/A</v>
      </c>
      <c r="EC775" s="68">
        <f t="shared" si="883"/>
        <v>0</v>
      </c>
      <c r="ED775" s="68" t="str">
        <f t="shared" si="921"/>
        <v>N/A</v>
      </c>
      <c r="EF775" s="56">
        <v>761</v>
      </c>
      <c r="EG775" s="46">
        <f t="shared" si="884"/>
        <v>0</v>
      </c>
      <c r="EH775" s="68" t="e">
        <f t="shared" si="885"/>
        <v>#N/A</v>
      </c>
      <c r="EI775" s="68" t="e">
        <f t="shared" si="886"/>
        <v>#N/A</v>
      </c>
      <c r="EJ775" s="68" t="e">
        <f t="shared" si="887"/>
        <v>#N/A</v>
      </c>
      <c r="EK775" s="68" t="e">
        <f t="shared" si="888"/>
        <v>#N/A</v>
      </c>
      <c r="EL775" s="46">
        <f t="shared" si="889"/>
        <v>0</v>
      </c>
      <c r="EM775" s="46">
        <f t="shared" si="890"/>
        <v>0</v>
      </c>
    </row>
    <row r="776" spans="1:143">
      <c r="A776" s="89"/>
      <c r="B776" s="89"/>
      <c r="C776" s="89"/>
      <c r="D776" s="89"/>
      <c r="E776" s="89"/>
      <c r="F776" s="89"/>
      <c r="G776" s="34"/>
      <c r="H776" s="56">
        <f t="shared" si="891"/>
        <v>762</v>
      </c>
      <c r="I776" s="165"/>
      <c r="J776" s="163"/>
      <c r="K776" s="163"/>
      <c r="L776" s="164"/>
      <c r="M776" s="155"/>
      <c r="N776" s="155"/>
      <c r="O776" s="144"/>
      <c r="P776" s="159" t="str">
        <f>IFERROR(IF(O776&lt;&gt;"User Specified",IF(O776&lt;&gt;"", INDEX('Refrigerant GWPs'!$G$2:$G$154,MATCH(O776,'Refrigerant GWPs'!$A$2:$A$154,0)),""),U776),0)</f>
        <v/>
      </c>
      <c r="Q776" s="155"/>
      <c r="R776" s="155"/>
      <c r="S776" s="144"/>
      <c r="T776" s="159" t="str">
        <f>IF(S776&lt;&gt;"User Specified",IF(AND(S776&lt;&gt;"User Specified",S776&lt;&gt;""), INDEX('Refrigerant GWPs'!$G$2:$G$154,MATCH(S776,'Refrigerant GWPs'!$A$2:$A$154,0)),""),V776)</f>
        <v/>
      </c>
      <c r="U776" s="144"/>
      <c r="V776" s="144"/>
      <c r="W776" s="155"/>
      <c r="X776" s="155"/>
      <c r="Y776" s="144"/>
      <c r="Z776" s="159" t="str">
        <f>IF(AND(Y776&lt;&gt;"User Specified",Y776&lt;&gt;""), INDEX('Refrigerant GWPs'!$G$2:$G$154,MATCH(Y776,'Refrigerant GWPs'!$A$2:$A$154,0)),"")</f>
        <v/>
      </c>
      <c r="AA776" s="155"/>
      <c r="AB776" s="156"/>
      <c r="AC776" s="66"/>
      <c r="AD776" s="66"/>
      <c r="AE776" s="66"/>
      <c r="AF776" s="66"/>
      <c r="AG776" s="66"/>
      <c r="AH776" s="66"/>
      <c r="AI776" s="34"/>
      <c r="AJ776" s="88">
        <f t="shared" si="854"/>
        <v>0</v>
      </c>
      <c r="AK776" s="88">
        <f t="shared" si="855"/>
        <v>0</v>
      </c>
      <c r="AL776" s="88">
        <v>0</v>
      </c>
      <c r="AM776" s="88">
        <v>0</v>
      </c>
      <c r="AN776" s="81" t="str">
        <f t="shared" si="893"/>
        <v/>
      </c>
      <c r="AO776" s="88">
        <f t="shared" si="856"/>
        <v>0</v>
      </c>
      <c r="AP776" s="88">
        <f t="shared" si="857"/>
        <v>0</v>
      </c>
      <c r="AQ776" s="81" t="str">
        <f t="shared" si="858"/>
        <v/>
      </c>
      <c r="AS776" s="41" t="b">
        <f t="shared" si="859"/>
        <v>1</v>
      </c>
      <c r="AT776" s="38">
        <f t="shared" si="860"/>
        <v>0</v>
      </c>
      <c r="AU776" s="60">
        <f t="shared" si="861"/>
        <v>0</v>
      </c>
      <c r="AV776" s="41">
        <f t="shared" si="862"/>
        <v>0</v>
      </c>
      <c r="AW776" s="41" t="b">
        <f t="shared" si="863"/>
        <v>0</v>
      </c>
      <c r="AX776" t="str">
        <f t="shared" si="864"/>
        <v>+00</v>
      </c>
      <c r="AY776" t="str">
        <f t="shared" si="865"/>
        <v>+00</v>
      </c>
      <c r="BA776" s="47" t="b">
        <f t="shared" si="894"/>
        <v>1</v>
      </c>
      <c r="BB776" s="42" t="b">
        <f t="shared" si="895"/>
        <v>1</v>
      </c>
      <c r="BC776" s="42" t="b">
        <f t="shared" si="896"/>
        <v>0</v>
      </c>
      <c r="BD776" s="42" t="b">
        <f t="shared" si="897"/>
        <v>0</v>
      </c>
      <c r="BE776" s="70">
        <f t="shared" si="898"/>
        <v>0</v>
      </c>
      <c r="BF776" s="70">
        <f t="shared" si="899"/>
        <v>0</v>
      </c>
      <c r="BG776" s="34"/>
      <c r="BI776" s="47" t="b">
        <f t="shared" si="900"/>
        <v>1</v>
      </c>
      <c r="BJ776" s="47" t="b">
        <f t="shared" si="901"/>
        <v>1</v>
      </c>
      <c r="BK776" s="42" t="b">
        <f t="shared" si="902"/>
        <v>0</v>
      </c>
      <c r="BL776" s="42" t="b">
        <f t="shared" si="903"/>
        <v>0</v>
      </c>
      <c r="BM776" s="42">
        <f t="shared" si="904"/>
        <v>0</v>
      </c>
      <c r="BN776" s="42">
        <f t="shared" si="905"/>
        <v>0</v>
      </c>
      <c r="BP776" t="e">
        <f t="shared" si="906"/>
        <v>#N/A</v>
      </c>
      <c r="BQ776" t="e">
        <f t="shared" si="907"/>
        <v>#N/A</v>
      </c>
      <c r="BR776" t="e">
        <f t="shared" si="908"/>
        <v>#N/A</v>
      </c>
      <c r="BT776" s="60">
        <f t="shared" si="909"/>
        <v>0</v>
      </c>
      <c r="BU776" s="60">
        <f t="shared" si="910"/>
        <v>0</v>
      </c>
      <c r="BV776" s="60">
        <f t="shared" si="911"/>
        <v>0</v>
      </c>
      <c r="BW776" s="60">
        <f t="shared" si="912"/>
        <v>0</v>
      </c>
      <c r="BX776" s="60">
        <f t="shared" si="913"/>
        <v>0</v>
      </c>
      <c r="BY776" s="60">
        <f t="shared" si="914"/>
        <v>0</v>
      </c>
      <c r="BZ776" s="60">
        <f t="shared" si="915"/>
        <v>0</v>
      </c>
      <c r="CA776" s="60">
        <f t="shared" si="916"/>
        <v>0</v>
      </c>
      <c r="CB776" s="60" t="e">
        <f t="shared" si="866"/>
        <v>#N/A</v>
      </c>
      <c r="CC776" s="60">
        <f t="shared" si="867"/>
        <v>100000</v>
      </c>
      <c r="CD776" s="60" t="e">
        <f t="shared" si="868"/>
        <v>#N/A</v>
      </c>
      <c r="CE776" s="60">
        <f t="shared" si="869"/>
        <v>100000</v>
      </c>
      <c r="CF776" s="83" t="e">
        <f t="shared" si="917"/>
        <v>#N/A</v>
      </c>
      <c r="CG776" s="83">
        <f t="shared" si="918"/>
        <v>0</v>
      </c>
      <c r="CH776" s="83" t="e">
        <f t="shared" si="919"/>
        <v>#N/A</v>
      </c>
      <c r="CI776" s="83">
        <f t="shared" si="920"/>
        <v>0</v>
      </c>
      <c r="CJ776" s="86" t="e">
        <f t="shared" si="870"/>
        <v>#N/A</v>
      </c>
      <c r="CK776" s="82">
        <f t="shared" si="871"/>
        <v>5.3070370403969858E-3</v>
      </c>
      <c r="CL776" s="82" t="e">
        <f t="shared" si="872"/>
        <v>#N/A</v>
      </c>
      <c r="CM776" s="82">
        <f t="shared" si="873"/>
        <v>5.3070370403969858E-3</v>
      </c>
      <c r="CO776" s="149" t="str">
        <f>IF($I776&lt;&gt;"",IF(O776="User Specified",U776,INDEX('Refrigerant GWPs'!$G$2:$G$156,MATCH(O776,'Refrigerant GWPs'!$A$2:$A$156,0))),"")</f>
        <v/>
      </c>
      <c r="CP776" s="138" t="str">
        <f>IF($I776&lt;&gt;"",INDEX('Device Refrigerant Leakage'!$E$2:$E$42,MATCH($M776,'Device Refrigerant Leakage'!$B$2:$B$42,0)),"")</f>
        <v/>
      </c>
      <c r="CQ776" s="138" t="str">
        <f>IF($I776&lt;&gt;"",INDEX('Device Refrigerant Leakage'!$F$2:$F$42,MATCH($M776,'Device Refrigerant Leakage'!$B$2:$B$42,0)),"")</f>
        <v/>
      </c>
      <c r="CR776" s="145" t="str">
        <f>IF($I776&lt;&gt;"",INDEX('Device Refrigerant Leakage'!$G$2:$G$42,MATCH($M776,'Device Refrigerant Leakage'!$B$2:$B$42,0)),"")</f>
        <v/>
      </c>
      <c r="CS776" s="145" t="str">
        <f>IF($I776&lt;&gt;"",INDEX('Device Refrigerant Leakage'!$D$2:$D$42,MATCH($M776,'Device Refrigerant Leakage'!$B$2:$B$42,0))*CP776/2204.62*CO776,"")</f>
        <v/>
      </c>
      <c r="CT776" s="145" t="str">
        <f>IF($I776&lt;&gt;"",J776*(INDEX('Device Refrigerant Leakage'!$D$2:$D$42,MATCH($M776,'Device Refrigerant Leakage'!$B$2:$B$42,0))-(INDEX('Device Refrigerant Leakage'!$D$2:$D$42,MATCH($M776,'Device Refrigerant Leakage'!$B$2:$B$42,0)))*CR776*CP776)*CQ776/2204.62*CO776,"")</f>
        <v/>
      </c>
      <c r="CU776" s="135" t="str">
        <f>IF($I776&lt;&gt;"",J776*IF(W776&lt;&gt;"AR",(CS776*K776)+CT776,(CS776*AB776)+CT776*(AB776/INDEX('Device Refrigerant Leakage'!$C$2:$C$42,MATCH($M776,'Device Refrigerant Leakage'!$B$2:$B$42,0)))),"")</f>
        <v/>
      </c>
      <c r="CW776" s="135" t="str">
        <f>IF($I776&lt;&gt;"",IF(S776="User Specified",V776,INDEX('Refrigerant GWPs'!$G$2:$G$156,MATCH(S776,'Refrigerant GWPs'!$A$2:$A$157,0))),"")</f>
        <v/>
      </c>
      <c r="CX776" s="138" t="str">
        <f>IF($I776&lt;&gt;"",INDEX('Device Refrigerant Leakage'!$E$2:$E$42,MATCH($Q776,'Device Refrigerant Leakage'!$B$2:$B$42,0)),"")</f>
        <v/>
      </c>
      <c r="CY776" s="138" t="str">
        <f>IF($I776&lt;&gt;"",INDEX('Device Refrigerant Leakage'!$F$2:$F$42,MATCH($Q776,'Device Refrigerant Leakage'!$B$2:$B$42,0)),"")</f>
        <v/>
      </c>
      <c r="CZ776" s="145" t="str">
        <f>IF($I776&lt;&gt;"",INDEX('Device Refrigerant Leakage'!$G$2:$G$42,MATCH($Q776,'Device Refrigerant Leakage'!$B$2:$B$42,0)),"")</f>
        <v/>
      </c>
      <c r="DA776" s="145" t="str">
        <f>IF($I776&lt;&gt;"",J776*INDEX('Device Refrigerant Leakage'!$D$2:$D$42,MATCH($Q776,'Device Refrigerant Leakage'!$B$2:$B$42,0))*CX776/2204.62*CW776,"")</f>
        <v/>
      </c>
      <c r="DB776" s="145" t="str">
        <f>IF($I776&lt;&gt;"",J776*(INDEX('Device Refrigerant Leakage'!$D$2:$D$42,MATCH($Q776,'Device Refrigerant Leakage'!$B$2:$B$42,0))-(INDEX('Device Refrigerant Leakage'!$D$2:$D$42,MATCH($Q776,'Device Refrigerant Leakage'!$B$2:$B$42,0)))*CZ776*CX776)*CY776/2204.62*CW776,"")</f>
        <v/>
      </c>
      <c r="DC776" s="135" t="str">
        <f t="shared" si="892"/>
        <v/>
      </c>
      <c r="DE776" s="146" t="str">
        <f>IF(W776&lt;&gt;"AR","",IF(Y776="User Specified", AA776, INDEX('Refrigerant GWPs'!$G$2:$G$154,MATCH(Y776,'Refrigerant GWPs'!$A$2:$A$154,0))))</f>
        <v/>
      </c>
      <c r="DF776" s="146" t="str">
        <f>IF(W776&lt;&gt;"AR","",INDEX('Device Refrigerant Leakage'!$E$2:$E$42,MATCH(X776,'Device Refrigerant Leakage'!$B$2:$B$42,0)))</f>
        <v/>
      </c>
      <c r="DG776" s="146" t="str">
        <f>IF(W776&lt;&gt;"AR","",INDEX('Device Refrigerant Leakage'!$F$2:$F$42,MATCH(X776,'Device Refrigerant Leakage'!$B$2:$B$42,0)))</f>
        <v/>
      </c>
      <c r="DH776" s="146" t="str">
        <f>IF(W776&lt;&gt;"AR","",INDEX('Device Refrigerant Leakage'!$G$2:$G$42,MATCH(X776,'Device Refrigerant Leakage'!$B$2:$B$42,0)))</f>
        <v/>
      </c>
      <c r="DI776" s="146" t="str">
        <f>IF(W776&lt;&gt;"AR","",J776*INDEX('Device Refrigerant Leakage'!$D$2:$D$42,MATCH(X776,'Device Refrigerant Leakage'!$B$2:$B$42,0))*DF776/2204.62*DE776)</f>
        <v/>
      </c>
      <c r="DJ776" s="146" t="str">
        <f>IF(W776&lt;&gt;"AR","",J776*(INDEX('Device Refrigerant Leakage'!$D$2:$D$42,MATCH(X776,'Device Refrigerant Leakage'!$B$2:$B$42,0))-(INDEX('Device Refrigerant Leakage'!$D$2:$D$42,MATCH(X776,'Device Refrigerant Leakage'!$B$2:$B$42,0)))*DH776*DF776)*DG776/2204.62*DE776)</f>
        <v/>
      </c>
      <c r="DK776" s="146" t="str">
        <f>IF(W776&lt;&gt;"AR","",DI776*(K776-AB776)+'Fuel Sub Calcs-Deemed'!DJ776*((K776-AB776)/INDEX('Device Refrigerant Leakage'!$C$2:$C$42,MATCH('Fuel Sub Calcs-Deemed'!X776,'Device Refrigerant Leakage'!$B$2:$B$42,0))))</f>
        <v/>
      </c>
      <c r="DM776" s="56">
        <v>762</v>
      </c>
      <c r="DN776" s="67" t="e">
        <f t="shared" si="874"/>
        <v>#N/A</v>
      </c>
      <c r="DO776" s="45" t="e">
        <f t="shared" si="875"/>
        <v>#N/A</v>
      </c>
      <c r="DP776" s="67" t="e">
        <f t="shared" si="876"/>
        <v>#N/A</v>
      </c>
      <c r="DQ776" s="45" t="e">
        <f t="shared" si="877"/>
        <v>#N/A</v>
      </c>
      <c r="DR776" s="69" t="e">
        <f t="shared" si="878"/>
        <v>#N/A</v>
      </c>
      <c r="DS776" s="34"/>
      <c r="DT776" s="67" t="e">
        <f>((BX776*CJ776)+IF($W776=MAT_AR,(BZ776*CL776),0))*(1+Reference!$E$50+Reference!$E$51)</f>
        <v>#N/A</v>
      </c>
      <c r="DU776" s="67">
        <f>((BY776*CK776)+IF($W776=MAT_AR,(CA776*CM776),0))*(1+Reference!$G$50+Reference!$G$51)</f>
        <v>0</v>
      </c>
      <c r="DV776" s="67" t="e">
        <f t="shared" si="879"/>
        <v>#VALUE!</v>
      </c>
      <c r="DX776" s="56">
        <v>762</v>
      </c>
      <c r="DY776" s="67">
        <f t="shared" si="880"/>
        <v>0</v>
      </c>
      <c r="DZ776" s="45" t="e">
        <f>VLOOKUP($R776,Dropdown!$C$3:$D$4,2,FALSE)</f>
        <v>#N/A</v>
      </c>
      <c r="EA776" s="68">
        <f t="shared" si="881"/>
        <v>0</v>
      </c>
      <c r="EB776" s="68" t="str">
        <f t="shared" si="882"/>
        <v>N/A</v>
      </c>
      <c r="EC776" s="68">
        <f t="shared" si="883"/>
        <v>0</v>
      </c>
      <c r="ED776" s="68" t="str">
        <f t="shared" si="921"/>
        <v>N/A</v>
      </c>
      <c r="EF776" s="56">
        <v>762</v>
      </c>
      <c r="EG776" s="46">
        <f t="shared" si="884"/>
        <v>0</v>
      </c>
      <c r="EH776" s="68" t="e">
        <f t="shared" si="885"/>
        <v>#N/A</v>
      </c>
      <c r="EI776" s="68" t="e">
        <f t="shared" si="886"/>
        <v>#N/A</v>
      </c>
      <c r="EJ776" s="68" t="e">
        <f t="shared" si="887"/>
        <v>#N/A</v>
      </c>
      <c r="EK776" s="68" t="e">
        <f t="shared" si="888"/>
        <v>#N/A</v>
      </c>
      <c r="EL776" s="46">
        <f t="shared" si="889"/>
        <v>0</v>
      </c>
      <c r="EM776" s="46">
        <f t="shared" si="890"/>
        <v>0</v>
      </c>
    </row>
    <row r="777" spans="1:143">
      <c r="A777" s="89"/>
      <c r="B777" s="89"/>
      <c r="C777" s="89"/>
      <c r="D777" s="89"/>
      <c r="E777" s="89"/>
      <c r="F777" s="89"/>
      <c r="G777" s="34"/>
      <c r="H777" s="56">
        <f t="shared" si="891"/>
        <v>763</v>
      </c>
      <c r="I777" s="165"/>
      <c r="J777" s="163"/>
      <c r="K777" s="163"/>
      <c r="L777" s="164"/>
      <c r="M777" s="155"/>
      <c r="N777" s="155"/>
      <c r="O777" s="144"/>
      <c r="P777" s="159" t="str">
        <f>IFERROR(IF(O777&lt;&gt;"User Specified",IF(O777&lt;&gt;"", INDEX('Refrigerant GWPs'!$G$2:$G$154,MATCH(O777,'Refrigerant GWPs'!$A$2:$A$154,0)),""),U777),0)</f>
        <v/>
      </c>
      <c r="Q777" s="155"/>
      <c r="R777" s="155"/>
      <c r="S777" s="144"/>
      <c r="T777" s="159" t="str">
        <f>IF(S777&lt;&gt;"User Specified",IF(AND(S777&lt;&gt;"User Specified",S777&lt;&gt;""), INDEX('Refrigerant GWPs'!$G$2:$G$154,MATCH(S777,'Refrigerant GWPs'!$A$2:$A$154,0)),""),V777)</f>
        <v/>
      </c>
      <c r="U777" s="144"/>
      <c r="V777" s="144"/>
      <c r="W777" s="155"/>
      <c r="X777" s="155"/>
      <c r="Y777" s="144"/>
      <c r="Z777" s="159" t="str">
        <f>IF(AND(Y777&lt;&gt;"User Specified",Y777&lt;&gt;""), INDEX('Refrigerant GWPs'!$G$2:$G$154,MATCH(Y777,'Refrigerant GWPs'!$A$2:$A$154,0)),"")</f>
        <v/>
      </c>
      <c r="AA777" s="155"/>
      <c r="AB777" s="156"/>
      <c r="AC777" s="66"/>
      <c r="AD777" s="66"/>
      <c r="AE777" s="66"/>
      <c r="AF777" s="66"/>
      <c r="AG777" s="66"/>
      <c r="AH777" s="66"/>
      <c r="AI777" s="34"/>
      <c r="AJ777" s="88">
        <f t="shared" si="854"/>
        <v>0</v>
      </c>
      <c r="AK777" s="88">
        <f t="shared" si="855"/>
        <v>0</v>
      </c>
      <c r="AL777" s="88">
        <v>0</v>
      </c>
      <c r="AM777" s="88">
        <v>0</v>
      </c>
      <c r="AN777" s="81" t="str">
        <f t="shared" si="893"/>
        <v/>
      </c>
      <c r="AO777" s="88">
        <f t="shared" si="856"/>
        <v>0</v>
      </c>
      <c r="AP777" s="88">
        <f t="shared" si="857"/>
        <v>0</v>
      </c>
      <c r="AQ777" s="81" t="str">
        <f t="shared" si="858"/>
        <v/>
      </c>
      <c r="AS777" s="41" t="b">
        <f t="shared" si="859"/>
        <v>1</v>
      </c>
      <c r="AT777" s="38">
        <f t="shared" si="860"/>
        <v>0</v>
      </c>
      <c r="AU777" s="60">
        <f t="shared" si="861"/>
        <v>0</v>
      </c>
      <c r="AV777" s="41">
        <f t="shared" si="862"/>
        <v>0</v>
      </c>
      <c r="AW777" s="41" t="b">
        <f t="shared" si="863"/>
        <v>0</v>
      </c>
      <c r="AX777" t="str">
        <f t="shared" si="864"/>
        <v>+00</v>
      </c>
      <c r="AY777" t="str">
        <f t="shared" si="865"/>
        <v>+00</v>
      </c>
      <c r="BA777" s="47" t="b">
        <f t="shared" si="894"/>
        <v>1</v>
      </c>
      <c r="BB777" s="42" t="b">
        <f t="shared" si="895"/>
        <v>1</v>
      </c>
      <c r="BC777" s="42" t="b">
        <f t="shared" si="896"/>
        <v>0</v>
      </c>
      <c r="BD777" s="42" t="b">
        <f t="shared" si="897"/>
        <v>0</v>
      </c>
      <c r="BE777" s="70">
        <f t="shared" si="898"/>
        <v>0</v>
      </c>
      <c r="BF777" s="70">
        <f t="shared" si="899"/>
        <v>0</v>
      </c>
      <c r="BG777" s="34"/>
      <c r="BI777" s="47" t="b">
        <f t="shared" si="900"/>
        <v>1</v>
      </c>
      <c r="BJ777" s="47" t="b">
        <f t="shared" si="901"/>
        <v>1</v>
      </c>
      <c r="BK777" s="42" t="b">
        <f t="shared" si="902"/>
        <v>0</v>
      </c>
      <c r="BL777" s="42" t="b">
        <f t="shared" si="903"/>
        <v>0</v>
      </c>
      <c r="BM777" s="42">
        <f t="shared" si="904"/>
        <v>0</v>
      </c>
      <c r="BN777" s="42">
        <f t="shared" si="905"/>
        <v>0</v>
      </c>
      <c r="BP777" t="e">
        <f t="shared" si="906"/>
        <v>#N/A</v>
      </c>
      <c r="BQ777" t="e">
        <f t="shared" si="907"/>
        <v>#N/A</v>
      </c>
      <c r="BR777" t="e">
        <f t="shared" si="908"/>
        <v>#N/A</v>
      </c>
      <c r="BT777" s="60">
        <f t="shared" si="909"/>
        <v>0</v>
      </c>
      <c r="BU777" s="60">
        <f t="shared" si="910"/>
        <v>0</v>
      </c>
      <c r="BV777" s="60">
        <f t="shared" si="911"/>
        <v>0</v>
      </c>
      <c r="BW777" s="60">
        <f t="shared" si="912"/>
        <v>0</v>
      </c>
      <c r="BX777" s="60">
        <f t="shared" si="913"/>
        <v>0</v>
      </c>
      <c r="BY777" s="60">
        <f t="shared" si="914"/>
        <v>0</v>
      </c>
      <c r="BZ777" s="60">
        <f t="shared" si="915"/>
        <v>0</v>
      </c>
      <c r="CA777" s="60">
        <f t="shared" si="916"/>
        <v>0</v>
      </c>
      <c r="CB777" s="60" t="e">
        <f t="shared" si="866"/>
        <v>#N/A</v>
      </c>
      <c r="CC777" s="60">
        <f t="shared" si="867"/>
        <v>100000</v>
      </c>
      <c r="CD777" s="60" t="e">
        <f t="shared" si="868"/>
        <v>#N/A</v>
      </c>
      <c r="CE777" s="60">
        <f t="shared" si="869"/>
        <v>100000</v>
      </c>
      <c r="CF777" s="83" t="e">
        <f t="shared" si="917"/>
        <v>#N/A</v>
      </c>
      <c r="CG777" s="83">
        <f t="shared" si="918"/>
        <v>0</v>
      </c>
      <c r="CH777" s="83" t="e">
        <f t="shared" si="919"/>
        <v>#N/A</v>
      </c>
      <c r="CI777" s="83">
        <f t="shared" si="920"/>
        <v>0</v>
      </c>
      <c r="CJ777" s="86" t="e">
        <f t="shared" si="870"/>
        <v>#N/A</v>
      </c>
      <c r="CK777" s="82">
        <f t="shared" si="871"/>
        <v>5.3070370403969858E-3</v>
      </c>
      <c r="CL777" s="82" t="e">
        <f t="shared" si="872"/>
        <v>#N/A</v>
      </c>
      <c r="CM777" s="82">
        <f t="shared" si="873"/>
        <v>5.3070370403969858E-3</v>
      </c>
      <c r="CO777" s="149" t="str">
        <f>IF($I777&lt;&gt;"",IF(O777="User Specified",U777,INDEX('Refrigerant GWPs'!$G$2:$G$156,MATCH(O777,'Refrigerant GWPs'!$A$2:$A$156,0))),"")</f>
        <v/>
      </c>
      <c r="CP777" s="138" t="str">
        <f>IF($I777&lt;&gt;"",INDEX('Device Refrigerant Leakage'!$E$2:$E$42,MATCH($M777,'Device Refrigerant Leakage'!$B$2:$B$42,0)),"")</f>
        <v/>
      </c>
      <c r="CQ777" s="138" t="str">
        <f>IF($I777&lt;&gt;"",INDEX('Device Refrigerant Leakage'!$F$2:$F$42,MATCH($M777,'Device Refrigerant Leakage'!$B$2:$B$42,0)),"")</f>
        <v/>
      </c>
      <c r="CR777" s="145" t="str">
        <f>IF($I777&lt;&gt;"",INDEX('Device Refrigerant Leakage'!$G$2:$G$42,MATCH($M777,'Device Refrigerant Leakage'!$B$2:$B$42,0)),"")</f>
        <v/>
      </c>
      <c r="CS777" s="145" t="str">
        <f>IF($I777&lt;&gt;"",INDEX('Device Refrigerant Leakage'!$D$2:$D$42,MATCH($M777,'Device Refrigerant Leakage'!$B$2:$B$42,0))*CP777/2204.62*CO777,"")</f>
        <v/>
      </c>
      <c r="CT777" s="145" t="str">
        <f>IF($I777&lt;&gt;"",J777*(INDEX('Device Refrigerant Leakage'!$D$2:$D$42,MATCH($M777,'Device Refrigerant Leakage'!$B$2:$B$42,0))-(INDEX('Device Refrigerant Leakage'!$D$2:$D$42,MATCH($M777,'Device Refrigerant Leakage'!$B$2:$B$42,0)))*CR777*CP777)*CQ777/2204.62*CO777,"")</f>
        <v/>
      </c>
      <c r="CU777" s="135" t="str">
        <f>IF($I777&lt;&gt;"",J777*IF(W777&lt;&gt;"AR",(CS777*K777)+CT777,(CS777*AB777)+CT777*(AB777/INDEX('Device Refrigerant Leakage'!$C$2:$C$42,MATCH($M777,'Device Refrigerant Leakage'!$B$2:$B$42,0)))),"")</f>
        <v/>
      </c>
      <c r="CW777" s="135" t="str">
        <f>IF($I777&lt;&gt;"",IF(S777="User Specified",V777,INDEX('Refrigerant GWPs'!$G$2:$G$156,MATCH(S777,'Refrigerant GWPs'!$A$2:$A$157,0))),"")</f>
        <v/>
      </c>
      <c r="CX777" s="138" t="str">
        <f>IF($I777&lt;&gt;"",INDEX('Device Refrigerant Leakage'!$E$2:$E$42,MATCH($Q777,'Device Refrigerant Leakage'!$B$2:$B$42,0)),"")</f>
        <v/>
      </c>
      <c r="CY777" s="138" t="str">
        <f>IF($I777&lt;&gt;"",INDEX('Device Refrigerant Leakage'!$F$2:$F$42,MATCH($Q777,'Device Refrigerant Leakage'!$B$2:$B$42,0)),"")</f>
        <v/>
      </c>
      <c r="CZ777" s="145" t="str">
        <f>IF($I777&lt;&gt;"",INDEX('Device Refrigerant Leakage'!$G$2:$G$42,MATCH($Q777,'Device Refrigerant Leakage'!$B$2:$B$42,0)),"")</f>
        <v/>
      </c>
      <c r="DA777" s="145" t="str">
        <f>IF($I777&lt;&gt;"",J777*INDEX('Device Refrigerant Leakage'!$D$2:$D$42,MATCH($Q777,'Device Refrigerant Leakage'!$B$2:$B$42,0))*CX777/2204.62*CW777,"")</f>
        <v/>
      </c>
      <c r="DB777" s="145" t="str">
        <f>IF($I777&lt;&gt;"",J777*(INDEX('Device Refrigerant Leakage'!$D$2:$D$42,MATCH($Q777,'Device Refrigerant Leakage'!$B$2:$B$42,0))-(INDEX('Device Refrigerant Leakage'!$D$2:$D$42,MATCH($Q777,'Device Refrigerant Leakage'!$B$2:$B$42,0)))*CZ777*CX777)*CY777/2204.62*CW777,"")</f>
        <v/>
      </c>
      <c r="DC777" s="135" t="str">
        <f t="shared" si="892"/>
        <v/>
      </c>
      <c r="DE777" s="146" t="str">
        <f>IF(W777&lt;&gt;"AR","",IF(Y777="User Specified", AA777, INDEX('Refrigerant GWPs'!$G$2:$G$154,MATCH(Y777,'Refrigerant GWPs'!$A$2:$A$154,0))))</f>
        <v/>
      </c>
      <c r="DF777" s="146" t="str">
        <f>IF(W777&lt;&gt;"AR","",INDEX('Device Refrigerant Leakage'!$E$2:$E$42,MATCH(X777,'Device Refrigerant Leakage'!$B$2:$B$42,0)))</f>
        <v/>
      </c>
      <c r="DG777" s="146" t="str">
        <f>IF(W777&lt;&gt;"AR","",INDEX('Device Refrigerant Leakage'!$F$2:$F$42,MATCH(X777,'Device Refrigerant Leakage'!$B$2:$B$42,0)))</f>
        <v/>
      </c>
      <c r="DH777" s="146" t="str">
        <f>IF(W777&lt;&gt;"AR","",INDEX('Device Refrigerant Leakage'!$G$2:$G$42,MATCH(X777,'Device Refrigerant Leakage'!$B$2:$B$42,0)))</f>
        <v/>
      </c>
      <c r="DI777" s="146" t="str">
        <f>IF(W777&lt;&gt;"AR","",J777*INDEX('Device Refrigerant Leakage'!$D$2:$D$42,MATCH(X777,'Device Refrigerant Leakage'!$B$2:$B$42,0))*DF777/2204.62*DE777)</f>
        <v/>
      </c>
      <c r="DJ777" s="146" t="str">
        <f>IF(W777&lt;&gt;"AR","",J777*(INDEX('Device Refrigerant Leakage'!$D$2:$D$42,MATCH(X777,'Device Refrigerant Leakage'!$B$2:$B$42,0))-(INDEX('Device Refrigerant Leakage'!$D$2:$D$42,MATCH(X777,'Device Refrigerant Leakage'!$B$2:$B$42,0)))*DH777*DF777)*DG777/2204.62*DE777)</f>
        <v/>
      </c>
      <c r="DK777" s="146" t="str">
        <f>IF(W777&lt;&gt;"AR","",DI777*(K777-AB777)+'Fuel Sub Calcs-Deemed'!DJ777*((K777-AB777)/INDEX('Device Refrigerant Leakage'!$C$2:$C$42,MATCH('Fuel Sub Calcs-Deemed'!X777,'Device Refrigerant Leakage'!$B$2:$B$42,0))))</f>
        <v/>
      </c>
      <c r="DM777" s="56">
        <v>763</v>
      </c>
      <c r="DN777" s="67" t="e">
        <f t="shared" si="874"/>
        <v>#N/A</v>
      </c>
      <c r="DO777" s="45" t="e">
        <f t="shared" si="875"/>
        <v>#N/A</v>
      </c>
      <c r="DP777" s="67" t="e">
        <f t="shared" si="876"/>
        <v>#N/A</v>
      </c>
      <c r="DQ777" s="45" t="e">
        <f t="shared" si="877"/>
        <v>#N/A</v>
      </c>
      <c r="DR777" s="69" t="e">
        <f t="shared" si="878"/>
        <v>#N/A</v>
      </c>
      <c r="DS777" s="34"/>
      <c r="DT777" s="67" t="e">
        <f>((BX777*CJ777)+IF($W777=MAT_AR,(BZ777*CL777),0))*(1+Reference!$E$50+Reference!$E$51)</f>
        <v>#N/A</v>
      </c>
      <c r="DU777" s="67">
        <f>((BY777*CK777)+IF($W777=MAT_AR,(CA777*CM777),0))*(1+Reference!$G$50+Reference!$G$51)</f>
        <v>0</v>
      </c>
      <c r="DV777" s="67" t="e">
        <f t="shared" si="879"/>
        <v>#VALUE!</v>
      </c>
      <c r="DX777" s="56">
        <v>763</v>
      </c>
      <c r="DY777" s="67">
        <f t="shared" si="880"/>
        <v>0</v>
      </c>
      <c r="DZ777" s="45" t="e">
        <f>VLOOKUP($R777,Dropdown!$C$3:$D$4,2,FALSE)</f>
        <v>#N/A</v>
      </c>
      <c r="EA777" s="68">
        <f t="shared" si="881"/>
        <v>0</v>
      </c>
      <c r="EB777" s="68" t="str">
        <f t="shared" si="882"/>
        <v>N/A</v>
      </c>
      <c r="EC777" s="68">
        <f t="shared" si="883"/>
        <v>0</v>
      </c>
      <c r="ED777" s="68" t="str">
        <f t="shared" si="921"/>
        <v>N/A</v>
      </c>
      <c r="EF777" s="56">
        <v>763</v>
      </c>
      <c r="EG777" s="46">
        <f t="shared" si="884"/>
        <v>0</v>
      </c>
      <c r="EH777" s="68" t="e">
        <f t="shared" si="885"/>
        <v>#N/A</v>
      </c>
      <c r="EI777" s="68" t="e">
        <f t="shared" si="886"/>
        <v>#N/A</v>
      </c>
      <c r="EJ777" s="68" t="e">
        <f t="shared" si="887"/>
        <v>#N/A</v>
      </c>
      <c r="EK777" s="68" t="e">
        <f t="shared" si="888"/>
        <v>#N/A</v>
      </c>
      <c r="EL777" s="46">
        <f t="shared" si="889"/>
        <v>0</v>
      </c>
      <c r="EM777" s="46">
        <f t="shared" si="890"/>
        <v>0</v>
      </c>
    </row>
    <row r="778" spans="1:143">
      <c r="A778" s="89"/>
      <c r="B778" s="89"/>
      <c r="C778" s="89"/>
      <c r="D778" s="89"/>
      <c r="E778" s="89"/>
      <c r="F778" s="89"/>
      <c r="G778" s="34"/>
      <c r="H778" s="56">
        <f t="shared" si="891"/>
        <v>764</v>
      </c>
      <c r="I778" s="165"/>
      <c r="J778" s="163"/>
      <c r="K778" s="163"/>
      <c r="L778" s="164"/>
      <c r="M778" s="155"/>
      <c r="N778" s="155"/>
      <c r="O778" s="144"/>
      <c r="P778" s="159" t="str">
        <f>IFERROR(IF(O778&lt;&gt;"User Specified",IF(O778&lt;&gt;"", INDEX('Refrigerant GWPs'!$G$2:$G$154,MATCH(O778,'Refrigerant GWPs'!$A$2:$A$154,0)),""),U778),0)</f>
        <v/>
      </c>
      <c r="Q778" s="155"/>
      <c r="R778" s="155"/>
      <c r="S778" s="144"/>
      <c r="T778" s="159" t="str">
        <f>IF(S778&lt;&gt;"User Specified",IF(AND(S778&lt;&gt;"User Specified",S778&lt;&gt;""), INDEX('Refrigerant GWPs'!$G$2:$G$154,MATCH(S778,'Refrigerant GWPs'!$A$2:$A$154,0)),""),V778)</f>
        <v/>
      </c>
      <c r="U778" s="144"/>
      <c r="V778" s="144"/>
      <c r="W778" s="155"/>
      <c r="X778" s="155"/>
      <c r="Y778" s="144"/>
      <c r="Z778" s="159" t="str">
        <f>IF(AND(Y778&lt;&gt;"User Specified",Y778&lt;&gt;""), INDEX('Refrigerant GWPs'!$G$2:$G$154,MATCH(Y778,'Refrigerant GWPs'!$A$2:$A$154,0)),"")</f>
        <v/>
      </c>
      <c r="AA778" s="155"/>
      <c r="AB778" s="156"/>
      <c r="AC778" s="66"/>
      <c r="AD778" s="66"/>
      <c r="AE778" s="66"/>
      <c r="AF778" s="66"/>
      <c r="AG778" s="66"/>
      <c r="AH778" s="66"/>
      <c r="AI778" s="34"/>
      <c r="AJ778" s="88">
        <f t="shared" si="854"/>
        <v>0</v>
      </c>
      <c r="AK778" s="88">
        <f t="shared" si="855"/>
        <v>0</v>
      </c>
      <c r="AL778" s="88">
        <v>0</v>
      </c>
      <c r="AM778" s="88">
        <v>0</v>
      </c>
      <c r="AN778" s="81" t="str">
        <f t="shared" si="893"/>
        <v/>
      </c>
      <c r="AO778" s="88">
        <f t="shared" si="856"/>
        <v>0</v>
      </c>
      <c r="AP778" s="88">
        <f t="shared" si="857"/>
        <v>0</v>
      </c>
      <c r="AQ778" s="81" t="str">
        <f t="shared" si="858"/>
        <v/>
      </c>
      <c r="AS778" s="41" t="b">
        <f t="shared" si="859"/>
        <v>1</v>
      </c>
      <c r="AT778" s="38">
        <f t="shared" si="860"/>
        <v>0</v>
      </c>
      <c r="AU778" s="60">
        <f t="shared" si="861"/>
        <v>0</v>
      </c>
      <c r="AV778" s="41">
        <f t="shared" si="862"/>
        <v>0</v>
      </c>
      <c r="AW778" s="41" t="b">
        <f t="shared" si="863"/>
        <v>0</v>
      </c>
      <c r="AX778" t="str">
        <f t="shared" si="864"/>
        <v>+00</v>
      </c>
      <c r="AY778" t="str">
        <f t="shared" si="865"/>
        <v>+00</v>
      </c>
      <c r="BA778" s="47" t="b">
        <f t="shared" si="894"/>
        <v>1</v>
      </c>
      <c r="BB778" s="42" t="b">
        <f t="shared" si="895"/>
        <v>1</v>
      </c>
      <c r="BC778" s="42" t="b">
        <f t="shared" si="896"/>
        <v>0</v>
      </c>
      <c r="BD778" s="42" t="b">
        <f t="shared" si="897"/>
        <v>0</v>
      </c>
      <c r="BE778" s="70">
        <f t="shared" si="898"/>
        <v>0</v>
      </c>
      <c r="BF778" s="70">
        <f t="shared" si="899"/>
        <v>0</v>
      </c>
      <c r="BG778" s="34"/>
      <c r="BI778" s="47" t="b">
        <f t="shared" si="900"/>
        <v>1</v>
      </c>
      <c r="BJ778" s="47" t="b">
        <f t="shared" si="901"/>
        <v>1</v>
      </c>
      <c r="BK778" s="42" t="b">
        <f t="shared" si="902"/>
        <v>0</v>
      </c>
      <c r="BL778" s="42" t="b">
        <f t="shared" si="903"/>
        <v>0</v>
      </c>
      <c r="BM778" s="42">
        <f t="shared" si="904"/>
        <v>0</v>
      </c>
      <c r="BN778" s="42">
        <f t="shared" si="905"/>
        <v>0</v>
      </c>
      <c r="BP778" t="e">
        <f t="shared" si="906"/>
        <v>#N/A</v>
      </c>
      <c r="BQ778" t="e">
        <f t="shared" si="907"/>
        <v>#N/A</v>
      </c>
      <c r="BR778" t="e">
        <f t="shared" si="908"/>
        <v>#N/A</v>
      </c>
      <c r="BT778" s="60">
        <f t="shared" si="909"/>
        <v>0</v>
      </c>
      <c r="BU778" s="60">
        <f t="shared" si="910"/>
        <v>0</v>
      </c>
      <c r="BV778" s="60">
        <f t="shared" si="911"/>
        <v>0</v>
      </c>
      <c r="BW778" s="60">
        <f t="shared" si="912"/>
        <v>0</v>
      </c>
      <c r="BX778" s="60">
        <f t="shared" si="913"/>
        <v>0</v>
      </c>
      <c r="BY778" s="60">
        <f t="shared" si="914"/>
        <v>0</v>
      </c>
      <c r="BZ778" s="60">
        <f t="shared" si="915"/>
        <v>0</v>
      </c>
      <c r="CA778" s="60">
        <f t="shared" si="916"/>
        <v>0</v>
      </c>
      <c r="CB778" s="60" t="e">
        <f t="shared" si="866"/>
        <v>#N/A</v>
      </c>
      <c r="CC778" s="60">
        <f t="shared" si="867"/>
        <v>100000</v>
      </c>
      <c r="CD778" s="60" t="e">
        <f t="shared" si="868"/>
        <v>#N/A</v>
      </c>
      <c r="CE778" s="60">
        <f t="shared" si="869"/>
        <v>100000</v>
      </c>
      <c r="CF778" s="83" t="e">
        <f t="shared" si="917"/>
        <v>#N/A</v>
      </c>
      <c r="CG778" s="83">
        <f t="shared" si="918"/>
        <v>0</v>
      </c>
      <c r="CH778" s="83" t="e">
        <f t="shared" si="919"/>
        <v>#N/A</v>
      </c>
      <c r="CI778" s="83">
        <f t="shared" si="920"/>
        <v>0</v>
      </c>
      <c r="CJ778" s="86" t="e">
        <f t="shared" si="870"/>
        <v>#N/A</v>
      </c>
      <c r="CK778" s="82">
        <f t="shared" si="871"/>
        <v>5.3070370403969858E-3</v>
      </c>
      <c r="CL778" s="82" t="e">
        <f t="shared" si="872"/>
        <v>#N/A</v>
      </c>
      <c r="CM778" s="82">
        <f t="shared" si="873"/>
        <v>5.3070370403969858E-3</v>
      </c>
      <c r="CO778" s="149" t="str">
        <f>IF($I778&lt;&gt;"",IF(O778="User Specified",U778,INDEX('Refrigerant GWPs'!$G$2:$G$156,MATCH(O778,'Refrigerant GWPs'!$A$2:$A$156,0))),"")</f>
        <v/>
      </c>
      <c r="CP778" s="138" t="str">
        <f>IF($I778&lt;&gt;"",INDEX('Device Refrigerant Leakage'!$E$2:$E$42,MATCH($M778,'Device Refrigerant Leakage'!$B$2:$B$42,0)),"")</f>
        <v/>
      </c>
      <c r="CQ778" s="138" t="str">
        <f>IF($I778&lt;&gt;"",INDEX('Device Refrigerant Leakage'!$F$2:$F$42,MATCH($M778,'Device Refrigerant Leakage'!$B$2:$B$42,0)),"")</f>
        <v/>
      </c>
      <c r="CR778" s="145" t="str">
        <f>IF($I778&lt;&gt;"",INDEX('Device Refrigerant Leakage'!$G$2:$G$42,MATCH($M778,'Device Refrigerant Leakage'!$B$2:$B$42,0)),"")</f>
        <v/>
      </c>
      <c r="CS778" s="145" t="str">
        <f>IF($I778&lt;&gt;"",INDEX('Device Refrigerant Leakage'!$D$2:$D$42,MATCH($M778,'Device Refrigerant Leakage'!$B$2:$B$42,0))*CP778/2204.62*CO778,"")</f>
        <v/>
      </c>
      <c r="CT778" s="145" t="str">
        <f>IF($I778&lt;&gt;"",J778*(INDEX('Device Refrigerant Leakage'!$D$2:$D$42,MATCH($M778,'Device Refrigerant Leakage'!$B$2:$B$42,0))-(INDEX('Device Refrigerant Leakage'!$D$2:$D$42,MATCH($M778,'Device Refrigerant Leakage'!$B$2:$B$42,0)))*CR778*CP778)*CQ778/2204.62*CO778,"")</f>
        <v/>
      </c>
      <c r="CU778" s="135" t="str">
        <f>IF($I778&lt;&gt;"",J778*IF(W778&lt;&gt;"AR",(CS778*K778)+CT778,(CS778*AB778)+CT778*(AB778/INDEX('Device Refrigerant Leakage'!$C$2:$C$42,MATCH($M778,'Device Refrigerant Leakage'!$B$2:$B$42,0)))),"")</f>
        <v/>
      </c>
      <c r="CW778" s="135" t="str">
        <f>IF($I778&lt;&gt;"",IF(S778="User Specified",V778,INDEX('Refrigerant GWPs'!$G$2:$G$156,MATCH(S778,'Refrigerant GWPs'!$A$2:$A$157,0))),"")</f>
        <v/>
      </c>
      <c r="CX778" s="138" t="str">
        <f>IF($I778&lt;&gt;"",INDEX('Device Refrigerant Leakage'!$E$2:$E$42,MATCH($Q778,'Device Refrigerant Leakage'!$B$2:$B$42,0)),"")</f>
        <v/>
      </c>
      <c r="CY778" s="138" t="str">
        <f>IF($I778&lt;&gt;"",INDEX('Device Refrigerant Leakage'!$F$2:$F$42,MATCH($Q778,'Device Refrigerant Leakage'!$B$2:$B$42,0)),"")</f>
        <v/>
      </c>
      <c r="CZ778" s="145" t="str">
        <f>IF($I778&lt;&gt;"",INDEX('Device Refrigerant Leakage'!$G$2:$G$42,MATCH($Q778,'Device Refrigerant Leakage'!$B$2:$B$42,0)),"")</f>
        <v/>
      </c>
      <c r="DA778" s="145" t="str">
        <f>IF($I778&lt;&gt;"",J778*INDEX('Device Refrigerant Leakage'!$D$2:$D$42,MATCH($Q778,'Device Refrigerant Leakage'!$B$2:$B$42,0))*CX778/2204.62*CW778,"")</f>
        <v/>
      </c>
      <c r="DB778" s="145" t="str">
        <f>IF($I778&lt;&gt;"",J778*(INDEX('Device Refrigerant Leakage'!$D$2:$D$42,MATCH($Q778,'Device Refrigerant Leakage'!$B$2:$B$42,0))-(INDEX('Device Refrigerant Leakage'!$D$2:$D$42,MATCH($Q778,'Device Refrigerant Leakage'!$B$2:$B$42,0)))*CZ778*CX778)*CY778/2204.62*CW778,"")</f>
        <v/>
      </c>
      <c r="DC778" s="135" t="str">
        <f t="shared" si="892"/>
        <v/>
      </c>
      <c r="DE778" s="146" t="str">
        <f>IF(W778&lt;&gt;"AR","",IF(Y778="User Specified", AA778, INDEX('Refrigerant GWPs'!$G$2:$G$154,MATCH(Y778,'Refrigerant GWPs'!$A$2:$A$154,0))))</f>
        <v/>
      </c>
      <c r="DF778" s="146" t="str">
        <f>IF(W778&lt;&gt;"AR","",INDEX('Device Refrigerant Leakage'!$E$2:$E$42,MATCH(X778,'Device Refrigerant Leakage'!$B$2:$B$42,0)))</f>
        <v/>
      </c>
      <c r="DG778" s="146" t="str">
        <f>IF(W778&lt;&gt;"AR","",INDEX('Device Refrigerant Leakage'!$F$2:$F$42,MATCH(X778,'Device Refrigerant Leakage'!$B$2:$B$42,0)))</f>
        <v/>
      </c>
      <c r="DH778" s="146" t="str">
        <f>IF(W778&lt;&gt;"AR","",INDEX('Device Refrigerant Leakage'!$G$2:$G$42,MATCH(X778,'Device Refrigerant Leakage'!$B$2:$B$42,0)))</f>
        <v/>
      </c>
      <c r="DI778" s="146" t="str">
        <f>IF(W778&lt;&gt;"AR","",J778*INDEX('Device Refrigerant Leakage'!$D$2:$D$42,MATCH(X778,'Device Refrigerant Leakage'!$B$2:$B$42,0))*DF778/2204.62*DE778)</f>
        <v/>
      </c>
      <c r="DJ778" s="146" t="str">
        <f>IF(W778&lt;&gt;"AR","",J778*(INDEX('Device Refrigerant Leakage'!$D$2:$D$42,MATCH(X778,'Device Refrigerant Leakage'!$B$2:$B$42,0))-(INDEX('Device Refrigerant Leakage'!$D$2:$D$42,MATCH(X778,'Device Refrigerant Leakage'!$B$2:$B$42,0)))*DH778*DF778)*DG778/2204.62*DE778)</f>
        <v/>
      </c>
      <c r="DK778" s="146" t="str">
        <f>IF(W778&lt;&gt;"AR","",DI778*(K778-AB778)+'Fuel Sub Calcs-Deemed'!DJ778*((K778-AB778)/INDEX('Device Refrigerant Leakage'!$C$2:$C$42,MATCH('Fuel Sub Calcs-Deemed'!X778,'Device Refrigerant Leakage'!$B$2:$B$42,0))))</f>
        <v/>
      </c>
      <c r="DM778" s="56">
        <v>764</v>
      </c>
      <c r="DN778" s="67" t="e">
        <f t="shared" si="874"/>
        <v>#N/A</v>
      </c>
      <c r="DO778" s="45" t="e">
        <f t="shared" si="875"/>
        <v>#N/A</v>
      </c>
      <c r="DP778" s="67" t="e">
        <f t="shared" si="876"/>
        <v>#N/A</v>
      </c>
      <c r="DQ778" s="45" t="e">
        <f t="shared" si="877"/>
        <v>#N/A</v>
      </c>
      <c r="DR778" s="69" t="e">
        <f t="shared" si="878"/>
        <v>#N/A</v>
      </c>
      <c r="DS778" s="34"/>
      <c r="DT778" s="67" t="e">
        <f>((BX778*CJ778)+IF($W778=MAT_AR,(BZ778*CL778),0))*(1+Reference!$E$50+Reference!$E$51)</f>
        <v>#N/A</v>
      </c>
      <c r="DU778" s="67">
        <f>((BY778*CK778)+IF($W778=MAT_AR,(CA778*CM778),0))*(1+Reference!$G$50+Reference!$G$51)</f>
        <v>0</v>
      </c>
      <c r="DV778" s="67" t="e">
        <f t="shared" si="879"/>
        <v>#VALUE!</v>
      </c>
      <c r="DX778" s="56">
        <v>764</v>
      </c>
      <c r="DY778" s="67">
        <f t="shared" si="880"/>
        <v>0</v>
      </c>
      <c r="DZ778" s="45" t="e">
        <f>VLOOKUP($R778,Dropdown!$C$3:$D$4,2,FALSE)</f>
        <v>#N/A</v>
      </c>
      <c r="EA778" s="68">
        <f t="shared" si="881"/>
        <v>0</v>
      </c>
      <c r="EB778" s="68" t="str">
        <f t="shared" si="882"/>
        <v>N/A</v>
      </c>
      <c r="EC778" s="68">
        <f t="shared" si="883"/>
        <v>0</v>
      </c>
      <c r="ED778" s="68" t="str">
        <f t="shared" si="921"/>
        <v>N/A</v>
      </c>
      <c r="EF778" s="56">
        <v>764</v>
      </c>
      <c r="EG778" s="46">
        <f t="shared" si="884"/>
        <v>0</v>
      </c>
      <c r="EH778" s="68" t="e">
        <f t="shared" si="885"/>
        <v>#N/A</v>
      </c>
      <c r="EI778" s="68" t="e">
        <f t="shared" si="886"/>
        <v>#N/A</v>
      </c>
      <c r="EJ778" s="68" t="e">
        <f t="shared" si="887"/>
        <v>#N/A</v>
      </c>
      <c r="EK778" s="68" t="e">
        <f t="shared" si="888"/>
        <v>#N/A</v>
      </c>
      <c r="EL778" s="46">
        <f t="shared" si="889"/>
        <v>0</v>
      </c>
      <c r="EM778" s="46">
        <f t="shared" si="890"/>
        <v>0</v>
      </c>
    </row>
    <row r="779" spans="1:143">
      <c r="A779" s="89"/>
      <c r="B779" s="89"/>
      <c r="C779" s="89"/>
      <c r="D779" s="89"/>
      <c r="E779" s="89"/>
      <c r="F779" s="89"/>
      <c r="G779" s="34"/>
      <c r="H779" s="56">
        <f t="shared" si="891"/>
        <v>765</v>
      </c>
      <c r="I779" s="165"/>
      <c r="J779" s="163"/>
      <c r="K779" s="163"/>
      <c r="L779" s="164"/>
      <c r="M779" s="155"/>
      <c r="N779" s="155"/>
      <c r="O779" s="144"/>
      <c r="P779" s="159" t="str">
        <f>IFERROR(IF(O779&lt;&gt;"User Specified",IF(O779&lt;&gt;"", INDEX('Refrigerant GWPs'!$G$2:$G$154,MATCH(O779,'Refrigerant GWPs'!$A$2:$A$154,0)),""),U779),0)</f>
        <v/>
      </c>
      <c r="Q779" s="155"/>
      <c r="R779" s="155"/>
      <c r="S779" s="144"/>
      <c r="T779" s="159" t="str">
        <f>IF(S779&lt;&gt;"User Specified",IF(AND(S779&lt;&gt;"User Specified",S779&lt;&gt;""), INDEX('Refrigerant GWPs'!$G$2:$G$154,MATCH(S779,'Refrigerant GWPs'!$A$2:$A$154,0)),""),V779)</f>
        <v/>
      </c>
      <c r="U779" s="144"/>
      <c r="V779" s="144"/>
      <c r="W779" s="155"/>
      <c r="X779" s="155"/>
      <c r="Y779" s="144"/>
      <c r="Z779" s="159" t="str">
        <f>IF(AND(Y779&lt;&gt;"User Specified",Y779&lt;&gt;""), INDEX('Refrigerant GWPs'!$G$2:$G$154,MATCH(Y779,'Refrigerant GWPs'!$A$2:$A$154,0)),"")</f>
        <v/>
      </c>
      <c r="AA779" s="155"/>
      <c r="AB779" s="156"/>
      <c r="AC779" s="66"/>
      <c r="AD779" s="66"/>
      <c r="AE779" s="66"/>
      <c r="AF779" s="66"/>
      <c r="AG779" s="66"/>
      <c r="AH779" s="66"/>
      <c r="AI779" s="34"/>
      <c r="AJ779" s="88">
        <f t="shared" si="854"/>
        <v>0</v>
      </c>
      <c r="AK779" s="88">
        <f t="shared" si="855"/>
        <v>0</v>
      </c>
      <c r="AL779" s="88">
        <v>0</v>
      </c>
      <c r="AM779" s="88">
        <v>0</v>
      </c>
      <c r="AN779" s="81" t="str">
        <f t="shared" si="893"/>
        <v/>
      </c>
      <c r="AO779" s="88">
        <f t="shared" si="856"/>
        <v>0</v>
      </c>
      <c r="AP779" s="88">
        <f t="shared" si="857"/>
        <v>0</v>
      </c>
      <c r="AQ779" s="81" t="str">
        <f t="shared" si="858"/>
        <v/>
      </c>
      <c r="AS779" s="41" t="b">
        <f t="shared" si="859"/>
        <v>1</v>
      </c>
      <c r="AT779" s="38">
        <f t="shared" si="860"/>
        <v>0</v>
      </c>
      <c r="AU779" s="60">
        <f t="shared" si="861"/>
        <v>0</v>
      </c>
      <c r="AV779" s="41">
        <f t="shared" si="862"/>
        <v>0</v>
      </c>
      <c r="AW779" s="41" t="b">
        <f t="shared" si="863"/>
        <v>0</v>
      </c>
      <c r="AX779" t="str">
        <f t="shared" si="864"/>
        <v>+00</v>
      </c>
      <c r="AY779" t="str">
        <f t="shared" si="865"/>
        <v>+00</v>
      </c>
      <c r="BA779" s="47" t="b">
        <f t="shared" si="894"/>
        <v>1</v>
      </c>
      <c r="BB779" s="42" t="b">
        <f t="shared" si="895"/>
        <v>1</v>
      </c>
      <c r="BC779" s="42" t="b">
        <f t="shared" si="896"/>
        <v>0</v>
      </c>
      <c r="BD779" s="42" t="b">
        <f t="shared" si="897"/>
        <v>0</v>
      </c>
      <c r="BE779" s="70">
        <f t="shared" si="898"/>
        <v>0</v>
      </c>
      <c r="BF779" s="70">
        <f t="shared" si="899"/>
        <v>0</v>
      </c>
      <c r="BG779" s="34"/>
      <c r="BI779" s="47" t="b">
        <f t="shared" si="900"/>
        <v>1</v>
      </c>
      <c r="BJ779" s="47" t="b">
        <f t="shared" si="901"/>
        <v>1</v>
      </c>
      <c r="BK779" s="42" t="b">
        <f t="shared" si="902"/>
        <v>0</v>
      </c>
      <c r="BL779" s="42" t="b">
        <f t="shared" si="903"/>
        <v>0</v>
      </c>
      <c r="BM779" s="42">
        <f t="shared" si="904"/>
        <v>0</v>
      </c>
      <c r="BN779" s="42">
        <f t="shared" si="905"/>
        <v>0</v>
      </c>
      <c r="BP779" t="e">
        <f t="shared" si="906"/>
        <v>#N/A</v>
      </c>
      <c r="BQ779" t="e">
        <f t="shared" si="907"/>
        <v>#N/A</v>
      </c>
      <c r="BR779" t="e">
        <f t="shared" si="908"/>
        <v>#N/A</v>
      </c>
      <c r="BT779" s="60">
        <f t="shared" si="909"/>
        <v>0</v>
      </c>
      <c r="BU779" s="60">
        <f t="shared" si="910"/>
        <v>0</v>
      </c>
      <c r="BV779" s="60">
        <f t="shared" si="911"/>
        <v>0</v>
      </c>
      <c r="BW779" s="60">
        <f t="shared" si="912"/>
        <v>0</v>
      </c>
      <c r="BX779" s="60">
        <f t="shared" si="913"/>
        <v>0</v>
      </c>
      <c r="BY779" s="60">
        <f t="shared" si="914"/>
        <v>0</v>
      </c>
      <c r="BZ779" s="60">
        <f t="shared" si="915"/>
        <v>0</v>
      </c>
      <c r="CA779" s="60">
        <f t="shared" si="916"/>
        <v>0</v>
      </c>
      <c r="CB779" s="60" t="e">
        <f t="shared" si="866"/>
        <v>#N/A</v>
      </c>
      <c r="CC779" s="60">
        <f t="shared" si="867"/>
        <v>100000</v>
      </c>
      <c r="CD779" s="60" t="e">
        <f t="shared" si="868"/>
        <v>#N/A</v>
      </c>
      <c r="CE779" s="60">
        <f t="shared" si="869"/>
        <v>100000</v>
      </c>
      <c r="CF779" s="83" t="e">
        <f t="shared" si="917"/>
        <v>#N/A</v>
      </c>
      <c r="CG779" s="83">
        <f t="shared" si="918"/>
        <v>0</v>
      </c>
      <c r="CH779" s="83" t="e">
        <f t="shared" si="919"/>
        <v>#N/A</v>
      </c>
      <c r="CI779" s="83">
        <f t="shared" si="920"/>
        <v>0</v>
      </c>
      <c r="CJ779" s="86" t="e">
        <f t="shared" si="870"/>
        <v>#N/A</v>
      </c>
      <c r="CK779" s="82">
        <f t="shared" si="871"/>
        <v>5.3070370403969858E-3</v>
      </c>
      <c r="CL779" s="82" t="e">
        <f t="shared" si="872"/>
        <v>#N/A</v>
      </c>
      <c r="CM779" s="82">
        <f t="shared" si="873"/>
        <v>5.3070370403969858E-3</v>
      </c>
      <c r="CO779" s="149" t="str">
        <f>IF($I779&lt;&gt;"",IF(O779="User Specified",U779,INDEX('Refrigerant GWPs'!$G$2:$G$156,MATCH(O779,'Refrigerant GWPs'!$A$2:$A$156,0))),"")</f>
        <v/>
      </c>
      <c r="CP779" s="138" t="str">
        <f>IF($I779&lt;&gt;"",INDEX('Device Refrigerant Leakage'!$E$2:$E$42,MATCH($M779,'Device Refrigerant Leakage'!$B$2:$B$42,0)),"")</f>
        <v/>
      </c>
      <c r="CQ779" s="138" t="str">
        <f>IF($I779&lt;&gt;"",INDEX('Device Refrigerant Leakage'!$F$2:$F$42,MATCH($M779,'Device Refrigerant Leakage'!$B$2:$B$42,0)),"")</f>
        <v/>
      </c>
      <c r="CR779" s="145" t="str">
        <f>IF($I779&lt;&gt;"",INDEX('Device Refrigerant Leakage'!$G$2:$G$42,MATCH($M779,'Device Refrigerant Leakage'!$B$2:$B$42,0)),"")</f>
        <v/>
      </c>
      <c r="CS779" s="145" t="str">
        <f>IF($I779&lt;&gt;"",INDEX('Device Refrigerant Leakage'!$D$2:$D$42,MATCH($M779,'Device Refrigerant Leakage'!$B$2:$B$42,0))*CP779/2204.62*CO779,"")</f>
        <v/>
      </c>
      <c r="CT779" s="145" t="str">
        <f>IF($I779&lt;&gt;"",J779*(INDEX('Device Refrigerant Leakage'!$D$2:$D$42,MATCH($M779,'Device Refrigerant Leakage'!$B$2:$B$42,0))-(INDEX('Device Refrigerant Leakage'!$D$2:$D$42,MATCH($M779,'Device Refrigerant Leakage'!$B$2:$B$42,0)))*CR779*CP779)*CQ779/2204.62*CO779,"")</f>
        <v/>
      </c>
      <c r="CU779" s="135" t="str">
        <f>IF($I779&lt;&gt;"",J779*IF(W779&lt;&gt;"AR",(CS779*K779)+CT779,(CS779*AB779)+CT779*(AB779/INDEX('Device Refrigerant Leakage'!$C$2:$C$42,MATCH($M779,'Device Refrigerant Leakage'!$B$2:$B$42,0)))),"")</f>
        <v/>
      </c>
      <c r="CW779" s="135" t="str">
        <f>IF($I779&lt;&gt;"",IF(S779="User Specified",V779,INDEX('Refrigerant GWPs'!$G$2:$G$156,MATCH(S779,'Refrigerant GWPs'!$A$2:$A$157,0))),"")</f>
        <v/>
      </c>
      <c r="CX779" s="138" t="str">
        <f>IF($I779&lt;&gt;"",INDEX('Device Refrigerant Leakage'!$E$2:$E$42,MATCH($Q779,'Device Refrigerant Leakage'!$B$2:$B$42,0)),"")</f>
        <v/>
      </c>
      <c r="CY779" s="138" t="str">
        <f>IF($I779&lt;&gt;"",INDEX('Device Refrigerant Leakage'!$F$2:$F$42,MATCH($Q779,'Device Refrigerant Leakage'!$B$2:$B$42,0)),"")</f>
        <v/>
      </c>
      <c r="CZ779" s="145" t="str">
        <f>IF($I779&lt;&gt;"",INDEX('Device Refrigerant Leakage'!$G$2:$G$42,MATCH($Q779,'Device Refrigerant Leakage'!$B$2:$B$42,0)),"")</f>
        <v/>
      </c>
      <c r="DA779" s="145" t="str">
        <f>IF($I779&lt;&gt;"",J779*INDEX('Device Refrigerant Leakage'!$D$2:$D$42,MATCH($Q779,'Device Refrigerant Leakage'!$B$2:$B$42,0))*CX779/2204.62*CW779,"")</f>
        <v/>
      </c>
      <c r="DB779" s="145" t="str">
        <f>IF($I779&lt;&gt;"",J779*(INDEX('Device Refrigerant Leakage'!$D$2:$D$42,MATCH($Q779,'Device Refrigerant Leakage'!$B$2:$B$42,0))-(INDEX('Device Refrigerant Leakage'!$D$2:$D$42,MATCH($Q779,'Device Refrigerant Leakage'!$B$2:$B$42,0)))*CZ779*CX779)*CY779/2204.62*CW779,"")</f>
        <v/>
      </c>
      <c r="DC779" s="135" t="str">
        <f t="shared" si="892"/>
        <v/>
      </c>
      <c r="DE779" s="146" t="str">
        <f>IF(W779&lt;&gt;"AR","",IF(Y779="User Specified", AA779, INDEX('Refrigerant GWPs'!$G$2:$G$154,MATCH(Y779,'Refrigerant GWPs'!$A$2:$A$154,0))))</f>
        <v/>
      </c>
      <c r="DF779" s="146" t="str">
        <f>IF(W779&lt;&gt;"AR","",INDEX('Device Refrigerant Leakage'!$E$2:$E$42,MATCH(X779,'Device Refrigerant Leakage'!$B$2:$B$42,0)))</f>
        <v/>
      </c>
      <c r="DG779" s="146" t="str">
        <f>IF(W779&lt;&gt;"AR","",INDEX('Device Refrigerant Leakage'!$F$2:$F$42,MATCH(X779,'Device Refrigerant Leakage'!$B$2:$B$42,0)))</f>
        <v/>
      </c>
      <c r="DH779" s="146" t="str">
        <f>IF(W779&lt;&gt;"AR","",INDEX('Device Refrigerant Leakage'!$G$2:$G$42,MATCH(X779,'Device Refrigerant Leakage'!$B$2:$B$42,0)))</f>
        <v/>
      </c>
      <c r="DI779" s="146" t="str">
        <f>IF(W779&lt;&gt;"AR","",J779*INDEX('Device Refrigerant Leakage'!$D$2:$D$42,MATCH(X779,'Device Refrigerant Leakage'!$B$2:$B$42,0))*DF779/2204.62*DE779)</f>
        <v/>
      </c>
      <c r="DJ779" s="146" t="str">
        <f>IF(W779&lt;&gt;"AR","",J779*(INDEX('Device Refrigerant Leakage'!$D$2:$D$42,MATCH(X779,'Device Refrigerant Leakage'!$B$2:$B$42,0))-(INDEX('Device Refrigerant Leakage'!$D$2:$D$42,MATCH(X779,'Device Refrigerant Leakage'!$B$2:$B$42,0)))*DH779*DF779)*DG779/2204.62*DE779)</f>
        <v/>
      </c>
      <c r="DK779" s="146" t="str">
        <f>IF(W779&lt;&gt;"AR","",DI779*(K779-AB779)+'Fuel Sub Calcs-Deemed'!DJ779*((K779-AB779)/INDEX('Device Refrigerant Leakage'!$C$2:$C$42,MATCH('Fuel Sub Calcs-Deemed'!X779,'Device Refrigerant Leakage'!$B$2:$B$42,0))))</f>
        <v/>
      </c>
      <c r="DM779" s="56">
        <v>765</v>
      </c>
      <c r="DN779" s="67" t="e">
        <f t="shared" si="874"/>
        <v>#N/A</v>
      </c>
      <c r="DO779" s="45" t="e">
        <f t="shared" si="875"/>
        <v>#N/A</v>
      </c>
      <c r="DP779" s="67" t="e">
        <f t="shared" si="876"/>
        <v>#N/A</v>
      </c>
      <c r="DQ779" s="45" t="e">
        <f t="shared" si="877"/>
        <v>#N/A</v>
      </c>
      <c r="DR779" s="69" t="e">
        <f t="shared" si="878"/>
        <v>#N/A</v>
      </c>
      <c r="DS779" s="34"/>
      <c r="DT779" s="67" t="e">
        <f>((BX779*CJ779)+IF($W779=MAT_AR,(BZ779*CL779),0))*(1+Reference!$E$50+Reference!$E$51)</f>
        <v>#N/A</v>
      </c>
      <c r="DU779" s="67">
        <f>((BY779*CK779)+IF($W779=MAT_AR,(CA779*CM779),0))*(1+Reference!$G$50+Reference!$G$51)</f>
        <v>0</v>
      </c>
      <c r="DV779" s="67" t="e">
        <f t="shared" si="879"/>
        <v>#VALUE!</v>
      </c>
      <c r="DX779" s="56">
        <v>765</v>
      </c>
      <c r="DY779" s="67">
        <f t="shared" si="880"/>
        <v>0</v>
      </c>
      <c r="DZ779" s="45" t="e">
        <f>VLOOKUP($R779,Dropdown!$C$3:$D$4,2,FALSE)</f>
        <v>#N/A</v>
      </c>
      <c r="EA779" s="68">
        <f t="shared" si="881"/>
        <v>0</v>
      </c>
      <c r="EB779" s="68" t="str">
        <f t="shared" si="882"/>
        <v>N/A</v>
      </c>
      <c r="EC779" s="68">
        <f t="shared" si="883"/>
        <v>0</v>
      </c>
      <c r="ED779" s="68" t="str">
        <f t="shared" si="921"/>
        <v>N/A</v>
      </c>
      <c r="EF779" s="56">
        <v>765</v>
      </c>
      <c r="EG779" s="46">
        <f t="shared" si="884"/>
        <v>0</v>
      </c>
      <c r="EH779" s="68" t="e">
        <f t="shared" si="885"/>
        <v>#N/A</v>
      </c>
      <c r="EI779" s="68" t="e">
        <f t="shared" si="886"/>
        <v>#N/A</v>
      </c>
      <c r="EJ779" s="68" t="e">
        <f t="shared" si="887"/>
        <v>#N/A</v>
      </c>
      <c r="EK779" s="68" t="e">
        <f t="shared" si="888"/>
        <v>#N/A</v>
      </c>
      <c r="EL779" s="46">
        <f t="shared" si="889"/>
        <v>0</v>
      </c>
      <c r="EM779" s="46">
        <f t="shared" si="890"/>
        <v>0</v>
      </c>
    </row>
    <row r="780" spans="1:143">
      <c r="A780" s="89"/>
      <c r="B780" s="89"/>
      <c r="C780" s="89"/>
      <c r="D780" s="89"/>
      <c r="E780" s="89"/>
      <c r="F780" s="89"/>
      <c r="G780" s="34"/>
      <c r="H780" s="56">
        <f t="shared" si="891"/>
        <v>766</v>
      </c>
      <c r="I780" s="165"/>
      <c r="J780" s="163"/>
      <c r="K780" s="163"/>
      <c r="L780" s="164"/>
      <c r="M780" s="155"/>
      <c r="N780" s="155"/>
      <c r="O780" s="144"/>
      <c r="P780" s="159" t="str">
        <f>IFERROR(IF(O780&lt;&gt;"User Specified",IF(O780&lt;&gt;"", INDEX('Refrigerant GWPs'!$G$2:$G$154,MATCH(O780,'Refrigerant GWPs'!$A$2:$A$154,0)),""),U780),0)</f>
        <v/>
      </c>
      <c r="Q780" s="155"/>
      <c r="R780" s="155"/>
      <c r="S780" s="144"/>
      <c r="T780" s="159" t="str">
        <f>IF(S780&lt;&gt;"User Specified",IF(AND(S780&lt;&gt;"User Specified",S780&lt;&gt;""), INDEX('Refrigerant GWPs'!$G$2:$G$154,MATCH(S780,'Refrigerant GWPs'!$A$2:$A$154,0)),""),V780)</f>
        <v/>
      </c>
      <c r="U780" s="144"/>
      <c r="V780" s="144"/>
      <c r="W780" s="155"/>
      <c r="X780" s="155"/>
      <c r="Y780" s="144"/>
      <c r="Z780" s="159" t="str">
        <f>IF(AND(Y780&lt;&gt;"User Specified",Y780&lt;&gt;""), INDEX('Refrigerant GWPs'!$G$2:$G$154,MATCH(Y780,'Refrigerant GWPs'!$A$2:$A$154,0)),"")</f>
        <v/>
      </c>
      <c r="AA780" s="155"/>
      <c r="AB780" s="156"/>
      <c r="AC780" s="66"/>
      <c r="AD780" s="66"/>
      <c r="AE780" s="66"/>
      <c r="AF780" s="66"/>
      <c r="AG780" s="66"/>
      <c r="AH780" s="66"/>
      <c r="AI780" s="34"/>
      <c r="AJ780" s="88">
        <f t="shared" si="854"/>
        <v>0</v>
      </c>
      <c r="AK780" s="88">
        <f t="shared" si="855"/>
        <v>0</v>
      </c>
      <c r="AL780" s="88">
        <v>0</v>
      </c>
      <c r="AM780" s="88">
        <v>0</v>
      </c>
      <c r="AN780" s="81" t="str">
        <f t="shared" si="893"/>
        <v/>
      </c>
      <c r="AO780" s="88">
        <f t="shared" si="856"/>
        <v>0</v>
      </c>
      <c r="AP780" s="88">
        <f t="shared" si="857"/>
        <v>0</v>
      </c>
      <c r="AQ780" s="81" t="str">
        <f t="shared" si="858"/>
        <v/>
      </c>
      <c r="AS780" s="41" t="b">
        <f t="shared" si="859"/>
        <v>1</v>
      </c>
      <c r="AT780" s="38">
        <f t="shared" si="860"/>
        <v>0</v>
      </c>
      <c r="AU780" s="60">
        <f t="shared" si="861"/>
        <v>0</v>
      </c>
      <c r="AV780" s="41">
        <f t="shared" si="862"/>
        <v>0</v>
      </c>
      <c r="AW780" s="41" t="b">
        <f t="shared" si="863"/>
        <v>0</v>
      </c>
      <c r="AX780" t="str">
        <f t="shared" si="864"/>
        <v>+00</v>
      </c>
      <c r="AY780" t="str">
        <f t="shared" si="865"/>
        <v>+00</v>
      </c>
      <c r="BA780" s="47" t="b">
        <f t="shared" si="894"/>
        <v>1</v>
      </c>
      <c r="BB780" s="42" t="b">
        <f t="shared" si="895"/>
        <v>1</v>
      </c>
      <c r="BC780" s="42" t="b">
        <f t="shared" si="896"/>
        <v>0</v>
      </c>
      <c r="BD780" s="42" t="b">
        <f t="shared" si="897"/>
        <v>0</v>
      </c>
      <c r="BE780" s="70">
        <f t="shared" si="898"/>
        <v>0</v>
      </c>
      <c r="BF780" s="70">
        <f t="shared" si="899"/>
        <v>0</v>
      </c>
      <c r="BG780" s="34"/>
      <c r="BI780" s="47" t="b">
        <f t="shared" si="900"/>
        <v>1</v>
      </c>
      <c r="BJ780" s="47" t="b">
        <f t="shared" si="901"/>
        <v>1</v>
      </c>
      <c r="BK780" s="42" t="b">
        <f t="shared" si="902"/>
        <v>0</v>
      </c>
      <c r="BL780" s="42" t="b">
        <f t="shared" si="903"/>
        <v>0</v>
      </c>
      <c r="BM780" s="42">
        <f t="shared" si="904"/>
        <v>0</v>
      </c>
      <c r="BN780" s="42">
        <f t="shared" si="905"/>
        <v>0</v>
      </c>
      <c r="BP780" t="e">
        <f t="shared" si="906"/>
        <v>#N/A</v>
      </c>
      <c r="BQ780" t="e">
        <f t="shared" si="907"/>
        <v>#N/A</v>
      </c>
      <c r="BR780" t="e">
        <f t="shared" si="908"/>
        <v>#N/A</v>
      </c>
      <c r="BT780" s="60">
        <f t="shared" si="909"/>
        <v>0</v>
      </c>
      <c r="BU780" s="60">
        <f t="shared" si="910"/>
        <v>0</v>
      </c>
      <c r="BV780" s="60">
        <f t="shared" si="911"/>
        <v>0</v>
      </c>
      <c r="BW780" s="60">
        <f t="shared" si="912"/>
        <v>0</v>
      </c>
      <c r="BX780" s="60">
        <f t="shared" si="913"/>
        <v>0</v>
      </c>
      <c r="BY780" s="60">
        <f t="shared" si="914"/>
        <v>0</v>
      </c>
      <c r="BZ780" s="60">
        <f t="shared" si="915"/>
        <v>0</v>
      </c>
      <c r="CA780" s="60">
        <f t="shared" si="916"/>
        <v>0</v>
      </c>
      <c r="CB780" s="60" t="e">
        <f t="shared" si="866"/>
        <v>#N/A</v>
      </c>
      <c r="CC780" s="60">
        <f t="shared" si="867"/>
        <v>100000</v>
      </c>
      <c r="CD780" s="60" t="e">
        <f t="shared" si="868"/>
        <v>#N/A</v>
      </c>
      <c r="CE780" s="60">
        <f t="shared" si="869"/>
        <v>100000</v>
      </c>
      <c r="CF780" s="83" t="e">
        <f t="shared" si="917"/>
        <v>#N/A</v>
      </c>
      <c r="CG780" s="83">
        <f t="shared" si="918"/>
        <v>0</v>
      </c>
      <c r="CH780" s="83" t="e">
        <f t="shared" si="919"/>
        <v>#N/A</v>
      </c>
      <c r="CI780" s="83">
        <f t="shared" si="920"/>
        <v>0</v>
      </c>
      <c r="CJ780" s="86" t="e">
        <f t="shared" si="870"/>
        <v>#N/A</v>
      </c>
      <c r="CK780" s="82">
        <f t="shared" si="871"/>
        <v>5.3070370403969858E-3</v>
      </c>
      <c r="CL780" s="82" t="e">
        <f t="shared" si="872"/>
        <v>#N/A</v>
      </c>
      <c r="CM780" s="82">
        <f t="shared" si="873"/>
        <v>5.3070370403969858E-3</v>
      </c>
      <c r="CO780" s="149" t="str">
        <f>IF($I780&lt;&gt;"",IF(O780="User Specified",U780,INDEX('Refrigerant GWPs'!$G$2:$G$156,MATCH(O780,'Refrigerant GWPs'!$A$2:$A$156,0))),"")</f>
        <v/>
      </c>
      <c r="CP780" s="138" t="str">
        <f>IF($I780&lt;&gt;"",INDEX('Device Refrigerant Leakage'!$E$2:$E$42,MATCH($M780,'Device Refrigerant Leakage'!$B$2:$B$42,0)),"")</f>
        <v/>
      </c>
      <c r="CQ780" s="138" t="str">
        <f>IF($I780&lt;&gt;"",INDEX('Device Refrigerant Leakage'!$F$2:$F$42,MATCH($M780,'Device Refrigerant Leakage'!$B$2:$B$42,0)),"")</f>
        <v/>
      </c>
      <c r="CR780" s="145" t="str">
        <f>IF($I780&lt;&gt;"",INDEX('Device Refrigerant Leakage'!$G$2:$G$42,MATCH($M780,'Device Refrigerant Leakage'!$B$2:$B$42,0)),"")</f>
        <v/>
      </c>
      <c r="CS780" s="145" t="str">
        <f>IF($I780&lt;&gt;"",INDEX('Device Refrigerant Leakage'!$D$2:$D$42,MATCH($M780,'Device Refrigerant Leakage'!$B$2:$B$42,0))*CP780/2204.62*CO780,"")</f>
        <v/>
      </c>
      <c r="CT780" s="145" t="str">
        <f>IF($I780&lt;&gt;"",J780*(INDEX('Device Refrigerant Leakage'!$D$2:$D$42,MATCH($M780,'Device Refrigerant Leakage'!$B$2:$B$42,0))-(INDEX('Device Refrigerant Leakage'!$D$2:$D$42,MATCH($M780,'Device Refrigerant Leakage'!$B$2:$B$42,0)))*CR780*CP780)*CQ780/2204.62*CO780,"")</f>
        <v/>
      </c>
      <c r="CU780" s="135" t="str">
        <f>IF($I780&lt;&gt;"",J780*IF(W780&lt;&gt;"AR",(CS780*K780)+CT780,(CS780*AB780)+CT780*(AB780/INDEX('Device Refrigerant Leakage'!$C$2:$C$42,MATCH($M780,'Device Refrigerant Leakage'!$B$2:$B$42,0)))),"")</f>
        <v/>
      </c>
      <c r="CW780" s="135" t="str">
        <f>IF($I780&lt;&gt;"",IF(S780="User Specified",V780,INDEX('Refrigerant GWPs'!$G$2:$G$156,MATCH(S780,'Refrigerant GWPs'!$A$2:$A$157,0))),"")</f>
        <v/>
      </c>
      <c r="CX780" s="138" t="str">
        <f>IF($I780&lt;&gt;"",INDEX('Device Refrigerant Leakage'!$E$2:$E$42,MATCH($Q780,'Device Refrigerant Leakage'!$B$2:$B$42,0)),"")</f>
        <v/>
      </c>
      <c r="CY780" s="138" t="str">
        <f>IF($I780&lt;&gt;"",INDEX('Device Refrigerant Leakage'!$F$2:$F$42,MATCH($Q780,'Device Refrigerant Leakage'!$B$2:$B$42,0)),"")</f>
        <v/>
      </c>
      <c r="CZ780" s="145" t="str">
        <f>IF($I780&lt;&gt;"",INDEX('Device Refrigerant Leakage'!$G$2:$G$42,MATCH($Q780,'Device Refrigerant Leakage'!$B$2:$B$42,0)),"")</f>
        <v/>
      </c>
      <c r="DA780" s="145" t="str">
        <f>IF($I780&lt;&gt;"",J780*INDEX('Device Refrigerant Leakage'!$D$2:$D$42,MATCH($Q780,'Device Refrigerant Leakage'!$B$2:$B$42,0))*CX780/2204.62*CW780,"")</f>
        <v/>
      </c>
      <c r="DB780" s="145" t="str">
        <f>IF($I780&lt;&gt;"",J780*(INDEX('Device Refrigerant Leakage'!$D$2:$D$42,MATCH($Q780,'Device Refrigerant Leakage'!$B$2:$B$42,0))-(INDEX('Device Refrigerant Leakage'!$D$2:$D$42,MATCH($Q780,'Device Refrigerant Leakage'!$B$2:$B$42,0)))*CZ780*CX780)*CY780/2204.62*CW780,"")</f>
        <v/>
      </c>
      <c r="DC780" s="135" t="str">
        <f t="shared" si="892"/>
        <v/>
      </c>
      <c r="DE780" s="146" t="str">
        <f>IF(W780&lt;&gt;"AR","",IF(Y780="User Specified", AA780, INDEX('Refrigerant GWPs'!$G$2:$G$154,MATCH(Y780,'Refrigerant GWPs'!$A$2:$A$154,0))))</f>
        <v/>
      </c>
      <c r="DF780" s="146" t="str">
        <f>IF(W780&lt;&gt;"AR","",INDEX('Device Refrigerant Leakage'!$E$2:$E$42,MATCH(X780,'Device Refrigerant Leakage'!$B$2:$B$42,0)))</f>
        <v/>
      </c>
      <c r="DG780" s="146" t="str">
        <f>IF(W780&lt;&gt;"AR","",INDEX('Device Refrigerant Leakage'!$F$2:$F$42,MATCH(X780,'Device Refrigerant Leakage'!$B$2:$B$42,0)))</f>
        <v/>
      </c>
      <c r="DH780" s="146" t="str">
        <f>IF(W780&lt;&gt;"AR","",INDEX('Device Refrigerant Leakage'!$G$2:$G$42,MATCH(X780,'Device Refrigerant Leakage'!$B$2:$B$42,0)))</f>
        <v/>
      </c>
      <c r="DI780" s="146" t="str">
        <f>IF(W780&lt;&gt;"AR","",J780*INDEX('Device Refrigerant Leakage'!$D$2:$D$42,MATCH(X780,'Device Refrigerant Leakage'!$B$2:$B$42,0))*DF780/2204.62*DE780)</f>
        <v/>
      </c>
      <c r="DJ780" s="146" t="str">
        <f>IF(W780&lt;&gt;"AR","",J780*(INDEX('Device Refrigerant Leakage'!$D$2:$D$42,MATCH(X780,'Device Refrigerant Leakage'!$B$2:$B$42,0))-(INDEX('Device Refrigerant Leakage'!$D$2:$D$42,MATCH(X780,'Device Refrigerant Leakage'!$B$2:$B$42,0)))*DH780*DF780)*DG780/2204.62*DE780)</f>
        <v/>
      </c>
      <c r="DK780" s="146" t="str">
        <f>IF(W780&lt;&gt;"AR","",DI780*(K780-AB780)+'Fuel Sub Calcs-Deemed'!DJ780*((K780-AB780)/INDEX('Device Refrigerant Leakage'!$C$2:$C$42,MATCH('Fuel Sub Calcs-Deemed'!X780,'Device Refrigerant Leakage'!$B$2:$B$42,0))))</f>
        <v/>
      </c>
      <c r="DM780" s="56">
        <v>766</v>
      </c>
      <c r="DN780" s="67" t="e">
        <f t="shared" si="874"/>
        <v>#N/A</v>
      </c>
      <c r="DO780" s="45" t="e">
        <f t="shared" si="875"/>
        <v>#N/A</v>
      </c>
      <c r="DP780" s="67" t="e">
        <f t="shared" si="876"/>
        <v>#N/A</v>
      </c>
      <c r="DQ780" s="45" t="e">
        <f t="shared" si="877"/>
        <v>#N/A</v>
      </c>
      <c r="DR780" s="69" t="e">
        <f t="shared" si="878"/>
        <v>#N/A</v>
      </c>
      <c r="DS780" s="34"/>
      <c r="DT780" s="67" t="e">
        <f>((BX780*CJ780)+IF($W780=MAT_AR,(BZ780*CL780),0))*(1+Reference!$E$50+Reference!$E$51)</f>
        <v>#N/A</v>
      </c>
      <c r="DU780" s="67">
        <f>((BY780*CK780)+IF($W780=MAT_AR,(CA780*CM780),0))*(1+Reference!$G$50+Reference!$G$51)</f>
        <v>0</v>
      </c>
      <c r="DV780" s="67" t="e">
        <f t="shared" si="879"/>
        <v>#VALUE!</v>
      </c>
      <c r="DX780" s="56">
        <v>766</v>
      </c>
      <c r="DY780" s="67">
        <f t="shared" si="880"/>
        <v>0</v>
      </c>
      <c r="DZ780" s="45" t="e">
        <f>VLOOKUP($R780,Dropdown!$C$3:$D$4,2,FALSE)</f>
        <v>#N/A</v>
      </c>
      <c r="EA780" s="68">
        <f t="shared" si="881"/>
        <v>0</v>
      </c>
      <c r="EB780" s="68" t="str">
        <f t="shared" si="882"/>
        <v>N/A</v>
      </c>
      <c r="EC780" s="68">
        <f t="shared" si="883"/>
        <v>0</v>
      </c>
      <c r="ED780" s="68" t="str">
        <f t="shared" si="921"/>
        <v>N/A</v>
      </c>
      <c r="EF780" s="56">
        <v>766</v>
      </c>
      <c r="EG780" s="46">
        <f t="shared" si="884"/>
        <v>0</v>
      </c>
      <c r="EH780" s="68" t="e">
        <f t="shared" si="885"/>
        <v>#N/A</v>
      </c>
      <c r="EI780" s="68" t="e">
        <f t="shared" si="886"/>
        <v>#N/A</v>
      </c>
      <c r="EJ780" s="68" t="e">
        <f t="shared" si="887"/>
        <v>#N/A</v>
      </c>
      <c r="EK780" s="68" t="e">
        <f t="shared" si="888"/>
        <v>#N/A</v>
      </c>
      <c r="EL780" s="46">
        <f t="shared" si="889"/>
        <v>0</v>
      </c>
      <c r="EM780" s="46">
        <f t="shared" si="890"/>
        <v>0</v>
      </c>
    </row>
    <row r="781" spans="1:143">
      <c r="A781" s="89"/>
      <c r="B781" s="89"/>
      <c r="C781" s="89"/>
      <c r="D781" s="89"/>
      <c r="E781" s="89"/>
      <c r="F781" s="89"/>
      <c r="G781" s="34"/>
      <c r="H781" s="56">
        <f t="shared" si="891"/>
        <v>767</v>
      </c>
      <c r="I781" s="165"/>
      <c r="J781" s="163"/>
      <c r="K781" s="163"/>
      <c r="L781" s="164"/>
      <c r="M781" s="155"/>
      <c r="N781" s="155"/>
      <c r="O781" s="144"/>
      <c r="P781" s="159" t="str">
        <f>IFERROR(IF(O781&lt;&gt;"User Specified",IF(O781&lt;&gt;"", INDEX('Refrigerant GWPs'!$G$2:$G$154,MATCH(O781,'Refrigerant GWPs'!$A$2:$A$154,0)),""),U781),0)</f>
        <v/>
      </c>
      <c r="Q781" s="155"/>
      <c r="R781" s="155"/>
      <c r="S781" s="144"/>
      <c r="T781" s="159" t="str">
        <f>IF(S781&lt;&gt;"User Specified",IF(AND(S781&lt;&gt;"User Specified",S781&lt;&gt;""), INDEX('Refrigerant GWPs'!$G$2:$G$154,MATCH(S781,'Refrigerant GWPs'!$A$2:$A$154,0)),""),V781)</f>
        <v/>
      </c>
      <c r="U781" s="144"/>
      <c r="V781" s="144"/>
      <c r="W781" s="155"/>
      <c r="X781" s="155"/>
      <c r="Y781" s="144"/>
      <c r="Z781" s="159" t="str">
        <f>IF(AND(Y781&lt;&gt;"User Specified",Y781&lt;&gt;""), INDEX('Refrigerant GWPs'!$G$2:$G$154,MATCH(Y781,'Refrigerant GWPs'!$A$2:$A$154,0)),"")</f>
        <v/>
      </c>
      <c r="AA781" s="155"/>
      <c r="AB781" s="156"/>
      <c r="AC781" s="66"/>
      <c r="AD781" s="66"/>
      <c r="AE781" s="66"/>
      <c r="AF781" s="66"/>
      <c r="AG781" s="66"/>
      <c r="AH781" s="66"/>
      <c r="AI781" s="34"/>
      <c r="AJ781" s="88">
        <f t="shared" si="854"/>
        <v>0</v>
      </c>
      <c r="AK781" s="88">
        <f t="shared" si="855"/>
        <v>0</v>
      </c>
      <c r="AL781" s="88">
        <v>0</v>
      </c>
      <c r="AM781" s="88">
        <v>0</v>
      </c>
      <c r="AN781" s="81" t="str">
        <f t="shared" si="893"/>
        <v/>
      </c>
      <c r="AO781" s="88">
        <f t="shared" si="856"/>
        <v>0</v>
      </c>
      <c r="AP781" s="88">
        <f t="shared" si="857"/>
        <v>0</v>
      </c>
      <c r="AQ781" s="81" t="str">
        <f t="shared" si="858"/>
        <v/>
      </c>
      <c r="AS781" s="41" t="b">
        <f t="shared" si="859"/>
        <v>1</v>
      </c>
      <c r="AT781" s="38">
        <f t="shared" si="860"/>
        <v>0</v>
      </c>
      <c r="AU781" s="60">
        <f t="shared" si="861"/>
        <v>0</v>
      </c>
      <c r="AV781" s="41">
        <f t="shared" si="862"/>
        <v>0</v>
      </c>
      <c r="AW781" s="41" t="b">
        <f t="shared" si="863"/>
        <v>0</v>
      </c>
      <c r="AX781" t="str">
        <f t="shared" si="864"/>
        <v>+00</v>
      </c>
      <c r="AY781" t="str">
        <f t="shared" si="865"/>
        <v>+00</v>
      </c>
      <c r="BA781" s="47" t="b">
        <f t="shared" si="894"/>
        <v>1</v>
      </c>
      <c r="BB781" s="42" t="b">
        <f t="shared" si="895"/>
        <v>1</v>
      </c>
      <c r="BC781" s="42" t="b">
        <f t="shared" si="896"/>
        <v>0</v>
      </c>
      <c r="BD781" s="42" t="b">
        <f t="shared" si="897"/>
        <v>0</v>
      </c>
      <c r="BE781" s="70">
        <f t="shared" si="898"/>
        <v>0</v>
      </c>
      <c r="BF781" s="70">
        <f t="shared" si="899"/>
        <v>0</v>
      </c>
      <c r="BG781" s="34"/>
      <c r="BI781" s="47" t="b">
        <f t="shared" si="900"/>
        <v>1</v>
      </c>
      <c r="BJ781" s="47" t="b">
        <f t="shared" si="901"/>
        <v>1</v>
      </c>
      <c r="BK781" s="42" t="b">
        <f t="shared" si="902"/>
        <v>0</v>
      </c>
      <c r="BL781" s="42" t="b">
        <f t="shared" si="903"/>
        <v>0</v>
      </c>
      <c r="BM781" s="42">
        <f t="shared" si="904"/>
        <v>0</v>
      </c>
      <c r="BN781" s="42">
        <f t="shared" si="905"/>
        <v>0</v>
      </c>
      <c r="BP781" t="e">
        <f t="shared" si="906"/>
        <v>#N/A</v>
      </c>
      <c r="BQ781" t="e">
        <f t="shared" si="907"/>
        <v>#N/A</v>
      </c>
      <c r="BR781" t="e">
        <f t="shared" si="908"/>
        <v>#N/A</v>
      </c>
      <c r="BT781" s="60">
        <f t="shared" si="909"/>
        <v>0</v>
      </c>
      <c r="BU781" s="60">
        <f t="shared" si="910"/>
        <v>0</v>
      </c>
      <c r="BV781" s="60">
        <f t="shared" si="911"/>
        <v>0</v>
      </c>
      <c r="BW781" s="60">
        <f t="shared" si="912"/>
        <v>0</v>
      </c>
      <c r="BX781" s="60">
        <f t="shared" si="913"/>
        <v>0</v>
      </c>
      <c r="BY781" s="60">
        <f t="shared" si="914"/>
        <v>0</v>
      </c>
      <c r="BZ781" s="60">
        <f t="shared" si="915"/>
        <v>0</v>
      </c>
      <c r="CA781" s="60">
        <f t="shared" si="916"/>
        <v>0</v>
      </c>
      <c r="CB781" s="60" t="e">
        <f t="shared" si="866"/>
        <v>#N/A</v>
      </c>
      <c r="CC781" s="60">
        <f t="shared" si="867"/>
        <v>100000</v>
      </c>
      <c r="CD781" s="60" t="e">
        <f t="shared" si="868"/>
        <v>#N/A</v>
      </c>
      <c r="CE781" s="60">
        <f t="shared" si="869"/>
        <v>100000</v>
      </c>
      <c r="CF781" s="83" t="e">
        <f t="shared" si="917"/>
        <v>#N/A</v>
      </c>
      <c r="CG781" s="83">
        <f t="shared" si="918"/>
        <v>0</v>
      </c>
      <c r="CH781" s="83" t="e">
        <f t="shared" si="919"/>
        <v>#N/A</v>
      </c>
      <c r="CI781" s="83">
        <f t="shared" si="920"/>
        <v>0</v>
      </c>
      <c r="CJ781" s="86" t="e">
        <f t="shared" si="870"/>
        <v>#N/A</v>
      </c>
      <c r="CK781" s="82">
        <f t="shared" si="871"/>
        <v>5.3070370403969858E-3</v>
      </c>
      <c r="CL781" s="82" t="e">
        <f t="shared" si="872"/>
        <v>#N/A</v>
      </c>
      <c r="CM781" s="82">
        <f t="shared" si="873"/>
        <v>5.3070370403969858E-3</v>
      </c>
      <c r="CO781" s="149" t="str">
        <f>IF($I781&lt;&gt;"",IF(O781="User Specified",U781,INDEX('Refrigerant GWPs'!$G$2:$G$156,MATCH(O781,'Refrigerant GWPs'!$A$2:$A$156,0))),"")</f>
        <v/>
      </c>
      <c r="CP781" s="138" t="str">
        <f>IF($I781&lt;&gt;"",INDEX('Device Refrigerant Leakage'!$E$2:$E$42,MATCH($M781,'Device Refrigerant Leakage'!$B$2:$B$42,0)),"")</f>
        <v/>
      </c>
      <c r="CQ781" s="138" t="str">
        <f>IF($I781&lt;&gt;"",INDEX('Device Refrigerant Leakage'!$F$2:$F$42,MATCH($M781,'Device Refrigerant Leakage'!$B$2:$B$42,0)),"")</f>
        <v/>
      </c>
      <c r="CR781" s="145" t="str">
        <f>IF($I781&lt;&gt;"",INDEX('Device Refrigerant Leakage'!$G$2:$G$42,MATCH($M781,'Device Refrigerant Leakage'!$B$2:$B$42,0)),"")</f>
        <v/>
      </c>
      <c r="CS781" s="145" t="str">
        <f>IF($I781&lt;&gt;"",INDEX('Device Refrigerant Leakage'!$D$2:$D$42,MATCH($M781,'Device Refrigerant Leakage'!$B$2:$B$42,0))*CP781/2204.62*CO781,"")</f>
        <v/>
      </c>
      <c r="CT781" s="145" t="str">
        <f>IF($I781&lt;&gt;"",J781*(INDEX('Device Refrigerant Leakage'!$D$2:$D$42,MATCH($M781,'Device Refrigerant Leakage'!$B$2:$B$42,0))-(INDEX('Device Refrigerant Leakage'!$D$2:$D$42,MATCH($M781,'Device Refrigerant Leakage'!$B$2:$B$42,0)))*CR781*CP781)*CQ781/2204.62*CO781,"")</f>
        <v/>
      </c>
      <c r="CU781" s="135" t="str">
        <f>IF($I781&lt;&gt;"",J781*IF(W781&lt;&gt;"AR",(CS781*K781)+CT781,(CS781*AB781)+CT781*(AB781/INDEX('Device Refrigerant Leakage'!$C$2:$C$42,MATCH($M781,'Device Refrigerant Leakage'!$B$2:$B$42,0)))),"")</f>
        <v/>
      </c>
      <c r="CW781" s="135" t="str">
        <f>IF($I781&lt;&gt;"",IF(S781="User Specified",V781,INDEX('Refrigerant GWPs'!$G$2:$G$156,MATCH(S781,'Refrigerant GWPs'!$A$2:$A$157,0))),"")</f>
        <v/>
      </c>
      <c r="CX781" s="138" t="str">
        <f>IF($I781&lt;&gt;"",INDEX('Device Refrigerant Leakage'!$E$2:$E$42,MATCH($Q781,'Device Refrigerant Leakage'!$B$2:$B$42,0)),"")</f>
        <v/>
      </c>
      <c r="CY781" s="138" t="str">
        <f>IF($I781&lt;&gt;"",INDEX('Device Refrigerant Leakage'!$F$2:$F$42,MATCH($Q781,'Device Refrigerant Leakage'!$B$2:$B$42,0)),"")</f>
        <v/>
      </c>
      <c r="CZ781" s="145" t="str">
        <f>IF($I781&lt;&gt;"",INDEX('Device Refrigerant Leakage'!$G$2:$G$42,MATCH($Q781,'Device Refrigerant Leakage'!$B$2:$B$42,0)),"")</f>
        <v/>
      </c>
      <c r="DA781" s="145" t="str">
        <f>IF($I781&lt;&gt;"",J781*INDEX('Device Refrigerant Leakage'!$D$2:$D$42,MATCH($Q781,'Device Refrigerant Leakage'!$B$2:$B$42,0))*CX781/2204.62*CW781,"")</f>
        <v/>
      </c>
      <c r="DB781" s="145" t="str">
        <f>IF($I781&lt;&gt;"",J781*(INDEX('Device Refrigerant Leakage'!$D$2:$D$42,MATCH($Q781,'Device Refrigerant Leakage'!$B$2:$B$42,0))-(INDEX('Device Refrigerant Leakage'!$D$2:$D$42,MATCH($Q781,'Device Refrigerant Leakage'!$B$2:$B$42,0)))*CZ781*CX781)*CY781/2204.62*CW781,"")</f>
        <v/>
      </c>
      <c r="DC781" s="135" t="str">
        <f t="shared" si="892"/>
        <v/>
      </c>
      <c r="DE781" s="146" t="str">
        <f>IF(W781&lt;&gt;"AR","",IF(Y781="User Specified", AA781, INDEX('Refrigerant GWPs'!$G$2:$G$154,MATCH(Y781,'Refrigerant GWPs'!$A$2:$A$154,0))))</f>
        <v/>
      </c>
      <c r="DF781" s="146" t="str">
        <f>IF(W781&lt;&gt;"AR","",INDEX('Device Refrigerant Leakage'!$E$2:$E$42,MATCH(X781,'Device Refrigerant Leakage'!$B$2:$B$42,0)))</f>
        <v/>
      </c>
      <c r="DG781" s="146" t="str">
        <f>IF(W781&lt;&gt;"AR","",INDEX('Device Refrigerant Leakage'!$F$2:$F$42,MATCH(X781,'Device Refrigerant Leakage'!$B$2:$B$42,0)))</f>
        <v/>
      </c>
      <c r="DH781" s="146" t="str">
        <f>IF(W781&lt;&gt;"AR","",INDEX('Device Refrigerant Leakage'!$G$2:$G$42,MATCH(X781,'Device Refrigerant Leakage'!$B$2:$B$42,0)))</f>
        <v/>
      </c>
      <c r="DI781" s="146" t="str">
        <f>IF(W781&lt;&gt;"AR","",J781*INDEX('Device Refrigerant Leakage'!$D$2:$D$42,MATCH(X781,'Device Refrigerant Leakage'!$B$2:$B$42,0))*DF781/2204.62*DE781)</f>
        <v/>
      </c>
      <c r="DJ781" s="146" t="str">
        <f>IF(W781&lt;&gt;"AR","",J781*(INDEX('Device Refrigerant Leakage'!$D$2:$D$42,MATCH(X781,'Device Refrigerant Leakage'!$B$2:$B$42,0))-(INDEX('Device Refrigerant Leakage'!$D$2:$D$42,MATCH(X781,'Device Refrigerant Leakage'!$B$2:$B$42,0)))*DH781*DF781)*DG781/2204.62*DE781)</f>
        <v/>
      </c>
      <c r="DK781" s="146" t="str">
        <f>IF(W781&lt;&gt;"AR","",DI781*(K781-AB781)+'Fuel Sub Calcs-Deemed'!DJ781*((K781-AB781)/INDEX('Device Refrigerant Leakage'!$C$2:$C$42,MATCH('Fuel Sub Calcs-Deemed'!X781,'Device Refrigerant Leakage'!$B$2:$B$42,0))))</f>
        <v/>
      </c>
      <c r="DM781" s="56">
        <v>767</v>
      </c>
      <c r="DN781" s="67" t="e">
        <f t="shared" si="874"/>
        <v>#N/A</v>
      </c>
      <c r="DO781" s="45" t="e">
        <f t="shared" si="875"/>
        <v>#N/A</v>
      </c>
      <c r="DP781" s="67" t="e">
        <f t="shared" si="876"/>
        <v>#N/A</v>
      </c>
      <c r="DQ781" s="45" t="e">
        <f t="shared" si="877"/>
        <v>#N/A</v>
      </c>
      <c r="DR781" s="69" t="e">
        <f t="shared" si="878"/>
        <v>#N/A</v>
      </c>
      <c r="DS781" s="34"/>
      <c r="DT781" s="67" t="e">
        <f>((BX781*CJ781)+IF($W781=MAT_AR,(BZ781*CL781),0))*(1+Reference!$E$50+Reference!$E$51)</f>
        <v>#N/A</v>
      </c>
      <c r="DU781" s="67">
        <f>((BY781*CK781)+IF($W781=MAT_AR,(CA781*CM781),0))*(1+Reference!$G$50+Reference!$G$51)</f>
        <v>0</v>
      </c>
      <c r="DV781" s="67" t="e">
        <f t="shared" si="879"/>
        <v>#VALUE!</v>
      </c>
      <c r="DX781" s="56">
        <v>767</v>
      </c>
      <c r="DY781" s="67">
        <f t="shared" si="880"/>
        <v>0</v>
      </c>
      <c r="DZ781" s="45" t="e">
        <f>VLOOKUP($R781,Dropdown!$C$3:$D$4,2,FALSE)</f>
        <v>#N/A</v>
      </c>
      <c r="EA781" s="68">
        <f t="shared" si="881"/>
        <v>0</v>
      </c>
      <c r="EB781" s="68" t="str">
        <f t="shared" si="882"/>
        <v>N/A</v>
      </c>
      <c r="EC781" s="68">
        <f t="shared" si="883"/>
        <v>0</v>
      </c>
      <c r="ED781" s="68" t="str">
        <f t="shared" si="921"/>
        <v>N/A</v>
      </c>
      <c r="EF781" s="56">
        <v>767</v>
      </c>
      <c r="EG781" s="46">
        <f t="shared" si="884"/>
        <v>0</v>
      </c>
      <c r="EH781" s="68" t="e">
        <f t="shared" si="885"/>
        <v>#N/A</v>
      </c>
      <c r="EI781" s="68" t="e">
        <f t="shared" si="886"/>
        <v>#N/A</v>
      </c>
      <c r="EJ781" s="68" t="e">
        <f t="shared" si="887"/>
        <v>#N/A</v>
      </c>
      <c r="EK781" s="68" t="e">
        <f t="shared" si="888"/>
        <v>#N/A</v>
      </c>
      <c r="EL781" s="46">
        <f t="shared" si="889"/>
        <v>0</v>
      </c>
      <c r="EM781" s="46">
        <f t="shared" si="890"/>
        <v>0</v>
      </c>
    </row>
    <row r="782" spans="1:143">
      <c r="A782" s="89"/>
      <c r="B782" s="89"/>
      <c r="C782" s="89"/>
      <c r="D782" s="89"/>
      <c r="E782" s="89"/>
      <c r="F782" s="89"/>
      <c r="G782" s="34"/>
      <c r="H782" s="56">
        <f t="shared" si="891"/>
        <v>768</v>
      </c>
      <c r="I782" s="165"/>
      <c r="J782" s="163"/>
      <c r="K782" s="163"/>
      <c r="L782" s="164"/>
      <c r="M782" s="155"/>
      <c r="N782" s="155"/>
      <c r="O782" s="144"/>
      <c r="P782" s="159" t="str">
        <f>IFERROR(IF(O782&lt;&gt;"User Specified",IF(O782&lt;&gt;"", INDEX('Refrigerant GWPs'!$G$2:$G$154,MATCH(O782,'Refrigerant GWPs'!$A$2:$A$154,0)),""),U782),0)</f>
        <v/>
      </c>
      <c r="Q782" s="155"/>
      <c r="R782" s="155"/>
      <c r="S782" s="144"/>
      <c r="T782" s="159" t="str">
        <f>IF(S782&lt;&gt;"User Specified",IF(AND(S782&lt;&gt;"User Specified",S782&lt;&gt;""), INDEX('Refrigerant GWPs'!$G$2:$G$154,MATCH(S782,'Refrigerant GWPs'!$A$2:$A$154,0)),""),V782)</f>
        <v/>
      </c>
      <c r="U782" s="144"/>
      <c r="V782" s="144"/>
      <c r="W782" s="155"/>
      <c r="X782" s="155"/>
      <c r="Y782" s="144"/>
      <c r="Z782" s="159" t="str">
        <f>IF(AND(Y782&lt;&gt;"User Specified",Y782&lt;&gt;""), INDEX('Refrigerant GWPs'!$G$2:$G$154,MATCH(Y782,'Refrigerant GWPs'!$A$2:$A$154,0)),"")</f>
        <v/>
      </c>
      <c r="AA782" s="155"/>
      <c r="AB782" s="156"/>
      <c r="AC782" s="66"/>
      <c r="AD782" s="66"/>
      <c r="AE782" s="66"/>
      <c r="AF782" s="66"/>
      <c r="AG782" s="66"/>
      <c r="AH782" s="66"/>
      <c r="AI782" s="34"/>
      <c r="AJ782" s="88">
        <f t="shared" si="854"/>
        <v>0</v>
      </c>
      <c r="AK782" s="88">
        <f t="shared" si="855"/>
        <v>0</v>
      </c>
      <c r="AL782" s="88">
        <v>0</v>
      </c>
      <c r="AM782" s="88">
        <v>0</v>
      </c>
      <c r="AN782" s="81" t="str">
        <f t="shared" si="893"/>
        <v/>
      </c>
      <c r="AO782" s="88">
        <f t="shared" si="856"/>
        <v>0</v>
      </c>
      <c r="AP782" s="88">
        <f t="shared" si="857"/>
        <v>0</v>
      </c>
      <c r="AQ782" s="81" t="str">
        <f t="shared" si="858"/>
        <v/>
      </c>
      <c r="AS782" s="41" t="b">
        <f t="shared" si="859"/>
        <v>1</v>
      </c>
      <c r="AT782" s="38">
        <f t="shared" si="860"/>
        <v>0</v>
      </c>
      <c r="AU782" s="60">
        <f t="shared" si="861"/>
        <v>0</v>
      </c>
      <c r="AV782" s="41">
        <f t="shared" si="862"/>
        <v>0</v>
      </c>
      <c r="AW782" s="41" t="b">
        <f t="shared" si="863"/>
        <v>0</v>
      </c>
      <c r="AX782" t="str">
        <f t="shared" si="864"/>
        <v>+00</v>
      </c>
      <c r="AY782" t="str">
        <f t="shared" si="865"/>
        <v>+00</v>
      </c>
      <c r="BA782" s="47" t="b">
        <f t="shared" si="894"/>
        <v>1</v>
      </c>
      <c r="BB782" s="42" t="b">
        <f t="shared" si="895"/>
        <v>1</v>
      </c>
      <c r="BC782" s="42" t="b">
        <f t="shared" si="896"/>
        <v>0</v>
      </c>
      <c r="BD782" s="42" t="b">
        <f t="shared" si="897"/>
        <v>0</v>
      </c>
      <c r="BE782" s="70">
        <f t="shared" si="898"/>
        <v>0</v>
      </c>
      <c r="BF782" s="70">
        <f t="shared" si="899"/>
        <v>0</v>
      </c>
      <c r="BG782" s="34"/>
      <c r="BI782" s="47" t="b">
        <f t="shared" si="900"/>
        <v>1</v>
      </c>
      <c r="BJ782" s="47" t="b">
        <f t="shared" si="901"/>
        <v>1</v>
      </c>
      <c r="BK782" s="42" t="b">
        <f t="shared" si="902"/>
        <v>0</v>
      </c>
      <c r="BL782" s="42" t="b">
        <f t="shared" si="903"/>
        <v>0</v>
      </c>
      <c r="BM782" s="42">
        <f t="shared" si="904"/>
        <v>0</v>
      </c>
      <c r="BN782" s="42">
        <f t="shared" si="905"/>
        <v>0</v>
      </c>
      <c r="BP782" t="e">
        <f t="shared" si="906"/>
        <v>#N/A</v>
      </c>
      <c r="BQ782" t="e">
        <f t="shared" si="907"/>
        <v>#N/A</v>
      </c>
      <c r="BR782" t="e">
        <f t="shared" si="908"/>
        <v>#N/A</v>
      </c>
      <c r="BT782" s="60">
        <f t="shared" si="909"/>
        <v>0</v>
      </c>
      <c r="BU782" s="60">
        <f t="shared" si="910"/>
        <v>0</v>
      </c>
      <c r="BV782" s="60">
        <f t="shared" si="911"/>
        <v>0</v>
      </c>
      <c r="BW782" s="60">
        <f t="shared" si="912"/>
        <v>0</v>
      </c>
      <c r="BX782" s="60">
        <f t="shared" si="913"/>
        <v>0</v>
      </c>
      <c r="BY782" s="60">
        <f t="shared" si="914"/>
        <v>0</v>
      </c>
      <c r="BZ782" s="60">
        <f t="shared" si="915"/>
        <v>0</v>
      </c>
      <c r="CA782" s="60">
        <f t="shared" si="916"/>
        <v>0</v>
      </c>
      <c r="CB782" s="60" t="e">
        <f t="shared" si="866"/>
        <v>#N/A</v>
      </c>
      <c r="CC782" s="60">
        <f t="shared" si="867"/>
        <v>100000</v>
      </c>
      <c r="CD782" s="60" t="e">
        <f t="shared" si="868"/>
        <v>#N/A</v>
      </c>
      <c r="CE782" s="60">
        <f t="shared" si="869"/>
        <v>100000</v>
      </c>
      <c r="CF782" s="83" t="e">
        <f t="shared" si="917"/>
        <v>#N/A</v>
      </c>
      <c r="CG782" s="83">
        <f t="shared" si="918"/>
        <v>0</v>
      </c>
      <c r="CH782" s="83" t="e">
        <f t="shared" si="919"/>
        <v>#N/A</v>
      </c>
      <c r="CI782" s="83">
        <f t="shared" si="920"/>
        <v>0</v>
      </c>
      <c r="CJ782" s="86" t="e">
        <f t="shared" si="870"/>
        <v>#N/A</v>
      </c>
      <c r="CK782" s="82">
        <f t="shared" si="871"/>
        <v>5.3070370403969858E-3</v>
      </c>
      <c r="CL782" s="82" t="e">
        <f t="shared" si="872"/>
        <v>#N/A</v>
      </c>
      <c r="CM782" s="82">
        <f t="shared" si="873"/>
        <v>5.3070370403969858E-3</v>
      </c>
      <c r="CO782" s="149" t="str">
        <f>IF($I782&lt;&gt;"",IF(O782="User Specified",U782,INDEX('Refrigerant GWPs'!$G$2:$G$156,MATCH(O782,'Refrigerant GWPs'!$A$2:$A$156,0))),"")</f>
        <v/>
      </c>
      <c r="CP782" s="138" t="str">
        <f>IF($I782&lt;&gt;"",INDEX('Device Refrigerant Leakage'!$E$2:$E$42,MATCH($M782,'Device Refrigerant Leakage'!$B$2:$B$42,0)),"")</f>
        <v/>
      </c>
      <c r="CQ782" s="138" t="str">
        <f>IF($I782&lt;&gt;"",INDEX('Device Refrigerant Leakage'!$F$2:$F$42,MATCH($M782,'Device Refrigerant Leakage'!$B$2:$B$42,0)),"")</f>
        <v/>
      </c>
      <c r="CR782" s="145" t="str">
        <f>IF($I782&lt;&gt;"",INDEX('Device Refrigerant Leakage'!$G$2:$G$42,MATCH($M782,'Device Refrigerant Leakage'!$B$2:$B$42,0)),"")</f>
        <v/>
      </c>
      <c r="CS782" s="145" t="str">
        <f>IF($I782&lt;&gt;"",INDEX('Device Refrigerant Leakage'!$D$2:$D$42,MATCH($M782,'Device Refrigerant Leakage'!$B$2:$B$42,0))*CP782/2204.62*CO782,"")</f>
        <v/>
      </c>
      <c r="CT782" s="145" t="str">
        <f>IF($I782&lt;&gt;"",J782*(INDEX('Device Refrigerant Leakage'!$D$2:$D$42,MATCH($M782,'Device Refrigerant Leakage'!$B$2:$B$42,0))-(INDEX('Device Refrigerant Leakage'!$D$2:$D$42,MATCH($M782,'Device Refrigerant Leakage'!$B$2:$B$42,0)))*CR782*CP782)*CQ782/2204.62*CO782,"")</f>
        <v/>
      </c>
      <c r="CU782" s="135" t="str">
        <f>IF($I782&lt;&gt;"",J782*IF(W782&lt;&gt;"AR",(CS782*K782)+CT782,(CS782*AB782)+CT782*(AB782/INDEX('Device Refrigerant Leakage'!$C$2:$C$42,MATCH($M782,'Device Refrigerant Leakage'!$B$2:$B$42,0)))),"")</f>
        <v/>
      </c>
      <c r="CW782" s="135" t="str">
        <f>IF($I782&lt;&gt;"",IF(S782="User Specified",V782,INDEX('Refrigerant GWPs'!$G$2:$G$156,MATCH(S782,'Refrigerant GWPs'!$A$2:$A$157,0))),"")</f>
        <v/>
      </c>
      <c r="CX782" s="138" t="str">
        <f>IF($I782&lt;&gt;"",INDEX('Device Refrigerant Leakage'!$E$2:$E$42,MATCH($Q782,'Device Refrigerant Leakage'!$B$2:$B$42,0)),"")</f>
        <v/>
      </c>
      <c r="CY782" s="138" t="str">
        <f>IF($I782&lt;&gt;"",INDEX('Device Refrigerant Leakage'!$F$2:$F$42,MATCH($Q782,'Device Refrigerant Leakage'!$B$2:$B$42,0)),"")</f>
        <v/>
      </c>
      <c r="CZ782" s="145" t="str">
        <f>IF($I782&lt;&gt;"",INDEX('Device Refrigerant Leakage'!$G$2:$G$42,MATCH($Q782,'Device Refrigerant Leakage'!$B$2:$B$42,0)),"")</f>
        <v/>
      </c>
      <c r="DA782" s="145" t="str">
        <f>IF($I782&lt;&gt;"",J782*INDEX('Device Refrigerant Leakage'!$D$2:$D$42,MATCH($Q782,'Device Refrigerant Leakage'!$B$2:$B$42,0))*CX782/2204.62*CW782,"")</f>
        <v/>
      </c>
      <c r="DB782" s="145" t="str">
        <f>IF($I782&lt;&gt;"",J782*(INDEX('Device Refrigerant Leakage'!$D$2:$D$42,MATCH($Q782,'Device Refrigerant Leakage'!$B$2:$B$42,0))-(INDEX('Device Refrigerant Leakage'!$D$2:$D$42,MATCH($Q782,'Device Refrigerant Leakage'!$B$2:$B$42,0)))*CZ782*CX782)*CY782/2204.62*CW782,"")</f>
        <v/>
      </c>
      <c r="DC782" s="135" t="str">
        <f t="shared" si="892"/>
        <v/>
      </c>
      <c r="DE782" s="146" t="str">
        <f>IF(W782&lt;&gt;"AR","",IF(Y782="User Specified", AA782, INDEX('Refrigerant GWPs'!$G$2:$G$154,MATCH(Y782,'Refrigerant GWPs'!$A$2:$A$154,0))))</f>
        <v/>
      </c>
      <c r="DF782" s="146" t="str">
        <f>IF(W782&lt;&gt;"AR","",INDEX('Device Refrigerant Leakage'!$E$2:$E$42,MATCH(X782,'Device Refrigerant Leakage'!$B$2:$B$42,0)))</f>
        <v/>
      </c>
      <c r="DG782" s="146" t="str">
        <f>IF(W782&lt;&gt;"AR","",INDEX('Device Refrigerant Leakage'!$F$2:$F$42,MATCH(X782,'Device Refrigerant Leakage'!$B$2:$B$42,0)))</f>
        <v/>
      </c>
      <c r="DH782" s="146" t="str">
        <f>IF(W782&lt;&gt;"AR","",INDEX('Device Refrigerant Leakage'!$G$2:$G$42,MATCH(X782,'Device Refrigerant Leakage'!$B$2:$B$42,0)))</f>
        <v/>
      </c>
      <c r="DI782" s="146" t="str">
        <f>IF(W782&lt;&gt;"AR","",J782*INDEX('Device Refrigerant Leakage'!$D$2:$D$42,MATCH(X782,'Device Refrigerant Leakage'!$B$2:$B$42,0))*DF782/2204.62*DE782)</f>
        <v/>
      </c>
      <c r="DJ782" s="146" t="str">
        <f>IF(W782&lt;&gt;"AR","",J782*(INDEX('Device Refrigerant Leakage'!$D$2:$D$42,MATCH(X782,'Device Refrigerant Leakage'!$B$2:$B$42,0))-(INDEX('Device Refrigerant Leakage'!$D$2:$D$42,MATCH(X782,'Device Refrigerant Leakage'!$B$2:$B$42,0)))*DH782*DF782)*DG782/2204.62*DE782)</f>
        <v/>
      </c>
      <c r="DK782" s="146" t="str">
        <f>IF(W782&lt;&gt;"AR","",DI782*(K782-AB782)+'Fuel Sub Calcs-Deemed'!DJ782*((K782-AB782)/INDEX('Device Refrigerant Leakage'!$C$2:$C$42,MATCH('Fuel Sub Calcs-Deemed'!X782,'Device Refrigerant Leakage'!$B$2:$B$42,0))))</f>
        <v/>
      </c>
      <c r="DM782" s="56">
        <v>768</v>
      </c>
      <c r="DN782" s="67" t="e">
        <f t="shared" si="874"/>
        <v>#N/A</v>
      </c>
      <c r="DO782" s="45" t="e">
        <f t="shared" si="875"/>
        <v>#N/A</v>
      </c>
      <c r="DP782" s="67" t="e">
        <f t="shared" si="876"/>
        <v>#N/A</v>
      </c>
      <c r="DQ782" s="45" t="e">
        <f t="shared" si="877"/>
        <v>#N/A</v>
      </c>
      <c r="DR782" s="69" t="e">
        <f t="shared" si="878"/>
        <v>#N/A</v>
      </c>
      <c r="DS782" s="34"/>
      <c r="DT782" s="67" t="e">
        <f>((BX782*CJ782)+IF($W782=MAT_AR,(BZ782*CL782),0))*(1+Reference!$E$50+Reference!$E$51)</f>
        <v>#N/A</v>
      </c>
      <c r="DU782" s="67">
        <f>((BY782*CK782)+IF($W782=MAT_AR,(CA782*CM782),0))*(1+Reference!$G$50+Reference!$G$51)</f>
        <v>0</v>
      </c>
      <c r="DV782" s="67" t="e">
        <f t="shared" si="879"/>
        <v>#VALUE!</v>
      </c>
      <c r="DX782" s="56">
        <v>768</v>
      </c>
      <c r="DY782" s="67">
        <f t="shared" si="880"/>
        <v>0</v>
      </c>
      <c r="DZ782" s="45" t="e">
        <f>VLOOKUP($R782,Dropdown!$C$3:$D$4,2,FALSE)</f>
        <v>#N/A</v>
      </c>
      <c r="EA782" s="68">
        <f t="shared" si="881"/>
        <v>0</v>
      </c>
      <c r="EB782" s="68" t="str">
        <f t="shared" si="882"/>
        <v>N/A</v>
      </c>
      <c r="EC782" s="68">
        <f t="shared" si="883"/>
        <v>0</v>
      </c>
      <c r="ED782" s="68" t="str">
        <f t="shared" si="921"/>
        <v>N/A</v>
      </c>
      <c r="EF782" s="56">
        <v>768</v>
      </c>
      <c r="EG782" s="46">
        <f t="shared" si="884"/>
        <v>0</v>
      </c>
      <c r="EH782" s="68" t="e">
        <f t="shared" si="885"/>
        <v>#N/A</v>
      </c>
      <c r="EI782" s="68" t="e">
        <f t="shared" si="886"/>
        <v>#N/A</v>
      </c>
      <c r="EJ782" s="68" t="e">
        <f t="shared" si="887"/>
        <v>#N/A</v>
      </c>
      <c r="EK782" s="68" t="e">
        <f t="shared" si="888"/>
        <v>#N/A</v>
      </c>
      <c r="EL782" s="46">
        <f t="shared" si="889"/>
        <v>0</v>
      </c>
      <c r="EM782" s="46">
        <f t="shared" si="890"/>
        <v>0</v>
      </c>
    </row>
    <row r="783" spans="1:143">
      <c r="A783" s="89"/>
      <c r="B783" s="89"/>
      <c r="C783" s="89"/>
      <c r="D783" s="89"/>
      <c r="E783" s="89"/>
      <c r="F783" s="89"/>
      <c r="G783" s="34"/>
      <c r="H783" s="56">
        <f t="shared" si="891"/>
        <v>769</v>
      </c>
      <c r="I783" s="165"/>
      <c r="J783" s="163"/>
      <c r="K783" s="163"/>
      <c r="L783" s="164"/>
      <c r="M783" s="155"/>
      <c r="N783" s="155"/>
      <c r="O783" s="144"/>
      <c r="P783" s="159" t="str">
        <f>IFERROR(IF(O783&lt;&gt;"User Specified",IF(O783&lt;&gt;"", INDEX('Refrigerant GWPs'!$G$2:$G$154,MATCH(O783,'Refrigerant GWPs'!$A$2:$A$154,0)),""),U783),0)</f>
        <v/>
      </c>
      <c r="Q783" s="155"/>
      <c r="R783" s="155"/>
      <c r="S783" s="144"/>
      <c r="T783" s="159" t="str">
        <f>IF(S783&lt;&gt;"User Specified",IF(AND(S783&lt;&gt;"User Specified",S783&lt;&gt;""), INDEX('Refrigerant GWPs'!$G$2:$G$154,MATCH(S783,'Refrigerant GWPs'!$A$2:$A$154,0)),""),V783)</f>
        <v/>
      </c>
      <c r="U783" s="144"/>
      <c r="V783" s="144"/>
      <c r="W783" s="155"/>
      <c r="X783" s="155"/>
      <c r="Y783" s="144"/>
      <c r="Z783" s="159" t="str">
        <f>IF(AND(Y783&lt;&gt;"User Specified",Y783&lt;&gt;""), INDEX('Refrigerant GWPs'!$G$2:$G$154,MATCH(Y783,'Refrigerant GWPs'!$A$2:$A$154,0)),"")</f>
        <v/>
      </c>
      <c r="AA783" s="155"/>
      <c r="AB783" s="156"/>
      <c r="AC783" s="66"/>
      <c r="AD783" s="66"/>
      <c r="AE783" s="66"/>
      <c r="AF783" s="66"/>
      <c r="AG783" s="66"/>
      <c r="AH783" s="66"/>
      <c r="AI783" s="34"/>
      <c r="AJ783" s="88">
        <f t="shared" ref="AJ783:AJ846" si="922">IF($W783=MAT_AR,AC783,AF783)</f>
        <v>0</v>
      </c>
      <c r="AK783" s="88">
        <f t="shared" ref="AK783:AK846" si="923">IF($W783=MAT_AR,AE783,AH783)</f>
        <v>0</v>
      </c>
      <c r="AL783" s="88">
        <v>0</v>
      </c>
      <c r="AM783" s="88">
        <v>0</v>
      </c>
      <c r="AN783" s="81" t="str">
        <f t="shared" si="893"/>
        <v/>
      </c>
      <c r="AO783" s="88">
        <f t="shared" ref="AO783:AO846" si="924">IF($W783=MAT_AR,AF783,0)</f>
        <v>0</v>
      </c>
      <c r="AP783" s="88">
        <f t="shared" ref="AP783:AP846" si="925">IF($W783=MAT_AR,AH783,0)</f>
        <v>0</v>
      </c>
      <c r="AQ783" s="81" t="str">
        <f t="shared" ref="AQ783:AQ846" si="926">IF(AND(W783=MAT_AR,OR(BK783:BL783)),"Warning: Need to enter baseline and measure consumption","")</f>
        <v/>
      </c>
      <c r="AS783" s="41" t="b">
        <f t="shared" ref="AS783:AS846" si="927">NOT(W783=MAT_AR)</f>
        <v>1</v>
      </c>
      <c r="AT783" s="38">
        <f t="shared" ref="AT783:AT846" si="928">IF(W783=MAT_AR,AB783,K783)</f>
        <v>0</v>
      </c>
      <c r="AU783" s="60">
        <f t="shared" ref="AU783:AU846" si="929">K783-AT783</f>
        <v>0</v>
      </c>
      <c r="AV783" s="41">
        <f t="shared" ref="AV783:AV846" si="930">IF(W783=MAT_AR,AB783,0)</f>
        <v>0</v>
      </c>
      <c r="AW783" s="41" t="b">
        <f t="shared" ref="AW783:AW846" si="931">AND(NOT(ISBLANK(I783)),NOT(ISBLANK(J783)),NOT(ISBLANK(K783)),NOT(ISBLANK(L783)),NOT(ISBLANK(N783)),NOT(ISBLANK(R783)),NOT(OR(BC783:BD783)),NOT(ISBLANK(W783)))</f>
        <v>0</v>
      </c>
      <c r="AX783" t="str">
        <f t="shared" ref="AX783:AX846" si="932">$L783&amp;"+"&amp;TEXT(ROUND($AT783,0),"00")</f>
        <v>+00</v>
      </c>
      <c r="AY783" t="str">
        <f t="shared" ref="AY783:AY846" si="933">TEXT(ROUND($L783+$AT783,0),"#")&amp;"+"&amp;TEXT(ROUND($AU783,0),"00")</f>
        <v>+00</v>
      </c>
      <c r="BA783" s="47" t="b">
        <f t="shared" si="894"/>
        <v>1</v>
      </c>
      <c r="BB783" s="42" t="b">
        <f t="shared" si="895"/>
        <v>1</v>
      </c>
      <c r="BC783" s="42" t="b">
        <f t="shared" si="896"/>
        <v>0</v>
      </c>
      <c r="BD783" s="42" t="b">
        <f t="shared" si="897"/>
        <v>0</v>
      </c>
      <c r="BE783" s="70">
        <f t="shared" si="898"/>
        <v>0</v>
      </c>
      <c r="BF783" s="70">
        <f t="shared" si="899"/>
        <v>0</v>
      </c>
      <c r="BG783" s="34"/>
      <c r="BI783" s="47" t="b">
        <f t="shared" si="900"/>
        <v>1</v>
      </c>
      <c r="BJ783" s="47" t="b">
        <f t="shared" si="901"/>
        <v>1</v>
      </c>
      <c r="BK783" s="42" t="b">
        <f t="shared" si="902"/>
        <v>0</v>
      </c>
      <c r="BL783" s="42" t="b">
        <f t="shared" si="903"/>
        <v>0</v>
      </c>
      <c r="BM783" s="42">
        <f t="shared" si="904"/>
        <v>0</v>
      </c>
      <c r="BN783" s="42">
        <f t="shared" si="905"/>
        <v>0</v>
      </c>
      <c r="BP783" t="e">
        <f t="shared" si="906"/>
        <v>#N/A</v>
      </c>
      <c r="BQ783" t="e">
        <f t="shared" si="907"/>
        <v>#N/A</v>
      </c>
      <c r="BR783" t="e">
        <f t="shared" si="908"/>
        <v>#N/A</v>
      </c>
      <c r="BT783" s="60">
        <f t="shared" si="909"/>
        <v>0</v>
      </c>
      <c r="BU783" s="60">
        <f t="shared" si="910"/>
        <v>0</v>
      </c>
      <c r="BV783" s="60">
        <f t="shared" si="911"/>
        <v>0</v>
      </c>
      <c r="BW783" s="60">
        <f t="shared" si="912"/>
        <v>0</v>
      </c>
      <c r="BX783" s="60">
        <f t="shared" si="913"/>
        <v>0</v>
      </c>
      <c r="BY783" s="60">
        <f t="shared" si="914"/>
        <v>0</v>
      </c>
      <c r="BZ783" s="60">
        <f t="shared" si="915"/>
        <v>0</v>
      </c>
      <c r="CA783" s="60">
        <f t="shared" si="916"/>
        <v>0</v>
      </c>
      <c r="CB783" s="60" t="e">
        <f t="shared" ref="CB783:CB846" si="934">INDEX(AFL_Source_Energy_Btu_per_kWh,MATCH($AX783,AFL_IndexB,0))</f>
        <v>#N/A</v>
      </c>
      <c r="CC783" s="60">
        <f t="shared" ref="CC783:CC846" si="935">Btu_therm</f>
        <v>100000</v>
      </c>
      <c r="CD783" s="60" t="e">
        <f t="shared" ref="CD783:CD846" si="936">INDEX(AFL_Source_Energy_Btu_per_kWh,MATCH($AY783,AFL_IndexB,0))</f>
        <v>#N/A</v>
      </c>
      <c r="CE783" s="60">
        <f t="shared" ref="CE783:CE846" si="937">Btu_therm</f>
        <v>100000</v>
      </c>
      <c r="CF783" s="83" t="e">
        <f t="shared" si="917"/>
        <v>#N/A</v>
      </c>
      <c r="CG783" s="83">
        <f t="shared" si="918"/>
        <v>0</v>
      </c>
      <c r="CH783" s="83" t="e">
        <f t="shared" si="919"/>
        <v>#N/A</v>
      </c>
      <c r="CI783" s="83">
        <f t="shared" si="920"/>
        <v>0</v>
      </c>
      <c r="CJ783" s="86" t="e">
        <f t="shared" ref="CJ783:CJ846" si="938">INDEX(AFL_Emissions_Intensity_metric_tonnes_per_MWh,MATCH($AX783,AFL_IndexB,0))/1000</f>
        <v>#N/A</v>
      </c>
      <c r="CK783" s="82">
        <f t="shared" ref="CK783:CK846" si="939">NG_metric_tonne_CO2_therm</f>
        <v>5.3070370403969858E-3</v>
      </c>
      <c r="CL783" s="82" t="e">
        <f t="shared" ref="CL783:CL846" si="940">INDEX(AFL_Emissions_Intensity_metric_tonnes_per_MWh,MATCH($AY783,AFL_IndexB,0))/1000</f>
        <v>#N/A</v>
      </c>
      <c r="CM783" s="82">
        <f t="shared" ref="CM783:CM846" si="941">NG_metric_tonne_CO2_therm</f>
        <v>5.3070370403969858E-3</v>
      </c>
      <c r="CO783" s="149" t="str">
        <f>IF($I783&lt;&gt;"",IF(O783="User Specified",U783,INDEX('Refrigerant GWPs'!$G$2:$G$156,MATCH(O783,'Refrigerant GWPs'!$A$2:$A$156,0))),"")</f>
        <v/>
      </c>
      <c r="CP783" s="138" t="str">
        <f>IF($I783&lt;&gt;"",INDEX('Device Refrigerant Leakage'!$E$2:$E$42,MATCH($M783,'Device Refrigerant Leakage'!$B$2:$B$42,0)),"")</f>
        <v/>
      </c>
      <c r="CQ783" s="138" t="str">
        <f>IF($I783&lt;&gt;"",INDEX('Device Refrigerant Leakage'!$F$2:$F$42,MATCH($M783,'Device Refrigerant Leakage'!$B$2:$B$42,0)),"")</f>
        <v/>
      </c>
      <c r="CR783" s="145" t="str">
        <f>IF($I783&lt;&gt;"",INDEX('Device Refrigerant Leakage'!$G$2:$G$42,MATCH($M783,'Device Refrigerant Leakage'!$B$2:$B$42,0)),"")</f>
        <v/>
      </c>
      <c r="CS783" s="145" t="str">
        <f>IF($I783&lt;&gt;"",INDEX('Device Refrigerant Leakage'!$D$2:$D$42,MATCH($M783,'Device Refrigerant Leakage'!$B$2:$B$42,0))*CP783/2204.62*CO783,"")</f>
        <v/>
      </c>
      <c r="CT783" s="145" t="str">
        <f>IF($I783&lt;&gt;"",J783*(INDEX('Device Refrigerant Leakage'!$D$2:$D$42,MATCH($M783,'Device Refrigerant Leakage'!$B$2:$B$42,0))-(INDEX('Device Refrigerant Leakage'!$D$2:$D$42,MATCH($M783,'Device Refrigerant Leakage'!$B$2:$B$42,0)))*CR783*CP783)*CQ783/2204.62*CO783,"")</f>
        <v/>
      </c>
      <c r="CU783" s="135" t="str">
        <f>IF($I783&lt;&gt;"",J783*IF(W783&lt;&gt;"AR",(CS783*K783)+CT783,(CS783*AB783)+CT783*(AB783/INDEX('Device Refrigerant Leakage'!$C$2:$C$42,MATCH($M783,'Device Refrigerant Leakage'!$B$2:$B$42,0)))),"")</f>
        <v/>
      </c>
      <c r="CW783" s="135" t="str">
        <f>IF($I783&lt;&gt;"",IF(S783="User Specified",V783,INDEX('Refrigerant GWPs'!$G$2:$G$156,MATCH(S783,'Refrigerant GWPs'!$A$2:$A$157,0))),"")</f>
        <v/>
      </c>
      <c r="CX783" s="138" t="str">
        <f>IF($I783&lt;&gt;"",INDEX('Device Refrigerant Leakage'!$E$2:$E$42,MATCH($Q783,'Device Refrigerant Leakage'!$B$2:$B$42,0)),"")</f>
        <v/>
      </c>
      <c r="CY783" s="138" t="str">
        <f>IF($I783&lt;&gt;"",INDEX('Device Refrigerant Leakage'!$F$2:$F$42,MATCH($Q783,'Device Refrigerant Leakage'!$B$2:$B$42,0)),"")</f>
        <v/>
      </c>
      <c r="CZ783" s="145" t="str">
        <f>IF($I783&lt;&gt;"",INDEX('Device Refrigerant Leakage'!$G$2:$G$42,MATCH($Q783,'Device Refrigerant Leakage'!$B$2:$B$42,0)),"")</f>
        <v/>
      </c>
      <c r="DA783" s="145" t="str">
        <f>IF($I783&lt;&gt;"",J783*INDEX('Device Refrigerant Leakage'!$D$2:$D$42,MATCH($Q783,'Device Refrigerant Leakage'!$B$2:$B$42,0))*CX783/2204.62*CW783,"")</f>
        <v/>
      </c>
      <c r="DB783" s="145" t="str">
        <f>IF($I783&lt;&gt;"",J783*(INDEX('Device Refrigerant Leakage'!$D$2:$D$42,MATCH($Q783,'Device Refrigerant Leakage'!$B$2:$B$42,0))-(INDEX('Device Refrigerant Leakage'!$D$2:$D$42,MATCH($Q783,'Device Refrigerant Leakage'!$B$2:$B$42,0)))*CZ783*CX783)*CY783/2204.62*CW783,"")</f>
        <v/>
      </c>
      <c r="DC783" s="135" t="str">
        <f t="shared" si="892"/>
        <v/>
      </c>
      <c r="DE783" s="146" t="str">
        <f>IF(W783&lt;&gt;"AR","",IF(Y783="User Specified", AA783, INDEX('Refrigerant GWPs'!$G$2:$G$154,MATCH(Y783,'Refrigerant GWPs'!$A$2:$A$154,0))))</f>
        <v/>
      </c>
      <c r="DF783" s="146" t="str">
        <f>IF(W783&lt;&gt;"AR","",INDEX('Device Refrigerant Leakage'!$E$2:$E$42,MATCH(X783,'Device Refrigerant Leakage'!$B$2:$B$42,0)))</f>
        <v/>
      </c>
      <c r="DG783" s="146" t="str">
        <f>IF(W783&lt;&gt;"AR","",INDEX('Device Refrigerant Leakage'!$F$2:$F$42,MATCH(X783,'Device Refrigerant Leakage'!$B$2:$B$42,0)))</f>
        <v/>
      </c>
      <c r="DH783" s="146" t="str">
        <f>IF(W783&lt;&gt;"AR","",INDEX('Device Refrigerant Leakage'!$G$2:$G$42,MATCH(X783,'Device Refrigerant Leakage'!$B$2:$B$42,0)))</f>
        <v/>
      </c>
      <c r="DI783" s="146" t="str">
        <f>IF(W783&lt;&gt;"AR","",J783*INDEX('Device Refrigerant Leakage'!$D$2:$D$42,MATCH(X783,'Device Refrigerant Leakage'!$B$2:$B$42,0))*DF783/2204.62*DE783)</f>
        <v/>
      </c>
      <c r="DJ783" s="146" t="str">
        <f>IF(W783&lt;&gt;"AR","",J783*(INDEX('Device Refrigerant Leakage'!$D$2:$D$42,MATCH(X783,'Device Refrigerant Leakage'!$B$2:$B$42,0))-(INDEX('Device Refrigerant Leakage'!$D$2:$D$42,MATCH(X783,'Device Refrigerant Leakage'!$B$2:$B$42,0)))*DH783*DF783)*DG783/2204.62*DE783)</f>
        <v/>
      </c>
      <c r="DK783" s="146" t="str">
        <f>IF(W783&lt;&gt;"AR","",DI783*(K783-AB783)+'Fuel Sub Calcs-Deemed'!DJ783*((K783-AB783)/INDEX('Device Refrigerant Leakage'!$C$2:$C$42,MATCH('Fuel Sub Calcs-Deemed'!X783,'Device Refrigerant Leakage'!$B$2:$B$42,0))))</f>
        <v/>
      </c>
      <c r="DM783" s="56">
        <v>769</v>
      </c>
      <c r="DN783" s="67" t="e">
        <f t="shared" ref="DN783:DN846" si="942">(CB783*BX783+BY783*CE783)/10^6+IF($W783=MAT_AR,(BZ783*CD783+CA783*CE783)/10^6,0)</f>
        <v>#N/A</v>
      </c>
      <c r="DO783" s="45" t="e">
        <f t="shared" ref="DO783:DO846" si="943">IF(BP783,"PASS","FAIL")</f>
        <v>#N/A</v>
      </c>
      <c r="DP783" s="67" t="e">
        <f t="shared" ref="DP783:DP846" si="944">(DT783+DU783+DV783)</f>
        <v>#N/A</v>
      </c>
      <c r="DQ783" s="45" t="e">
        <f t="shared" ref="DQ783:DQ846" si="945">IF(BQ783,"PASS","FAIL")</f>
        <v>#N/A</v>
      </c>
      <c r="DR783" s="69" t="e">
        <f t="shared" ref="DR783:DR846" si="946">IF(BR783,"Eligible","Not eligible")</f>
        <v>#N/A</v>
      </c>
      <c r="DS783" s="34"/>
      <c r="DT783" s="67" t="e">
        <f>((BX783*CJ783)+IF($W783=MAT_AR,(BZ783*CL783),0))*(1+Reference!$E$50+Reference!$E$51)</f>
        <v>#N/A</v>
      </c>
      <c r="DU783" s="67">
        <f>((BY783*CK783)+IF($W783=MAT_AR,(CA783*CM783),0))*(1+Reference!$G$50+Reference!$G$51)</f>
        <v>0</v>
      </c>
      <c r="DV783" s="67" t="e">
        <f t="shared" ref="DV783:DV846" si="947">IF(W783="NR",CU783-DC783,(CU783+DK783)-DC783)</f>
        <v>#VALUE!</v>
      </c>
      <c r="DX783" s="56">
        <v>769</v>
      </c>
      <c r="DY783" s="67">
        <f t="shared" ref="DY783:DY846" si="948">(Btu_per_kWh*BT783+Btu_therm*BU783)/10^6</f>
        <v>0</v>
      </c>
      <c r="DZ783" s="45" t="e">
        <f>VLOOKUP($R783,Dropdown!$C$3:$D$4,2,FALSE)</f>
        <v>#N/A</v>
      </c>
      <c r="EA783" s="68">
        <f t="shared" ref="EA783:EA846" si="949">IF($R783=fuel_electricity,$DY783*10^6/Btu_per_kWh,0)</f>
        <v>0</v>
      </c>
      <c r="EB783" s="68" t="str">
        <f t="shared" ref="EB783:EB846" si="950">IF($R783=fuel_natural_gas,$DY783/MMBtu_per_therm,"N/A")</f>
        <v>N/A</v>
      </c>
      <c r="EC783" s="68">
        <f t="shared" ref="EC783:EC846" si="951">IF($R783=fuel_electricity,"N/A",AJ783)</f>
        <v>0</v>
      </c>
      <c r="ED783" s="68" t="str">
        <f t="shared" si="921"/>
        <v>N/A</v>
      </c>
      <c r="EF783" s="56">
        <v>769</v>
      </c>
      <c r="EG783" s="46">
        <f t="shared" ref="EG783:EG846" si="952">J783</f>
        <v>0</v>
      </c>
      <c r="EH783" s="68" t="e">
        <f t="shared" ref="EH783:EH846" si="953">IF($BR783,BE783,0)</f>
        <v>#N/A</v>
      </c>
      <c r="EI783" s="68" t="e">
        <f t="shared" ref="EI783:EI846" si="954">IF($BR783,BF783,0)</f>
        <v>#N/A</v>
      </c>
      <c r="EJ783" s="68" t="e">
        <f t="shared" ref="EJ783:EJ846" si="955">IF($BR783,BM783,0)</f>
        <v>#N/A</v>
      </c>
      <c r="EK783" s="68" t="e">
        <f t="shared" ref="EK783:EK846" si="956">IF($BR783,BN783,0)</f>
        <v>#N/A</v>
      </c>
      <c r="EL783" s="46">
        <f t="shared" ref="EL783:EL846" si="957">K783</f>
        <v>0</v>
      </c>
      <c r="EM783" s="46">
        <f t="shared" ref="EM783:EM846" si="958">AV783</f>
        <v>0</v>
      </c>
    </row>
    <row r="784" spans="1:143">
      <c r="A784" s="89"/>
      <c r="B784" s="89"/>
      <c r="C784" s="89"/>
      <c r="D784" s="89"/>
      <c r="E784" s="89"/>
      <c r="F784" s="89"/>
      <c r="G784" s="34"/>
      <c r="H784" s="56">
        <f t="shared" ref="H784:H847" si="959">ROW($H784)-ROW($H$14)</f>
        <v>770</v>
      </c>
      <c r="I784" s="165"/>
      <c r="J784" s="163"/>
      <c r="K784" s="163"/>
      <c r="L784" s="164"/>
      <c r="M784" s="155"/>
      <c r="N784" s="155"/>
      <c r="O784" s="144"/>
      <c r="P784" s="159" t="str">
        <f>IFERROR(IF(O784&lt;&gt;"User Specified",IF(O784&lt;&gt;"", INDEX('Refrigerant GWPs'!$G$2:$G$154,MATCH(O784,'Refrigerant GWPs'!$A$2:$A$154,0)),""),U784),0)</f>
        <v/>
      </c>
      <c r="Q784" s="155"/>
      <c r="R784" s="155"/>
      <c r="S784" s="144"/>
      <c r="T784" s="159" t="str">
        <f>IF(S784&lt;&gt;"User Specified",IF(AND(S784&lt;&gt;"User Specified",S784&lt;&gt;""), INDEX('Refrigerant GWPs'!$G$2:$G$154,MATCH(S784,'Refrigerant GWPs'!$A$2:$A$154,0)),""),V784)</f>
        <v/>
      </c>
      <c r="U784" s="144"/>
      <c r="V784" s="144"/>
      <c r="W784" s="155"/>
      <c r="X784" s="155"/>
      <c r="Y784" s="144"/>
      <c r="Z784" s="159" t="str">
        <f>IF(AND(Y784&lt;&gt;"User Specified",Y784&lt;&gt;""), INDEX('Refrigerant GWPs'!$G$2:$G$154,MATCH(Y784,'Refrigerant GWPs'!$A$2:$A$154,0)),"")</f>
        <v/>
      </c>
      <c r="AA784" s="155"/>
      <c r="AB784" s="156"/>
      <c r="AC784" s="66"/>
      <c r="AD784" s="66"/>
      <c r="AE784" s="66"/>
      <c r="AF784" s="66"/>
      <c r="AG784" s="66"/>
      <c r="AH784" s="66"/>
      <c r="AI784" s="34"/>
      <c r="AJ784" s="88">
        <f t="shared" si="922"/>
        <v>0</v>
      </c>
      <c r="AK784" s="88">
        <f t="shared" si="923"/>
        <v>0</v>
      </c>
      <c r="AL784" s="88">
        <v>0</v>
      </c>
      <c r="AM784" s="88">
        <v>0</v>
      </c>
      <c r="AN784" s="81" t="str">
        <f t="shared" si="893"/>
        <v/>
      </c>
      <c r="AO784" s="88">
        <f t="shared" si="924"/>
        <v>0</v>
      </c>
      <c r="AP784" s="88">
        <f t="shared" si="925"/>
        <v>0</v>
      </c>
      <c r="AQ784" s="81" t="str">
        <f t="shared" si="926"/>
        <v/>
      </c>
      <c r="AS784" s="41" t="b">
        <f t="shared" si="927"/>
        <v>1</v>
      </c>
      <c r="AT784" s="38">
        <f t="shared" si="928"/>
        <v>0</v>
      </c>
      <c r="AU784" s="60">
        <f t="shared" si="929"/>
        <v>0</v>
      </c>
      <c r="AV784" s="41">
        <f t="shared" si="930"/>
        <v>0</v>
      </c>
      <c r="AW784" s="41" t="b">
        <f t="shared" si="931"/>
        <v>0</v>
      </c>
      <c r="AX784" t="str">
        <f t="shared" si="932"/>
        <v>+00</v>
      </c>
      <c r="AY784" t="str">
        <f t="shared" si="933"/>
        <v>+00</v>
      </c>
      <c r="BA784" s="47" t="b">
        <f t="shared" si="894"/>
        <v>1</v>
      </c>
      <c r="BB784" s="42" t="b">
        <f t="shared" si="895"/>
        <v>1</v>
      </c>
      <c r="BC784" s="42" t="b">
        <f t="shared" si="896"/>
        <v>0</v>
      </c>
      <c r="BD784" s="42" t="b">
        <f t="shared" si="897"/>
        <v>0</v>
      </c>
      <c r="BE784" s="70">
        <f t="shared" si="898"/>
        <v>0</v>
      </c>
      <c r="BF784" s="70">
        <f t="shared" si="899"/>
        <v>0</v>
      </c>
      <c r="BG784" s="34"/>
      <c r="BI784" s="47" t="b">
        <f t="shared" si="900"/>
        <v>1</v>
      </c>
      <c r="BJ784" s="47" t="b">
        <f t="shared" si="901"/>
        <v>1</v>
      </c>
      <c r="BK784" s="42" t="b">
        <f t="shared" si="902"/>
        <v>0</v>
      </c>
      <c r="BL784" s="42" t="b">
        <f t="shared" si="903"/>
        <v>0</v>
      </c>
      <c r="BM784" s="42">
        <f t="shared" si="904"/>
        <v>0</v>
      </c>
      <c r="BN784" s="42">
        <f t="shared" si="905"/>
        <v>0</v>
      </c>
      <c r="BP784" t="e">
        <f t="shared" si="906"/>
        <v>#N/A</v>
      </c>
      <c r="BQ784" t="e">
        <f t="shared" si="907"/>
        <v>#N/A</v>
      </c>
      <c r="BR784" t="e">
        <f t="shared" si="908"/>
        <v>#N/A</v>
      </c>
      <c r="BT784" s="60">
        <f t="shared" si="909"/>
        <v>0</v>
      </c>
      <c r="BU784" s="60">
        <f t="shared" si="910"/>
        <v>0</v>
      </c>
      <c r="BV784" s="60">
        <f t="shared" si="911"/>
        <v>0</v>
      </c>
      <c r="BW784" s="60">
        <f t="shared" si="912"/>
        <v>0</v>
      </c>
      <c r="BX784" s="60">
        <f t="shared" si="913"/>
        <v>0</v>
      </c>
      <c r="BY784" s="60">
        <f t="shared" si="914"/>
        <v>0</v>
      </c>
      <c r="BZ784" s="60">
        <f t="shared" si="915"/>
        <v>0</v>
      </c>
      <c r="CA784" s="60">
        <f t="shared" si="916"/>
        <v>0</v>
      </c>
      <c r="CB784" s="60" t="e">
        <f t="shared" si="934"/>
        <v>#N/A</v>
      </c>
      <c r="CC784" s="60">
        <f t="shared" si="935"/>
        <v>100000</v>
      </c>
      <c r="CD784" s="60" t="e">
        <f t="shared" si="936"/>
        <v>#N/A</v>
      </c>
      <c r="CE784" s="60">
        <f t="shared" si="937"/>
        <v>100000</v>
      </c>
      <c r="CF784" s="83" t="e">
        <f t="shared" si="917"/>
        <v>#N/A</v>
      </c>
      <c r="CG784" s="83">
        <f t="shared" si="918"/>
        <v>0</v>
      </c>
      <c r="CH784" s="83" t="e">
        <f t="shared" si="919"/>
        <v>#N/A</v>
      </c>
      <c r="CI784" s="83">
        <f t="shared" si="920"/>
        <v>0</v>
      </c>
      <c r="CJ784" s="86" t="e">
        <f t="shared" si="938"/>
        <v>#N/A</v>
      </c>
      <c r="CK784" s="82">
        <f t="shared" si="939"/>
        <v>5.3070370403969858E-3</v>
      </c>
      <c r="CL784" s="82" t="e">
        <f t="shared" si="940"/>
        <v>#N/A</v>
      </c>
      <c r="CM784" s="82">
        <f t="shared" si="941"/>
        <v>5.3070370403969858E-3</v>
      </c>
      <c r="CO784" s="149" t="str">
        <f>IF($I784&lt;&gt;"",IF(O784="User Specified",U784,INDEX('Refrigerant GWPs'!$G$2:$G$156,MATCH(O784,'Refrigerant GWPs'!$A$2:$A$156,0))),"")</f>
        <v/>
      </c>
      <c r="CP784" s="138" t="str">
        <f>IF($I784&lt;&gt;"",INDEX('Device Refrigerant Leakage'!$E$2:$E$42,MATCH($M784,'Device Refrigerant Leakage'!$B$2:$B$42,0)),"")</f>
        <v/>
      </c>
      <c r="CQ784" s="138" t="str">
        <f>IF($I784&lt;&gt;"",INDEX('Device Refrigerant Leakage'!$F$2:$F$42,MATCH($M784,'Device Refrigerant Leakage'!$B$2:$B$42,0)),"")</f>
        <v/>
      </c>
      <c r="CR784" s="145" t="str">
        <f>IF($I784&lt;&gt;"",INDEX('Device Refrigerant Leakage'!$G$2:$G$42,MATCH($M784,'Device Refrigerant Leakage'!$B$2:$B$42,0)),"")</f>
        <v/>
      </c>
      <c r="CS784" s="145" t="str">
        <f>IF($I784&lt;&gt;"",INDEX('Device Refrigerant Leakage'!$D$2:$D$42,MATCH($M784,'Device Refrigerant Leakage'!$B$2:$B$42,0))*CP784/2204.62*CO784,"")</f>
        <v/>
      </c>
      <c r="CT784" s="145" t="str">
        <f>IF($I784&lt;&gt;"",J784*(INDEX('Device Refrigerant Leakage'!$D$2:$D$42,MATCH($M784,'Device Refrigerant Leakage'!$B$2:$B$42,0))-(INDEX('Device Refrigerant Leakage'!$D$2:$D$42,MATCH($M784,'Device Refrigerant Leakage'!$B$2:$B$42,0)))*CR784*CP784)*CQ784/2204.62*CO784,"")</f>
        <v/>
      </c>
      <c r="CU784" s="135" t="str">
        <f>IF($I784&lt;&gt;"",J784*IF(W784&lt;&gt;"AR",(CS784*K784)+CT784,(CS784*AB784)+CT784*(AB784/INDEX('Device Refrigerant Leakage'!$C$2:$C$42,MATCH($M784,'Device Refrigerant Leakage'!$B$2:$B$42,0)))),"")</f>
        <v/>
      </c>
      <c r="CW784" s="135" t="str">
        <f>IF($I784&lt;&gt;"",IF(S784="User Specified",V784,INDEX('Refrigerant GWPs'!$G$2:$G$156,MATCH(S784,'Refrigerant GWPs'!$A$2:$A$157,0))),"")</f>
        <v/>
      </c>
      <c r="CX784" s="138" t="str">
        <f>IF($I784&lt;&gt;"",INDEX('Device Refrigerant Leakage'!$E$2:$E$42,MATCH($Q784,'Device Refrigerant Leakage'!$B$2:$B$42,0)),"")</f>
        <v/>
      </c>
      <c r="CY784" s="138" t="str">
        <f>IF($I784&lt;&gt;"",INDEX('Device Refrigerant Leakage'!$F$2:$F$42,MATCH($Q784,'Device Refrigerant Leakage'!$B$2:$B$42,0)),"")</f>
        <v/>
      </c>
      <c r="CZ784" s="145" t="str">
        <f>IF($I784&lt;&gt;"",INDEX('Device Refrigerant Leakage'!$G$2:$G$42,MATCH($Q784,'Device Refrigerant Leakage'!$B$2:$B$42,0)),"")</f>
        <v/>
      </c>
      <c r="DA784" s="145" t="str">
        <f>IF($I784&lt;&gt;"",J784*INDEX('Device Refrigerant Leakage'!$D$2:$D$42,MATCH($Q784,'Device Refrigerant Leakage'!$B$2:$B$42,0))*CX784/2204.62*CW784,"")</f>
        <v/>
      </c>
      <c r="DB784" s="145" t="str">
        <f>IF($I784&lt;&gt;"",J784*(INDEX('Device Refrigerant Leakage'!$D$2:$D$42,MATCH($Q784,'Device Refrigerant Leakage'!$B$2:$B$42,0))-(INDEX('Device Refrigerant Leakage'!$D$2:$D$42,MATCH($Q784,'Device Refrigerant Leakage'!$B$2:$B$42,0)))*CZ784*CX784)*CY784/2204.62*CW784,"")</f>
        <v/>
      </c>
      <c r="DC784" s="135" t="str">
        <f t="shared" ref="DC784:DC847" si="960">IF($I784&lt;&gt;"",(DA784*K784)+DB784,"")</f>
        <v/>
      </c>
      <c r="DE784" s="146" t="str">
        <f>IF(W784&lt;&gt;"AR","",IF(Y784="User Specified", AA784, INDEX('Refrigerant GWPs'!$G$2:$G$154,MATCH(Y784,'Refrigerant GWPs'!$A$2:$A$154,0))))</f>
        <v/>
      </c>
      <c r="DF784" s="146" t="str">
        <f>IF(W784&lt;&gt;"AR","",INDEX('Device Refrigerant Leakage'!$E$2:$E$42,MATCH(X784,'Device Refrigerant Leakage'!$B$2:$B$42,0)))</f>
        <v/>
      </c>
      <c r="DG784" s="146" t="str">
        <f>IF(W784&lt;&gt;"AR","",INDEX('Device Refrigerant Leakage'!$F$2:$F$42,MATCH(X784,'Device Refrigerant Leakage'!$B$2:$B$42,0)))</f>
        <v/>
      </c>
      <c r="DH784" s="146" t="str">
        <f>IF(W784&lt;&gt;"AR","",INDEX('Device Refrigerant Leakage'!$G$2:$G$42,MATCH(X784,'Device Refrigerant Leakage'!$B$2:$B$42,0)))</f>
        <v/>
      </c>
      <c r="DI784" s="146" t="str">
        <f>IF(W784&lt;&gt;"AR","",J784*INDEX('Device Refrigerant Leakage'!$D$2:$D$42,MATCH(X784,'Device Refrigerant Leakage'!$B$2:$B$42,0))*DF784/2204.62*DE784)</f>
        <v/>
      </c>
      <c r="DJ784" s="146" t="str">
        <f>IF(W784&lt;&gt;"AR","",J784*(INDEX('Device Refrigerant Leakage'!$D$2:$D$42,MATCH(X784,'Device Refrigerant Leakage'!$B$2:$B$42,0))-(INDEX('Device Refrigerant Leakage'!$D$2:$D$42,MATCH(X784,'Device Refrigerant Leakage'!$B$2:$B$42,0)))*DH784*DF784)*DG784/2204.62*DE784)</f>
        <v/>
      </c>
      <c r="DK784" s="146" t="str">
        <f>IF(W784&lt;&gt;"AR","",DI784*(K784-AB784)+'Fuel Sub Calcs-Deemed'!DJ784*((K784-AB784)/INDEX('Device Refrigerant Leakage'!$C$2:$C$42,MATCH('Fuel Sub Calcs-Deemed'!X784,'Device Refrigerant Leakage'!$B$2:$B$42,0))))</f>
        <v/>
      </c>
      <c r="DM784" s="56">
        <v>770</v>
      </c>
      <c r="DN784" s="67" t="e">
        <f t="shared" si="942"/>
        <v>#N/A</v>
      </c>
      <c r="DO784" s="45" t="e">
        <f t="shared" si="943"/>
        <v>#N/A</v>
      </c>
      <c r="DP784" s="67" t="e">
        <f t="shared" si="944"/>
        <v>#N/A</v>
      </c>
      <c r="DQ784" s="45" t="e">
        <f t="shared" si="945"/>
        <v>#N/A</v>
      </c>
      <c r="DR784" s="69" t="e">
        <f t="shared" si="946"/>
        <v>#N/A</v>
      </c>
      <c r="DS784" s="34"/>
      <c r="DT784" s="67" t="e">
        <f>((BX784*CJ784)+IF($W784=MAT_AR,(BZ784*CL784),0))*(1+Reference!$E$50+Reference!$E$51)</f>
        <v>#N/A</v>
      </c>
      <c r="DU784" s="67">
        <f>((BY784*CK784)+IF($W784=MAT_AR,(CA784*CM784),0))*(1+Reference!$G$50+Reference!$G$51)</f>
        <v>0</v>
      </c>
      <c r="DV784" s="67" t="e">
        <f t="shared" si="947"/>
        <v>#VALUE!</v>
      </c>
      <c r="DX784" s="56">
        <v>770</v>
      </c>
      <c r="DY784" s="67">
        <f t="shared" si="948"/>
        <v>0</v>
      </c>
      <c r="DZ784" s="45" t="e">
        <f>VLOOKUP($R784,Dropdown!$C$3:$D$4,2,FALSE)</f>
        <v>#N/A</v>
      </c>
      <c r="EA784" s="68">
        <f t="shared" si="949"/>
        <v>0</v>
      </c>
      <c r="EB784" s="68" t="str">
        <f t="shared" si="950"/>
        <v>N/A</v>
      </c>
      <c r="EC784" s="68">
        <f t="shared" si="951"/>
        <v>0</v>
      </c>
      <c r="ED784" s="68" t="str">
        <f t="shared" si="921"/>
        <v>N/A</v>
      </c>
      <c r="EF784" s="56">
        <v>770</v>
      </c>
      <c r="EG784" s="46">
        <f t="shared" si="952"/>
        <v>0</v>
      </c>
      <c r="EH784" s="68" t="e">
        <f t="shared" si="953"/>
        <v>#N/A</v>
      </c>
      <c r="EI784" s="68" t="e">
        <f t="shared" si="954"/>
        <v>#N/A</v>
      </c>
      <c r="EJ784" s="68" t="e">
        <f t="shared" si="955"/>
        <v>#N/A</v>
      </c>
      <c r="EK784" s="68" t="e">
        <f t="shared" si="956"/>
        <v>#N/A</v>
      </c>
      <c r="EL784" s="46">
        <f t="shared" si="957"/>
        <v>0</v>
      </c>
      <c r="EM784" s="46">
        <f t="shared" si="958"/>
        <v>0</v>
      </c>
    </row>
    <row r="785" spans="1:143">
      <c r="A785" s="89"/>
      <c r="B785" s="89"/>
      <c r="C785" s="89"/>
      <c r="D785" s="89"/>
      <c r="E785" s="89"/>
      <c r="F785" s="89"/>
      <c r="G785" s="34"/>
      <c r="H785" s="56">
        <f t="shared" si="959"/>
        <v>771</v>
      </c>
      <c r="I785" s="165"/>
      <c r="J785" s="163"/>
      <c r="K785" s="163"/>
      <c r="L785" s="164"/>
      <c r="M785" s="155"/>
      <c r="N785" s="155"/>
      <c r="O785" s="144"/>
      <c r="P785" s="159" t="str">
        <f>IFERROR(IF(O785&lt;&gt;"User Specified",IF(O785&lt;&gt;"", INDEX('Refrigerant GWPs'!$G$2:$G$154,MATCH(O785,'Refrigerant GWPs'!$A$2:$A$154,0)),""),U785),0)</f>
        <v/>
      </c>
      <c r="Q785" s="155"/>
      <c r="R785" s="155"/>
      <c r="S785" s="144"/>
      <c r="T785" s="159" t="str">
        <f>IF(S785&lt;&gt;"User Specified",IF(AND(S785&lt;&gt;"User Specified",S785&lt;&gt;""), INDEX('Refrigerant GWPs'!$G$2:$G$154,MATCH(S785,'Refrigerant GWPs'!$A$2:$A$154,0)),""),V785)</f>
        <v/>
      </c>
      <c r="U785" s="144"/>
      <c r="V785" s="144"/>
      <c r="W785" s="155"/>
      <c r="X785" s="155"/>
      <c r="Y785" s="144"/>
      <c r="Z785" s="159" t="str">
        <f>IF(AND(Y785&lt;&gt;"User Specified",Y785&lt;&gt;""), INDEX('Refrigerant GWPs'!$G$2:$G$154,MATCH(Y785,'Refrigerant GWPs'!$A$2:$A$154,0)),"")</f>
        <v/>
      </c>
      <c r="AA785" s="155"/>
      <c r="AB785" s="156"/>
      <c r="AC785" s="66"/>
      <c r="AD785" s="66"/>
      <c r="AE785" s="66"/>
      <c r="AF785" s="66"/>
      <c r="AG785" s="66"/>
      <c r="AH785" s="66"/>
      <c r="AI785" s="34"/>
      <c r="AJ785" s="88">
        <f t="shared" si="922"/>
        <v>0</v>
      </c>
      <c r="AK785" s="88">
        <f t="shared" si="923"/>
        <v>0</v>
      </c>
      <c r="AL785" s="88">
        <v>0</v>
      </c>
      <c r="AM785" s="88">
        <v>0</v>
      </c>
      <c r="AN785" s="81" t="str">
        <f t="shared" si="893"/>
        <v/>
      </c>
      <c r="AO785" s="88">
        <f t="shared" si="924"/>
        <v>0</v>
      </c>
      <c r="AP785" s="88">
        <f t="shared" si="925"/>
        <v>0</v>
      </c>
      <c r="AQ785" s="81" t="str">
        <f t="shared" si="926"/>
        <v/>
      </c>
      <c r="AS785" s="41" t="b">
        <f t="shared" si="927"/>
        <v>1</v>
      </c>
      <c r="AT785" s="38">
        <f t="shared" si="928"/>
        <v>0</v>
      </c>
      <c r="AU785" s="60">
        <f t="shared" si="929"/>
        <v>0</v>
      </c>
      <c r="AV785" s="41">
        <f t="shared" si="930"/>
        <v>0</v>
      </c>
      <c r="AW785" s="41" t="b">
        <f t="shared" si="931"/>
        <v>0</v>
      </c>
      <c r="AX785" t="str">
        <f t="shared" si="932"/>
        <v>+00</v>
      </c>
      <c r="AY785" t="str">
        <f t="shared" si="933"/>
        <v>+00</v>
      </c>
      <c r="BA785" s="47" t="b">
        <f t="shared" si="894"/>
        <v>1</v>
      </c>
      <c r="BB785" s="42" t="b">
        <f t="shared" si="895"/>
        <v>1</v>
      </c>
      <c r="BC785" s="42" t="b">
        <f t="shared" si="896"/>
        <v>0</v>
      </c>
      <c r="BD785" s="42" t="b">
        <f t="shared" si="897"/>
        <v>0</v>
      </c>
      <c r="BE785" s="70">
        <f t="shared" si="898"/>
        <v>0</v>
      </c>
      <c r="BF785" s="70">
        <f t="shared" si="899"/>
        <v>0</v>
      </c>
      <c r="BG785" s="34"/>
      <c r="BI785" s="47" t="b">
        <f t="shared" si="900"/>
        <v>1</v>
      </c>
      <c r="BJ785" s="47" t="b">
        <f t="shared" si="901"/>
        <v>1</v>
      </c>
      <c r="BK785" s="42" t="b">
        <f t="shared" si="902"/>
        <v>0</v>
      </c>
      <c r="BL785" s="42" t="b">
        <f t="shared" si="903"/>
        <v>0</v>
      </c>
      <c r="BM785" s="42">
        <f t="shared" si="904"/>
        <v>0</v>
      </c>
      <c r="BN785" s="42">
        <f t="shared" si="905"/>
        <v>0</v>
      </c>
      <c r="BP785" t="e">
        <f t="shared" si="906"/>
        <v>#N/A</v>
      </c>
      <c r="BQ785" t="e">
        <f t="shared" si="907"/>
        <v>#N/A</v>
      </c>
      <c r="BR785" t="e">
        <f t="shared" si="908"/>
        <v>#N/A</v>
      </c>
      <c r="BT785" s="60">
        <f t="shared" si="909"/>
        <v>0</v>
      </c>
      <c r="BU785" s="60">
        <f t="shared" si="910"/>
        <v>0</v>
      </c>
      <c r="BV785" s="60">
        <f t="shared" si="911"/>
        <v>0</v>
      </c>
      <c r="BW785" s="60">
        <f t="shared" si="912"/>
        <v>0</v>
      </c>
      <c r="BX785" s="60">
        <f t="shared" si="913"/>
        <v>0</v>
      </c>
      <c r="BY785" s="60">
        <f t="shared" si="914"/>
        <v>0</v>
      </c>
      <c r="BZ785" s="60">
        <f t="shared" si="915"/>
        <v>0</v>
      </c>
      <c r="CA785" s="60">
        <f t="shared" si="916"/>
        <v>0</v>
      </c>
      <c r="CB785" s="60" t="e">
        <f t="shared" si="934"/>
        <v>#N/A</v>
      </c>
      <c r="CC785" s="60">
        <f t="shared" si="935"/>
        <v>100000</v>
      </c>
      <c r="CD785" s="60" t="e">
        <f t="shared" si="936"/>
        <v>#N/A</v>
      </c>
      <c r="CE785" s="60">
        <f t="shared" si="937"/>
        <v>100000</v>
      </c>
      <c r="CF785" s="83" t="e">
        <f t="shared" si="917"/>
        <v>#N/A</v>
      </c>
      <c r="CG785" s="83">
        <f t="shared" si="918"/>
        <v>0</v>
      </c>
      <c r="CH785" s="83" t="e">
        <f t="shared" si="919"/>
        <v>#N/A</v>
      </c>
      <c r="CI785" s="83">
        <f t="shared" si="920"/>
        <v>0</v>
      </c>
      <c r="CJ785" s="86" t="e">
        <f t="shared" si="938"/>
        <v>#N/A</v>
      </c>
      <c r="CK785" s="82">
        <f t="shared" si="939"/>
        <v>5.3070370403969858E-3</v>
      </c>
      <c r="CL785" s="82" t="e">
        <f t="shared" si="940"/>
        <v>#N/A</v>
      </c>
      <c r="CM785" s="82">
        <f t="shared" si="941"/>
        <v>5.3070370403969858E-3</v>
      </c>
      <c r="CO785" s="149" t="str">
        <f>IF($I785&lt;&gt;"",IF(O785="User Specified",U785,INDEX('Refrigerant GWPs'!$G$2:$G$156,MATCH(O785,'Refrigerant GWPs'!$A$2:$A$156,0))),"")</f>
        <v/>
      </c>
      <c r="CP785" s="138" t="str">
        <f>IF($I785&lt;&gt;"",INDEX('Device Refrigerant Leakage'!$E$2:$E$42,MATCH($M785,'Device Refrigerant Leakage'!$B$2:$B$42,0)),"")</f>
        <v/>
      </c>
      <c r="CQ785" s="138" t="str">
        <f>IF($I785&lt;&gt;"",INDEX('Device Refrigerant Leakage'!$F$2:$F$42,MATCH($M785,'Device Refrigerant Leakage'!$B$2:$B$42,0)),"")</f>
        <v/>
      </c>
      <c r="CR785" s="145" t="str">
        <f>IF($I785&lt;&gt;"",INDEX('Device Refrigerant Leakage'!$G$2:$G$42,MATCH($M785,'Device Refrigerant Leakage'!$B$2:$B$42,0)),"")</f>
        <v/>
      </c>
      <c r="CS785" s="145" t="str">
        <f>IF($I785&lt;&gt;"",INDEX('Device Refrigerant Leakage'!$D$2:$D$42,MATCH($M785,'Device Refrigerant Leakage'!$B$2:$B$42,0))*CP785/2204.62*CO785,"")</f>
        <v/>
      </c>
      <c r="CT785" s="145" t="str">
        <f>IF($I785&lt;&gt;"",J785*(INDEX('Device Refrigerant Leakage'!$D$2:$D$42,MATCH($M785,'Device Refrigerant Leakage'!$B$2:$B$42,0))-(INDEX('Device Refrigerant Leakage'!$D$2:$D$42,MATCH($M785,'Device Refrigerant Leakage'!$B$2:$B$42,0)))*CR785*CP785)*CQ785/2204.62*CO785,"")</f>
        <v/>
      </c>
      <c r="CU785" s="135" t="str">
        <f>IF($I785&lt;&gt;"",J785*IF(W785&lt;&gt;"AR",(CS785*K785)+CT785,(CS785*AB785)+CT785*(AB785/INDEX('Device Refrigerant Leakage'!$C$2:$C$42,MATCH($M785,'Device Refrigerant Leakage'!$B$2:$B$42,0)))),"")</f>
        <v/>
      </c>
      <c r="CW785" s="135" t="str">
        <f>IF($I785&lt;&gt;"",IF(S785="User Specified",V785,INDEX('Refrigerant GWPs'!$G$2:$G$156,MATCH(S785,'Refrigerant GWPs'!$A$2:$A$157,0))),"")</f>
        <v/>
      </c>
      <c r="CX785" s="138" t="str">
        <f>IF($I785&lt;&gt;"",INDEX('Device Refrigerant Leakage'!$E$2:$E$42,MATCH($Q785,'Device Refrigerant Leakage'!$B$2:$B$42,0)),"")</f>
        <v/>
      </c>
      <c r="CY785" s="138" t="str">
        <f>IF($I785&lt;&gt;"",INDEX('Device Refrigerant Leakage'!$F$2:$F$42,MATCH($Q785,'Device Refrigerant Leakage'!$B$2:$B$42,0)),"")</f>
        <v/>
      </c>
      <c r="CZ785" s="145" t="str">
        <f>IF($I785&lt;&gt;"",INDEX('Device Refrigerant Leakage'!$G$2:$G$42,MATCH($Q785,'Device Refrigerant Leakage'!$B$2:$B$42,0)),"")</f>
        <v/>
      </c>
      <c r="DA785" s="145" t="str">
        <f>IF($I785&lt;&gt;"",J785*INDEX('Device Refrigerant Leakage'!$D$2:$D$42,MATCH($Q785,'Device Refrigerant Leakage'!$B$2:$B$42,0))*CX785/2204.62*CW785,"")</f>
        <v/>
      </c>
      <c r="DB785" s="145" t="str">
        <f>IF($I785&lt;&gt;"",J785*(INDEX('Device Refrigerant Leakage'!$D$2:$D$42,MATCH($Q785,'Device Refrigerant Leakage'!$B$2:$B$42,0))-(INDEX('Device Refrigerant Leakage'!$D$2:$D$42,MATCH($Q785,'Device Refrigerant Leakage'!$B$2:$B$42,0)))*CZ785*CX785)*CY785/2204.62*CW785,"")</f>
        <v/>
      </c>
      <c r="DC785" s="135" t="str">
        <f t="shared" si="960"/>
        <v/>
      </c>
      <c r="DE785" s="146" t="str">
        <f>IF(W785&lt;&gt;"AR","",IF(Y785="User Specified", AA785, INDEX('Refrigerant GWPs'!$G$2:$G$154,MATCH(Y785,'Refrigerant GWPs'!$A$2:$A$154,0))))</f>
        <v/>
      </c>
      <c r="DF785" s="146" t="str">
        <f>IF(W785&lt;&gt;"AR","",INDEX('Device Refrigerant Leakage'!$E$2:$E$42,MATCH(X785,'Device Refrigerant Leakage'!$B$2:$B$42,0)))</f>
        <v/>
      </c>
      <c r="DG785" s="146" t="str">
        <f>IF(W785&lt;&gt;"AR","",INDEX('Device Refrigerant Leakage'!$F$2:$F$42,MATCH(X785,'Device Refrigerant Leakage'!$B$2:$B$42,0)))</f>
        <v/>
      </c>
      <c r="DH785" s="146" t="str">
        <f>IF(W785&lt;&gt;"AR","",INDEX('Device Refrigerant Leakage'!$G$2:$G$42,MATCH(X785,'Device Refrigerant Leakage'!$B$2:$B$42,0)))</f>
        <v/>
      </c>
      <c r="DI785" s="146" t="str">
        <f>IF(W785&lt;&gt;"AR","",J785*INDEX('Device Refrigerant Leakage'!$D$2:$D$42,MATCH(X785,'Device Refrigerant Leakage'!$B$2:$B$42,0))*DF785/2204.62*DE785)</f>
        <v/>
      </c>
      <c r="DJ785" s="146" t="str">
        <f>IF(W785&lt;&gt;"AR","",J785*(INDEX('Device Refrigerant Leakage'!$D$2:$D$42,MATCH(X785,'Device Refrigerant Leakage'!$B$2:$B$42,0))-(INDEX('Device Refrigerant Leakage'!$D$2:$D$42,MATCH(X785,'Device Refrigerant Leakage'!$B$2:$B$42,0)))*DH785*DF785)*DG785/2204.62*DE785)</f>
        <v/>
      </c>
      <c r="DK785" s="146" t="str">
        <f>IF(W785&lt;&gt;"AR","",DI785*(K785-AB785)+'Fuel Sub Calcs-Deemed'!DJ785*((K785-AB785)/INDEX('Device Refrigerant Leakage'!$C$2:$C$42,MATCH('Fuel Sub Calcs-Deemed'!X785,'Device Refrigerant Leakage'!$B$2:$B$42,0))))</f>
        <v/>
      </c>
      <c r="DM785" s="56">
        <v>771</v>
      </c>
      <c r="DN785" s="67" t="e">
        <f t="shared" si="942"/>
        <v>#N/A</v>
      </c>
      <c r="DO785" s="45" t="e">
        <f t="shared" si="943"/>
        <v>#N/A</v>
      </c>
      <c r="DP785" s="67" t="e">
        <f t="shared" si="944"/>
        <v>#N/A</v>
      </c>
      <c r="DQ785" s="45" t="e">
        <f t="shared" si="945"/>
        <v>#N/A</v>
      </c>
      <c r="DR785" s="69" t="e">
        <f t="shared" si="946"/>
        <v>#N/A</v>
      </c>
      <c r="DS785" s="34"/>
      <c r="DT785" s="67" t="e">
        <f>((BX785*CJ785)+IF($W785=MAT_AR,(BZ785*CL785),0))*(1+Reference!$E$50+Reference!$E$51)</f>
        <v>#N/A</v>
      </c>
      <c r="DU785" s="67">
        <f>((BY785*CK785)+IF($W785=MAT_AR,(CA785*CM785),0))*(1+Reference!$G$50+Reference!$G$51)</f>
        <v>0</v>
      </c>
      <c r="DV785" s="67" t="e">
        <f t="shared" si="947"/>
        <v>#VALUE!</v>
      </c>
      <c r="DX785" s="56">
        <v>771</v>
      </c>
      <c r="DY785" s="67">
        <f t="shared" si="948"/>
        <v>0</v>
      </c>
      <c r="DZ785" s="45" t="e">
        <f>VLOOKUP($R785,Dropdown!$C$3:$D$4,2,FALSE)</f>
        <v>#N/A</v>
      </c>
      <c r="EA785" s="68">
        <f t="shared" si="949"/>
        <v>0</v>
      </c>
      <c r="EB785" s="68" t="str">
        <f t="shared" si="950"/>
        <v>N/A</v>
      </c>
      <c r="EC785" s="68">
        <f t="shared" si="951"/>
        <v>0</v>
      </c>
      <c r="ED785" s="68" t="str">
        <f t="shared" si="921"/>
        <v>N/A</v>
      </c>
      <c r="EF785" s="56">
        <v>771</v>
      </c>
      <c r="EG785" s="46">
        <f t="shared" si="952"/>
        <v>0</v>
      </c>
      <c r="EH785" s="68" t="e">
        <f t="shared" si="953"/>
        <v>#N/A</v>
      </c>
      <c r="EI785" s="68" t="e">
        <f t="shared" si="954"/>
        <v>#N/A</v>
      </c>
      <c r="EJ785" s="68" t="e">
        <f t="shared" si="955"/>
        <v>#N/A</v>
      </c>
      <c r="EK785" s="68" t="e">
        <f t="shared" si="956"/>
        <v>#N/A</v>
      </c>
      <c r="EL785" s="46">
        <f t="shared" si="957"/>
        <v>0</v>
      </c>
      <c r="EM785" s="46">
        <f t="shared" si="958"/>
        <v>0</v>
      </c>
    </row>
    <row r="786" spans="1:143">
      <c r="A786" s="89"/>
      <c r="B786" s="89"/>
      <c r="C786" s="89"/>
      <c r="D786" s="89"/>
      <c r="E786" s="89"/>
      <c r="F786" s="89"/>
      <c r="G786" s="34"/>
      <c r="H786" s="56">
        <f t="shared" si="959"/>
        <v>772</v>
      </c>
      <c r="I786" s="165"/>
      <c r="J786" s="163"/>
      <c r="K786" s="163"/>
      <c r="L786" s="164"/>
      <c r="M786" s="155"/>
      <c r="N786" s="155"/>
      <c r="O786" s="144"/>
      <c r="P786" s="159" t="str">
        <f>IFERROR(IF(O786&lt;&gt;"User Specified",IF(O786&lt;&gt;"", INDEX('Refrigerant GWPs'!$G$2:$G$154,MATCH(O786,'Refrigerant GWPs'!$A$2:$A$154,0)),""),U786),0)</f>
        <v/>
      </c>
      <c r="Q786" s="155"/>
      <c r="R786" s="155"/>
      <c r="S786" s="144"/>
      <c r="T786" s="159" t="str">
        <f>IF(S786&lt;&gt;"User Specified",IF(AND(S786&lt;&gt;"User Specified",S786&lt;&gt;""), INDEX('Refrigerant GWPs'!$G$2:$G$154,MATCH(S786,'Refrigerant GWPs'!$A$2:$A$154,0)),""),V786)</f>
        <v/>
      </c>
      <c r="U786" s="144"/>
      <c r="V786" s="144"/>
      <c r="W786" s="155"/>
      <c r="X786" s="155"/>
      <c r="Y786" s="144"/>
      <c r="Z786" s="159" t="str">
        <f>IF(AND(Y786&lt;&gt;"User Specified",Y786&lt;&gt;""), INDEX('Refrigerant GWPs'!$G$2:$G$154,MATCH(Y786,'Refrigerant GWPs'!$A$2:$A$154,0)),"")</f>
        <v/>
      </c>
      <c r="AA786" s="155"/>
      <c r="AB786" s="156"/>
      <c r="AC786" s="66"/>
      <c r="AD786" s="66"/>
      <c r="AE786" s="66"/>
      <c r="AF786" s="66"/>
      <c r="AG786" s="66"/>
      <c r="AH786" s="66"/>
      <c r="AI786" s="34"/>
      <c r="AJ786" s="88">
        <f t="shared" si="922"/>
        <v>0</v>
      </c>
      <c r="AK786" s="88">
        <f t="shared" si="923"/>
        <v>0</v>
      </c>
      <c r="AL786" s="88">
        <v>0</v>
      </c>
      <c r="AM786" s="88">
        <v>0</v>
      </c>
      <c r="AN786" s="81" t="str">
        <f t="shared" si="893"/>
        <v/>
      </c>
      <c r="AO786" s="88">
        <f t="shared" si="924"/>
        <v>0</v>
      </c>
      <c r="AP786" s="88">
        <f t="shared" si="925"/>
        <v>0</v>
      </c>
      <c r="AQ786" s="81" t="str">
        <f t="shared" si="926"/>
        <v/>
      </c>
      <c r="AS786" s="41" t="b">
        <f t="shared" si="927"/>
        <v>1</v>
      </c>
      <c r="AT786" s="38">
        <f t="shared" si="928"/>
        <v>0</v>
      </c>
      <c r="AU786" s="60">
        <f t="shared" si="929"/>
        <v>0</v>
      </c>
      <c r="AV786" s="41">
        <f t="shared" si="930"/>
        <v>0</v>
      </c>
      <c r="AW786" s="41" t="b">
        <f t="shared" si="931"/>
        <v>0</v>
      </c>
      <c r="AX786" t="str">
        <f t="shared" si="932"/>
        <v>+00</v>
      </c>
      <c r="AY786" t="str">
        <f t="shared" si="933"/>
        <v>+00</v>
      </c>
      <c r="BA786" s="47" t="b">
        <f t="shared" si="894"/>
        <v>1</v>
      </c>
      <c r="BB786" s="42" t="b">
        <f t="shared" si="895"/>
        <v>1</v>
      </c>
      <c r="BC786" s="42" t="b">
        <f t="shared" si="896"/>
        <v>0</v>
      </c>
      <c r="BD786" s="42" t="b">
        <f t="shared" si="897"/>
        <v>0</v>
      </c>
      <c r="BE786" s="70">
        <f t="shared" si="898"/>
        <v>0</v>
      </c>
      <c r="BF786" s="70">
        <f t="shared" si="899"/>
        <v>0</v>
      </c>
      <c r="BG786" s="34"/>
      <c r="BI786" s="47" t="b">
        <f t="shared" si="900"/>
        <v>1</v>
      </c>
      <c r="BJ786" s="47" t="b">
        <f t="shared" si="901"/>
        <v>1</v>
      </c>
      <c r="BK786" s="42" t="b">
        <f t="shared" si="902"/>
        <v>0</v>
      </c>
      <c r="BL786" s="42" t="b">
        <f t="shared" si="903"/>
        <v>0</v>
      </c>
      <c r="BM786" s="42">
        <f t="shared" si="904"/>
        <v>0</v>
      </c>
      <c r="BN786" s="42">
        <f t="shared" si="905"/>
        <v>0</v>
      </c>
      <c r="BP786" t="e">
        <f t="shared" si="906"/>
        <v>#N/A</v>
      </c>
      <c r="BQ786" t="e">
        <f t="shared" si="907"/>
        <v>#N/A</v>
      </c>
      <c r="BR786" t="e">
        <f t="shared" si="908"/>
        <v>#N/A</v>
      </c>
      <c r="BT786" s="60">
        <f t="shared" si="909"/>
        <v>0</v>
      </c>
      <c r="BU786" s="60">
        <f t="shared" si="910"/>
        <v>0</v>
      </c>
      <c r="BV786" s="60">
        <f t="shared" si="911"/>
        <v>0</v>
      </c>
      <c r="BW786" s="60">
        <f t="shared" si="912"/>
        <v>0</v>
      </c>
      <c r="BX786" s="60">
        <f t="shared" si="913"/>
        <v>0</v>
      </c>
      <c r="BY786" s="60">
        <f t="shared" si="914"/>
        <v>0</v>
      </c>
      <c r="BZ786" s="60">
        <f t="shared" si="915"/>
        <v>0</v>
      </c>
      <c r="CA786" s="60">
        <f t="shared" si="916"/>
        <v>0</v>
      </c>
      <c r="CB786" s="60" t="e">
        <f t="shared" si="934"/>
        <v>#N/A</v>
      </c>
      <c r="CC786" s="60">
        <f t="shared" si="935"/>
        <v>100000</v>
      </c>
      <c r="CD786" s="60" t="e">
        <f t="shared" si="936"/>
        <v>#N/A</v>
      </c>
      <c r="CE786" s="60">
        <f t="shared" si="937"/>
        <v>100000</v>
      </c>
      <c r="CF786" s="83" t="e">
        <f t="shared" si="917"/>
        <v>#N/A</v>
      </c>
      <c r="CG786" s="83">
        <f t="shared" si="918"/>
        <v>0</v>
      </c>
      <c r="CH786" s="83" t="e">
        <f t="shared" si="919"/>
        <v>#N/A</v>
      </c>
      <c r="CI786" s="83">
        <f t="shared" si="920"/>
        <v>0</v>
      </c>
      <c r="CJ786" s="86" t="e">
        <f t="shared" si="938"/>
        <v>#N/A</v>
      </c>
      <c r="CK786" s="82">
        <f t="shared" si="939"/>
        <v>5.3070370403969858E-3</v>
      </c>
      <c r="CL786" s="82" t="e">
        <f t="shared" si="940"/>
        <v>#N/A</v>
      </c>
      <c r="CM786" s="82">
        <f t="shared" si="941"/>
        <v>5.3070370403969858E-3</v>
      </c>
      <c r="CO786" s="149" t="str">
        <f>IF($I786&lt;&gt;"",IF(O786="User Specified",U786,INDEX('Refrigerant GWPs'!$G$2:$G$156,MATCH(O786,'Refrigerant GWPs'!$A$2:$A$156,0))),"")</f>
        <v/>
      </c>
      <c r="CP786" s="138" t="str">
        <f>IF($I786&lt;&gt;"",INDEX('Device Refrigerant Leakage'!$E$2:$E$42,MATCH($M786,'Device Refrigerant Leakage'!$B$2:$B$42,0)),"")</f>
        <v/>
      </c>
      <c r="CQ786" s="138" t="str">
        <f>IF($I786&lt;&gt;"",INDEX('Device Refrigerant Leakage'!$F$2:$F$42,MATCH($M786,'Device Refrigerant Leakage'!$B$2:$B$42,0)),"")</f>
        <v/>
      </c>
      <c r="CR786" s="145" t="str">
        <f>IF($I786&lt;&gt;"",INDEX('Device Refrigerant Leakage'!$G$2:$G$42,MATCH($M786,'Device Refrigerant Leakage'!$B$2:$B$42,0)),"")</f>
        <v/>
      </c>
      <c r="CS786" s="145" t="str">
        <f>IF($I786&lt;&gt;"",INDEX('Device Refrigerant Leakage'!$D$2:$D$42,MATCH($M786,'Device Refrigerant Leakage'!$B$2:$B$42,0))*CP786/2204.62*CO786,"")</f>
        <v/>
      </c>
      <c r="CT786" s="145" t="str">
        <f>IF($I786&lt;&gt;"",J786*(INDEX('Device Refrigerant Leakage'!$D$2:$D$42,MATCH($M786,'Device Refrigerant Leakage'!$B$2:$B$42,0))-(INDEX('Device Refrigerant Leakage'!$D$2:$D$42,MATCH($M786,'Device Refrigerant Leakage'!$B$2:$B$42,0)))*CR786*CP786)*CQ786/2204.62*CO786,"")</f>
        <v/>
      </c>
      <c r="CU786" s="135" t="str">
        <f>IF($I786&lt;&gt;"",J786*IF(W786&lt;&gt;"AR",(CS786*K786)+CT786,(CS786*AB786)+CT786*(AB786/INDEX('Device Refrigerant Leakage'!$C$2:$C$42,MATCH($M786,'Device Refrigerant Leakage'!$B$2:$B$42,0)))),"")</f>
        <v/>
      </c>
      <c r="CW786" s="135" t="str">
        <f>IF($I786&lt;&gt;"",IF(S786="User Specified",V786,INDEX('Refrigerant GWPs'!$G$2:$G$156,MATCH(S786,'Refrigerant GWPs'!$A$2:$A$157,0))),"")</f>
        <v/>
      </c>
      <c r="CX786" s="138" t="str">
        <f>IF($I786&lt;&gt;"",INDEX('Device Refrigerant Leakage'!$E$2:$E$42,MATCH($Q786,'Device Refrigerant Leakage'!$B$2:$B$42,0)),"")</f>
        <v/>
      </c>
      <c r="CY786" s="138" t="str">
        <f>IF($I786&lt;&gt;"",INDEX('Device Refrigerant Leakage'!$F$2:$F$42,MATCH($Q786,'Device Refrigerant Leakage'!$B$2:$B$42,0)),"")</f>
        <v/>
      </c>
      <c r="CZ786" s="145" t="str">
        <f>IF($I786&lt;&gt;"",INDEX('Device Refrigerant Leakage'!$G$2:$G$42,MATCH($Q786,'Device Refrigerant Leakage'!$B$2:$B$42,0)),"")</f>
        <v/>
      </c>
      <c r="DA786" s="145" t="str">
        <f>IF($I786&lt;&gt;"",J786*INDEX('Device Refrigerant Leakage'!$D$2:$D$42,MATCH($Q786,'Device Refrigerant Leakage'!$B$2:$B$42,0))*CX786/2204.62*CW786,"")</f>
        <v/>
      </c>
      <c r="DB786" s="145" t="str">
        <f>IF($I786&lt;&gt;"",J786*(INDEX('Device Refrigerant Leakage'!$D$2:$D$42,MATCH($Q786,'Device Refrigerant Leakage'!$B$2:$B$42,0))-(INDEX('Device Refrigerant Leakage'!$D$2:$D$42,MATCH($Q786,'Device Refrigerant Leakage'!$B$2:$B$42,0)))*CZ786*CX786)*CY786/2204.62*CW786,"")</f>
        <v/>
      </c>
      <c r="DC786" s="135" t="str">
        <f t="shared" si="960"/>
        <v/>
      </c>
      <c r="DE786" s="146" t="str">
        <f>IF(W786&lt;&gt;"AR","",IF(Y786="User Specified", AA786, INDEX('Refrigerant GWPs'!$G$2:$G$154,MATCH(Y786,'Refrigerant GWPs'!$A$2:$A$154,0))))</f>
        <v/>
      </c>
      <c r="DF786" s="146" t="str">
        <f>IF(W786&lt;&gt;"AR","",INDEX('Device Refrigerant Leakage'!$E$2:$E$42,MATCH(X786,'Device Refrigerant Leakage'!$B$2:$B$42,0)))</f>
        <v/>
      </c>
      <c r="DG786" s="146" t="str">
        <f>IF(W786&lt;&gt;"AR","",INDEX('Device Refrigerant Leakage'!$F$2:$F$42,MATCH(X786,'Device Refrigerant Leakage'!$B$2:$B$42,0)))</f>
        <v/>
      </c>
      <c r="DH786" s="146" t="str">
        <f>IF(W786&lt;&gt;"AR","",INDEX('Device Refrigerant Leakage'!$G$2:$G$42,MATCH(X786,'Device Refrigerant Leakage'!$B$2:$B$42,0)))</f>
        <v/>
      </c>
      <c r="DI786" s="146" t="str">
        <f>IF(W786&lt;&gt;"AR","",J786*INDEX('Device Refrigerant Leakage'!$D$2:$D$42,MATCH(X786,'Device Refrigerant Leakage'!$B$2:$B$42,0))*DF786/2204.62*DE786)</f>
        <v/>
      </c>
      <c r="DJ786" s="146" t="str">
        <f>IF(W786&lt;&gt;"AR","",J786*(INDEX('Device Refrigerant Leakage'!$D$2:$D$42,MATCH(X786,'Device Refrigerant Leakage'!$B$2:$B$42,0))-(INDEX('Device Refrigerant Leakage'!$D$2:$D$42,MATCH(X786,'Device Refrigerant Leakage'!$B$2:$B$42,0)))*DH786*DF786)*DG786/2204.62*DE786)</f>
        <v/>
      </c>
      <c r="DK786" s="146" t="str">
        <f>IF(W786&lt;&gt;"AR","",DI786*(K786-AB786)+'Fuel Sub Calcs-Deemed'!DJ786*((K786-AB786)/INDEX('Device Refrigerant Leakage'!$C$2:$C$42,MATCH('Fuel Sub Calcs-Deemed'!X786,'Device Refrigerant Leakage'!$B$2:$B$42,0))))</f>
        <v/>
      </c>
      <c r="DM786" s="56">
        <v>772</v>
      </c>
      <c r="DN786" s="67" t="e">
        <f t="shared" si="942"/>
        <v>#N/A</v>
      </c>
      <c r="DO786" s="45" t="e">
        <f t="shared" si="943"/>
        <v>#N/A</v>
      </c>
      <c r="DP786" s="67" t="e">
        <f t="shared" si="944"/>
        <v>#N/A</v>
      </c>
      <c r="DQ786" s="45" t="e">
        <f t="shared" si="945"/>
        <v>#N/A</v>
      </c>
      <c r="DR786" s="69" t="e">
        <f t="shared" si="946"/>
        <v>#N/A</v>
      </c>
      <c r="DS786" s="34"/>
      <c r="DT786" s="67" t="e">
        <f>((BX786*CJ786)+IF($W786=MAT_AR,(BZ786*CL786),0))*(1+Reference!$E$50+Reference!$E$51)</f>
        <v>#N/A</v>
      </c>
      <c r="DU786" s="67">
        <f>((BY786*CK786)+IF($W786=MAT_AR,(CA786*CM786),0))*(1+Reference!$G$50+Reference!$G$51)</f>
        <v>0</v>
      </c>
      <c r="DV786" s="67" t="e">
        <f t="shared" si="947"/>
        <v>#VALUE!</v>
      </c>
      <c r="DX786" s="56">
        <v>772</v>
      </c>
      <c r="DY786" s="67">
        <f t="shared" si="948"/>
        <v>0</v>
      </c>
      <c r="DZ786" s="45" t="e">
        <f>VLOOKUP($R786,Dropdown!$C$3:$D$4,2,FALSE)</f>
        <v>#N/A</v>
      </c>
      <c r="EA786" s="68">
        <f t="shared" si="949"/>
        <v>0</v>
      </c>
      <c r="EB786" s="68" t="str">
        <f t="shared" si="950"/>
        <v>N/A</v>
      </c>
      <c r="EC786" s="68">
        <f t="shared" si="951"/>
        <v>0</v>
      </c>
      <c r="ED786" s="68" t="str">
        <f t="shared" si="921"/>
        <v>N/A</v>
      </c>
      <c r="EF786" s="56">
        <v>772</v>
      </c>
      <c r="EG786" s="46">
        <f t="shared" si="952"/>
        <v>0</v>
      </c>
      <c r="EH786" s="68" t="e">
        <f t="shared" si="953"/>
        <v>#N/A</v>
      </c>
      <c r="EI786" s="68" t="e">
        <f t="shared" si="954"/>
        <v>#N/A</v>
      </c>
      <c r="EJ786" s="68" t="e">
        <f t="shared" si="955"/>
        <v>#N/A</v>
      </c>
      <c r="EK786" s="68" t="e">
        <f t="shared" si="956"/>
        <v>#N/A</v>
      </c>
      <c r="EL786" s="46">
        <f t="shared" si="957"/>
        <v>0</v>
      </c>
      <c r="EM786" s="46">
        <f t="shared" si="958"/>
        <v>0</v>
      </c>
    </row>
    <row r="787" spans="1:143">
      <c r="A787" s="89"/>
      <c r="B787" s="89"/>
      <c r="C787" s="89"/>
      <c r="D787" s="89"/>
      <c r="E787" s="89"/>
      <c r="F787" s="89"/>
      <c r="G787" s="34"/>
      <c r="H787" s="56">
        <f t="shared" si="959"/>
        <v>773</v>
      </c>
      <c r="I787" s="165"/>
      <c r="J787" s="163"/>
      <c r="K787" s="163"/>
      <c r="L787" s="164"/>
      <c r="M787" s="155"/>
      <c r="N787" s="155"/>
      <c r="O787" s="144"/>
      <c r="P787" s="159" t="str">
        <f>IFERROR(IF(O787&lt;&gt;"User Specified",IF(O787&lt;&gt;"", INDEX('Refrigerant GWPs'!$G$2:$G$154,MATCH(O787,'Refrigerant GWPs'!$A$2:$A$154,0)),""),U787),0)</f>
        <v/>
      </c>
      <c r="Q787" s="155"/>
      <c r="R787" s="155"/>
      <c r="S787" s="144"/>
      <c r="T787" s="159" t="str">
        <f>IF(S787&lt;&gt;"User Specified",IF(AND(S787&lt;&gt;"User Specified",S787&lt;&gt;""), INDEX('Refrigerant GWPs'!$G$2:$G$154,MATCH(S787,'Refrigerant GWPs'!$A$2:$A$154,0)),""),V787)</f>
        <v/>
      </c>
      <c r="U787" s="144"/>
      <c r="V787" s="144"/>
      <c r="W787" s="155"/>
      <c r="X787" s="155"/>
      <c r="Y787" s="144"/>
      <c r="Z787" s="159" t="str">
        <f>IF(AND(Y787&lt;&gt;"User Specified",Y787&lt;&gt;""), INDEX('Refrigerant GWPs'!$G$2:$G$154,MATCH(Y787,'Refrigerant GWPs'!$A$2:$A$154,0)),"")</f>
        <v/>
      </c>
      <c r="AA787" s="155"/>
      <c r="AB787" s="156"/>
      <c r="AC787" s="66"/>
      <c r="AD787" s="66"/>
      <c r="AE787" s="66"/>
      <c r="AF787" s="66"/>
      <c r="AG787" s="66"/>
      <c r="AH787" s="66"/>
      <c r="AI787" s="34"/>
      <c r="AJ787" s="88">
        <f t="shared" si="922"/>
        <v>0</v>
      </c>
      <c r="AK787" s="88">
        <f t="shared" si="923"/>
        <v>0</v>
      </c>
      <c r="AL787" s="88">
        <v>0</v>
      </c>
      <c r="AM787" s="88">
        <v>0</v>
      </c>
      <c r="AN787" s="81" t="str">
        <f t="shared" si="893"/>
        <v/>
      </c>
      <c r="AO787" s="88">
        <f t="shared" si="924"/>
        <v>0</v>
      </c>
      <c r="AP787" s="88">
        <f t="shared" si="925"/>
        <v>0</v>
      </c>
      <c r="AQ787" s="81" t="str">
        <f t="shared" si="926"/>
        <v/>
      </c>
      <c r="AS787" s="41" t="b">
        <f t="shared" si="927"/>
        <v>1</v>
      </c>
      <c r="AT787" s="38">
        <f t="shared" si="928"/>
        <v>0</v>
      </c>
      <c r="AU787" s="60">
        <f t="shared" si="929"/>
        <v>0</v>
      </c>
      <c r="AV787" s="41">
        <f t="shared" si="930"/>
        <v>0</v>
      </c>
      <c r="AW787" s="41" t="b">
        <f t="shared" si="931"/>
        <v>0</v>
      </c>
      <c r="AX787" t="str">
        <f t="shared" si="932"/>
        <v>+00</v>
      </c>
      <c r="AY787" t="str">
        <f t="shared" si="933"/>
        <v>+00</v>
      </c>
      <c r="BA787" s="47" t="b">
        <f t="shared" si="894"/>
        <v>1</v>
      </c>
      <c r="BB787" s="42" t="b">
        <f t="shared" si="895"/>
        <v>1</v>
      </c>
      <c r="BC787" s="42" t="b">
        <f t="shared" si="896"/>
        <v>0</v>
      </c>
      <c r="BD787" s="42" t="b">
        <f t="shared" si="897"/>
        <v>0</v>
      </c>
      <c r="BE787" s="70">
        <f t="shared" si="898"/>
        <v>0</v>
      </c>
      <c r="BF787" s="70">
        <f t="shared" si="899"/>
        <v>0</v>
      </c>
      <c r="BG787" s="34"/>
      <c r="BI787" s="47" t="b">
        <f t="shared" si="900"/>
        <v>1</v>
      </c>
      <c r="BJ787" s="47" t="b">
        <f t="shared" si="901"/>
        <v>1</v>
      </c>
      <c r="BK787" s="42" t="b">
        <f t="shared" si="902"/>
        <v>0</v>
      </c>
      <c r="BL787" s="42" t="b">
        <f t="shared" si="903"/>
        <v>0</v>
      </c>
      <c r="BM787" s="42">
        <f t="shared" si="904"/>
        <v>0</v>
      </c>
      <c r="BN787" s="42">
        <f t="shared" si="905"/>
        <v>0</v>
      </c>
      <c r="BP787" t="e">
        <f t="shared" si="906"/>
        <v>#N/A</v>
      </c>
      <c r="BQ787" t="e">
        <f t="shared" si="907"/>
        <v>#N/A</v>
      </c>
      <c r="BR787" t="e">
        <f t="shared" si="908"/>
        <v>#N/A</v>
      </c>
      <c r="BT787" s="60">
        <f t="shared" si="909"/>
        <v>0</v>
      </c>
      <c r="BU787" s="60">
        <f t="shared" si="910"/>
        <v>0</v>
      </c>
      <c r="BV787" s="60">
        <f t="shared" si="911"/>
        <v>0</v>
      </c>
      <c r="BW787" s="60">
        <f t="shared" si="912"/>
        <v>0</v>
      </c>
      <c r="BX787" s="60">
        <f t="shared" si="913"/>
        <v>0</v>
      </c>
      <c r="BY787" s="60">
        <f t="shared" si="914"/>
        <v>0</v>
      </c>
      <c r="BZ787" s="60">
        <f t="shared" si="915"/>
        <v>0</v>
      </c>
      <c r="CA787" s="60">
        <f t="shared" si="916"/>
        <v>0</v>
      </c>
      <c r="CB787" s="60" t="e">
        <f t="shared" si="934"/>
        <v>#N/A</v>
      </c>
      <c r="CC787" s="60">
        <f t="shared" si="935"/>
        <v>100000</v>
      </c>
      <c r="CD787" s="60" t="e">
        <f t="shared" si="936"/>
        <v>#N/A</v>
      </c>
      <c r="CE787" s="60">
        <f t="shared" si="937"/>
        <v>100000</v>
      </c>
      <c r="CF787" s="83" t="e">
        <f t="shared" si="917"/>
        <v>#N/A</v>
      </c>
      <c r="CG787" s="83">
        <f t="shared" si="918"/>
        <v>0</v>
      </c>
      <c r="CH787" s="83" t="e">
        <f t="shared" si="919"/>
        <v>#N/A</v>
      </c>
      <c r="CI787" s="83">
        <f t="shared" si="920"/>
        <v>0</v>
      </c>
      <c r="CJ787" s="86" t="e">
        <f t="shared" si="938"/>
        <v>#N/A</v>
      </c>
      <c r="CK787" s="82">
        <f t="shared" si="939"/>
        <v>5.3070370403969858E-3</v>
      </c>
      <c r="CL787" s="82" t="e">
        <f t="shared" si="940"/>
        <v>#N/A</v>
      </c>
      <c r="CM787" s="82">
        <f t="shared" si="941"/>
        <v>5.3070370403969858E-3</v>
      </c>
      <c r="CO787" s="149" t="str">
        <f>IF($I787&lt;&gt;"",IF(O787="User Specified",U787,INDEX('Refrigerant GWPs'!$G$2:$G$156,MATCH(O787,'Refrigerant GWPs'!$A$2:$A$156,0))),"")</f>
        <v/>
      </c>
      <c r="CP787" s="138" t="str">
        <f>IF($I787&lt;&gt;"",INDEX('Device Refrigerant Leakage'!$E$2:$E$42,MATCH($M787,'Device Refrigerant Leakage'!$B$2:$B$42,0)),"")</f>
        <v/>
      </c>
      <c r="CQ787" s="138" t="str">
        <f>IF($I787&lt;&gt;"",INDEX('Device Refrigerant Leakage'!$F$2:$F$42,MATCH($M787,'Device Refrigerant Leakage'!$B$2:$B$42,0)),"")</f>
        <v/>
      </c>
      <c r="CR787" s="145" t="str">
        <f>IF($I787&lt;&gt;"",INDEX('Device Refrigerant Leakage'!$G$2:$G$42,MATCH($M787,'Device Refrigerant Leakage'!$B$2:$B$42,0)),"")</f>
        <v/>
      </c>
      <c r="CS787" s="145" t="str">
        <f>IF($I787&lt;&gt;"",INDEX('Device Refrigerant Leakage'!$D$2:$D$42,MATCH($M787,'Device Refrigerant Leakage'!$B$2:$B$42,0))*CP787/2204.62*CO787,"")</f>
        <v/>
      </c>
      <c r="CT787" s="145" t="str">
        <f>IF($I787&lt;&gt;"",J787*(INDEX('Device Refrigerant Leakage'!$D$2:$D$42,MATCH($M787,'Device Refrigerant Leakage'!$B$2:$B$42,0))-(INDEX('Device Refrigerant Leakage'!$D$2:$D$42,MATCH($M787,'Device Refrigerant Leakage'!$B$2:$B$42,0)))*CR787*CP787)*CQ787/2204.62*CO787,"")</f>
        <v/>
      </c>
      <c r="CU787" s="135" t="str">
        <f>IF($I787&lt;&gt;"",J787*IF(W787&lt;&gt;"AR",(CS787*K787)+CT787,(CS787*AB787)+CT787*(AB787/INDEX('Device Refrigerant Leakage'!$C$2:$C$42,MATCH($M787,'Device Refrigerant Leakage'!$B$2:$B$42,0)))),"")</f>
        <v/>
      </c>
      <c r="CW787" s="135" t="str">
        <f>IF($I787&lt;&gt;"",IF(S787="User Specified",V787,INDEX('Refrigerant GWPs'!$G$2:$G$156,MATCH(S787,'Refrigerant GWPs'!$A$2:$A$157,0))),"")</f>
        <v/>
      </c>
      <c r="CX787" s="138" t="str">
        <f>IF($I787&lt;&gt;"",INDEX('Device Refrigerant Leakage'!$E$2:$E$42,MATCH($Q787,'Device Refrigerant Leakage'!$B$2:$B$42,0)),"")</f>
        <v/>
      </c>
      <c r="CY787" s="138" t="str">
        <f>IF($I787&lt;&gt;"",INDEX('Device Refrigerant Leakage'!$F$2:$F$42,MATCH($Q787,'Device Refrigerant Leakage'!$B$2:$B$42,0)),"")</f>
        <v/>
      </c>
      <c r="CZ787" s="145" t="str">
        <f>IF($I787&lt;&gt;"",INDEX('Device Refrigerant Leakage'!$G$2:$G$42,MATCH($Q787,'Device Refrigerant Leakage'!$B$2:$B$42,0)),"")</f>
        <v/>
      </c>
      <c r="DA787" s="145" t="str">
        <f>IF($I787&lt;&gt;"",J787*INDEX('Device Refrigerant Leakage'!$D$2:$D$42,MATCH($Q787,'Device Refrigerant Leakage'!$B$2:$B$42,0))*CX787/2204.62*CW787,"")</f>
        <v/>
      </c>
      <c r="DB787" s="145" t="str">
        <f>IF($I787&lt;&gt;"",J787*(INDEX('Device Refrigerant Leakage'!$D$2:$D$42,MATCH($Q787,'Device Refrigerant Leakage'!$B$2:$B$42,0))-(INDEX('Device Refrigerant Leakage'!$D$2:$D$42,MATCH($Q787,'Device Refrigerant Leakage'!$B$2:$B$42,0)))*CZ787*CX787)*CY787/2204.62*CW787,"")</f>
        <v/>
      </c>
      <c r="DC787" s="135" t="str">
        <f t="shared" si="960"/>
        <v/>
      </c>
      <c r="DE787" s="146" t="str">
        <f>IF(W787&lt;&gt;"AR","",IF(Y787="User Specified", AA787, INDEX('Refrigerant GWPs'!$G$2:$G$154,MATCH(Y787,'Refrigerant GWPs'!$A$2:$A$154,0))))</f>
        <v/>
      </c>
      <c r="DF787" s="146" t="str">
        <f>IF(W787&lt;&gt;"AR","",INDEX('Device Refrigerant Leakage'!$E$2:$E$42,MATCH(X787,'Device Refrigerant Leakage'!$B$2:$B$42,0)))</f>
        <v/>
      </c>
      <c r="DG787" s="146" t="str">
        <f>IF(W787&lt;&gt;"AR","",INDEX('Device Refrigerant Leakage'!$F$2:$F$42,MATCH(X787,'Device Refrigerant Leakage'!$B$2:$B$42,0)))</f>
        <v/>
      </c>
      <c r="DH787" s="146" t="str">
        <f>IF(W787&lt;&gt;"AR","",INDEX('Device Refrigerant Leakage'!$G$2:$G$42,MATCH(X787,'Device Refrigerant Leakage'!$B$2:$B$42,0)))</f>
        <v/>
      </c>
      <c r="DI787" s="146" t="str">
        <f>IF(W787&lt;&gt;"AR","",J787*INDEX('Device Refrigerant Leakage'!$D$2:$D$42,MATCH(X787,'Device Refrigerant Leakage'!$B$2:$B$42,0))*DF787/2204.62*DE787)</f>
        <v/>
      </c>
      <c r="DJ787" s="146" t="str">
        <f>IF(W787&lt;&gt;"AR","",J787*(INDEX('Device Refrigerant Leakage'!$D$2:$D$42,MATCH(X787,'Device Refrigerant Leakage'!$B$2:$B$42,0))-(INDEX('Device Refrigerant Leakage'!$D$2:$D$42,MATCH(X787,'Device Refrigerant Leakage'!$B$2:$B$42,0)))*DH787*DF787)*DG787/2204.62*DE787)</f>
        <v/>
      </c>
      <c r="DK787" s="146" t="str">
        <f>IF(W787&lt;&gt;"AR","",DI787*(K787-AB787)+'Fuel Sub Calcs-Deemed'!DJ787*((K787-AB787)/INDEX('Device Refrigerant Leakage'!$C$2:$C$42,MATCH('Fuel Sub Calcs-Deemed'!X787,'Device Refrigerant Leakage'!$B$2:$B$42,0))))</f>
        <v/>
      </c>
      <c r="DM787" s="56">
        <v>773</v>
      </c>
      <c r="DN787" s="67" t="e">
        <f t="shared" si="942"/>
        <v>#N/A</v>
      </c>
      <c r="DO787" s="45" t="e">
        <f t="shared" si="943"/>
        <v>#N/A</v>
      </c>
      <c r="DP787" s="67" t="e">
        <f t="shared" si="944"/>
        <v>#N/A</v>
      </c>
      <c r="DQ787" s="45" t="e">
        <f t="shared" si="945"/>
        <v>#N/A</v>
      </c>
      <c r="DR787" s="69" t="e">
        <f t="shared" si="946"/>
        <v>#N/A</v>
      </c>
      <c r="DS787" s="34"/>
      <c r="DT787" s="67" t="e">
        <f>((BX787*CJ787)+IF($W787=MAT_AR,(BZ787*CL787),0))*(1+Reference!$E$50+Reference!$E$51)</f>
        <v>#N/A</v>
      </c>
      <c r="DU787" s="67">
        <f>((BY787*CK787)+IF($W787=MAT_AR,(CA787*CM787),0))*(1+Reference!$G$50+Reference!$G$51)</f>
        <v>0</v>
      </c>
      <c r="DV787" s="67" t="e">
        <f t="shared" si="947"/>
        <v>#VALUE!</v>
      </c>
      <c r="DX787" s="56">
        <v>773</v>
      </c>
      <c r="DY787" s="67">
        <f t="shared" si="948"/>
        <v>0</v>
      </c>
      <c r="DZ787" s="45" t="e">
        <f>VLOOKUP($R787,Dropdown!$C$3:$D$4,2,FALSE)</f>
        <v>#N/A</v>
      </c>
      <c r="EA787" s="68">
        <f t="shared" si="949"/>
        <v>0</v>
      </c>
      <c r="EB787" s="68" t="str">
        <f t="shared" si="950"/>
        <v>N/A</v>
      </c>
      <c r="EC787" s="68">
        <f t="shared" si="951"/>
        <v>0</v>
      </c>
      <c r="ED787" s="68" t="str">
        <f t="shared" si="921"/>
        <v>N/A</v>
      </c>
      <c r="EF787" s="56">
        <v>773</v>
      </c>
      <c r="EG787" s="46">
        <f t="shared" si="952"/>
        <v>0</v>
      </c>
      <c r="EH787" s="68" t="e">
        <f t="shared" si="953"/>
        <v>#N/A</v>
      </c>
      <c r="EI787" s="68" t="e">
        <f t="shared" si="954"/>
        <v>#N/A</v>
      </c>
      <c r="EJ787" s="68" t="e">
        <f t="shared" si="955"/>
        <v>#N/A</v>
      </c>
      <c r="EK787" s="68" t="e">
        <f t="shared" si="956"/>
        <v>#N/A</v>
      </c>
      <c r="EL787" s="46">
        <f t="shared" si="957"/>
        <v>0</v>
      </c>
      <c r="EM787" s="46">
        <f t="shared" si="958"/>
        <v>0</v>
      </c>
    </row>
    <row r="788" spans="1:143">
      <c r="A788" s="89"/>
      <c r="B788" s="89"/>
      <c r="C788" s="89"/>
      <c r="D788" s="89"/>
      <c r="E788" s="89"/>
      <c r="F788" s="89"/>
      <c r="G788" s="34"/>
      <c r="H788" s="56">
        <f t="shared" si="959"/>
        <v>774</v>
      </c>
      <c r="I788" s="165"/>
      <c r="J788" s="163"/>
      <c r="K788" s="163"/>
      <c r="L788" s="164"/>
      <c r="M788" s="155"/>
      <c r="N788" s="155"/>
      <c r="O788" s="144"/>
      <c r="P788" s="159" t="str">
        <f>IFERROR(IF(O788&lt;&gt;"User Specified",IF(O788&lt;&gt;"", INDEX('Refrigerant GWPs'!$G$2:$G$154,MATCH(O788,'Refrigerant GWPs'!$A$2:$A$154,0)),""),U788),0)</f>
        <v/>
      </c>
      <c r="Q788" s="155"/>
      <c r="R788" s="155"/>
      <c r="S788" s="144"/>
      <c r="T788" s="159" t="str">
        <f>IF(S788&lt;&gt;"User Specified",IF(AND(S788&lt;&gt;"User Specified",S788&lt;&gt;""), INDEX('Refrigerant GWPs'!$G$2:$G$154,MATCH(S788,'Refrigerant GWPs'!$A$2:$A$154,0)),""),V788)</f>
        <v/>
      </c>
      <c r="U788" s="144"/>
      <c r="V788" s="144"/>
      <c r="W788" s="155"/>
      <c r="X788" s="155"/>
      <c r="Y788" s="144"/>
      <c r="Z788" s="159" t="str">
        <f>IF(AND(Y788&lt;&gt;"User Specified",Y788&lt;&gt;""), INDEX('Refrigerant GWPs'!$G$2:$G$154,MATCH(Y788,'Refrigerant GWPs'!$A$2:$A$154,0)),"")</f>
        <v/>
      </c>
      <c r="AA788" s="155"/>
      <c r="AB788" s="156"/>
      <c r="AC788" s="66"/>
      <c r="AD788" s="66"/>
      <c r="AE788" s="66"/>
      <c r="AF788" s="66"/>
      <c r="AG788" s="66"/>
      <c r="AH788" s="66"/>
      <c r="AI788" s="34"/>
      <c r="AJ788" s="88">
        <f t="shared" si="922"/>
        <v>0</v>
      </c>
      <c r="AK788" s="88">
        <f t="shared" si="923"/>
        <v>0</v>
      </c>
      <c r="AL788" s="88">
        <v>0</v>
      </c>
      <c r="AM788" s="88">
        <v>0</v>
      </c>
      <c r="AN788" s="81" t="str">
        <f t="shared" si="893"/>
        <v/>
      </c>
      <c r="AO788" s="88">
        <f t="shared" si="924"/>
        <v>0</v>
      </c>
      <c r="AP788" s="88">
        <f t="shared" si="925"/>
        <v>0</v>
      </c>
      <c r="AQ788" s="81" t="str">
        <f t="shared" si="926"/>
        <v/>
      </c>
      <c r="AS788" s="41" t="b">
        <f t="shared" si="927"/>
        <v>1</v>
      </c>
      <c r="AT788" s="38">
        <f t="shared" si="928"/>
        <v>0</v>
      </c>
      <c r="AU788" s="60">
        <f t="shared" si="929"/>
        <v>0</v>
      </c>
      <c r="AV788" s="41">
        <f t="shared" si="930"/>
        <v>0</v>
      </c>
      <c r="AW788" s="41" t="b">
        <f t="shared" si="931"/>
        <v>0</v>
      </c>
      <c r="AX788" t="str">
        <f t="shared" si="932"/>
        <v>+00</v>
      </c>
      <c r="AY788" t="str">
        <f t="shared" si="933"/>
        <v>+00</v>
      </c>
      <c r="BA788" s="47" t="b">
        <f t="shared" si="894"/>
        <v>1</v>
      </c>
      <c r="BB788" s="42" t="b">
        <f t="shared" si="895"/>
        <v>1</v>
      </c>
      <c r="BC788" s="42" t="b">
        <f t="shared" si="896"/>
        <v>0</v>
      </c>
      <c r="BD788" s="42" t="b">
        <f t="shared" si="897"/>
        <v>0</v>
      </c>
      <c r="BE788" s="70">
        <f t="shared" si="898"/>
        <v>0</v>
      </c>
      <c r="BF788" s="70">
        <f t="shared" si="899"/>
        <v>0</v>
      </c>
      <c r="BG788" s="34"/>
      <c r="BI788" s="47" t="b">
        <f t="shared" si="900"/>
        <v>1</v>
      </c>
      <c r="BJ788" s="47" t="b">
        <f t="shared" si="901"/>
        <v>1</v>
      </c>
      <c r="BK788" s="42" t="b">
        <f t="shared" si="902"/>
        <v>0</v>
      </c>
      <c r="BL788" s="42" t="b">
        <f t="shared" si="903"/>
        <v>0</v>
      </c>
      <c r="BM788" s="42">
        <f t="shared" si="904"/>
        <v>0</v>
      </c>
      <c r="BN788" s="42">
        <f t="shared" si="905"/>
        <v>0</v>
      </c>
      <c r="BP788" t="e">
        <f t="shared" si="906"/>
        <v>#N/A</v>
      </c>
      <c r="BQ788" t="e">
        <f t="shared" si="907"/>
        <v>#N/A</v>
      </c>
      <c r="BR788" t="e">
        <f t="shared" si="908"/>
        <v>#N/A</v>
      </c>
      <c r="BT788" s="60">
        <f t="shared" si="909"/>
        <v>0</v>
      </c>
      <c r="BU788" s="60">
        <f t="shared" si="910"/>
        <v>0</v>
      </c>
      <c r="BV788" s="60">
        <f t="shared" si="911"/>
        <v>0</v>
      </c>
      <c r="BW788" s="60">
        <f t="shared" si="912"/>
        <v>0</v>
      </c>
      <c r="BX788" s="60">
        <f t="shared" si="913"/>
        <v>0</v>
      </c>
      <c r="BY788" s="60">
        <f t="shared" si="914"/>
        <v>0</v>
      </c>
      <c r="BZ788" s="60">
        <f t="shared" si="915"/>
        <v>0</v>
      </c>
      <c r="CA788" s="60">
        <f t="shared" si="916"/>
        <v>0</v>
      </c>
      <c r="CB788" s="60" t="e">
        <f t="shared" si="934"/>
        <v>#N/A</v>
      </c>
      <c r="CC788" s="60">
        <f t="shared" si="935"/>
        <v>100000</v>
      </c>
      <c r="CD788" s="60" t="e">
        <f t="shared" si="936"/>
        <v>#N/A</v>
      </c>
      <c r="CE788" s="60">
        <f t="shared" si="937"/>
        <v>100000</v>
      </c>
      <c r="CF788" s="83" t="e">
        <f t="shared" si="917"/>
        <v>#N/A</v>
      </c>
      <c r="CG788" s="83">
        <f t="shared" si="918"/>
        <v>0</v>
      </c>
      <c r="CH788" s="83" t="e">
        <f t="shared" si="919"/>
        <v>#N/A</v>
      </c>
      <c r="CI788" s="83">
        <f t="shared" si="920"/>
        <v>0</v>
      </c>
      <c r="CJ788" s="86" t="e">
        <f t="shared" si="938"/>
        <v>#N/A</v>
      </c>
      <c r="CK788" s="82">
        <f t="shared" si="939"/>
        <v>5.3070370403969858E-3</v>
      </c>
      <c r="CL788" s="82" t="e">
        <f t="shared" si="940"/>
        <v>#N/A</v>
      </c>
      <c r="CM788" s="82">
        <f t="shared" si="941"/>
        <v>5.3070370403969858E-3</v>
      </c>
      <c r="CO788" s="149" t="str">
        <f>IF($I788&lt;&gt;"",IF(O788="User Specified",U788,INDEX('Refrigerant GWPs'!$G$2:$G$156,MATCH(O788,'Refrigerant GWPs'!$A$2:$A$156,0))),"")</f>
        <v/>
      </c>
      <c r="CP788" s="138" t="str">
        <f>IF($I788&lt;&gt;"",INDEX('Device Refrigerant Leakage'!$E$2:$E$42,MATCH($M788,'Device Refrigerant Leakage'!$B$2:$B$42,0)),"")</f>
        <v/>
      </c>
      <c r="CQ788" s="138" t="str">
        <f>IF($I788&lt;&gt;"",INDEX('Device Refrigerant Leakage'!$F$2:$F$42,MATCH($M788,'Device Refrigerant Leakage'!$B$2:$B$42,0)),"")</f>
        <v/>
      </c>
      <c r="CR788" s="145" t="str">
        <f>IF($I788&lt;&gt;"",INDEX('Device Refrigerant Leakage'!$G$2:$G$42,MATCH($M788,'Device Refrigerant Leakage'!$B$2:$B$42,0)),"")</f>
        <v/>
      </c>
      <c r="CS788" s="145" t="str">
        <f>IF($I788&lt;&gt;"",INDEX('Device Refrigerant Leakage'!$D$2:$D$42,MATCH($M788,'Device Refrigerant Leakage'!$B$2:$B$42,0))*CP788/2204.62*CO788,"")</f>
        <v/>
      </c>
      <c r="CT788" s="145" t="str">
        <f>IF($I788&lt;&gt;"",J788*(INDEX('Device Refrigerant Leakage'!$D$2:$D$42,MATCH($M788,'Device Refrigerant Leakage'!$B$2:$B$42,0))-(INDEX('Device Refrigerant Leakage'!$D$2:$D$42,MATCH($M788,'Device Refrigerant Leakage'!$B$2:$B$42,0)))*CR788*CP788)*CQ788/2204.62*CO788,"")</f>
        <v/>
      </c>
      <c r="CU788" s="135" t="str">
        <f>IF($I788&lt;&gt;"",J788*IF(W788&lt;&gt;"AR",(CS788*K788)+CT788,(CS788*AB788)+CT788*(AB788/INDEX('Device Refrigerant Leakage'!$C$2:$C$42,MATCH($M788,'Device Refrigerant Leakage'!$B$2:$B$42,0)))),"")</f>
        <v/>
      </c>
      <c r="CW788" s="135" t="str">
        <f>IF($I788&lt;&gt;"",IF(S788="User Specified",V788,INDEX('Refrigerant GWPs'!$G$2:$G$156,MATCH(S788,'Refrigerant GWPs'!$A$2:$A$157,0))),"")</f>
        <v/>
      </c>
      <c r="CX788" s="138" t="str">
        <f>IF($I788&lt;&gt;"",INDEX('Device Refrigerant Leakage'!$E$2:$E$42,MATCH($Q788,'Device Refrigerant Leakage'!$B$2:$B$42,0)),"")</f>
        <v/>
      </c>
      <c r="CY788" s="138" t="str">
        <f>IF($I788&lt;&gt;"",INDEX('Device Refrigerant Leakage'!$F$2:$F$42,MATCH($Q788,'Device Refrigerant Leakage'!$B$2:$B$42,0)),"")</f>
        <v/>
      </c>
      <c r="CZ788" s="145" t="str">
        <f>IF($I788&lt;&gt;"",INDEX('Device Refrigerant Leakage'!$G$2:$G$42,MATCH($Q788,'Device Refrigerant Leakage'!$B$2:$B$42,0)),"")</f>
        <v/>
      </c>
      <c r="DA788" s="145" t="str">
        <f>IF($I788&lt;&gt;"",J788*INDEX('Device Refrigerant Leakage'!$D$2:$D$42,MATCH($Q788,'Device Refrigerant Leakage'!$B$2:$B$42,0))*CX788/2204.62*CW788,"")</f>
        <v/>
      </c>
      <c r="DB788" s="145" t="str">
        <f>IF($I788&lt;&gt;"",J788*(INDEX('Device Refrigerant Leakage'!$D$2:$D$42,MATCH($Q788,'Device Refrigerant Leakage'!$B$2:$B$42,0))-(INDEX('Device Refrigerant Leakage'!$D$2:$D$42,MATCH($Q788,'Device Refrigerant Leakage'!$B$2:$B$42,0)))*CZ788*CX788)*CY788/2204.62*CW788,"")</f>
        <v/>
      </c>
      <c r="DC788" s="135" t="str">
        <f t="shared" si="960"/>
        <v/>
      </c>
      <c r="DE788" s="146" t="str">
        <f>IF(W788&lt;&gt;"AR","",IF(Y788="User Specified", AA788, INDEX('Refrigerant GWPs'!$G$2:$G$154,MATCH(Y788,'Refrigerant GWPs'!$A$2:$A$154,0))))</f>
        <v/>
      </c>
      <c r="DF788" s="146" t="str">
        <f>IF(W788&lt;&gt;"AR","",INDEX('Device Refrigerant Leakage'!$E$2:$E$42,MATCH(X788,'Device Refrigerant Leakage'!$B$2:$B$42,0)))</f>
        <v/>
      </c>
      <c r="DG788" s="146" t="str">
        <f>IF(W788&lt;&gt;"AR","",INDEX('Device Refrigerant Leakage'!$F$2:$F$42,MATCH(X788,'Device Refrigerant Leakage'!$B$2:$B$42,0)))</f>
        <v/>
      </c>
      <c r="DH788" s="146" t="str">
        <f>IF(W788&lt;&gt;"AR","",INDEX('Device Refrigerant Leakage'!$G$2:$G$42,MATCH(X788,'Device Refrigerant Leakage'!$B$2:$B$42,0)))</f>
        <v/>
      </c>
      <c r="DI788" s="146" t="str">
        <f>IF(W788&lt;&gt;"AR","",J788*INDEX('Device Refrigerant Leakage'!$D$2:$D$42,MATCH(X788,'Device Refrigerant Leakage'!$B$2:$B$42,0))*DF788/2204.62*DE788)</f>
        <v/>
      </c>
      <c r="DJ788" s="146" t="str">
        <f>IF(W788&lt;&gt;"AR","",J788*(INDEX('Device Refrigerant Leakage'!$D$2:$D$42,MATCH(X788,'Device Refrigerant Leakage'!$B$2:$B$42,0))-(INDEX('Device Refrigerant Leakage'!$D$2:$D$42,MATCH(X788,'Device Refrigerant Leakage'!$B$2:$B$42,0)))*DH788*DF788)*DG788/2204.62*DE788)</f>
        <v/>
      </c>
      <c r="DK788" s="146" t="str">
        <f>IF(W788&lt;&gt;"AR","",DI788*(K788-AB788)+'Fuel Sub Calcs-Deemed'!DJ788*((K788-AB788)/INDEX('Device Refrigerant Leakage'!$C$2:$C$42,MATCH('Fuel Sub Calcs-Deemed'!X788,'Device Refrigerant Leakage'!$B$2:$B$42,0))))</f>
        <v/>
      </c>
      <c r="DM788" s="56">
        <v>774</v>
      </c>
      <c r="DN788" s="67" t="e">
        <f t="shared" si="942"/>
        <v>#N/A</v>
      </c>
      <c r="DO788" s="45" t="e">
        <f t="shared" si="943"/>
        <v>#N/A</v>
      </c>
      <c r="DP788" s="67" t="e">
        <f t="shared" si="944"/>
        <v>#N/A</v>
      </c>
      <c r="DQ788" s="45" t="e">
        <f t="shared" si="945"/>
        <v>#N/A</v>
      </c>
      <c r="DR788" s="69" t="e">
        <f t="shared" si="946"/>
        <v>#N/A</v>
      </c>
      <c r="DS788" s="34"/>
      <c r="DT788" s="67" t="e">
        <f>((BX788*CJ788)+IF($W788=MAT_AR,(BZ788*CL788),0))*(1+Reference!$E$50+Reference!$E$51)</f>
        <v>#N/A</v>
      </c>
      <c r="DU788" s="67">
        <f>((BY788*CK788)+IF($W788=MAT_AR,(CA788*CM788),0))*(1+Reference!$G$50+Reference!$G$51)</f>
        <v>0</v>
      </c>
      <c r="DV788" s="67" t="e">
        <f t="shared" si="947"/>
        <v>#VALUE!</v>
      </c>
      <c r="DX788" s="56">
        <v>774</v>
      </c>
      <c r="DY788" s="67">
        <f t="shared" si="948"/>
        <v>0</v>
      </c>
      <c r="DZ788" s="45" t="e">
        <f>VLOOKUP($R788,Dropdown!$C$3:$D$4,2,FALSE)</f>
        <v>#N/A</v>
      </c>
      <c r="EA788" s="68">
        <f t="shared" si="949"/>
        <v>0</v>
      </c>
      <c r="EB788" s="68" t="str">
        <f t="shared" si="950"/>
        <v>N/A</v>
      </c>
      <c r="EC788" s="68">
        <f t="shared" si="951"/>
        <v>0</v>
      </c>
      <c r="ED788" s="68" t="str">
        <f t="shared" si="921"/>
        <v>N/A</v>
      </c>
      <c r="EF788" s="56">
        <v>774</v>
      </c>
      <c r="EG788" s="46">
        <f t="shared" si="952"/>
        <v>0</v>
      </c>
      <c r="EH788" s="68" t="e">
        <f t="shared" si="953"/>
        <v>#N/A</v>
      </c>
      <c r="EI788" s="68" t="e">
        <f t="shared" si="954"/>
        <v>#N/A</v>
      </c>
      <c r="EJ788" s="68" t="e">
        <f t="shared" si="955"/>
        <v>#N/A</v>
      </c>
      <c r="EK788" s="68" t="e">
        <f t="shared" si="956"/>
        <v>#N/A</v>
      </c>
      <c r="EL788" s="46">
        <f t="shared" si="957"/>
        <v>0</v>
      </c>
      <c r="EM788" s="46">
        <f t="shared" si="958"/>
        <v>0</v>
      </c>
    </row>
    <row r="789" spans="1:143">
      <c r="A789" s="89"/>
      <c r="B789" s="89"/>
      <c r="C789" s="89"/>
      <c r="D789" s="89"/>
      <c r="E789" s="89"/>
      <c r="F789" s="89"/>
      <c r="G789" s="34"/>
      <c r="H789" s="56">
        <f t="shared" si="959"/>
        <v>775</v>
      </c>
      <c r="I789" s="165"/>
      <c r="J789" s="163"/>
      <c r="K789" s="163"/>
      <c r="L789" s="164"/>
      <c r="M789" s="155"/>
      <c r="N789" s="155"/>
      <c r="O789" s="144"/>
      <c r="P789" s="159" t="str">
        <f>IFERROR(IF(O789&lt;&gt;"User Specified",IF(O789&lt;&gt;"", INDEX('Refrigerant GWPs'!$G$2:$G$154,MATCH(O789,'Refrigerant GWPs'!$A$2:$A$154,0)),""),U789),0)</f>
        <v/>
      </c>
      <c r="Q789" s="155"/>
      <c r="R789" s="155"/>
      <c r="S789" s="144"/>
      <c r="T789" s="159" t="str">
        <f>IF(S789&lt;&gt;"User Specified",IF(AND(S789&lt;&gt;"User Specified",S789&lt;&gt;""), INDEX('Refrigerant GWPs'!$G$2:$G$154,MATCH(S789,'Refrigerant GWPs'!$A$2:$A$154,0)),""),V789)</f>
        <v/>
      </c>
      <c r="U789" s="144"/>
      <c r="V789" s="144"/>
      <c r="W789" s="155"/>
      <c r="X789" s="155"/>
      <c r="Y789" s="144"/>
      <c r="Z789" s="159" t="str">
        <f>IF(AND(Y789&lt;&gt;"User Specified",Y789&lt;&gt;""), INDEX('Refrigerant GWPs'!$G$2:$G$154,MATCH(Y789,'Refrigerant GWPs'!$A$2:$A$154,0)),"")</f>
        <v/>
      </c>
      <c r="AA789" s="155"/>
      <c r="AB789" s="156"/>
      <c r="AC789" s="66"/>
      <c r="AD789" s="66"/>
      <c r="AE789" s="66"/>
      <c r="AF789" s="66"/>
      <c r="AG789" s="66"/>
      <c r="AH789" s="66"/>
      <c r="AI789" s="34"/>
      <c r="AJ789" s="88">
        <f t="shared" si="922"/>
        <v>0</v>
      </c>
      <c r="AK789" s="88">
        <f t="shared" si="923"/>
        <v>0</v>
      </c>
      <c r="AL789" s="88">
        <v>0</v>
      </c>
      <c r="AM789" s="88">
        <v>0</v>
      </c>
      <c r="AN789" s="81" t="str">
        <f t="shared" si="893"/>
        <v/>
      </c>
      <c r="AO789" s="88">
        <f t="shared" si="924"/>
        <v>0</v>
      </c>
      <c r="AP789" s="88">
        <f t="shared" si="925"/>
        <v>0</v>
      </c>
      <c r="AQ789" s="81" t="str">
        <f t="shared" si="926"/>
        <v/>
      </c>
      <c r="AS789" s="41" t="b">
        <f t="shared" si="927"/>
        <v>1</v>
      </c>
      <c r="AT789" s="38">
        <f t="shared" si="928"/>
        <v>0</v>
      </c>
      <c r="AU789" s="60">
        <f t="shared" si="929"/>
        <v>0</v>
      </c>
      <c r="AV789" s="41">
        <f t="shared" si="930"/>
        <v>0</v>
      </c>
      <c r="AW789" s="41" t="b">
        <f t="shared" si="931"/>
        <v>0</v>
      </c>
      <c r="AX789" t="str">
        <f t="shared" si="932"/>
        <v>+00</v>
      </c>
      <c r="AY789" t="str">
        <f t="shared" si="933"/>
        <v>+00</v>
      </c>
      <c r="BA789" s="47" t="b">
        <f t="shared" si="894"/>
        <v>1</v>
      </c>
      <c r="BB789" s="42" t="b">
        <f t="shared" si="895"/>
        <v>1</v>
      </c>
      <c r="BC789" s="42" t="b">
        <f t="shared" si="896"/>
        <v>0</v>
      </c>
      <c r="BD789" s="42" t="b">
        <f t="shared" si="897"/>
        <v>0</v>
      </c>
      <c r="BE789" s="70">
        <f t="shared" si="898"/>
        <v>0</v>
      </c>
      <c r="BF789" s="70">
        <f t="shared" si="899"/>
        <v>0</v>
      </c>
      <c r="BG789" s="34"/>
      <c r="BI789" s="47" t="b">
        <f t="shared" si="900"/>
        <v>1</v>
      </c>
      <c r="BJ789" s="47" t="b">
        <f t="shared" si="901"/>
        <v>1</v>
      </c>
      <c r="BK789" s="42" t="b">
        <f t="shared" si="902"/>
        <v>0</v>
      </c>
      <c r="BL789" s="42" t="b">
        <f t="shared" si="903"/>
        <v>0</v>
      </c>
      <c r="BM789" s="42">
        <f t="shared" si="904"/>
        <v>0</v>
      </c>
      <c r="BN789" s="42">
        <f t="shared" si="905"/>
        <v>0</v>
      </c>
      <c r="BP789" t="e">
        <f t="shared" si="906"/>
        <v>#N/A</v>
      </c>
      <c r="BQ789" t="e">
        <f t="shared" si="907"/>
        <v>#N/A</v>
      </c>
      <c r="BR789" t="e">
        <f t="shared" si="908"/>
        <v>#N/A</v>
      </c>
      <c r="BT789" s="60">
        <f t="shared" si="909"/>
        <v>0</v>
      </c>
      <c r="BU789" s="60">
        <f t="shared" si="910"/>
        <v>0</v>
      </c>
      <c r="BV789" s="60">
        <f t="shared" si="911"/>
        <v>0</v>
      </c>
      <c r="BW789" s="60">
        <f t="shared" si="912"/>
        <v>0</v>
      </c>
      <c r="BX789" s="60">
        <f t="shared" si="913"/>
        <v>0</v>
      </c>
      <c r="BY789" s="60">
        <f t="shared" si="914"/>
        <v>0</v>
      </c>
      <c r="BZ789" s="60">
        <f t="shared" si="915"/>
        <v>0</v>
      </c>
      <c r="CA789" s="60">
        <f t="shared" si="916"/>
        <v>0</v>
      </c>
      <c r="CB789" s="60" t="e">
        <f t="shared" si="934"/>
        <v>#N/A</v>
      </c>
      <c r="CC789" s="60">
        <f t="shared" si="935"/>
        <v>100000</v>
      </c>
      <c r="CD789" s="60" t="e">
        <f t="shared" si="936"/>
        <v>#N/A</v>
      </c>
      <c r="CE789" s="60">
        <f t="shared" si="937"/>
        <v>100000</v>
      </c>
      <c r="CF789" s="83" t="e">
        <f t="shared" si="917"/>
        <v>#N/A</v>
      </c>
      <c r="CG789" s="83">
        <f t="shared" si="918"/>
        <v>0</v>
      </c>
      <c r="CH789" s="83" t="e">
        <f t="shared" si="919"/>
        <v>#N/A</v>
      </c>
      <c r="CI789" s="83">
        <f t="shared" si="920"/>
        <v>0</v>
      </c>
      <c r="CJ789" s="86" t="e">
        <f t="shared" si="938"/>
        <v>#N/A</v>
      </c>
      <c r="CK789" s="82">
        <f t="shared" si="939"/>
        <v>5.3070370403969858E-3</v>
      </c>
      <c r="CL789" s="82" t="e">
        <f t="shared" si="940"/>
        <v>#N/A</v>
      </c>
      <c r="CM789" s="82">
        <f t="shared" si="941"/>
        <v>5.3070370403969858E-3</v>
      </c>
      <c r="CO789" s="149" t="str">
        <f>IF($I789&lt;&gt;"",IF(O789="User Specified",U789,INDEX('Refrigerant GWPs'!$G$2:$G$156,MATCH(O789,'Refrigerant GWPs'!$A$2:$A$156,0))),"")</f>
        <v/>
      </c>
      <c r="CP789" s="138" t="str">
        <f>IF($I789&lt;&gt;"",INDEX('Device Refrigerant Leakage'!$E$2:$E$42,MATCH($M789,'Device Refrigerant Leakage'!$B$2:$B$42,0)),"")</f>
        <v/>
      </c>
      <c r="CQ789" s="138" t="str">
        <f>IF($I789&lt;&gt;"",INDEX('Device Refrigerant Leakage'!$F$2:$F$42,MATCH($M789,'Device Refrigerant Leakage'!$B$2:$B$42,0)),"")</f>
        <v/>
      </c>
      <c r="CR789" s="145" t="str">
        <f>IF($I789&lt;&gt;"",INDEX('Device Refrigerant Leakage'!$G$2:$G$42,MATCH($M789,'Device Refrigerant Leakage'!$B$2:$B$42,0)),"")</f>
        <v/>
      </c>
      <c r="CS789" s="145" t="str">
        <f>IF($I789&lt;&gt;"",INDEX('Device Refrigerant Leakage'!$D$2:$D$42,MATCH($M789,'Device Refrigerant Leakage'!$B$2:$B$42,0))*CP789/2204.62*CO789,"")</f>
        <v/>
      </c>
      <c r="CT789" s="145" t="str">
        <f>IF($I789&lt;&gt;"",J789*(INDEX('Device Refrigerant Leakage'!$D$2:$D$42,MATCH($M789,'Device Refrigerant Leakage'!$B$2:$B$42,0))-(INDEX('Device Refrigerant Leakage'!$D$2:$D$42,MATCH($M789,'Device Refrigerant Leakage'!$B$2:$B$42,0)))*CR789*CP789)*CQ789/2204.62*CO789,"")</f>
        <v/>
      </c>
      <c r="CU789" s="135" t="str">
        <f>IF($I789&lt;&gt;"",J789*IF(W789&lt;&gt;"AR",(CS789*K789)+CT789,(CS789*AB789)+CT789*(AB789/INDEX('Device Refrigerant Leakage'!$C$2:$C$42,MATCH($M789,'Device Refrigerant Leakage'!$B$2:$B$42,0)))),"")</f>
        <v/>
      </c>
      <c r="CW789" s="135" t="str">
        <f>IF($I789&lt;&gt;"",IF(S789="User Specified",V789,INDEX('Refrigerant GWPs'!$G$2:$G$156,MATCH(S789,'Refrigerant GWPs'!$A$2:$A$157,0))),"")</f>
        <v/>
      </c>
      <c r="CX789" s="138" t="str">
        <f>IF($I789&lt;&gt;"",INDEX('Device Refrigerant Leakage'!$E$2:$E$42,MATCH($Q789,'Device Refrigerant Leakage'!$B$2:$B$42,0)),"")</f>
        <v/>
      </c>
      <c r="CY789" s="138" t="str">
        <f>IF($I789&lt;&gt;"",INDEX('Device Refrigerant Leakage'!$F$2:$F$42,MATCH($Q789,'Device Refrigerant Leakage'!$B$2:$B$42,0)),"")</f>
        <v/>
      </c>
      <c r="CZ789" s="145" t="str">
        <f>IF($I789&lt;&gt;"",INDEX('Device Refrigerant Leakage'!$G$2:$G$42,MATCH($Q789,'Device Refrigerant Leakage'!$B$2:$B$42,0)),"")</f>
        <v/>
      </c>
      <c r="DA789" s="145" t="str">
        <f>IF($I789&lt;&gt;"",J789*INDEX('Device Refrigerant Leakage'!$D$2:$D$42,MATCH($Q789,'Device Refrigerant Leakage'!$B$2:$B$42,0))*CX789/2204.62*CW789,"")</f>
        <v/>
      </c>
      <c r="DB789" s="145" t="str">
        <f>IF($I789&lt;&gt;"",J789*(INDEX('Device Refrigerant Leakage'!$D$2:$D$42,MATCH($Q789,'Device Refrigerant Leakage'!$B$2:$B$42,0))-(INDEX('Device Refrigerant Leakage'!$D$2:$D$42,MATCH($Q789,'Device Refrigerant Leakage'!$B$2:$B$42,0)))*CZ789*CX789)*CY789/2204.62*CW789,"")</f>
        <v/>
      </c>
      <c r="DC789" s="135" t="str">
        <f t="shared" si="960"/>
        <v/>
      </c>
      <c r="DE789" s="146" t="str">
        <f>IF(W789&lt;&gt;"AR","",IF(Y789="User Specified", AA789, INDEX('Refrigerant GWPs'!$G$2:$G$154,MATCH(Y789,'Refrigerant GWPs'!$A$2:$A$154,0))))</f>
        <v/>
      </c>
      <c r="DF789" s="146" t="str">
        <f>IF(W789&lt;&gt;"AR","",INDEX('Device Refrigerant Leakage'!$E$2:$E$42,MATCH(X789,'Device Refrigerant Leakage'!$B$2:$B$42,0)))</f>
        <v/>
      </c>
      <c r="DG789" s="146" t="str">
        <f>IF(W789&lt;&gt;"AR","",INDEX('Device Refrigerant Leakage'!$F$2:$F$42,MATCH(X789,'Device Refrigerant Leakage'!$B$2:$B$42,0)))</f>
        <v/>
      </c>
      <c r="DH789" s="146" t="str">
        <f>IF(W789&lt;&gt;"AR","",INDEX('Device Refrigerant Leakage'!$G$2:$G$42,MATCH(X789,'Device Refrigerant Leakage'!$B$2:$B$42,0)))</f>
        <v/>
      </c>
      <c r="DI789" s="146" t="str">
        <f>IF(W789&lt;&gt;"AR","",J789*INDEX('Device Refrigerant Leakage'!$D$2:$D$42,MATCH(X789,'Device Refrigerant Leakage'!$B$2:$B$42,0))*DF789/2204.62*DE789)</f>
        <v/>
      </c>
      <c r="DJ789" s="146" t="str">
        <f>IF(W789&lt;&gt;"AR","",J789*(INDEX('Device Refrigerant Leakage'!$D$2:$D$42,MATCH(X789,'Device Refrigerant Leakage'!$B$2:$B$42,0))-(INDEX('Device Refrigerant Leakage'!$D$2:$D$42,MATCH(X789,'Device Refrigerant Leakage'!$B$2:$B$42,0)))*DH789*DF789)*DG789/2204.62*DE789)</f>
        <v/>
      </c>
      <c r="DK789" s="146" t="str">
        <f>IF(W789&lt;&gt;"AR","",DI789*(K789-AB789)+'Fuel Sub Calcs-Deemed'!DJ789*((K789-AB789)/INDEX('Device Refrigerant Leakage'!$C$2:$C$42,MATCH('Fuel Sub Calcs-Deemed'!X789,'Device Refrigerant Leakage'!$B$2:$B$42,0))))</f>
        <v/>
      </c>
      <c r="DM789" s="56">
        <v>775</v>
      </c>
      <c r="DN789" s="67" t="e">
        <f t="shared" si="942"/>
        <v>#N/A</v>
      </c>
      <c r="DO789" s="45" t="e">
        <f t="shared" si="943"/>
        <v>#N/A</v>
      </c>
      <c r="DP789" s="67" t="e">
        <f t="shared" si="944"/>
        <v>#N/A</v>
      </c>
      <c r="DQ789" s="45" t="e">
        <f t="shared" si="945"/>
        <v>#N/A</v>
      </c>
      <c r="DR789" s="69" t="e">
        <f t="shared" si="946"/>
        <v>#N/A</v>
      </c>
      <c r="DS789" s="34"/>
      <c r="DT789" s="67" t="e">
        <f>((BX789*CJ789)+IF($W789=MAT_AR,(BZ789*CL789),0))*(1+Reference!$E$50+Reference!$E$51)</f>
        <v>#N/A</v>
      </c>
      <c r="DU789" s="67">
        <f>((BY789*CK789)+IF($W789=MAT_AR,(CA789*CM789),0))*(1+Reference!$G$50+Reference!$G$51)</f>
        <v>0</v>
      </c>
      <c r="DV789" s="67" t="e">
        <f t="shared" si="947"/>
        <v>#VALUE!</v>
      </c>
      <c r="DX789" s="56">
        <v>775</v>
      </c>
      <c r="DY789" s="67">
        <f t="shared" si="948"/>
        <v>0</v>
      </c>
      <c r="DZ789" s="45" t="e">
        <f>VLOOKUP($R789,Dropdown!$C$3:$D$4,2,FALSE)</f>
        <v>#N/A</v>
      </c>
      <c r="EA789" s="68">
        <f t="shared" si="949"/>
        <v>0</v>
      </c>
      <c r="EB789" s="68" t="str">
        <f t="shared" si="950"/>
        <v>N/A</v>
      </c>
      <c r="EC789" s="68">
        <f t="shared" si="951"/>
        <v>0</v>
      </c>
      <c r="ED789" s="68" t="str">
        <f t="shared" si="921"/>
        <v>N/A</v>
      </c>
      <c r="EF789" s="56">
        <v>775</v>
      </c>
      <c r="EG789" s="46">
        <f t="shared" si="952"/>
        <v>0</v>
      </c>
      <c r="EH789" s="68" t="e">
        <f t="shared" si="953"/>
        <v>#N/A</v>
      </c>
      <c r="EI789" s="68" t="e">
        <f t="shared" si="954"/>
        <v>#N/A</v>
      </c>
      <c r="EJ789" s="68" t="e">
        <f t="shared" si="955"/>
        <v>#N/A</v>
      </c>
      <c r="EK789" s="68" t="e">
        <f t="shared" si="956"/>
        <v>#N/A</v>
      </c>
      <c r="EL789" s="46">
        <f t="shared" si="957"/>
        <v>0</v>
      </c>
      <c r="EM789" s="46">
        <f t="shared" si="958"/>
        <v>0</v>
      </c>
    </row>
    <row r="790" spans="1:143">
      <c r="A790" s="89"/>
      <c r="B790" s="89"/>
      <c r="C790" s="89"/>
      <c r="D790" s="89"/>
      <c r="E790" s="89"/>
      <c r="F790" s="89"/>
      <c r="G790" s="34"/>
      <c r="H790" s="56">
        <f t="shared" si="959"/>
        <v>776</v>
      </c>
      <c r="I790" s="165"/>
      <c r="J790" s="163"/>
      <c r="K790" s="163"/>
      <c r="L790" s="164"/>
      <c r="M790" s="155"/>
      <c r="N790" s="155"/>
      <c r="O790" s="144"/>
      <c r="P790" s="159" t="str">
        <f>IFERROR(IF(O790&lt;&gt;"User Specified",IF(O790&lt;&gt;"", INDEX('Refrigerant GWPs'!$G$2:$G$154,MATCH(O790,'Refrigerant GWPs'!$A$2:$A$154,0)),""),U790),0)</f>
        <v/>
      </c>
      <c r="Q790" s="155"/>
      <c r="R790" s="155"/>
      <c r="S790" s="144"/>
      <c r="T790" s="159" t="str">
        <f>IF(S790&lt;&gt;"User Specified",IF(AND(S790&lt;&gt;"User Specified",S790&lt;&gt;""), INDEX('Refrigerant GWPs'!$G$2:$G$154,MATCH(S790,'Refrigerant GWPs'!$A$2:$A$154,0)),""),V790)</f>
        <v/>
      </c>
      <c r="U790" s="144"/>
      <c r="V790" s="144"/>
      <c r="W790" s="155"/>
      <c r="X790" s="155"/>
      <c r="Y790" s="144"/>
      <c r="Z790" s="159" t="str">
        <f>IF(AND(Y790&lt;&gt;"User Specified",Y790&lt;&gt;""), INDEX('Refrigerant GWPs'!$G$2:$G$154,MATCH(Y790,'Refrigerant GWPs'!$A$2:$A$154,0)),"")</f>
        <v/>
      </c>
      <c r="AA790" s="155"/>
      <c r="AB790" s="156"/>
      <c r="AC790" s="66"/>
      <c r="AD790" s="66"/>
      <c r="AE790" s="66"/>
      <c r="AF790" s="66"/>
      <c r="AG790" s="66"/>
      <c r="AH790" s="66"/>
      <c r="AI790" s="34"/>
      <c r="AJ790" s="88">
        <f t="shared" si="922"/>
        <v>0</v>
      </c>
      <c r="AK790" s="88">
        <f t="shared" si="923"/>
        <v>0</v>
      </c>
      <c r="AL790" s="88">
        <v>0</v>
      </c>
      <c r="AM790" s="88">
        <v>0</v>
      </c>
      <c r="AN790" s="81" t="str">
        <f t="shared" si="893"/>
        <v/>
      </c>
      <c r="AO790" s="88">
        <f t="shared" si="924"/>
        <v>0</v>
      </c>
      <c r="AP790" s="88">
        <f t="shared" si="925"/>
        <v>0</v>
      </c>
      <c r="AQ790" s="81" t="str">
        <f t="shared" si="926"/>
        <v/>
      </c>
      <c r="AS790" s="41" t="b">
        <f t="shared" si="927"/>
        <v>1</v>
      </c>
      <c r="AT790" s="38">
        <f t="shared" si="928"/>
        <v>0</v>
      </c>
      <c r="AU790" s="60">
        <f t="shared" si="929"/>
        <v>0</v>
      </c>
      <c r="AV790" s="41">
        <f t="shared" si="930"/>
        <v>0</v>
      </c>
      <c r="AW790" s="41" t="b">
        <f t="shared" si="931"/>
        <v>0</v>
      </c>
      <c r="AX790" t="str">
        <f t="shared" si="932"/>
        <v>+00</v>
      </c>
      <c r="AY790" t="str">
        <f t="shared" si="933"/>
        <v>+00</v>
      </c>
      <c r="BA790" s="47" t="b">
        <f t="shared" si="894"/>
        <v>1</v>
      </c>
      <c r="BB790" s="42" t="b">
        <f t="shared" si="895"/>
        <v>1</v>
      </c>
      <c r="BC790" s="42" t="b">
        <f t="shared" si="896"/>
        <v>0</v>
      </c>
      <c r="BD790" s="42" t="b">
        <f t="shared" si="897"/>
        <v>0</v>
      </c>
      <c r="BE790" s="70">
        <f t="shared" si="898"/>
        <v>0</v>
      </c>
      <c r="BF790" s="70">
        <f t="shared" si="899"/>
        <v>0</v>
      </c>
      <c r="BG790" s="34"/>
      <c r="BI790" s="47" t="b">
        <f t="shared" si="900"/>
        <v>1</v>
      </c>
      <c r="BJ790" s="47" t="b">
        <f t="shared" si="901"/>
        <v>1</v>
      </c>
      <c r="BK790" s="42" t="b">
        <f t="shared" si="902"/>
        <v>0</v>
      </c>
      <c r="BL790" s="42" t="b">
        <f t="shared" si="903"/>
        <v>0</v>
      </c>
      <c r="BM790" s="42">
        <f t="shared" si="904"/>
        <v>0</v>
      </c>
      <c r="BN790" s="42">
        <f t="shared" si="905"/>
        <v>0</v>
      </c>
      <c r="BP790" t="e">
        <f t="shared" si="906"/>
        <v>#N/A</v>
      </c>
      <c r="BQ790" t="e">
        <f t="shared" si="907"/>
        <v>#N/A</v>
      </c>
      <c r="BR790" t="e">
        <f t="shared" si="908"/>
        <v>#N/A</v>
      </c>
      <c r="BT790" s="60">
        <f t="shared" si="909"/>
        <v>0</v>
      </c>
      <c r="BU790" s="60">
        <f t="shared" si="910"/>
        <v>0</v>
      </c>
      <c r="BV790" s="60">
        <f t="shared" si="911"/>
        <v>0</v>
      </c>
      <c r="BW790" s="60">
        <f t="shared" si="912"/>
        <v>0</v>
      </c>
      <c r="BX790" s="60">
        <f t="shared" si="913"/>
        <v>0</v>
      </c>
      <c r="BY790" s="60">
        <f t="shared" si="914"/>
        <v>0</v>
      </c>
      <c r="BZ790" s="60">
        <f t="shared" si="915"/>
        <v>0</v>
      </c>
      <c r="CA790" s="60">
        <f t="shared" si="916"/>
        <v>0</v>
      </c>
      <c r="CB790" s="60" t="e">
        <f t="shared" si="934"/>
        <v>#N/A</v>
      </c>
      <c r="CC790" s="60">
        <f t="shared" si="935"/>
        <v>100000</v>
      </c>
      <c r="CD790" s="60" t="e">
        <f t="shared" si="936"/>
        <v>#N/A</v>
      </c>
      <c r="CE790" s="60">
        <f t="shared" si="937"/>
        <v>100000</v>
      </c>
      <c r="CF790" s="83" t="e">
        <f t="shared" si="917"/>
        <v>#N/A</v>
      </c>
      <c r="CG790" s="83">
        <f t="shared" si="918"/>
        <v>0</v>
      </c>
      <c r="CH790" s="83" t="e">
        <f t="shared" si="919"/>
        <v>#N/A</v>
      </c>
      <c r="CI790" s="83">
        <f t="shared" si="920"/>
        <v>0</v>
      </c>
      <c r="CJ790" s="86" t="e">
        <f t="shared" si="938"/>
        <v>#N/A</v>
      </c>
      <c r="CK790" s="82">
        <f t="shared" si="939"/>
        <v>5.3070370403969858E-3</v>
      </c>
      <c r="CL790" s="82" t="e">
        <f t="shared" si="940"/>
        <v>#N/A</v>
      </c>
      <c r="CM790" s="82">
        <f t="shared" si="941"/>
        <v>5.3070370403969858E-3</v>
      </c>
      <c r="CO790" s="149" t="str">
        <f>IF($I790&lt;&gt;"",IF(O790="User Specified",U790,INDEX('Refrigerant GWPs'!$G$2:$G$156,MATCH(O790,'Refrigerant GWPs'!$A$2:$A$156,0))),"")</f>
        <v/>
      </c>
      <c r="CP790" s="138" t="str">
        <f>IF($I790&lt;&gt;"",INDEX('Device Refrigerant Leakage'!$E$2:$E$42,MATCH($M790,'Device Refrigerant Leakage'!$B$2:$B$42,0)),"")</f>
        <v/>
      </c>
      <c r="CQ790" s="138" t="str">
        <f>IF($I790&lt;&gt;"",INDEX('Device Refrigerant Leakage'!$F$2:$F$42,MATCH($M790,'Device Refrigerant Leakage'!$B$2:$B$42,0)),"")</f>
        <v/>
      </c>
      <c r="CR790" s="145" t="str">
        <f>IF($I790&lt;&gt;"",INDEX('Device Refrigerant Leakage'!$G$2:$G$42,MATCH($M790,'Device Refrigerant Leakage'!$B$2:$B$42,0)),"")</f>
        <v/>
      </c>
      <c r="CS790" s="145" t="str">
        <f>IF($I790&lt;&gt;"",INDEX('Device Refrigerant Leakage'!$D$2:$D$42,MATCH($M790,'Device Refrigerant Leakage'!$B$2:$B$42,0))*CP790/2204.62*CO790,"")</f>
        <v/>
      </c>
      <c r="CT790" s="145" t="str">
        <f>IF($I790&lt;&gt;"",J790*(INDEX('Device Refrigerant Leakage'!$D$2:$D$42,MATCH($M790,'Device Refrigerant Leakage'!$B$2:$B$42,0))-(INDEX('Device Refrigerant Leakage'!$D$2:$D$42,MATCH($M790,'Device Refrigerant Leakage'!$B$2:$B$42,0)))*CR790*CP790)*CQ790/2204.62*CO790,"")</f>
        <v/>
      </c>
      <c r="CU790" s="135" t="str">
        <f>IF($I790&lt;&gt;"",J790*IF(W790&lt;&gt;"AR",(CS790*K790)+CT790,(CS790*AB790)+CT790*(AB790/INDEX('Device Refrigerant Leakage'!$C$2:$C$42,MATCH($M790,'Device Refrigerant Leakage'!$B$2:$B$42,0)))),"")</f>
        <v/>
      </c>
      <c r="CW790" s="135" t="str">
        <f>IF($I790&lt;&gt;"",IF(S790="User Specified",V790,INDEX('Refrigerant GWPs'!$G$2:$G$156,MATCH(S790,'Refrigerant GWPs'!$A$2:$A$157,0))),"")</f>
        <v/>
      </c>
      <c r="CX790" s="138" t="str">
        <f>IF($I790&lt;&gt;"",INDEX('Device Refrigerant Leakage'!$E$2:$E$42,MATCH($Q790,'Device Refrigerant Leakage'!$B$2:$B$42,0)),"")</f>
        <v/>
      </c>
      <c r="CY790" s="138" t="str">
        <f>IF($I790&lt;&gt;"",INDEX('Device Refrigerant Leakage'!$F$2:$F$42,MATCH($Q790,'Device Refrigerant Leakage'!$B$2:$B$42,0)),"")</f>
        <v/>
      </c>
      <c r="CZ790" s="145" t="str">
        <f>IF($I790&lt;&gt;"",INDEX('Device Refrigerant Leakage'!$G$2:$G$42,MATCH($Q790,'Device Refrigerant Leakage'!$B$2:$B$42,0)),"")</f>
        <v/>
      </c>
      <c r="DA790" s="145" t="str">
        <f>IF($I790&lt;&gt;"",J790*INDEX('Device Refrigerant Leakage'!$D$2:$D$42,MATCH($Q790,'Device Refrigerant Leakage'!$B$2:$B$42,0))*CX790/2204.62*CW790,"")</f>
        <v/>
      </c>
      <c r="DB790" s="145" t="str">
        <f>IF($I790&lt;&gt;"",J790*(INDEX('Device Refrigerant Leakage'!$D$2:$D$42,MATCH($Q790,'Device Refrigerant Leakage'!$B$2:$B$42,0))-(INDEX('Device Refrigerant Leakage'!$D$2:$D$42,MATCH($Q790,'Device Refrigerant Leakage'!$B$2:$B$42,0)))*CZ790*CX790)*CY790/2204.62*CW790,"")</f>
        <v/>
      </c>
      <c r="DC790" s="135" t="str">
        <f t="shared" si="960"/>
        <v/>
      </c>
      <c r="DE790" s="146" t="str">
        <f>IF(W790&lt;&gt;"AR","",IF(Y790="User Specified", AA790, INDEX('Refrigerant GWPs'!$G$2:$G$154,MATCH(Y790,'Refrigerant GWPs'!$A$2:$A$154,0))))</f>
        <v/>
      </c>
      <c r="DF790" s="146" t="str">
        <f>IF(W790&lt;&gt;"AR","",INDEX('Device Refrigerant Leakage'!$E$2:$E$42,MATCH(X790,'Device Refrigerant Leakage'!$B$2:$B$42,0)))</f>
        <v/>
      </c>
      <c r="DG790" s="146" t="str">
        <f>IF(W790&lt;&gt;"AR","",INDEX('Device Refrigerant Leakage'!$F$2:$F$42,MATCH(X790,'Device Refrigerant Leakage'!$B$2:$B$42,0)))</f>
        <v/>
      </c>
      <c r="DH790" s="146" t="str">
        <f>IF(W790&lt;&gt;"AR","",INDEX('Device Refrigerant Leakage'!$G$2:$G$42,MATCH(X790,'Device Refrigerant Leakage'!$B$2:$B$42,0)))</f>
        <v/>
      </c>
      <c r="DI790" s="146" t="str">
        <f>IF(W790&lt;&gt;"AR","",J790*INDEX('Device Refrigerant Leakage'!$D$2:$D$42,MATCH(X790,'Device Refrigerant Leakage'!$B$2:$B$42,0))*DF790/2204.62*DE790)</f>
        <v/>
      </c>
      <c r="DJ790" s="146" t="str">
        <f>IF(W790&lt;&gt;"AR","",J790*(INDEX('Device Refrigerant Leakage'!$D$2:$D$42,MATCH(X790,'Device Refrigerant Leakage'!$B$2:$B$42,0))-(INDEX('Device Refrigerant Leakage'!$D$2:$D$42,MATCH(X790,'Device Refrigerant Leakage'!$B$2:$B$42,0)))*DH790*DF790)*DG790/2204.62*DE790)</f>
        <v/>
      </c>
      <c r="DK790" s="146" t="str">
        <f>IF(W790&lt;&gt;"AR","",DI790*(K790-AB790)+'Fuel Sub Calcs-Deemed'!DJ790*((K790-AB790)/INDEX('Device Refrigerant Leakage'!$C$2:$C$42,MATCH('Fuel Sub Calcs-Deemed'!X790,'Device Refrigerant Leakage'!$B$2:$B$42,0))))</f>
        <v/>
      </c>
      <c r="DM790" s="56">
        <v>776</v>
      </c>
      <c r="DN790" s="67" t="e">
        <f t="shared" si="942"/>
        <v>#N/A</v>
      </c>
      <c r="DO790" s="45" t="e">
        <f t="shared" si="943"/>
        <v>#N/A</v>
      </c>
      <c r="DP790" s="67" t="e">
        <f t="shared" si="944"/>
        <v>#N/A</v>
      </c>
      <c r="DQ790" s="45" t="e">
        <f t="shared" si="945"/>
        <v>#N/A</v>
      </c>
      <c r="DR790" s="69" t="e">
        <f t="shared" si="946"/>
        <v>#N/A</v>
      </c>
      <c r="DS790" s="34"/>
      <c r="DT790" s="67" t="e">
        <f>((BX790*CJ790)+IF($W790=MAT_AR,(BZ790*CL790),0))*(1+Reference!$E$50+Reference!$E$51)</f>
        <v>#N/A</v>
      </c>
      <c r="DU790" s="67">
        <f>((BY790*CK790)+IF($W790=MAT_AR,(CA790*CM790),0))*(1+Reference!$G$50+Reference!$G$51)</f>
        <v>0</v>
      </c>
      <c r="DV790" s="67" t="e">
        <f t="shared" si="947"/>
        <v>#VALUE!</v>
      </c>
      <c r="DX790" s="56">
        <v>776</v>
      </c>
      <c r="DY790" s="67">
        <f t="shared" si="948"/>
        <v>0</v>
      </c>
      <c r="DZ790" s="45" t="e">
        <f>VLOOKUP($R790,Dropdown!$C$3:$D$4,2,FALSE)</f>
        <v>#N/A</v>
      </c>
      <c r="EA790" s="68">
        <f t="shared" si="949"/>
        <v>0</v>
      </c>
      <c r="EB790" s="68" t="str">
        <f t="shared" si="950"/>
        <v>N/A</v>
      </c>
      <c r="EC790" s="68">
        <f t="shared" si="951"/>
        <v>0</v>
      </c>
      <c r="ED790" s="68" t="str">
        <f t="shared" si="921"/>
        <v>N/A</v>
      </c>
      <c r="EF790" s="56">
        <v>776</v>
      </c>
      <c r="EG790" s="46">
        <f t="shared" si="952"/>
        <v>0</v>
      </c>
      <c r="EH790" s="68" t="e">
        <f t="shared" si="953"/>
        <v>#N/A</v>
      </c>
      <c r="EI790" s="68" t="e">
        <f t="shared" si="954"/>
        <v>#N/A</v>
      </c>
      <c r="EJ790" s="68" t="e">
        <f t="shared" si="955"/>
        <v>#N/A</v>
      </c>
      <c r="EK790" s="68" t="e">
        <f t="shared" si="956"/>
        <v>#N/A</v>
      </c>
      <c r="EL790" s="46">
        <f t="shared" si="957"/>
        <v>0</v>
      </c>
      <c r="EM790" s="46">
        <f t="shared" si="958"/>
        <v>0</v>
      </c>
    </row>
    <row r="791" spans="1:143">
      <c r="A791" s="89"/>
      <c r="B791" s="89"/>
      <c r="C791" s="89"/>
      <c r="D791" s="89"/>
      <c r="E791" s="89"/>
      <c r="F791" s="89"/>
      <c r="G791" s="34"/>
      <c r="H791" s="56">
        <f t="shared" si="959"/>
        <v>777</v>
      </c>
      <c r="I791" s="165"/>
      <c r="J791" s="163"/>
      <c r="K791" s="163"/>
      <c r="L791" s="164"/>
      <c r="M791" s="155"/>
      <c r="N791" s="155"/>
      <c r="O791" s="144"/>
      <c r="P791" s="159" t="str">
        <f>IFERROR(IF(O791&lt;&gt;"User Specified",IF(O791&lt;&gt;"", INDEX('Refrigerant GWPs'!$G$2:$G$154,MATCH(O791,'Refrigerant GWPs'!$A$2:$A$154,0)),""),U791),0)</f>
        <v/>
      </c>
      <c r="Q791" s="155"/>
      <c r="R791" s="155"/>
      <c r="S791" s="144"/>
      <c r="T791" s="159" t="str">
        <f>IF(S791&lt;&gt;"User Specified",IF(AND(S791&lt;&gt;"User Specified",S791&lt;&gt;""), INDEX('Refrigerant GWPs'!$G$2:$G$154,MATCH(S791,'Refrigerant GWPs'!$A$2:$A$154,0)),""),V791)</f>
        <v/>
      </c>
      <c r="U791" s="144"/>
      <c r="V791" s="144"/>
      <c r="W791" s="155"/>
      <c r="X791" s="155"/>
      <c r="Y791" s="144"/>
      <c r="Z791" s="159" t="str">
        <f>IF(AND(Y791&lt;&gt;"User Specified",Y791&lt;&gt;""), INDEX('Refrigerant GWPs'!$G$2:$G$154,MATCH(Y791,'Refrigerant GWPs'!$A$2:$A$154,0)),"")</f>
        <v/>
      </c>
      <c r="AA791" s="155"/>
      <c r="AB791" s="156"/>
      <c r="AC791" s="66"/>
      <c r="AD791" s="66"/>
      <c r="AE791" s="66"/>
      <c r="AF791" s="66"/>
      <c r="AG791" s="66"/>
      <c r="AH791" s="66"/>
      <c r="AI791" s="34"/>
      <c r="AJ791" s="88">
        <f t="shared" si="922"/>
        <v>0</v>
      </c>
      <c r="AK791" s="88">
        <f t="shared" si="923"/>
        <v>0</v>
      </c>
      <c r="AL791" s="88">
        <v>0</v>
      </c>
      <c r="AM791" s="88">
        <v>0</v>
      </c>
      <c r="AN791" s="81" t="str">
        <f t="shared" ref="AN791:AN854" si="961">IF(OR(BC791:BD791),"Warning: Need to enter baseline and measure consumption","")</f>
        <v/>
      </c>
      <c r="AO791" s="88">
        <f t="shared" si="924"/>
        <v>0</v>
      </c>
      <c r="AP791" s="88">
        <f t="shared" si="925"/>
        <v>0</v>
      </c>
      <c r="AQ791" s="81" t="str">
        <f t="shared" si="926"/>
        <v/>
      </c>
      <c r="AS791" s="41" t="b">
        <f t="shared" si="927"/>
        <v>1</v>
      </c>
      <c r="AT791" s="38">
        <f t="shared" si="928"/>
        <v>0</v>
      </c>
      <c r="AU791" s="60">
        <f t="shared" si="929"/>
        <v>0</v>
      </c>
      <c r="AV791" s="41">
        <f t="shared" si="930"/>
        <v>0</v>
      </c>
      <c r="AW791" s="41" t="b">
        <f t="shared" si="931"/>
        <v>0</v>
      </c>
      <c r="AX791" t="str">
        <f t="shared" si="932"/>
        <v>+00</v>
      </c>
      <c r="AY791" t="str">
        <f t="shared" si="933"/>
        <v>+00</v>
      </c>
      <c r="BA791" s="47" t="b">
        <f t="shared" ref="BA791:BA854" si="962">NOT(OR(ISBLANK(AJ791),ISBLANK(AL791)))</f>
        <v>1</v>
      </c>
      <c r="BB791" s="42" t="b">
        <f t="shared" ref="BB791:BB854" si="963">NOT(OR(ISBLANK(AK791),ISBLANK(AM791)))</f>
        <v>1</v>
      </c>
      <c r="BC791" s="42" t="b">
        <f t="shared" ref="BC791:BC854" si="964">AND(NOT(BA791))</f>
        <v>0</v>
      </c>
      <c r="BD791" s="42" t="b">
        <f t="shared" ref="BD791:BD854" si="965">AND(NOT(BB791))</f>
        <v>0</v>
      </c>
      <c r="BE791" s="70">
        <f t="shared" ref="BE791:BE854" si="966">AJ791-AL791</f>
        <v>0</v>
      </c>
      <c r="BF791" s="70">
        <f t="shared" ref="BF791:BF854" si="967">AK791-AM791</f>
        <v>0</v>
      </c>
      <c r="BG791" s="34"/>
      <c r="BI791" s="47" t="b">
        <f t="shared" ref="BI791:BI854" si="968">NOT(OR(ISBLANK(AL791),ISBLANK(AO791)))</f>
        <v>1</v>
      </c>
      <c r="BJ791" s="47" t="b">
        <f t="shared" ref="BJ791:BJ854" si="969">NOT(OR(ISBLANK(AM791),ISBLANK(AP791)))</f>
        <v>1</v>
      </c>
      <c r="BK791" s="42" t="b">
        <f t="shared" ref="BK791:BK854" si="970">AND(NOT(BI791))</f>
        <v>0</v>
      </c>
      <c r="BL791" s="42" t="b">
        <f t="shared" ref="BL791:BL854" si="971">AND(NOT(BJ791))</f>
        <v>0</v>
      </c>
      <c r="BM791" s="42">
        <f t="shared" ref="BM791:BM854" si="972">IF(NOT(OR(ISBLANK(AO791),ISBLANK(AL791))),AO791-AL791,0)</f>
        <v>0</v>
      </c>
      <c r="BN791" s="42">
        <f t="shared" ref="BN791:BN854" si="973">IF(NOT(OR(ISBLANK(AP791),ISBLANK(AM791))),AP791-AM791,0)</f>
        <v>0</v>
      </c>
      <c r="BP791" t="e">
        <f t="shared" ref="BP791:BP854" si="974">(DN791&gt;=0)</f>
        <v>#N/A</v>
      </c>
      <c r="BQ791" t="e">
        <f t="shared" ref="BQ791:BQ854" si="975">(DP791&gt;=0)</f>
        <v>#N/A</v>
      </c>
      <c r="BR791" t="e">
        <f t="shared" ref="BR791:BR854" si="976">AND(BP791,BQ791)</f>
        <v>#N/A</v>
      </c>
      <c r="BT791" s="60">
        <f t="shared" ref="BT791:BT854" si="977">$J791*BE791</f>
        <v>0</v>
      </c>
      <c r="BU791" s="60">
        <f t="shared" ref="BU791:BU854" si="978">$J791*BF791</f>
        <v>0</v>
      </c>
      <c r="BV791" s="60">
        <f t="shared" ref="BV791:BV854" si="979">$J791*BM791</f>
        <v>0</v>
      </c>
      <c r="BW791" s="60">
        <f t="shared" ref="BW791:BW854" si="980">$J791*BN791</f>
        <v>0</v>
      </c>
      <c r="BX791" s="60">
        <f t="shared" ref="BX791:BX854" si="981">$AT791*BT791</f>
        <v>0</v>
      </c>
      <c r="BY791" s="60">
        <f t="shared" ref="BY791:BY854" si="982">$AT791*BU791</f>
        <v>0</v>
      </c>
      <c r="BZ791" s="60">
        <f t="shared" ref="BZ791:BZ854" si="983">$AU791*BV791</f>
        <v>0</v>
      </c>
      <c r="CA791" s="60">
        <f t="shared" ref="CA791:CA854" si="984">$AU791*BW791</f>
        <v>0</v>
      </c>
      <c r="CB791" s="60" t="e">
        <f t="shared" si="934"/>
        <v>#N/A</v>
      </c>
      <c r="CC791" s="60">
        <f t="shared" si="935"/>
        <v>100000</v>
      </c>
      <c r="CD791" s="60" t="e">
        <f t="shared" si="936"/>
        <v>#N/A</v>
      </c>
      <c r="CE791" s="60">
        <f t="shared" si="937"/>
        <v>100000</v>
      </c>
      <c r="CF791" s="83" t="e">
        <f t="shared" ref="CF791:CF854" si="985">$AT791*CB791/1000000</f>
        <v>#N/A</v>
      </c>
      <c r="CG791" s="83">
        <f t="shared" ref="CG791:CG854" si="986">$AT791*CC791/1000000</f>
        <v>0</v>
      </c>
      <c r="CH791" s="83" t="e">
        <f t="shared" ref="CH791:CH854" si="987">$AU791*CD791/1000000</f>
        <v>#N/A</v>
      </c>
      <c r="CI791" s="83">
        <f t="shared" ref="CI791:CI854" si="988">$AU791*CE791/1000000</f>
        <v>0</v>
      </c>
      <c r="CJ791" s="86" t="e">
        <f t="shared" si="938"/>
        <v>#N/A</v>
      </c>
      <c r="CK791" s="82">
        <f t="shared" si="939"/>
        <v>5.3070370403969858E-3</v>
      </c>
      <c r="CL791" s="82" t="e">
        <f t="shared" si="940"/>
        <v>#N/A</v>
      </c>
      <c r="CM791" s="82">
        <f t="shared" si="941"/>
        <v>5.3070370403969858E-3</v>
      </c>
      <c r="CO791" s="149" t="str">
        <f>IF($I791&lt;&gt;"",IF(O791="User Specified",U791,INDEX('Refrigerant GWPs'!$G$2:$G$156,MATCH(O791,'Refrigerant GWPs'!$A$2:$A$156,0))),"")</f>
        <v/>
      </c>
      <c r="CP791" s="138" t="str">
        <f>IF($I791&lt;&gt;"",INDEX('Device Refrigerant Leakage'!$E$2:$E$42,MATCH($M791,'Device Refrigerant Leakage'!$B$2:$B$42,0)),"")</f>
        <v/>
      </c>
      <c r="CQ791" s="138" t="str">
        <f>IF($I791&lt;&gt;"",INDEX('Device Refrigerant Leakage'!$F$2:$F$42,MATCH($M791,'Device Refrigerant Leakage'!$B$2:$B$42,0)),"")</f>
        <v/>
      </c>
      <c r="CR791" s="145" t="str">
        <f>IF($I791&lt;&gt;"",INDEX('Device Refrigerant Leakage'!$G$2:$G$42,MATCH($M791,'Device Refrigerant Leakage'!$B$2:$B$42,0)),"")</f>
        <v/>
      </c>
      <c r="CS791" s="145" t="str">
        <f>IF($I791&lt;&gt;"",INDEX('Device Refrigerant Leakage'!$D$2:$D$42,MATCH($M791,'Device Refrigerant Leakage'!$B$2:$B$42,0))*CP791/2204.62*CO791,"")</f>
        <v/>
      </c>
      <c r="CT791" s="145" t="str">
        <f>IF($I791&lt;&gt;"",J791*(INDEX('Device Refrigerant Leakage'!$D$2:$D$42,MATCH($M791,'Device Refrigerant Leakage'!$B$2:$B$42,0))-(INDEX('Device Refrigerant Leakage'!$D$2:$D$42,MATCH($M791,'Device Refrigerant Leakage'!$B$2:$B$42,0)))*CR791*CP791)*CQ791/2204.62*CO791,"")</f>
        <v/>
      </c>
      <c r="CU791" s="135" t="str">
        <f>IF($I791&lt;&gt;"",J791*IF(W791&lt;&gt;"AR",(CS791*K791)+CT791,(CS791*AB791)+CT791*(AB791/INDEX('Device Refrigerant Leakage'!$C$2:$C$42,MATCH($M791,'Device Refrigerant Leakage'!$B$2:$B$42,0)))),"")</f>
        <v/>
      </c>
      <c r="CW791" s="135" t="str">
        <f>IF($I791&lt;&gt;"",IF(S791="User Specified",V791,INDEX('Refrigerant GWPs'!$G$2:$G$156,MATCH(S791,'Refrigerant GWPs'!$A$2:$A$157,0))),"")</f>
        <v/>
      </c>
      <c r="CX791" s="138" t="str">
        <f>IF($I791&lt;&gt;"",INDEX('Device Refrigerant Leakage'!$E$2:$E$42,MATCH($Q791,'Device Refrigerant Leakage'!$B$2:$B$42,0)),"")</f>
        <v/>
      </c>
      <c r="CY791" s="138" t="str">
        <f>IF($I791&lt;&gt;"",INDEX('Device Refrigerant Leakage'!$F$2:$F$42,MATCH($Q791,'Device Refrigerant Leakage'!$B$2:$B$42,0)),"")</f>
        <v/>
      </c>
      <c r="CZ791" s="145" t="str">
        <f>IF($I791&lt;&gt;"",INDEX('Device Refrigerant Leakage'!$G$2:$G$42,MATCH($Q791,'Device Refrigerant Leakage'!$B$2:$B$42,0)),"")</f>
        <v/>
      </c>
      <c r="DA791" s="145" t="str">
        <f>IF($I791&lt;&gt;"",J791*INDEX('Device Refrigerant Leakage'!$D$2:$D$42,MATCH($Q791,'Device Refrigerant Leakage'!$B$2:$B$42,0))*CX791/2204.62*CW791,"")</f>
        <v/>
      </c>
      <c r="DB791" s="145" t="str">
        <f>IF($I791&lt;&gt;"",J791*(INDEX('Device Refrigerant Leakage'!$D$2:$D$42,MATCH($Q791,'Device Refrigerant Leakage'!$B$2:$B$42,0))-(INDEX('Device Refrigerant Leakage'!$D$2:$D$42,MATCH($Q791,'Device Refrigerant Leakage'!$B$2:$B$42,0)))*CZ791*CX791)*CY791/2204.62*CW791,"")</f>
        <v/>
      </c>
      <c r="DC791" s="135" t="str">
        <f t="shared" si="960"/>
        <v/>
      </c>
      <c r="DE791" s="146" t="str">
        <f>IF(W791&lt;&gt;"AR","",IF(Y791="User Specified", AA791, INDEX('Refrigerant GWPs'!$G$2:$G$154,MATCH(Y791,'Refrigerant GWPs'!$A$2:$A$154,0))))</f>
        <v/>
      </c>
      <c r="DF791" s="146" t="str">
        <f>IF(W791&lt;&gt;"AR","",INDEX('Device Refrigerant Leakage'!$E$2:$E$42,MATCH(X791,'Device Refrigerant Leakage'!$B$2:$B$42,0)))</f>
        <v/>
      </c>
      <c r="DG791" s="146" t="str">
        <f>IF(W791&lt;&gt;"AR","",INDEX('Device Refrigerant Leakage'!$F$2:$F$42,MATCH(X791,'Device Refrigerant Leakage'!$B$2:$B$42,0)))</f>
        <v/>
      </c>
      <c r="DH791" s="146" t="str">
        <f>IF(W791&lt;&gt;"AR","",INDEX('Device Refrigerant Leakage'!$G$2:$G$42,MATCH(X791,'Device Refrigerant Leakage'!$B$2:$B$42,0)))</f>
        <v/>
      </c>
      <c r="DI791" s="146" t="str">
        <f>IF(W791&lt;&gt;"AR","",J791*INDEX('Device Refrigerant Leakage'!$D$2:$D$42,MATCH(X791,'Device Refrigerant Leakage'!$B$2:$B$42,0))*DF791/2204.62*DE791)</f>
        <v/>
      </c>
      <c r="DJ791" s="146" t="str">
        <f>IF(W791&lt;&gt;"AR","",J791*(INDEX('Device Refrigerant Leakage'!$D$2:$D$42,MATCH(X791,'Device Refrigerant Leakage'!$B$2:$B$42,0))-(INDEX('Device Refrigerant Leakage'!$D$2:$D$42,MATCH(X791,'Device Refrigerant Leakage'!$B$2:$B$42,0)))*DH791*DF791)*DG791/2204.62*DE791)</f>
        <v/>
      </c>
      <c r="DK791" s="146" t="str">
        <f>IF(W791&lt;&gt;"AR","",DI791*(K791-AB791)+'Fuel Sub Calcs-Deemed'!DJ791*((K791-AB791)/INDEX('Device Refrigerant Leakage'!$C$2:$C$42,MATCH('Fuel Sub Calcs-Deemed'!X791,'Device Refrigerant Leakage'!$B$2:$B$42,0))))</f>
        <v/>
      </c>
      <c r="DM791" s="56">
        <v>777</v>
      </c>
      <c r="DN791" s="67" t="e">
        <f t="shared" si="942"/>
        <v>#N/A</v>
      </c>
      <c r="DO791" s="45" t="e">
        <f t="shared" si="943"/>
        <v>#N/A</v>
      </c>
      <c r="DP791" s="67" t="e">
        <f t="shared" si="944"/>
        <v>#N/A</v>
      </c>
      <c r="DQ791" s="45" t="e">
        <f t="shared" si="945"/>
        <v>#N/A</v>
      </c>
      <c r="DR791" s="69" t="e">
        <f t="shared" si="946"/>
        <v>#N/A</v>
      </c>
      <c r="DS791" s="34"/>
      <c r="DT791" s="67" t="e">
        <f>((BX791*CJ791)+IF($W791=MAT_AR,(BZ791*CL791),0))*(1+Reference!$E$50+Reference!$E$51)</f>
        <v>#N/A</v>
      </c>
      <c r="DU791" s="67">
        <f>((BY791*CK791)+IF($W791=MAT_AR,(CA791*CM791),0))*(1+Reference!$G$50+Reference!$G$51)</f>
        <v>0</v>
      </c>
      <c r="DV791" s="67" t="e">
        <f t="shared" si="947"/>
        <v>#VALUE!</v>
      </c>
      <c r="DX791" s="56">
        <v>777</v>
      </c>
      <c r="DY791" s="67">
        <f t="shared" si="948"/>
        <v>0</v>
      </c>
      <c r="DZ791" s="45" t="e">
        <f>VLOOKUP($R791,Dropdown!$C$3:$D$4,2,FALSE)</f>
        <v>#N/A</v>
      </c>
      <c r="EA791" s="68">
        <f t="shared" si="949"/>
        <v>0</v>
      </c>
      <c r="EB791" s="68" t="str">
        <f t="shared" si="950"/>
        <v>N/A</v>
      </c>
      <c r="EC791" s="68">
        <f t="shared" si="951"/>
        <v>0</v>
      </c>
      <c r="ED791" s="68" t="str">
        <f t="shared" ref="ED791:ED854" si="989">IF($R791=fuel_electricity,DY791*10^6/Btu_therm,"N/A")</f>
        <v>N/A</v>
      </c>
      <c r="EF791" s="56">
        <v>777</v>
      </c>
      <c r="EG791" s="46">
        <f t="shared" si="952"/>
        <v>0</v>
      </c>
      <c r="EH791" s="68" t="e">
        <f t="shared" si="953"/>
        <v>#N/A</v>
      </c>
      <c r="EI791" s="68" t="e">
        <f t="shared" si="954"/>
        <v>#N/A</v>
      </c>
      <c r="EJ791" s="68" t="e">
        <f t="shared" si="955"/>
        <v>#N/A</v>
      </c>
      <c r="EK791" s="68" t="e">
        <f t="shared" si="956"/>
        <v>#N/A</v>
      </c>
      <c r="EL791" s="46">
        <f t="shared" si="957"/>
        <v>0</v>
      </c>
      <c r="EM791" s="46">
        <f t="shared" si="958"/>
        <v>0</v>
      </c>
    </row>
    <row r="792" spans="1:143">
      <c r="A792" s="89"/>
      <c r="B792" s="89"/>
      <c r="C792" s="89"/>
      <c r="D792" s="89"/>
      <c r="E792" s="89"/>
      <c r="F792" s="89"/>
      <c r="G792" s="34"/>
      <c r="H792" s="56">
        <f t="shared" si="959"/>
        <v>778</v>
      </c>
      <c r="I792" s="165"/>
      <c r="J792" s="163"/>
      <c r="K792" s="163"/>
      <c r="L792" s="164"/>
      <c r="M792" s="155"/>
      <c r="N792" s="155"/>
      <c r="O792" s="144"/>
      <c r="P792" s="159" t="str">
        <f>IFERROR(IF(O792&lt;&gt;"User Specified",IF(O792&lt;&gt;"", INDEX('Refrigerant GWPs'!$G$2:$G$154,MATCH(O792,'Refrigerant GWPs'!$A$2:$A$154,0)),""),U792),0)</f>
        <v/>
      </c>
      <c r="Q792" s="155"/>
      <c r="R792" s="155"/>
      <c r="S792" s="144"/>
      <c r="T792" s="159" t="str">
        <f>IF(S792&lt;&gt;"User Specified",IF(AND(S792&lt;&gt;"User Specified",S792&lt;&gt;""), INDEX('Refrigerant GWPs'!$G$2:$G$154,MATCH(S792,'Refrigerant GWPs'!$A$2:$A$154,0)),""),V792)</f>
        <v/>
      </c>
      <c r="U792" s="144"/>
      <c r="V792" s="144"/>
      <c r="W792" s="155"/>
      <c r="X792" s="155"/>
      <c r="Y792" s="144"/>
      <c r="Z792" s="159" t="str">
        <f>IF(AND(Y792&lt;&gt;"User Specified",Y792&lt;&gt;""), INDEX('Refrigerant GWPs'!$G$2:$G$154,MATCH(Y792,'Refrigerant GWPs'!$A$2:$A$154,0)),"")</f>
        <v/>
      </c>
      <c r="AA792" s="155"/>
      <c r="AB792" s="156"/>
      <c r="AC792" s="66"/>
      <c r="AD792" s="66"/>
      <c r="AE792" s="66"/>
      <c r="AF792" s="66"/>
      <c r="AG792" s="66"/>
      <c r="AH792" s="66"/>
      <c r="AI792" s="34"/>
      <c r="AJ792" s="88">
        <f t="shared" si="922"/>
        <v>0</v>
      </c>
      <c r="AK792" s="88">
        <f t="shared" si="923"/>
        <v>0</v>
      </c>
      <c r="AL792" s="88">
        <v>0</v>
      </c>
      <c r="AM792" s="88">
        <v>0</v>
      </c>
      <c r="AN792" s="81" t="str">
        <f t="shared" si="961"/>
        <v/>
      </c>
      <c r="AO792" s="88">
        <f t="shared" si="924"/>
        <v>0</v>
      </c>
      <c r="AP792" s="88">
        <f t="shared" si="925"/>
        <v>0</v>
      </c>
      <c r="AQ792" s="81" t="str">
        <f t="shared" si="926"/>
        <v/>
      </c>
      <c r="AS792" s="41" t="b">
        <f t="shared" si="927"/>
        <v>1</v>
      </c>
      <c r="AT792" s="38">
        <f t="shared" si="928"/>
        <v>0</v>
      </c>
      <c r="AU792" s="60">
        <f t="shared" si="929"/>
        <v>0</v>
      </c>
      <c r="AV792" s="41">
        <f t="shared" si="930"/>
        <v>0</v>
      </c>
      <c r="AW792" s="41" t="b">
        <f t="shared" si="931"/>
        <v>0</v>
      </c>
      <c r="AX792" t="str">
        <f t="shared" si="932"/>
        <v>+00</v>
      </c>
      <c r="AY792" t="str">
        <f t="shared" si="933"/>
        <v>+00</v>
      </c>
      <c r="BA792" s="47" t="b">
        <f t="shared" si="962"/>
        <v>1</v>
      </c>
      <c r="BB792" s="42" t="b">
        <f t="shared" si="963"/>
        <v>1</v>
      </c>
      <c r="BC792" s="42" t="b">
        <f t="shared" si="964"/>
        <v>0</v>
      </c>
      <c r="BD792" s="42" t="b">
        <f t="shared" si="965"/>
        <v>0</v>
      </c>
      <c r="BE792" s="70">
        <f t="shared" si="966"/>
        <v>0</v>
      </c>
      <c r="BF792" s="70">
        <f t="shared" si="967"/>
        <v>0</v>
      </c>
      <c r="BG792" s="34"/>
      <c r="BI792" s="47" t="b">
        <f t="shared" si="968"/>
        <v>1</v>
      </c>
      <c r="BJ792" s="47" t="b">
        <f t="shared" si="969"/>
        <v>1</v>
      </c>
      <c r="BK792" s="42" t="b">
        <f t="shared" si="970"/>
        <v>0</v>
      </c>
      <c r="BL792" s="42" t="b">
        <f t="shared" si="971"/>
        <v>0</v>
      </c>
      <c r="BM792" s="42">
        <f t="shared" si="972"/>
        <v>0</v>
      </c>
      <c r="BN792" s="42">
        <f t="shared" si="973"/>
        <v>0</v>
      </c>
      <c r="BP792" t="e">
        <f t="shared" si="974"/>
        <v>#N/A</v>
      </c>
      <c r="BQ792" t="e">
        <f t="shared" si="975"/>
        <v>#N/A</v>
      </c>
      <c r="BR792" t="e">
        <f t="shared" si="976"/>
        <v>#N/A</v>
      </c>
      <c r="BT792" s="60">
        <f t="shared" si="977"/>
        <v>0</v>
      </c>
      <c r="BU792" s="60">
        <f t="shared" si="978"/>
        <v>0</v>
      </c>
      <c r="BV792" s="60">
        <f t="shared" si="979"/>
        <v>0</v>
      </c>
      <c r="BW792" s="60">
        <f t="shared" si="980"/>
        <v>0</v>
      </c>
      <c r="BX792" s="60">
        <f t="shared" si="981"/>
        <v>0</v>
      </c>
      <c r="BY792" s="60">
        <f t="shared" si="982"/>
        <v>0</v>
      </c>
      <c r="BZ792" s="60">
        <f t="shared" si="983"/>
        <v>0</v>
      </c>
      <c r="CA792" s="60">
        <f t="shared" si="984"/>
        <v>0</v>
      </c>
      <c r="CB792" s="60" t="e">
        <f t="shared" si="934"/>
        <v>#N/A</v>
      </c>
      <c r="CC792" s="60">
        <f t="shared" si="935"/>
        <v>100000</v>
      </c>
      <c r="CD792" s="60" t="e">
        <f t="shared" si="936"/>
        <v>#N/A</v>
      </c>
      <c r="CE792" s="60">
        <f t="shared" si="937"/>
        <v>100000</v>
      </c>
      <c r="CF792" s="83" t="e">
        <f t="shared" si="985"/>
        <v>#N/A</v>
      </c>
      <c r="CG792" s="83">
        <f t="shared" si="986"/>
        <v>0</v>
      </c>
      <c r="CH792" s="83" t="e">
        <f t="shared" si="987"/>
        <v>#N/A</v>
      </c>
      <c r="CI792" s="83">
        <f t="shared" si="988"/>
        <v>0</v>
      </c>
      <c r="CJ792" s="86" t="e">
        <f t="shared" si="938"/>
        <v>#N/A</v>
      </c>
      <c r="CK792" s="82">
        <f t="shared" si="939"/>
        <v>5.3070370403969858E-3</v>
      </c>
      <c r="CL792" s="82" t="e">
        <f t="shared" si="940"/>
        <v>#N/A</v>
      </c>
      <c r="CM792" s="82">
        <f t="shared" si="941"/>
        <v>5.3070370403969858E-3</v>
      </c>
      <c r="CO792" s="149" t="str">
        <f>IF($I792&lt;&gt;"",IF(O792="User Specified",U792,INDEX('Refrigerant GWPs'!$G$2:$G$156,MATCH(O792,'Refrigerant GWPs'!$A$2:$A$156,0))),"")</f>
        <v/>
      </c>
      <c r="CP792" s="138" t="str">
        <f>IF($I792&lt;&gt;"",INDEX('Device Refrigerant Leakage'!$E$2:$E$42,MATCH($M792,'Device Refrigerant Leakage'!$B$2:$B$42,0)),"")</f>
        <v/>
      </c>
      <c r="CQ792" s="138" t="str">
        <f>IF($I792&lt;&gt;"",INDEX('Device Refrigerant Leakage'!$F$2:$F$42,MATCH($M792,'Device Refrigerant Leakage'!$B$2:$B$42,0)),"")</f>
        <v/>
      </c>
      <c r="CR792" s="145" t="str">
        <f>IF($I792&lt;&gt;"",INDEX('Device Refrigerant Leakage'!$G$2:$G$42,MATCH($M792,'Device Refrigerant Leakage'!$B$2:$B$42,0)),"")</f>
        <v/>
      </c>
      <c r="CS792" s="145" t="str">
        <f>IF($I792&lt;&gt;"",INDEX('Device Refrigerant Leakage'!$D$2:$D$42,MATCH($M792,'Device Refrigerant Leakage'!$B$2:$B$42,0))*CP792/2204.62*CO792,"")</f>
        <v/>
      </c>
      <c r="CT792" s="145" t="str">
        <f>IF($I792&lt;&gt;"",J792*(INDEX('Device Refrigerant Leakage'!$D$2:$D$42,MATCH($M792,'Device Refrigerant Leakage'!$B$2:$B$42,0))-(INDEX('Device Refrigerant Leakage'!$D$2:$D$42,MATCH($M792,'Device Refrigerant Leakage'!$B$2:$B$42,0)))*CR792*CP792)*CQ792/2204.62*CO792,"")</f>
        <v/>
      </c>
      <c r="CU792" s="135" t="str">
        <f>IF($I792&lt;&gt;"",J792*IF(W792&lt;&gt;"AR",(CS792*K792)+CT792,(CS792*AB792)+CT792*(AB792/INDEX('Device Refrigerant Leakage'!$C$2:$C$42,MATCH($M792,'Device Refrigerant Leakage'!$B$2:$B$42,0)))),"")</f>
        <v/>
      </c>
      <c r="CW792" s="135" t="str">
        <f>IF($I792&lt;&gt;"",IF(S792="User Specified",V792,INDEX('Refrigerant GWPs'!$G$2:$G$156,MATCH(S792,'Refrigerant GWPs'!$A$2:$A$157,0))),"")</f>
        <v/>
      </c>
      <c r="CX792" s="138" t="str">
        <f>IF($I792&lt;&gt;"",INDEX('Device Refrigerant Leakage'!$E$2:$E$42,MATCH($Q792,'Device Refrigerant Leakage'!$B$2:$B$42,0)),"")</f>
        <v/>
      </c>
      <c r="CY792" s="138" t="str">
        <f>IF($I792&lt;&gt;"",INDEX('Device Refrigerant Leakage'!$F$2:$F$42,MATCH($Q792,'Device Refrigerant Leakage'!$B$2:$B$42,0)),"")</f>
        <v/>
      </c>
      <c r="CZ792" s="145" t="str">
        <f>IF($I792&lt;&gt;"",INDEX('Device Refrigerant Leakage'!$G$2:$G$42,MATCH($Q792,'Device Refrigerant Leakage'!$B$2:$B$42,0)),"")</f>
        <v/>
      </c>
      <c r="DA792" s="145" t="str">
        <f>IF($I792&lt;&gt;"",J792*INDEX('Device Refrigerant Leakage'!$D$2:$D$42,MATCH($Q792,'Device Refrigerant Leakage'!$B$2:$B$42,0))*CX792/2204.62*CW792,"")</f>
        <v/>
      </c>
      <c r="DB792" s="145" t="str">
        <f>IF($I792&lt;&gt;"",J792*(INDEX('Device Refrigerant Leakage'!$D$2:$D$42,MATCH($Q792,'Device Refrigerant Leakage'!$B$2:$B$42,0))-(INDEX('Device Refrigerant Leakage'!$D$2:$D$42,MATCH($Q792,'Device Refrigerant Leakage'!$B$2:$B$42,0)))*CZ792*CX792)*CY792/2204.62*CW792,"")</f>
        <v/>
      </c>
      <c r="DC792" s="135" t="str">
        <f t="shared" si="960"/>
        <v/>
      </c>
      <c r="DE792" s="146" t="str">
        <f>IF(W792&lt;&gt;"AR","",IF(Y792="User Specified", AA792, INDEX('Refrigerant GWPs'!$G$2:$G$154,MATCH(Y792,'Refrigerant GWPs'!$A$2:$A$154,0))))</f>
        <v/>
      </c>
      <c r="DF792" s="146" t="str">
        <f>IF(W792&lt;&gt;"AR","",INDEX('Device Refrigerant Leakage'!$E$2:$E$42,MATCH(X792,'Device Refrigerant Leakage'!$B$2:$B$42,0)))</f>
        <v/>
      </c>
      <c r="DG792" s="146" t="str">
        <f>IF(W792&lt;&gt;"AR","",INDEX('Device Refrigerant Leakage'!$F$2:$F$42,MATCH(X792,'Device Refrigerant Leakage'!$B$2:$B$42,0)))</f>
        <v/>
      </c>
      <c r="DH792" s="146" t="str">
        <f>IF(W792&lt;&gt;"AR","",INDEX('Device Refrigerant Leakage'!$G$2:$G$42,MATCH(X792,'Device Refrigerant Leakage'!$B$2:$B$42,0)))</f>
        <v/>
      </c>
      <c r="DI792" s="146" t="str">
        <f>IF(W792&lt;&gt;"AR","",J792*INDEX('Device Refrigerant Leakage'!$D$2:$D$42,MATCH(X792,'Device Refrigerant Leakage'!$B$2:$B$42,0))*DF792/2204.62*DE792)</f>
        <v/>
      </c>
      <c r="DJ792" s="146" t="str">
        <f>IF(W792&lt;&gt;"AR","",J792*(INDEX('Device Refrigerant Leakage'!$D$2:$D$42,MATCH(X792,'Device Refrigerant Leakage'!$B$2:$B$42,0))-(INDEX('Device Refrigerant Leakage'!$D$2:$D$42,MATCH(X792,'Device Refrigerant Leakage'!$B$2:$B$42,0)))*DH792*DF792)*DG792/2204.62*DE792)</f>
        <v/>
      </c>
      <c r="DK792" s="146" t="str">
        <f>IF(W792&lt;&gt;"AR","",DI792*(K792-AB792)+'Fuel Sub Calcs-Deemed'!DJ792*((K792-AB792)/INDEX('Device Refrigerant Leakage'!$C$2:$C$42,MATCH('Fuel Sub Calcs-Deemed'!X792,'Device Refrigerant Leakage'!$B$2:$B$42,0))))</f>
        <v/>
      </c>
      <c r="DM792" s="56">
        <v>778</v>
      </c>
      <c r="DN792" s="67" t="e">
        <f t="shared" si="942"/>
        <v>#N/A</v>
      </c>
      <c r="DO792" s="45" t="e">
        <f t="shared" si="943"/>
        <v>#N/A</v>
      </c>
      <c r="DP792" s="67" t="e">
        <f t="shared" si="944"/>
        <v>#N/A</v>
      </c>
      <c r="DQ792" s="45" t="e">
        <f t="shared" si="945"/>
        <v>#N/A</v>
      </c>
      <c r="DR792" s="69" t="e">
        <f t="shared" si="946"/>
        <v>#N/A</v>
      </c>
      <c r="DS792" s="34"/>
      <c r="DT792" s="67" t="e">
        <f>((BX792*CJ792)+IF($W792=MAT_AR,(BZ792*CL792),0))*(1+Reference!$E$50+Reference!$E$51)</f>
        <v>#N/A</v>
      </c>
      <c r="DU792" s="67">
        <f>((BY792*CK792)+IF($W792=MAT_AR,(CA792*CM792),0))*(1+Reference!$G$50+Reference!$G$51)</f>
        <v>0</v>
      </c>
      <c r="DV792" s="67" t="e">
        <f t="shared" si="947"/>
        <v>#VALUE!</v>
      </c>
      <c r="DX792" s="56">
        <v>778</v>
      </c>
      <c r="DY792" s="67">
        <f t="shared" si="948"/>
        <v>0</v>
      </c>
      <c r="DZ792" s="45" t="e">
        <f>VLOOKUP($R792,Dropdown!$C$3:$D$4,2,FALSE)</f>
        <v>#N/A</v>
      </c>
      <c r="EA792" s="68">
        <f t="shared" si="949"/>
        <v>0</v>
      </c>
      <c r="EB792" s="68" t="str">
        <f t="shared" si="950"/>
        <v>N/A</v>
      </c>
      <c r="EC792" s="68">
        <f t="shared" si="951"/>
        <v>0</v>
      </c>
      <c r="ED792" s="68" t="str">
        <f t="shared" si="989"/>
        <v>N/A</v>
      </c>
      <c r="EF792" s="56">
        <v>778</v>
      </c>
      <c r="EG792" s="46">
        <f t="shared" si="952"/>
        <v>0</v>
      </c>
      <c r="EH792" s="68" t="e">
        <f t="shared" si="953"/>
        <v>#N/A</v>
      </c>
      <c r="EI792" s="68" t="e">
        <f t="shared" si="954"/>
        <v>#N/A</v>
      </c>
      <c r="EJ792" s="68" t="e">
        <f t="shared" si="955"/>
        <v>#N/A</v>
      </c>
      <c r="EK792" s="68" t="e">
        <f t="shared" si="956"/>
        <v>#N/A</v>
      </c>
      <c r="EL792" s="46">
        <f t="shared" si="957"/>
        <v>0</v>
      </c>
      <c r="EM792" s="46">
        <f t="shared" si="958"/>
        <v>0</v>
      </c>
    </row>
    <row r="793" spans="1:143">
      <c r="A793" s="89"/>
      <c r="B793" s="89"/>
      <c r="C793" s="89"/>
      <c r="D793" s="89"/>
      <c r="E793" s="89"/>
      <c r="F793" s="89"/>
      <c r="G793" s="34"/>
      <c r="H793" s="56">
        <f t="shared" si="959"/>
        <v>779</v>
      </c>
      <c r="I793" s="165"/>
      <c r="J793" s="163"/>
      <c r="K793" s="163"/>
      <c r="L793" s="164"/>
      <c r="M793" s="155"/>
      <c r="N793" s="155"/>
      <c r="O793" s="144"/>
      <c r="P793" s="159" t="str">
        <f>IFERROR(IF(O793&lt;&gt;"User Specified",IF(O793&lt;&gt;"", INDEX('Refrigerant GWPs'!$G$2:$G$154,MATCH(O793,'Refrigerant GWPs'!$A$2:$A$154,0)),""),U793),0)</f>
        <v/>
      </c>
      <c r="Q793" s="155"/>
      <c r="R793" s="155"/>
      <c r="S793" s="144"/>
      <c r="T793" s="159" t="str">
        <f>IF(S793&lt;&gt;"User Specified",IF(AND(S793&lt;&gt;"User Specified",S793&lt;&gt;""), INDEX('Refrigerant GWPs'!$G$2:$G$154,MATCH(S793,'Refrigerant GWPs'!$A$2:$A$154,0)),""),V793)</f>
        <v/>
      </c>
      <c r="U793" s="144"/>
      <c r="V793" s="144"/>
      <c r="W793" s="155"/>
      <c r="X793" s="155"/>
      <c r="Y793" s="144"/>
      <c r="Z793" s="159" t="str">
        <f>IF(AND(Y793&lt;&gt;"User Specified",Y793&lt;&gt;""), INDEX('Refrigerant GWPs'!$G$2:$G$154,MATCH(Y793,'Refrigerant GWPs'!$A$2:$A$154,0)),"")</f>
        <v/>
      </c>
      <c r="AA793" s="155"/>
      <c r="AB793" s="156"/>
      <c r="AC793" s="66"/>
      <c r="AD793" s="66"/>
      <c r="AE793" s="66"/>
      <c r="AF793" s="66"/>
      <c r="AG793" s="66"/>
      <c r="AH793" s="66"/>
      <c r="AI793" s="34"/>
      <c r="AJ793" s="88">
        <f t="shared" si="922"/>
        <v>0</v>
      </c>
      <c r="AK793" s="88">
        <f t="shared" si="923"/>
        <v>0</v>
      </c>
      <c r="AL793" s="88">
        <v>0</v>
      </c>
      <c r="AM793" s="88">
        <v>0</v>
      </c>
      <c r="AN793" s="81" t="str">
        <f t="shared" si="961"/>
        <v/>
      </c>
      <c r="AO793" s="88">
        <f t="shared" si="924"/>
        <v>0</v>
      </c>
      <c r="AP793" s="88">
        <f t="shared" si="925"/>
        <v>0</v>
      </c>
      <c r="AQ793" s="81" t="str">
        <f t="shared" si="926"/>
        <v/>
      </c>
      <c r="AS793" s="41" t="b">
        <f t="shared" si="927"/>
        <v>1</v>
      </c>
      <c r="AT793" s="38">
        <f t="shared" si="928"/>
        <v>0</v>
      </c>
      <c r="AU793" s="60">
        <f t="shared" si="929"/>
        <v>0</v>
      </c>
      <c r="AV793" s="41">
        <f t="shared" si="930"/>
        <v>0</v>
      </c>
      <c r="AW793" s="41" t="b">
        <f t="shared" si="931"/>
        <v>0</v>
      </c>
      <c r="AX793" t="str">
        <f t="shared" si="932"/>
        <v>+00</v>
      </c>
      <c r="AY793" t="str">
        <f t="shared" si="933"/>
        <v>+00</v>
      </c>
      <c r="BA793" s="47" t="b">
        <f t="shared" si="962"/>
        <v>1</v>
      </c>
      <c r="BB793" s="42" t="b">
        <f t="shared" si="963"/>
        <v>1</v>
      </c>
      <c r="BC793" s="42" t="b">
        <f t="shared" si="964"/>
        <v>0</v>
      </c>
      <c r="BD793" s="42" t="b">
        <f t="shared" si="965"/>
        <v>0</v>
      </c>
      <c r="BE793" s="70">
        <f t="shared" si="966"/>
        <v>0</v>
      </c>
      <c r="BF793" s="70">
        <f t="shared" si="967"/>
        <v>0</v>
      </c>
      <c r="BG793" s="34"/>
      <c r="BI793" s="47" t="b">
        <f t="shared" si="968"/>
        <v>1</v>
      </c>
      <c r="BJ793" s="47" t="b">
        <f t="shared" si="969"/>
        <v>1</v>
      </c>
      <c r="BK793" s="42" t="b">
        <f t="shared" si="970"/>
        <v>0</v>
      </c>
      <c r="BL793" s="42" t="b">
        <f t="shared" si="971"/>
        <v>0</v>
      </c>
      <c r="BM793" s="42">
        <f t="shared" si="972"/>
        <v>0</v>
      </c>
      <c r="BN793" s="42">
        <f t="shared" si="973"/>
        <v>0</v>
      </c>
      <c r="BP793" t="e">
        <f t="shared" si="974"/>
        <v>#N/A</v>
      </c>
      <c r="BQ793" t="e">
        <f t="shared" si="975"/>
        <v>#N/A</v>
      </c>
      <c r="BR793" t="e">
        <f t="shared" si="976"/>
        <v>#N/A</v>
      </c>
      <c r="BT793" s="60">
        <f t="shared" si="977"/>
        <v>0</v>
      </c>
      <c r="BU793" s="60">
        <f t="shared" si="978"/>
        <v>0</v>
      </c>
      <c r="BV793" s="60">
        <f t="shared" si="979"/>
        <v>0</v>
      </c>
      <c r="BW793" s="60">
        <f t="shared" si="980"/>
        <v>0</v>
      </c>
      <c r="BX793" s="60">
        <f t="shared" si="981"/>
        <v>0</v>
      </c>
      <c r="BY793" s="60">
        <f t="shared" si="982"/>
        <v>0</v>
      </c>
      <c r="BZ793" s="60">
        <f t="shared" si="983"/>
        <v>0</v>
      </c>
      <c r="CA793" s="60">
        <f t="shared" si="984"/>
        <v>0</v>
      </c>
      <c r="CB793" s="60" t="e">
        <f t="shared" si="934"/>
        <v>#N/A</v>
      </c>
      <c r="CC793" s="60">
        <f t="shared" si="935"/>
        <v>100000</v>
      </c>
      <c r="CD793" s="60" t="e">
        <f t="shared" si="936"/>
        <v>#N/A</v>
      </c>
      <c r="CE793" s="60">
        <f t="shared" si="937"/>
        <v>100000</v>
      </c>
      <c r="CF793" s="83" t="e">
        <f t="shared" si="985"/>
        <v>#N/A</v>
      </c>
      <c r="CG793" s="83">
        <f t="shared" si="986"/>
        <v>0</v>
      </c>
      <c r="CH793" s="83" t="e">
        <f t="shared" si="987"/>
        <v>#N/A</v>
      </c>
      <c r="CI793" s="83">
        <f t="shared" si="988"/>
        <v>0</v>
      </c>
      <c r="CJ793" s="86" t="e">
        <f t="shared" si="938"/>
        <v>#N/A</v>
      </c>
      <c r="CK793" s="82">
        <f t="shared" si="939"/>
        <v>5.3070370403969858E-3</v>
      </c>
      <c r="CL793" s="82" t="e">
        <f t="shared" si="940"/>
        <v>#N/A</v>
      </c>
      <c r="CM793" s="82">
        <f t="shared" si="941"/>
        <v>5.3070370403969858E-3</v>
      </c>
      <c r="CO793" s="149" t="str">
        <f>IF($I793&lt;&gt;"",IF(O793="User Specified",U793,INDEX('Refrigerant GWPs'!$G$2:$G$156,MATCH(O793,'Refrigerant GWPs'!$A$2:$A$156,0))),"")</f>
        <v/>
      </c>
      <c r="CP793" s="138" t="str">
        <f>IF($I793&lt;&gt;"",INDEX('Device Refrigerant Leakage'!$E$2:$E$42,MATCH($M793,'Device Refrigerant Leakage'!$B$2:$B$42,0)),"")</f>
        <v/>
      </c>
      <c r="CQ793" s="138" t="str">
        <f>IF($I793&lt;&gt;"",INDEX('Device Refrigerant Leakage'!$F$2:$F$42,MATCH($M793,'Device Refrigerant Leakage'!$B$2:$B$42,0)),"")</f>
        <v/>
      </c>
      <c r="CR793" s="145" t="str">
        <f>IF($I793&lt;&gt;"",INDEX('Device Refrigerant Leakage'!$G$2:$G$42,MATCH($M793,'Device Refrigerant Leakage'!$B$2:$B$42,0)),"")</f>
        <v/>
      </c>
      <c r="CS793" s="145" t="str">
        <f>IF($I793&lt;&gt;"",INDEX('Device Refrigerant Leakage'!$D$2:$D$42,MATCH($M793,'Device Refrigerant Leakage'!$B$2:$B$42,0))*CP793/2204.62*CO793,"")</f>
        <v/>
      </c>
      <c r="CT793" s="145" t="str">
        <f>IF($I793&lt;&gt;"",J793*(INDEX('Device Refrigerant Leakage'!$D$2:$D$42,MATCH($M793,'Device Refrigerant Leakage'!$B$2:$B$42,0))-(INDEX('Device Refrigerant Leakage'!$D$2:$D$42,MATCH($M793,'Device Refrigerant Leakage'!$B$2:$B$42,0)))*CR793*CP793)*CQ793/2204.62*CO793,"")</f>
        <v/>
      </c>
      <c r="CU793" s="135" t="str">
        <f>IF($I793&lt;&gt;"",J793*IF(W793&lt;&gt;"AR",(CS793*K793)+CT793,(CS793*AB793)+CT793*(AB793/INDEX('Device Refrigerant Leakage'!$C$2:$C$42,MATCH($M793,'Device Refrigerant Leakage'!$B$2:$B$42,0)))),"")</f>
        <v/>
      </c>
      <c r="CW793" s="135" t="str">
        <f>IF($I793&lt;&gt;"",IF(S793="User Specified",V793,INDEX('Refrigerant GWPs'!$G$2:$G$156,MATCH(S793,'Refrigerant GWPs'!$A$2:$A$157,0))),"")</f>
        <v/>
      </c>
      <c r="CX793" s="138" t="str">
        <f>IF($I793&lt;&gt;"",INDEX('Device Refrigerant Leakage'!$E$2:$E$42,MATCH($Q793,'Device Refrigerant Leakage'!$B$2:$B$42,0)),"")</f>
        <v/>
      </c>
      <c r="CY793" s="138" t="str">
        <f>IF($I793&lt;&gt;"",INDEX('Device Refrigerant Leakage'!$F$2:$F$42,MATCH($Q793,'Device Refrigerant Leakage'!$B$2:$B$42,0)),"")</f>
        <v/>
      </c>
      <c r="CZ793" s="145" t="str">
        <f>IF($I793&lt;&gt;"",INDEX('Device Refrigerant Leakage'!$G$2:$G$42,MATCH($Q793,'Device Refrigerant Leakage'!$B$2:$B$42,0)),"")</f>
        <v/>
      </c>
      <c r="DA793" s="145" t="str">
        <f>IF($I793&lt;&gt;"",J793*INDEX('Device Refrigerant Leakage'!$D$2:$D$42,MATCH($Q793,'Device Refrigerant Leakage'!$B$2:$B$42,0))*CX793/2204.62*CW793,"")</f>
        <v/>
      </c>
      <c r="DB793" s="145" t="str">
        <f>IF($I793&lt;&gt;"",J793*(INDEX('Device Refrigerant Leakage'!$D$2:$D$42,MATCH($Q793,'Device Refrigerant Leakage'!$B$2:$B$42,0))-(INDEX('Device Refrigerant Leakage'!$D$2:$D$42,MATCH($Q793,'Device Refrigerant Leakage'!$B$2:$B$42,0)))*CZ793*CX793)*CY793/2204.62*CW793,"")</f>
        <v/>
      </c>
      <c r="DC793" s="135" t="str">
        <f t="shared" si="960"/>
        <v/>
      </c>
      <c r="DE793" s="146" t="str">
        <f>IF(W793&lt;&gt;"AR","",IF(Y793="User Specified", AA793, INDEX('Refrigerant GWPs'!$G$2:$G$154,MATCH(Y793,'Refrigerant GWPs'!$A$2:$A$154,0))))</f>
        <v/>
      </c>
      <c r="DF793" s="146" t="str">
        <f>IF(W793&lt;&gt;"AR","",INDEX('Device Refrigerant Leakage'!$E$2:$E$42,MATCH(X793,'Device Refrigerant Leakage'!$B$2:$B$42,0)))</f>
        <v/>
      </c>
      <c r="DG793" s="146" t="str">
        <f>IF(W793&lt;&gt;"AR","",INDEX('Device Refrigerant Leakage'!$F$2:$F$42,MATCH(X793,'Device Refrigerant Leakage'!$B$2:$B$42,0)))</f>
        <v/>
      </c>
      <c r="DH793" s="146" t="str">
        <f>IF(W793&lt;&gt;"AR","",INDEX('Device Refrigerant Leakage'!$G$2:$G$42,MATCH(X793,'Device Refrigerant Leakage'!$B$2:$B$42,0)))</f>
        <v/>
      </c>
      <c r="DI793" s="146" t="str">
        <f>IF(W793&lt;&gt;"AR","",J793*INDEX('Device Refrigerant Leakage'!$D$2:$D$42,MATCH(X793,'Device Refrigerant Leakage'!$B$2:$B$42,0))*DF793/2204.62*DE793)</f>
        <v/>
      </c>
      <c r="DJ793" s="146" t="str">
        <f>IF(W793&lt;&gt;"AR","",J793*(INDEX('Device Refrigerant Leakage'!$D$2:$D$42,MATCH(X793,'Device Refrigerant Leakage'!$B$2:$B$42,0))-(INDEX('Device Refrigerant Leakage'!$D$2:$D$42,MATCH(X793,'Device Refrigerant Leakage'!$B$2:$B$42,0)))*DH793*DF793)*DG793/2204.62*DE793)</f>
        <v/>
      </c>
      <c r="DK793" s="146" t="str">
        <f>IF(W793&lt;&gt;"AR","",DI793*(K793-AB793)+'Fuel Sub Calcs-Deemed'!DJ793*((K793-AB793)/INDEX('Device Refrigerant Leakage'!$C$2:$C$42,MATCH('Fuel Sub Calcs-Deemed'!X793,'Device Refrigerant Leakage'!$B$2:$B$42,0))))</f>
        <v/>
      </c>
      <c r="DM793" s="56">
        <v>779</v>
      </c>
      <c r="DN793" s="67" t="e">
        <f t="shared" si="942"/>
        <v>#N/A</v>
      </c>
      <c r="DO793" s="45" t="e">
        <f t="shared" si="943"/>
        <v>#N/A</v>
      </c>
      <c r="DP793" s="67" t="e">
        <f t="shared" si="944"/>
        <v>#N/A</v>
      </c>
      <c r="DQ793" s="45" t="e">
        <f t="shared" si="945"/>
        <v>#N/A</v>
      </c>
      <c r="DR793" s="69" t="e">
        <f t="shared" si="946"/>
        <v>#N/A</v>
      </c>
      <c r="DS793" s="34"/>
      <c r="DT793" s="67" t="e">
        <f>((BX793*CJ793)+IF($W793=MAT_AR,(BZ793*CL793),0))*(1+Reference!$E$50+Reference!$E$51)</f>
        <v>#N/A</v>
      </c>
      <c r="DU793" s="67">
        <f>((BY793*CK793)+IF($W793=MAT_AR,(CA793*CM793),0))*(1+Reference!$G$50+Reference!$G$51)</f>
        <v>0</v>
      </c>
      <c r="DV793" s="67" t="e">
        <f t="shared" si="947"/>
        <v>#VALUE!</v>
      </c>
      <c r="DX793" s="56">
        <v>779</v>
      </c>
      <c r="DY793" s="67">
        <f t="shared" si="948"/>
        <v>0</v>
      </c>
      <c r="DZ793" s="45" t="e">
        <f>VLOOKUP($R793,Dropdown!$C$3:$D$4,2,FALSE)</f>
        <v>#N/A</v>
      </c>
      <c r="EA793" s="68">
        <f t="shared" si="949"/>
        <v>0</v>
      </c>
      <c r="EB793" s="68" t="str">
        <f t="shared" si="950"/>
        <v>N/A</v>
      </c>
      <c r="EC793" s="68">
        <f t="shared" si="951"/>
        <v>0</v>
      </c>
      <c r="ED793" s="68" t="str">
        <f t="shared" si="989"/>
        <v>N/A</v>
      </c>
      <c r="EF793" s="56">
        <v>779</v>
      </c>
      <c r="EG793" s="46">
        <f t="shared" si="952"/>
        <v>0</v>
      </c>
      <c r="EH793" s="68" t="e">
        <f t="shared" si="953"/>
        <v>#N/A</v>
      </c>
      <c r="EI793" s="68" t="e">
        <f t="shared" si="954"/>
        <v>#N/A</v>
      </c>
      <c r="EJ793" s="68" t="e">
        <f t="shared" si="955"/>
        <v>#N/A</v>
      </c>
      <c r="EK793" s="68" t="e">
        <f t="shared" si="956"/>
        <v>#N/A</v>
      </c>
      <c r="EL793" s="46">
        <f t="shared" si="957"/>
        <v>0</v>
      </c>
      <c r="EM793" s="46">
        <f t="shared" si="958"/>
        <v>0</v>
      </c>
    </row>
    <row r="794" spans="1:143">
      <c r="A794" s="89"/>
      <c r="B794" s="89"/>
      <c r="C794" s="89"/>
      <c r="D794" s="89"/>
      <c r="E794" s="89"/>
      <c r="F794" s="89"/>
      <c r="G794" s="34"/>
      <c r="H794" s="56">
        <f t="shared" si="959"/>
        <v>780</v>
      </c>
      <c r="I794" s="165"/>
      <c r="J794" s="163"/>
      <c r="K794" s="163"/>
      <c r="L794" s="164"/>
      <c r="M794" s="155"/>
      <c r="N794" s="155"/>
      <c r="O794" s="144"/>
      <c r="P794" s="159" t="str">
        <f>IFERROR(IF(O794&lt;&gt;"User Specified",IF(O794&lt;&gt;"", INDEX('Refrigerant GWPs'!$G$2:$G$154,MATCH(O794,'Refrigerant GWPs'!$A$2:$A$154,0)),""),U794),0)</f>
        <v/>
      </c>
      <c r="Q794" s="155"/>
      <c r="R794" s="155"/>
      <c r="S794" s="144"/>
      <c r="T794" s="159" t="str">
        <f>IF(S794&lt;&gt;"User Specified",IF(AND(S794&lt;&gt;"User Specified",S794&lt;&gt;""), INDEX('Refrigerant GWPs'!$G$2:$G$154,MATCH(S794,'Refrigerant GWPs'!$A$2:$A$154,0)),""),V794)</f>
        <v/>
      </c>
      <c r="U794" s="144"/>
      <c r="V794" s="144"/>
      <c r="W794" s="155"/>
      <c r="X794" s="155"/>
      <c r="Y794" s="144"/>
      <c r="Z794" s="159" t="str">
        <f>IF(AND(Y794&lt;&gt;"User Specified",Y794&lt;&gt;""), INDEX('Refrigerant GWPs'!$G$2:$G$154,MATCH(Y794,'Refrigerant GWPs'!$A$2:$A$154,0)),"")</f>
        <v/>
      </c>
      <c r="AA794" s="155"/>
      <c r="AB794" s="156"/>
      <c r="AC794" s="66"/>
      <c r="AD794" s="66"/>
      <c r="AE794" s="66"/>
      <c r="AF794" s="66"/>
      <c r="AG794" s="66"/>
      <c r="AH794" s="66"/>
      <c r="AI794" s="34"/>
      <c r="AJ794" s="88">
        <f t="shared" si="922"/>
        <v>0</v>
      </c>
      <c r="AK794" s="88">
        <f t="shared" si="923"/>
        <v>0</v>
      </c>
      <c r="AL794" s="88">
        <v>0</v>
      </c>
      <c r="AM794" s="88">
        <v>0</v>
      </c>
      <c r="AN794" s="81" t="str">
        <f t="shared" si="961"/>
        <v/>
      </c>
      <c r="AO794" s="88">
        <f t="shared" si="924"/>
        <v>0</v>
      </c>
      <c r="AP794" s="88">
        <f t="shared" si="925"/>
        <v>0</v>
      </c>
      <c r="AQ794" s="81" t="str">
        <f t="shared" si="926"/>
        <v/>
      </c>
      <c r="AS794" s="41" t="b">
        <f t="shared" si="927"/>
        <v>1</v>
      </c>
      <c r="AT794" s="38">
        <f t="shared" si="928"/>
        <v>0</v>
      </c>
      <c r="AU794" s="60">
        <f t="shared" si="929"/>
        <v>0</v>
      </c>
      <c r="AV794" s="41">
        <f t="shared" si="930"/>
        <v>0</v>
      </c>
      <c r="AW794" s="41" t="b">
        <f t="shared" si="931"/>
        <v>0</v>
      </c>
      <c r="AX794" t="str">
        <f t="shared" si="932"/>
        <v>+00</v>
      </c>
      <c r="AY794" t="str">
        <f t="shared" si="933"/>
        <v>+00</v>
      </c>
      <c r="BA794" s="47" t="b">
        <f t="shared" si="962"/>
        <v>1</v>
      </c>
      <c r="BB794" s="42" t="b">
        <f t="shared" si="963"/>
        <v>1</v>
      </c>
      <c r="BC794" s="42" t="b">
        <f t="shared" si="964"/>
        <v>0</v>
      </c>
      <c r="BD794" s="42" t="b">
        <f t="shared" si="965"/>
        <v>0</v>
      </c>
      <c r="BE794" s="70">
        <f t="shared" si="966"/>
        <v>0</v>
      </c>
      <c r="BF794" s="70">
        <f t="shared" si="967"/>
        <v>0</v>
      </c>
      <c r="BG794" s="34"/>
      <c r="BI794" s="47" t="b">
        <f t="shared" si="968"/>
        <v>1</v>
      </c>
      <c r="BJ794" s="47" t="b">
        <f t="shared" si="969"/>
        <v>1</v>
      </c>
      <c r="BK794" s="42" t="b">
        <f t="shared" si="970"/>
        <v>0</v>
      </c>
      <c r="BL794" s="42" t="b">
        <f t="shared" si="971"/>
        <v>0</v>
      </c>
      <c r="BM794" s="42">
        <f t="shared" si="972"/>
        <v>0</v>
      </c>
      <c r="BN794" s="42">
        <f t="shared" si="973"/>
        <v>0</v>
      </c>
      <c r="BP794" t="e">
        <f t="shared" si="974"/>
        <v>#N/A</v>
      </c>
      <c r="BQ794" t="e">
        <f t="shared" si="975"/>
        <v>#N/A</v>
      </c>
      <c r="BR794" t="e">
        <f t="shared" si="976"/>
        <v>#N/A</v>
      </c>
      <c r="BT794" s="60">
        <f t="shared" si="977"/>
        <v>0</v>
      </c>
      <c r="BU794" s="60">
        <f t="shared" si="978"/>
        <v>0</v>
      </c>
      <c r="BV794" s="60">
        <f t="shared" si="979"/>
        <v>0</v>
      </c>
      <c r="BW794" s="60">
        <f t="shared" si="980"/>
        <v>0</v>
      </c>
      <c r="BX794" s="60">
        <f t="shared" si="981"/>
        <v>0</v>
      </c>
      <c r="BY794" s="60">
        <f t="shared" si="982"/>
        <v>0</v>
      </c>
      <c r="BZ794" s="60">
        <f t="shared" si="983"/>
        <v>0</v>
      </c>
      <c r="CA794" s="60">
        <f t="shared" si="984"/>
        <v>0</v>
      </c>
      <c r="CB794" s="60" t="e">
        <f t="shared" si="934"/>
        <v>#N/A</v>
      </c>
      <c r="CC794" s="60">
        <f t="shared" si="935"/>
        <v>100000</v>
      </c>
      <c r="CD794" s="60" t="e">
        <f t="shared" si="936"/>
        <v>#N/A</v>
      </c>
      <c r="CE794" s="60">
        <f t="shared" si="937"/>
        <v>100000</v>
      </c>
      <c r="CF794" s="83" t="e">
        <f t="shared" si="985"/>
        <v>#N/A</v>
      </c>
      <c r="CG794" s="83">
        <f t="shared" si="986"/>
        <v>0</v>
      </c>
      <c r="CH794" s="83" t="e">
        <f t="shared" si="987"/>
        <v>#N/A</v>
      </c>
      <c r="CI794" s="83">
        <f t="shared" si="988"/>
        <v>0</v>
      </c>
      <c r="CJ794" s="86" t="e">
        <f t="shared" si="938"/>
        <v>#N/A</v>
      </c>
      <c r="CK794" s="82">
        <f t="shared" si="939"/>
        <v>5.3070370403969858E-3</v>
      </c>
      <c r="CL794" s="82" t="e">
        <f t="shared" si="940"/>
        <v>#N/A</v>
      </c>
      <c r="CM794" s="82">
        <f t="shared" si="941"/>
        <v>5.3070370403969858E-3</v>
      </c>
      <c r="CO794" s="149" t="str">
        <f>IF($I794&lt;&gt;"",IF(O794="User Specified",U794,INDEX('Refrigerant GWPs'!$G$2:$G$156,MATCH(O794,'Refrigerant GWPs'!$A$2:$A$156,0))),"")</f>
        <v/>
      </c>
      <c r="CP794" s="138" t="str">
        <f>IF($I794&lt;&gt;"",INDEX('Device Refrigerant Leakage'!$E$2:$E$42,MATCH($M794,'Device Refrigerant Leakage'!$B$2:$B$42,0)),"")</f>
        <v/>
      </c>
      <c r="CQ794" s="138" t="str">
        <f>IF($I794&lt;&gt;"",INDEX('Device Refrigerant Leakage'!$F$2:$F$42,MATCH($M794,'Device Refrigerant Leakage'!$B$2:$B$42,0)),"")</f>
        <v/>
      </c>
      <c r="CR794" s="145" t="str">
        <f>IF($I794&lt;&gt;"",INDEX('Device Refrigerant Leakage'!$G$2:$G$42,MATCH($M794,'Device Refrigerant Leakage'!$B$2:$B$42,0)),"")</f>
        <v/>
      </c>
      <c r="CS794" s="145" t="str">
        <f>IF($I794&lt;&gt;"",INDEX('Device Refrigerant Leakage'!$D$2:$D$42,MATCH($M794,'Device Refrigerant Leakage'!$B$2:$B$42,0))*CP794/2204.62*CO794,"")</f>
        <v/>
      </c>
      <c r="CT794" s="145" t="str">
        <f>IF($I794&lt;&gt;"",J794*(INDEX('Device Refrigerant Leakage'!$D$2:$D$42,MATCH($M794,'Device Refrigerant Leakage'!$B$2:$B$42,0))-(INDEX('Device Refrigerant Leakage'!$D$2:$D$42,MATCH($M794,'Device Refrigerant Leakage'!$B$2:$B$42,0)))*CR794*CP794)*CQ794/2204.62*CO794,"")</f>
        <v/>
      </c>
      <c r="CU794" s="135" t="str">
        <f>IF($I794&lt;&gt;"",J794*IF(W794&lt;&gt;"AR",(CS794*K794)+CT794,(CS794*AB794)+CT794*(AB794/INDEX('Device Refrigerant Leakage'!$C$2:$C$42,MATCH($M794,'Device Refrigerant Leakage'!$B$2:$B$42,0)))),"")</f>
        <v/>
      </c>
      <c r="CW794" s="135" t="str">
        <f>IF($I794&lt;&gt;"",IF(S794="User Specified",V794,INDEX('Refrigerant GWPs'!$G$2:$G$156,MATCH(S794,'Refrigerant GWPs'!$A$2:$A$157,0))),"")</f>
        <v/>
      </c>
      <c r="CX794" s="138" t="str">
        <f>IF($I794&lt;&gt;"",INDEX('Device Refrigerant Leakage'!$E$2:$E$42,MATCH($Q794,'Device Refrigerant Leakage'!$B$2:$B$42,0)),"")</f>
        <v/>
      </c>
      <c r="CY794" s="138" t="str">
        <f>IF($I794&lt;&gt;"",INDEX('Device Refrigerant Leakage'!$F$2:$F$42,MATCH($Q794,'Device Refrigerant Leakage'!$B$2:$B$42,0)),"")</f>
        <v/>
      </c>
      <c r="CZ794" s="145" t="str">
        <f>IF($I794&lt;&gt;"",INDEX('Device Refrigerant Leakage'!$G$2:$G$42,MATCH($Q794,'Device Refrigerant Leakage'!$B$2:$B$42,0)),"")</f>
        <v/>
      </c>
      <c r="DA794" s="145" t="str">
        <f>IF($I794&lt;&gt;"",J794*INDEX('Device Refrigerant Leakage'!$D$2:$D$42,MATCH($Q794,'Device Refrigerant Leakage'!$B$2:$B$42,0))*CX794/2204.62*CW794,"")</f>
        <v/>
      </c>
      <c r="DB794" s="145" t="str">
        <f>IF($I794&lt;&gt;"",J794*(INDEX('Device Refrigerant Leakage'!$D$2:$D$42,MATCH($Q794,'Device Refrigerant Leakage'!$B$2:$B$42,0))-(INDEX('Device Refrigerant Leakage'!$D$2:$D$42,MATCH($Q794,'Device Refrigerant Leakage'!$B$2:$B$42,0)))*CZ794*CX794)*CY794/2204.62*CW794,"")</f>
        <v/>
      </c>
      <c r="DC794" s="135" t="str">
        <f t="shared" si="960"/>
        <v/>
      </c>
      <c r="DE794" s="146" t="str">
        <f>IF(W794&lt;&gt;"AR","",IF(Y794="User Specified", AA794, INDEX('Refrigerant GWPs'!$G$2:$G$154,MATCH(Y794,'Refrigerant GWPs'!$A$2:$A$154,0))))</f>
        <v/>
      </c>
      <c r="DF794" s="146" t="str">
        <f>IF(W794&lt;&gt;"AR","",INDEX('Device Refrigerant Leakage'!$E$2:$E$42,MATCH(X794,'Device Refrigerant Leakage'!$B$2:$B$42,0)))</f>
        <v/>
      </c>
      <c r="DG794" s="146" t="str">
        <f>IF(W794&lt;&gt;"AR","",INDEX('Device Refrigerant Leakage'!$F$2:$F$42,MATCH(X794,'Device Refrigerant Leakage'!$B$2:$B$42,0)))</f>
        <v/>
      </c>
      <c r="DH794" s="146" t="str">
        <f>IF(W794&lt;&gt;"AR","",INDEX('Device Refrigerant Leakage'!$G$2:$G$42,MATCH(X794,'Device Refrigerant Leakage'!$B$2:$B$42,0)))</f>
        <v/>
      </c>
      <c r="DI794" s="146" t="str">
        <f>IF(W794&lt;&gt;"AR","",J794*INDEX('Device Refrigerant Leakage'!$D$2:$D$42,MATCH(X794,'Device Refrigerant Leakage'!$B$2:$B$42,0))*DF794/2204.62*DE794)</f>
        <v/>
      </c>
      <c r="DJ794" s="146" t="str">
        <f>IF(W794&lt;&gt;"AR","",J794*(INDEX('Device Refrigerant Leakage'!$D$2:$D$42,MATCH(X794,'Device Refrigerant Leakage'!$B$2:$B$42,0))-(INDEX('Device Refrigerant Leakage'!$D$2:$D$42,MATCH(X794,'Device Refrigerant Leakage'!$B$2:$B$42,0)))*DH794*DF794)*DG794/2204.62*DE794)</f>
        <v/>
      </c>
      <c r="DK794" s="146" t="str">
        <f>IF(W794&lt;&gt;"AR","",DI794*(K794-AB794)+'Fuel Sub Calcs-Deemed'!DJ794*((K794-AB794)/INDEX('Device Refrigerant Leakage'!$C$2:$C$42,MATCH('Fuel Sub Calcs-Deemed'!X794,'Device Refrigerant Leakage'!$B$2:$B$42,0))))</f>
        <v/>
      </c>
      <c r="DM794" s="56">
        <v>780</v>
      </c>
      <c r="DN794" s="67" t="e">
        <f t="shared" si="942"/>
        <v>#N/A</v>
      </c>
      <c r="DO794" s="45" t="e">
        <f t="shared" si="943"/>
        <v>#N/A</v>
      </c>
      <c r="DP794" s="67" t="e">
        <f t="shared" si="944"/>
        <v>#N/A</v>
      </c>
      <c r="DQ794" s="45" t="e">
        <f t="shared" si="945"/>
        <v>#N/A</v>
      </c>
      <c r="DR794" s="69" t="e">
        <f t="shared" si="946"/>
        <v>#N/A</v>
      </c>
      <c r="DS794" s="34"/>
      <c r="DT794" s="67" t="e">
        <f>((BX794*CJ794)+IF($W794=MAT_AR,(BZ794*CL794),0))*(1+Reference!$E$50+Reference!$E$51)</f>
        <v>#N/A</v>
      </c>
      <c r="DU794" s="67">
        <f>((BY794*CK794)+IF($W794=MAT_AR,(CA794*CM794),0))*(1+Reference!$G$50+Reference!$G$51)</f>
        <v>0</v>
      </c>
      <c r="DV794" s="67" t="e">
        <f t="shared" si="947"/>
        <v>#VALUE!</v>
      </c>
      <c r="DX794" s="56">
        <v>780</v>
      </c>
      <c r="DY794" s="67">
        <f t="shared" si="948"/>
        <v>0</v>
      </c>
      <c r="DZ794" s="45" t="e">
        <f>VLOOKUP($R794,Dropdown!$C$3:$D$4,2,FALSE)</f>
        <v>#N/A</v>
      </c>
      <c r="EA794" s="68">
        <f t="shared" si="949"/>
        <v>0</v>
      </c>
      <c r="EB794" s="68" t="str">
        <f t="shared" si="950"/>
        <v>N/A</v>
      </c>
      <c r="EC794" s="68">
        <f t="shared" si="951"/>
        <v>0</v>
      </c>
      <c r="ED794" s="68" t="str">
        <f t="shared" si="989"/>
        <v>N/A</v>
      </c>
      <c r="EF794" s="56">
        <v>780</v>
      </c>
      <c r="EG794" s="46">
        <f t="shared" si="952"/>
        <v>0</v>
      </c>
      <c r="EH794" s="68" t="e">
        <f t="shared" si="953"/>
        <v>#N/A</v>
      </c>
      <c r="EI794" s="68" t="e">
        <f t="shared" si="954"/>
        <v>#N/A</v>
      </c>
      <c r="EJ794" s="68" t="e">
        <f t="shared" si="955"/>
        <v>#N/A</v>
      </c>
      <c r="EK794" s="68" t="e">
        <f t="shared" si="956"/>
        <v>#N/A</v>
      </c>
      <c r="EL794" s="46">
        <f t="shared" si="957"/>
        <v>0</v>
      </c>
      <c r="EM794" s="46">
        <f t="shared" si="958"/>
        <v>0</v>
      </c>
    </row>
    <row r="795" spans="1:143">
      <c r="A795" s="89"/>
      <c r="B795" s="89"/>
      <c r="C795" s="89"/>
      <c r="D795" s="89"/>
      <c r="E795" s="89"/>
      <c r="F795" s="89"/>
      <c r="G795" s="34"/>
      <c r="H795" s="56">
        <f t="shared" si="959"/>
        <v>781</v>
      </c>
      <c r="I795" s="165"/>
      <c r="J795" s="163"/>
      <c r="K795" s="163"/>
      <c r="L795" s="164"/>
      <c r="M795" s="155"/>
      <c r="N795" s="155"/>
      <c r="O795" s="144"/>
      <c r="P795" s="159" t="str">
        <f>IFERROR(IF(O795&lt;&gt;"User Specified",IF(O795&lt;&gt;"", INDEX('Refrigerant GWPs'!$G$2:$G$154,MATCH(O795,'Refrigerant GWPs'!$A$2:$A$154,0)),""),U795),0)</f>
        <v/>
      </c>
      <c r="Q795" s="155"/>
      <c r="R795" s="155"/>
      <c r="S795" s="144"/>
      <c r="T795" s="159" t="str">
        <f>IF(S795&lt;&gt;"User Specified",IF(AND(S795&lt;&gt;"User Specified",S795&lt;&gt;""), INDEX('Refrigerant GWPs'!$G$2:$G$154,MATCH(S795,'Refrigerant GWPs'!$A$2:$A$154,0)),""),V795)</f>
        <v/>
      </c>
      <c r="U795" s="144"/>
      <c r="V795" s="144"/>
      <c r="W795" s="155"/>
      <c r="X795" s="155"/>
      <c r="Y795" s="144"/>
      <c r="Z795" s="159" t="str">
        <f>IF(AND(Y795&lt;&gt;"User Specified",Y795&lt;&gt;""), INDEX('Refrigerant GWPs'!$G$2:$G$154,MATCH(Y795,'Refrigerant GWPs'!$A$2:$A$154,0)),"")</f>
        <v/>
      </c>
      <c r="AA795" s="155"/>
      <c r="AB795" s="156"/>
      <c r="AC795" s="66"/>
      <c r="AD795" s="66"/>
      <c r="AE795" s="66"/>
      <c r="AF795" s="66"/>
      <c r="AG795" s="66"/>
      <c r="AH795" s="66"/>
      <c r="AI795" s="34"/>
      <c r="AJ795" s="88">
        <f t="shared" si="922"/>
        <v>0</v>
      </c>
      <c r="AK795" s="88">
        <f t="shared" si="923"/>
        <v>0</v>
      </c>
      <c r="AL795" s="88">
        <v>0</v>
      </c>
      <c r="AM795" s="88">
        <v>0</v>
      </c>
      <c r="AN795" s="81" t="str">
        <f t="shared" si="961"/>
        <v/>
      </c>
      <c r="AO795" s="88">
        <f t="shared" si="924"/>
        <v>0</v>
      </c>
      <c r="AP795" s="88">
        <f t="shared" si="925"/>
        <v>0</v>
      </c>
      <c r="AQ795" s="81" t="str">
        <f t="shared" si="926"/>
        <v/>
      </c>
      <c r="AS795" s="41" t="b">
        <f t="shared" si="927"/>
        <v>1</v>
      </c>
      <c r="AT795" s="38">
        <f t="shared" si="928"/>
        <v>0</v>
      </c>
      <c r="AU795" s="60">
        <f t="shared" si="929"/>
        <v>0</v>
      </c>
      <c r="AV795" s="41">
        <f t="shared" si="930"/>
        <v>0</v>
      </c>
      <c r="AW795" s="41" t="b">
        <f t="shared" si="931"/>
        <v>0</v>
      </c>
      <c r="AX795" t="str">
        <f t="shared" si="932"/>
        <v>+00</v>
      </c>
      <c r="AY795" t="str">
        <f t="shared" si="933"/>
        <v>+00</v>
      </c>
      <c r="BA795" s="47" t="b">
        <f t="shared" si="962"/>
        <v>1</v>
      </c>
      <c r="BB795" s="42" t="b">
        <f t="shared" si="963"/>
        <v>1</v>
      </c>
      <c r="BC795" s="42" t="b">
        <f t="shared" si="964"/>
        <v>0</v>
      </c>
      <c r="BD795" s="42" t="b">
        <f t="shared" si="965"/>
        <v>0</v>
      </c>
      <c r="BE795" s="70">
        <f t="shared" si="966"/>
        <v>0</v>
      </c>
      <c r="BF795" s="70">
        <f t="shared" si="967"/>
        <v>0</v>
      </c>
      <c r="BG795" s="34"/>
      <c r="BI795" s="47" t="b">
        <f t="shared" si="968"/>
        <v>1</v>
      </c>
      <c r="BJ795" s="47" t="b">
        <f t="shared" si="969"/>
        <v>1</v>
      </c>
      <c r="BK795" s="42" t="b">
        <f t="shared" si="970"/>
        <v>0</v>
      </c>
      <c r="BL795" s="42" t="b">
        <f t="shared" si="971"/>
        <v>0</v>
      </c>
      <c r="BM795" s="42">
        <f t="shared" si="972"/>
        <v>0</v>
      </c>
      <c r="BN795" s="42">
        <f t="shared" si="973"/>
        <v>0</v>
      </c>
      <c r="BP795" t="e">
        <f t="shared" si="974"/>
        <v>#N/A</v>
      </c>
      <c r="BQ795" t="e">
        <f t="shared" si="975"/>
        <v>#N/A</v>
      </c>
      <c r="BR795" t="e">
        <f t="shared" si="976"/>
        <v>#N/A</v>
      </c>
      <c r="BT795" s="60">
        <f t="shared" si="977"/>
        <v>0</v>
      </c>
      <c r="BU795" s="60">
        <f t="shared" si="978"/>
        <v>0</v>
      </c>
      <c r="BV795" s="60">
        <f t="shared" si="979"/>
        <v>0</v>
      </c>
      <c r="BW795" s="60">
        <f t="shared" si="980"/>
        <v>0</v>
      </c>
      <c r="BX795" s="60">
        <f t="shared" si="981"/>
        <v>0</v>
      </c>
      <c r="BY795" s="60">
        <f t="shared" si="982"/>
        <v>0</v>
      </c>
      <c r="BZ795" s="60">
        <f t="shared" si="983"/>
        <v>0</v>
      </c>
      <c r="CA795" s="60">
        <f t="shared" si="984"/>
        <v>0</v>
      </c>
      <c r="CB795" s="60" t="e">
        <f t="shared" si="934"/>
        <v>#N/A</v>
      </c>
      <c r="CC795" s="60">
        <f t="shared" si="935"/>
        <v>100000</v>
      </c>
      <c r="CD795" s="60" t="e">
        <f t="shared" si="936"/>
        <v>#N/A</v>
      </c>
      <c r="CE795" s="60">
        <f t="shared" si="937"/>
        <v>100000</v>
      </c>
      <c r="CF795" s="83" t="e">
        <f t="shared" si="985"/>
        <v>#N/A</v>
      </c>
      <c r="CG795" s="83">
        <f t="shared" si="986"/>
        <v>0</v>
      </c>
      <c r="CH795" s="83" t="e">
        <f t="shared" si="987"/>
        <v>#N/A</v>
      </c>
      <c r="CI795" s="83">
        <f t="shared" si="988"/>
        <v>0</v>
      </c>
      <c r="CJ795" s="86" t="e">
        <f t="shared" si="938"/>
        <v>#N/A</v>
      </c>
      <c r="CK795" s="82">
        <f t="shared" si="939"/>
        <v>5.3070370403969858E-3</v>
      </c>
      <c r="CL795" s="82" t="e">
        <f t="shared" si="940"/>
        <v>#N/A</v>
      </c>
      <c r="CM795" s="82">
        <f t="shared" si="941"/>
        <v>5.3070370403969858E-3</v>
      </c>
      <c r="CO795" s="149" t="str">
        <f>IF($I795&lt;&gt;"",IF(O795="User Specified",U795,INDEX('Refrigerant GWPs'!$G$2:$G$156,MATCH(O795,'Refrigerant GWPs'!$A$2:$A$156,0))),"")</f>
        <v/>
      </c>
      <c r="CP795" s="138" t="str">
        <f>IF($I795&lt;&gt;"",INDEX('Device Refrigerant Leakage'!$E$2:$E$42,MATCH($M795,'Device Refrigerant Leakage'!$B$2:$B$42,0)),"")</f>
        <v/>
      </c>
      <c r="CQ795" s="138" t="str">
        <f>IF($I795&lt;&gt;"",INDEX('Device Refrigerant Leakage'!$F$2:$F$42,MATCH($M795,'Device Refrigerant Leakage'!$B$2:$B$42,0)),"")</f>
        <v/>
      </c>
      <c r="CR795" s="145" t="str">
        <f>IF($I795&lt;&gt;"",INDEX('Device Refrigerant Leakage'!$G$2:$G$42,MATCH($M795,'Device Refrigerant Leakage'!$B$2:$B$42,0)),"")</f>
        <v/>
      </c>
      <c r="CS795" s="145" t="str">
        <f>IF($I795&lt;&gt;"",INDEX('Device Refrigerant Leakage'!$D$2:$D$42,MATCH($M795,'Device Refrigerant Leakage'!$B$2:$B$42,0))*CP795/2204.62*CO795,"")</f>
        <v/>
      </c>
      <c r="CT795" s="145" t="str">
        <f>IF($I795&lt;&gt;"",J795*(INDEX('Device Refrigerant Leakage'!$D$2:$D$42,MATCH($M795,'Device Refrigerant Leakage'!$B$2:$B$42,0))-(INDEX('Device Refrigerant Leakage'!$D$2:$D$42,MATCH($M795,'Device Refrigerant Leakage'!$B$2:$B$42,0)))*CR795*CP795)*CQ795/2204.62*CO795,"")</f>
        <v/>
      </c>
      <c r="CU795" s="135" t="str">
        <f>IF($I795&lt;&gt;"",J795*IF(W795&lt;&gt;"AR",(CS795*K795)+CT795,(CS795*AB795)+CT795*(AB795/INDEX('Device Refrigerant Leakage'!$C$2:$C$42,MATCH($M795,'Device Refrigerant Leakage'!$B$2:$B$42,0)))),"")</f>
        <v/>
      </c>
      <c r="CW795" s="135" t="str">
        <f>IF($I795&lt;&gt;"",IF(S795="User Specified",V795,INDEX('Refrigerant GWPs'!$G$2:$G$156,MATCH(S795,'Refrigerant GWPs'!$A$2:$A$157,0))),"")</f>
        <v/>
      </c>
      <c r="CX795" s="138" t="str">
        <f>IF($I795&lt;&gt;"",INDEX('Device Refrigerant Leakage'!$E$2:$E$42,MATCH($Q795,'Device Refrigerant Leakage'!$B$2:$B$42,0)),"")</f>
        <v/>
      </c>
      <c r="CY795" s="138" t="str">
        <f>IF($I795&lt;&gt;"",INDEX('Device Refrigerant Leakage'!$F$2:$F$42,MATCH($Q795,'Device Refrigerant Leakage'!$B$2:$B$42,0)),"")</f>
        <v/>
      </c>
      <c r="CZ795" s="145" t="str">
        <f>IF($I795&lt;&gt;"",INDEX('Device Refrigerant Leakage'!$G$2:$G$42,MATCH($Q795,'Device Refrigerant Leakage'!$B$2:$B$42,0)),"")</f>
        <v/>
      </c>
      <c r="DA795" s="145" t="str">
        <f>IF($I795&lt;&gt;"",J795*INDEX('Device Refrigerant Leakage'!$D$2:$D$42,MATCH($Q795,'Device Refrigerant Leakage'!$B$2:$B$42,0))*CX795/2204.62*CW795,"")</f>
        <v/>
      </c>
      <c r="DB795" s="145" t="str">
        <f>IF($I795&lt;&gt;"",J795*(INDEX('Device Refrigerant Leakage'!$D$2:$D$42,MATCH($Q795,'Device Refrigerant Leakage'!$B$2:$B$42,0))-(INDEX('Device Refrigerant Leakage'!$D$2:$D$42,MATCH($Q795,'Device Refrigerant Leakage'!$B$2:$B$42,0)))*CZ795*CX795)*CY795/2204.62*CW795,"")</f>
        <v/>
      </c>
      <c r="DC795" s="135" t="str">
        <f t="shared" si="960"/>
        <v/>
      </c>
      <c r="DE795" s="146" t="str">
        <f>IF(W795&lt;&gt;"AR","",IF(Y795="User Specified", AA795, INDEX('Refrigerant GWPs'!$G$2:$G$154,MATCH(Y795,'Refrigerant GWPs'!$A$2:$A$154,0))))</f>
        <v/>
      </c>
      <c r="DF795" s="146" t="str">
        <f>IF(W795&lt;&gt;"AR","",INDEX('Device Refrigerant Leakage'!$E$2:$E$42,MATCH(X795,'Device Refrigerant Leakage'!$B$2:$B$42,0)))</f>
        <v/>
      </c>
      <c r="DG795" s="146" t="str">
        <f>IF(W795&lt;&gt;"AR","",INDEX('Device Refrigerant Leakage'!$F$2:$F$42,MATCH(X795,'Device Refrigerant Leakage'!$B$2:$B$42,0)))</f>
        <v/>
      </c>
      <c r="DH795" s="146" t="str">
        <f>IF(W795&lt;&gt;"AR","",INDEX('Device Refrigerant Leakage'!$G$2:$G$42,MATCH(X795,'Device Refrigerant Leakage'!$B$2:$B$42,0)))</f>
        <v/>
      </c>
      <c r="DI795" s="146" t="str">
        <f>IF(W795&lt;&gt;"AR","",J795*INDEX('Device Refrigerant Leakage'!$D$2:$D$42,MATCH(X795,'Device Refrigerant Leakage'!$B$2:$B$42,0))*DF795/2204.62*DE795)</f>
        <v/>
      </c>
      <c r="DJ795" s="146" t="str">
        <f>IF(W795&lt;&gt;"AR","",J795*(INDEX('Device Refrigerant Leakage'!$D$2:$D$42,MATCH(X795,'Device Refrigerant Leakage'!$B$2:$B$42,0))-(INDEX('Device Refrigerant Leakage'!$D$2:$D$42,MATCH(X795,'Device Refrigerant Leakage'!$B$2:$B$42,0)))*DH795*DF795)*DG795/2204.62*DE795)</f>
        <v/>
      </c>
      <c r="DK795" s="146" t="str">
        <f>IF(W795&lt;&gt;"AR","",DI795*(K795-AB795)+'Fuel Sub Calcs-Deemed'!DJ795*((K795-AB795)/INDEX('Device Refrigerant Leakage'!$C$2:$C$42,MATCH('Fuel Sub Calcs-Deemed'!X795,'Device Refrigerant Leakage'!$B$2:$B$42,0))))</f>
        <v/>
      </c>
      <c r="DM795" s="56">
        <v>781</v>
      </c>
      <c r="DN795" s="67" t="e">
        <f t="shared" si="942"/>
        <v>#N/A</v>
      </c>
      <c r="DO795" s="45" t="e">
        <f t="shared" si="943"/>
        <v>#N/A</v>
      </c>
      <c r="DP795" s="67" t="e">
        <f t="shared" si="944"/>
        <v>#N/A</v>
      </c>
      <c r="DQ795" s="45" t="e">
        <f t="shared" si="945"/>
        <v>#N/A</v>
      </c>
      <c r="DR795" s="69" t="e">
        <f t="shared" si="946"/>
        <v>#N/A</v>
      </c>
      <c r="DS795" s="34"/>
      <c r="DT795" s="67" t="e">
        <f>((BX795*CJ795)+IF($W795=MAT_AR,(BZ795*CL795),0))*(1+Reference!$E$50+Reference!$E$51)</f>
        <v>#N/A</v>
      </c>
      <c r="DU795" s="67">
        <f>((BY795*CK795)+IF($W795=MAT_AR,(CA795*CM795),0))*(1+Reference!$G$50+Reference!$G$51)</f>
        <v>0</v>
      </c>
      <c r="DV795" s="67" t="e">
        <f t="shared" si="947"/>
        <v>#VALUE!</v>
      </c>
      <c r="DX795" s="56">
        <v>781</v>
      </c>
      <c r="DY795" s="67">
        <f t="shared" si="948"/>
        <v>0</v>
      </c>
      <c r="DZ795" s="45" t="e">
        <f>VLOOKUP($R795,Dropdown!$C$3:$D$4,2,FALSE)</f>
        <v>#N/A</v>
      </c>
      <c r="EA795" s="68">
        <f t="shared" si="949"/>
        <v>0</v>
      </c>
      <c r="EB795" s="68" t="str">
        <f t="shared" si="950"/>
        <v>N/A</v>
      </c>
      <c r="EC795" s="68">
        <f t="shared" si="951"/>
        <v>0</v>
      </c>
      <c r="ED795" s="68" t="str">
        <f t="shared" si="989"/>
        <v>N/A</v>
      </c>
      <c r="EF795" s="56">
        <v>781</v>
      </c>
      <c r="EG795" s="46">
        <f t="shared" si="952"/>
        <v>0</v>
      </c>
      <c r="EH795" s="68" t="e">
        <f t="shared" si="953"/>
        <v>#N/A</v>
      </c>
      <c r="EI795" s="68" t="e">
        <f t="shared" si="954"/>
        <v>#N/A</v>
      </c>
      <c r="EJ795" s="68" t="e">
        <f t="shared" si="955"/>
        <v>#N/A</v>
      </c>
      <c r="EK795" s="68" t="e">
        <f t="shared" si="956"/>
        <v>#N/A</v>
      </c>
      <c r="EL795" s="46">
        <f t="shared" si="957"/>
        <v>0</v>
      </c>
      <c r="EM795" s="46">
        <f t="shared" si="958"/>
        <v>0</v>
      </c>
    </row>
    <row r="796" spans="1:143">
      <c r="A796" s="89"/>
      <c r="B796" s="89"/>
      <c r="C796" s="89"/>
      <c r="D796" s="89"/>
      <c r="E796" s="89"/>
      <c r="F796" s="89"/>
      <c r="G796" s="34"/>
      <c r="H796" s="56">
        <f t="shared" si="959"/>
        <v>782</v>
      </c>
      <c r="I796" s="165"/>
      <c r="J796" s="163"/>
      <c r="K796" s="163"/>
      <c r="L796" s="164"/>
      <c r="M796" s="155"/>
      <c r="N796" s="155"/>
      <c r="O796" s="144"/>
      <c r="P796" s="159" t="str">
        <f>IFERROR(IF(O796&lt;&gt;"User Specified",IF(O796&lt;&gt;"", INDEX('Refrigerant GWPs'!$G$2:$G$154,MATCH(O796,'Refrigerant GWPs'!$A$2:$A$154,0)),""),U796),0)</f>
        <v/>
      </c>
      <c r="Q796" s="155"/>
      <c r="R796" s="155"/>
      <c r="S796" s="144"/>
      <c r="T796" s="159" t="str">
        <f>IF(S796&lt;&gt;"User Specified",IF(AND(S796&lt;&gt;"User Specified",S796&lt;&gt;""), INDEX('Refrigerant GWPs'!$G$2:$G$154,MATCH(S796,'Refrigerant GWPs'!$A$2:$A$154,0)),""),V796)</f>
        <v/>
      </c>
      <c r="U796" s="144"/>
      <c r="V796" s="144"/>
      <c r="W796" s="155"/>
      <c r="X796" s="155"/>
      <c r="Y796" s="144"/>
      <c r="Z796" s="159" t="str">
        <f>IF(AND(Y796&lt;&gt;"User Specified",Y796&lt;&gt;""), INDEX('Refrigerant GWPs'!$G$2:$G$154,MATCH(Y796,'Refrigerant GWPs'!$A$2:$A$154,0)),"")</f>
        <v/>
      </c>
      <c r="AA796" s="155"/>
      <c r="AB796" s="156"/>
      <c r="AC796" s="66"/>
      <c r="AD796" s="66"/>
      <c r="AE796" s="66"/>
      <c r="AF796" s="66"/>
      <c r="AG796" s="66"/>
      <c r="AH796" s="66"/>
      <c r="AI796" s="34"/>
      <c r="AJ796" s="88">
        <f t="shared" si="922"/>
        <v>0</v>
      </c>
      <c r="AK796" s="88">
        <f t="shared" si="923"/>
        <v>0</v>
      </c>
      <c r="AL796" s="88">
        <v>0</v>
      </c>
      <c r="AM796" s="88">
        <v>0</v>
      </c>
      <c r="AN796" s="81" t="str">
        <f t="shared" si="961"/>
        <v/>
      </c>
      <c r="AO796" s="88">
        <f t="shared" si="924"/>
        <v>0</v>
      </c>
      <c r="AP796" s="88">
        <f t="shared" si="925"/>
        <v>0</v>
      </c>
      <c r="AQ796" s="81" t="str">
        <f t="shared" si="926"/>
        <v/>
      </c>
      <c r="AS796" s="41" t="b">
        <f t="shared" si="927"/>
        <v>1</v>
      </c>
      <c r="AT796" s="38">
        <f t="shared" si="928"/>
        <v>0</v>
      </c>
      <c r="AU796" s="60">
        <f t="shared" si="929"/>
        <v>0</v>
      </c>
      <c r="AV796" s="41">
        <f t="shared" si="930"/>
        <v>0</v>
      </c>
      <c r="AW796" s="41" t="b">
        <f t="shared" si="931"/>
        <v>0</v>
      </c>
      <c r="AX796" t="str">
        <f t="shared" si="932"/>
        <v>+00</v>
      </c>
      <c r="AY796" t="str">
        <f t="shared" si="933"/>
        <v>+00</v>
      </c>
      <c r="BA796" s="47" t="b">
        <f t="shared" si="962"/>
        <v>1</v>
      </c>
      <c r="BB796" s="42" t="b">
        <f t="shared" si="963"/>
        <v>1</v>
      </c>
      <c r="BC796" s="42" t="b">
        <f t="shared" si="964"/>
        <v>0</v>
      </c>
      <c r="BD796" s="42" t="b">
        <f t="shared" si="965"/>
        <v>0</v>
      </c>
      <c r="BE796" s="70">
        <f t="shared" si="966"/>
        <v>0</v>
      </c>
      <c r="BF796" s="70">
        <f t="shared" si="967"/>
        <v>0</v>
      </c>
      <c r="BG796" s="34"/>
      <c r="BI796" s="47" t="b">
        <f t="shared" si="968"/>
        <v>1</v>
      </c>
      <c r="BJ796" s="47" t="b">
        <f t="shared" si="969"/>
        <v>1</v>
      </c>
      <c r="BK796" s="42" t="b">
        <f t="shared" si="970"/>
        <v>0</v>
      </c>
      <c r="BL796" s="42" t="b">
        <f t="shared" si="971"/>
        <v>0</v>
      </c>
      <c r="BM796" s="42">
        <f t="shared" si="972"/>
        <v>0</v>
      </c>
      <c r="BN796" s="42">
        <f t="shared" si="973"/>
        <v>0</v>
      </c>
      <c r="BP796" t="e">
        <f t="shared" si="974"/>
        <v>#N/A</v>
      </c>
      <c r="BQ796" t="e">
        <f t="shared" si="975"/>
        <v>#N/A</v>
      </c>
      <c r="BR796" t="e">
        <f t="shared" si="976"/>
        <v>#N/A</v>
      </c>
      <c r="BT796" s="60">
        <f t="shared" si="977"/>
        <v>0</v>
      </c>
      <c r="BU796" s="60">
        <f t="shared" si="978"/>
        <v>0</v>
      </c>
      <c r="BV796" s="60">
        <f t="shared" si="979"/>
        <v>0</v>
      </c>
      <c r="BW796" s="60">
        <f t="shared" si="980"/>
        <v>0</v>
      </c>
      <c r="BX796" s="60">
        <f t="shared" si="981"/>
        <v>0</v>
      </c>
      <c r="BY796" s="60">
        <f t="shared" si="982"/>
        <v>0</v>
      </c>
      <c r="BZ796" s="60">
        <f t="shared" si="983"/>
        <v>0</v>
      </c>
      <c r="CA796" s="60">
        <f t="shared" si="984"/>
        <v>0</v>
      </c>
      <c r="CB796" s="60" t="e">
        <f t="shared" si="934"/>
        <v>#N/A</v>
      </c>
      <c r="CC796" s="60">
        <f t="shared" si="935"/>
        <v>100000</v>
      </c>
      <c r="CD796" s="60" t="e">
        <f t="shared" si="936"/>
        <v>#N/A</v>
      </c>
      <c r="CE796" s="60">
        <f t="shared" si="937"/>
        <v>100000</v>
      </c>
      <c r="CF796" s="83" t="e">
        <f t="shared" si="985"/>
        <v>#N/A</v>
      </c>
      <c r="CG796" s="83">
        <f t="shared" si="986"/>
        <v>0</v>
      </c>
      <c r="CH796" s="83" t="e">
        <f t="shared" si="987"/>
        <v>#N/A</v>
      </c>
      <c r="CI796" s="83">
        <f t="shared" si="988"/>
        <v>0</v>
      </c>
      <c r="CJ796" s="86" t="e">
        <f t="shared" si="938"/>
        <v>#N/A</v>
      </c>
      <c r="CK796" s="82">
        <f t="shared" si="939"/>
        <v>5.3070370403969858E-3</v>
      </c>
      <c r="CL796" s="82" t="e">
        <f t="shared" si="940"/>
        <v>#N/A</v>
      </c>
      <c r="CM796" s="82">
        <f t="shared" si="941"/>
        <v>5.3070370403969858E-3</v>
      </c>
      <c r="CO796" s="149" t="str">
        <f>IF($I796&lt;&gt;"",IF(O796="User Specified",U796,INDEX('Refrigerant GWPs'!$G$2:$G$156,MATCH(O796,'Refrigerant GWPs'!$A$2:$A$156,0))),"")</f>
        <v/>
      </c>
      <c r="CP796" s="138" t="str">
        <f>IF($I796&lt;&gt;"",INDEX('Device Refrigerant Leakage'!$E$2:$E$42,MATCH($M796,'Device Refrigerant Leakage'!$B$2:$B$42,0)),"")</f>
        <v/>
      </c>
      <c r="CQ796" s="138" t="str">
        <f>IF($I796&lt;&gt;"",INDEX('Device Refrigerant Leakage'!$F$2:$F$42,MATCH($M796,'Device Refrigerant Leakage'!$B$2:$B$42,0)),"")</f>
        <v/>
      </c>
      <c r="CR796" s="145" t="str">
        <f>IF($I796&lt;&gt;"",INDEX('Device Refrigerant Leakage'!$G$2:$G$42,MATCH($M796,'Device Refrigerant Leakage'!$B$2:$B$42,0)),"")</f>
        <v/>
      </c>
      <c r="CS796" s="145" t="str">
        <f>IF($I796&lt;&gt;"",INDEX('Device Refrigerant Leakage'!$D$2:$D$42,MATCH($M796,'Device Refrigerant Leakage'!$B$2:$B$42,0))*CP796/2204.62*CO796,"")</f>
        <v/>
      </c>
      <c r="CT796" s="145" t="str">
        <f>IF($I796&lt;&gt;"",J796*(INDEX('Device Refrigerant Leakage'!$D$2:$D$42,MATCH($M796,'Device Refrigerant Leakage'!$B$2:$B$42,0))-(INDEX('Device Refrigerant Leakage'!$D$2:$D$42,MATCH($M796,'Device Refrigerant Leakage'!$B$2:$B$42,0)))*CR796*CP796)*CQ796/2204.62*CO796,"")</f>
        <v/>
      </c>
      <c r="CU796" s="135" t="str">
        <f>IF($I796&lt;&gt;"",J796*IF(W796&lt;&gt;"AR",(CS796*K796)+CT796,(CS796*AB796)+CT796*(AB796/INDEX('Device Refrigerant Leakage'!$C$2:$C$42,MATCH($M796,'Device Refrigerant Leakage'!$B$2:$B$42,0)))),"")</f>
        <v/>
      </c>
      <c r="CW796" s="135" t="str">
        <f>IF($I796&lt;&gt;"",IF(S796="User Specified",V796,INDEX('Refrigerant GWPs'!$G$2:$G$156,MATCH(S796,'Refrigerant GWPs'!$A$2:$A$157,0))),"")</f>
        <v/>
      </c>
      <c r="CX796" s="138" t="str">
        <f>IF($I796&lt;&gt;"",INDEX('Device Refrigerant Leakage'!$E$2:$E$42,MATCH($Q796,'Device Refrigerant Leakage'!$B$2:$B$42,0)),"")</f>
        <v/>
      </c>
      <c r="CY796" s="138" t="str">
        <f>IF($I796&lt;&gt;"",INDEX('Device Refrigerant Leakage'!$F$2:$F$42,MATCH($Q796,'Device Refrigerant Leakage'!$B$2:$B$42,0)),"")</f>
        <v/>
      </c>
      <c r="CZ796" s="145" t="str">
        <f>IF($I796&lt;&gt;"",INDEX('Device Refrigerant Leakage'!$G$2:$G$42,MATCH($Q796,'Device Refrigerant Leakage'!$B$2:$B$42,0)),"")</f>
        <v/>
      </c>
      <c r="DA796" s="145" t="str">
        <f>IF($I796&lt;&gt;"",J796*INDEX('Device Refrigerant Leakage'!$D$2:$D$42,MATCH($Q796,'Device Refrigerant Leakage'!$B$2:$B$42,0))*CX796/2204.62*CW796,"")</f>
        <v/>
      </c>
      <c r="DB796" s="145" t="str">
        <f>IF($I796&lt;&gt;"",J796*(INDEX('Device Refrigerant Leakage'!$D$2:$D$42,MATCH($Q796,'Device Refrigerant Leakage'!$B$2:$B$42,0))-(INDEX('Device Refrigerant Leakage'!$D$2:$D$42,MATCH($Q796,'Device Refrigerant Leakage'!$B$2:$B$42,0)))*CZ796*CX796)*CY796/2204.62*CW796,"")</f>
        <v/>
      </c>
      <c r="DC796" s="135" t="str">
        <f t="shared" si="960"/>
        <v/>
      </c>
      <c r="DE796" s="146" t="str">
        <f>IF(W796&lt;&gt;"AR","",IF(Y796="User Specified", AA796, INDEX('Refrigerant GWPs'!$G$2:$G$154,MATCH(Y796,'Refrigerant GWPs'!$A$2:$A$154,0))))</f>
        <v/>
      </c>
      <c r="DF796" s="146" t="str">
        <f>IF(W796&lt;&gt;"AR","",INDEX('Device Refrigerant Leakage'!$E$2:$E$42,MATCH(X796,'Device Refrigerant Leakage'!$B$2:$B$42,0)))</f>
        <v/>
      </c>
      <c r="DG796" s="146" t="str">
        <f>IF(W796&lt;&gt;"AR","",INDEX('Device Refrigerant Leakage'!$F$2:$F$42,MATCH(X796,'Device Refrigerant Leakage'!$B$2:$B$42,0)))</f>
        <v/>
      </c>
      <c r="DH796" s="146" t="str">
        <f>IF(W796&lt;&gt;"AR","",INDEX('Device Refrigerant Leakage'!$G$2:$G$42,MATCH(X796,'Device Refrigerant Leakage'!$B$2:$B$42,0)))</f>
        <v/>
      </c>
      <c r="DI796" s="146" t="str">
        <f>IF(W796&lt;&gt;"AR","",J796*INDEX('Device Refrigerant Leakage'!$D$2:$D$42,MATCH(X796,'Device Refrigerant Leakage'!$B$2:$B$42,0))*DF796/2204.62*DE796)</f>
        <v/>
      </c>
      <c r="DJ796" s="146" t="str">
        <f>IF(W796&lt;&gt;"AR","",J796*(INDEX('Device Refrigerant Leakage'!$D$2:$D$42,MATCH(X796,'Device Refrigerant Leakage'!$B$2:$B$42,0))-(INDEX('Device Refrigerant Leakage'!$D$2:$D$42,MATCH(X796,'Device Refrigerant Leakage'!$B$2:$B$42,0)))*DH796*DF796)*DG796/2204.62*DE796)</f>
        <v/>
      </c>
      <c r="DK796" s="146" t="str">
        <f>IF(W796&lt;&gt;"AR","",DI796*(K796-AB796)+'Fuel Sub Calcs-Deemed'!DJ796*((K796-AB796)/INDEX('Device Refrigerant Leakage'!$C$2:$C$42,MATCH('Fuel Sub Calcs-Deemed'!X796,'Device Refrigerant Leakage'!$B$2:$B$42,0))))</f>
        <v/>
      </c>
      <c r="DM796" s="56">
        <v>782</v>
      </c>
      <c r="DN796" s="67" t="e">
        <f t="shared" si="942"/>
        <v>#N/A</v>
      </c>
      <c r="DO796" s="45" t="e">
        <f t="shared" si="943"/>
        <v>#N/A</v>
      </c>
      <c r="DP796" s="67" t="e">
        <f t="shared" si="944"/>
        <v>#N/A</v>
      </c>
      <c r="DQ796" s="45" t="e">
        <f t="shared" si="945"/>
        <v>#N/A</v>
      </c>
      <c r="DR796" s="69" t="e">
        <f t="shared" si="946"/>
        <v>#N/A</v>
      </c>
      <c r="DS796" s="34"/>
      <c r="DT796" s="67" t="e">
        <f>((BX796*CJ796)+IF($W796=MAT_AR,(BZ796*CL796),0))*(1+Reference!$E$50+Reference!$E$51)</f>
        <v>#N/A</v>
      </c>
      <c r="DU796" s="67">
        <f>((BY796*CK796)+IF($W796=MAT_AR,(CA796*CM796),0))*(1+Reference!$G$50+Reference!$G$51)</f>
        <v>0</v>
      </c>
      <c r="DV796" s="67" t="e">
        <f t="shared" si="947"/>
        <v>#VALUE!</v>
      </c>
      <c r="DX796" s="56">
        <v>782</v>
      </c>
      <c r="DY796" s="67">
        <f t="shared" si="948"/>
        <v>0</v>
      </c>
      <c r="DZ796" s="45" t="e">
        <f>VLOOKUP($R796,Dropdown!$C$3:$D$4,2,FALSE)</f>
        <v>#N/A</v>
      </c>
      <c r="EA796" s="68">
        <f t="shared" si="949"/>
        <v>0</v>
      </c>
      <c r="EB796" s="68" t="str">
        <f t="shared" si="950"/>
        <v>N/A</v>
      </c>
      <c r="EC796" s="68">
        <f t="shared" si="951"/>
        <v>0</v>
      </c>
      <c r="ED796" s="68" t="str">
        <f t="shared" si="989"/>
        <v>N/A</v>
      </c>
      <c r="EF796" s="56">
        <v>782</v>
      </c>
      <c r="EG796" s="46">
        <f t="shared" si="952"/>
        <v>0</v>
      </c>
      <c r="EH796" s="68" t="e">
        <f t="shared" si="953"/>
        <v>#N/A</v>
      </c>
      <c r="EI796" s="68" t="e">
        <f t="shared" si="954"/>
        <v>#N/A</v>
      </c>
      <c r="EJ796" s="68" t="e">
        <f t="shared" si="955"/>
        <v>#N/A</v>
      </c>
      <c r="EK796" s="68" t="e">
        <f t="shared" si="956"/>
        <v>#N/A</v>
      </c>
      <c r="EL796" s="46">
        <f t="shared" si="957"/>
        <v>0</v>
      </c>
      <c r="EM796" s="46">
        <f t="shared" si="958"/>
        <v>0</v>
      </c>
    </row>
    <row r="797" spans="1:143">
      <c r="A797" s="89"/>
      <c r="B797" s="89"/>
      <c r="C797" s="89"/>
      <c r="D797" s="89"/>
      <c r="E797" s="89"/>
      <c r="F797" s="89"/>
      <c r="G797" s="34"/>
      <c r="H797" s="56">
        <f t="shared" si="959"/>
        <v>783</v>
      </c>
      <c r="I797" s="165"/>
      <c r="J797" s="163"/>
      <c r="K797" s="163"/>
      <c r="L797" s="164"/>
      <c r="M797" s="155"/>
      <c r="N797" s="155"/>
      <c r="O797" s="144"/>
      <c r="P797" s="159" t="str">
        <f>IFERROR(IF(O797&lt;&gt;"User Specified",IF(O797&lt;&gt;"", INDEX('Refrigerant GWPs'!$G$2:$G$154,MATCH(O797,'Refrigerant GWPs'!$A$2:$A$154,0)),""),U797),0)</f>
        <v/>
      </c>
      <c r="Q797" s="155"/>
      <c r="R797" s="155"/>
      <c r="S797" s="144"/>
      <c r="T797" s="159" t="str">
        <f>IF(S797&lt;&gt;"User Specified",IF(AND(S797&lt;&gt;"User Specified",S797&lt;&gt;""), INDEX('Refrigerant GWPs'!$G$2:$G$154,MATCH(S797,'Refrigerant GWPs'!$A$2:$A$154,0)),""),V797)</f>
        <v/>
      </c>
      <c r="U797" s="144"/>
      <c r="V797" s="144"/>
      <c r="W797" s="155"/>
      <c r="X797" s="155"/>
      <c r="Y797" s="144"/>
      <c r="Z797" s="159" t="str">
        <f>IF(AND(Y797&lt;&gt;"User Specified",Y797&lt;&gt;""), INDEX('Refrigerant GWPs'!$G$2:$G$154,MATCH(Y797,'Refrigerant GWPs'!$A$2:$A$154,0)),"")</f>
        <v/>
      </c>
      <c r="AA797" s="155"/>
      <c r="AB797" s="156"/>
      <c r="AC797" s="66"/>
      <c r="AD797" s="66"/>
      <c r="AE797" s="66"/>
      <c r="AF797" s="66"/>
      <c r="AG797" s="66"/>
      <c r="AH797" s="66"/>
      <c r="AI797" s="34"/>
      <c r="AJ797" s="88">
        <f t="shared" si="922"/>
        <v>0</v>
      </c>
      <c r="AK797" s="88">
        <f t="shared" si="923"/>
        <v>0</v>
      </c>
      <c r="AL797" s="88">
        <v>0</v>
      </c>
      <c r="AM797" s="88">
        <v>0</v>
      </c>
      <c r="AN797" s="81" t="str">
        <f t="shared" si="961"/>
        <v/>
      </c>
      <c r="AO797" s="88">
        <f t="shared" si="924"/>
        <v>0</v>
      </c>
      <c r="AP797" s="88">
        <f t="shared" si="925"/>
        <v>0</v>
      </c>
      <c r="AQ797" s="81" t="str">
        <f t="shared" si="926"/>
        <v/>
      </c>
      <c r="AS797" s="41" t="b">
        <f t="shared" si="927"/>
        <v>1</v>
      </c>
      <c r="AT797" s="38">
        <f t="shared" si="928"/>
        <v>0</v>
      </c>
      <c r="AU797" s="60">
        <f t="shared" si="929"/>
        <v>0</v>
      </c>
      <c r="AV797" s="41">
        <f t="shared" si="930"/>
        <v>0</v>
      </c>
      <c r="AW797" s="41" t="b">
        <f t="shared" si="931"/>
        <v>0</v>
      </c>
      <c r="AX797" t="str">
        <f t="shared" si="932"/>
        <v>+00</v>
      </c>
      <c r="AY797" t="str">
        <f t="shared" si="933"/>
        <v>+00</v>
      </c>
      <c r="BA797" s="47" t="b">
        <f t="shared" si="962"/>
        <v>1</v>
      </c>
      <c r="BB797" s="42" t="b">
        <f t="shared" si="963"/>
        <v>1</v>
      </c>
      <c r="BC797" s="42" t="b">
        <f t="shared" si="964"/>
        <v>0</v>
      </c>
      <c r="BD797" s="42" t="b">
        <f t="shared" si="965"/>
        <v>0</v>
      </c>
      <c r="BE797" s="70">
        <f t="shared" si="966"/>
        <v>0</v>
      </c>
      <c r="BF797" s="70">
        <f t="shared" si="967"/>
        <v>0</v>
      </c>
      <c r="BG797" s="34"/>
      <c r="BI797" s="47" t="b">
        <f t="shared" si="968"/>
        <v>1</v>
      </c>
      <c r="BJ797" s="47" t="b">
        <f t="shared" si="969"/>
        <v>1</v>
      </c>
      <c r="BK797" s="42" t="b">
        <f t="shared" si="970"/>
        <v>0</v>
      </c>
      <c r="BL797" s="42" t="b">
        <f t="shared" si="971"/>
        <v>0</v>
      </c>
      <c r="BM797" s="42">
        <f t="shared" si="972"/>
        <v>0</v>
      </c>
      <c r="BN797" s="42">
        <f t="shared" si="973"/>
        <v>0</v>
      </c>
      <c r="BP797" t="e">
        <f t="shared" si="974"/>
        <v>#N/A</v>
      </c>
      <c r="BQ797" t="e">
        <f t="shared" si="975"/>
        <v>#N/A</v>
      </c>
      <c r="BR797" t="e">
        <f t="shared" si="976"/>
        <v>#N/A</v>
      </c>
      <c r="BT797" s="60">
        <f t="shared" si="977"/>
        <v>0</v>
      </c>
      <c r="BU797" s="60">
        <f t="shared" si="978"/>
        <v>0</v>
      </c>
      <c r="BV797" s="60">
        <f t="shared" si="979"/>
        <v>0</v>
      </c>
      <c r="BW797" s="60">
        <f t="shared" si="980"/>
        <v>0</v>
      </c>
      <c r="BX797" s="60">
        <f t="shared" si="981"/>
        <v>0</v>
      </c>
      <c r="BY797" s="60">
        <f t="shared" si="982"/>
        <v>0</v>
      </c>
      <c r="BZ797" s="60">
        <f t="shared" si="983"/>
        <v>0</v>
      </c>
      <c r="CA797" s="60">
        <f t="shared" si="984"/>
        <v>0</v>
      </c>
      <c r="CB797" s="60" t="e">
        <f t="shared" si="934"/>
        <v>#N/A</v>
      </c>
      <c r="CC797" s="60">
        <f t="shared" si="935"/>
        <v>100000</v>
      </c>
      <c r="CD797" s="60" t="e">
        <f t="shared" si="936"/>
        <v>#N/A</v>
      </c>
      <c r="CE797" s="60">
        <f t="shared" si="937"/>
        <v>100000</v>
      </c>
      <c r="CF797" s="83" t="e">
        <f t="shared" si="985"/>
        <v>#N/A</v>
      </c>
      <c r="CG797" s="83">
        <f t="shared" si="986"/>
        <v>0</v>
      </c>
      <c r="CH797" s="83" t="e">
        <f t="shared" si="987"/>
        <v>#N/A</v>
      </c>
      <c r="CI797" s="83">
        <f t="shared" si="988"/>
        <v>0</v>
      </c>
      <c r="CJ797" s="86" t="e">
        <f t="shared" si="938"/>
        <v>#N/A</v>
      </c>
      <c r="CK797" s="82">
        <f t="shared" si="939"/>
        <v>5.3070370403969858E-3</v>
      </c>
      <c r="CL797" s="82" t="e">
        <f t="shared" si="940"/>
        <v>#N/A</v>
      </c>
      <c r="CM797" s="82">
        <f t="shared" si="941"/>
        <v>5.3070370403969858E-3</v>
      </c>
      <c r="CO797" s="149" t="str">
        <f>IF($I797&lt;&gt;"",IF(O797="User Specified",U797,INDEX('Refrigerant GWPs'!$G$2:$G$156,MATCH(O797,'Refrigerant GWPs'!$A$2:$A$156,0))),"")</f>
        <v/>
      </c>
      <c r="CP797" s="138" t="str">
        <f>IF($I797&lt;&gt;"",INDEX('Device Refrigerant Leakage'!$E$2:$E$42,MATCH($M797,'Device Refrigerant Leakage'!$B$2:$B$42,0)),"")</f>
        <v/>
      </c>
      <c r="CQ797" s="138" t="str">
        <f>IF($I797&lt;&gt;"",INDEX('Device Refrigerant Leakage'!$F$2:$F$42,MATCH($M797,'Device Refrigerant Leakage'!$B$2:$B$42,0)),"")</f>
        <v/>
      </c>
      <c r="CR797" s="145" t="str">
        <f>IF($I797&lt;&gt;"",INDEX('Device Refrigerant Leakage'!$G$2:$G$42,MATCH($M797,'Device Refrigerant Leakage'!$B$2:$B$42,0)),"")</f>
        <v/>
      </c>
      <c r="CS797" s="145" t="str">
        <f>IF($I797&lt;&gt;"",INDEX('Device Refrigerant Leakage'!$D$2:$D$42,MATCH($M797,'Device Refrigerant Leakage'!$B$2:$B$42,0))*CP797/2204.62*CO797,"")</f>
        <v/>
      </c>
      <c r="CT797" s="145" t="str">
        <f>IF($I797&lt;&gt;"",J797*(INDEX('Device Refrigerant Leakage'!$D$2:$D$42,MATCH($M797,'Device Refrigerant Leakage'!$B$2:$B$42,0))-(INDEX('Device Refrigerant Leakage'!$D$2:$D$42,MATCH($M797,'Device Refrigerant Leakage'!$B$2:$B$42,0)))*CR797*CP797)*CQ797/2204.62*CO797,"")</f>
        <v/>
      </c>
      <c r="CU797" s="135" t="str">
        <f>IF($I797&lt;&gt;"",J797*IF(W797&lt;&gt;"AR",(CS797*K797)+CT797,(CS797*AB797)+CT797*(AB797/INDEX('Device Refrigerant Leakage'!$C$2:$C$42,MATCH($M797,'Device Refrigerant Leakage'!$B$2:$B$42,0)))),"")</f>
        <v/>
      </c>
      <c r="CW797" s="135" t="str">
        <f>IF($I797&lt;&gt;"",IF(S797="User Specified",V797,INDEX('Refrigerant GWPs'!$G$2:$G$156,MATCH(S797,'Refrigerant GWPs'!$A$2:$A$157,0))),"")</f>
        <v/>
      </c>
      <c r="CX797" s="138" t="str">
        <f>IF($I797&lt;&gt;"",INDEX('Device Refrigerant Leakage'!$E$2:$E$42,MATCH($Q797,'Device Refrigerant Leakage'!$B$2:$B$42,0)),"")</f>
        <v/>
      </c>
      <c r="CY797" s="138" t="str">
        <f>IF($I797&lt;&gt;"",INDEX('Device Refrigerant Leakage'!$F$2:$F$42,MATCH($Q797,'Device Refrigerant Leakage'!$B$2:$B$42,0)),"")</f>
        <v/>
      </c>
      <c r="CZ797" s="145" t="str">
        <f>IF($I797&lt;&gt;"",INDEX('Device Refrigerant Leakage'!$G$2:$G$42,MATCH($Q797,'Device Refrigerant Leakage'!$B$2:$B$42,0)),"")</f>
        <v/>
      </c>
      <c r="DA797" s="145" t="str">
        <f>IF($I797&lt;&gt;"",J797*INDEX('Device Refrigerant Leakage'!$D$2:$D$42,MATCH($Q797,'Device Refrigerant Leakage'!$B$2:$B$42,0))*CX797/2204.62*CW797,"")</f>
        <v/>
      </c>
      <c r="DB797" s="145" t="str">
        <f>IF($I797&lt;&gt;"",J797*(INDEX('Device Refrigerant Leakage'!$D$2:$D$42,MATCH($Q797,'Device Refrigerant Leakage'!$B$2:$B$42,0))-(INDEX('Device Refrigerant Leakage'!$D$2:$D$42,MATCH($Q797,'Device Refrigerant Leakage'!$B$2:$B$42,0)))*CZ797*CX797)*CY797/2204.62*CW797,"")</f>
        <v/>
      </c>
      <c r="DC797" s="135" t="str">
        <f t="shared" si="960"/>
        <v/>
      </c>
      <c r="DE797" s="146" t="str">
        <f>IF(W797&lt;&gt;"AR","",IF(Y797="User Specified", AA797, INDEX('Refrigerant GWPs'!$G$2:$G$154,MATCH(Y797,'Refrigerant GWPs'!$A$2:$A$154,0))))</f>
        <v/>
      </c>
      <c r="DF797" s="146" t="str">
        <f>IF(W797&lt;&gt;"AR","",INDEX('Device Refrigerant Leakage'!$E$2:$E$42,MATCH(X797,'Device Refrigerant Leakage'!$B$2:$B$42,0)))</f>
        <v/>
      </c>
      <c r="DG797" s="146" t="str">
        <f>IF(W797&lt;&gt;"AR","",INDEX('Device Refrigerant Leakage'!$F$2:$F$42,MATCH(X797,'Device Refrigerant Leakage'!$B$2:$B$42,0)))</f>
        <v/>
      </c>
      <c r="DH797" s="146" t="str">
        <f>IF(W797&lt;&gt;"AR","",INDEX('Device Refrigerant Leakage'!$G$2:$G$42,MATCH(X797,'Device Refrigerant Leakage'!$B$2:$B$42,0)))</f>
        <v/>
      </c>
      <c r="DI797" s="146" t="str">
        <f>IF(W797&lt;&gt;"AR","",J797*INDEX('Device Refrigerant Leakage'!$D$2:$D$42,MATCH(X797,'Device Refrigerant Leakage'!$B$2:$B$42,0))*DF797/2204.62*DE797)</f>
        <v/>
      </c>
      <c r="DJ797" s="146" t="str">
        <f>IF(W797&lt;&gt;"AR","",J797*(INDEX('Device Refrigerant Leakage'!$D$2:$D$42,MATCH(X797,'Device Refrigerant Leakage'!$B$2:$B$42,0))-(INDEX('Device Refrigerant Leakage'!$D$2:$D$42,MATCH(X797,'Device Refrigerant Leakage'!$B$2:$B$42,0)))*DH797*DF797)*DG797/2204.62*DE797)</f>
        <v/>
      </c>
      <c r="DK797" s="146" t="str">
        <f>IF(W797&lt;&gt;"AR","",DI797*(K797-AB797)+'Fuel Sub Calcs-Deemed'!DJ797*((K797-AB797)/INDEX('Device Refrigerant Leakage'!$C$2:$C$42,MATCH('Fuel Sub Calcs-Deemed'!X797,'Device Refrigerant Leakage'!$B$2:$B$42,0))))</f>
        <v/>
      </c>
      <c r="DM797" s="56">
        <v>783</v>
      </c>
      <c r="DN797" s="67" t="e">
        <f t="shared" si="942"/>
        <v>#N/A</v>
      </c>
      <c r="DO797" s="45" t="e">
        <f t="shared" si="943"/>
        <v>#N/A</v>
      </c>
      <c r="DP797" s="67" t="e">
        <f t="shared" si="944"/>
        <v>#N/A</v>
      </c>
      <c r="DQ797" s="45" t="e">
        <f t="shared" si="945"/>
        <v>#N/A</v>
      </c>
      <c r="DR797" s="69" t="e">
        <f t="shared" si="946"/>
        <v>#N/A</v>
      </c>
      <c r="DS797" s="34"/>
      <c r="DT797" s="67" t="e">
        <f>((BX797*CJ797)+IF($W797=MAT_AR,(BZ797*CL797),0))*(1+Reference!$E$50+Reference!$E$51)</f>
        <v>#N/A</v>
      </c>
      <c r="DU797" s="67">
        <f>((BY797*CK797)+IF($W797=MAT_AR,(CA797*CM797),0))*(1+Reference!$G$50+Reference!$G$51)</f>
        <v>0</v>
      </c>
      <c r="DV797" s="67" t="e">
        <f t="shared" si="947"/>
        <v>#VALUE!</v>
      </c>
      <c r="DX797" s="56">
        <v>783</v>
      </c>
      <c r="DY797" s="67">
        <f t="shared" si="948"/>
        <v>0</v>
      </c>
      <c r="DZ797" s="45" t="e">
        <f>VLOOKUP($R797,Dropdown!$C$3:$D$4,2,FALSE)</f>
        <v>#N/A</v>
      </c>
      <c r="EA797" s="68">
        <f t="shared" si="949"/>
        <v>0</v>
      </c>
      <c r="EB797" s="68" t="str">
        <f t="shared" si="950"/>
        <v>N/A</v>
      </c>
      <c r="EC797" s="68">
        <f t="shared" si="951"/>
        <v>0</v>
      </c>
      <c r="ED797" s="68" t="str">
        <f t="shared" si="989"/>
        <v>N/A</v>
      </c>
      <c r="EF797" s="56">
        <v>783</v>
      </c>
      <c r="EG797" s="46">
        <f t="shared" si="952"/>
        <v>0</v>
      </c>
      <c r="EH797" s="68" t="e">
        <f t="shared" si="953"/>
        <v>#N/A</v>
      </c>
      <c r="EI797" s="68" t="e">
        <f t="shared" si="954"/>
        <v>#N/A</v>
      </c>
      <c r="EJ797" s="68" t="e">
        <f t="shared" si="955"/>
        <v>#N/A</v>
      </c>
      <c r="EK797" s="68" t="e">
        <f t="shared" si="956"/>
        <v>#N/A</v>
      </c>
      <c r="EL797" s="46">
        <f t="shared" si="957"/>
        <v>0</v>
      </c>
      <c r="EM797" s="46">
        <f t="shared" si="958"/>
        <v>0</v>
      </c>
    </row>
    <row r="798" spans="1:143">
      <c r="A798" s="89"/>
      <c r="B798" s="89"/>
      <c r="C798" s="89"/>
      <c r="D798" s="89"/>
      <c r="E798" s="89"/>
      <c r="F798" s="89"/>
      <c r="G798" s="34"/>
      <c r="H798" s="56">
        <f t="shared" si="959"/>
        <v>784</v>
      </c>
      <c r="I798" s="165"/>
      <c r="J798" s="163"/>
      <c r="K798" s="163"/>
      <c r="L798" s="164"/>
      <c r="M798" s="155"/>
      <c r="N798" s="155"/>
      <c r="O798" s="144"/>
      <c r="P798" s="159" t="str">
        <f>IFERROR(IF(O798&lt;&gt;"User Specified",IF(O798&lt;&gt;"", INDEX('Refrigerant GWPs'!$G$2:$G$154,MATCH(O798,'Refrigerant GWPs'!$A$2:$A$154,0)),""),U798),0)</f>
        <v/>
      </c>
      <c r="Q798" s="155"/>
      <c r="R798" s="155"/>
      <c r="S798" s="144"/>
      <c r="T798" s="159" t="str">
        <f>IF(S798&lt;&gt;"User Specified",IF(AND(S798&lt;&gt;"User Specified",S798&lt;&gt;""), INDEX('Refrigerant GWPs'!$G$2:$G$154,MATCH(S798,'Refrigerant GWPs'!$A$2:$A$154,0)),""),V798)</f>
        <v/>
      </c>
      <c r="U798" s="144"/>
      <c r="V798" s="144"/>
      <c r="W798" s="155"/>
      <c r="X798" s="155"/>
      <c r="Y798" s="144"/>
      <c r="Z798" s="159" t="str">
        <f>IF(AND(Y798&lt;&gt;"User Specified",Y798&lt;&gt;""), INDEX('Refrigerant GWPs'!$G$2:$G$154,MATCH(Y798,'Refrigerant GWPs'!$A$2:$A$154,0)),"")</f>
        <v/>
      </c>
      <c r="AA798" s="155"/>
      <c r="AB798" s="156"/>
      <c r="AC798" s="66"/>
      <c r="AD798" s="66"/>
      <c r="AE798" s="66"/>
      <c r="AF798" s="66"/>
      <c r="AG798" s="66"/>
      <c r="AH798" s="66"/>
      <c r="AI798" s="34"/>
      <c r="AJ798" s="88">
        <f t="shared" si="922"/>
        <v>0</v>
      </c>
      <c r="AK798" s="88">
        <f t="shared" si="923"/>
        <v>0</v>
      </c>
      <c r="AL798" s="88">
        <v>0</v>
      </c>
      <c r="AM798" s="88">
        <v>0</v>
      </c>
      <c r="AN798" s="81" t="str">
        <f t="shared" si="961"/>
        <v/>
      </c>
      <c r="AO798" s="88">
        <f t="shared" si="924"/>
        <v>0</v>
      </c>
      <c r="AP798" s="88">
        <f t="shared" si="925"/>
        <v>0</v>
      </c>
      <c r="AQ798" s="81" t="str">
        <f t="shared" si="926"/>
        <v/>
      </c>
      <c r="AS798" s="41" t="b">
        <f t="shared" si="927"/>
        <v>1</v>
      </c>
      <c r="AT798" s="38">
        <f t="shared" si="928"/>
        <v>0</v>
      </c>
      <c r="AU798" s="60">
        <f t="shared" si="929"/>
        <v>0</v>
      </c>
      <c r="AV798" s="41">
        <f t="shared" si="930"/>
        <v>0</v>
      </c>
      <c r="AW798" s="41" t="b">
        <f t="shared" si="931"/>
        <v>0</v>
      </c>
      <c r="AX798" t="str">
        <f t="shared" si="932"/>
        <v>+00</v>
      </c>
      <c r="AY798" t="str">
        <f t="shared" si="933"/>
        <v>+00</v>
      </c>
      <c r="BA798" s="47" t="b">
        <f t="shared" si="962"/>
        <v>1</v>
      </c>
      <c r="BB798" s="42" t="b">
        <f t="shared" si="963"/>
        <v>1</v>
      </c>
      <c r="BC798" s="42" t="b">
        <f t="shared" si="964"/>
        <v>0</v>
      </c>
      <c r="BD798" s="42" t="b">
        <f t="shared" si="965"/>
        <v>0</v>
      </c>
      <c r="BE798" s="70">
        <f t="shared" si="966"/>
        <v>0</v>
      </c>
      <c r="BF798" s="70">
        <f t="shared" si="967"/>
        <v>0</v>
      </c>
      <c r="BG798" s="34"/>
      <c r="BI798" s="47" t="b">
        <f t="shared" si="968"/>
        <v>1</v>
      </c>
      <c r="BJ798" s="47" t="b">
        <f t="shared" si="969"/>
        <v>1</v>
      </c>
      <c r="BK798" s="42" t="b">
        <f t="shared" si="970"/>
        <v>0</v>
      </c>
      <c r="BL798" s="42" t="b">
        <f t="shared" si="971"/>
        <v>0</v>
      </c>
      <c r="BM798" s="42">
        <f t="shared" si="972"/>
        <v>0</v>
      </c>
      <c r="BN798" s="42">
        <f t="shared" si="973"/>
        <v>0</v>
      </c>
      <c r="BP798" t="e">
        <f t="shared" si="974"/>
        <v>#N/A</v>
      </c>
      <c r="BQ798" t="e">
        <f t="shared" si="975"/>
        <v>#N/A</v>
      </c>
      <c r="BR798" t="e">
        <f t="shared" si="976"/>
        <v>#N/A</v>
      </c>
      <c r="BT798" s="60">
        <f t="shared" si="977"/>
        <v>0</v>
      </c>
      <c r="BU798" s="60">
        <f t="shared" si="978"/>
        <v>0</v>
      </c>
      <c r="BV798" s="60">
        <f t="shared" si="979"/>
        <v>0</v>
      </c>
      <c r="BW798" s="60">
        <f t="shared" si="980"/>
        <v>0</v>
      </c>
      <c r="BX798" s="60">
        <f t="shared" si="981"/>
        <v>0</v>
      </c>
      <c r="BY798" s="60">
        <f t="shared" si="982"/>
        <v>0</v>
      </c>
      <c r="BZ798" s="60">
        <f t="shared" si="983"/>
        <v>0</v>
      </c>
      <c r="CA798" s="60">
        <f t="shared" si="984"/>
        <v>0</v>
      </c>
      <c r="CB798" s="60" t="e">
        <f t="shared" si="934"/>
        <v>#N/A</v>
      </c>
      <c r="CC798" s="60">
        <f t="shared" si="935"/>
        <v>100000</v>
      </c>
      <c r="CD798" s="60" t="e">
        <f t="shared" si="936"/>
        <v>#N/A</v>
      </c>
      <c r="CE798" s="60">
        <f t="shared" si="937"/>
        <v>100000</v>
      </c>
      <c r="CF798" s="83" t="e">
        <f t="shared" si="985"/>
        <v>#N/A</v>
      </c>
      <c r="CG798" s="83">
        <f t="shared" si="986"/>
        <v>0</v>
      </c>
      <c r="CH798" s="83" t="e">
        <f t="shared" si="987"/>
        <v>#N/A</v>
      </c>
      <c r="CI798" s="83">
        <f t="shared" si="988"/>
        <v>0</v>
      </c>
      <c r="CJ798" s="86" t="e">
        <f t="shared" si="938"/>
        <v>#N/A</v>
      </c>
      <c r="CK798" s="82">
        <f t="shared" si="939"/>
        <v>5.3070370403969858E-3</v>
      </c>
      <c r="CL798" s="82" t="e">
        <f t="shared" si="940"/>
        <v>#N/A</v>
      </c>
      <c r="CM798" s="82">
        <f t="shared" si="941"/>
        <v>5.3070370403969858E-3</v>
      </c>
      <c r="CO798" s="149" t="str">
        <f>IF($I798&lt;&gt;"",IF(O798="User Specified",U798,INDEX('Refrigerant GWPs'!$G$2:$G$156,MATCH(O798,'Refrigerant GWPs'!$A$2:$A$156,0))),"")</f>
        <v/>
      </c>
      <c r="CP798" s="138" t="str">
        <f>IF($I798&lt;&gt;"",INDEX('Device Refrigerant Leakage'!$E$2:$E$42,MATCH($M798,'Device Refrigerant Leakage'!$B$2:$B$42,0)),"")</f>
        <v/>
      </c>
      <c r="CQ798" s="138" t="str">
        <f>IF($I798&lt;&gt;"",INDEX('Device Refrigerant Leakage'!$F$2:$F$42,MATCH($M798,'Device Refrigerant Leakage'!$B$2:$B$42,0)),"")</f>
        <v/>
      </c>
      <c r="CR798" s="145" t="str">
        <f>IF($I798&lt;&gt;"",INDEX('Device Refrigerant Leakage'!$G$2:$G$42,MATCH($M798,'Device Refrigerant Leakage'!$B$2:$B$42,0)),"")</f>
        <v/>
      </c>
      <c r="CS798" s="145" t="str">
        <f>IF($I798&lt;&gt;"",INDEX('Device Refrigerant Leakage'!$D$2:$D$42,MATCH($M798,'Device Refrigerant Leakage'!$B$2:$B$42,0))*CP798/2204.62*CO798,"")</f>
        <v/>
      </c>
      <c r="CT798" s="145" t="str">
        <f>IF($I798&lt;&gt;"",J798*(INDEX('Device Refrigerant Leakage'!$D$2:$D$42,MATCH($M798,'Device Refrigerant Leakage'!$B$2:$B$42,0))-(INDEX('Device Refrigerant Leakage'!$D$2:$D$42,MATCH($M798,'Device Refrigerant Leakage'!$B$2:$B$42,0)))*CR798*CP798)*CQ798/2204.62*CO798,"")</f>
        <v/>
      </c>
      <c r="CU798" s="135" t="str">
        <f>IF($I798&lt;&gt;"",J798*IF(W798&lt;&gt;"AR",(CS798*K798)+CT798,(CS798*AB798)+CT798*(AB798/INDEX('Device Refrigerant Leakage'!$C$2:$C$42,MATCH($M798,'Device Refrigerant Leakage'!$B$2:$B$42,0)))),"")</f>
        <v/>
      </c>
      <c r="CW798" s="135" t="str">
        <f>IF($I798&lt;&gt;"",IF(S798="User Specified",V798,INDEX('Refrigerant GWPs'!$G$2:$G$156,MATCH(S798,'Refrigerant GWPs'!$A$2:$A$157,0))),"")</f>
        <v/>
      </c>
      <c r="CX798" s="138" t="str">
        <f>IF($I798&lt;&gt;"",INDEX('Device Refrigerant Leakage'!$E$2:$E$42,MATCH($Q798,'Device Refrigerant Leakage'!$B$2:$B$42,0)),"")</f>
        <v/>
      </c>
      <c r="CY798" s="138" t="str">
        <f>IF($I798&lt;&gt;"",INDEX('Device Refrigerant Leakage'!$F$2:$F$42,MATCH($Q798,'Device Refrigerant Leakage'!$B$2:$B$42,0)),"")</f>
        <v/>
      </c>
      <c r="CZ798" s="145" t="str">
        <f>IF($I798&lt;&gt;"",INDEX('Device Refrigerant Leakage'!$G$2:$G$42,MATCH($Q798,'Device Refrigerant Leakage'!$B$2:$B$42,0)),"")</f>
        <v/>
      </c>
      <c r="DA798" s="145" t="str">
        <f>IF($I798&lt;&gt;"",J798*INDEX('Device Refrigerant Leakage'!$D$2:$D$42,MATCH($Q798,'Device Refrigerant Leakage'!$B$2:$B$42,0))*CX798/2204.62*CW798,"")</f>
        <v/>
      </c>
      <c r="DB798" s="145" t="str">
        <f>IF($I798&lt;&gt;"",J798*(INDEX('Device Refrigerant Leakage'!$D$2:$D$42,MATCH($Q798,'Device Refrigerant Leakage'!$B$2:$B$42,0))-(INDEX('Device Refrigerant Leakage'!$D$2:$D$42,MATCH($Q798,'Device Refrigerant Leakage'!$B$2:$B$42,0)))*CZ798*CX798)*CY798/2204.62*CW798,"")</f>
        <v/>
      </c>
      <c r="DC798" s="135" t="str">
        <f t="shared" si="960"/>
        <v/>
      </c>
      <c r="DE798" s="146" t="str">
        <f>IF(W798&lt;&gt;"AR","",IF(Y798="User Specified", AA798, INDEX('Refrigerant GWPs'!$G$2:$G$154,MATCH(Y798,'Refrigerant GWPs'!$A$2:$A$154,0))))</f>
        <v/>
      </c>
      <c r="DF798" s="146" t="str">
        <f>IF(W798&lt;&gt;"AR","",INDEX('Device Refrigerant Leakage'!$E$2:$E$42,MATCH(X798,'Device Refrigerant Leakage'!$B$2:$B$42,0)))</f>
        <v/>
      </c>
      <c r="DG798" s="146" t="str">
        <f>IF(W798&lt;&gt;"AR","",INDEX('Device Refrigerant Leakage'!$F$2:$F$42,MATCH(X798,'Device Refrigerant Leakage'!$B$2:$B$42,0)))</f>
        <v/>
      </c>
      <c r="DH798" s="146" t="str">
        <f>IF(W798&lt;&gt;"AR","",INDEX('Device Refrigerant Leakage'!$G$2:$G$42,MATCH(X798,'Device Refrigerant Leakage'!$B$2:$B$42,0)))</f>
        <v/>
      </c>
      <c r="DI798" s="146" t="str">
        <f>IF(W798&lt;&gt;"AR","",J798*INDEX('Device Refrigerant Leakage'!$D$2:$D$42,MATCH(X798,'Device Refrigerant Leakage'!$B$2:$B$42,0))*DF798/2204.62*DE798)</f>
        <v/>
      </c>
      <c r="DJ798" s="146" t="str">
        <f>IF(W798&lt;&gt;"AR","",J798*(INDEX('Device Refrigerant Leakage'!$D$2:$D$42,MATCH(X798,'Device Refrigerant Leakage'!$B$2:$B$42,0))-(INDEX('Device Refrigerant Leakage'!$D$2:$D$42,MATCH(X798,'Device Refrigerant Leakage'!$B$2:$B$42,0)))*DH798*DF798)*DG798/2204.62*DE798)</f>
        <v/>
      </c>
      <c r="DK798" s="146" t="str">
        <f>IF(W798&lt;&gt;"AR","",DI798*(K798-AB798)+'Fuel Sub Calcs-Deemed'!DJ798*((K798-AB798)/INDEX('Device Refrigerant Leakage'!$C$2:$C$42,MATCH('Fuel Sub Calcs-Deemed'!X798,'Device Refrigerant Leakage'!$B$2:$B$42,0))))</f>
        <v/>
      </c>
      <c r="DM798" s="56">
        <v>784</v>
      </c>
      <c r="DN798" s="67" t="e">
        <f t="shared" si="942"/>
        <v>#N/A</v>
      </c>
      <c r="DO798" s="45" t="e">
        <f t="shared" si="943"/>
        <v>#N/A</v>
      </c>
      <c r="DP798" s="67" t="e">
        <f t="shared" si="944"/>
        <v>#N/A</v>
      </c>
      <c r="DQ798" s="45" t="e">
        <f t="shared" si="945"/>
        <v>#N/A</v>
      </c>
      <c r="DR798" s="69" t="e">
        <f t="shared" si="946"/>
        <v>#N/A</v>
      </c>
      <c r="DS798" s="34"/>
      <c r="DT798" s="67" t="e">
        <f>((BX798*CJ798)+IF($W798=MAT_AR,(BZ798*CL798),0))*(1+Reference!$E$50+Reference!$E$51)</f>
        <v>#N/A</v>
      </c>
      <c r="DU798" s="67">
        <f>((BY798*CK798)+IF($W798=MAT_AR,(CA798*CM798),0))*(1+Reference!$G$50+Reference!$G$51)</f>
        <v>0</v>
      </c>
      <c r="DV798" s="67" t="e">
        <f t="shared" si="947"/>
        <v>#VALUE!</v>
      </c>
      <c r="DX798" s="56">
        <v>784</v>
      </c>
      <c r="DY798" s="67">
        <f t="shared" si="948"/>
        <v>0</v>
      </c>
      <c r="DZ798" s="45" t="e">
        <f>VLOOKUP($R798,Dropdown!$C$3:$D$4,2,FALSE)</f>
        <v>#N/A</v>
      </c>
      <c r="EA798" s="68">
        <f t="shared" si="949"/>
        <v>0</v>
      </c>
      <c r="EB798" s="68" t="str">
        <f t="shared" si="950"/>
        <v>N/A</v>
      </c>
      <c r="EC798" s="68">
        <f t="shared" si="951"/>
        <v>0</v>
      </c>
      <c r="ED798" s="68" t="str">
        <f t="shared" si="989"/>
        <v>N/A</v>
      </c>
      <c r="EF798" s="56">
        <v>784</v>
      </c>
      <c r="EG798" s="46">
        <f t="shared" si="952"/>
        <v>0</v>
      </c>
      <c r="EH798" s="68" t="e">
        <f t="shared" si="953"/>
        <v>#N/A</v>
      </c>
      <c r="EI798" s="68" t="e">
        <f t="shared" si="954"/>
        <v>#N/A</v>
      </c>
      <c r="EJ798" s="68" t="e">
        <f t="shared" si="955"/>
        <v>#N/A</v>
      </c>
      <c r="EK798" s="68" t="e">
        <f t="shared" si="956"/>
        <v>#N/A</v>
      </c>
      <c r="EL798" s="46">
        <f t="shared" si="957"/>
        <v>0</v>
      </c>
      <c r="EM798" s="46">
        <f t="shared" si="958"/>
        <v>0</v>
      </c>
    </row>
    <row r="799" spans="1:143">
      <c r="A799" s="89"/>
      <c r="B799" s="89"/>
      <c r="C799" s="89"/>
      <c r="D799" s="89"/>
      <c r="E799" s="89"/>
      <c r="F799" s="89"/>
      <c r="G799" s="34"/>
      <c r="H799" s="56">
        <f t="shared" si="959"/>
        <v>785</v>
      </c>
      <c r="I799" s="165"/>
      <c r="J799" s="163"/>
      <c r="K799" s="163"/>
      <c r="L799" s="164"/>
      <c r="M799" s="155"/>
      <c r="N799" s="155"/>
      <c r="O799" s="144"/>
      <c r="P799" s="159" t="str">
        <f>IFERROR(IF(O799&lt;&gt;"User Specified",IF(O799&lt;&gt;"", INDEX('Refrigerant GWPs'!$G$2:$G$154,MATCH(O799,'Refrigerant GWPs'!$A$2:$A$154,0)),""),U799),0)</f>
        <v/>
      </c>
      <c r="Q799" s="155"/>
      <c r="R799" s="155"/>
      <c r="S799" s="144"/>
      <c r="T799" s="159" t="str">
        <f>IF(S799&lt;&gt;"User Specified",IF(AND(S799&lt;&gt;"User Specified",S799&lt;&gt;""), INDEX('Refrigerant GWPs'!$G$2:$G$154,MATCH(S799,'Refrigerant GWPs'!$A$2:$A$154,0)),""),V799)</f>
        <v/>
      </c>
      <c r="U799" s="144"/>
      <c r="V799" s="144"/>
      <c r="W799" s="155"/>
      <c r="X799" s="155"/>
      <c r="Y799" s="144"/>
      <c r="Z799" s="159" t="str">
        <f>IF(AND(Y799&lt;&gt;"User Specified",Y799&lt;&gt;""), INDEX('Refrigerant GWPs'!$G$2:$G$154,MATCH(Y799,'Refrigerant GWPs'!$A$2:$A$154,0)),"")</f>
        <v/>
      </c>
      <c r="AA799" s="155"/>
      <c r="AB799" s="156"/>
      <c r="AC799" s="66"/>
      <c r="AD799" s="66"/>
      <c r="AE799" s="66"/>
      <c r="AF799" s="66"/>
      <c r="AG799" s="66"/>
      <c r="AH799" s="66"/>
      <c r="AI799" s="34"/>
      <c r="AJ799" s="88">
        <f t="shared" si="922"/>
        <v>0</v>
      </c>
      <c r="AK799" s="88">
        <f t="shared" si="923"/>
        <v>0</v>
      </c>
      <c r="AL799" s="88">
        <v>0</v>
      </c>
      <c r="AM799" s="88">
        <v>0</v>
      </c>
      <c r="AN799" s="81" t="str">
        <f t="shared" si="961"/>
        <v/>
      </c>
      <c r="AO799" s="88">
        <f t="shared" si="924"/>
        <v>0</v>
      </c>
      <c r="AP799" s="88">
        <f t="shared" si="925"/>
        <v>0</v>
      </c>
      <c r="AQ799" s="81" t="str">
        <f t="shared" si="926"/>
        <v/>
      </c>
      <c r="AS799" s="41" t="b">
        <f t="shared" si="927"/>
        <v>1</v>
      </c>
      <c r="AT799" s="38">
        <f t="shared" si="928"/>
        <v>0</v>
      </c>
      <c r="AU799" s="60">
        <f t="shared" si="929"/>
        <v>0</v>
      </c>
      <c r="AV799" s="41">
        <f t="shared" si="930"/>
        <v>0</v>
      </c>
      <c r="AW799" s="41" t="b">
        <f t="shared" si="931"/>
        <v>0</v>
      </c>
      <c r="AX799" t="str">
        <f t="shared" si="932"/>
        <v>+00</v>
      </c>
      <c r="AY799" t="str">
        <f t="shared" si="933"/>
        <v>+00</v>
      </c>
      <c r="BA799" s="47" t="b">
        <f t="shared" si="962"/>
        <v>1</v>
      </c>
      <c r="BB799" s="42" t="b">
        <f t="shared" si="963"/>
        <v>1</v>
      </c>
      <c r="BC799" s="42" t="b">
        <f t="shared" si="964"/>
        <v>0</v>
      </c>
      <c r="BD799" s="42" t="b">
        <f t="shared" si="965"/>
        <v>0</v>
      </c>
      <c r="BE799" s="70">
        <f t="shared" si="966"/>
        <v>0</v>
      </c>
      <c r="BF799" s="70">
        <f t="shared" si="967"/>
        <v>0</v>
      </c>
      <c r="BG799" s="34"/>
      <c r="BI799" s="47" t="b">
        <f t="shared" si="968"/>
        <v>1</v>
      </c>
      <c r="BJ799" s="47" t="b">
        <f t="shared" si="969"/>
        <v>1</v>
      </c>
      <c r="BK799" s="42" t="b">
        <f t="shared" si="970"/>
        <v>0</v>
      </c>
      <c r="BL799" s="42" t="b">
        <f t="shared" si="971"/>
        <v>0</v>
      </c>
      <c r="BM799" s="42">
        <f t="shared" si="972"/>
        <v>0</v>
      </c>
      <c r="BN799" s="42">
        <f t="shared" si="973"/>
        <v>0</v>
      </c>
      <c r="BP799" t="e">
        <f t="shared" si="974"/>
        <v>#N/A</v>
      </c>
      <c r="BQ799" t="e">
        <f t="shared" si="975"/>
        <v>#N/A</v>
      </c>
      <c r="BR799" t="e">
        <f t="shared" si="976"/>
        <v>#N/A</v>
      </c>
      <c r="BT799" s="60">
        <f t="shared" si="977"/>
        <v>0</v>
      </c>
      <c r="BU799" s="60">
        <f t="shared" si="978"/>
        <v>0</v>
      </c>
      <c r="BV799" s="60">
        <f t="shared" si="979"/>
        <v>0</v>
      </c>
      <c r="BW799" s="60">
        <f t="shared" si="980"/>
        <v>0</v>
      </c>
      <c r="BX799" s="60">
        <f t="shared" si="981"/>
        <v>0</v>
      </c>
      <c r="BY799" s="60">
        <f t="shared" si="982"/>
        <v>0</v>
      </c>
      <c r="BZ799" s="60">
        <f t="shared" si="983"/>
        <v>0</v>
      </c>
      <c r="CA799" s="60">
        <f t="shared" si="984"/>
        <v>0</v>
      </c>
      <c r="CB799" s="60" t="e">
        <f t="shared" si="934"/>
        <v>#N/A</v>
      </c>
      <c r="CC799" s="60">
        <f t="shared" si="935"/>
        <v>100000</v>
      </c>
      <c r="CD799" s="60" t="e">
        <f t="shared" si="936"/>
        <v>#N/A</v>
      </c>
      <c r="CE799" s="60">
        <f t="shared" si="937"/>
        <v>100000</v>
      </c>
      <c r="CF799" s="83" t="e">
        <f t="shared" si="985"/>
        <v>#N/A</v>
      </c>
      <c r="CG799" s="83">
        <f t="shared" si="986"/>
        <v>0</v>
      </c>
      <c r="CH799" s="83" t="e">
        <f t="shared" si="987"/>
        <v>#N/A</v>
      </c>
      <c r="CI799" s="83">
        <f t="shared" si="988"/>
        <v>0</v>
      </c>
      <c r="CJ799" s="86" t="e">
        <f t="shared" si="938"/>
        <v>#N/A</v>
      </c>
      <c r="CK799" s="82">
        <f t="shared" si="939"/>
        <v>5.3070370403969858E-3</v>
      </c>
      <c r="CL799" s="82" t="e">
        <f t="shared" si="940"/>
        <v>#N/A</v>
      </c>
      <c r="CM799" s="82">
        <f t="shared" si="941"/>
        <v>5.3070370403969858E-3</v>
      </c>
      <c r="CO799" s="149" t="str">
        <f>IF($I799&lt;&gt;"",IF(O799="User Specified",U799,INDEX('Refrigerant GWPs'!$G$2:$G$156,MATCH(O799,'Refrigerant GWPs'!$A$2:$A$156,0))),"")</f>
        <v/>
      </c>
      <c r="CP799" s="138" t="str">
        <f>IF($I799&lt;&gt;"",INDEX('Device Refrigerant Leakage'!$E$2:$E$42,MATCH($M799,'Device Refrigerant Leakage'!$B$2:$B$42,0)),"")</f>
        <v/>
      </c>
      <c r="CQ799" s="138" t="str">
        <f>IF($I799&lt;&gt;"",INDEX('Device Refrigerant Leakage'!$F$2:$F$42,MATCH($M799,'Device Refrigerant Leakage'!$B$2:$B$42,0)),"")</f>
        <v/>
      </c>
      <c r="CR799" s="145" t="str">
        <f>IF($I799&lt;&gt;"",INDEX('Device Refrigerant Leakage'!$G$2:$G$42,MATCH($M799,'Device Refrigerant Leakage'!$B$2:$B$42,0)),"")</f>
        <v/>
      </c>
      <c r="CS799" s="145" t="str">
        <f>IF($I799&lt;&gt;"",INDEX('Device Refrigerant Leakage'!$D$2:$D$42,MATCH($M799,'Device Refrigerant Leakage'!$B$2:$B$42,0))*CP799/2204.62*CO799,"")</f>
        <v/>
      </c>
      <c r="CT799" s="145" t="str">
        <f>IF($I799&lt;&gt;"",J799*(INDEX('Device Refrigerant Leakage'!$D$2:$D$42,MATCH($M799,'Device Refrigerant Leakage'!$B$2:$B$42,0))-(INDEX('Device Refrigerant Leakage'!$D$2:$D$42,MATCH($M799,'Device Refrigerant Leakage'!$B$2:$B$42,0)))*CR799*CP799)*CQ799/2204.62*CO799,"")</f>
        <v/>
      </c>
      <c r="CU799" s="135" t="str">
        <f>IF($I799&lt;&gt;"",J799*IF(W799&lt;&gt;"AR",(CS799*K799)+CT799,(CS799*AB799)+CT799*(AB799/INDEX('Device Refrigerant Leakage'!$C$2:$C$42,MATCH($M799,'Device Refrigerant Leakage'!$B$2:$B$42,0)))),"")</f>
        <v/>
      </c>
      <c r="CW799" s="135" t="str">
        <f>IF($I799&lt;&gt;"",IF(S799="User Specified",V799,INDEX('Refrigerant GWPs'!$G$2:$G$156,MATCH(S799,'Refrigerant GWPs'!$A$2:$A$157,0))),"")</f>
        <v/>
      </c>
      <c r="CX799" s="138" t="str">
        <f>IF($I799&lt;&gt;"",INDEX('Device Refrigerant Leakage'!$E$2:$E$42,MATCH($Q799,'Device Refrigerant Leakage'!$B$2:$B$42,0)),"")</f>
        <v/>
      </c>
      <c r="CY799" s="138" t="str">
        <f>IF($I799&lt;&gt;"",INDEX('Device Refrigerant Leakage'!$F$2:$F$42,MATCH($Q799,'Device Refrigerant Leakage'!$B$2:$B$42,0)),"")</f>
        <v/>
      </c>
      <c r="CZ799" s="145" t="str">
        <f>IF($I799&lt;&gt;"",INDEX('Device Refrigerant Leakage'!$G$2:$G$42,MATCH($Q799,'Device Refrigerant Leakage'!$B$2:$B$42,0)),"")</f>
        <v/>
      </c>
      <c r="DA799" s="145" t="str">
        <f>IF($I799&lt;&gt;"",J799*INDEX('Device Refrigerant Leakage'!$D$2:$D$42,MATCH($Q799,'Device Refrigerant Leakage'!$B$2:$B$42,0))*CX799/2204.62*CW799,"")</f>
        <v/>
      </c>
      <c r="DB799" s="145" t="str">
        <f>IF($I799&lt;&gt;"",J799*(INDEX('Device Refrigerant Leakage'!$D$2:$D$42,MATCH($Q799,'Device Refrigerant Leakage'!$B$2:$B$42,0))-(INDEX('Device Refrigerant Leakage'!$D$2:$D$42,MATCH($Q799,'Device Refrigerant Leakage'!$B$2:$B$42,0)))*CZ799*CX799)*CY799/2204.62*CW799,"")</f>
        <v/>
      </c>
      <c r="DC799" s="135" t="str">
        <f t="shared" si="960"/>
        <v/>
      </c>
      <c r="DE799" s="146" t="str">
        <f>IF(W799&lt;&gt;"AR","",IF(Y799="User Specified", AA799, INDEX('Refrigerant GWPs'!$G$2:$G$154,MATCH(Y799,'Refrigerant GWPs'!$A$2:$A$154,0))))</f>
        <v/>
      </c>
      <c r="DF799" s="146" t="str">
        <f>IF(W799&lt;&gt;"AR","",INDEX('Device Refrigerant Leakage'!$E$2:$E$42,MATCH(X799,'Device Refrigerant Leakage'!$B$2:$B$42,0)))</f>
        <v/>
      </c>
      <c r="DG799" s="146" t="str">
        <f>IF(W799&lt;&gt;"AR","",INDEX('Device Refrigerant Leakage'!$F$2:$F$42,MATCH(X799,'Device Refrigerant Leakage'!$B$2:$B$42,0)))</f>
        <v/>
      </c>
      <c r="DH799" s="146" t="str">
        <f>IF(W799&lt;&gt;"AR","",INDEX('Device Refrigerant Leakage'!$G$2:$G$42,MATCH(X799,'Device Refrigerant Leakage'!$B$2:$B$42,0)))</f>
        <v/>
      </c>
      <c r="DI799" s="146" t="str">
        <f>IF(W799&lt;&gt;"AR","",J799*INDEX('Device Refrigerant Leakage'!$D$2:$D$42,MATCH(X799,'Device Refrigerant Leakage'!$B$2:$B$42,0))*DF799/2204.62*DE799)</f>
        <v/>
      </c>
      <c r="DJ799" s="146" t="str">
        <f>IF(W799&lt;&gt;"AR","",J799*(INDEX('Device Refrigerant Leakage'!$D$2:$D$42,MATCH(X799,'Device Refrigerant Leakage'!$B$2:$B$42,0))-(INDEX('Device Refrigerant Leakage'!$D$2:$D$42,MATCH(X799,'Device Refrigerant Leakage'!$B$2:$B$42,0)))*DH799*DF799)*DG799/2204.62*DE799)</f>
        <v/>
      </c>
      <c r="DK799" s="146" t="str">
        <f>IF(W799&lt;&gt;"AR","",DI799*(K799-AB799)+'Fuel Sub Calcs-Deemed'!DJ799*((K799-AB799)/INDEX('Device Refrigerant Leakage'!$C$2:$C$42,MATCH('Fuel Sub Calcs-Deemed'!X799,'Device Refrigerant Leakage'!$B$2:$B$42,0))))</f>
        <v/>
      </c>
      <c r="DM799" s="56">
        <v>785</v>
      </c>
      <c r="DN799" s="67" t="e">
        <f t="shared" si="942"/>
        <v>#N/A</v>
      </c>
      <c r="DO799" s="45" t="e">
        <f t="shared" si="943"/>
        <v>#N/A</v>
      </c>
      <c r="DP799" s="67" t="e">
        <f t="shared" si="944"/>
        <v>#N/A</v>
      </c>
      <c r="DQ799" s="45" t="e">
        <f t="shared" si="945"/>
        <v>#N/A</v>
      </c>
      <c r="DR799" s="69" t="e">
        <f t="shared" si="946"/>
        <v>#N/A</v>
      </c>
      <c r="DS799" s="34"/>
      <c r="DT799" s="67" t="e">
        <f>((BX799*CJ799)+IF($W799=MAT_AR,(BZ799*CL799),0))*(1+Reference!$E$50+Reference!$E$51)</f>
        <v>#N/A</v>
      </c>
      <c r="DU799" s="67">
        <f>((BY799*CK799)+IF($W799=MAT_AR,(CA799*CM799),0))*(1+Reference!$G$50+Reference!$G$51)</f>
        <v>0</v>
      </c>
      <c r="DV799" s="67" t="e">
        <f t="shared" si="947"/>
        <v>#VALUE!</v>
      </c>
      <c r="DX799" s="56">
        <v>785</v>
      </c>
      <c r="DY799" s="67">
        <f t="shared" si="948"/>
        <v>0</v>
      </c>
      <c r="DZ799" s="45" t="e">
        <f>VLOOKUP($R799,Dropdown!$C$3:$D$4,2,FALSE)</f>
        <v>#N/A</v>
      </c>
      <c r="EA799" s="68">
        <f t="shared" si="949"/>
        <v>0</v>
      </c>
      <c r="EB799" s="68" t="str">
        <f t="shared" si="950"/>
        <v>N/A</v>
      </c>
      <c r="EC799" s="68">
        <f t="shared" si="951"/>
        <v>0</v>
      </c>
      <c r="ED799" s="68" t="str">
        <f t="shared" si="989"/>
        <v>N/A</v>
      </c>
      <c r="EF799" s="56">
        <v>785</v>
      </c>
      <c r="EG799" s="46">
        <f t="shared" si="952"/>
        <v>0</v>
      </c>
      <c r="EH799" s="68" t="e">
        <f t="shared" si="953"/>
        <v>#N/A</v>
      </c>
      <c r="EI799" s="68" t="e">
        <f t="shared" si="954"/>
        <v>#N/A</v>
      </c>
      <c r="EJ799" s="68" t="e">
        <f t="shared" si="955"/>
        <v>#N/A</v>
      </c>
      <c r="EK799" s="68" t="e">
        <f t="shared" si="956"/>
        <v>#N/A</v>
      </c>
      <c r="EL799" s="46">
        <f t="shared" si="957"/>
        <v>0</v>
      </c>
      <c r="EM799" s="46">
        <f t="shared" si="958"/>
        <v>0</v>
      </c>
    </row>
    <row r="800" spans="1:143">
      <c r="A800" s="89"/>
      <c r="B800" s="89"/>
      <c r="C800" s="89"/>
      <c r="D800" s="89"/>
      <c r="E800" s="89"/>
      <c r="F800" s="89"/>
      <c r="G800" s="34"/>
      <c r="H800" s="56">
        <f t="shared" si="959"/>
        <v>786</v>
      </c>
      <c r="I800" s="165"/>
      <c r="J800" s="163"/>
      <c r="K800" s="163"/>
      <c r="L800" s="164"/>
      <c r="M800" s="155"/>
      <c r="N800" s="155"/>
      <c r="O800" s="144"/>
      <c r="P800" s="159" t="str">
        <f>IFERROR(IF(O800&lt;&gt;"User Specified",IF(O800&lt;&gt;"", INDEX('Refrigerant GWPs'!$G$2:$G$154,MATCH(O800,'Refrigerant GWPs'!$A$2:$A$154,0)),""),U800),0)</f>
        <v/>
      </c>
      <c r="Q800" s="155"/>
      <c r="R800" s="155"/>
      <c r="S800" s="144"/>
      <c r="T800" s="159" t="str">
        <f>IF(S800&lt;&gt;"User Specified",IF(AND(S800&lt;&gt;"User Specified",S800&lt;&gt;""), INDEX('Refrigerant GWPs'!$G$2:$G$154,MATCH(S800,'Refrigerant GWPs'!$A$2:$A$154,0)),""),V800)</f>
        <v/>
      </c>
      <c r="U800" s="144"/>
      <c r="V800" s="144"/>
      <c r="W800" s="155"/>
      <c r="X800" s="155"/>
      <c r="Y800" s="144"/>
      <c r="Z800" s="159" t="str">
        <f>IF(AND(Y800&lt;&gt;"User Specified",Y800&lt;&gt;""), INDEX('Refrigerant GWPs'!$G$2:$G$154,MATCH(Y800,'Refrigerant GWPs'!$A$2:$A$154,0)),"")</f>
        <v/>
      </c>
      <c r="AA800" s="155"/>
      <c r="AB800" s="156"/>
      <c r="AC800" s="66"/>
      <c r="AD800" s="66"/>
      <c r="AE800" s="66"/>
      <c r="AF800" s="66"/>
      <c r="AG800" s="66"/>
      <c r="AH800" s="66"/>
      <c r="AI800" s="34"/>
      <c r="AJ800" s="88">
        <f t="shared" si="922"/>
        <v>0</v>
      </c>
      <c r="AK800" s="88">
        <f t="shared" si="923"/>
        <v>0</v>
      </c>
      <c r="AL800" s="88">
        <v>0</v>
      </c>
      <c r="AM800" s="88">
        <v>0</v>
      </c>
      <c r="AN800" s="81" t="str">
        <f t="shared" si="961"/>
        <v/>
      </c>
      <c r="AO800" s="88">
        <f t="shared" si="924"/>
        <v>0</v>
      </c>
      <c r="AP800" s="88">
        <f t="shared" si="925"/>
        <v>0</v>
      </c>
      <c r="AQ800" s="81" t="str">
        <f t="shared" si="926"/>
        <v/>
      </c>
      <c r="AS800" s="41" t="b">
        <f t="shared" si="927"/>
        <v>1</v>
      </c>
      <c r="AT800" s="38">
        <f t="shared" si="928"/>
        <v>0</v>
      </c>
      <c r="AU800" s="60">
        <f t="shared" si="929"/>
        <v>0</v>
      </c>
      <c r="AV800" s="41">
        <f t="shared" si="930"/>
        <v>0</v>
      </c>
      <c r="AW800" s="41" t="b">
        <f t="shared" si="931"/>
        <v>0</v>
      </c>
      <c r="AX800" t="str">
        <f t="shared" si="932"/>
        <v>+00</v>
      </c>
      <c r="AY800" t="str">
        <f t="shared" si="933"/>
        <v>+00</v>
      </c>
      <c r="BA800" s="47" t="b">
        <f t="shared" si="962"/>
        <v>1</v>
      </c>
      <c r="BB800" s="42" t="b">
        <f t="shared" si="963"/>
        <v>1</v>
      </c>
      <c r="BC800" s="42" t="b">
        <f t="shared" si="964"/>
        <v>0</v>
      </c>
      <c r="BD800" s="42" t="b">
        <f t="shared" si="965"/>
        <v>0</v>
      </c>
      <c r="BE800" s="70">
        <f t="shared" si="966"/>
        <v>0</v>
      </c>
      <c r="BF800" s="70">
        <f t="shared" si="967"/>
        <v>0</v>
      </c>
      <c r="BG800" s="34"/>
      <c r="BI800" s="47" t="b">
        <f t="shared" si="968"/>
        <v>1</v>
      </c>
      <c r="BJ800" s="47" t="b">
        <f t="shared" si="969"/>
        <v>1</v>
      </c>
      <c r="BK800" s="42" t="b">
        <f t="shared" si="970"/>
        <v>0</v>
      </c>
      <c r="BL800" s="42" t="b">
        <f t="shared" si="971"/>
        <v>0</v>
      </c>
      <c r="BM800" s="42">
        <f t="shared" si="972"/>
        <v>0</v>
      </c>
      <c r="BN800" s="42">
        <f t="shared" si="973"/>
        <v>0</v>
      </c>
      <c r="BP800" t="e">
        <f t="shared" si="974"/>
        <v>#N/A</v>
      </c>
      <c r="BQ800" t="e">
        <f t="shared" si="975"/>
        <v>#N/A</v>
      </c>
      <c r="BR800" t="e">
        <f t="shared" si="976"/>
        <v>#N/A</v>
      </c>
      <c r="BT800" s="60">
        <f t="shared" si="977"/>
        <v>0</v>
      </c>
      <c r="BU800" s="60">
        <f t="shared" si="978"/>
        <v>0</v>
      </c>
      <c r="BV800" s="60">
        <f t="shared" si="979"/>
        <v>0</v>
      </c>
      <c r="BW800" s="60">
        <f t="shared" si="980"/>
        <v>0</v>
      </c>
      <c r="BX800" s="60">
        <f t="shared" si="981"/>
        <v>0</v>
      </c>
      <c r="BY800" s="60">
        <f t="shared" si="982"/>
        <v>0</v>
      </c>
      <c r="BZ800" s="60">
        <f t="shared" si="983"/>
        <v>0</v>
      </c>
      <c r="CA800" s="60">
        <f t="shared" si="984"/>
        <v>0</v>
      </c>
      <c r="CB800" s="60" t="e">
        <f t="shared" si="934"/>
        <v>#N/A</v>
      </c>
      <c r="CC800" s="60">
        <f t="shared" si="935"/>
        <v>100000</v>
      </c>
      <c r="CD800" s="60" t="e">
        <f t="shared" si="936"/>
        <v>#N/A</v>
      </c>
      <c r="CE800" s="60">
        <f t="shared" si="937"/>
        <v>100000</v>
      </c>
      <c r="CF800" s="83" t="e">
        <f t="shared" si="985"/>
        <v>#N/A</v>
      </c>
      <c r="CG800" s="83">
        <f t="shared" si="986"/>
        <v>0</v>
      </c>
      <c r="CH800" s="83" t="e">
        <f t="shared" si="987"/>
        <v>#N/A</v>
      </c>
      <c r="CI800" s="83">
        <f t="shared" si="988"/>
        <v>0</v>
      </c>
      <c r="CJ800" s="86" t="e">
        <f t="shared" si="938"/>
        <v>#N/A</v>
      </c>
      <c r="CK800" s="82">
        <f t="shared" si="939"/>
        <v>5.3070370403969858E-3</v>
      </c>
      <c r="CL800" s="82" t="e">
        <f t="shared" si="940"/>
        <v>#N/A</v>
      </c>
      <c r="CM800" s="82">
        <f t="shared" si="941"/>
        <v>5.3070370403969858E-3</v>
      </c>
      <c r="CO800" s="149" t="str">
        <f>IF($I800&lt;&gt;"",IF(O800="User Specified",U800,INDEX('Refrigerant GWPs'!$G$2:$G$156,MATCH(O800,'Refrigerant GWPs'!$A$2:$A$156,0))),"")</f>
        <v/>
      </c>
      <c r="CP800" s="138" t="str">
        <f>IF($I800&lt;&gt;"",INDEX('Device Refrigerant Leakage'!$E$2:$E$42,MATCH($M800,'Device Refrigerant Leakage'!$B$2:$B$42,0)),"")</f>
        <v/>
      </c>
      <c r="CQ800" s="138" t="str">
        <f>IF($I800&lt;&gt;"",INDEX('Device Refrigerant Leakage'!$F$2:$F$42,MATCH($M800,'Device Refrigerant Leakage'!$B$2:$B$42,0)),"")</f>
        <v/>
      </c>
      <c r="CR800" s="145" t="str">
        <f>IF($I800&lt;&gt;"",INDEX('Device Refrigerant Leakage'!$G$2:$G$42,MATCH($M800,'Device Refrigerant Leakage'!$B$2:$B$42,0)),"")</f>
        <v/>
      </c>
      <c r="CS800" s="145" t="str">
        <f>IF($I800&lt;&gt;"",INDEX('Device Refrigerant Leakage'!$D$2:$D$42,MATCH($M800,'Device Refrigerant Leakage'!$B$2:$B$42,0))*CP800/2204.62*CO800,"")</f>
        <v/>
      </c>
      <c r="CT800" s="145" t="str">
        <f>IF($I800&lt;&gt;"",J800*(INDEX('Device Refrigerant Leakage'!$D$2:$D$42,MATCH($M800,'Device Refrigerant Leakage'!$B$2:$B$42,0))-(INDEX('Device Refrigerant Leakage'!$D$2:$D$42,MATCH($M800,'Device Refrigerant Leakage'!$B$2:$B$42,0)))*CR800*CP800)*CQ800/2204.62*CO800,"")</f>
        <v/>
      </c>
      <c r="CU800" s="135" t="str">
        <f>IF($I800&lt;&gt;"",J800*IF(W800&lt;&gt;"AR",(CS800*K800)+CT800,(CS800*AB800)+CT800*(AB800/INDEX('Device Refrigerant Leakage'!$C$2:$C$42,MATCH($M800,'Device Refrigerant Leakage'!$B$2:$B$42,0)))),"")</f>
        <v/>
      </c>
      <c r="CW800" s="135" t="str">
        <f>IF($I800&lt;&gt;"",IF(S800="User Specified",V800,INDEX('Refrigerant GWPs'!$G$2:$G$156,MATCH(S800,'Refrigerant GWPs'!$A$2:$A$157,0))),"")</f>
        <v/>
      </c>
      <c r="CX800" s="138" t="str">
        <f>IF($I800&lt;&gt;"",INDEX('Device Refrigerant Leakage'!$E$2:$E$42,MATCH($Q800,'Device Refrigerant Leakage'!$B$2:$B$42,0)),"")</f>
        <v/>
      </c>
      <c r="CY800" s="138" t="str">
        <f>IF($I800&lt;&gt;"",INDEX('Device Refrigerant Leakage'!$F$2:$F$42,MATCH($Q800,'Device Refrigerant Leakage'!$B$2:$B$42,0)),"")</f>
        <v/>
      </c>
      <c r="CZ800" s="145" t="str">
        <f>IF($I800&lt;&gt;"",INDEX('Device Refrigerant Leakage'!$G$2:$G$42,MATCH($Q800,'Device Refrigerant Leakage'!$B$2:$B$42,0)),"")</f>
        <v/>
      </c>
      <c r="DA800" s="145" t="str">
        <f>IF($I800&lt;&gt;"",J800*INDEX('Device Refrigerant Leakage'!$D$2:$D$42,MATCH($Q800,'Device Refrigerant Leakage'!$B$2:$B$42,0))*CX800/2204.62*CW800,"")</f>
        <v/>
      </c>
      <c r="DB800" s="145" t="str">
        <f>IF($I800&lt;&gt;"",J800*(INDEX('Device Refrigerant Leakage'!$D$2:$D$42,MATCH($Q800,'Device Refrigerant Leakage'!$B$2:$B$42,0))-(INDEX('Device Refrigerant Leakage'!$D$2:$D$42,MATCH($Q800,'Device Refrigerant Leakage'!$B$2:$B$42,0)))*CZ800*CX800)*CY800/2204.62*CW800,"")</f>
        <v/>
      </c>
      <c r="DC800" s="135" t="str">
        <f t="shared" si="960"/>
        <v/>
      </c>
      <c r="DE800" s="146" t="str">
        <f>IF(W800&lt;&gt;"AR","",IF(Y800="User Specified", AA800, INDEX('Refrigerant GWPs'!$G$2:$G$154,MATCH(Y800,'Refrigerant GWPs'!$A$2:$A$154,0))))</f>
        <v/>
      </c>
      <c r="DF800" s="146" t="str">
        <f>IF(W800&lt;&gt;"AR","",INDEX('Device Refrigerant Leakage'!$E$2:$E$42,MATCH(X800,'Device Refrigerant Leakage'!$B$2:$B$42,0)))</f>
        <v/>
      </c>
      <c r="DG800" s="146" t="str">
        <f>IF(W800&lt;&gt;"AR","",INDEX('Device Refrigerant Leakage'!$F$2:$F$42,MATCH(X800,'Device Refrigerant Leakage'!$B$2:$B$42,0)))</f>
        <v/>
      </c>
      <c r="DH800" s="146" t="str">
        <f>IF(W800&lt;&gt;"AR","",INDEX('Device Refrigerant Leakage'!$G$2:$G$42,MATCH(X800,'Device Refrigerant Leakage'!$B$2:$B$42,0)))</f>
        <v/>
      </c>
      <c r="DI800" s="146" t="str">
        <f>IF(W800&lt;&gt;"AR","",J800*INDEX('Device Refrigerant Leakage'!$D$2:$D$42,MATCH(X800,'Device Refrigerant Leakage'!$B$2:$B$42,0))*DF800/2204.62*DE800)</f>
        <v/>
      </c>
      <c r="DJ800" s="146" t="str">
        <f>IF(W800&lt;&gt;"AR","",J800*(INDEX('Device Refrigerant Leakage'!$D$2:$D$42,MATCH(X800,'Device Refrigerant Leakage'!$B$2:$B$42,0))-(INDEX('Device Refrigerant Leakage'!$D$2:$D$42,MATCH(X800,'Device Refrigerant Leakage'!$B$2:$B$42,0)))*DH800*DF800)*DG800/2204.62*DE800)</f>
        <v/>
      </c>
      <c r="DK800" s="146" t="str">
        <f>IF(W800&lt;&gt;"AR","",DI800*(K800-AB800)+'Fuel Sub Calcs-Deemed'!DJ800*((K800-AB800)/INDEX('Device Refrigerant Leakage'!$C$2:$C$42,MATCH('Fuel Sub Calcs-Deemed'!X800,'Device Refrigerant Leakage'!$B$2:$B$42,0))))</f>
        <v/>
      </c>
      <c r="DM800" s="56">
        <v>786</v>
      </c>
      <c r="DN800" s="67" t="e">
        <f t="shared" si="942"/>
        <v>#N/A</v>
      </c>
      <c r="DO800" s="45" t="e">
        <f t="shared" si="943"/>
        <v>#N/A</v>
      </c>
      <c r="DP800" s="67" t="e">
        <f t="shared" si="944"/>
        <v>#N/A</v>
      </c>
      <c r="DQ800" s="45" t="e">
        <f t="shared" si="945"/>
        <v>#N/A</v>
      </c>
      <c r="DR800" s="69" t="e">
        <f t="shared" si="946"/>
        <v>#N/A</v>
      </c>
      <c r="DS800" s="34"/>
      <c r="DT800" s="67" t="e">
        <f>((BX800*CJ800)+IF($W800=MAT_AR,(BZ800*CL800),0))*(1+Reference!$E$50+Reference!$E$51)</f>
        <v>#N/A</v>
      </c>
      <c r="DU800" s="67">
        <f>((BY800*CK800)+IF($W800=MAT_AR,(CA800*CM800),0))*(1+Reference!$G$50+Reference!$G$51)</f>
        <v>0</v>
      </c>
      <c r="DV800" s="67" t="e">
        <f t="shared" si="947"/>
        <v>#VALUE!</v>
      </c>
      <c r="DX800" s="56">
        <v>786</v>
      </c>
      <c r="DY800" s="67">
        <f t="shared" si="948"/>
        <v>0</v>
      </c>
      <c r="DZ800" s="45" t="e">
        <f>VLOOKUP($R800,Dropdown!$C$3:$D$4,2,FALSE)</f>
        <v>#N/A</v>
      </c>
      <c r="EA800" s="68">
        <f t="shared" si="949"/>
        <v>0</v>
      </c>
      <c r="EB800" s="68" t="str">
        <f t="shared" si="950"/>
        <v>N/A</v>
      </c>
      <c r="EC800" s="68">
        <f t="shared" si="951"/>
        <v>0</v>
      </c>
      <c r="ED800" s="68" t="str">
        <f t="shared" si="989"/>
        <v>N/A</v>
      </c>
      <c r="EF800" s="56">
        <v>786</v>
      </c>
      <c r="EG800" s="46">
        <f t="shared" si="952"/>
        <v>0</v>
      </c>
      <c r="EH800" s="68" t="e">
        <f t="shared" si="953"/>
        <v>#N/A</v>
      </c>
      <c r="EI800" s="68" t="e">
        <f t="shared" si="954"/>
        <v>#N/A</v>
      </c>
      <c r="EJ800" s="68" t="e">
        <f t="shared" si="955"/>
        <v>#N/A</v>
      </c>
      <c r="EK800" s="68" t="e">
        <f t="shared" si="956"/>
        <v>#N/A</v>
      </c>
      <c r="EL800" s="46">
        <f t="shared" si="957"/>
        <v>0</v>
      </c>
      <c r="EM800" s="46">
        <f t="shared" si="958"/>
        <v>0</v>
      </c>
    </row>
    <row r="801" spans="1:143">
      <c r="A801" s="89"/>
      <c r="B801" s="89"/>
      <c r="C801" s="89"/>
      <c r="D801" s="89"/>
      <c r="E801" s="89"/>
      <c r="F801" s="89"/>
      <c r="G801" s="34"/>
      <c r="H801" s="56">
        <f t="shared" si="959"/>
        <v>787</v>
      </c>
      <c r="I801" s="165"/>
      <c r="J801" s="163"/>
      <c r="K801" s="163"/>
      <c r="L801" s="164"/>
      <c r="M801" s="155"/>
      <c r="N801" s="155"/>
      <c r="O801" s="144"/>
      <c r="P801" s="159" t="str">
        <f>IFERROR(IF(O801&lt;&gt;"User Specified",IF(O801&lt;&gt;"", INDEX('Refrigerant GWPs'!$G$2:$G$154,MATCH(O801,'Refrigerant GWPs'!$A$2:$A$154,0)),""),U801),0)</f>
        <v/>
      </c>
      <c r="Q801" s="155"/>
      <c r="R801" s="155"/>
      <c r="S801" s="144"/>
      <c r="T801" s="159" t="str">
        <f>IF(S801&lt;&gt;"User Specified",IF(AND(S801&lt;&gt;"User Specified",S801&lt;&gt;""), INDEX('Refrigerant GWPs'!$G$2:$G$154,MATCH(S801,'Refrigerant GWPs'!$A$2:$A$154,0)),""),V801)</f>
        <v/>
      </c>
      <c r="U801" s="144"/>
      <c r="V801" s="144"/>
      <c r="W801" s="155"/>
      <c r="X801" s="155"/>
      <c r="Y801" s="144"/>
      <c r="Z801" s="159" t="str">
        <f>IF(AND(Y801&lt;&gt;"User Specified",Y801&lt;&gt;""), INDEX('Refrigerant GWPs'!$G$2:$G$154,MATCH(Y801,'Refrigerant GWPs'!$A$2:$A$154,0)),"")</f>
        <v/>
      </c>
      <c r="AA801" s="155"/>
      <c r="AB801" s="156"/>
      <c r="AC801" s="66"/>
      <c r="AD801" s="66"/>
      <c r="AE801" s="66"/>
      <c r="AF801" s="66"/>
      <c r="AG801" s="66"/>
      <c r="AH801" s="66"/>
      <c r="AI801" s="34"/>
      <c r="AJ801" s="88">
        <f t="shared" si="922"/>
        <v>0</v>
      </c>
      <c r="AK801" s="88">
        <f t="shared" si="923"/>
        <v>0</v>
      </c>
      <c r="AL801" s="88">
        <v>0</v>
      </c>
      <c r="AM801" s="88">
        <v>0</v>
      </c>
      <c r="AN801" s="81" t="str">
        <f t="shared" si="961"/>
        <v/>
      </c>
      <c r="AO801" s="88">
        <f t="shared" si="924"/>
        <v>0</v>
      </c>
      <c r="AP801" s="88">
        <f t="shared" si="925"/>
        <v>0</v>
      </c>
      <c r="AQ801" s="81" t="str">
        <f t="shared" si="926"/>
        <v/>
      </c>
      <c r="AS801" s="41" t="b">
        <f t="shared" si="927"/>
        <v>1</v>
      </c>
      <c r="AT801" s="38">
        <f t="shared" si="928"/>
        <v>0</v>
      </c>
      <c r="AU801" s="60">
        <f t="shared" si="929"/>
        <v>0</v>
      </c>
      <c r="AV801" s="41">
        <f t="shared" si="930"/>
        <v>0</v>
      </c>
      <c r="AW801" s="41" t="b">
        <f t="shared" si="931"/>
        <v>0</v>
      </c>
      <c r="AX801" t="str">
        <f t="shared" si="932"/>
        <v>+00</v>
      </c>
      <c r="AY801" t="str">
        <f t="shared" si="933"/>
        <v>+00</v>
      </c>
      <c r="BA801" s="47" t="b">
        <f t="shared" si="962"/>
        <v>1</v>
      </c>
      <c r="BB801" s="42" t="b">
        <f t="shared" si="963"/>
        <v>1</v>
      </c>
      <c r="BC801" s="42" t="b">
        <f t="shared" si="964"/>
        <v>0</v>
      </c>
      <c r="BD801" s="42" t="b">
        <f t="shared" si="965"/>
        <v>0</v>
      </c>
      <c r="BE801" s="70">
        <f t="shared" si="966"/>
        <v>0</v>
      </c>
      <c r="BF801" s="70">
        <f t="shared" si="967"/>
        <v>0</v>
      </c>
      <c r="BG801" s="34"/>
      <c r="BI801" s="47" t="b">
        <f t="shared" si="968"/>
        <v>1</v>
      </c>
      <c r="BJ801" s="47" t="b">
        <f t="shared" si="969"/>
        <v>1</v>
      </c>
      <c r="BK801" s="42" t="b">
        <f t="shared" si="970"/>
        <v>0</v>
      </c>
      <c r="BL801" s="42" t="b">
        <f t="shared" si="971"/>
        <v>0</v>
      </c>
      <c r="BM801" s="42">
        <f t="shared" si="972"/>
        <v>0</v>
      </c>
      <c r="BN801" s="42">
        <f t="shared" si="973"/>
        <v>0</v>
      </c>
      <c r="BP801" t="e">
        <f t="shared" si="974"/>
        <v>#N/A</v>
      </c>
      <c r="BQ801" t="e">
        <f t="shared" si="975"/>
        <v>#N/A</v>
      </c>
      <c r="BR801" t="e">
        <f t="shared" si="976"/>
        <v>#N/A</v>
      </c>
      <c r="BT801" s="60">
        <f t="shared" si="977"/>
        <v>0</v>
      </c>
      <c r="BU801" s="60">
        <f t="shared" si="978"/>
        <v>0</v>
      </c>
      <c r="BV801" s="60">
        <f t="shared" si="979"/>
        <v>0</v>
      </c>
      <c r="BW801" s="60">
        <f t="shared" si="980"/>
        <v>0</v>
      </c>
      <c r="BX801" s="60">
        <f t="shared" si="981"/>
        <v>0</v>
      </c>
      <c r="BY801" s="60">
        <f t="shared" si="982"/>
        <v>0</v>
      </c>
      <c r="BZ801" s="60">
        <f t="shared" si="983"/>
        <v>0</v>
      </c>
      <c r="CA801" s="60">
        <f t="shared" si="984"/>
        <v>0</v>
      </c>
      <c r="CB801" s="60" t="e">
        <f t="shared" si="934"/>
        <v>#N/A</v>
      </c>
      <c r="CC801" s="60">
        <f t="shared" si="935"/>
        <v>100000</v>
      </c>
      <c r="CD801" s="60" t="e">
        <f t="shared" si="936"/>
        <v>#N/A</v>
      </c>
      <c r="CE801" s="60">
        <f t="shared" si="937"/>
        <v>100000</v>
      </c>
      <c r="CF801" s="83" t="e">
        <f t="shared" si="985"/>
        <v>#N/A</v>
      </c>
      <c r="CG801" s="83">
        <f t="shared" si="986"/>
        <v>0</v>
      </c>
      <c r="CH801" s="83" t="e">
        <f t="shared" si="987"/>
        <v>#N/A</v>
      </c>
      <c r="CI801" s="83">
        <f t="shared" si="988"/>
        <v>0</v>
      </c>
      <c r="CJ801" s="86" t="e">
        <f t="shared" si="938"/>
        <v>#N/A</v>
      </c>
      <c r="CK801" s="82">
        <f t="shared" si="939"/>
        <v>5.3070370403969858E-3</v>
      </c>
      <c r="CL801" s="82" t="e">
        <f t="shared" si="940"/>
        <v>#N/A</v>
      </c>
      <c r="CM801" s="82">
        <f t="shared" si="941"/>
        <v>5.3070370403969858E-3</v>
      </c>
      <c r="CO801" s="149" t="str">
        <f>IF($I801&lt;&gt;"",IF(O801="User Specified",U801,INDEX('Refrigerant GWPs'!$G$2:$G$156,MATCH(O801,'Refrigerant GWPs'!$A$2:$A$156,0))),"")</f>
        <v/>
      </c>
      <c r="CP801" s="138" t="str">
        <f>IF($I801&lt;&gt;"",INDEX('Device Refrigerant Leakage'!$E$2:$E$42,MATCH($M801,'Device Refrigerant Leakage'!$B$2:$B$42,0)),"")</f>
        <v/>
      </c>
      <c r="CQ801" s="138" t="str">
        <f>IF($I801&lt;&gt;"",INDEX('Device Refrigerant Leakage'!$F$2:$F$42,MATCH($M801,'Device Refrigerant Leakage'!$B$2:$B$42,0)),"")</f>
        <v/>
      </c>
      <c r="CR801" s="145" t="str">
        <f>IF($I801&lt;&gt;"",INDEX('Device Refrigerant Leakage'!$G$2:$G$42,MATCH($M801,'Device Refrigerant Leakage'!$B$2:$B$42,0)),"")</f>
        <v/>
      </c>
      <c r="CS801" s="145" t="str">
        <f>IF($I801&lt;&gt;"",INDEX('Device Refrigerant Leakage'!$D$2:$D$42,MATCH($M801,'Device Refrigerant Leakage'!$B$2:$B$42,0))*CP801/2204.62*CO801,"")</f>
        <v/>
      </c>
      <c r="CT801" s="145" t="str">
        <f>IF($I801&lt;&gt;"",J801*(INDEX('Device Refrigerant Leakage'!$D$2:$D$42,MATCH($M801,'Device Refrigerant Leakage'!$B$2:$B$42,0))-(INDEX('Device Refrigerant Leakage'!$D$2:$D$42,MATCH($M801,'Device Refrigerant Leakage'!$B$2:$B$42,0)))*CR801*CP801)*CQ801/2204.62*CO801,"")</f>
        <v/>
      </c>
      <c r="CU801" s="135" t="str">
        <f>IF($I801&lt;&gt;"",J801*IF(W801&lt;&gt;"AR",(CS801*K801)+CT801,(CS801*AB801)+CT801*(AB801/INDEX('Device Refrigerant Leakage'!$C$2:$C$42,MATCH($M801,'Device Refrigerant Leakage'!$B$2:$B$42,0)))),"")</f>
        <v/>
      </c>
      <c r="CW801" s="135" t="str">
        <f>IF($I801&lt;&gt;"",IF(S801="User Specified",V801,INDEX('Refrigerant GWPs'!$G$2:$G$156,MATCH(S801,'Refrigerant GWPs'!$A$2:$A$157,0))),"")</f>
        <v/>
      </c>
      <c r="CX801" s="138" t="str">
        <f>IF($I801&lt;&gt;"",INDEX('Device Refrigerant Leakage'!$E$2:$E$42,MATCH($Q801,'Device Refrigerant Leakage'!$B$2:$B$42,0)),"")</f>
        <v/>
      </c>
      <c r="CY801" s="138" t="str">
        <f>IF($I801&lt;&gt;"",INDEX('Device Refrigerant Leakage'!$F$2:$F$42,MATCH($Q801,'Device Refrigerant Leakage'!$B$2:$B$42,0)),"")</f>
        <v/>
      </c>
      <c r="CZ801" s="145" t="str">
        <f>IF($I801&lt;&gt;"",INDEX('Device Refrigerant Leakage'!$G$2:$G$42,MATCH($Q801,'Device Refrigerant Leakage'!$B$2:$B$42,0)),"")</f>
        <v/>
      </c>
      <c r="DA801" s="145" t="str">
        <f>IF($I801&lt;&gt;"",J801*INDEX('Device Refrigerant Leakage'!$D$2:$D$42,MATCH($Q801,'Device Refrigerant Leakage'!$B$2:$B$42,0))*CX801/2204.62*CW801,"")</f>
        <v/>
      </c>
      <c r="DB801" s="145" t="str">
        <f>IF($I801&lt;&gt;"",J801*(INDEX('Device Refrigerant Leakage'!$D$2:$D$42,MATCH($Q801,'Device Refrigerant Leakage'!$B$2:$B$42,0))-(INDEX('Device Refrigerant Leakage'!$D$2:$D$42,MATCH($Q801,'Device Refrigerant Leakage'!$B$2:$B$42,0)))*CZ801*CX801)*CY801/2204.62*CW801,"")</f>
        <v/>
      </c>
      <c r="DC801" s="135" t="str">
        <f t="shared" si="960"/>
        <v/>
      </c>
      <c r="DE801" s="146" t="str">
        <f>IF(W801&lt;&gt;"AR","",IF(Y801="User Specified", AA801, INDEX('Refrigerant GWPs'!$G$2:$G$154,MATCH(Y801,'Refrigerant GWPs'!$A$2:$A$154,0))))</f>
        <v/>
      </c>
      <c r="DF801" s="146" t="str">
        <f>IF(W801&lt;&gt;"AR","",INDEX('Device Refrigerant Leakage'!$E$2:$E$42,MATCH(X801,'Device Refrigerant Leakage'!$B$2:$B$42,0)))</f>
        <v/>
      </c>
      <c r="DG801" s="146" t="str">
        <f>IF(W801&lt;&gt;"AR","",INDEX('Device Refrigerant Leakage'!$F$2:$F$42,MATCH(X801,'Device Refrigerant Leakage'!$B$2:$B$42,0)))</f>
        <v/>
      </c>
      <c r="DH801" s="146" t="str">
        <f>IF(W801&lt;&gt;"AR","",INDEX('Device Refrigerant Leakage'!$G$2:$G$42,MATCH(X801,'Device Refrigerant Leakage'!$B$2:$B$42,0)))</f>
        <v/>
      </c>
      <c r="DI801" s="146" t="str">
        <f>IF(W801&lt;&gt;"AR","",J801*INDEX('Device Refrigerant Leakage'!$D$2:$D$42,MATCH(X801,'Device Refrigerant Leakage'!$B$2:$B$42,0))*DF801/2204.62*DE801)</f>
        <v/>
      </c>
      <c r="DJ801" s="146" t="str">
        <f>IF(W801&lt;&gt;"AR","",J801*(INDEX('Device Refrigerant Leakage'!$D$2:$D$42,MATCH(X801,'Device Refrigerant Leakage'!$B$2:$B$42,0))-(INDEX('Device Refrigerant Leakage'!$D$2:$D$42,MATCH(X801,'Device Refrigerant Leakage'!$B$2:$B$42,0)))*DH801*DF801)*DG801/2204.62*DE801)</f>
        <v/>
      </c>
      <c r="DK801" s="146" t="str">
        <f>IF(W801&lt;&gt;"AR","",DI801*(K801-AB801)+'Fuel Sub Calcs-Deemed'!DJ801*((K801-AB801)/INDEX('Device Refrigerant Leakage'!$C$2:$C$42,MATCH('Fuel Sub Calcs-Deemed'!X801,'Device Refrigerant Leakage'!$B$2:$B$42,0))))</f>
        <v/>
      </c>
      <c r="DM801" s="56">
        <v>787</v>
      </c>
      <c r="DN801" s="67" t="e">
        <f t="shared" si="942"/>
        <v>#N/A</v>
      </c>
      <c r="DO801" s="45" t="e">
        <f t="shared" si="943"/>
        <v>#N/A</v>
      </c>
      <c r="DP801" s="67" t="e">
        <f t="shared" si="944"/>
        <v>#N/A</v>
      </c>
      <c r="DQ801" s="45" t="e">
        <f t="shared" si="945"/>
        <v>#N/A</v>
      </c>
      <c r="DR801" s="69" t="e">
        <f t="shared" si="946"/>
        <v>#N/A</v>
      </c>
      <c r="DS801" s="34"/>
      <c r="DT801" s="67" t="e">
        <f>((BX801*CJ801)+IF($W801=MAT_AR,(BZ801*CL801),0))*(1+Reference!$E$50+Reference!$E$51)</f>
        <v>#N/A</v>
      </c>
      <c r="DU801" s="67">
        <f>((BY801*CK801)+IF($W801=MAT_AR,(CA801*CM801),0))*(1+Reference!$G$50+Reference!$G$51)</f>
        <v>0</v>
      </c>
      <c r="DV801" s="67" t="e">
        <f t="shared" si="947"/>
        <v>#VALUE!</v>
      </c>
      <c r="DX801" s="56">
        <v>787</v>
      </c>
      <c r="DY801" s="67">
        <f t="shared" si="948"/>
        <v>0</v>
      </c>
      <c r="DZ801" s="45" t="e">
        <f>VLOOKUP($R801,Dropdown!$C$3:$D$4,2,FALSE)</f>
        <v>#N/A</v>
      </c>
      <c r="EA801" s="68">
        <f t="shared" si="949"/>
        <v>0</v>
      </c>
      <c r="EB801" s="68" t="str">
        <f t="shared" si="950"/>
        <v>N/A</v>
      </c>
      <c r="EC801" s="68">
        <f t="shared" si="951"/>
        <v>0</v>
      </c>
      <c r="ED801" s="68" t="str">
        <f t="shared" si="989"/>
        <v>N/A</v>
      </c>
      <c r="EF801" s="56">
        <v>787</v>
      </c>
      <c r="EG801" s="46">
        <f t="shared" si="952"/>
        <v>0</v>
      </c>
      <c r="EH801" s="68" t="e">
        <f t="shared" si="953"/>
        <v>#N/A</v>
      </c>
      <c r="EI801" s="68" t="e">
        <f t="shared" si="954"/>
        <v>#N/A</v>
      </c>
      <c r="EJ801" s="68" t="e">
        <f t="shared" si="955"/>
        <v>#N/A</v>
      </c>
      <c r="EK801" s="68" t="e">
        <f t="shared" si="956"/>
        <v>#N/A</v>
      </c>
      <c r="EL801" s="46">
        <f t="shared" si="957"/>
        <v>0</v>
      </c>
      <c r="EM801" s="46">
        <f t="shared" si="958"/>
        <v>0</v>
      </c>
    </row>
    <row r="802" spans="1:143">
      <c r="A802" s="89"/>
      <c r="B802" s="89"/>
      <c r="C802" s="89"/>
      <c r="D802" s="89"/>
      <c r="E802" s="89"/>
      <c r="F802" s="89"/>
      <c r="G802" s="34"/>
      <c r="H802" s="56">
        <f t="shared" si="959"/>
        <v>788</v>
      </c>
      <c r="I802" s="165"/>
      <c r="J802" s="163"/>
      <c r="K802" s="163"/>
      <c r="L802" s="164"/>
      <c r="M802" s="155"/>
      <c r="N802" s="155"/>
      <c r="O802" s="144"/>
      <c r="P802" s="159" t="str">
        <f>IFERROR(IF(O802&lt;&gt;"User Specified",IF(O802&lt;&gt;"", INDEX('Refrigerant GWPs'!$G$2:$G$154,MATCH(O802,'Refrigerant GWPs'!$A$2:$A$154,0)),""),U802),0)</f>
        <v/>
      </c>
      <c r="Q802" s="155"/>
      <c r="R802" s="155"/>
      <c r="S802" s="144"/>
      <c r="T802" s="159" t="str">
        <f>IF(S802&lt;&gt;"User Specified",IF(AND(S802&lt;&gt;"User Specified",S802&lt;&gt;""), INDEX('Refrigerant GWPs'!$G$2:$G$154,MATCH(S802,'Refrigerant GWPs'!$A$2:$A$154,0)),""),V802)</f>
        <v/>
      </c>
      <c r="U802" s="144"/>
      <c r="V802" s="144"/>
      <c r="W802" s="155"/>
      <c r="X802" s="155"/>
      <c r="Y802" s="144"/>
      <c r="Z802" s="159" t="str">
        <f>IF(AND(Y802&lt;&gt;"User Specified",Y802&lt;&gt;""), INDEX('Refrigerant GWPs'!$G$2:$G$154,MATCH(Y802,'Refrigerant GWPs'!$A$2:$A$154,0)),"")</f>
        <v/>
      </c>
      <c r="AA802" s="155"/>
      <c r="AB802" s="156"/>
      <c r="AC802" s="66"/>
      <c r="AD802" s="66"/>
      <c r="AE802" s="66"/>
      <c r="AF802" s="66"/>
      <c r="AG802" s="66"/>
      <c r="AH802" s="66"/>
      <c r="AI802" s="34"/>
      <c r="AJ802" s="88">
        <f t="shared" si="922"/>
        <v>0</v>
      </c>
      <c r="AK802" s="88">
        <f t="shared" si="923"/>
        <v>0</v>
      </c>
      <c r="AL802" s="88">
        <v>0</v>
      </c>
      <c r="AM802" s="88">
        <v>0</v>
      </c>
      <c r="AN802" s="81" t="str">
        <f t="shared" si="961"/>
        <v/>
      </c>
      <c r="AO802" s="88">
        <f t="shared" si="924"/>
        <v>0</v>
      </c>
      <c r="AP802" s="88">
        <f t="shared" si="925"/>
        <v>0</v>
      </c>
      <c r="AQ802" s="81" t="str">
        <f t="shared" si="926"/>
        <v/>
      </c>
      <c r="AS802" s="41" t="b">
        <f t="shared" si="927"/>
        <v>1</v>
      </c>
      <c r="AT802" s="38">
        <f t="shared" si="928"/>
        <v>0</v>
      </c>
      <c r="AU802" s="60">
        <f t="shared" si="929"/>
        <v>0</v>
      </c>
      <c r="AV802" s="41">
        <f t="shared" si="930"/>
        <v>0</v>
      </c>
      <c r="AW802" s="41" t="b">
        <f t="shared" si="931"/>
        <v>0</v>
      </c>
      <c r="AX802" t="str">
        <f t="shared" si="932"/>
        <v>+00</v>
      </c>
      <c r="AY802" t="str">
        <f t="shared" si="933"/>
        <v>+00</v>
      </c>
      <c r="BA802" s="47" t="b">
        <f t="shared" si="962"/>
        <v>1</v>
      </c>
      <c r="BB802" s="42" t="b">
        <f t="shared" si="963"/>
        <v>1</v>
      </c>
      <c r="BC802" s="42" t="b">
        <f t="shared" si="964"/>
        <v>0</v>
      </c>
      <c r="BD802" s="42" t="b">
        <f t="shared" si="965"/>
        <v>0</v>
      </c>
      <c r="BE802" s="70">
        <f t="shared" si="966"/>
        <v>0</v>
      </c>
      <c r="BF802" s="70">
        <f t="shared" si="967"/>
        <v>0</v>
      </c>
      <c r="BG802" s="34"/>
      <c r="BI802" s="47" t="b">
        <f t="shared" si="968"/>
        <v>1</v>
      </c>
      <c r="BJ802" s="47" t="b">
        <f t="shared" si="969"/>
        <v>1</v>
      </c>
      <c r="BK802" s="42" t="b">
        <f t="shared" si="970"/>
        <v>0</v>
      </c>
      <c r="BL802" s="42" t="b">
        <f t="shared" si="971"/>
        <v>0</v>
      </c>
      <c r="BM802" s="42">
        <f t="shared" si="972"/>
        <v>0</v>
      </c>
      <c r="BN802" s="42">
        <f t="shared" si="973"/>
        <v>0</v>
      </c>
      <c r="BP802" t="e">
        <f t="shared" si="974"/>
        <v>#N/A</v>
      </c>
      <c r="BQ802" t="e">
        <f t="shared" si="975"/>
        <v>#N/A</v>
      </c>
      <c r="BR802" t="e">
        <f t="shared" si="976"/>
        <v>#N/A</v>
      </c>
      <c r="BT802" s="60">
        <f t="shared" si="977"/>
        <v>0</v>
      </c>
      <c r="BU802" s="60">
        <f t="shared" si="978"/>
        <v>0</v>
      </c>
      <c r="BV802" s="60">
        <f t="shared" si="979"/>
        <v>0</v>
      </c>
      <c r="BW802" s="60">
        <f t="shared" si="980"/>
        <v>0</v>
      </c>
      <c r="BX802" s="60">
        <f t="shared" si="981"/>
        <v>0</v>
      </c>
      <c r="BY802" s="60">
        <f t="shared" si="982"/>
        <v>0</v>
      </c>
      <c r="BZ802" s="60">
        <f t="shared" si="983"/>
        <v>0</v>
      </c>
      <c r="CA802" s="60">
        <f t="shared" si="984"/>
        <v>0</v>
      </c>
      <c r="CB802" s="60" t="e">
        <f t="shared" si="934"/>
        <v>#N/A</v>
      </c>
      <c r="CC802" s="60">
        <f t="shared" si="935"/>
        <v>100000</v>
      </c>
      <c r="CD802" s="60" t="e">
        <f t="shared" si="936"/>
        <v>#N/A</v>
      </c>
      <c r="CE802" s="60">
        <f t="shared" si="937"/>
        <v>100000</v>
      </c>
      <c r="CF802" s="83" t="e">
        <f t="shared" si="985"/>
        <v>#N/A</v>
      </c>
      <c r="CG802" s="83">
        <f t="shared" si="986"/>
        <v>0</v>
      </c>
      <c r="CH802" s="83" t="e">
        <f t="shared" si="987"/>
        <v>#N/A</v>
      </c>
      <c r="CI802" s="83">
        <f t="shared" si="988"/>
        <v>0</v>
      </c>
      <c r="CJ802" s="86" t="e">
        <f t="shared" si="938"/>
        <v>#N/A</v>
      </c>
      <c r="CK802" s="82">
        <f t="shared" si="939"/>
        <v>5.3070370403969858E-3</v>
      </c>
      <c r="CL802" s="82" t="e">
        <f t="shared" si="940"/>
        <v>#N/A</v>
      </c>
      <c r="CM802" s="82">
        <f t="shared" si="941"/>
        <v>5.3070370403969858E-3</v>
      </c>
      <c r="CO802" s="149" t="str">
        <f>IF($I802&lt;&gt;"",IF(O802="User Specified",U802,INDEX('Refrigerant GWPs'!$G$2:$G$156,MATCH(O802,'Refrigerant GWPs'!$A$2:$A$156,0))),"")</f>
        <v/>
      </c>
      <c r="CP802" s="138" t="str">
        <f>IF($I802&lt;&gt;"",INDEX('Device Refrigerant Leakage'!$E$2:$E$42,MATCH($M802,'Device Refrigerant Leakage'!$B$2:$B$42,0)),"")</f>
        <v/>
      </c>
      <c r="CQ802" s="138" t="str">
        <f>IF($I802&lt;&gt;"",INDEX('Device Refrigerant Leakage'!$F$2:$F$42,MATCH($M802,'Device Refrigerant Leakage'!$B$2:$B$42,0)),"")</f>
        <v/>
      </c>
      <c r="CR802" s="145" t="str">
        <f>IF($I802&lt;&gt;"",INDEX('Device Refrigerant Leakage'!$G$2:$G$42,MATCH($M802,'Device Refrigerant Leakage'!$B$2:$B$42,0)),"")</f>
        <v/>
      </c>
      <c r="CS802" s="145" t="str">
        <f>IF($I802&lt;&gt;"",INDEX('Device Refrigerant Leakage'!$D$2:$D$42,MATCH($M802,'Device Refrigerant Leakage'!$B$2:$B$42,0))*CP802/2204.62*CO802,"")</f>
        <v/>
      </c>
      <c r="CT802" s="145" t="str">
        <f>IF($I802&lt;&gt;"",J802*(INDEX('Device Refrigerant Leakage'!$D$2:$D$42,MATCH($M802,'Device Refrigerant Leakage'!$B$2:$B$42,0))-(INDEX('Device Refrigerant Leakage'!$D$2:$D$42,MATCH($M802,'Device Refrigerant Leakage'!$B$2:$B$42,0)))*CR802*CP802)*CQ802/2204.62*CO802,"")</f>
        <v/>
      </c>
      <c r="CU802" s="135" t="str">
        <f>IF($I802&lt;&gt;"",J802*IF(W802&lt;&gt;"AR",(CS802*K802)+CT802,(CS802*AB802)+CT802*(AB802/INDEX('Device Refrigerant Leakage'!$C$2:$C$42,MATCH($M802,'Device Refrigerant Leakage'!$B$2:$B$42,0)))),"")</f>
        <v/>
      </c>
      <c r="CW802" s="135" t="str">
        <f>IF($I802&lt;&gt;"",IF(S802="User Specified",V802,INDEX('Refrigerant GWPs'!$G$2:$G$156,MATCH(S802,'Refrigerant GWPs'!$A$2:$A$157,0))),"")</f>
        <v/>
      </c>
      <c r="CX802" s="138" t="str">
        <f>IF($I802&lt;&gt;"",INDEX('Device Refrigerant Leakage'!$E$2:$E$42,MATCH($Q802,'Device Refrigerant Leakage'!$B$2:$B$42,0)),"")</f>
        <v/>
      </c>
      <c r="CY802" s="138" t="str">
        <f>IF($I802&lt;&gt;"",INDEX('Device Refrigerant Leakage'!$F$2:$F$42,MATCH($Q802,'Device Refrigerant Leakage'!$B$2:$B$42,0)),"")</f>
        <v/>
      </c>
      <c r="CZ802" s="145" t="str">
        <f>IF($I802&lt;&gt;"",INDEX('Device Refrigerant Leakage'!$G$2:$G$42,MATCH($Q802,'Device Refrigerant Leakage'!$B$2:$B$42,0)),"")</f>
        <v/>
      </c>
      <c r="DA802" s="145" t="str">
        <f>IF($I802&lt;&gt;"",J802*INDEX('Device Refrigerant Leakage'!$D$2:$D$42,MATCH($Q802,'Device Refrigerant Leakage'!$B$2:$B$42,0))*CX802/2204.62*CW802,"")</f>
        <v/>
      </c>
      <c r="DB802" s="145" t="str">
        <f>IF($I802&lt;&gt;"",J802*(INDEX('Device Refrigerant Leakage'!$D$2:$D$42,MATCH($Q802,'Device Refrigerant Leakage'!$B$2:$B$42,0))-(INDEX('Device Refrigerant Leakage'!$D$2:$D$42,MATCH($Q802,'Device Refrigerant Leakage'!$B$2:$B$42,0)))*CZ802*CX802)*CY802/2204.62*CW802,"")</f>
        <v/>
      </c>
      <c r="DC802" s="135" t="str">
        <f t="shared" si="960"/>
        <v/>
      </c>
      <c r="DE802" s="146" t="str">
        <f>IF(W802&lt;&gt;"AR","",IF(Y802="User Specified", AA802, INDEX('Refrigerant GWPs'!$G$2:$G$154,MATCH(Y802,'Refrigerant GWPs'!$A$2:$A$154,0))))</f>
        <v/>
      </c>
      <c r="DF802" s="146" t="str">
        <f>IF(W802&lt;&gt;"AR","",INDEX('Device Refrigerant Leakage'!$E$2:$E$42,MATCH(X802,'Device Refrigerant Leakage'!$B$2:$B$42,0)))</f>
        <v/>
      </c>
      <c r="DG802" s="146" t="str">
        <f>IF(W802&lt;&gt;"AR","",INDEX('Device Refrigerant Leakage'!$F$2:$F$42,MATCH(X802,'Device Refrigerant Leakage'!$B$2:$B$42,0)))</f>
        <v/>
      </c>
      <c r="DH802" s="146" t="str">
        <f>IF(W802&lt;&gt;"AR","",INDEX('Device Refrigerant Leakage'!$G$2:$G$42,MATCH(X802,'Device Refrigerant Leakage'!$B$2:$B$42,0)))</f>
        <v/>
      </c>
      <c r="DI802" s="146" t="str">
        <f>IF(W802&lt;&gt;"AR","",J802*INDEX('Device Refrigerant Leakage'!$D$2:$D$42,MATCH(X802,'Device Refrigerant Leakage'!$B$2:$B$42,0))*DF802/2204.62*DE802)</f>
        <v/>
      </c>
      <c r="DJ802" s="146" t="str">
        <f>IF(W802&lt;&gt;"AR","",J802*(INDEX('Device Refrigerant Leakage'!$D$2:$D$42,MATCH(X802,'Device Refrigerant Leakage'!$B$2:$B$42,0))-(INDEX('Device Refrigerant Leakage'!$D$2:$D$42,MATCH(X802,'Device Refrigerant Leakage'!$B$2:$B$42,0)))*DH802*DF802)*DG802/2204.62*DE802)</f>
        <v/>
      </c>
      <c r="DK802" s="146" t="str">
        <f>IF(W802&lt;&gt;"AR","",DI802*(K802-AB802)+'Fuel Sub Calcs-Deemed'!DJ802*((K802-AB802)/INDEX('Device Refrigerant Leakage'!$C$2:$C$42,MATCH('Fuel Sub Calcs-Deemed'!X802,'Device Refrigerant Leakage'!$B$2:$B$42,0))))</f>
        <v/>
      </c>
      <c r="DM802" s="56">
        <v>788</v>
      </c>
      <c r="DN802" s="67" t="e">
        <f t="shared" si="942"/>
        <v>#N/A</v>
      </c>
      <c r="DO802" s="45" t="e">
        <f t="shared" si="943"/>
        <v>#N/A</v>
      </c>
      <c r="DP802" s="67" t="e">
        <f t="shared" si="944"/>
        <v>#N/A</v>
      </c>
      <c r="DQ802" s="45" t="e">
        <f t="shared" si="945"/>
        <v>#N/A</v>
      </c>
      <c r="DR802" s="69" t="e">
        <f t="shared" si="946"/>
        <v>#N/A</v>
      </c>
      <c r="DS802" s="34"/>
      <c r="DT802" s="67" t="e">
        <f>((BX802*CJ802)+IF($W802=MAT_AR,(BZ802*CL802),0))*(1+Reference!$E$50+Reference!$E$51)</f>
        <v>#N/A</v>
      </c>
      <c r="DU802" s="67">
        <f>((BY802*CK802)+IF($W802=MAT_AR,(CA802*CM802),0))*(1+Reference!$G$50+Reference!$G$51)</f>
        <v>0</v>
      </c>
      <c r="DV802" s="67" t="e">
        <f t="shared" si="947"/>
        <v>#VALUE!</v>
      </c>
      <c r="DX802" s="56">
        <v>788</v>
      </c>
      <c r="DY802" s="67">
        <f t="shared" si="948"/>
        <v>0</v>
      </c>
      <c r="DZ802" s="45" t="e">
        <f>VLOOKUP($R802,Dropdown!$C$3:$D$4,2,FALSE)</f>
        <v>#N/A</v>
      </c>
      <c r="EA802" s="68">
        <f t="shared" si="949"/>
        <v>0</v>
      </c>
      <c r="EB802" s="68" t="str">
        <f t="shared" si="950"/>
        <v>N/A</v>
      </c>
      <c r="EC802" s="68">
        <f t="shared" si="951"/>
        <v>0</v>
      </c>
      <c r="ED802" s="68" t="str">
        <f t="shared" si="989"/>
        <v>N/A</v>
      </c>
      <c r="EF802" s="56">
        <v>788</v>
      </c>
      <c r="EG802" s="46">
        <f t="shared" si="952"/>
        <v>0</v>
      </c>
      <c r="EH802" s="68" t="e">
        <f t="shared" si="953"/>
        <v>#N/A</v>
      </c>
      <c r="EI802" s="68" t="e">
        <f t="shared" si="954"/>
        <v>#N/A</v>
      </c>
      <c r="EJ802" s="68" t="e">
        <f t="shared" si="955"/>
        <v>#N/A</v>
      </c>
      <c r="EK802" s="68" t="e">
        <f t="shared" si="956"/>
        <v>#N/A</v>
      </c>
      <c r="EL802" s="46">
        <f t="shared" si="957"/>
        <v>0</v>
      </c>
      <c r="EM802" s="46">
        <f t="shared" si="958"/>
        <v>0</v>
      </c>
    </row>
    <row r="803" spans="1:143">
      <c r="A803" s="89"/>
      <c r="B803" s="89"/>
      <c r="C803" s="89"/>
      <c r="D803" s="89"/>
      <c r="E803" s="89"/>
      <c r="F803" s="89"/>
      <c r="G803" s="34"/>
      <c r="H803" s="56">
        <f t="shared" si="959"/>
        <v>789</v>
      </c>
      <c r="I803" s="165"/>
      <c r="J803" s="163"/>
      <c r="K803" s="163"/>
      <c r="L803" s="164"/>
      <c r="M803" s="155"/>
      <c r="N803" s="155"/>
      <c r="O803" s="144"/>
      <c r="P803" s="159" t="str">
        <f>IFERROR(IF(O803&lt;&gt;"User Specified",IF(O803&lt;&gt;"", INDEX('Refrigerant GWPs'!$G$2:$G$154,MATCH(O803,'Refrigerant GWPs'!$A$2:$A$154,0)),""),U803),0)</f>
        <v/>
      </c>
      <c r="Q803" s="155"/>
      <c r="R803" s="155"/>
      <c r="S803" s="144"/>
      <c r="T803" s="159" t="str">
        <f>IF(S803&lt;&gt;"User Specified",IF(AND(S803&lt;&gt;"User Specified",S803&lt;&gt;""), INDEX('Refrigerant GWPs'!$G$2:$G$154,MATCH(S803,'Refrigerant GWPs'!$A$2:$A$154,0)),""),V803)</f>
        <v/>
      </c>
      <c r="U803" s="144"/>
      <c r="V803" s="144"/>
      <c r="W803" s="155"/>
      <c r="X803" s="155"/>
      <c r="Y803" s="144"/>
      <c r="Z803" s="159" t="str">
        <f>IF(AND(Y803&lt;&gt;"User Specified",Y803&lt;&gt;""), INDEX('Refrigerant GWPs'!$G$2:$G$154,MATCH(Y803,'Refrigerant GWPs'!$A$2:$A$154,0)),"")</f>
        <v/>
      </c>
      <c r="AA803" s="155"/>
      <c r="AB803" s="156"/>
      <c r="AC803" s="66"/>
      <c r="AD803" s="66"/>
      <c r="AE803" s="66"/>
      <c r="AF803" s="66"/>
      <c r="AG803" s="66"/>
      <c r="AH803" s="66"/>
      <c r="AI803" s="34"/>
      <c r="AJ803" s="88">
        <f t="shared" si="922"/>
        <v>0</v>
      </c>
      <c r="AK803" s="88">
        <f t="shared" si="923"/>
        <v>0</v>
      </c>
      <c r="AL803" s="88">
        <v>0</v>
      </c>
      <c r="AM803" s="88">
        <v>0</v>
      </c>
      <c r="AN803" s="81" t="str">
        <f t="shared" si="961"/>
        <v/>
      </c>
      <c r="AO803" s="88">
        <f t="shared" si="924"/>
        <v>0</v>
      </c>
      <c r="AP803" s="88">
        <f t="shared" si="925"/>
        <v>0</v>
      </c>
      <c r="AQ803" s="81" t="str">
        <f t="shared" si="926"/>
        <v/>
      </c>
      <c r="AS803" s="41" t="b">
        <f t="shared" si="927"/>
        <v>1</v>
      </c>
      <c r="AT803" s="38">
        <f t="shared" si="928"/>
        <v>0</v>
      </c>
      <c r="AU803" s="60">
        <f t="shared" si="929"/>
        <v>0</v>
      </c>
      <c r="AV803" s="41">
        <f t="shared" si="930"/>
        <v>0</v>
      </c>
      <c r="AW803" s="41" t="b">
        <f t="shared" si="931"/>
        <v>0</v>
      </c>
      <c r="AX803" t="str">
        <f t="shared" si="932"/>
        <v>+00</v>
      </c>
      <c r="AY803" t="str">
        <f t="shared" si="933"/>
        <v>+00</v>
      </c>
      <c r="BA803" s="47" t="b">
        <f t="shared" si="962"/>
        <v>1</v>
      </c>
      <c r="BB803" s="42" t="b">
        <f t="shared" si="963"/>
        <v>1</v>
      </c>
      <c r="BC803" s="42" t="b">
        <f t="shared" si="964"/>
        <v>0</v>
      </c>
      <c r="BD803" s="42" t="b">
        <f t="shared" si="965"/>
        <v>0</v>
      </c>
      <c r="BE803" s="70">
        <f t="shared" si="966"/>
        <v>0</v>
      </c>
      <c r="BF803" s="70">
        <f t="shared" si="967"/>
        <v>0</v>
      </c>
      <c r="BG803" s="34"/>
      <c r="BI803" s="47" t="b">
        <f t="shared" si="968"/>
        <v>1</v>
      </c>
      <c r="BJ803" s="47" t="b">
        <f t="shared" si="969"/>
        <v>1</v>
      </c>
      <c r="BK803" s="42" t="b">
        <f t="shared" si="970"/>
        <v>0</v>
      </c>
      <c r="BL803" s="42" t="b">
        <f t="shared" si="971"/>
        <v>0</v>
      </c>
      <c r="BM803" s="42">
        <f t="shared" si="972"/>
        <v>0</v>
      </c>
      <c r="BN803" s="42">
        <f t="shared" si="973"/>
        <v>0</v>
      </c>
      <c r="BP803" t="e">
        <f t="shared" si="974"/>
        <v>#N/A</v>
      </c>
      <c r="BQ803" t="e">
        <f t="shared" si="975"/>
        <v>#N/A</v>
      </c>
      <c r="BR803" t="e">
        <f t="shared" si="976"/>
        <v>#N/A</v>
      </c>
      <c r="BT803" s="60">
        <f t="shared" si="977"/>
        <v>0</v>
      </c>
      <c r="BU803" s="60">
        <f t="shared" si="978"/>
        <v>0</v>
      </c>
      <c r="BV803" s="60">
        <f t="shared" si="979"/>
        <v>0</v>
      </c>
      <c r="BW803" s="60">
        <f t="shared" si="980"/>
        <v>0</v>
      </c>
      <c r="BX803" s="60">
        <f t="shared" si="981"/>
        <v>0</v>
      </c>
      <c r="BY803" s="60">
        <f t="shared" si="982"/>
        <v>0</v>
      </c>
      <c r="BZ803" s="60">
        <f t="shared" si="983"/>
        <v>0</v>
      </c>
      <c r="CA803" s="60">
        <f t="shared" si="984"/>
        <v>0</v>
      </c>
      <c r="CB803" s="60" t="e">
        <f t="shared" si="934"/>
        <v>#N/A</v>
      </c>
      <c r="CC803" s="60">
        <f t="shared" si="935"/>
        <v>100000</v>
      </c>
      <c r="CD803" s="60" t="e">
        <f t="shared" si="936"/>
        <v>#N/A</v>
      </c>
      <c r="CE803" s="60">
        <f t="shared" si="937"/>
        <v>100000</v>
      </c>
      <c r="CF803" s="83" t="e">
        <f t="shared" si="985"/>
        <v>#N/A</v>
      </c>
      <c r="CG803" s="83">
        <f t="shared" si="986"/>
        <v>0</v>
      </c>
      <c r="CH803" s="83" t="e">
        <f t="shared" si="987"/>
        <v>#N/A</v>
      </c>
      <c r="CI803" s="83">
        <f t="shared" si="988"/>
        <v>0</v>
      </c>
      <c r="CJ803" s="86" t="e">
        <f t="shared" si="938"/>
        <v>#N/A</v>
      </c>
      <c r="CK803" s="82">
        <f t="shared" si="939"/>
        <v>5.3070370403969858E-3</v>
      </c>
      <c r="CL803" s="82" t="e">
        <f t="shared" si="940"/>
        <v>#N/A</v>
      </c>
      <c r="CM803" s="82">
        <f t="shared" si="941"/>
        <v>5.3070370403969858E-3</v>
      </c>
      <c r="CO803" s="149" t="str">
        <f>IF($I803&lt;&gt;"",IF(O803="User Specified",U803,INDEX('Refrigerant GWPs'!$G$2:$G$156,MATCH(O803,'Refrigerant GWPs'!$A$2:$A$156,0))),"")</f>
        <v/>
      </c>
      <c r="CP803" s="138" t="str">
        <f>IF($I803&lt;&gt;"",INDEX('Device Refrigerant Leakage'!$E$2:$E$42,MATCH($M803,'Device Refrigerant Leakage'!$B$2:$B$42,0)),"")</f>
        <v/>
      </c>
      <c r="CQ803" s="138" t="str">
        <f>IF($I803&lt;&gt;"",INDEX('Device Refrigerant Leakage'!$F$2:$F$42,MATCH($M803,'Device Refrigerant Leakage'!$B$2:$B$42,0)),"")</f>
        <v/>
      </c>
      <c r="CR803" s="145" t="str">
        <f>IF($I803&lt;&gt;"",INDEX('Device Refrigerant Leakage'!$G$2:$G$42,MATCH($M803,'Device Refrigerant Leakage'!$B$2:$B$42,0)),"")</f>
        <v/>
      </c>
      <c r="CS803" s="145" t="str">
        <f>IF($I803&lt;&gt;"",INDEX('Device Refrigerant Leakage'!$D$2:$D$42,MATCH($M803,'Device Refrigerant Leakage'!$B$2:$B$42,0))*CP803/2204.62*CO803,"")</f>
        <v/>
      </c>
      <c r="CT803" s="145" t="str">
        <f>IF($I803&lt;&gt;"",J803*(INDEX('Device Refrigerant Leakage'!$D$2:$D$42,MATCH($M803,'Device Refrigerant Leakage'!$B$2:$B$42,0))-(INDEX('Device Refrigerant Leakage'!$D$2:$D$42,MATCH($M803,'Device Refrigerant Leakage'!$B$2:$B$42,0)))*CR803*CP803)*CQ803/2204.62*CO803,"")</f>
        <v/>
      </c>
      <c r="CU803" s="135" t="str">
        <f>IF($I803&lt;&gt;"",J803*IF(W803&lt;&gt;"AR",(CS803*K803)+CT803,(CS803*AB803)+CT803*(AB803/INDEX('Device Refrigerant Leakage'!$C$2:$C$42,MATCH($M803,'Device Refrigerant Leakage'!$B$2:$B$42,0)))),"")</f>
        <v/>
      </c>
      <c r="CW803" s="135" t="str">
        <f>IF($I803&lt;&gt;"",IF(S803="User Specified",V803,INDEX('Refrigerant GWPs'!$G$2:$G$156,MATCH(S803,'Refrigerant GWPs'!$A$2:$A$157,0))),"")</f>
        <v/>
      </c>
      <c r="CX803" s="138" t="str">
        <f>IF($I803&lt;&gt;"",INDEX('Device Refrigerant Leakage'!$E$2:$E$42,MATCH($Q803,'Device Refrigerant Leakage'!$B$2:$B$42,0)),"")</f>
        <v/>
      </c>
      <c r="CY803" s="138" t="str">
        <f>IF($I803&lt;&gt;"",INDEX('Device Refrigerant Leakage'!$F$2:$F$42,MATCH($Q803,'Device Refrigerant Leakage'!$B$2:$B$42,0)),"")</f>
        <v/>
      </c>
      <c r="CZ803" s="145" t="str">
        <f>IF($I803&lt;&gt;"",INDEX('Device Refrigerant Leakage'!$G$2:$G$42,MATCH($Q803,'Device Refrigerant Leakage'!$B$2:$B$42,0)),"")</f>
        <v/>
      </c>
      <c r="DA803" s="145" t="str">
        <f>IF($I803&lt;&gt;"",J803*INDEX('Device Refrigerant Leakage'!$D$2:$D$42,MATCH($Q803,'Device Refrigerant Leakage'!$B$2:$B$42,0))*CX803/2204.62*CW803,"")</f>
        <v/>
      </c>
      <c r="DB803" s="145" t="str">
        <f>IF($I803&lt;&gt;"",J803*(INDEX('Device Refrigerant Leakage'!$D$2:$D$42,MATCH($Q803,'Device Refrigerant Leakage'!$B$2:$B$42,0))-(INDEX('Device Refrigerant Leakage'!$D$2:$D$42,MATCH($Q803,'Device Refrigerant Leakage'!$B$2:$B$42,0)))*CZ803*CX803)*CY803/2204.62*CW803,"")</f>
        <v/>
      </c>
      <c r="DC803" s="135" t="str">
        <f t="shared" si="960"/>
        <v/>
      </c>
      <c r="DE803" s="146" t="str">
        <f>IF(W803&lt;&gt;"AR","",IF(Y803="User Specified", AA803, INDEX('Refrigerant GWPs'!$G$2:$G$154,MATCH(Y803,'Refrigerant GWPs'!$A$2:$A$154,0))))</f>
        <v/>
      </c>
      <c r="DF803" s="146" t="str">
        <f>IF(W803&lt;&gt;"AR","",INDEX('Device Refrigerant Leakage'!$E$2:$E$42,MATCH(X803,'Device Refrigerant Leakage'!$B$2:$B$42,0)))</f>
        <v/>
      </c>
      <c r="DG803" s="146" t="str">
        <f>IF(W803&lt;&gt;"AR","",INDEX('Device Refrigerant Leakage'!$F$2:$F$42,MATCH(X803,'Device Refrigerant Leakage'!$B$2:$B$42,0)))</f>
        <v/>
      </c>
      <c r="DH803" s="146" t="str">
        <f>IF(W803&lt;&gt;"AR","",INDEX('Device Refrigerant Leakage'!$G$2:$G$42,MATCH(X803,'Device Refrigerant Leakage'!$B$2:$B$42,0)))</f>
        <v/>
      </c>
      <c r="DI803" s="146" t="str">
        <f>IF(W803&lt;&gt;"AR","",J803*INDEX('Device Refrigerant Leakage'!$D$2:$D$42,MATCH(X803,'Device Refrigerant Leakage'!$B$2:$B$42,0))*DF803/2204.62*DE803)</f>
        <v/>
      </c>
      <c r="DJ803" s="146" t="str">
        <f>IF(W803&lt;&gt;"AR","",J803*(INDEX('Device Refrigerant Leakage'!$D$2:$D$42,MATCH(X803,'Device Refrigerant Leakage'!$B$2:$B$42,0))-(INDEX('Device Refrigerant Leakage'!$D$2:$D$42,MATCH(X803,'Device Refrigerant Leakage'!$B$2:$B$42,0)))*DH803*DF803)*DG803/2204.62*DE803)</f>
        <v/>
      </c>
      <c r="DK803" s="146" t="str">
        <f>IF(W803&lt;&gt;"AR","",DI803*(K803-AB803)+'Fuel Sub Calcs-Deemed'!DJ803*((K803-AB803)/INDEX('Device Refrigerant Leakage'!$C$2:$C$42,MATCH('Fuel Sub Calcs-Deemed'!X803,'Device Refrigerant Leakage'!$B$2:$B$42,0))))</f>
        <v/>
      </c>
      <c r="DM803" s="56">
        <v>789</v>
      </c>
      <c r="DN803" s="67" t="e">
        <f t="shared" si="942"/>
        <v>#N/A</v>
      </c>
      <c r="DO803" s="45" t="e">
        <f t="shared" si="943"/>
        <v>#N/A</v>
      </c>
      <c r="DP803" s="67" t="e">
        <f t="shared" si="944"/>
        <v>#N/A</v>
      </c>
      <c r="DQ803" s="45" t="e">
        <f t="shared" si="945"/>
        <v>#N/A</v>
      </c>
      <c r="DR803" s="69" t="e">
        <f t="shared" si="946"/>
        <v>#N/A</v>
      </c>
      <c r="DS803" s="34"/>
      <c r="DT803" s="67" t="e">
        <f>((BX803*CJ803)+IF($W803=MAT_AR,(BZ803*CL803),0))*(1+Reference!$E$50+Reference!$E$51)</f>
        <v>#N/A</v>
      </c>
      <c r="DU803" s="67">
        <f>((BY803*CK803)+IF($W803=MAT_AR,(CA803*CM803),0))*(1+Reference!$G$50+Reference!$G$51)</f>
        <v>0</v>
      </c>
      <c r="DV803" s="67" t="e">
        <f t="shared" si="947"/>
        <v>#VALUE!</v>
      </c>
      <c r="DX803" s="56">
        <v>789</v>
      </c>
      <c r="DY803" s="67">
        <f t="shared" si="948"/>
        <v>0</v>
      </c>
      <c r="DZ803" s="45" t="e">
        <f>VLOOKUP($R803,Dropdown!$C$3:$D$4,2,FALSE)</f>
        <v>#N/A</v>
      </c>
      <c r="EA803" s="68">
        <f t="shared" si="949"/>
        <v>0</v>
      </c>
      <c r="EB803" s="68" t="str">
        <f t="shared" si="950"/>
        <v>N/A</v>
      </c>
      <c r="EC803" s="68">
        <f t="shared" si="951"/>
        <v>0</v>
      </c>
      <c r="ED803" s="68" t="str">
        <f t="shared" si="989"/>
        <v>N/A</v>
      </c>
      <c r="EF803" s="56">
        <v>789</v>
      </c>
      <c r="EG803" s="46">
        <f t="shared" si="952"/>
        <v>0</v>
      </c>
      <c r="EH803" s="68" t="e">
        <f t="shared" si="953"/>
        <v>#N/A</v>
      </c>
      <c r="EI803" s="68" t="e">
        <f t="shared" si="954"/>
        <v>#N/A</v>
      </c>
      <c r="EJ803" s="68" t="e">
        <f t="shared" si="955"/>
        <v>#N/A</v>
      </c>
      <c r="EK803" s="68" t="e">
        <f t="shared" si="956"/>
        <v>#N/A</v>
      </c>
      <c r="EL803" s="46">
        <f t="shared" si="957"/>
        <v>0</v>
      </c>
      <c r="EM803" s="46">
        <f t="shared" si="958"/>
        <v>0</v>
      </c>
    </row>
    <row r="804" spans="1:143">
      <c r="A804" s="89"/>
      <c r="B804" s="89"/>
      <c r="C804" s="89"/>
      <c r="D804" s="89"/>
      <c r="E804" s="89"/>
      <c r="F804" s="89"/>
      <c r="G804" s="34"/>
      <c r="H804" s="56">
        <f t="shared" si="959"/>
        <v>790</v>
      </c>
      <c r="I804" s="165"/>
      <c r="J804" s="163"/>
      <c r="K804" s="163"/>
      <c r="L804" s="164"/>
      <c r="M804" s="155"/>
      <c r="N804" s="155"/>
      <c r="O804" s="144"/>
      <c r="P804" s="159" t="str">
        <f>IFERROR(IF(O804&lt;&gt;"User Specified",IF(O804&lt;&gt;"", INDEX('Refrigerant GWPs'!$G$2:$G$154,MATCH(O804,'Refrigerant GWPs'!$A$2:$A$154,0)),""),U804),0)</f>
        <v/>
      </c>
      <c r="Q804" s="155"/>
      <c r="R804" s="155"/>
      <c r="S804" s="144"/>
      <c r="T804" s="159" t="str">
        <f>IF(S804&lt;&gt;"User Specified",IF(AND(S804&lt;&gt;"User Specified",S804&lt;&gt;""), INDEX('Refrigerant GWPs'!$G$2:$G$154,MATCH(S804,'Refrigerant GWPs'!$A$2:$A$154,0)),""),V804)</f>
        <v/>
      </c>
      <c r="U804" s="144"/>
      <c r="V804" s="144"/>
      <c r="W804" s="155"/>
      <c r="X804" s="155"/>
      <c r="Y804" s="144"/>
      <c r="Z804" s="159" t="str">
        <f>IF(AND(Y804&lt;&gt;"User Specified",Y804&lt;&gt;""), INDEX('Refrigerant GWPs'!$G$2:$G$154,MATCH(Y804,'Refrigerant GWPs'!$A$2:$A$154,0)),"")</f>
        <v/>
      </c>
      <c r="AA804" s="155"/>
      <c r="AB804" s="156"/>
      <c r="AC804" s="66"/>
      <c r="AD804" s="66"/>
      <c r="AE804" s="66"/>
      <c r="AF804" s="66"/>
      <c r="AG804" s="66"/>
      <c r="AH804" s="66"/>
      <c r="AI804" s="34"/>
      <c r="AJ804" s="88">
        <f t="shared" si="922"/>
        <v>0</v>
      </c>
      <c r="AK804" s="88">
        <f t="shared" si="923"/>
        <v>0</v>
      </c>
      <c r="AL804" s="88">
        <v>0</v>
      </c>
      <c r="AM804" s="88">
        <v>0</v>
      </c>
      <c r="AN804" s="81" t="str">
        <f t="shared" si="961"/>
        <v/>
      </c>
      <c r="AO804" s="88">
        <f t="shared" si="924"/>
        <v>0</v>
      </c>
      <c r="AP804" s="88">
        <f t="shared" si="925"/>
        <v>0</v>
      </c>
      <c r="AQ804" s="81" t="str">
        <f t="shared" si="926"/>
        <v/>
      </c>
      <c r="AS804" s="41" t="b">
        <f t="shared" si="927"/>
        <v>1</v>
      </c>
      <c r="AT804" s="38">
        <f t="shared" si="928"/>
        <v>0</v>
      </c>
      <c r="AU804" s="60">
        <f t="shared" si="929"/>
        <v>0</v>
      </c>
      <c r="AV804" s="41">
        <f t="shared" si="930"/>
        <v>0</v>
      </c>
      <c r="AW804" s="41" t="b">
        <f t="shared" si="931"/>
        <v>0</v>
      </c>
      <c r="AX804" t="str">
        <f t="shared" si="932"/>
        <v>+00</v>
      </c>
      <c r="AY804" t="str">
        <f t="shared" si="933"/>
        <v>+00</v>
      </c>
      <c r="BA804" s="47" t="b">
        <f t="shared" si="962"/>
        <v>1</v>
      </c>
      <c r="BB804" s="42" t="b">
        <f t="shared" si="963"/>
        <v>1</v>
      </c>
      <c r="BC804" s="42" t="b">
        <f t="shared" si="964"/>
        <v>0</v>
      </c>
      <c r="BD804" s="42" t="b">
        <f t="shared" si="965"/>
        <v>0</v>
      </c>
      <c r="BE804" s="70">
        <f t="shared" si="966"/>
        <v>0</v>
      </c>
      <c r="BF804" s="70">
        <f t="shared" si="967"/>
        <v>0</v>
      </c>
      <c r="BG804" s="34"/>
      <c r="BI804" s="47" t="b">
        <f t="shared" si="968"/>
        <v>1</v>
      </c>
      <c r="BJ804" s="47" t="b">
        <f t="shared" si="969"/>
        <v>1</v>
      </c>
      <c r="BK804" s="42" t="b">
        <f t="shared" si="970"/>
        <v>0</v>
      </c>
      <c r="BL804" s="42" t="b">
        <f t="shared" si="971"/>
        <v>0</v>
      </c>
      <c r="BM804" s="42">
        <f t="shared" si="972"/>
        <v>0</v>
      </c>
      <c r="BN804" s="42">
        <f t="shared" si="973"/>
        <v>0</v>
      </c>
      <c r="BP804" t="e">
        <f t="shared" si="974"/>
        <v>#N/A</v>
      </c>
      <c r="BQ804" t="e">
        <f t="shared" si="975"/>
        <v>#N/A</v>
      </c>
      <c r="BR804" t="e">
        <f t="shared" si="976"/>
        <v>#N/A</v>
      </c>
      <c r="BT804" s="60">
        <f t="shared" si="977"/>
        <v>0</v>
      </c>
      <c r="BU804" s="60">
        <f t="shared" si="978"/>
        <v>0</v>
      </c>
      <c r="BV804" s="60">
        <f t="shared" si="979"/>
        <v>0</v>
      </c>
      <c r="BW804" s="60">
        <f t="shared" si="980"/>
        <v>0</v>
      </c>
      <c r="BX804" s="60">
        <f t="shared" si="981"/>
        <v>0</v>
      </c>
      <c r="BY804" s="60">
        <f t="shared" si="982"/>
        <v>0</v>
      </c>
      <c r="BZ804" s="60">
        <f t="shared" si="983"/>
        <v>0</v>
      </c>
      <c r="CA804" s="60">
        <f t="shared" si="984"/>
        <v>0</v>
      </c>
      <c r="CB804" s="60" t="e">
        <f t="shared" si="934"/>
        <v>#N/A</v>
      </c>
      <c r="CC804" s="60">
        <f t="shared" si="935"/>
        <v>100000</v>
      </c>
      <c r="CD804" s="60" t="e">
        <f t="shared" si="936"/>
        <v>#N/A</v>
      </c>
      <c r="CE804" s="60">
        <f t="shared" si="937"/>
        <v>100000</v>
      </c>
      <c r="CF804" s="83" t="e">
        <f t="shared" si="985"/>
        <v>#N/A</v>
      </c>
      <c r="CG804" s="83">
        <f t="shared" si="986"/>
        <v>0</v>
      </c>
      <c r="CH804" s="83" t="e">
        <f t="shared" si="987"/>
        <v>#N/A</v>
      </c>
      <c r="CI804" s="83">
        <f t="shared" si="988"/>
        <v>0</v>
      </c>
      <c r="CJ804" s="86" t="e">
        <f t="shared" si="938"/>
        <v>#N/A</v>
      </c>
      <c r="CK804" s="82">
        <f t="shared" si="939"/>
        <v>5.3070370403969858E-3</v>
      </c>
      <c r="CL804" s="82" t="e">
        <f t="shared" si="940"/>
        <v>#N/A</v>
      </c>
      <c r="CM804" s="82">
        <f t="shared" si="941"/>
        <v>5.3070370403969858E-3</v>
      </c>
      <c r="CO804" s="149" t="str">
        <f>IF($I804&lt;&gt;"",IF(O804="User Specified",U804,INDEX('Refrigerant GWPs'!$G$2:$G$156,MATCH(O804,'Refrigerant GWPs'!$A$2:$A$156,0))),"")</f>
        <v/>
      </c>
      <c r="CP804" s="138" t="str">
        <f>IF($I804&lt;&gt;"",INDEX('Device Refrigerant Leakage'!$E$2:$E$42,MATCH($M804,'Device Refrigerant Leakage'!$B$2:$B$42,0)),"")</f>
        <v/>
      </c>
      <c r="CQ804" s="138" t="str">
        <f>IF($I804&lt;&gt;"",INDEX('Device Refrigerant Leakage'!$F$2:$F$42,MATCH($M804,'Device Refrigerant Leakage'!$B$2:$B$42,0)),"")</f>
        <v/>
      </c>
      <c r="CR804" s="145" t="str">
        <f>IF($I804&lt;&gt;"",INDEX('Device Refrigerant Leakage'!$G$2:$G$42,MATCH($M804,'Device Refrigerant Leakage'!$B$2:$B$42,0)),"")</f>
        <v/>
      </c>
      <c r="CS804" s="145" t="str">
        <f>IF($I804&lt;&gt;"",INDEX('Device Refrigerant Leakage'!$D$2:$D$42,MATCH($M804,'Device Refrigerant Leakage'!$B$2:$B$42,0))*CP804/2204.62*CO804,"")</f>
        <v/>
      </c>
      <c r="CT804" s="145" t="str">
        <f>IF($I804&lt;&gt;"",J804*(INDEX('Device Refrigerant Leakage'!$D$2:$D$42,MATCH($M804,'Device Refrigerant Leakage'!$B$2:$B$42,0))-(INDEX('Device Refrigerant Leakage'!$D$2:$D$42,MATCH($M804,'Device Refrigerant Leakage'!$B$2:$B$42,0)))*CR804*CP804)*CQ804/2204.62*CO804,"")</f>
        <v/>
      </c>
      <c r="CU804" s="135" t="str">
        <f>IF($I804&lt;&gt;"",J804*IF(W804&lt;&gt;"AR",(CS804*K804)+CT804,(CS804*AB804)+CT804*(AB804/INDEX('Device Refrigerant Leakage'!$C$2:$C$42,MATCH($M804,'Device Refrigerant Leakage'!$B$2:$B$42,0)))),"")</f>
        <v/>
      </c>
      <c r="CW804" s="135" t="str">
        <f>IF($I804&lt;&gt;"",IF(S804="User Specified",V804,INDEX('Refrigerant GWPs'!$G$2:$G$156,MATCH(S804,'Refrigerant GWPs'!$A$2:$A$157,0))),"")</f>
        <v/>
      </c>
      <c r="CX804" s="138" t="str">
        <f>IF($I804&lt;&gt;"",INDEX('Device Refrigerant Leakage'!$E$2:$E$42,MATCH($Q804,'Device Refrigerant Leakage'!$B$2:$B$42,0)),"")</f>
        <v/>
      </c>
      <c r="CY804" s="138" t="str">
        <f>IF($I804&lt;&gt;"",INDEX('Device Refrigerant Leakage'!$F$2:$F$42,MATCH($Q804,'Device Refrigerant Leakage'!$B$2:$B$42,0)),"")</f>
        <v/>
      </c>
      <c r="CZ804" s="145" t="str">
        <f>IF($I804&lt;&gt;"",INDEX('Device Refrigerant Leakage'!$G$2:$G$42,MATCH($Q804,'Device Refrigerant Leakage'!$B$2:$B$42,0)),"")</f>
        <v/>
      </c>
      <c r="DA804" s="145" t="str">
        <f>IF($I804&lt;&gt;"",J804*INDEX('Device Refrigerant Leakage'!$D$2:$D$42,MATCH($Q804,'Device Refrigerant Leakage'!$B$2:$B$42,0))*CX804/2204.62*CW804,"")</f>
        <v/>
      </c>
      <c r="DB804" s="145" t="str">
        <f>IF($I804&lt;&gt;"",J804*(INDEX('Device Refrigerant Leakage'!$D$2:$D$42,MATCH($Q804,'Device Refrigerant Leakage'!$B$2:$B$42,0))-(INDEX('Device Refrigerant Leakage'!$D$2:$D$42,MATCH($Q804,'Device Refrigerant Leakage'!$B$2:$B$42,0)))*CZ804*CX804)*CY804/2204.62*CW804,"")</f>
        <v/>
      </c>
      <c r="DC804" s="135" t="str">
        <f t="shared" si="960"/>
        <v/>
      </c>
      <c r="DE804" s="146" t="str">
        <f>IF(W804&lt;&gt;"AR","",IF(Y804="User Specified", AA804, INDEX('Refrigerant GWPs'!$G$2:$G$154,MATCH(Y804,'Refrigerant GWPs'!$A$2:$A$154,0))))</f>
        <v/>
      </c>
      <c r="DF804" s="146" t="str">
        <f>IF(W804&lt;&gt;"AR","",INDEX('Device Refrigerant Leakage'!$E$2:$E$42,MATCH(X804,'Device Refrigerant Leakage'!$B$2:$B$42,0)))</f>
        <v/>
      </c>
      <c r="DG804" s="146" t="str">
        <f>IF(W804&lt;&gt;"AR","",INDEX('Device Refrigerant Leakage'!$F$2:$F$42,MATCH(X804,'Device Refrigerant Leakage'!$B$2:$B$42,0)))</f>
        <v/>
      </c>
      <c r="DH804" s="146" t="str">
        <f>IF(W804&lt;&gt;"AR","",INDEX('Device Refrigerant Leakage'!$G$2:$G$42,MATCH(X804,'Device Refrigerant Leakage'!$B$2:$B$42,0)))</f>
        <v/>
      </c>
      <c r="DI804" s="146" t="str">
        <f>IF(W804&lt;&gt;"AR","",J804*INDEX('Device Refrigerant Leakage'!$D$2:$D$42,MATCH(X804,'Device Refrigerant Leakage'!$B$2:$B$42,0))*DF804/2204.62*DE804)</f>
        <v/>
      </c>
      <c r="DJ804" s="146" t="str">
        <f>IF(W804&lt;&gt;"AR","",J804*(INDEX('Device Refrigerant Leakage'!$D$2:$D$42,MATCH(X804,'Device Refrigerant Leakage'!$B$2:$B$42,0))-(INDEX('Device Refrigerant Leakage'!$D$2:$D$42,MATCH(X804,'Device Refrigerant Leakage'!$B$2:$B$42,0)))*DH804*DF804)*DG804/2204.62*DE804)</f>
        <v/>
      </c>
      <c r="DK804" s="146" t="str">
        <f>IF(W804&lt;&gt;"AR","",DI804*(K804-AB804)+'Fuel Sub Calcs-Deemed'!DJ804*((K804-AB804)/INDEX('Device Refrigerant Leakage'!$C$2:$C$42,MATCH('Fuel Sub Calcs-Deemed'!X804,'Device Refrigerant Leakage'!$B$2:$B$42,0))))</f>
        <v/>
      </c>
      <c r="DM804" s="56">
        <v>790</v>
      </c>
      <c r="DN804" s="67" t="e">
        <f t="shared" si="942"/>
        <v>#N/A</v>
      </c>
      <c r="DO804" s="45" t="e">
        <f t="shared" si="943"/>
        <v>#N/A</v>
      </c>
      <c r="DP804" s="67" t="e">
        <f t="shared" si="944"/>
        <v>#N/A</v>
      </c>
      <c r="DQ804" s="45" t="e">
        <f t="shared" si="945"/>
        <v>#N/A</v>
      </c>
      <c r="DR804" s="69" t="e">
        <f t="shared" si="946"/>
        <v>#N/A</v>
      </c>
      <c r="DS804" s="34"/>
      <c r="DT804" s="67" t="e">
        <f>((BX804*CJ804)+IF($W804=MAT_AR,(BZ804*CL804),0))*(1+Reference!$E$50+Reference!$E$51)</f>
        <v>#N/A</v>
      </c>
      <c r="DU804" s="67">
        <f>((BY804*CK804)+IF($W804=MAT_AR,(CA804*CM804),0))*(1+Reference!$G$50+Reference!$G$51)</f>
        <v>0</v>
      </c>
      <c r="DV804" s="67" t="e">
        <f t="shared" si="947"/>
        <v>#VALUE!</v>
      </c>
      <c r="DX804" s="56">
        <v>790</v>
      </c>
      <c r="DY804" s="67">
        <f t="shared" si="948"/>
        <v>0</v>
      </c>
      <c r="DZ804" s="45" t="e">
        <f>VLOOKUP($R804,Dropdown!$C$3:$D$4,2,FALSE)</f>
        <v>#N/A</v>
      </c>
      <c r="EA804" s="68">
        <f t="shared" si="949"/>
        <v>0</v>
      </c>
      <c r="EB804" s="68" t="str">
        <f t="shared" si="950"/>
        <v>N/A</v>
      </c>
      <c r="EC804" s="68">
        <f t="shared" si="951"/>
        <v>0</v>
      </c>
      <c r="ED804" s="68" t="str">
        <f t="shared" si="989"/>
        <v>N/A</v>
      </c>
      <c r="EF804" s="56">
        <v>790</v>
      </c>
      <c r="EG804" s="46">
        <f t="shared" si="952"/>
        <v>0</v>
      </c>
      <c r="EH804" s="68" t="e">
        <f t="shared" si="953"/>
        <v>#N/A</v>
      </c>
      <c r="EI804" s="68" t="e">
        <f t="shared" si="954"/>
        <v>#N/A</v>
      </c>
      <c r="EJ804" s="68" t="e">
        <f t="shared" si="955"/>
        <v>#N/A</v>
      </c>
      <c r="EK804" s="68" t="e">
        <f t="shared" si="956"/>
        <v>#N/A</v>
      </c>
      <c r="EL804" s="46">
        <f t="shared" si="957"/>
        <v>0</v>
      </c>
      <c r="EM804" s="46">
        <f t="shared" si="958"/>
        <v>0</v>
      </c>
    </row>
    <row r="805" spans="1:143">
      <c r="A805" s="89"/>
      <c r="B805" s="89"/>
      <c r="C805" s="89"/>
      <c r="D805" s="89"/>
      <c r="E805" s="89"/>
      <c r="F805" s="89"/>
      <c r="G805" s="34"/>
      <c r="H805" s="56">
        <f t="shared" si="959"/>
        <v>791</v>
      </c>
      <c r="I805" s="165"/>
      <c r="J805" s="163"/>
      <c r="K805" s="163"/>
      <c r="L805" s="164"/>
      <c r="M805" s="155"/>
      <c r="N805" s="155"/>
      <c r="O805" s="144"/>
      <c r="P805" s="159" t="str">
        <f>IFERROR(IF(O805&lt;&gt;"User Specified",IF(O805&lt;&gt;"", INDEX('Refrigerant GWPs'!$G$2:$G$154,MATCH(O805,'Refrigerant GWPs'!$A$2:$A$154,0)),""),U805),0)</f>
        <v/>
      </c>
      <c r="Q805" s="155"/>
      <c r="R805" s="155"/>
      <c r="S805" s="144"/>
      <c r="T805" s="159" t="str">
        <f>IF(S805&lt;&gt;"User Specified",IF(AND(S805&lt;&gt;"User Specified",S805&lt;&gt;""), INDEX('Refrigerant GWPs'!$G$2:$G$154,MATCH(S805,'Refrigerant GWPs'!$A$2:$A$154,0)),""),V805)</f>
        <v/>
      </c>
      <c r="U805" s="144"/>
      <c r="V805" s="144"/>
      <c r="W805" s="155"/>
      <c r="X805" s="155"/>
      <c r="Y805" s="144"/>
      <c r="Z805" s="159" t="str">
        <f>IF(AND(Y805&lt;&gt;"User Specified",Y805&lt;&gt;""), INDEX('Refrigerant GWPs'!$G$2:$G$154,MATCH(Y805,'Refrigerant GWPs'!$A$2:$A$154,0)),"")</f>
        <v/>
      </c>
      <c r="AA805" s="155"/>
      <c r="AB805" s="156"/>
      <c r="AC805" s="66"/>
      <c r="AD805" s="66"/>
      <c r="AE805" s="66"/>
      <c r="AF805" s="66"/>
      <c r="AG805" s="66"/>
      <c r="AH805" s="66"/>
      <c r="AI805" s="34"/>
      <c r="AJ805" s="88">
        <f t="shared" si="922"/>
        <v>0</v>
      </c>
      <c r="AK805" s="88">
        <f t="shared" si="923"/>
        <v>0</v>
      </c>
      <c r="AL805" s="88">
        <v>0</v>
      </c>
      <c r="AM805" s="88">
        <v>0</v>
      </c>
      <c r="AN805" s="81" t="str">
        <f t="shared" si="961"/>
        <v/>
      </c>
      <c r="AO805" s="88">
        <f t="shared" si="924"/>
        <v>0</v>
      </c>
      <c r="AP805" s="88">
        <f t="shared" si="925"/>
        <v>0</v>
      </c>
      <c r="AQ805" s="81" t="str">
        <f t="shared" si="926"/>
        <v/>
      </c>
      <c r="AS805" s="41" t="b">
        <f t="shared" si="927"/>
        <v>1</v>
      </c>
      <c r="AT805" s="38">
        <f t="shared" si="928"/>
        <v>0</v>
      </c>
      <c r="AU805" s="60">
        <f t="shared" si="929"/>
        <v>0</v>
      </c>
      <c r="AV805" s="41">
        <f t="shared" si="930"/>
        <v>0</v>
      </c>
      <c r="AW805" s="41" t="b">
        <f t="shared" si="931"/>
        <v>0</v>
      </c>
      <c r="AX805" t="str">
        <f t="shared" si="932"/>
        <v>+00</v>
      </c>
      <c r="AY805" t="str">
        <f t="shared" si="933"/>
        <v>+00</v>
      </c>
      <c r="BA805" s="47" t="b">
        <f t="shared" si="962"/>
        <v>1</v>
      </c>
      <c r="BB805" s="42" t="b">
        <f t="shared" si="963"/>
        <v>1</v>
      </c>
      <c r="BC805" s="42" t="b">
        <f t="shared" si="964"/>
        <v>0</v>
      </c>
      <c r="BD805" s="42" t="b">
        <f t="shared" si="965"/>
        <v>0</v>
      </c>
      <c r="BE805" s="70">
        <f t="shared" si="966"/>
        <v>0</v>
      </c>
      <c r="BF805" s="70">
        <f t="shared" si="967"/>
        <v>0</v>
      </c>
      <c r="BG805" s="34"/>
      <c r="BI805" s="47" t="b">
        <f t="shared" si="968"/>
        <v>1</v>
      </c>
      <c r="BJ805" s="47" t="b">
        <f t="shared" si="969"/>
        <v>1</v>
      </c>
      <c r="BK805" s="42" t="b">
        <f t="shared" si="970"/>
        <v>0</v>
      </c>
      <c r="BL805" s="42" t="b">
        <f t="shared" si="971"/>
        <v>0</v>
      </c>
      <c r="BM805" s="42">
        <f t="shared" si="972"/>
        <v>0</v>
      </c>
      <c r="BN805" s="42">
        <f t="shared" si="973"/>
        <v>0</v>
      </c>
      <c r="BP805" t="e">
        <f t="shared" si="974"/>
        <v>#N/A</v>
      </c>
      <c r="BQ805" t="e">
        <f t="shared" si="975"/>
        <v>#N/A</v>
      </c>
      <c r="BR805" t="e">
        <f t="shared" si="976"/>
        <v>#N/A</v>
      </c>
      <c r="BT805" s="60">
        <f t="shared" si="977"/>
        <v>0</v>
      </c>
      <c r="BU805" s="60">
        <f t="shared" si="978"/>
        <v>0</v>
      </c>
      <c r="BV805" s="60">
        <f t="shared" si="979"/>
        <v>0</v>
      </c>
      <c r="BW805" s="60">
        <f t="shared" si="980"/>
        <v>0</v>
      </c>
      <c r="BX805" s="60">
        <f t="shared" si="981"/>
        <v>0</v>
      </c>
      <c r="BY805" s="60">
        <f t="shared" si="982"/>
        <v>0</v>
      </c>
      <c r="BZ805" s="60">
        <f t="shared" si="983"/>
        <v>0</v>
      </c>
      <c r="CA805" s="60">
        <f t="shared" si="984"/>
        <v>0</v>
      </c>
      <c r="CB805" s="60" t="e">
        <f t="shared" si="934"/>
        <v>#N/A</v>
      </c>
      <c r="CC805" s="60">
        <f t="shared" si="935"/>
        <v>100000</v>
      </c>
      <c r="CD805" s="60" t="e">
        <f t="shared" si="936"/>
        <v>#N/A</v>
      </c>
      <c r="CE805" s="60">
        <f t="shared" si="937"/>
        <v>100000</v>
      </c>
      <c r="CF805" s="83" t="e">
        <f t="shared" si="985"/>
        <v>#N/A</v>
      </c>
      <c r="CG805" s="83">
        <f t="shared" si="986"/>
        <v>0</v>
      </c>
      <c r="CH805" s="83" t="e">
        <f t="shared" si="987"/>
        <v>#N/A</v>
      </c>
      <c r="CI805" s="83">
        <f t="shared" si="988"/>
        <v>0</v>
      </c>
      <c r="CJ805" s="86" t="e">
        <f t="shared" si="938"/>
        <v>#N/A</v>
      </c>
      <c r="CK805" s="82">
        <f t="shared" si="939"/>
        <v>5.3070370403969858E-3</v>
      </c>
      <c r="CL805" s="82" t="e">
        <f t="shared" si="940"/>
        <v>#N/A</v>
      </c>
      <c r="CM805" s="82">
        <f t="shared" si="941"/>
        <v>5.3070370403969858E-3</v>
      </c>
      <c r="CO805" s="149" t="str">
        <f>IF($I805&lt;&gt;"",IF(O805="User Specified",U805,INDEX('Refrigerant GWPs'!$G$2:$G$156,MATCH(O805,'Refrigerant GWPs'!$A$2:$A$156,0))),"")</f>
        <v/>
      </c>
      <c r="CP805" s="138" t="str">
        <f>IF($I805&lt;&gt;"",INDEX('Device Refrigerant Leakage'!$E$2:$E$42,MATCH($M805,'Device Refrigerant Leakage'!$B$2:$B$42,0)),"")</f>
        <v/>
      </c>
      <c r="CQ805" s="138" t="str">
        <f>IF($I805&lt;&gt;"",INDEX('Device Refrigerant Leakage'!$F$2:$F$42,MATCH($M805,'Device Refrigerant Leakage'!$B$2:$B$42,0)),"")</f>
        <v/>
      </c>
      <c r="CR805" s="145" t="str">
        <f>IF($I805&lt;&gt;"",INDEX('Device Refrigerant Leakage'!$G$2:$G$42,MATCH($M805,'Device Refrigerant Leakage'!$B$2:$B$42,0)),"")</f>
        <v/>
      </c>
      <c r="CS805" s="145" t="str">
        <f>IF($I805&lt;&gt;"",INDEX('Device Refrigerant Leakage'!$D$2:$D$42,MATCH($M805,'Device Refrigerant Leakage'!$B$2:$B$42,0))*CP805/2204.62*CO805,"")</f>
        <v/>
      </c>
      <c r="CT805" s="145" t="str">
        <f>IF($I805&lt;&gt;"",J805*(INDEX('Device Refrigerant Leakage'!$D$2:$D$42,MATCH($M805,'Device Refrigerant Leakage'!$B$2:$B$42,0))-(INDEX('Device Refrigerant Leakage'!$D$2:$D$42,MATCH($M805,'Device Refrigerant Leakage'!$B$2:$B$42,0)))*CR805*CP805)*CQ805/2204.62*CO805,"")</f>
        <v/>
      </c>
      <c r="CU805" s="135" t="str">
        <f>IF($I805&lt;&gt;"",J805*IF(W805&lt;&gt;"AR",(CS805*K805)+CT805,(CS805*AB805)+CT805*(AB805/INDEX('Device Refrigerant Leakage'!$C$2:$C$42,MATCH($M805,'Device Refrigerant Leakage'!$B$2:$B$42,0)))),"")</f>
        <v/>
      </c>
      <c r="CW805" s="135" t="str">
        <f>IF($I805&lt;&gt;"",IF(S805="User Specified",V805,INDEX('Refrigerant GWPs'!$G$2:$G$156,MATCH(S805,'Refrigerant GWPs'!$A$2:$A$157,0))),"")</f>
        <v/>
      </c>
      <c r="CX805" s="138" t="str">
        <f>IF($I805&lt;&gt;"",INDEX('Device Refrigerant Leakage'!$E$2:$E$42,MATCH($Q805,'Device Refrigerant Leakage'!$B$2:$B$42,0)),"")</f>
        <v/>
      </c>
      <c r="CY805" s="138" t="str">
        <f>IF($I805&lt;&gt;"",INDEX('Device Refrigerant Leakage'!$F$2:$F$42,MATCH($Q805,'Device Refrigerant Leakage'!$B$2:$B$42,0)),"")</f>
        <v/>
      </c>
      <c r="CZ805" s="145" t="str">
        <f>IF($I805&lt;&gt;"",INDEX('Device Refrigerant Leakage'!$G$2:$G$42,MATCH($Q805,'Device Refrigerant Leakage'!$B$2:$B$42,0)),"")</f>
        <v/>
      </c>
      <c r="DA805" s="145" t="str">
        <f>IF($I805&lt;&gt;"",J805*INDEX('Device Refrigerant Leakage'!$D$2:$D$42,MATCH($Q805,'Device Refrigerant Leakage'!$B$2:$B$42,0))*CX805/2204.62*CW805,"")</f>
        <v/>
      </c>
      <c r="DB805" s="145" t="str">
        <f>IF($I805&lt;&gt;"",J805*(INDEX('Device Refrigerant Leakage'!$D$2:$D$42,MATCH($Q805,'Device Refrigerant Leakage'!$B$2:$B$42,0))-(INDEX('Device Refrigerant Leakage'!$D$2:$D$42,MATCH($Q805,'Device Refrigerant Leakage'!$B$2:$B$42,0)))*CZ805*CX805)*CY805/2204.62*CW805,"")</f>
        <v/>
      </c>
      <c r="DC805" s="135" t="str">
        <f t="shared" si="960"/>
        <v/>
      </c>
      <c r="DE805" s="146" t="str">
        <f>IF(W805&lt;&gt;"AR","",IF(Y805="User Specified", AA805, INDEX('Refrigerant GWPs'!$G$2:$G$154,MATCH(Y805,'Refrigerant GWPs'!$A$2:$A$154,0))))</f>
        <v/>
      </c>
      <c r="DF805" s="146" t="str">
        <f>IF(W805&lt;&gt;"AR","",INDEX('Device Refrigerant Leakage'!$E$2:$E$42,MATCH(X805,'Device Refrigerant Leakage'!$B$2:$B$42,0)))</f>
        <v/>
      </c>
      <c r="DG805" s="146" t="str">
        <f>IF(W805&lt;&gt;"AR","",INDEX('Device Refrigerant Leakage'!$F$2:$F$42,MATCH(X805,'Device Refrigerant Leakage'!$B$2:$B$42,0)))</f>
        <v/>
      </c>
      <c r="DH805" s="146" t="str">
        <f>IF(W805&lt;&gt;"AR","",INDEX('Device Refrigerant Leakage'!$G$2:$G$42,MATCH(X805,'Device Refrigerant Leakage'!$B$2:$B$42,0)))</f>
        <v/>
      </c>
      <c r="DI805" s="146" t="str">
        <f>IF(W805&lt;&gt;"AR","",J805*INDEX('Device Refrigerant Leakage'!$D$2:$D$42,MATCH(X805,'Device Refrigerant Leakage'!$B$2:$B$42,0))*DF805/2204.62*DE805)</f>
        <v/>
      </c>
      <c r="DJ805" s="146" t="str">
        <f>IF(W805&lt;&gt;"AR","",J805*(INDEX('Device Refrigerant Leakage'!$D$2:$D$42,MATCH(X805,'Device Refrigerant Leakage'!$B$2:$B$42,0))-(INDEX('Device Refrigerant Leakage'!$D$2:$D$42,MATCH(X805,'Device Refrigerant Leakage'!$B$2:$B$42,0)))*DH805*DF805)*DG805/2204.62*DE805)</f>
        <v/>
      </c>
      <c r="DK805" s="146" t="str">
        <f>IF(W805&lt;&gt;"AR","",DI805*(K805-AB805)+'Fuel Sub Calcs-Deemed'!DJ805*((K805-AB805)/INDEX('Device Refrigerant Leakage'!$C$2:$C$42,MATCH('Fuel Sub Calcs-Deemed'!X805,'Device Refrigerant Leakage'!$B$2:$B$42,0))))</f>
        <v/>
      </c>
      <c r="DM805" s="56">
        <v>791</v>
      </c>
      <c r="DN805" s="67" t="e">
        <f t="shared" si="942"/>
        <v>#N/A</v>
      </c>
      <c r="DO805" s="45" t="e">
        <f t="shared" si="943"/>
        <v>#N/A</v>
      </c>
      <c r="DP805" s="67" t="e">
        <f t="shared" si="944"/>
        <v>#N/A</v>
      </c>
      <c r="DQ805" s="45" t="e">
        <f t="shared" si="945"/>
        <v>#N/A</v>
      </c>
      <c r="DR805" s="69" t="e">
        <f t="shared" si="946"/>
        <v>#N/A</v>
      </c>
      <c r="DS805" s="34"/>
      <c r="DT805" s="67" t="e">
        <f>((BX805*CJ805)+IF($W805=MAT_AR,(BZ805*CL805),0))*(1+Reference!$E$50+Reference!$E$51)</f>
        <v>#N/A</v>
      </c>
      <c r="DU805" s="67">
        <f>((BY805*CK805)+IF($W805=MAT_AR,(CA805*CM805),0))*(1+Reference!$G$50+Reference!$G$51)</f>
        <v>0</v>
      </c>
      <c r="DV805" s="67" t="e">
        <f t="shared" si="947"/>
        <v>#VALUE!</v>
      </c>
      <c r="DX805" s="56">
        <v>791</v>
      </c>
      <c r="DY805" s="67">
        <f t="shared" si="948"/>
        <v>0</v>
      </c>
      <c r="DZ805" s="45" t="e">
        <f>VLOOKUP($R805,Dropdown!$C$3:$D$4,2,FALSE)</f>
        <v>#N/A</v>
      </c>
      <c r="EA805" s="68">
        <f t="shared" si="949"/>
        <v>0</v>
      </c>
      <c r="EB805" s="68" t="str">
        <f t="shared" si="950"/>
        <v>N/A</v>
      </c>
      <c r="EC805" s="68">
        <f t="shared" si="951"/>
        <v>0</v>
      </c>
      <c r="ED805" s="68" t="str">
        <f t="shared" si="989"/>
        <v>N/A</v>
      </c>
      <c r="EF805" s="56">
        <v>791</v>
      </c>
      <c r="EG805" s="46">
        <f t="shared" si="952"/>
        <v>0</v>
      </c>
      <c r="EH805" s="68" t="e">
        <f t="shared" si="953"/>
        <v>#N/A</v>
      </c>
      <c r="EI805" s="68" t="e">
        <f t="shared" si="954"/>
        <v>#N/A</v>
      </c>
      <c r="EJ805" s="68" t="e">
        <f t="shared" si="955"/>
        <v>#N/A</v>
      </c>
      <c r="EK805" s="68" t="e">
        <f t="shared" si="956"/>
        <v>#N/A</v>
      </c>
      <c r="EL805" s="46">
        <f t="shared" si="957"/>
        <v>0</v>
      </c>
      <c r="EM805" s="46">
        <f t="shared" si="958"/>
        <v>0</v>
      </c>
    </row>
    <row r="806" spans="1:143">
      <c r="A806" s="89"/>
      <c r="B806" s="89"/>
      <c r="C806" s="89"/>
      <c r="D806" s="89"/>
      <c r="E806" s="89"/>
      <c r="F806" s="89"/>
      <c r="G806" s="34"/>
      <c r="H806" s="56">
        <f t="shared" si="959"/>
        <v>792</v>
      </c>
      <c r="I806" s="165"/>
      <c r="J806" s="163"/>
      <c r="K806" s="163"/>
      <c r="L806" s="164"/>
      <c r="M806" s="155"/>
      <c r="N806" s="155"/>
      <c r="O806" s="144"/>
      <c r="P806" s="159" t="str">
        <f>IFERROR(IF(O806&lt;&gt;"User Specified",IF(O806&lt;&gt;"", INDEX('Refrigerant GWPs'!$G$2:$G$154,MATCH(O806,'Refrigerant GWPs'!$A$2:$A$154,0)),""),U806),0)</f>
        <v/>
      </c>
      <c r="Q806" s="155"/>
      <c r="R806" s="155"/>
      <c r="S806" s="144"/>
      <c r="T806" s="159" t="str">
        <f>IF(S806&lt;&gt;"User Specified",IF(AND(S806&lt;&gt;"User Specified",S806&lt;&gt;""), INDEX('Refrigerant GWPs'!$G$2:$G$154,MATCH(S806,'Refrigerant GWPs'!$A$2:$A$154,0)),""),V806)</f>
        <v/>
      </c>
      <c r="U806" s="144"/>
      <c r="V806" s="144"/>
      <c r="W806" s="155"/>
      <c r="X806" s="155"/>
      <c r="Y806" s="144"/>
      <c r="Z806" s="159" t="str">
        <f>IF(AND(Y806&lt;&gt;"User Specified",Y806&lt;&gt;""), INDEX('Refrigerant GWPs'!$G$2:$G$154,MATCH(Y806,'Refrigerant GWPs'!$A$2:$A$154,0)),"")</f>
        <v/>
      </c>
      <c r="AA806" s="155"/>
      <c r="AB806" s="156"/>
      <c r="AC806" s="66"/>
      <c r="AD806" s="66"/>
      <c r="AE806" s="66"/>
      <c r="AF806" s="66"/>
      <c r="AG806" s="66"/>
      <c r="AH806" s="66"/>
      <c r="AI806" s="34"/>
      <c r="AJ806" s="88">
        <f t="shared" si="922"/>
        <v>0</v>
      </c>
      <c r="AK806" s="88">
        <f t="shared" si="923"/>
        <v>0</v>
      </c>
      <c r="AL806" s="88">
        <v>0</v>
      </c>
      <c r="AM806" s="88">
        <v>0</v>
      </c>
      <c r="AN806" s="81" t="str">
        <f t="shared" si="961"/>
        <v/>
      </c>
      <c r="AO806" s="88">
        <f t="shared" si="924"/>
        <v>0</v>
      </c>
      <c r="AP806" s="88">
        <f t="shared" si="925"/>
        <v>0</v>
      </c>
      <c r="AQ806" s="81" t="str">
        <f t="shared" si="926"/>
        <v/>
      </c>
      <c r="AS806" s="41" t="b">
        <f t="shared" si="927"/>
        <v>1</v>
      </c>
      <c r="AT806" s="38">
        <f t="shared" si="928"/>
        <v>0</v>
      </c>
      <c r="AU806" s="60">
        <f t="shared" si="929"/>
        <v>0</v>
      </c>
      <c r="AV806" s="41">
        <f t="shared" si="930"/>
        <v>0</v>
      </c>
      <c r="AW806" s="41" t="b">
        <f t="shared" si="931"/>
        <v>0</v>
      </c>
      <c r="AX806" t="str">
        <f t="shared" si="932"/>
        <v>+00</v>
      </c>
      <c r="AY806" t="str">
        <f t="shared" si="933"/>
        <v>+00</v>
      </c>
      <c r="BA806" s="47" t="b">
        <f t="shared" si="962"/>
        <v>1</v>
      </c>
      <c r="BB806" s="42" t="b">
        <f t="shared" si="963"/>
        <v>1</v>
      </c>
      <c r="BC806" s="42" t="b">
        <f t="shared" si="964"/>
        <v>0</v>
      </c>
      <c r="BD806" s="42" t="b">
        <f t="shared" si="965"/>
        <v>0</v>
      </c>
      <c r="BE806" s="70">
        <f t="shared" si="966"/>
        <v>0</v>
      </c>
      <c r="BF806" s="70">
        <f t="shared" si="967"/>
        <v>0</v>
      </c>
      <c r="BG806" s="34"/>
      <c r="BI806" s="47" t="b">
        <f t="shared" si="968"/>
        <v>1</v>
      </c>
      <c r="BJ806" s="47" t="b">
        <f t="shared" si="969"/>
        <v>1</v>
      </c>
      <c r="BK806" s="42" t="b">
        <f t="shared" si="970"/>
        <v>0</v>
      </c>
      <c r="BL806" s="42" t="b">
        <f t="shared" si="971"/>
        <v>0</v>
      </c>
      <c r="BM806" s="42">
        <f t="shared" si="972"/>
        <v>0</v>
      </c>
      <c r="BN806" s="42">
        <f t="shared" si="973"/>
        <v>0</v>
      </c>
      <c r="BP806" t="e">
        <f t="shared" si="974"/>
        <v>#N/A</v>
      </c>
      <c r="BQ806" t="e">
        <f t="shared" si="975"/>
        <v>#N/A</v>
      </c>
      <c r="BR806" t="e">
        <f t="shared" si="976"/>
        <v>#N/A</v>
      </c>
      <c r="BT806" s="60">
        <f t="shared" si="977"/>
        <v>0</v>
      </c>
      <c r="BU806" s="60">
        <f t="shared" si="978"/>
        <v>0</v>
      </c>
      <c r="BV806" s="60">
        <f t="shared" si="979"/>
        <v>0</v>
      </c>
      <c r="BW806" s="60">
        <f t="shared" si="980"/>
        <v>0</v>
      </c>
      <c r="BX806" s="60">
        <f t="shared" si="981"/>
        <v>0</v>
      </c>
      <c r="BY806" s="60">
        <f t="shared" si="982"/>
        <v>0</v>
      </c>
      <c r="BZ806" s="60">
        <f t="shared" si="983"/>
        <v>0</v>
      </c>
      <c r="CA806" s="60">
        <f t="shared" si="984"/>
        <v>0</v>
      </c>
      <c r="CB806" s="60" t="e">
        <f t="shared" si="934"/>
        <v>#N/A</v>
      </c>
      <c r="CC806" s="60">
        <f t="shared" si="935"/>
        <v>100000</v>
      </c>
      <c r="CD806" s="60" t="e">
        <f t="shared" si="936"/>
        <v>#N/A</v>
      </c>
      <c r="CE806" s="60">
        <f t="shared" si="937"/>
        <v>100000</v>
      </c>
      <c r="CF806" s="83" t="e">
        <f t="shared" si="985"/>
        <v>#N/A</v>
      </c>
      <c r="CG806" s="83">
        <f t="shared" si="986"/>
        <v>0</v>
      </c>
      <c r="CH806" s="83" t="e">
        <f t="shared" si="987"/>
        <v>#N/A</v>
      </c>
      <c r="CI806" s="83">
        <f t="shared" si="988"/>
        <v>0</v>
      </c>
      <c r="CJ806" s="86" t="e">
        <f t="shared" si="938"/>
        <v>#N/A</v>
      </c>
      <c r="CK806" s="82">
        <f t="shared" si="939"/>
        <v>5.3070370403969858E-3</v>
      </c>
      <c r="CL806" s="82" t="e">
        <f t="shared" si="940"/>
        <v>#N/A</v>
      </c>
      <c r="CM806" s="82">
        <f t="shared" si="941"/>
        <v>5.3070370403969858E-3</v>
      </c>
      <c r="CO806" s="149" t="str">
        <f>IF($I806&lt;&gt;"",IF(O806="User Specified",U806,INDEX('Refrigerant GWPs'!$G$2:$G$156,MATCH(O806,'Refrigerant GWPs'!$A$2:$A$156,0))),"")</f>
        <v/>
      </c>
      <c r="CP806" s="138" t="str">
        <f>IF($I806&lt;&gt;"",INDEX('Device Refrigerant Leakage'!$E$2:$E$42,MATCH($M806,'Device Refrigerant Leakage'!$B$2:$B$42,0)),"")</f>
        <v/>
      </c>
      <c r="CQ806" s="138" t="str">
        <f>IF($I806&lt;&gt;"",INDEX('Device Refrigerant Leakage'!$F$2:$F$42,MATCH($M806,'Device Refrigerant Leakage'!$B$2:$B$42,0)),"")</f>
        <v/>
      </c>
      <c r="CR806" s="145" t="str">
        <f>IF($I806&lt;&gt;"",INDEX('Device Refrigerant Leakage'!$G$2:$G$42,MATCH($M806,'Device Refrigerant Leakage'!$B$2:$B$42,0)),"")</f>
        <v/>
      </c>
      <c r="CS806" s="145" t="str">
        <f>IF($I806&lt;&gt;"",INDEX('Device Refrigerant Leakage'!$D$2:$D$42,MATCH($M806,'Device Refrigerant Leakage'!$B$2:$B$42,0))*CP806/2204.62*CO806,"")</f>
        <v/>
      </c>
      <c r="CT806" s="145" t="str">
        <f>IF($I806&lt;&gt;"",J806*(INDEX('Device Refrigerant Leakage'!$D$2:$D$42,MATCH($M806,'Device Refrigerant Leakage'!$B$2:$B$42,0))-(INDEX('Device Refrigerant Leakage'!$D$2:$D$42,MATCH($M806,'Device Refrigerant Leakage'!$B$2:$B$42,0)))*CR806*CP806)*CQ806/2204.62*CO806,"")</f>
        <v/>
      </c>
      <c r="CU806" s="135" t="str">
        <f>IF($I806&lt;&gt;"",J806*IF(W806&lt;&gt;"AR",(CS806*K806)+CT806,(CS806*AB806)+CT806*(AB806/INDEX('Device Refrigerant Leakage'!$C$2:$C$42,MATCH($M806,'Device Refrigerant Leakage'!$B$2:$B$42,0)))),"")</f>
        <v/>
      </c>
      <c r="CW806" s="135" t="str">
        <f>IF($I806&lt;&gt;"",IF(S806="User Specified",V806,INDEX('Refrigerant GWPs'!$G$2:$G$156,MATCH(S806,'Refrigerant GWPs'!$A$2:$A$157,0))),"")</f>
        <v/>
      </c>
      <c r="CX806" s="138" t="str">
        <f>IF($I806&lt;&gt;"",INDEX('Device Refrigerant Leakage'!$E$2:$E$42,MATCH($Q806,'Device Refrigerant Leakage'!$B$2:$B$42,0)),"")</f>
        <v/>
      </c>
      <c r="CY806" s="138" t="str">
        <f>IF($I806&lt;&gt;"",INDEX('Device Refrigerant Leakage'!$F$2:$F$42,MATCH($Q806,'Device Refrigerant Leakage'!$B$2:$B$42,0)),"")</f>
        <v/>
      </c>
      <c r="CZ806" s="145" t="str">
        <f>IF($I806&lt;&gt;"",INDEX('Device Refrigerant Leakage'!$G$2:$G$42,MATCH($Q806,'Device Refrigerant Leakage'!$B$2:$B$42,0)),"")</f>
        <v/>
      </c>
      <c r="DA806" s="145" t="str">
        <f>IF($I806&lt;&gt;"",J806*INDEX('Device Refrigerant Leakage'!$D$2:$D$42,MATCH($Q806,'Device Refrigerant Leakage'!$B$2:$B$42,0))*CX806/2204.62*CW806,"")</f>
        <v/>
      </c>
      <c r="DB806" s="145" t="str">
        <f>IF($I806&lt;&gt;"",J806*(INDEX('Device Refrigerant Leakage'!$D$2:$D$42,MATCH($Q806,'Device Refrigerant Leakage'!$B$2:$B$42,0))-(INDEX('Device Refrigerant Leakage'!$D$2:$D$42,MATCH($Q806,'Device Refrigerant Leakage'!$B$2:$B$42,0)))*CZ806*CX806)*CY806/2204.62*CW806,"")</f>
        <v/>
      </c>
      <c r="DC806" s="135" t="str">
        <f t="shared" si="960"/>
        <v/>
      </c>
      <c r="DE806" s="146" t="str">
        <f>IF(W806&lt;&gt;"AR","",IF(Y806="User Specified", AA806, INDEX('Refrigerant GWPs'!$G$2:$G$154,MATCH(Y806,'Refrigerant GWPs'!$A$2:$A$154,0))))</f>
        <v/>
      </c>
      <c r="DF806" s="146" t="str">
        <f>IF(W806&lt;&gt;"AR","",INDEX('Device Refrigerant Leakage'!$E$2:$E$42,MATCH(X806,'Device Refrigerant Leakage'!$B$2:$B$42,0)))</f>
        <v/>
      </c>
      <c r="DG806" s="146" t="str">
        <f>IF(W806&lt;&gt;"AR","",INDEX('Device Refrigerant Leakage'!$F$2:$F$42,MATCH(X806,'Device Refrigerant Leakage'!$B$2:$B$42,0)))</f>
        <v/>
      </c>
      <c r="DH806" s="146" t="str">
        <f>IF(W806&lt;&gt;"AR","",INDEX('Device Refrigerant Leakage'!$G$2:$G$42,MATCH(X806,'Device Refrigerant Leakage'!$B$2:$B$42,0)))</f>
        <v/>
      </c>
      <c r="DI806" s="146" t="str">
        <f>IF(W806&lt;&gt;"AR","",J806*INDEX('Device Refrigerant Leakage'!$D$2:$D$42,MATCH(X806,'Device Refrigerant Leakage'!$B$2:$B$42,0))*DF806/2204.62*DE806)</f>
        <v/>
      </c>
      <c r="DJ806" s="146" t="str">
        <f>IF(W806&lt;&gt;"AR","",J806*(INDEX('Device Refrigerant Leakage'!$D$2:$D$42,MATCH(X806,'Device Refrigerant Leakage'!$B$2:$B$42,0))-(INDEX('Device Refrigerant Leakage'!$D$2:$D$42,MATCH(X806,'Device Refrigerant Leakage'!$B$2:$B$42,0)))*DH806*DF806)*DG806/2204.62*DE806)</f>
        <v/>
      </c>
      <c r="DK806" s="146" t="str">
        <f>IF(W806&lt;&gt;"AR","",DI806*(K806-AB806)+'Fuel Sub Calcs-Deemed'!DJ806*((K806-AB806)/INDEX('Device Refrigerant Leakage'!$C$2:$C$42,MATCH('Fuel Sub Calcs-Deemed'!X806,'Device Refrigerant Leakage'!$B$2:$B$42,0))))</f>
        <v/>
      </c>
      <c r="DM806" s="56">
        <v>792</v>
      </c>
      <c r="DN806" s="67" t="e">
        <f t="shared" si="942"/>
        <v>#N/A</v>
      </c>
      <c r="DO806" s="45" t="e">
        <f t="shared" si="943"/>
        <v>#N/A</v>
      </c>
      <c r="DP806" s="67" t="e">
        <f t="shared" si="944"/>
        <v>#N/A</v>
      </c>
      <c r="DQ806" s="45" t="e">
        <f t="shared" si="945"/>
        <v>#N/A</v>
      </c>
      <c r="DR806" s="69" t="e">
        <f t="shared" si="946"/>
        <v>#N/A</v>
      </c>
      <c r="DS806" s="34"/>
      <c r="DT806" s="67" t="e">
        <f>((BX806*CJ806)+IF($W806=MAT_AR,(BZ806*CL806),0))*(1+Reference!$E$50+Reference!$E$51)</f>
        <v>#N/A</v>
      </c>
      <c r="DU806" s="67">
        <f>((BY806*CK806)+IF($W806=MAT_AR,(CA806*CM806),0))*(1+Reference!$G$50+Reference!$G$51)</f>
        <v>0</v>
      </c>
      <c r="DV806" s="67" t="e">
        <f t="shared" si="947"/>
        <v>#VALUE!</v>
      </c>
      <c r="DX806" s="56">
        <v>792</v>
      </c>
      <c r="DY806" s="67">
        <f t="shared" si="948"/>
        <v>0</v>
      </c>
      <c r="DZ806" s="45" t="e">
        <f>VLOOKUP($R806,Dropdown!$C$3:$D$4,2,FALSE)</f>
        <v>#N/A</v>
      </c>
      <c r="EA806" s="68">
        <f t="shared" si="949"/>
        <v>0</v>
      </c>
      <c r="EB806" s="68" t="str">
        <f t="shared" si="950"/>
        <v>N/A</v>
      </c>
      <c r="EC806" s="68">
        <f t="shared" si="951"/>
        <v>0</v>
      </c>
      <c r="ED806" s="68" t="str">
        <f t="shared" si="989"/>
        <v>N/A</v>
      </c>
      <c r="EF806" s="56">
        <v>792</v>
      </c>
      <c r="EG806" s="46">
        <f t="shared" si="952"/>
        <v>0</v>
      </c>
      <c r="EH806" s="68" t="e">
        <f t="shared" si="953"/>
        <v>#N/A</v>
      </c>
      <c r="EI806" s="68" t="e">
        <f t="shared" si="954"/>
        <v>#N/A</v>
      </c>
      <c r="EJ806" s="68" t="e">
        <f t="shared" si="955"/>
        <v>#N/A</v>
      </c>
      <c r="EK806" s="68" t="e">
        <f t="shared" si="956"/>
        <v>#N/A</v>
      </c>
      <c r="EL806" s="46">
        <f t="shared" si="957"/>
        <v>0</v>
      </c>
      <c r="EM806" s="46">
        <f t="shared" si="958"/>
        <v>0</v>
      </c>
    </row>
    <row r="807" spans="1:143">
      <c r="A807" s="89"/>
      <c r="B807" s="89"/>
      <c r="C807" s="89"/>
      <c r="D807" s="89"/>
      <c r="E807" s="89"/>
      <c r="F807" s="89"/>
      <c r="G807" s="34"/>
      <c r="H807" s="56">
        <f t="shared" si="959"/>
        <v>793</v>
      </c>
      <c r="I807" s="165"/>
      <c r="J807" s="163"/>
      <c r="K807" s="163"/>
      <c r="L807" s="164"/>
      <c r="M807" s="155"/>
      <c r="N807" s="155"/>
      <c r="O807" s="144"/>
      <c r="P807" s="159" t="str">
        <f>IFERROR(IF(O807&lt;&gt;"User Specified",IF(O807&lt;&gt;"", INDEX('Refrigerant GWPs'!$G$2:$G$154,MATCH(O807,'Refrigerant GWPs'!$A$2:$A$154,0)),""),U807),0)</f>
        <v/>
      </c>
      <c r="Q807" s="155"/>
      <c r="R807" s="155"/>
      <c r="S807" s="144"/>
      <c r="T807" s="159" t="str">
        <f>IF(S807&lt;&gt;"User Specified",IF(AND(S807&lt;&gt;"User Specified",S807&lt;&gt;""), INDEX('Refrigerant GWPs'!$G$2:$G$154,MATCH(S807,'Refrigerant GWPs'!$A$2:$A$154,0)),""),V807)</f>
        <v/>
      </c>
      <c r="U807" s="144"/>
      <c r="V807" s="144"/>
      <c r="W807" s="155"/>
      <c r="X807" s="155"/>
      <c r="Y807" s="144"/>
      <c r="Z807" s="159" t="str">
        <f>IF(AND(Y807&lt;&gt;"User Specified",Y807&lt;&gt;""), INDEX('Refrigerant GWPs'!$G$2:$G$154,MATCH(Y807,'Refrigerant GWPs'!$A$2:$A$154,0)),"")</f>
        <v/>
      </c>
      <c r="AA807" s="155"/>
      <c r="AB807" s="156"/>
      <c r="AC807" s="66"/>
      <c r="AD807" s="66"/>
      <c r="AE807" s="66"/>
      <c r="AF807" s="66"/>
      <c r="AG807" s="66"/>
      <c r="AH807" s="66"/>
      <c r="AI807" s="34"/>
      <c r="AJ807" s="88">
        <f t="shared" si="922"/>
        <v>0</v>
      </c>
      <c r="AK807" s="88">
        <f t="shared" si="923"/>
        <v>0</v>
      </c>
      <c r="AL807" s="88">
        <v>0</v>
      </c>
      <c r="AM807" s="88">
        <v>0</v>
      </c>
      <c r="AN807" s="81" t="str">
        <f t="shared" si="961"/>
        <v/>
      </c>
      <c r="AO807" s="88">
        <f t="shared" si="924"/>
        <v>0</v>
      </c>
      <c r="AP807" s="88">
        <f t="shared" si="925"/>
        <v>0</v>
      </c>
      <c r="AQ807" s="81" t="str">
        <f t="shared" si="926"/>
        <v/>
      </c>
      <c r="AS807" s="41" t="b">
        <f t="shared" si="927"/>
        <v>1</v>
      </c>
      <c r="AT807" s="38">
        <f t="shared" si="928"/>
        <v>0</v>
      </c>
      <c r="AU807" s="60">
        <f t="shared" si="929"/>
        <v>0</v>
      </c>
      <c r="AV807" s="41">
        <f t="shared" si="930"/>
        <v>0</v>
      </c>
      <c r="AW807" s="41" t="b">
        <f t="shared" si="931"/>
        <v>0</v>
      </c>
      <c r="AX807" t="str">
        <f t="shared" si="932"/>
        <v>+00</v>
      </c>
      <c r="AY807" t="str">
        <f t="shared" si="933"/>
        <v>+00</v>
      </c>
      <c r="BA807" s="47" t="b">
        <f t="shared" si="962"/>
        <v>1</v>
      </c>
      <c r="BB807" s="42" t="b">
        <f t="shared" si="963"/>
        <v>1</v>
      </c>
      <c r="BC807" s="42" t="b">
        <f t="shared" si="964"/>
        <v>0</v>
      </c>
      <c r="BD807" s="42" t="b">
        <f t="shared" si="965"/>
        <v>0</v>
      </c>
      <c r="BE807" s="70">
        <f t="shared" si="966"/>
        <v>0</v>
      </c>
      <c r="BF807" s="70">
        <f t="shared" si="967"/>
        <v>0</v>
      </c>
      <c r="BG807" s="34"/>
      <c r="BI807" s="47" t="b">
        <f t="shared" si="968"/>
        <v>1</v>
      </c>
      <c r="BJ807" s="47" t="b">
        <f t="shared" si="969"/>
        <v>1</v>
      </c>
      <c r="BK807" s="42" t="b">
        <f t="shared" si="970"/>
        <v>0</v>
      </c>
      <c r="BL807" s="42" t="b">
        <f t="shared" si="971"/>
        <v>0</v>
      </c>
      <c r="BM807" s="42">
        <f t="shared" si="972"/>
        <v>0</v>
      </c>
      <c r="BN807" s="42">
        <f t="shared" si="973"/>
        <v>0</v>
      </c>
      <c r="BP807" t="e">
        <f t="shared" si="974"/>
        <v>#N/A</v>
      </c>
      <c r="BQ807" t="e">
        <f t="shared" si="975"/>
        <v>#N/A</v>
      </c>
      <c r="BR807" t="e">
        <f t="shared" si="976"/>
        <v>#N/A</v>
      </c>
      <c r="BT807" s="60">
        <f t="shared" si="977"/>
        <v>0</v>
      </c>
      <c r="BU807" s="60">
        <f t="shared" si="978"/>
        <v>0</v>
      </c>
      <c r="BV807" s="60">
        <f t="shared" si="979"/>
        <v>0</v>
      </c>
      <c r="BW807" s="60">
        <f t="shared" si="980"/>
        <v>0</v>
      </c>
      <c r="BX807" s="60">
        <f t="shared" si="981"/>
        <v>0</v>
      </c>
      <c r="BY807" s="60">
        <f t="shared" si="982"/>
        <v>0</v>
      </c>
      <c r="BZ807" s="60">
        <f t="shared" si="983"/>
        <v>0</v>
      </c>
      <c r="CA807" s="60">
        <f t="shared" si="984"/>
        <v>0</v>
      </c>
      <c r="CB807" s="60" t="e">
        <f t="shared" si="934"/>
        <v>#N/A</v>
      </c>
      <c r="CC807" s="60">
        <f t="shared" si="935"/>
        <v>100000</v>
      </c>
      <c r="CD807" s="60" t="e">
        <f t="shared" si="936"/>
        <v>#N/A</v>
      </c>
      <c r="CE807" s="60">
        <f t="shared" si="937"/>
        <v>100000</v>
      </c>
      <c r="CF807" s="83" t="e">
        <f t="shared" si="985"/>
        <v>#N/A</v>
      </c>
      <c r="CG807" s="83">
        <f t="shared" si="986"/>
        <v>0</v>
      </c>
      <c r="CH807" s="83" t="e">
        <f t="shared" si="987"/>
        <v>#N/A</v>
      </c>
      <c r="CI807" s="83">
        <f t="shared" si="988"/>
        <v>0</v>
      </c>
      <c r="CJ807" s="86" t="e">
        <f t="shared" si="938"/>
        <v>#N/A</v>
      </c>
      <c r="CK807" s="82">
        <f t="shared" si="939"/>
        <v>5.3070370403969858E-3</v>
      </c>
      <c r="CL807" s="82" t="e">
        <f t="shared" si="940"/>
        <v>#N/A</v>
      </c>
      <c r="CM807" s="82">
        <f t="shared" si="941"/>
        <v>5.3070370403969858E-3</v>
      </c>
      <c r="CO807" s="149" t="str">
        <f>IF($I807&lt;&gt;"",IF(O807="User Specified",U807,INDEX('Refrigerant GWPs'!$G$2:$G$156,MATCH(O807,'Refrigerant GWPs'!$A$2:$A$156,0))),"")</f>
        <v/>
      </c>
      <c r="CP807" s="138" t="str">
        <f>IF($I807&lt;&gt;"",INDEX('Device Refrigerant Leakage'!$E$2:$E$42,MATCH($M807,'Device Refrigerant Leakage'!$B$2:$B$42,0)),"")</f>
        <v/>
      </c>
      <c r="CQ807" s="138" t="str">
        <f>IF($I807&lt;&gt;"",INDEX('Device Refrigerant Leakage'!$F$2:$F$42,MATCH($M807,'Device Refrigerant Leakage'!$B$2:$B$42,0)),"")</f>
        <v/>
      </c>
      <c r="CR807" s="145" t="str">
        <f>IF($I807&lt;&gt;"",INDEX('Device Refrigerant Leakage'!$G$2:$G$42,MATCH($M807,'Device Refrigerant Leakage'!$B$2:$B$42,0)),"")</f>
        <v/>
      </c>
      <c r="CS807" s="145" t="str">
        <f>IF($I807&lt;&gt;"",INDEX('Device Refrigerant Leakage'!$D$2:$D$42,MATCH($M807,'Device Refrigerant Leakage'!$B$2:$B$42,0))*CP807/2204.62*CO807,"")</f>
        <v/>
      </c>
      <c r="CT807" s="145" t="str">
        <f>IF($I807&lt;&gt;"",J807*(INDEX('Device Refrigerant Leakage'!$D$2:$D$42,MATCH($M807,'Device Refrigerant Leakage'!$B$2:$B$42,0))-(INDEX('Device Refrigerant Leakage'!$D$2:$D$42,MATCH($M807,'Device Refrigerant Leakage'!$B$2:$B$42,0)))*CR807*CP807)*CQ807/2204.62*CO807,"")</f>
        <v/>
      </c>
      <c r="CU807" s="135" t="str">
        <f>IF($I807&lt;&gt;"",J807*IF(W807&lt;&gt;"AR",(CS807*K807)+CT807,(CS807*AB807)+CT807*(AB807/INDEX('Device Refrigerant Leakage'!$C$2:$C$42,MATCH($M807,'Device Refrigerant Leakage'!$B$2:$B$42,0)))),"")</f>
        <v/>
      </c>
      <c r="CW807" s="135" t="str">
        <f>IF($I807&lt;&gt;"",IF(S807="User Specified",V807,INDEX('Refrigerant GWPs'!$G$2:$G$156,MATCH(S807,'Refrigerant GWPs'!$A$2:$A$157,0))),"")</f>
        <v/>
      </c>
      <c r="CX807" s="138" t="str">
        <f>IF($I807&lt;&gt;"",INDEX('Device Refrigerant Leakage'!$E$2:$E$42,MATCH($Q807,'Device Refrigerant Leakage'!$B$2:$B$42,0)),"")</f>
        <v/>
      </c>
      <c r="CY807" s="138" t="str">
        <f>IF($I807&lt;&gt;"",INDEX('Device Refrigerant Leakage'!$F$2:$F$42,MATCH($Q807,'Device Refrigerant Leakage'!$B$2:$B$42,0)),"")</f>
        <v/>
      </c>
      <c r="CZ807" s="145" t="str">
        <f>IF($I807&lt;&gt;"",INDEX('Device Refrigerant Leakage'!$G$2:$G$42,MATCH($Q807,'Device Refrigerant Leakage'!$B$2:$B$42,0)),"")</f>
        <v/>
      </c>
      <c r="DA807" s="145" t="str">
        <f>IF($I807&lt;&gt;"",J807*INDEX('Device Refrigerant Leakage'!$D$2:$D$42,MATCH($Q807,'Device Refrigerant Leakage'!$B$2:$B$42,0))*CX807/2204.62*CW807,"")</f>
        <v/>
      </c>
      <c r="DB807" s="145" t="str">
        <f>IF($I807&lt;&gt;"",J807*(INDEX('Device Refrigerant Leakage'!$D$2:$D$42,MATCH($Q807,'Device Refrigerant Leakage'!$B$2:$B$42,0))-(INDEX('Device Refrigerant Leakage'!$D$2:$D$42,MATCH($Q807,'Device Refrigerant Leakage'!$B$2:$B$42,0)))*CZ807*CX807)*CY807/2204.62*CW807,"")</f>
        <v/>
      </c>
      <c r="DC807" s="135" t="str">
        <f t="shared" si="960"/>
        <v/>
      </c>
      <c r="DE807" s="146" t="str">
        <f>IF(W807&lt;&gt;"AR","",IF(Y807="User Specified", AA807, INDEX('Refrigerant GWPs'!$G$2:$G$154,MATCH(Y807,'Refrigerant GWPs'!$A$2:$A$154,0))))</f>
        <v/>
      </c>
      <c r="DF807" s="146" t="str">
        <f>IF(W807&lt;&gt;"AR","",INDEX('Device Refrigerant Leakage'!$E$2:$E$42,MATCH(X807,'Device Refrigerant Leakage'!$B$2:$B$42,0)))</f>
        <v/>
      </c>
      <c r="DG807" s="146" t="str">
        <f>IF(W807&lt;&gt;"AR","",INDEX('Device Refrigerant Leakage'!$F$2:$F$42,MATCH(X807,'Device Refrigerant Leakage'!$B$2:$B$42,0)))</f>
        <v/>
      </c>
      <c r="DH807" s="146" t="str">
        <f>IF(W807&lt;&gt;"AR","",INDEX('Device Refrigerant Leakage'!$G$2:$G$42,MATCH(X807,'Device Refrigerant Leakage'!$B$2:$B$42,0)))</f>
        <v/>
      </c>
      <c r="DI807" s="146" t="str">
        <f>IF(W807&lt;&gt;"AR","",J807*INDEX('Device Refrigerant Leakage'!$D$2:$D$42,MATCH(X807,'Device Refrigerant Leakage'!$B$2:$B$42,0))*DF807/2204.62*DE807)</f>
        <v/>
      </c>
      <c r="DJ807" s="146" t="str">
        <f>IF(W807&lt;&gt;"AR","",J807*(INDEX('Device Refrigerant Leakage'!$D$2:$D$42,MATCH(X807,'Device Refrigerant Leakage'!$B$2:$B$42,0))-(INDEX('Device Refrigerant Leakage'!$D$2:$D$42,MATCH(X807,'Device Refrigerant Leakage'!$B$2:$B$42,0)))*DH807*DF807)*DG807/2204.62*DE807)</f>
        <v/>
      </c>
      <c r="DK807" s="146" t="str">
        <f>IF(W807&lt;&gt;"AR","",DI807*(K807-AB807)+'Fuel Sub Calcs-Deemed'!DJ807*((K807-AB807)/INDEX('Device Refrigerant Leakage'!$C$2:$C$42,MATCH('Fuel Sub Calcs-Deemed'!X807,'Device Refrigerant Leakage'!$B$2:$B$42,0))))</f>
        <v/>
      </c>
      <c r="DM807" s="56">
        <v>793</v>
      </c>
      <c r="DN807" s="67" t="e">
        <f t="shared" si="942"/>
        <v>#N/A</v>
      </c>
      <c r="DO807" s="45" t="e">
        <f t="shared" si="943"/>
        <v>#N/A</v>
      </c>
      <c r="DP807" s="67" t="e">
        <f t="shared" si="944"/>
        <v>#N/A</v>
      </c>
      <c r="DQ807" s="45" t="e">
        <f t="shared" si="945"/>
        <v>#N/A</v>
      </c>
      <c r="DR807" s="69" t="e">
        <f t="shared" si="946"/>
        <v>#N/A</v>
      </c>
      <c r="DS807" s="34"/>
      <c r="DT807" s="67" t="e">
        <f>((BX807*CJ807)+IF($W807=MAT_AR,(BZ807*CL807),0))*(1+Reference!$E$50+Reference!$E$51)</f>
        <v>#N/A</v>
      </c>
      <c r="DU807" s="67">
        <f>((BY807*CK807)+IF($W807=MAT_AR,(CA807*CM807),0))*(1+Reference!$G$50+Reference!$G$51)</f>
        <v>0</v>
      </c>
      <c r="DV807" s="67" t="e">
        <f t="shared" si="947"/>
        <v>#VALUE!</v>
      </c>
      <c r="DX807" s="56">
        <v>793</v>
      </c>
      <c r="DY807" s="67">
        <f t="shared" si="948"/>
        <v>0</v>
      </c>
      <c r="DZ807" s="45" t="e">
        <f>VLOOKUP($R807,Dropdown!$C$3:$D$4,2,FALSE)</f>
        <v>#N/A</v>
      </c>
      <c r="EA807" s="68">
        <f t="shared" si="949"/>
        <v>0</v>
      </c>
      <c r="EB807" s="68" t="str">
        <f t="shared" si="950"/>
        <v>N/A</v>
      </c>
      <c r="EC807" s="68">
        <f t="shared" si="951"/>
        <v>0</v>
      </c>
      <c r="ED807" s="68" t="str">
        <f t="shared" si="989"/>
        <v>N/A</v>
      </c>
      <c r="EF807" s="56">
        <v>793</v>
      </c>
      <c r="EG807" s="46">
        <f t="shared" si="952"/>
        <v>0</v>
      </c>
      <c r="EH807" s="68" t="e">
        <f t="shared" si="953"/>
        <v>#N/A</v>
      </c>
      <c r="EI807" s="68" t="e">
        <f t="shared" si="954"/>
        <v>#N/A</v>
      </c>
      <c r="EJ807" s="68" t="e">
        <f t="shared" si="955"/>
        <v>#N/A</v>
      </c>
      <c r="EK807" s="68" t="e">
        <f t="shared" si="956"/>
        <v>#N/A</v>
      </c>
      <c r="EL807" s="46">
        <f t="shared" si="957"/>
        <v>0</v>
      </c>
      <c r="EM807" s="46">
        <f t="shared" si="958"/>
        <v>0</v>
      </c>
    </row>
    <row r="808" spans="1:143">
      <c r="A808" s="89"/>
      <c r="B808" s="89"/>
      <c r="C808" s="89"/>
      <c r="D808" s="89"/>
      <c r="E808" s="89"/>
      <c r="F808" s="89"/>
      <c r="G808" s="34"/>
      <c r="H808" s="56">
        <f t="shared" si="959"/>
        <v>794</v>
      </c>
      <c r="I808" s="165"/>
      <c r="J808" s="163"/>
      <c r="K808" s="163"/>
      <c r="L808" s="164"/>
      <c r="M808" s="155"/>
      <c r="N808" s="155"/>
      <c r="O808" s="144"/>
      <c r="P808" s="159" t="str">
        <f>IFERROR(IF(O808&lt;&gt;"User Specified",IF(O808&lt;&gt;"", INDEX('Refrigerant GWPs'!$G$2:$G$154,MATCH(O808,'Refrigerant GWPs'!$A$2:$A$154,0)),""),U808),0)</f>
        <v/>
      </c>
      <c r="Q808" s="155"/>
      <c r="R808" s="155"/>
      <c r="S808" s="144"/>
      <c r="T808" s="159" t="str">
        <f>IF(S808&lt;&gt;"User Specified",IF(AND(S808&lt;&gt;"User Specified",S808&lt;&gt;""), INDEX('Refrigerant GWPs'!$G$2:$G$154,MATCH(S808,'Refrigerant GWPs'!$A$2:$A$154,0)),""),V808)</f>
        <v/>
      </c>
      <c r="U808" s="144"/>
      <c r="V808" s="144"/>
      <c r="W808" s="155"/>
      <c r="X808" s="155"/>
      <c r="Y808" s="144"/>
      <c r="Z808" s="159" t="str">
        <f>IF(AND(Y808&lt;&gt;"User Specified",Y808&lt;&gt;""), INDEX('Refrigerant GWPs'!$G$2:$G$154,MATCH(Y808,'Refrigerant GWPs'!$A$2:$A$154,0)),"")</f>
        <v/>
      </c>
      <c r="AA808" s="155"/>
      <c r="AB808" s="156"/>
      <c r="AC808" s="66"/>
      <c r="AD808" s="66"/>
      <c r="AE808" s="66"/>
      <c r="AF808" s="66"/>
      <c r="AG808" s="66"/>
      <c r="AH808" s="66"/>
      <c r="AI808" s="34"/>
      <c r="AJ808" s="88">
        <f t="shared" si="922"/>
        <v>0</v>
      </c>
      <c r="AK808" s="88">
        <f t="shared" si="923"/>
        <v>0</v>
      </c>
      <c r="AL808" s="88">
        <v>0</v>
      </c>
      <c r="AM808" s="88">
        <v>0</v>
      </c>
      <c r="AN808" s="81" t="str">
        <f t="shared" si="961"/>
        <v/>
      </c>
      <c r="AO808" s="88">
        <f t="shared" si="924"/>
        <v>0</v>
      </c>
      <c r="AP808" s="88">
        <f t="shared" si="925"/>
        <v>0</v>
      </c>
      <c r="AQ808" s="81" t="str">
        <f t="shared" si="926"/>
        <v/>
      </c>
      <c r="AS808" s="41" t="b">
        <f t="shared" si="927"/>
        <v>1</v>
      </c>
      <c r="AT808" s="38">
        <f t="shared" si="928"/>
        <v>0</v>
      </c>
      <c r="AU808" s="60">
        <f t="shared" si="929"/>
        <v>0</v>
      </c>
      <c r="AV808" s="41">
        <f t="shared" si="930"/>
        <v>0</v>
      </c>
      <c r="AW808" s="41" t="b">
        <f t="shared" si="931"/>
        <v>0</v>
      </c>
      <c r="AX808" t="str">
        <f t="shared" si="932"/>
        <v>+00</v>
      </c>
      <c r="AY808" t="str">
        <f t="shared" si="933"/>
        <v>+00</v>
      </c>
      <c r="BA808" s="47" t="b">
        <f t="shared" si="962"/>
        <v>1</v>
      </c>
      <c r="BB808" s="42" t="b">
        <f t="shared" si="963"/>
        <v>1</v>
      </c>
      <c r="BC808" s="42" t="b">
        <f t="shared" si="964"/>
        <v>0</v>
      </c>
      <c r="BD808" s="42" t="b">
        <f t="shared" si="965"/>
        <v>0</v>
      </c>
      <c r="BE808" s="70">
        <f t="shared" si="966"/>
        <v>0</v>
      </c>
      <c r="BF808" s="70">
        <f t="shared" si="967"/>
        <v>0</v>
      </c>
      <c r="BG808" s="34"/>
      <c r="BI808" s="47" t="b">
        <f t="shared" si="968"/>
        <v>1</v>
      </c>
      <c r="BJ808" s="47" t="b">
        <f t="shared" si="969"/>
        <v>1</v>
      </c>
      <c r="BK808" s="42" t="b">
        <f t="shared" si="970"/>
        <v>0</v>
      </c>
      <c r="BL808" s="42" t="b">
        <f t="shared" si="971"/>
        <v>0</v>
      </c>
      <c r="BM808" s="42">
        <f t="shared" si="972"/>
        <v>0</v>
      </c>
      <c r="BN808" s="42">
        <f t="shared" si="973"/>
        <v>0</v>
      </c>
      <c r="BP808" t="e">
        <f t="shared" si="974"/>
        <v>#N/A</v>
      </c>
      <c r="BQ808" t="e">
        <f t="shared" si="975"/>
        <v>#N/A</v>
      </c>
      <c r="BR808" t="e">
        <f t="shared" si="976"/>
        <v>#N/A</v>
      </c>
      <c r="BT808" s="60">
        <f t="shared" si="977"/>
        <v>0</v>
      </c>
      <c r="BU808" s="60">
        <f t="shared" si="978"/>
        <v>0</v>
      </c>
      <c r="BV808" s="60">
        <f t="shared" si="979"/>
        <v>0</v>
      </c>
      <c r="BW808" s="60">
        <f t="shared" si="980"/>
        <v>0</v>
      </c>
      <c r="BX808" s="60">
        <f t="shared" si="981"/>
        <v>0</v>
      </c>
      <c r="BY808" s="60">
        <f t="shared" si="982"/>
        <v>0</v>
      </c>
      <c r="BZ808" s="60">
        <f t="shared" si="983"/>
        <v>0</v>
      </c>
      <c r="CA808" s="60">
        <f t="shared" si="984"/>
        <v>0</v>
      </c>
      <c r="CB808" s="60" t="e">
        <f t="shared" si="934"/>
        <v>#N/A</v>
      </c>
      <c r="CC808" s="60">
        <f t="shared" si="935"/>
        <v>100000</v>
      </c>
      <c r="CD808" s="60" t="e">
        <f t="shared" si="936"/>
        <v>#N/A</v>
      </c>
      <c r="CE808" s="60">
        <f t="shared" si="937"/>
        <v>100000</v>
      </c>
      <c r="CF808" s="83" t="e">
        <f t="shared" si="985"/>
        <v>#N/A</v>
      </c>
      <c r="CG808" s="83">
        <f t="shared" si="986"/>
        <v>0</v>
      </c>
      <c r="CH808" s="83" t="e">
        <f t="shared" si="987"/>
        <v>#N/A</v>
      </c>
      <c r="CI808" s="83">
        <f t="shared" si="988"/>
        <v>0</v>
      </c>
      <c r="CJ808" s="86" t="e">
        <f t="shared" si="938"/>
        <v>#N/A</v>
      </c>
      <c r="CK808" s="82">
        <f t="shared" si="939"/>
        <v>5.3070370403969858E-3</v>
      </c>
      <c r="CL808" s="82" t="e">
        <f t="shared" si="940"/>
        <v>#N/A</v>
      </c>
      <c r="CM808" s="82">
        <f t="shared" si="941"/>
        <v>5.3070370403969858E-3</v>
      </c>
      <c r="CO808" s="149" t="str">
        <f>IF($I808&lt;&gt;"",IF(O808="User Specified",U808,INDEX('Refrigerant GWPs'!$G$2:$G$156,MATCH(O808,'Refrigerant GWPs'!$A$2:$A$156,0))),"")</f>
        <v/>
      </c>
      <c r="CP808" s="138" t="str">
        <f>IF($I808&lt;&gt;"",INDEX('Device Refrigerant Leakage'!$E$2:$E$42,MATCH($M808,'Device Refrigerant Leakage'!$B$2:$B$42,0)),"")</f>
        <v/>
      </c>
      <c r="CQ808" s="138" t="str">
        <f>IF($I808&lt;&gt;"",INDEX('Device Refrigerant Leakage'!$F$2:$F$42,MATCH($M808,'Device Refrigerant Leakage'!$B$2:$B$42,0)),"")</f>
        <v/>
      </c>
      <c r="CR808" s="145" t="str">
        <f>IF($I808&lt;&gt;"",INDEX('Device Refrigerant Leakage'!$G$2:$G$42,MATCH($M808,'Device Refrigerant Leakage'!$B$2:$B$42,0)),"")</f>
        <v/>
      </c>
      <c r="CS808" s="145" t="str">
        <f>IF($I808&lt;&gt;"",INDEX('Device Refrigerant Leakage'!$D$2:$D$42,MATCH($M808,'Device Refrigerant Leakage'!$B$2:$B$42,0))*CP808/2204.62*CO808,"")</f>
        <v/>
      </c>
      <c r="CT808" s="145" t="str">
        <f>IF($I808&lt;&gt;"",J808*(INDEX('Device Refrigerant Leakage'!$D$2:$D$42,MATCH($M808,'Device Refrigerant Leakage'!$B$2:$B$42,0))-(INDEX('Device Refrigerant Leakage'!$D$2:$D$42,MATCH($M808,'Device Refrigerant Leakage'!$B$2:$B$42,0)))*CR808*CP808)*CQ808/2204.62*CO808,"")</f>
        <v/>
      </c>
      <c r="CU808" s="135" t="str">
        <f>IF($I808&lt;&gt;"",J808*IF(W808&lt;&gt;"AR",(CS808*K808)+CT808,(CS808*AB808)+CT808*(AB808/INDEX('Device Refrigerant Leakage'!$C$2:$C$42,MATCH($M808,'Device Refrigerant Leakage'!$B$2:$B$42,0)))),"")</f>
        <v/>
      </c>
      <c r="CW808" s="135" t="str">
        <f>IF($I808&lt;&gt;"",IF(S808="User Specified",V808,INDEX('Refrigerant GWPs'!$G$2:$G$156,MATCH(S808,'Refrigerant GWPs'!$A$2:$A$157,0))),"")</f>
        <v/>
      </c>
      <c r="CX808" s="138" t="str">
        <f>IF($I808&lt;&gt;"",INDEX('Device Refrigerant Leakage'!$E$2:$E$42,MATCH($Q808,'Device Refrigerant Leakage'!$B$2:$B$42,0)),"")</f>
        <v/>
      </c>
      <c r="CY808" s="138" t="str">
        <f>IF($I808&lt;&gt;"",INDEX('Device Refrigerant Leakage'!$F$2:$F$42,MATCH($Q808,'Device Refrigerant Leakage'!$B$2:$B$42,0)),"")</f>
        <v/>
      </c>
      <c r="CZ808" s="145" t="str">
        <f>IF($I808&lt;&gt;"",INDEX('Device Refrigerant Leakage'!$G$2:$G$42,MATCH($Q808,'Device Refrigerant Leakage'!$B$2:$B$42,0)),"")</f>
        <v/>
      </c>
      <c r="DA808" s="145" t="str">
        <f>IF($I808&lt;&gt;"",J808*INDEX('Device Refrigerant Leakage'!$D$2:$D$42,MATCH($Q808,'Device Refrigerant Leakage'!$B$2:$B$42,0))*CX808/2204.62*CW808,"")</f>
        <v/>
      </c>
      <c r="DB808" s="145" t="str">
        <f>IF($I808&lt;&gt;"",J808*(INDEX('Device Refrigerant Leakage'!$D$2:$D$42,MATCH($Q808,'Device Refrigerant Leakage'!$B$2:$B$42,0))-(INDEX('Device Refrigerant Leakage'!$D$2:$D$42,MATCH($Q808,'Device Refrigerant Leakage'!$B$2:$B$42,0)))*CZ808*CX808)*CY808/2204.62*CW808,"")</f>
        <v/>
      </c>
      <c r="DC808" s="135" t="str">
        <f t="shared" si="960"/>
        <v/>
      </c>
      <c r="DE808" s="146" t="str">
        <f>IF(W808&lt;&gt;"AR","",IF(Y808="User Specified", AA808, INDEX('Refrigerant GWPs'!$G$2:$G$154,MATCH(Y808,'Refrigerant GWPs'!$A$2:$A$154,0))))</f>
        <v/>
      </c>
      <c r="DF808" s="146" t="str">
        <f>IF(W808&lt;&gt;"AR","",INDEX('Device Refrigerant Leakage'!$E$2:$E$42,MATCH(X808,'Device Refrigerant Leakage'!$B$2:$B$42,0)))</f>
        <v/>
      </c>
      <c r="DG808" s="146" t="str">
        <f>IF(W808&lt;&gt;"AR","",INDEX('Device Refrigerant Leakage'!$F$2:$F$42,MATCH(X808,'Device Refrigerant Leakage'!$B$2:$B$42,0)))</f>
        <v/>
      </c>
      <c r="DH808" s="146" t="str">
        <f>IF(W808&lt;&gt;"AR","",INDEX('Device Refrigerant Leakage'!$G$2:$G$42,MATCH(X808,'Device Refrigerant Leakage'!$B$2:$B$42,0)))</f>
        <v/>
      </c>
      <c r="DI808" s="146" t="str">
        <f>IF(W808&lt;&gt;"AR","",J808*INDEX('Device Refrigerant Leakage'!$D$2:$D$42,MATCH(X808,'Device Refrigerant Leakage'!$B$2:$B$42,0))*DF808/2204.62*DE808)</f>
        <v/>
      </c>
      <c r="DJ808" s="146" t="str">
        <f>IF(W808&lt;&gt;"AR","",J808*(INDEX('Device Refrigerant Leakage'!$D$2:$D$42,MATCH(X808,'Device Refrigerant Leakage'!$B$2:$B$42,0))-(INDEX('Device Refrigerant Leakage'!$D$2:$D$42,MATCH(X808,'Device Refrigerant Leakage'!$B$2:$B$42,0)))*DH808*DF808)*DG808/2204.62*DE808)</f>
        <v/>
      </c>
      <c r="DK808" s="146" t="str">
        <f>IF(W808&lt;&gt;"AR","",DI808*(K808-AB808)+'Fuel Sub Calcs-Deemed'!DJ808*((K808-AB808)/INDEX('Device Refrigerant Leakage'!$C$2:$C$42,MATCH('Fuel Sub Calcs-Deemed'!X808,'Device Refrigerant Leakage'!$B$2:$B$42,0))))</f>
        <v/>
      </c>
      <c r="DM808" s="56">
        <v>794</v>
      </c>
      <c r="DN808" s="67" t="e">
        <f t="shared" si="942"/>
        <v>#N/A</v>
      </c>
      <c r="DO808" s="45" t="e">
        <f t="shared" si="943"/>
        <v>#N/A</v>
      </c>
      <c r="DP808" s="67" t="e">
        <f t="shared" si="944"/>
        <v>#N/A</v>
      </c>
      <c r="DQ808" s="45" t="e">
        <f t="shared" si="945"/>
        <v>#N/A</v>
      </c>
      <c r="DR808" s="69" t="e">
        <f t="shared" si="946"/>
        <v>#N/A</v>
      </c>
      <c r="DS808" s="34"/>
      <c r="DT808" s="67" t="e">
        <f>((BX808*CJ808)+IF($W808=MAT_AR,(BZ808*CL808),0))*(1+Reference!$E$50+Reference!$E$51)</f>
        <v>#N/A</v>
      </c>
      <c r="DU808" s="67">
        <f>((BY808*CK808)+IF($W808=MAT_AR,(CA808*CM808),0))*(1+Reference!$G$50+Reference!$G$51)</f>
        <v>0</v>
      </c>
      <c r="DV808" s="67" t="e">
        <f t="shared" si="947"/>
        <v>#VALUE!</v>
      </c>
      <c r="DX808" s="56">
        <v>794</v>
      </c>
      <c r="DY808" s="67">
        <f t="shared" si="948"/>
        <v>0</v>
      </c>
      <c r="DZ808" s="45" t="e">
        <f>VLOOKUP($R808,Dropdown!$C$3:$D$4,2,FALSE)</f>
        <v>#N/A</v>
      </c>
      <c r="EA808" s="68">
        <f t="shared" si="949"/>
        <v>0</v>
      </c>
      <c r="EB808" s="68" t="str">
        <f t="shared" si="950"/>
        <v>N/A</v>
      </c>
      <c r="EC808" s="68">
        <f t="shared" si="951"/>
        <v>0</v>
      </c>
      <c r="ED808" s="68" t="str">
        <f t="shared" si="989"/>
        <v>N/A</v>
      </c>
      <c r="EF808" s="56">
        <v>794</v>
      </c>
      <c r="EG808" s="46">
        <f t="shared" si="952"/>
        <v>0</v>
      </c>
      <c r="EH808" s="68" t="e">
        <f t="shared" si="953"/>
        <v>#N/A</v>
      </c>
      <c r="EI808" s="68" t="e">
        <f t="shared" si="954"/>
        <v>#N/A</v>
      </c>
      <c r="EJ808" s="68" t="e">
        <f t="shared" si="955"/>
        <v>#N/A</v>
      </c>
      <c r="EK808" s="68" t="e">
        <f t="shared" si="956"/>
        <v>#N/A</v>
      </c>
      <c r="EL808" s="46">
        <f t="shared" si="957"/>
        <v>0</v>
      </c>
      <c r="EM808" s="46">
        <f t="shared" si="958"/>
        <v>0</v>
      </c>
    </row>
    <row r="809" spans="1:143">
      <c r="A809" s="89"/>
      <c r="B809" s="89"/>
      <c r="C809" s="89"/>
      <c r="D809" s="89"/>
      <c r="E809" s="89"/>
      <c r="F809" s="89"/>
      <c r="G809" s="34"/>
      <c r="H809" s="56">
        <f t="shared" si="959"/>
        <v>795</v>
      </c>
      <c r="I809" s="165"/>
      <c r="J809" s="163"/>
      <c r="K809" s="163"/>
      <c r="L809" s="164"/>
      <c r="M809" s="155"/>
      <c r="N809" s="155"/>
      <c r="O809" s="144"/>
      <c r="P809" s="159" t="str">
        <f>IFERROR(IF(O809&lt;&gt;"User Specified",IF(O809&lt;&gt;"", INDEX('Refrigerant GWPs'!$G$2:$G$154,MATCH(O809,'Refrigerant GWPs'!$A$2:$A$154,0)),""),U809),0)</f>
        <v/>
      </c>
      <c r="Q809" s="155"/>
      <c r="R809" s="155"/>
      <c r="S809" s="144"/>
      <c r="T809" s="159" t="str">
        <f>IF(S809&lt;&gt;"User Specified",IF(AND(S809&lt;&gt;"User Specified",S809&lt;&gt;""), INDEX('Refrigerant GWPs'!$G$2:$G$154,MATCH(S809,'Refrigerant GWPs'!$A$2:$A$154,0)),""),V809)</f>
        <v/>
      </c>
      <c r="U809" s="144"/>
      <c r="V809" s="144"/>
      <c r="W809" s="155"/>
      <c r="X809" s="155"/>
      <c r="Y809" s="144"/>
      <c r="Z809" s="159" t="str">
        <f>IF(AND(Y809&lt;&gt;"User Specified",Y809&lt;&gt;""), INDEX('Refrigerant GWPs'!$G$2:$G$154,MATCH(Y809,'Refrigerant GWPs'!$A$2:$A$154,0)),"")</f>
        <v/>
      </c>
      <c r="AA809" s="155"/>
      <c r="AB809" s="156"/>
      <c r="AC809" s="66"/>
      <c r="AD809" s="66"/>
      <c r="AE809" s="66"/>
      <c r="AF809" s="66"/>
      <c r="AG809" s="66"/>
      <c r="AH809" s="66"/>
      <c r="AI809" s="34"/>
      <c r="AJ809" s="88">
        <f t="shared" si="922"/>
        <v>0</v>
      </c>
      <c r="AK809" s="88">
        <f t="shared" si="923"/>
        <v>0</v>
      </c>
      <c r="AL809" s="88">
        <v>0</v>
      </c>
      <c r="AM809" s="88">
        <v>0</v>
      </c>
      <c r="AN809" s="81" t="str">
        <f t="shared" si="961"/>
        <v/>
      </c>
      <c r="AO809" s="88">
        <f t="shared" si="924"/>
        <v>0</v>
      </c>
      <c r="AP809" s="88">
        <f t="shared" si="925"/>
        <v>0</v>
      </c>
      <c r="AQ809" s="81" t="str">
        <f t="shared" si="926"/>
        <v/>
      </c>
      <c r="AS809" s="41" t="b">
        <f t="shared" si="927"/>
        <v>1</v>
      </c>
      <c r="AT809" s="38">
        <f t="shared" si="928"/>
        <v>0</v>
      </c>
      <c r="AU809" s="60">
        <f t="shared" si="929"/>
        <v>0</v>
      </c>
      <c r="AV809" s="41">
        <f t="shared" si="930"/>
        <v>0</v>
      </c>
      <c r="AW809" s="41" t="b">
        <f t="shared" si="931"/>
        <v>0</v>
      </c>
      <c r="AX809" t="str">
        <f t="shared" si="932"/>
        <v>+00</v>
      </c>
      <c r="AY809" t="str">
        <f t="shared" si="933"/>
        <v>+00</v>
      </c>
      <c r="BA809" s="47" t="b">
        <f t="shared" si="962"/>
        <v>1</v>
      </c>
      <c r="BB809" s="42" t="b">
        <f t="shared" si="963"/>
        <v>1</v>
      </c>
      <c r="BC809" s="42" t="b">
        <f t="shared" si="964"/>
        <v>0</v>
      </c>
      <c r="BD809" s="42" t="b">
        <f t="shared" si="965"/>
        <v>0</v>
      </c>
      <c r="BE809" s="70">
        <f t="shared" si="966"/>
        <v>0</v>
      </c>
      <c r="BF809" s="70">
        <f t="shared" si="967"/>
        <v>0</v>
      </c>
      <c r="BG809" s="34"/>
      <c r="BI809" s="47" t="b">
        <f t="shared" si="968"/>
        <v>1</v>
      </c>
      <c r="BJ809" s="47" t="b">
        <f t="shared" si="969"/>
        <v>1</v>
      </c>
      <c r="BK809" s="42" t="b">
        <f t="shared" si="970"/>
        <v>0</v>
      </c>
      <c r="BL809" s="42" t="b">
        <f t="shared" si="971"/>
        <v>0</v>
      </c>
      <c r="BM809" s="42">
        <f t="shared" si="972"/>
        <v>0</v>
      </c>
      <c r="BN809" s="42">
        <f t="shared" si="973"/>
        <v>0</v>
      </c>
      <c r="BP809" t="e">
        <f t="shared" si="974"/>
        <v>#N/A</v>
      </c>
      <c r="BQ809" t="e">
        <f t="shared" si="975"/>
        <v>#N/A</v>
      </c>
      <c r="BR809" t="e">
        <f t="shared" si="976"/>
        <v>#N/A</v>
      </c>
      <c r="BT809" s="60">
        <f t="shared" si="977"/>
        <v>0</v>
      </c>
      <c r="BU809" s="60">
        <f t="shared" si="978"/>
        <v>0</v>
      </c>
      <c r="BV809" s="60">
        <f t="shared" si="979"/>
        <v>0</v>
      </c>
      <c r="BW809" s="60">
        <f t="shared" si="980"/>
        <v>0</v>
      </c>
      <c r="BX809" s="60">
        <f t="shared" si="981"/>
        <v>0</v>
      </c>
      <c r="BY809" s="60">
        <f t="shared" si="982"/>
        <v>0</v>
      </c>
      <c r="BZ809" s="60">
        <f t="shared" si="983"/>
        <v>0</v>
      </c>
      <c r="CA809" s="60">
        <f t="shared" si="984"/>
        <v>0</v>
      </c>
      <c r="CB809" s="60" t="e">
        <f t="shared" si="934"/>
        <v>#N/A</v>
      </c>
      <c r="CC809" s="60">
        <f t="shared" si="935"/>
        <v>100000</v>
      </c>
      <c r="CD809" s="60" t="e">
        <f t="shared" si="936"/>
        <v>#N/A</v>
      </c>
      <c r="CE809" s="60">
        <f t="shared" si="937"/>
        <v>100000</v>
      </c>
      <c r="CF809" s="83" t="e">
        <f t="shared" si="985"/>
        <v>#N/A</v>
      </c>
      <c r="CG809" s="83">
        <f t="shared" si="986"/>
        <v>0</v>
      </c>
      <c r="CH809" s="83" t="e">
        <f t="shared" si="987"/>
        <v>#N/A</v>
      </c>
      <c r="CI809" s="83">
        <f t="shared" si="988"/>
        <v>0</v>
      </c>
      <c r="CJ809" s="86" t="e">
        <f t="shared" si="938"/>
        <v>#N/A</v>
      </c>
      <c r="CK809" s="82">
        <f t="shared" si="939"/>
        <v>5.3070370403969858E-3</v>
      </c>
      <c r="CL809" s="82" t="e">
        <f t="shared" si="940"/>
        <v>#N/A</v>
      </c>
      <c r="CM809" s="82">
        <f t="shared" si="941"/>
        <v>5.3070370403969858E-3</v>
      </c>
      <c r="CO809" s="149" t="str">
        <f>IF($I809&lt;&gt;"",IF(O809="User Specified",U809,INDEX('Refrigerant GWPs'!$G$2:$G$156,MATCH(O809,'Refrigerant GWPs'!$A$2:$A$156,0))),"")</f>
        <v/>
      </c>
      <c r="CP809" s="138" t="str">
        <f>IF($I809&lt;&gt;"",INDEX('Device Refrigerant Leakage'!$E$2:$E$42,MATCH($M809,'Device Refrigerant Leakage'!$B$2:$B$42,0)),"")</f>
        <v/>
      </c>
      <c r="CQ809" s="138" t="str">
        <f>IF($I809&lt;&gt;"",INDEX('Device Refrigerant Leakage'!$F$2:$F$42,MATCH($M809,'Device Refrigerant Leakage'!$B$2:$B$42,0)),"")</f>
        <v/>
      </c>
      <c r="CR809" s="145" t="str">
        <f>IF($I809&lt;&gt;"",INDEX('Device Refrigerant Leakage'!$G$2:$G$42,MATCH($M809,'Device Refrigerant Leakage'!$B$2:$B$42,0)),"")</f>
        <v/>
      </c>
      <c r="CS809" s="145" t="str">
        <f>IF($I809&lt;&gt;"",INDEX('Device Refrigerant Leakage'!$D$2:$D$42,MATCH($M809,'Device Refrigerant Leakage'!$B$2:$B$42,0))*CP809/2204.62*CO809,"")</f>
        <v/>
      </c>
      <c r="CT809" s="145" t="str">
        <f>IF($I809&lt;&gt;"",J809*(INDEX('Device Refrigerant Leakage'!$D$2:$D$42,MATCH($M809,'Device Refrigerant Leakage'!$B$2:$B$42,0))-(INDEX('Device Refrigerant Leakage'!$D$2:$D$42,MATCH($M809,'Device Refrigerant Leakage'!$B$2:$B$42,0)))*CR809*CP809)*CQ809/2204.62*CO809,"")</f>
        <v/>
      </c>
      <c r="CU809" s="135" t="str">
        <f>IF($I809&lt;&gt;"",J809*IF(W809&lt;&gt;"AR",(CS809*K809)+CT809,(CS809*AB809)+CT809*(AB809/INDEX('Device Refrigerant Leakage'!$C$2:$C$42,MATCH($M809,'Device Refrigerant Leakage'!$B$2:$B$42,0)))),"")</f>
        <v/>
      </c>
      <c r="CW809" s="135" t="str">
        <f>IF($I809&lt;&gt;"",IF(S809="User Specified",V809,INDEX('Refrigerant GWPs'!$G$2:$G$156,MATCH(S809,'Refrigerant GWPs'!$A$2:$A$157,0))),"")</f>
        <v/>
      </c>
      <c r="CX809" s="138" t="str">
        <f>IF($I809&lt;&gt;"",INDEX('Device Refrigerant Leakage'!$E$2:$E$42,MATCH($Q809,'Device Refrigerant Leakage'!$B$2:$B$42,0)),"")</f>
        <v/>
      </c>
      <c r="CY809" s="138" t="str">
        <f>IF($I809&lt;&gt;"",INDEX('Device Refrigerant Leakage'!$F$2:$F$42,MATCH($Q809,'Device Refrigerant Leakage'!$B$2:$B$42,0)),"")</f>
        <v/>
      </c>
      <c r="CZ809" s="145" t="str">
        <f>IF($I809&lt;&gt;"",INDEX('Device Refrigerant Leakage'!$G$2:$G$42,MATCH($Q809,'Device Refrigerant Leakage'!$B$2:$B$42,0)),"")</f>
        <v/>
      </c>
      <c r="DA809" s="145" t="str">
        <f>IF($I809&lt;&gt;"",J809*INDEX('Device Refrigerant Leakage'!$D$2:$D$42,MATCH($Q809,'Device Refrigerant Leakage'!$B$2:$B$42,0))*CX809/2204.62*CW809,"")</f>
        <v/>
      </c>
      <c r="DB809" s="145" t="str">
        <f>IF($I809&lt;&gt;"",J809*(INDEX('Device Refrigerant Leakage'!$D$2:$D$42,MATCH($Q809,'Device Refrigerant Leakage'!$B$2:$B$42,0))-(INDEX('Device Refrigerant Leakage'!$D$2:$D$42,MATCH($Q809,'Device Refrigerant Leakage'!$B$2:$B$42,0)))*CZ809*CX809)*CY809/2204.62*CW809,"")</f>
        <v/>
      </c>
      <c r="DC809" s="135" t="str">
        <f t="shared" si="960"/>
        <v/>
      </c>
      <c r="DE809" s="146" t="str">
        <f>IF(W809&lt;&gt;"AR","",IF(Y809="User Specified", AA809, INDEX('Refrigerant GWPs'!$G$2:$G$154,MATCH(Y809,'Refrigerant GWPs'!$A$2:$A$154,0))))</f>
        <v/>
      </c>
      <c r="DF809" s="146" t="str">
        <f>IF(W809&lt;&gt;"AR","",INDEX('Device Refrigerant Leakage'!$E$2:$E$42,MATCH(X809,'Device Refrigerant Leakage'!$B$2:$B$42,0)))</f>
        <v/>
      </c>
      <c r="DG809" s="146" t="str">
        <f>IF(W809&lt;&gt;"AR","",INDEX('Device Refrigerant Leakage'!$F$2:$F$42,MATCH(X809,'Device Refrigerant Leakage'!$B$2:$B$42,0)))</f>
        <v/>
      </c>
      <c r="DH809" s="146" t="str">
        <f>IF(W809&lt;&gt;"AR","",INDEX('Device Refrigerant Leakage'!$G$2:$G$42,MATCH(X809,'Device Refrigerant Leakage'!$B$2:$B$42,0)))</f>
        <v/>
      </c>
      <c r="DI809" s="146" t="str">
        <f>IF(W809&lt;&gt;"AR","",J809*INDEX('Device Refrigerant Leakage'!$D$2:$D$42,MATCH(X809,'Device Refrigerant Leakage'!$B$2:$B$42,0))*DF809/2204.62*DE809)</f>
        <v/>
      </c>
      <c r="DJ809" s="146" t="str">
        <f>IF(W809&lt;&gt;"AR","",J809*(INDEX('Device Refrigerant Leakage'!$D$2:$D$42,MATCH(X809,'Device Refrigerant Leakage'!$B$2:$B$42,0))-(INDEX('Device Refrigerant Leakage'!$D$2:$D$42,MATCH(X809,'Device Refrigerant Leakage'!$B$2:$B$42,0)))*DH809*DF809)*DG809/2204.62*DE809)</f>
        <v/>
      </c>
      <c r="DK809" s="146" t="str">
        <f>IF(W809&lt;&gt;"AR","",DI809*(K809-AB809)+'Fuel Sub Calcs-Deemed'!DJ809*((K809-AB809)/INDEX('Device Refrigerant Leakage'!$C$2:$C$42,MATCH('Fuel Sub Calcs-Deemed'!X809,'Device Refrigerant Leakage'!$B$2:$B$42,0))))</f>
        <v/>
      </c>
      <c r="DM809" s="56">
        <v>795</v>
      </c>
      <c r="DN809" s="67" t="e">
        <f t="shared" si="942"/>
        <v>#N/A</v>
      </c>
      <c r="DO809" s="45" t="e">
        <f t="shared" si="943"/>
        <v>#N/A</v>
      </c>
      <c r="DP809" s="67" t="e">
        <f t="shared" si="944"/>
        <v>#N/A</v>
      </c>
      <c r="DQ809" s="45" t="e">
        <f t="shared" si="945"/>
        <v>#N/A</v>
      </c>
      <c r="DR809" s="69" t="e">
        <f t="shared" si="946"/>
        <v>#N/A</v>
      </c>
      <c r="DS809" s="34"/>
      <c r="DT809" s="67" t="e">
        <f>((BX809*CJ809)+IF($W809=MAT_AR,(BZ809*CL809),0))*(1+Reference!$E$50+Reference!$E$51)</f>
        <v>#N/A</v>
      </c>
      <c r="DU809" s="67">
        <f>((BY809*CK809)+IF($W809=MAT_AR,(CA809*CM809),0))*(1+Reference!$G$50+Reference!$G$51)</f>
        <v>0</v>
      </c>
      <c r="DV809" s="67" t="e">
        <f t="shared" si="947"/>
        <v>#VALUE!</v>
      </c>
      <c r="DX809" s="56">
        <v>795</v>
      </c>
      <c r="DY809" s="67">
        <f t="shared" si="948"/>
        <v>0</v>
      </c>
      <c r="DZ809" s="45" t="e">
        <f>VLOOKUP($R809,Dropdown!$C$3:$D$4,2,FALSE)</f>
        <v>#N/A</v>
      </c>
      <c r="EA809" s="68">
        <f t="shared" si="949"/>
        <v>0</v>
      </c>
      <c r="EB809" s="68" t="str">
        <f t="shared" si="950"/>
        <v>N/A</v>
      </c>
      <c r="EC809" s="68">
        <f t="shared" si="951"/>
        <v>0</v>
      </c>
      <c r="ED809" s="68" t="str">
        <f t="shared" si="989"/>
        <v>N/A</v>
      </c>
      <c r="EF809" s="56">
        <v>795</v>
      </c>
      <c r="EG809" s="46">
        <f t="shared" si="952"/>
        <v>0</v>
      </c>
      <c r="EH809" s="68" t="e">
        <f t="shared" si="953"/>
        <v>#N/A</v>
      </c>
      <c r="EI809" s="68" t="e">
        <f t="shared" si="954"/>
        <v>#N/A</v>
      </c>
      <c r="EJ809" s="68" t="e">
        <f t="shared" si="955"/>
        <v>#N/A</v>
      </c>
      <c r="EK809" s="68" t="e">
        <f t="shared" si="956"/>
        <v>#N/A</v>
      </c>
      <c r="EL809" s="46">
        <f t="shared" si="957"/>
        <v>0</v>
      </c>
      <c r="EM809" s="46">
        <f t="shared" si="958"/>
        <v>0</v>
      </c>
    </row>
    <row r="810" spans="1:143">
      <c r="A810" s="89"/>
      <c r="B810" s="89"/>
      <c r="C810" s="89"/>
      <c r="D810" s="89"/>
      <c r="E810" s="89"/>
      <c r="F810" s="89"/>
      <c r="G810" s="34"/>
      <c r="H810" s="56">
        <f t="shared" si="959"/>
        <v>796</v>
      </c>
      <c r="I810" s="165"/>
      <c r="J810" s="163"/>
      <c r="K810" s="163"/>
      <c r="L810" s="164"/>
      <c r="M810" s="155"/>
      <c r="N810" s="155"/>
      <c r="O810" s="144"/>
      <c r="P810" s="159" t="str">
        <f>IFERROR(IF(O810&lt;&gt;"User Specified",IF(O810&lt;&gt;"", INDEX('Refrigerant GWPs'!$G$2:$G$154,MATCH(O810,'Refrigerant GWPs'!$A$2:$A$154,0)),""),U810),0)</f>
        <v/>
      </c>
      <c r="Q810" s="155"/>
      <c r="R810" s="155"/>
      <c r="S810" s="144"/>
      <c r="T810" s="159" t="str">
        <f>IF(S810&lt;&gt;"User Specified",IF(AND(S810&lt;&gt;"User Specified",S810&lt;&gt;""), INDEX('Refrigerant GWPs'!$G$2:$G$154,MATCH(S810,'Refrigerant GWPs'!$A$2:$A$154,0)),""),V810)</f>
        <v/>
      </c>
      <c r="U810" s="144"/>
      <c r="V810" s="144"/>
      <c r="W810" s="155"/>
      <c r="X810" s="155"/>
      <c r="Y810" s="144"/>
      <c r="Z810" s="159" t="str">
        <f>IF(AND(Y810&lt;&gt;"User Specified",Y810&lt;&gt;""), INDEX('Refrigerant GWPs'!$G$2:$G$154,MATCH(Y810,'Refrigerant GWPs'!$A$2:$A$154,0)),"")</f>
        <v/>
      </c>
      <c r="AA810" s="155"/>
      <c r="AB810" s="156"/>
      <c r="AC810" s="66"/>
      <c r="AD810" s="66"/>
      <c r="AE810" s="66"/>
      <c r="AF810" s="66"/>
      <c r="AG810" s="66"/>
      <c r="AH810" s="66"/>
      <c r="AI810" s="34"/>
      <c r="AJ810" s="88">
        <f t="shared" si="922"/>
        <v>0</v>
      </c>
      <c r="AK810" s="88">
        <f t="shared" si="923"/>
        <v>0</v>
      </c>
      <c r="AL810" s="88">
        <v>0</v>
      </c>
      <c r="AM810" s="88">
        <v>0</v>
      </c>
      <c r="AN810" s="81" t="str">
        <f t="shared" si="961"/>
        <v/>
      </c>
      <c r="AO810" s="88">
        <f t="shared" si="924"/>
        <v>0</v>
      </c>
      <c r="AP810" s="88">
        <f t="shared" si="925"/>
        <v>0</v>
      </c>
      <c r="AQ810" s="81" t="str">
        <f t="shared" si="926"/>
        <v/>
      </c>
      <c r="AS810" s="41" t="b">
        <f t="shared" si="927"/>
        <v>1</v>
      </c>
      <c r="AT810" s="38">
        <f t="shared" si="928"/>
        <v>0</v>
      </c>
      <c r="AU810" s="60">
        <f t="shared" si="929"/>
        <v>0</v>
      </c>
      <c r="AV810" s="41">
        <f t="shared" si="930"/>
        <v>0</v>
      </c>
      <c r="AW810" s="41" t="b">
        <f t="shared" si="931"/>
        <v>0</v>
      </c>
      <c r="AX810" t="str">
        <f t="shared" si="932"/>
        <v>+00</v>
      </c>
      <c r="AY810" t="str">
        <f t="shared" si="933"/>
        <v>+00</v>
      </c>
      <c r="BA810" s="47" t="b">
        <f t="shared" si="962"/>
        <v>1</v>
      </c>
      <c r="BB810" s="42" t="b">
        <f t="shared" si="963"/>
        <v>1</v>
      </c>
      <c r="BC810" s="42" t="b">
        <f t="shared" si="964"/>
        <v>0</v>
      </c>
      <c r="BD810" s="42" t="b">
        <f t="shared" si="965"/>
        <v>0</v>
      </c>
      <c r="BE810" s="70">
        <f t="shared" si="966"/>
        <v>0</v>
      </c>
      <c r="BF810" s="70">
        <f t="shared" si="967"/>
        <v>0</v>
      </c>
      <c r="BG810" s="34"/>
      <c r="BI810" s="47" t="b">
        <f t="shared" si="968"/>
        <v>1</v>
      </c>
      <c r="BJ810" s="47" t="b">
        <f t="shared" si="969"/>
        <v>1</v>
      </c>
      <c r="BK810" s="42" t="b">
        <f t="shared" si="970"/>
        <v>0</v>
      </c>
      <c r="BL810" s="42" t="b">
        <f t="shared" si="971"/>
        <v>0</v>
      </c>
      <c r="BM810" s="42">
        <f t="shared" si="972"/>
        <v>0</v>
      </c>
      <c r="BN810" s="42">
        <f t="shared" si="973"/>
        <v>0</v>
      </c>
      <c r="BP810" t="e">
        <f t="shared" si="974"/>
        <v>#N/A</v>
      </c>
      <c r="BQ810" t="e">
        <f t="shared" si="975"/>
        <v>#N/A</v>
      </c>
      <c r="BR810" t="e">
        <f t="shared" si="976"/>
        <v>#N/A</v>
      </c>
      <c r="BT810" s="60">
        <f t="shared" si="977"/>
        <v>0</v>
      </c>
      <c r="BU810" s="60">
        <f t="shared" si="978"/>
        <v>0</v>
      </c>
      <c r="BV810" s="60">
        <f t="shared" si="979"/>
        <v>0</v>
      </c>
      <c r="BW810" s="60">
        <f t="shared" si="980"/>
        <v>0</v>
      </c>
      <c r="BX810" s="60">
        <f t="shared" si="981"/>
        <v>0</v>
      </c>
      <c r="BY810" s="60">
        <f t="shared" si="982"/>
        <v>0</v>
      </c>
      <c r="BZ810" s="60">
        <f t="shared" si="983"/>
        <v>0</v>
      </c>
      <c r="CA810" s="60">
        <f t="shared" si="984"/>
        <v>0</v>
      </c>
      <c r="CB810" s="60" t="e">
        <f t="shared" si="934"/>
        <v>#N/A</v>
      </c>
      <c r="CC810" s="60">
        <f t="shared" si="935"/>
        <v>100000</v>
      </c>
      <c r="CD810" s="60" t="e">
        <f t="shared" si="936"/>
        <v>#N/A</v>
      </c>
      <c r="CE810" s="60">
        <f t="shared" si="937"/>
        <v>100000</v>
      </c>
      <c r="CF810" s="83" t="e">
        <f t="shared" si="985"/>
        <v>#N/A</v>
      </c>
      <c r="CG810" s="83">
        <f t="shared" si="986"/>
        <v>0</v>
      </c>
      <c r="CH810" s="83" t="e">
        <f t="shared" si="987"/>
        <v>#N/A</v>
      </c>
      <c r="CI810" s="83">
        <f t="shared" si="988"/>
        <v>0</v>
      </c>
      <c r="CJ810" s="86" t="e">
        <f t="shared" si="938"/>
        <v>#N/A</v>
      </c>
      <c r="CK810" s="82">
        <f t="shared" si="939"/>
        <v>5.3070370403969858E-3</v>
      </c>
      <c r="CL810" s="82" t="e">
        <f t="shared" si="940"/>
        <v>#N/A</v>
      </c>
      <c r="CM810" s="82">
        <f t="shared" si="941"/>
        <v>5.3070370403969858E-3</v>
      </c>
      <c r="CO810" s="149" t="str">
        <f>IF($I810&lt;&gt;"",IF(O810="User Specified",U810,INDEX('Refrigerant GWPs'!$G$2:$G$156,MATCH(O810,'Refrigerant GWPs'!$A$2:$A$156,0))),"")</f>
        <v/>
      </c>
      <c r="CP810" s="138" t="str">
        <f>IF($I810&lt;&gt;"",INDEX('Device Refrigerant Leakage'!$E$2:$E$42,MATCH($M810,'Device Refrigerant Leakage'!$B$2:$B$42,0)),"")</f>
        <v/>
      </c>
      <c r="CQ810" s="138" t="str">
        <f>IF($I810&lt;&gt;"",INDEX('Device Refrigerant Leakage'!$F$2:$F$42,MATCH($M810,'Device Refrigerant Leakage'!$B$2:$B$42,0)),"")</f>
        <v/>
      </c>
      <c r="CR810" s="145" t="str">
        <f>IF($I810&lt;&gt;"",INDEX('Device Refrigerant Leakage'!$G$2:$G$42,MATCH($M810,'Device Refrigerant Leakage'!$B$2:$B$42,0)),"")</f>
        <v/>
      </c>
      <c r="CS810" s="145" t="str">
        <f>IF($I810&lt;&gt;"",INDEX('Device Refrigerant Leakage'!$D$2:$D$42,MATCH($M810,'Device Refrigerant Leakage'!$B$2:$B$42,0))*CP810/2204.62*CO810,"")</f>
        <v/>
      </c>
      <c r="CT810" s="145" t="str">
        <f>IF($I810&lt;&gt;"",J810*(INDEX('Device Refrigerant Leakage'!$D$2:$D$42,MATCH($M810,'Device Refrigerant Leakage'!$B$2:$B$42,0))-(INDEX('Device Refrigerant Leakage'!$D$2:$D$42,MATCH($M810,'Device Refrigerant Leakage'!$B$2:$B$42,0)))*CR810*CP810)*CQ810/2204.62*CO810,"")</f>
        <v/>
      </c>
      <c r="CU810" s="135" t="str">
        <f>IF($I810&lt;&gt;"",J810*IF(W810&lt;&gt;"AR",(CS810*K810)+CT810,(CS810*AB810)+CT810*(AB810/INDEX('Device Refrigerant Leakage'!$C$2:$C$42,MATCH($M810,'Device Refrigerant Leakage'!$B$2:$B$42,0)))),"")</f>
        <v/>
      </c>
      <c r="CW810" s="135" t="str">
        <f>IF($I810&lt;&gt;"",IF(S810="User Specified",V810,INDEX('Refrigerant GWPs'!$G$2:$G$156,MATCH(S810,'Refrigerant GWPs'!$A$2:$A$157,0))),"")</f>
        <v/>
      </c>
      <c r="CX810" s="138" t="str">
        <f>IF($I810&lt;&gt;"",INDEX('Device Refrigerant Leakage'!$E$2:$E$42,MATCH($Q810,'Device Refrigerant Leakage'!$B$2:$B$42,0)),"")</f>
        <v/>
      </c>
      <c r="CY810" s="138" t="str">
        <f>IF($I810&lt;&gt;"",INDEX('Device Refrigerant Leakage'!$F$2:$F$42,MATCH($Q810,'Device Refrigerant Leakage'!$B$2:$B$42,0)),"")</f>
        <v/>
      </c>
      <c r="CZ810" s="145" t="str">
        <f>IF($I810&lt;&gt;"",INDEX('Device Refrigerant Leakage'!$G$2:$G$42,MATCH($Q810,'Device Refrigerant Leakage'!$B$2:$B$42,0)),"")</f>
        <v/>
      </c>
      <c r="DA810" s="145" t="str">
        <f>IF($I810&lt;&gt;"",J810*INDEX('Device Refrigerant Leakage'!$D$2:$D$42,MATCH($Q810,'Device Refrigerant Leakage'!$B$2:$B$42,0))*CX810/2204.62*CW810,"")</f>
        <v/>
      </c>
      <c r="DB810" s="145" t="str">
        <f>IF($I810&lt;&gt;"",J810*(INDEX('Device Refrigerant Leakage'!$D$2:$D$42,MATCH($Q810,'Device Refrigerant Leakage'!$B$2:$B$42,0))-(INDEX('Device Refrigerant Leakage'!$D$2:$D$42,MATCH($Q810,'Device Refrigerant Leakage'!$B$2:$B$42,0)))*CZ810*CX810)*CY810/2204.62*CW810,"")</f>
        <v/>
      </c>
      <c r="DC810" s="135" t="str">
        <f t="shared" si="960"/>
        <v/>
      </c>
      <c r="DE810" s="146" t="str">
        <f>IF(W810&lt;&gt;"AR","",IF(Y810="User Specified", AA810, INDEX('Refrigerant GWPs'!$G$2:$G$154,MATCH(Y810,'Refrigerant GWPs'!$A$2:$A$154,0))))</f>
        <v/>
      </c>
      <c r="DF810" s="146" t="str">
        <f>IF(W810&lt;&gt;"AR","",INDEX('Device Refrigerant Leakage'!$E$2:$E$42,MATCH(X810,'Device Refrigerant Leakage'!$B$2:$B$42,0)))</f>
        <v/>
      </c>
      <c r="DG810" s="146" t="str">
        <f>IF(W810&lt;&gt;"AR","",INDEX('Device Refrigerant Leakage'!$F$2:$F$42,MATCH(X810,'Device Refrigerant Leakage'!$B$2:$B$42,0)))</f>
        <v/>
      </c>
      <c r="DH810" s="146" t="str">
        <f>IF(W810&lt;&gt;"AR","",INDEX('Device Refrigerant Leakage'!$G$2:$G$42,MATCH(X810,'Device Refrigerant Leakage'!$B$2:$B$42,0)))</f>
        <v/>
      </c>
      <c r="DI810" s="146" t="str">
        <f>IF(W810&lt;&gt;"AR","",J810*INDEX('Device Refrigerant Leakage'!$D$2:$D$42,MATCH(X810,'Device Refrigerant Leakage'!$B$2:$B$42,0))*DF810/2204.62*DE810)</f>
        <v/>
      </c>
      <c r="DJ810" s="146" t="str">
        <f>IF(W810&lt;&gt;"AR","",J810*(INDEX('Device Refrigerant Leakage'!$D$2:$D$42,MATCH(X810,'Device Refrigerant Leakage'!$B$2:$B$42,0))-(INDEX('Device Refrigerant Leakage'!$D$2:$D$42,MATCH(X810,'Device Refrigerant Leakage'!$B$2:$B$42,0)))*DH810*DF810)*DG810/2204.62*DE810)</f>
        <v/>
      </c>
      <c r="DK810" s="146" t="str">
        <f>IF(W810&lt;&gt;"AR","",DI810*(K810-AB810)+'Fuel Sub Calcs-Deemed'!DJ810*((K810-AB810)/INDEX('Device Refrigerant Leakage'!$C$2:$C$42,MATCH('Fuel Sub Calcs-Deemed'!X810,'Device Refrigerant Leakage'!$B$2:$B$42,0))))</f>
        <v/>
      </c>
      <c r="DM810" s="56">
        <v>796</v>
      </c>
      <c r="DN810" s="67" t="e">
        <f t="shared" si="942"/>
        <v>#N/A</v>
      </c>
      <c r="DO810" s="45" t="e">
        <f t="shared" si="943"/>
        <v>#N/A</v>
      </c>
      <c r="DP810" s="67" t="e">
        <f t="shared" si="944"/>
        <v>#N/A</v>
      </c>
      <c r="DQ810" s="45" t="e">
        <f t="shared" si="945"/>
        <v>#N/A</v>
      </c>
      <c r="DR810" s="69" t="e">
        <f t="shared" si="946"/>
        <v>#N/A</v>
      </c>
      <c r="DS810" s="34"/>
      <c r="DT810" s="67" t="e">
        <f>((BX810*CJ810)+IF($W810=MAT_AR,(BZ810*CL810),0))*(1+Reference!$E$50+Reference!$E$51)</f>
        <v>#N/A</v>
      </c>
      <c r="DU810" s="67">
        <f>((BY810*CK810)+IF($W810=MAT_AR,(CA810*CM810),0))*(1+Reference!$G$50+Reference!$G$51)</f>
        <v>0</v>
      </c>
      <c r="DV810" s="67" t="e">
        <f t="shared" si="947"/>
        <v>#VALUE!</v>
      </c>
      <c r="DX810" s="56">
        <v>796</v>
      </c>
      <c r="DY810" s="67">
        <f t="shared" si="948"/>
        <v>0</v>
      </c>
      <c r="DZ810" s="45" t="e">
        <f>VLOOKUP($R810,Dropdown!$C$3:$D$4,2,FALSE)</f>
        <v>#N/A</v>
      </c>
      <c r="EA810" s="68">
        <f t="shared" si="949"/>
        <v>0</v>
      </c>
      <c r="EB810" s="68" t="str">
        <f t="shared" si="950"/>
        <v>N/A</v>
      </c>
      <c r="EC810" s="68">
        <f t="shared" si="951"/>
        <v>0</v>
      </c>
      <c r="ED810" s="68" t="str">
        <f t="shared" si="989"/>
        <v>N/A</v>
      </c>
      <c r="EF810" s="56">
        <v>796</v>
      </c>
      <c r="EG810" s="46">
        <f t="shared" si="952"/>
        <v>0</v>
      </c>
      <c r="EH810" s="68" t="e">
        <f t="shared" si="953"/>
        <v>#N/A</v>
      </c>
      <c r="EI810" s="68" t="e">
        <f t="shared" si="954"/>
        <v>#N/A</v>
      </c>
      <c r="EJ810" s="68" t="e">
        <f t="shared" si="955"/>
        <v>#N/A</v>
      </c>
      <c r="EK810" s="68" t="e">
        <f t="shared" si="956"/>
        <v>#N/A</v>
      </c>
      <c r="EL810" s="46">
        <f t="shared" si="957"/>
        <v>0</v>
      </c>
      <c r="EM810" s="46">
        <f t="shared" si="958"/>
        <v>0</v>
      </c>
    </row>
    <row r="811" spans="1:143">
      <c r="A811" s="89"/>
      <c r="B811" s="89"/>
      <c r="C811" s="89"/>
      <c r="D811" s="89"/>
      <c r="E811" s="89"/>
      <c r="F811" s="89"/>
      <c r="G811" s="34"/>
      <c r="H811" s="56">
        <f t="shared" si="959"/>
        <v>797</v>
      </c>
      <c r="I811" s="165"/>
      <c r="J811" s="163"/>
      <c r="K811" s="163"/>
      <c r="L811" s="164"/>
      <c r="M811" s="155"/>
      <c r="N811" s="155"/>
      <c r="O811" s="144"/>
      <c r="P811" s="159" t="str">
        <f>IFERROR(IF(O811&lt;&gt;"User Specified",IF(O811&lt;&gt;"", INDEX('Refrigerant GWPs'!$G$2:$G$154,MATCH(O811,'Refrigerant GWPs'!$A$2:$A$154,0)),""),U811),0)</f>
        <v/>
      </c>
      <c r="Q811" s="155"/>
      <c r="R811" s="155"/>
      <c r="S811" s="144"/>
      <c r="T811" s="159" t="str">
        <f>IF(S811&lt;&gt;"User Specified",IF(AND(S811&lt;&gt;"User Specified",S811&lt;&gt;""), INDEX('Refrigerant GWPs'!$G$2:$G$154,MATCH(S811,'Refrigerant GWPs'!$A$2:$A$154,0)),""),V811)</f>
        <v/>
      </c>
      <c r="U811" s="144"/>
      <c r="V811" s="144"/>
      <c r="W811" s="155"/>
      <c r="X811" s="155"/>
      <c r="Y811" s="144"/>
      <c r="Z811" s="159" t="str">
        <f>IF(AND(Y811&lt;&gt;"User Specified",Y811&lt;&gt;""), INDEX('Refrigerant GWPs'!$G$2:$G$154,MATCH(Y811,'Refrigerant GWPs'!$A$2:$A$154,0)),"")</f>
        <v/>
      </c>
      <c r="AA811" s="155"/>
      <c r="AB811" s="156"/>
      <c r="AC811" s="66"/>
      <c r="AD811" s="66"/>
      <c r="AE811" s="66"/>
      <c r="AF811" s="66"/>
      <c r="AG811" s="66"/>
      <c r="AH811" s="66"/>
      <c r="AI811" s="34"/>
      <c r="AJ811" s="88">
        <f t="shared" si="922"/>
        <v>0</v>
      </c>
      <c r="AK811" s="88">
        <f t="shared" si="923"/>
        <v>0</v>
      </c>
      <c r="AL811" s="88">
        <v>0</v>
      </c>
      <c r="AM811" s="88">
        <v>0</v>
      </c>
      <c r="AN811" s="81" t="str">
        <f t="shared" si="961"/>
        <v/>
      </c>
      <c r="AO811" s="88">
        <f t="shared" si="924"/>
        <v>0</v>
      </c>
      <c r="AP811" s="88">
        <f t="shared" si="925"/>
        <v>0</v>
      </c>
      <c r="AQ811" s="81" t="str">
        <f t="shared" si="926"/>
        <v/>
      </c>
      <c r="AS811" s="41" t="b">
        <f t="shared" si="927"/>
        <v>1</v>
      </c>
      <c r="AT811" s="38">
        <f t="shared" si="928"/>
        <v>0</v>
      </c>
      <c r="AU811" s="60">
        <f t="shared" si="929"/>
        <v>0</v>
      </c>
      <c r="AV811" s="41">
        <f t="shared" si="930"/>
        <v>0</v>
      </c>
      <c r="AW811" s="41" t="b">
        <f t="shared" si="931"/>
        <v>0</v>
      </c>
      <c r="AX811" t="str">
        <f t="shared" si="932"/>
        <v>+00</v>
      </c>
      <c r="AY811" t="str">
        <f t="shared" si="933"/>
        <v>+00</v>
      </c>
      <c r="BA811" s="47" t="b">
        <f t="shared" si="962"/>
        <v>1</v>
      </c>
      <c r="BB811" s="42" t="b">
        <f t="shared" si="963"/>
        <v>1</v>
      </c>
      <c r="BC811" s="42" t="b">
        <f t="shared" si="964"/>
        <v>0</v>
      </c>
      <c r="BD811" s="42" t="b">
        <f t="shared" si="965"/>
        <v>0</v>
      </c>
      <c r="BE811" s="70">
        <f t="shared" si="966"/>
        <v>0</v>
      </c>
      <c r="BF811" s="70">
        <f t="shared" si="967"/>
        <v>0</v>
      </c>
      <c r="BG811" s="34"/>
      <c r="BI811" s="47" t="b">
        <f t="shared" si="968"/>
        <v>1</v>
      </c>
      <c r="BJ811" s="47" t="b">
        <f t="shared" si="969"/>
        <v>1</v>
      </c>
      <c r="BK811" s="42" t="b">
        <f t="shared" si="970"/>
        <v>0</v>
      </c>
      <c r="BL811" s="42" t="b">
        <f t="shared" si="971"/>
        <v>0</v>
      </c>
      <c r="BM811" s="42">
        <f t="shared" si="972"/>
        <v>0</v>
      </c>
      <c r="BN811" s="42">
        <f t="shared" si="973"/>
        <v>0</v>
      </c>
      <c r="BP811" t="e">
        <f t="shared" si="974"/>
        <v>#N/A</v>
      </c>
      <c r="BQ811" t="e">
        <f t="shared" si="975"/>
        <v>#N/A</v>
      </c>
      <c r="BR811" t="e">
        <f t="shared" si="976"/>
        <v>#N/A</v>
      </c>
      <c r="BT811" s="60">
        <f t="shared" si="977"/>
        <v>0</v>
      </c>
      <c r="BU811" s="60">
        <f t="shared" si="978"/>
        <v>0</v>
      </c>
      <c r="BV811" s="60">
        <f t="shared" si="979"/>
        <v>0</v>
      </c>
      <c r="BW811" s="60">
        <f t="shared" si="980"/>
        <v>0</v>
      </c>
      <c r="BX811" s="60">
        <f t="shared" si="981"/>
        <v>0</v>
      </c>
      <c r="BY811" s="60">
        <f t="shared" si="982"/>
        <v>0</v>
      </c>
      <c r="BZ811" s="60">
        <f t="shared" si="983"/>
        <v>0</v>
      </c>
      <c r="CA811" s="60">
        <f t="shared" si="984"/>
        <v>0</v>
      </c>
      <c r="CB811" s="60" t="e">
        <f t="shared" si="934"/>
        <v>#N/A</v>
      </c>
      <c r="CC811" s="60">
        <f t="shared" si="935"/>
        <v>100000</v>
      </c>
      <c r="CD811" s="60" t="e">
        <f t="shared" si="936"/>
        <v>#N/A</v>
      </c>
      <c r="CE811" s="60">
        <f t="shared" si="937"/>
        <v>100000</v>
      </c>
      <c r="CF811" s="83" t="e">
        <f t="shared" si="985"/>
        <v>#N/A</v>
      </c>
      <c r="CG811" s="83">
        <f t="shared" si="986"/>
        <v>0</v>
      </c>
      <c r="CH811" s="83" t="e">
        <f t="shared" si="987"/>
        <v>#N/A</v>
      </c>
      <c r="CI811" s="83">
        <f t="shared" si="988"/>
        <v>0</v>
      </c>
      <c r="CJ811" s="86" t="e">
        <f t="shared" si="938"/>
        <v>#N/A</v>
      </c>
      <c r="CK811" s="82">
        <f t="shared" si="939"/>
        <v>5.3070370403969858E-3</v>
      </c>
      <c r="CL811" s="82" t="e">
        <f t="shared" si="940"/>
        <v>#N/A</v>
      </c>
      <c r="CM811" s="82">
        <f t="shared" si="941"/>
        <v>5.3070370403969858E-3</v>
      </c>
      <c r="CO811" s="149" t="str">
        <f>IF($I811&lt;&gt;"",IF(O811="User Specified",U811,INDEX('Refrigerant GWPs'!$G$2:$G$156,MATCH(O811,'Refrigerant GWPs'!$A$2:$A$156,0))),"")</f>
        <v/>
      </c>
      <c r="CP811" s="138" t="str">
        <f>IF($I811&lt;&gt;"",INDEX('Device Refrigerant Leakage'!$E$2:$E$42,MATCH($M811,'Device Refrigerant Leakage'!$B$2:$B$42,0)),"")</f>
        <v/>
      </c>
      <c r="CQ811" s="138" t="str">
        <f>IF($I811&lt;&gt;"",INDEX('Device Refrigerant Leakage'!$F$2:$F$42,MATCH($M811,'Device Refrigerant Leakage'!$B$2:$B$42,0)),"")</f>
        <v/>
      </c>
      <c r="CR811" s="145" t="str">
        <f>IF($I811&lt;&gt;"",INDEX('Device Refrigerant Leakage'!$G$2:$G$42,MATCH($M811,'Device Refrigerant Leakage'!$B$2:$B$42,0)),"")</f>
        <v/>
      </c>
      <c r="CS811" s="145" t="str">
        <f>IF($I811&lt;&gt;"",INDEX('Device Refrigerant Leakage'!$D$2:$D$42,MATCH($M811,'Device Refrigerant Leakage'!$B$2:$B$42,0))*CP811/2204.62*CO811,"")</f>
        <v/>
      </c>
      <c r="CT811" s="145" t="str">
        <f>IF($I811&lt;&gt;"",J811*(INDEX('Device Refrigerant Leakage'!$D$2:$D$42,MATCH($M811,'Device Refrigerant Leakage'!$B$2:$B$42,0))-(INDEX('Device Refrigerant Leakage'!$D$2:$D$42,MATCH($M811,'Device Refrigerant Leakage'!$B$2:$B$42,0)))*CR811*CP811)*CQ811/2204.62*CO811,"")</f>
        <v/>
      </c>
      <c r="CU811" s="135" t="str">
        <f>IF($I811&lt;&gt;"",J811*IF(W811&lt;&gt;"AR",(CS811*K811)+CT811,(CS811*AB811)+CT811*(AB811/INDEX('Device Refrigerant Leakage'!$C$2:$C$42,MATCH($M811,'Device Refrigerant Leakage'!$B$2:$B$42,0)))),"")</f>
        <v/>
      </c>
      <c r="CW811" s="135" t="str">
        <f>IF($I811&lt;&gt;"",IF(S811="User Specified",V811,INDEX('Refrigerant GWPs'!$G$2:$G$156,MATCH(S811,'Refrigerant GWPs'!$A$2:$A$157,0))),"")</f>
        <v/>
      </c>
      <c r="CX811" s="138" t="str">
        <f>IF($I811&lt;&gt;"",INDEX('Device Refrigerant Leakage'!$E$2:$E$42,MATCH($Q811,'Device Refrigerant Leakage'!$B$2:$B$42,0)),"")</f>
        <v/>
      </c>
      <c r="CY811" s="138" t="str">
        <f>IF($I811&lt;&gt;"",INDEX('Device Refrigerant Leakage'!$F$2:$F$42,MATCH($Q811,'Device Refrigerant Leakage'!$B$2:$B$42,0)),"")</f>
        <v/>
      </c>
      <c r="CZ811" s="145" t="str">
        <f>IF($I811&lt;&gt;"",INDEX('Device Refrigerant Leakage'!$G$2:$G$42,MATCH($Q811,'Device Refrigerant Leakage'!$B$2:$B$42,0)),"")</f>
        <v/>
      </c>
      <c r="DA811" s="145" t="str">
        <f>IF($I811&lt;&gt;"",J811*INDEX('Device Refrigerant Leakage'!$D$2:$D$42,MATCH($Q811,'Device Refrigerant Leakage'!$B$2:$B$42,0))*CX811/2204.62*CW811,"")</f>
        <v/>
      </c>
      <c r="DB811" s="145" t="str">
        <f>IF($I811&lt;&gt;"",J811*(INDEX('Device Refrigerant Leakage'!$D$2:$D$42,MATCH($Q811,'Device Refrigerant Leakage'!$B$2:$B$42,0))-(INDEX('Device Refrigerant Leakage'!$D$2:$D$42,MATCH($Q811,'Device Refrigerant Leakage'!$B$2:$B$42,0)))*CZ811*CX811)*CY811/2204.62*CW811,"")</f>
        <v/>
      </c>
      <c r="DC811" s="135" t="str">
        <f t="shared" si="960"/>
        <v/>
      </c>
      <c r="DE811" s="146" t="str">
        <f>IF(W811&lt;&gt;"AR","",IF(Y811="User Specified", AA811, INDEX('Refrigerant GWPs'!$G$2:$G$154,MATCH(Y811,'Refrigerant GWPs'!$A$2:$A$154,0))))</f>
        <v/>
      </c>
      <c r="DF811" s="146" t="str">
        <f>IF(W811&lt;&gt;"AR","",INDEX('Device Refrigerant Leakage'!$E$2:$E$42,MATCH(X811,'Device Refrigerant Leakage'!$B$2:$B$42,0)))</f>
        <v/>
      </c>
      <c r="DG811" s="146" t="str">
        <f>IF(W811&lt;&gt;"AR","",INDEX('Device Refrigerant Leakage'!$F$2:$F$42,MATCH(X811,'Device Refrigerant Leakage'!$B$2:$B$42,0)))</f>
        <v/>
      </c>
      <c r="DH811" s="146" t="str">
        <f>IF(W811&lt;&gt;"AR","",INDEX('Device Refrigerant Leakage'!$G$2:$G$42,MATCH(X811,'Device Refrigerant Leakage'!$B$2:$B$42,0)))</f>
        <v/>
      </c>
      <c r="DI811" s="146" t="str">
        <f>IF(W811&lt;&gt;"AR","",J811*INDEX('Device Refrigerant Leakage'!$D$2:$D$42,MATCH(X811,'Device Refrigerant Leakage'!$B$2:$B$42,0))*DF811/2204.62*DE811)</f>
        <v/>
      </c>
      <c r="DJ811" s="146" t="str">
        <f>IF(W811&lt;&gt;"AR","",J811*(INDEX('Device Refrigerant Leakage'!$D$2:$D$42,MATCH(X811,'Device Refrigerant Leakage'!$B$2:$B$42,0))-(INDEX('Device Refrigerant Leakage'!$D$2:$D$42,MATCH(X811,'Device Refrigerant Leakage'!$B$2:$B$42,0)))*DH811*DF811)*DG811/2204.62*DE811)</f>
        <v/>
      </c>
      <c r="DK811" s="146" t="str">
        <f>IF(W811&lt;&gt;"AR","",DI811*(K811-AB811)+'Fuel Sub Calcs-Deemed'!DJ811*((K811-AB811)/INDEX('Device Refrigerant Leakage'!$C$2:$C$42,MATCH('Fuel Sub Calcs-Deemed'!X811,'Device Refrigerant Leakage'!$B$2:$B$42,0))))</f>
        <v/>
      </c>
      <c r="DM811" s="56">
        <v>797</v>
      </c>
      <c r="DN811" s="67" t="e">
        <f t="shared" si="942"/>
        <v>#N/A</v>
      </c>
      <c r="DO811" s="45" t="e">
        <f t="shared" si="943"/>
        <v>#N/A</v>
      </c>
      <c r="DP811" s="67" t="e">
        <f t="shared" si="944"/>
        <v>#N/A</v>
      </c>
      <c r="DQ811" s="45" t="e">
        <f t="shared" si="945"/>
        <v>#N/A</v>
      </c>
      <c r="DR811" s="69" t="e">
        <f t="shared" si="946"/>
        <v>#N/A</v>
      </c>
      <c r="DS811" s="34"/>
      <c r="DT811" s="67" t="e">
        <f>((BX811*CJ811)+IF($W811=MAT_AR,(BZ811*CL811),0))*(1+Reference!$E$50+Reference!$E$51)</f>
        <v>#N/A</v>
      </c>
      <c r="DU811" s="67">
        <f>((BY811*CK811)+IF($W811=MAT_AR,(CA811*CM811),0))*(1+Reference!$G$50+Reference!$G$51)</f>
        <v>0</v>
      </c>
      <c r="DV811" s="67" t="e">
        <f t="shared" si="947"/>
        <v>#VALUE!</v>
      </c>
      <c r="DX811" s="56">
        <v>797</v>
      </c>
      <c r="DY811" s="67">
        <f t="shared" si="948"/>
        <v>0</v>
      </c>
      <c r="DZ811" s="45" t="e">
        <f>VLOOKUP($R811,Dropdown!$C$3:$D$4,2,FALSE)</f>
        <v>#N/A</v>
      </c>
      <c r="EA811" s="68">
        <f t="shared" si="949"/>
        <v>0</v>
      </c>
      <c r="EB811" s="68" t="str">
        <f t="shared" si="950"/>
        <v>N/A</v>
      </c>
      <c r="EC811" s="68">
        <f t="shared" si="951"/>
        <v>0</v>
      </c>
      <c r="ED811" s="68" t="str">
        <f t="shared" si="989"/>
        <v>N/A</v>
      </c>
      <c r="EF811" s="56">
        <v>797</v>
      </c>
      <c r="EG811" s="46">
        <f t="shared" si="952"/>
        <v>0</v>
      </c>
      <c r="EH811" s="68" t="e">
        <f t="shared" si="953"/>
        <v>#N/A</v>
      </c>
      <c r="EI811" s="68" t="e">
        <f t="shared" si="954"/>
        <v>#N/A</v>
      </c>
      <c r="EJ811" s="68" t="e">
        <f t="shared" si="955"/>
        <v>#N/A</v>
      </c>
      <c r="EK811" s="68" t="e">
        <f t="shared" si="956"/>
        <v>#N/A</v>
      </c>
      <c r="EL811" s="46">
        <f t="shared" si="957"/>
        <v>0</v>
      </c>
      <c r="EM811" s="46">
        <f t="shared" si="958"/>
        <v>0</v>
      </c>
    </row>
    <row r="812" spans="1:143">
      <c r="A812" s="89"/>
      <c r="B812" s="89"/>
      <c r="C812" s="89"/>
      <c r="D812" s="89"/>
      <c r="E812" s="89"/>
      <c r="F812" s="89"/>
      <c r="G812" s="34"/>
      <c r="H812" s="56">
        <f t="shared" si="959"/>
        <v>798</v>
      </c>
      <c r="I812" s="165"/>
      <c r="J812" s="163"/>
      <c r="K812" s="163"/>
      <c r="L812" s="164"/>
      <c r="M812" s="155"/>
      <c r="N812" s="155"/>
      <c r="O812" s="144"/>
      <c r="P812" s="159" t="str">
        <f>IFERROR(IF(O812&lt;&gt;"User Specified",IF(O812&lt;&gt;"", INDEX('Refrigerant GWPs'!$G$2:$G$154,MATCH(O812,'Refrigerant GWPs'!$A$2:$A$154,0)),""),U812),0)</f>
        <v/>
      </c>
      <c r="Q812" s="155"/>
      <c r="R812" s="155"/>
      <c r="S812" s="144"/>
      <c r="T812" s="159" t="str">
        <f>IF(S812&lt;&gt;"User Specified",IF(AND(S812&lt;&gt;"User Specified",S812&lt;&gt;""), INDEX('Refrigerant GWPs'!$G$2:$G$154,MATCH(S812,'Refrigerant GWPs'!$A$2:$A$154,0)),""),V812)</f>
        <v/>
      </c>
      <c r="U812" s="144"/>
      <c r="V812" s="144"/>
      <c r="W812" s="155"/>
      <c r="X812" s="155"/>
      <c r="Y812" s="144"/>
      <c r="Z812" s="159" t="str">
        <f>IF(AND(Y812&lt;&gt;"User Specified",Y812&lt;&gt;""), INDEX('Refrigerant GWPs'!$G$2:$G$154,MATCH(Y812,'Refrigerant GWPs'!$A$2:$A$154,0)),"")</f>
        <v/>
      </c>
      <c r="AA812" s="155"/>
      <c r="AB812" s="156"/>
      <c r="AC812" s="66"/>
      <c r="AD812" s="66"/>
      <c r="AE812" s="66"/>
      <c r="AF812" s="66"/>
      <c r="AG812" s="66"/>
      <c r="AH812" s="66"/>
      <c r="AI812" s="34"/>
      <c r="AJ812" s="88">
        <f t="shared" si="922"/>
        <v>0</v>
      </c>
      <c r="AK812" s="88">
        <f t="shared" si="923"/>
        <v>0</v>
      </c>
      <c r="AL812" s="88">
        <v>0</v>
      </c>
      <c r="AM812" s="88">
        <v>0</v>
      </c>
      <c r="AN812" s="81" t="str">
        <f t="shared" si="961"/>
        <v/>
      </c>
      <c r="AO812" s="88">
        <f t="shared" si="924"/>
        <v>0</v>
      </c>
      <c r="AP812" s="88">
        <f t="shared" si="925"/>
        <v>0</v>
      </c>
      <c r="AQ812" s="81" t="str">
        <f t="shared" si="926"/>
        <v/>
      </c>
      <c r="AS812" s="41" t="b">
        <f t="shared" si="927"/>
        <v>1</v>
      </c>
      <c r="AT812" s="38">
        <f t="shared" si="928"/>
        <v>0</v>
      </c>
      <c r="AU812" s="60">
        <f t="shared" si="929"/>
        <v>0</v>
      </c>
      <c r="AV812" s="41">
        <f t="shared" si="930"/>
        <v>0</v>
      </c>
      <c r="AW812" s="41" t="b">
        <f t="shared" si="931"/>
        <v>0</v>
      </c>
      <c r="AX812" t="str">
        <f t="shared" si="932"/>
        <v>+00</v>
      </c>
      <c r="AY812" t="str">
        <f t="shared" si="933"/>
        <v>+00</v>
      </c>
      <c r="BA812" s="47" t="b">
        <f t="shared" si="962"/>
        <v>1</v>
      </c>
      <c r="BB812" s="42" t="b">
        <f t="shared" si="963"/>
        <v>1</v>
      </c>
      <c r="BC812" s="42" t="b">
        <f t="shared" si="964"/>
        <v>0</v>
      </c>
      <c r="BD812" s="42" t="b">
        <f t="shared" si="965"/>
        <v>0</v>
      </c>
      <c r="BE812" s="70">
        <f t="shared" si="966"/>
        <v>0</v>
      </c>
      <c r="BF812" s="70">
        <f t="shared" si="967"/>
        <v>0</v>
      </c>
      <c r="BG812" s="34"/>
      <c r="BI812" s="47" t="b">
        <f t="shared" si="968"/>
        <v>1</v>
      </c>
      <c r="BJ812" s="47" t="b">
        <f t="shared" si="969"/>
        <v>1</v>
      </c>
      <c r="BK812" s="42" t="b">
        <f t="shared" si="970"/>
        <v>0</v>
      </c>
      <c r="BL812" s="42" t="b">
        <f t="shared" si="971"/>
        <v>0</v>
      </c>
      <c r="BM812" s="42">
        <f t="shared" si="972"/>
        <v>0</v>
      </c>
      <c r="BN812" s="42">
        <f t="shared" si="973"/>
        <v>0</v>
      </c>
      <c r="BP812" t="e">
        <f t="shared" si="974"/>
        <v>#N/A</v>
      </c>
      <c r="BQ812" t="e">
        <f t="shared" si="975"/>
        <v>#N/A</v>
      </c>
      <c r="BR812" t="e">
        <f t="shared" si="976"/>
        <v>#N/A</v>
      </c>
      <c r="BT812" s="60">
        <f t="shared" si="977"/>
        <v>0</v>
      </c>
      <c r="BU812" s="60">
        <f t="shared" si="978"/>
        <v>0</v>
      </c>
      <c r="BV812" s="60">
        <f t="shared" si="979"/>
        <v>0</v>
      </c>
      <c r="BW812" s="60">
        <f t="shared" si="980"/>
        <v>0</v>
      </c>
      <c r="BX812" s="60">
        <f t="shared" si="981"/>
        <v>0</v>
      </c>
      <c r="BY812" s="60">
        <f t="shared" si="982"/>
        <v>0</v>
      </c>
      <c r="BZ812" s="60">
        <f t="shared" si="983"/>
        <v>0</v>
      </c>
      <c r="CA812" s="60">
        <f t="shared" si="984"/>
        <v>0</v>
      </c>
      <c r="CB812" s="60" t="e">
        <f t="shared" si="934"/>
        <v>#N/A</v>
      </c>
      <c r="CC812" s="60">
        <f t="shared" si="935"/>
        <v>100000</v>
      </c>
      <c r="CD812" s="60" t="e">
        <f t="shared" si="936"/>
        <v>#N/A</v>
      </c>
      <c r="CE812" s="60">
        <f t="shared" si="937"/>
        <v>100000</v>
      </c>
      <c r="CF812" s="83" t="e">
        <f t="shared" si="985"/>
        <v>#N/A</v>
      </c>
      <c r="CG812" s="83">
        <f t="shared" si="986"/>
        <v>0</v>
      </c>
      <c r="CH812" s="83" t="e">
        <f t="shared" si="987"/>
        <v>#N/A</v>
      </c>
      <c r="CI812" s="83">
        <f t="shared" si="988"/>
        <v>0</v>
      </c>
      <c r="CJ812" s="86" t="e">
        <f t="shared" si="938"/>
        <v>#N/A</v>
      </c>
      <c r="CK812" s="82">
        <f t="shared" si="939"/>
        <v>5.3070370403969858E-3</v>
      </c>
      <c r="CL812" s="82" t="e">
        <f t="shared" si="940"/>
        <v>#N/A</v>
      </c>
      <c r="CM812" s="82">
        <f t="shared" si="941"/>
        <v>5.3070370403969858E-3</v>
      </c>
      <c r="CO812" s="149" t="str">
        <f>IF($I812&lt;&gt;"",IF(O812="User Specified",U812,INDEX('Refrigerant GWPs'!$G$2:$G$156,MATCH(O812,'Refrigerant GWPs'!$A$2:$A$156,0))),"")</f>
        <v/>
      </c>
      <c r="CP812" s="138" t="str">
        <f>IF($I812&lt;&gt;"",INDEX('Device Refrigerant Leakage'!$E$2:$E$42,MATCH($M812,'Device Refrigerant Leakage'!$B$2:$B$42,0)),"")</f>
        <v/>
      </c>
      <c r="CQ812" s="138" t="str">
        <f>IF($I812&lt;&gt;"",INDEX('Device Refrigerant Leakage'!$F$2:$F$42,MATCH($M812,'Device Refrigerant Leakage'!$B$2:$B$42,0)),"")</f>
        <v/>
      </c>
      <c r="CR812" s="145" t="str">
        <f>IF($I812&lt;&gt;"",INDEX('Device Refrigerant Leakage'!$G$2:$G$42,MATCH($M812,'Device Refrigerant Leakage'!$B$2:$B$42,0)),"")</f>
        <v/>
      </c>
      <c r="CS812" s="145" t="str">
        <f>IF($I812&lt;&gt;"",INDEX('Device Refrigerant Leakage'!$D$2:$D$42,MATCH($M812,'Device Refrigerant Leakage'!$B$2:$B$42,0))*CP812/2204.62*CO812,"")</f>
        <v/>
      </c>
      <c r="CT812" s="145" t="str">
        <f>IF($I812&lt;&gt;"",J812*(INDEX('Device Refrigerant Leakage'!$D$2:$D$42,MATCH($M812,'Device Refrigerant Leakage'!$B$2:$B$42,0))-(INDEX('Device Refrigerant Leakage'!$D$2:$D$42,MATCH($M812,'Device Refrigerant Leakage'!$B$2:$B$42,0)))*CR812*CP812)*CQ812/2204.62*CO812,"")</f>
        <v/>
      </c>
      <c r="CU812" s="135" t="str">
        <f>IF($I812&lt;&gt;"",J812*IF(W812&lt;&gt;"AR",(CS812*K812)+CT812,(CS812*AB812)+CT812*(AB812/INDEX('Device Refrigerant Leakage'!$C$2:$C$42,MATCH($M812,'Device Refrigerant Leakage'!$B$2:$B$42,0)))),"")</f>
        <v/>
      </c>
      <c r="CW812" s="135" t="str">
        <f>IF($I812&lt;&gt;"",IF(S812="User Specified",V812,INDEX('Refrigerant GWPs'!$G$2:$G$156,MATCH(S812,'Refrigerant GWPs'!$A$2:$A$157,0))),"")</f>
        <v/>
      </c>
      <c r="CX812" s="138" t="str">
        <f>IF($I812&lt;&gt;"",INDEX('Device Refrigerant Leakage'!$E$2:$E$42,MATCH($Q812,'Device Refrigerant Leakage'!$B$2:$B$42,0)),"")</f>
        <v/>
      </c>
      <c r="CY812" s="138" t="str">
        <f>IF($I812&lt;&gt;"",INDEX('Device Refrigerant Leakage'!$F$2:$F$42,MATCH($Q812,'Device Refrigerant Leakage'!$B$2:$B$42,0)),"")</f>
        <v/>
      </c>
      <c r="CZ812" s="145" t="str">
        <f>IF($I812&lt;&gt;"",INDEX('Device Refrigerant Leakage'!$G$2:$G$42,MATCH($Q812,'Device Refrigerant Leakage'!$B$2:$B$42,0)),"")</f>
        <v/>
      </c>
      <c r="DA812" s="145" t="str">
        <f>IF($I812&lt;&gt;"",J812*INDEX('Device Refrigerant Leakage'!$D$2:$D$42,MATCH($Q812,'Device Refrigerant Leakage'!$B$2:$B$42,0))*CX812/2204.62*CW812,"")</f>
        <v/>
      </c>
      <c r="DB812" s="145" t="str">
        <f>IF($I812&lt;&gt;"",J812*(INDEX('Device Refrigerant Leakage'!$D$2:$D$42,MATCH($Q812,'Device Refrigerant Leakage'!$B$2:$B$42,0))-(INDEX('Device Refrigerant Leakage'!$D$2:$D$42,MATCH($Q812,'Device Refrigerant Leakage'!$B$2:$B$42,0)))*CZ812*CX812)*CY812/2204.62*CW812,"")</f>
        <v/>
      </c>
      <c r="DC812" s="135" t="str">
        <f t="shared" si="960"/>
        <v/>
      </c>
      <c r="DE812" s="146" t="str">
        <f>IF(W812&lt;&gt;"AR","",IF(Y812="User Specified", AA812, INDEX('Refrigerant GWPs'!$G$2:$G$154,MATCH(Y812,'Refrigerant GWPs'!$A$2:$A$154,0))))</f>
        <v/>
      </c>
      <c r="DF812" s="146" t="str">
        <f>IF(W812&lt;&gt;"AR","",INDEX('Device Refrigerant Leakage'!$E$2:$E$42,MATCH(X812,'Device Refrigerant Leakage'!$B$2:$B$42,0)))</f>
        <v/>
      </c>
      <c r="DG812" s="146" t="str">
        <f>IF(W812&lt;&gt;"AR","",INDEX('Device Refrigerant Leakage'!$F$2:$F$42,MATCH(X812,'Device Refrigerant Leakage'!$B$2:$B$42,0)))</f>
        <v/>
      </c>
      <c r="DH812" s="146" t="str">
        <f>IF(W812&lt;&gt;"AR","",INDEX('Device Refrigerant Leakage'!$G$2:$G$42,MATCH(X812,'Device Refrigerant Leakage'!$B$2:$B$42,0)))</f>
        <v/>
      </c>
      <c r="DI812" s="146" t="str">
        <f>IF(W812&lt;&gt;"AR","",J812*INDEX('Device Refrigerant Leakage'!$D$2:$D$42,MATCH(X812,'Device Refrigerant Leakage'!$B$2:$B$42,0))*DF812/2204.62*DE812)</f>
        <v/>
      </c>
      <c r="DJ812" s="146" t="str">
        <f>IF(W812&lt;&gt;"AR","",J812*(INDEX('Device Refrigerant Leakage'!$D$2:$D$42,MATCH(X812,'Device Refrigerant Leakage'!$B$2:$B$42,0))-(INDEX('Device Refrigerant Leakage'!$D$2:$D$42,MATCH(X812,'Device Refrigerant Leakage'!$B$2:$B$42,0)))*DH812*DF812)*DG812/2204.62*DE812)</f>
        <v/>
      </c>
      <c r="DK812" s="146" t="str">
        <f>IF(W812&lt;&gt;"AR","",DI812*(K812-AB812)+'Fuel Sub Calcs-Deemed'!DJ812*((K812-AB812)/INDEX('Device Refrigerant Leakage'!$C$2:$C$42,MATCH('Fuel Sub Calcs-Deemed'!X812,'Device Refrigerant Leakage'!$B$2:$B$42,0))))</f>
        <v/>
      </c>
      <c r="DM812" s="56">
        <v>798</v>
      </c>
      <c r="DN812" s="67" t="e">
        <f t="shared" si="942"/>
        <v>#N/A</v>
      </c>
      <c r="DO812" s="45" t="e">
        <f t="shared" si="943"/>
        <v>#N/A</v>
      </c>
      <c r="DP812" s="67" t="e">
        <f t="shared" si="944"/>
        <v>#N/A</v>
      </c>
      <c r="DQ812" s="45" t="e">
        <f t="shared" si="945"/>
        <v>#N/A</v>
      </c>
      <c r="DR812" s="69" t="e">
        <f t="shared" si="946"/>
        <v>#N/A</v>
      </c>
      <c r="DS812" s="34"/>
      <c r="DT812" s="67" t="e">
        <f>((BX812*CJ812)+IF($W812=MAT_AR,(BZ812*CL812),0))*(1+Reference!$E$50+Reference!$E$51)</f>
        <v>#N/A</v>
      </c>
      <c r="DU812" s="67">
        <f>((BY812*CK812)+IF($W812=MAT_AR,(CA812*CM812),0))*(1+Reference!$G$50+Reference!$G$51)</f>
        <v>0</v>
      </c>
      <c r="DV812" s="67" t="e">
        <f t="shared" si="947"/>
        <v>#VALUE!</v>
      </c>
      <c r="DX812" s="56">
        <v>798</v>
      </c>
      <c r="DY812" s="67">
        <f t="shared" si="948"/>
        <v>0</v>
      </c>
      <c r="DZ812" s="45" t="e">
        <f>VLOOKUP($R812,Dropdown!$C$3:$D$4,2,FALSE)</f>
        <v>#N/A</v>
      </c>
      <c r="EA812" s="68">
        <f t="shared" si="949"/>
        <v>0</v>
      </c>
      <c r="EB812" s="68" t="str">
        <f t="shared" si="950"/>
        <v>N/A</v>
      </c>
      <c r="EC812" s="68">
        <f t="shared" si="951"/>
        <v>0</v>
      </c>
      <c r="ED812" s="68" t="str">
        <f t="shared" si="989"/>
        <v>N/A</v>
      </c>
      <c r="EF812" s="56">
        <v>798</v>
      </c>
      <c r="EG812" s="46">
        <f t="shared" si="952"/>
        <v>0</v>
      </c>
      <c r="EH812" s="68" t="e">
        <f t="shared" si="953"/>
        <v>#N/A</v>
      </c>
      <c r="EI812" s="68" t="e">
        <f t="shared" si="954"/>
        <v>#N/A</v>
      </c>
      <c r="EJ812" s="68" t="e">
        <f t="shared" si="955"/>
        <v>#N/A</v>
      </c>
      <c r="EK812" s="68" t="e">
        <f t="shared" si="956"/>
        <v>#N/A</v>
      </c>
      <c r="EL812" s="46">
        <f t="shared" si="957"/>
        <v>0</v>
      </c>
      <c r="EM812" s="46">
        <f t="shared" si="958"/>
        <v>0</v>
      </c>
    </row>
    <row r="813" spans="1:143">
      <c r="A813" s="89"/>
      <c r="B813" s="89"/>
      <c r="C813" s="89"/>
      <c r="D813" s="89"/>
      <c r="E813" s="89"/>
      <c r="F813" s="89"/>
      <c r="G813" s="34"/>
      <c r="H813" s="56">
        <f t="shared" si="959"/>
        <v>799</v>
      </c>
      <c r="I813" s="165"/>
      <c r="J813" s="163"/>
      <c r="K813" s="163"/>
      <c r="L813" s="164"/>
      <c r="M813" s="155"/>
      <c r="N813" s="155"/>
      <c r="O813" s="144"/>
      <c r="P813" s="159" t="str">
        <f>IFERROR(IF(O813&lt;&gt;"User Specified",IF(O813&lt;&gt;"", INDEX('Refrigerant GWPs'!$G$2:$G$154,MATCH(O813,'Refrigerant GWPs'!$A$2:$A$154,0)),""),U813),0)</f>
        <v/>
      </c>
      <c r="Q813" s="155"/>
      <c r="R813" s="155"/>
      <c r="S813" s="144"/>
      <c r="T813" s="159" t="str">
        <f>IF(S813&lt;&gt;"User Specified",IF(AND(S813&lt;&gt;"User Specified",S813&lt;&gt;""), INDEX('Refrigerant GWPs'!$G$2:$G$154,MATCH(S813,'Refrigerant GWPs'!$A$2:$A$154,0)),""),V813)</f>
        <v/>
      </c>
      <c r="U813" s="144"/>
      <c r="V813" s="144"/>
      <c r="W813" s="155"/>
      <c r="X813" s="155"/>
      <c r="Y813" s="144"/>
      <c r="Z813" s="159" t="str">
        <f>IF(AND(Y813&lt;&gt;"User Specified",Y813&lt;&gt;""), INDEX('Refrigerant GWPs'!$G$2:$G$154,MATCH(Y813,'Refrigerant GWPs'!$A$2:$A$154,0)),"")</f>
        <v/>
      </c>
      <c r="AA813" s="155"/>
      <c r="AB813" s="156"/>
      <c r="AC813" s="66"/>
      <c r="AD813" s="66"/>
      <c r="AE813" s="66"/>
      <c r="AF813" s="66"/>
      <c r="AG813" s="66"/>
      <c r="AH813" s="66"/>
      <c r="AI813" s="34"/>
      <c r="AJ813" s="88">
        <f t="shared" si="922"/>
        <v>0</v>
      </c>
      <c r="AK813" s="88">
        <f t="shared" si="923"/>
        <v>0</v>
      </c>
      <c r="AL813" s="88">
        <v>0</v>
      </c>
      <c r="AM813" s="88">
        <v>0</v>
      </c>
      <c r="AN813" s="81" t="str">
        <f t="shared" si="961"/>
        <v/>
      </c>
      <c r="AO813" s="88">
        <f t="shared" si="924"/>
        <v>0</v>
      </c>
      <c r="AP813" s="88">
        <f t="shared" si="925"/>
        <v>0</v>
      </c>
      <c r="AQ813" s="81" t="str">
        <f t="shared" si="926"/>
        <v/>
      </c>
      <c r="AS813" s="41" t="b">
        <f t="shared" si="927"/>
        <v>1</v>
      </c>
      <c r="AT813" s="38">
        <f t="shared" si="928"/>
        <v>0</v>
      </c>
      <c r="AU813" s="60">
        <f t="shared" si="929"/>
        <v>0</v>
      </c>
      <c r="AV813" s="41">
        <f t="shared" si="930"/>
        <v>0</v>
      </c>
      <c r="AW813" s="41" t="b">
        <f t="shared" si="931"/>
        <v>0</v>
      </c>
      <c r="AX813" t="str">
        <f t="shared" si="932"/>
        <v>+00</v>
      </c>
      <c r="AY813" t="str">
        <f t="shared" si="933"/>
        <v>+00</v>
      </c>
      <c r="BA813" s="47" t="b">
        <f t="shared" si="962"/>
        <v>1</v>
      </c>
      <c r="BB813" s="42" t="b">
        <f t="shared" si="963"/>
        <v>1</v>
      </c>
      <c r="BC813" s="42" t="b">
        <f t="shared" si="964"/>
        <v>0</v>
      </c>
      <c r="BD813" s="42" t="b">
        <f t="shared" si="965"/>
        <v>0</v>
      </c>
      <c r="BE813" s="70">
        <f t="shared" si="966"/>
        <v>0</v>
      </c>
      <c r="BF813" s="70">
        <f t="shared" si="967"/>
        <v>0</v>
      </c>
      <c r="BG813" s="34"/>
      <c r="BI813" s="47" t="b">
        <f t="shared" si="968"/>
        <v>1</v>
      </c>
      <c r="BJ813" s="47" t="b">
        <f t="shared" si="969"/>
        <v>1</v>
      </c>
      <c r="BK813" s="42" t="b">
        <f t="shared" si="970"/>
        <v>0</v>
      </c>
      <c r="BL813" s="42" t="b">
        <f t="shared" si="971"/>
        <v>0</v>
      </c>
      <c r="BM813" s="42">
        <f t="shared" si="972"/>
        <v>0</v>
      </c>
      <c r="BN813" s="42">
        <f t="shared" si="973"/>
        <v>0</v>
      </c>
      <c r="BP813" t="e">
        <f t="shared" si="974"/>
        <v>#N/A</v>
      </c>
      <c r="BQ813" t="e">
        <f t="shared" si="975"/>
        <v>#N/A</v>
      </c>
      <c r="BR813" t="e">
        <f t="shared" si="976"/>
        <v>#N/A</v>
      </c>
      <c r="BT813" s="60">
        <f t="shared" si="977"/>
        <v>0</v>
      </c>
      <c r="BU813" s="60">
        <f t="shared" si="978"/>
        <v>0</v>
      </c>
      <c r="BV813" s="60">
        <f t="shared" si="979"/>
        <v>0</v>
      </c>
      <c r="BW813" s="60">
        <f t="shared" si="980"/>
        <v>0</v>
      </c>
      <c r="BX813" s="60">
        <f t="shared" si="981"/>
        <v>0</v>
      </c>
      <c r="BY813" s="60">
        <f t="shared" si="982"/>
        <v>0</v>
      </c>
      <c r="BZ813" s="60">
        <f t="shared" si="983"/>
        <v>0</v>
      </c>
      <c r="CA813" s="60">
        <f t="shared" si="984"/>
        <v>0</v>
      </c>
      <c r="CB813" s="60" t="e">
        <f t="shared" si="934"/>
        <v>#N/A</v>
      </c>
      <c r="CC813" s="60">
        <f t="shared" si="935"/>
        <v>100000</v>
      </c>
      <c r="CD813" s="60" t="e">
        <f t="shared" si="936"/>
        <v>#N/A</v>
      </c>
      <c r="CE813" s="60">
        <f t="shared" si="937"/>
        <v>100000</v>
      </c>
      <c r="CF813" s="83" t="e">
        <f t="shared" si="985"/>
        <v>#N/A</v>
      </c>
      <c r="CG813" s="83">
        <f t="shared" si="986"/>
        <v>0</v>
      </c>
      <c r="CH813" s="83" t="e">
        <f t="shared" si="987"/>
        <v>#N/A</v>
      </c>
      <c r="CI813" s="83">
        <f t="shared" si="988"/>
        <v>0</v>
      </c>
      <c r="CJ813" s="86" t="e">
        <f t="shared" si="938"/>
        <v>#N/A</v>
      </c>
      <c r="CK813" s="82">
        <f t="shared" si="939"/>
        <v>5.3070370403969858E-3</v>
      </c>
      <c r="CL813" s="82" t="e">
        <f t="shared" si="940"/>
        <v>#N/A</v>
      </c>
      <c r="CM813" s="82">
        <f t="shared" si="941"/>
        <v>5.3070370403969858E-3</v>
      </c>
      <c r="CO813" s="149" t="str">
        <f>IF($I813&lt;&gt;"",IF(O813="User Specified",U813,INDEX('Refrigerant GWPs'!$G$2:$G$156,MATCH(O813,'Refrigerant GWPs'!$A$2:$A$156,0))),"")</f>
        <v/>
      </c>
      <c r="CP813" s="138" t="str">
        <f>IF($I813&lt;&gt;"",INDEX('Device Refrigerant Leakage'!$E$2:$E$42,MATCH($M813,'Device Refrigerant Leakage'!$B$2:$B$42,0)),"")</f>
        <v/>
      </c>
      <c r="CQ813" s="138" t="str">
        <f>IF($I813&lt;&gt;"",INDEX('Device Refrigerant Leakage'!$F$2:$F$42,MATCH($M813,'Device Refrigerant Leakage'!$B$2:$B$42,0)),"")</f>
        <v/>
      </c>
      <c r="CR813" s="145" t="str">
        <f>IF($I813&lt;&gt;"",INDEX('Device Refrigerant Leakage'!$G$2:$G$42,MATCH($M813,'Device Refrigerant Leakage'!$B$2:$B$42,0)),"")</f>
        <v/>
      </c>
      <c r="CS813" s="145" t="str">
        <f>IF($I813&lt;&gt;"",INDEX('Device Refrigerant Leakage'!$D$2:$D$42,MATCH($M813,'Device Refrigerant Leakage'!$B$2:$B$42,0))*CP813/2204.62*CO813,"")</f>
        <v/>
      </c>
      <c r="CT813" s="145" t="str">
        <f>IF($I813&lt;&gt;"",J813*(INDEX('Device Refrigerant Leakage'!$D$2:$D$42,MATCH($M813,'Device Refrigerant Leakage'!$B$2:$B$42,0))-(INDEX('Device Refrigerant Leakage'!$D$2:$D$42,MATCH($M813,'Device Refrigerant Leakage'!$B$2:$B$42,0)))*CR813*CP813)*CQ813/2204.62*CO813,"")</f>
        <v/>
      </c>
      <c r="CU813" s="135" t="str">
        <f>IF($I813&lt;&gt;"",J813*IF(W813&lt;&gt;"AR",(CS813*K813)+CT813,(CS813*AB813)+CT813*(AB813/INDEX('Device Refrigerant Leakage'!$C$2:$C$42,MATCH($M813,'Device Refrigerant Leakage'!$B$2:$B$42,0)))),"")</f>
        <v/>
      </c>
      <c r="CW813" s="135" t="str">
        <f>IF($I813&lt;&gt;"",IF(S813="User Specified",V813,INDEX('Refrigerant GWPs'!$G$2:$G$156,MATCH(S813,'Refrigerant GWPs'!$A$2:$A$157,0))),"")</f>
        <v/>
      </c>
      <c r="CX813" s="138" t="str">
        <f>IF($I813&lt;&gt;"",INDEX('Device Refrigerant Leakage'!$E$2:$E$42,MATCH($Q813,'Device Refrigerant Leakage'!$B$2:$B$42,0)),"")</f>
        <v/>
      </c>
      <c r="CY813" s="138" t="str">
        <f>IF($I813&lt;&gt;"",INDEX('Device Refrigerant Leakage'!$F$2:$F$42,MATCH($Q813,'Device Refrigerant Leakage'!$B$2:$B$42,0)),"")</f>
        <v/>
      </c>
      <c r="CZ813" s="145" t="str">
        <f>IF($I813&lt;&gt;"",INDEX('Device Refrigerant Leakage'!$G$2:$G$42,MATCH($Q813,'Device Refrigerant Leakage'!$B$2:$B$42,0)),"")</f>
        <v/>
      </c>
      <c r="DA813" s="145" t="str">
        <f>IF($I813&lt;&gt;"",J813*INDEX('Device Refrigerant Leakage'!$D$2:$D$42,MATCH($Q813,'Device Refrigerant Leakage'!$B$2:$B$42,0))*CX813/2204.62*CW813,"")</f>
        <v/>
      </c>
      <c r="DB813" s="145" t="str">
        <f>IF($I813&lt;&gt;"",J813*(INDEX('Device Refrigerant Leakage'!$D$2:$D$42,MATCH($Q813,'Device Refrigerant Leakage'!$B$2:$B$42,0))-(INDEX('Device Refrigerant Leakage'!$D$2:$D$42,MATCH($Q813,'Device Refrigerant Leakage'!$B$2:$B$42,0)))*CZ813*CX813)*CY813/2204.62*CW813,"")</f>
        <v/>
      </c>
      <c r="DC813" s="135" t="str">
        <f t="shared" si="960"/>
        <v/>
      </c>
      <c r="DE813" s="146" t="str">
        <f>IF(W813&lt;&gt;"AR","",IF(Y813="User Specified", AA813, INDEX('Refrigerant GWPs'!$G$2:$G$154,MATCH(Y813,'Refrigerant GWPs'!$A$2:$A$154,0))))</f>
        <v/>
      </c>
      <c r="DF813" s="146" t="str">
        <f>IF(W813&lt;&gt;"AR","",INDEX('Device Refrigerant Leakage'!$E$2:$E$42,MATCH(X813,'Device Refrigerant Leakage'!$B$2:$B$42,0)))</f>
        <v/>
      </c>
      <c r="DG813" s="146" t="str">
        <f>IF(W813&lt;&gt;"AR","",INDEX('Device Refrigerant Leakage'!$F$2:$F$42,MATCH(X813,'Device Refrigerant Leakage'!$B$2:$B$42,0)))</f>
        <v/>
      </c>
      <c r="DH813" s="146" t="str">
        <f>IF(W813&lt;&gt;"AR","",INDEX('Device Refrigerant Leakage'!$G$2:$G$42,MATCH(X813,'Device Refrigerant Leakage'!$B$2:$B$42,0)))</f>
        <v/>
      </c>
      <c r="DI813" s="146" t="str">
        <f>IF(W813&lt;&gt;"AR","",J813*INDEX('Device Refrigerant Leakage'!$D$2:$D$42,MATCH(X813,'Device Refrigerant Leakage'!$B$2:$B$42,0))*DF813/2204.62*DE813)</f>
        <v/>
      </c>
      <c r="DJ813" s="146" t="str">
        <f>IF(W813&lt;&gt;"AR","",J813*(INDEX('Device Refrigerant Leakage'!$D$2:$D$42,MATCH(X813,'Device Refrigerant Leakage'!$B$2:$B$42,0))-(INDEX('Device Refrigerant Leakage'!$D$2:$D$42,MATCH(X813,'Device Refrigerant Leakage'!$B$2:$B$42,0)))*DH813*DF813)*DG813/2204.62*DE813)</f>
        <v/>
      </c>
      <c r="DK813" s="146" t="str">
        <f>IF(W813&lt;&gt;"AR","",DI813*(K813-AB813)+'Fuel Sub Calcs-Deemed'!DJ813*((K813-AB813)/INDEX('Device Refrigerant Leakage'!$C$2:$C$42,MATCH('Fuel Sub Calcs-Deemed'!X813,'Device Refrigerant Leakage'!$B$2:$B$42,0))))</f>
        <v/>
      </c>
      <c r="DM813" s="56">
        <v>799</v>
      </c>
      <c r="DN813" s="67" t="e">
        <f t="shared" si="942"/>
        <v>#N/A</v>
      </c>
      <c r="DO813" s="45" t="e">
        <f t="shared" si="943"/>
        <v>#N/A</v>
      </c>
      <c r="DP813" s="67" t="e">
        <f t="shared" si="944"/>
        <v>#N/A</v>
      </c>
      <c r="DQ813" s="45" t="e">
        <f t="shared" si="945"/>
        <v>#N/A</v>
      </c>
      <c r="DR813" s="69" t="e">
        <f t="shared" si="946"/>
        <v>#N/A</v>
      </c>
      <c r="DS813" s="34"/>
      <c r="DT813" s="67" t="e">
        <f>((BX813*CJ813)+IF($W813=MAT_AR,(BZ813*CL813),0))*(1+Reference!$E$50+Reference!$E$51)</f>
        <v>#N/A</v>
      </c>
      <c r="DU813" s="67">
        <f>((BY813*CK813)+IF($W813=MAT_AR,(CA813*CM813),0))*(1+Reference!$G$50+Reference!$G$51)</f>
        <v>0</v>
      </c>
      <c r="DV813" s="67" t="e">
        <f t="shared" si="947"/>
        <v>#VALUE!</v>
      </c>
      <c r="DX813" s="56">
        <v>799</v>
      </c>
      <c r="DY813" s="67">
        <f t="shared" si="948"/>
        <v>0</v>
      </c>
      <c r="DZ813" s="45" t="e">
        <f>VLOOKUP($R813,Dropdown!$C$3:$D$4,2,FALSE)</f>
        <v>#N/A</v>
      </c>
      <c r="EA813" s="68">
        <f t="shared" si="949"/>
        <v>0</v>
      </c>
      <c r="EB813" s="68" t="str">
        <f t="shared" si="950"/>
        <v>N/A</v>
      </c>
      <c r="EC813" s="68">
        <f t="shared" si="951"/>
        <v>0</v>
      </c>
      <c r="ED813" s="68" t="str">
        <f t="shared" si="989"/>
        <v>N/A</v>
      </c>
      <c r="EF813" s="56">
        <v>799</v>
      </c>
      <c r="EG813" s="46">
        <f t="shared" si="952"/>
        <v>0</v>
      </c>
      <c r="EH813" s="68" t="e">
        <f t="shared" si="953"/>
        <v>#N/A</v>
      </c>
      <c r="EI813" s="68" t="e">
        <f t="shared" si="954"/>
        <v>#N/A</v>
      </c>
      <c r="EJ813" s="68" t="e">
        <f t="shared" si="955"/>
        <v>#N/A</v>
      </c>
      <c r="EK813" s="68" t="e">
        <f t="shared" si="956"/>
        <v>#N/A</v>
      </c>
      <c r="EL813" s="46">
        <f t="shared" si="957"/>
        <v>0</v>
      </c>
      <c r="EM813" s="46">
        <f t="shared" si="958"/>
        <v>0</v>
      </c>
    </row>
    <row r="814" spans="1:143">
      <c r="A814" s="89"/>
      <c r="B814" s="89"/>
      <c r="C814" s="89"/>
      <c r="D814" s="89"/>
      <c r="E814" s="89"/>
      <c r="F814" s="89"/>
      <c r="G814" s="34"/>
      <c r="H814" s="56">
        <f t="shared" si="959"/>
        <v>800</v>
      </c>
      <c r="I814" s="165"/>
      <c r="J814" s="163"/>
      <c r="K814" s="163"/>
      <c r="L814" s="164"/>
      <c r="M814" s="155"/>
      <c r="N814" s="155"/>
      <c r="O814" s="144"/>
      <c r="P814" s="159" t="str">
        <f>IFERROR(IF(O814&lt;&gt;"User Specified",IF(O814&lt;&gt;"", INDEX('Refrigerant GWPs'!$G$2:$G$154,MATCH(O814,'Refrigerant GWPs'!$A$2:$A$154,0)),""),U814),0)</f>
        <v/>
      </c>
      <c r="Q814" s="155"/>
      <c r="R814" s="155"/>
      <c r="S814" s="144"/>
      <c r="T814" s="159" t="str">
        <f>IF(S814&lt;&gt;"User Specified",IF(AND(S814&lt;&gt;"User Specified",S814&lt;&gt;""), INDEX('Refrigerant GWPs'!$G$2:$G$154,MATCH(S814,'Refrigerant GWPs'!$A$2:$A$154,0)),""),V814)</f>
        <v/>
      </c>
      <c r="U814" s="144"/>
      <c r="V814" s="144"/>
      <c r="W814" s="155"/>
      <c r="X814" s="155"/>
      <c r="Y814" s="144"/>
      <c r="Z814" s="159" t="str">
        <f>IF(AND(Y814&lt;&gt;"User Specified",Y814&lt;&gt;""), INDEX('Refrigerant GWPs'!$G$2:$G$154,MATCH(Y814,'Refrigerant GWPs'!$A$2:$A$154,0)),"")</f>
        <v/>
      </c>
      <c r="AA814" s="155"/>
      <c r="AB814" s="156"/>
      <c r="AC814" s="66"/>
      <c r="AD814" s="66"/>
      <c r="AE814" s="66"/>
      <c r="AF814" s="66"/>
      <c r="AG814" s="66"/>
      <c r="AH814" s="66"/>
      <c r="AI814" s="34"/>
      <c r="AJ814" s="88">
        <f t="shared" si="922"/>
        <v>0</v>
      </c>
      <c r="AK814" s="88">
        <f t="shared" si="923"/>
        <v>0</v>
      </c>
      <c r="AL814" s="88">
        <v>0</v>
      </c>
      <c r="AM814" s="88">
        <v>0</v>
      </c>
      <c r="AN814" s="81" t="str">
        <f t="shared" si="961"/>
        <v/>
      </c>
      <c r="AO814" s="88">
        <f t="shared" si="924"/>
        <v>0</v>
      </c>
      <c r="AP814" s="88">
        <f t="shared" si="925"/>
        <v>0</v>
      </c>
      <c r="AQ814" s="81" t="str">
        <f t="shared" si="926"/>
        <v/>
      </c>
      <c r="AS814" s="41" t="b">
        <f t="shared" si="927"/>
        <v>1</v>
      </c>
      <c r="AT814" s="38">
        <f t="shared" si="928"/>
        <v>0</v>
      </c>
      <c r="AU814" s="60">
        <f t="shared" si="929"/>
        <v>0</v>
      </c>
      <c r="AV814" s="41">
        <f t="shared" si="930"/>
        <v>0</v>
      </c>
      <c r="AW814" s="41" t="b">
        <f t="shared" si="931"/>
        <v>0</v>
      </c>
      <c r="AX814" t="str">
        <f t="shared" si="932"/>
        <v>+00</v>
      </c>
      <c r="AY814" t="str">
        <f t="shared" si="933"/>
        <v>+00</v>
      </c>
      <c r="BA814" s="47" t="b">
        <f t="shared" si="962"/>
        <v>1</v>
      </c>
      <c r="BB814" s="42" t="b">
        <f t="shared" si="963"/>
        <v>1</v>
      </c>
      <c r="BC814" s="42" t="b">
        <f t="shared" si="964"/>
        <v>0</v>
      </c>
      <c r="BD814" s="42" t="b">
        <f t="shared" si="965"/>
        <v>0</v>
      </c>
      <c r="BE814" s="70">
        <f t="shared" si="966"/>
        <v>0</v>
      </c>
      <c r="BF814" s="70">
        <f t="shared" si="967"/>
        <v>0</v>
      </c>
      <c r="BG814" s="34"/>
      <c r="BI814" s="47" t="b">
        <f t="shared" si="968"/>
        <v>1</v>
      </c>
      <c r="BJ814" s="47" t="b">
        <f t="shared" si="969"/>
        <v>1</v>
      </c>
      <c r="BK814" s="42" t="b">
        <f t="shared" si="970"/>
        <v>0</v>
      </c>
      <c r="BL814" s="42" t="b">
        <f t="shared" si="971"/>
        <v>0</v>
      </c>
      <c r="BM814" s="42">
        <f t="shared" si="972"/>
        <v>0</v>
      </c>
      <c r="BN814" s="42">
        <f t="shared" si="973"/>
        <v>0</v>
      </c>
      <c r="BP814" t="e">
        <f t="shared" si="974"/>
        <v>#N/A</v>
      </c>
      <c r="BQ814" t="e">
        <f t="shared" si="975"/>
        <v>#N/A</v>
      </c>
      <c r="BR814" t="e">
        <f t="shared" si="976"/>
        <v>#N/A</v>
      </c>
      <c r="BT814" s="60">
        <f t="shared" si="977"/>
        <v>0</v>
      </c>
      <c r="BU814" s="60">
        <f t="shared" si="978"/>
        <v>0</v>
      </c>
      <c r="BV814" s="60">
        <f t="shared" si="979"/>
        <v>0</v>
      </c>
      <c r="BW814" s="60">
        <f t="shared" si="980"/>
        <v>0</v>
      </c>
      <c r="BX814" s="60">
        <f t="shared" si="981"/>
        <v>0</v>
      </c>
      <c r="BY814" s="60">
        <f t="shared" si="982"/>
        <v>0</v>
      </c>
      <c r="BZ814" s="60">
        <f t="shared" si="983"/>
        <v>0</v>
      </c>
      <c r="CA814" s="60">
        <f t="shared" si="984"/>
        <v>0</v>
      </c>
      <c r="CB814" s="60" t="e">
        <f t="shared" si="934"/>
        <v>#N/A</v>
      </c>
      <c r="CC814" s="60">
        <f t="shared" si="935"/>
        <v>100000</v>
      </c>
      <c r="CD814" s="60" t="e">
        <f t="shared" si="936"/>
        <v>#N/A</v>
      </c>
      <c r="CE814" s="60">
        <f t="shared" si="937"/>
        <v>100000</v>
      </c>
      <c r="CF814" s="83" t="e">
        <f t="shared" si="985"/>
        <v>#N/A</v>
      </c>
      <c r="CG814" s="83">
        <f t="shared" si="986"/>
        <v>0</v>
      </c>
      <c r="CH814" s="83" t="e">
        <f t="shared" si="987"/>
        <v>#N/A</v>
      </c>
      <c r="CI814" s="83">
        <f t="shared" si="988"/>
        <v>0</v>
      </c>
      <c r="CJ814" s="86" t="e">
        <f t="shared" si="938"/>
        <v>#N/A</v>
      </c>
      <c r="CK814" s="82">
        <f t="shared" si="939"/>
        <v>5.3070370403969858E-3</v>
      </c>
      <c r="CL814" s="82" t="e">
        <f t="shared" si="940"/>
        <v>#N/A</v>
      </c>
      <c r="CM814" s="82">
        <f t="shared" si="941"/>
        <v>5.3070370403969858E-3</v>
      </c>
      <c r="CO814" s="149" t="str">
        <f>IF($I814&lt;&gt;"",IF(O814="User Specified",U814,INDEX('Refrigerant GWPs'!$G$2:$G$156,MATCH(O814,'Refrigerant GWPs'!$A$2:$A$156,0))),"")</f>
        <v/>
      </c>
      <c r="CP814" s="138" t="str">
        <f>IF($I814&lt;&gt;"",INDEX('Device Refrigerant Leakage'!$E$2:$E$42,MATCH($M814,'Device Refrigerant Leakage'!$B$2:$B$42,0)),"")</f>
        <v/>
      </c>
      <c r="CQ814" s="138" t="str">
        <f>IF($I814&lt;&gt;"",INDEX('Device Refrigerant Leakage'!$F$2:$F$42,MATCH($M814,'Device Refrigerant Leakage'!$B$2:$B$42,0)),"")</f>
        <v/>
      </c>
      <c r="CR814" s="145" t="str">
        <f>IF($I814&lt;&gt;"",INDEX('Device Refrigerant Leakage'!$G$2:$G$42,MATCH($M814,'Device Refrigerant Leakage'!$B$2:$B$42,0)),"")</f>
        <v/>
      </c>
      <c r="CS814" s="145" t="str">
        <f>IF($I814&lt;&gt;"",INDEX('Device Refrigerant Leakage'!$D$2:$D$42,MATCH($M814,'Device Refrigerant Leakage'!$B$2:$B$42,0))*CP814/2204.62*CO814,"")</f>
        <v/>
      </c>
      <c r="CT814" s="145" t="str">
        <f>IF($I814&lt;&gt;"",J814*(INDEX('Device Refrigerant Leakage'!$D$2:$D$42,MATCH($M814,'Device Refrigerant Leakage'!$B$2:$B$42,0))-(INDEX('Device Refrigerant Leakage'!$D$2:$D$42,MATCH($M814,'Device Refrigerant Leakage'!$B$2:$B$42,0)))*CR814*CP814)*CQ814/2204.62*CO814,"")</f>
        <v/>
      </c>
      <c r="CU814" s="135" t="str">
        <f>IF($I814&lt;&gt;"",J814*IF(W814&lt;&gt;"AR",(CS814*K814)+CT814,(CS814*AB814)+CT814*(AB814/INDEX('Device Refrigerant Leakage'!$C$2:$C$42,MATCH($M814,'Device Refrigerant Leakage'!$B$2:$B$42,0)))),"")</f>
        <v/>
      </c>
      <c r="CW814" s="135" t="str">
        <f>IF($I814&lt;&gt;"",IF(S814="User Specified",V814,INDEX('Refrigerant GWPs'!$G$2:$G$156,MATCH(S814,'Refrigerant GWPs'!$A$2:$A$157,0))),"")</f>
        <v/>
      </c>
      <c r="CX814" s="138" t="str">
        <f>IF($I814&lt;&gt;"",INDEX('Device Refrigerant Leakage'!$E$2:$E$42,MATCH($Q814,'Device Refrigerant Leakage'!$B$2:$B$42,0)),"")</f>
        <v/>
      </c>
      <c r="CY814" s="138" t="str">
        <f>IF($I814&lt;&gt;"",INDEX('Device Refrigerant Leakage'!$F$2:$F$42,MATCH($Q814,'Device Refrigerant Leakage'!$B$2:$B$42,0)),"")</f>
        <v/>
      </c>
      <c r="CZ814" s="145" t="str">
        <f>IF($I814&lt;&gt;"",INDEX('Device Refrigerant Leakage'!$G$2:$G$42,MATCH($Q814,'Device Refrigerant Leakage'!$B$2:$B$42,0)),"")</f>
        <v/>
      </c>
      <c r="DA814" s="145" t="str">
        <f>IF($I814&lt;&gt;"",J814*INDEX('Device Refrigerant Leakage'!$D$2:$D$42,MATCH($Q814,'Device Refrigerant Leakage'!$B$2:$B$42,0))*CX814/2204.62*CW814,"")</f>
        <v/>
      </c>
      <c r="DB814" s="145" t="str">
        <f>IF($I814&lt;&gt;"",J814*(INDEX('Device Refrigerant Leakage'!$D$2:$D$42,MATCH($Q814,'Device Refrigerant Leakage'!$B$2:$B$42,0))-(INDEX('Device Refrigerant Leakage'!$D$2:$D$42,MATCH($Q814,'Device Refrigerant Leakage'!$B$2:$B$42,0)))*CZ814*CX814)*CY814/2204.62*CW814,"")</f>
        <v/>
      </c>
      <c r="DC814" s="135" t="str">
        <f t="shared" si="960"/>
        <v/>
      </c>
      <c r="DE814" s="146" t="str">
        <f>IF(W814&lt;&gt;"AR","",IF(Y814="User Specified", AA814, INDEX('Refrigerant GWPs'!$G$2:$G$154,MATCH(Y814,'Refrigerant GWPs'!$A$2:$A$154,0))))</f>
        <v/>
      </c>
      <c r="DF814" s="146" t="str">
        <f>IF(W814&lt;&gt;"AR","",INDEX('Device Refrigerant Leakage'!$E$2:$E$42,MATCH(X814,'Device Refrigerant Leakage'!$B$2:$B$42,0)))</f>
        <v/>
      </c>
      <c r="DG814" s="146" t="str">
        <f>IF(W814&lt;&gt;"AR","",INDEX('Device Refrigerant Leakage'!$F$2:$F$42,MATCH(X814,'Device Refrigerant Leakage'!$B$2:$B$42,0)))</f>
        <v/>
      </c>
      <c r="DH814" s="146" t="str">
        <f>IF(W814&lt;&gt;"AR","",INDEX('Device Refrigerant Leakage'!$G$2:$G$42,MATCH(X814,'Device Refrigerant Leakage'!$B$2:$B$42,0)))</f>
        <v/>
      </c>
      <c r="DI814" s="146" t="str">
        <f>IF(W814&lt;&gt;"AR","",J814*INDEX('Device Refrigerant Leakage'!$D$2:$D$42,MATCH(X814,'Device Refrigerant Leakage'!$B$2:$B$42,0))*DF814/2204.62*DE814)</f>
        <v/>
      </c>
      <c r="DJ814" s="146" t="str">
        <f>IF(W814&lt;&gt;"AR","",J814*(INDEX('Device Refrigerant Leakage'!$D$2:$D$42,MATCH(X814,'Device Refrigerant Leakage'!$B$2:$B$42,0))-(INDEX('Device Refrigerant Leakage'!$D$2:$D$42,MATCH(X814,'Device Refrigerant Leakage'!$B$2:$B$42,0)))*DH814*DF814)*DG814/2204.62*DE814)</f>
        <v/>
      </c>
      <c r="DK814" s="146" t="str">
        <f>IF(W814&lt;&gt;"AR","",DI814*(K814-AB814)+'Fuel Sub Calcs-Deemed'!DJ814*((K814-AB814)/INDEX('Device Refrigerant Leakage'!$C$2:$C$42,MATCH('Fuel Sub Calcs-Deemed'!X814,'Device Refrigerant Leakage'!$B$2:$B$42,0))))</f>
        <v/>
      </c>
      <c r="DM814" s="56">
        <v>800</v>
      </c>
      <c r="DN814" s="67" t="e">
        <f t="shared" si="942"/>
        <v>#N/A</v>
      </c>
      <c r="DO814" s="45" t="e">
        <f t="shared" si="943"/>
        <v>#N/A</v>
      </c>
      <c r="DP814" s="67" t="e">
        <f t="shared" si="944"/>
        <v>#N/A</v>
      </c>
      <c r="DQ814" s="45" t="e">
        <f t="shared" si="945"/>
        <v>#N/A</v>
      </c>
      <c r="DR814" s="69" t="e">
        <f t="shared" si="946"/>
        <v>#N/A</v>
      </c>
      <c r="DS814" s="34"/>
      <c r="DT814" s="67" t="e">
        <f>((BX814*CJ814)+IF($W814=MAT_AR,(BZ814*CL814),0))*(1+Reference!$E$50+Reference!$E$51)</f>
        <v>#N/A</v>
      </c>
      <c r="DU814" s="67">
        <f>((BY814*CK814)+IF($W814=MAT_AR,(CA814*CM814),0))*(1+Reference!$G$50+Reference!$G$51)</f>
        <v>0</v>
      </c>
      <c r="DV814" s="67" t="e">
        <f t="shared" si="947"/>
        <v>#VALUE!</v>
      </c>
      <c r="DX814" s="56">
        <v>800</v>
      </c>
      <c r="DY814" s="67">
        <f t="shared" si="948"/>
        <v>0</v>
      </c>
      <c r="DZ814" s="45" t="e">
        <f>VLOOKUP($R814,Dropdown!$C$3:$D$4,2,FALSE)</f>
        <v>#N/A</v>
      </c>
      <c r="EA814" s="68">
        <f t="shared" si="949"/>
        <v>0</v>
      </c>
      <c r="EB814" s="68" t="str">
        <f t="shared" si="950"/>
        <v>N/A</v>
      </c>
      <c r="EC814" s="68">
        <f t="shared" si="951"/>
        <v>0</v>
      </c>
      <c r="ED814" s="68" t="str">
        <f t="shared" si="989"/>
        <v>N/A</v>
      </c>
      <c r="EF814" s="56">
        <v>800</v>
      </c>
      <c r="EG814" s="46">
        <f t="shared" si="952"/>
        <v>0</v>
      </c>
      <c r="EH814" s="68" t="e">
        <f t="shared" si="953"/>
        <v>#N/A</v>
      </c>
      <c r="EI814" s="68" t="e">
        <f t="shared" si="954"/>
        <v>#N/A</v>
      </c>
      <c r="EJ814" s="68" t="e">
        <f t="shared" si="955"/>
        <v>#N/A</v>
      </c>
      <c r="EK814" s="68" t="e">
        <f t="shared" si="956"/>
        <v>#N/A</v>
      </c>
      <c r="EL814" s="46">
        <f t="shared" si="957"/>
        <v>0</v>
      </c>
      <c r="EM814" s="46">
        <f t="shared" si="958"/>
        <v>0</v>
      </c>
    </row>
    <row r="815" spans="1:143">
      <c r="A815" s="89"/>
      <c r="B815" s="89"/>
      <c r="C815" s="89"/>
      <c r="D815" s="89"/>
      <c r="E815" s="89"/>
      <c r="F815" s="89"/>
      <c r="G815" s="34"/>
      <c r="H815" s="56">
        <f t="shared" si="959"/>
        <v>801</v>
      </c>
      <c r="I815" s="165"/>
      <c r="J815" s="163"/>
      <c r="K815" s="163"/>
      <c r="L815" s="164"/>
      <c r="M815" s="155"/>
      <c r="N815" s="155"/>
      <c r="O815" s="144"/>
      <c r="P815" s="159" t="str">
        <f>IFERROR(IF(O815&lt;&gt;"User Specified",IF(O815&lt;&gt;"", INDEX('Refrigerant GWPs'!$G$2:$G$154,MATCH(O815,'Refrigerant GWPs'!$A$2:$A$154,0)),""),U815),0)</f>
        <v/>
      </c>
      <c r="Q815" s="155"/>
      <c r="R815" s="155"/>
      <c r="S815" s="144"/>
      <c r="T815" s="159" t="str">
        <f>IF(S815&lt;&gt;"User Specified",IF(AND(S815&lt;&gt;"User Specified",S815&lt;&gt;""), INDEX('Refrigerant GWPs'!$G$2:$G$154,MATCH(S815,'Refrigerant GWPs'!$A$2:$A$154,0)),""),V815)</f>
        <v/>
      </c>
      <c r="U815" s="144"/>
      <c r="V815" s="144"/>
      <c r="W815" s="155"/>
      <c r="X815" s="155"/>
      <c r="Y815" s="144"/>
      <c r="Z815" s="159" t="str">
        <f>IF(AND(Y815&lt;&gt;"User Specified",Y815&lt;&gt;""), INDEX('Refrigerant GWPs'!$G$2:$G$154,MATCH(Y815,'Refrigerant GWPs'!$A$2:$A$154,0)),"")</f>
        <v/>
      </c>
      <c r="AA815" s="155"/>
      <c r="AB815" s="156"/>
      <c r="AC815" s="66"/>
      <c r="AD815" s="66"/>
      <c r="AE815" s="66"/>
      <c r="AF815" s="66"/>
      <c r="AG815" s="66"/>
      <c r="AH815" s="66"/>
      <c r="AI815" s="34"/>
      <c r="AJ815" s="88">
        <f t="shared" si="922"/>
        <v>0</v>
      </c>
      <c r="AK815" s="88">
        <f t="shared" si="923"/>
        <v>0</v>
      </c>
      <c r="AL815" s="88">
        <v>0</v>
      </c>
      <c r="AM815" s="88">
        <v>0</v>
      </c>
      <c r="AN815" s="81" t="str">
        <f t="shared" si="961"/>
        <v/>
      </c>
      <c r="AO815" s="88">
        <f t="shared" si="924"/>
        <v>0</v>
      </c>
      <c r="AP815" s="88">
        <f t="shared" si="925"/>
        <v>0</v>
      </c>
      <c r="AQ815" s="81" t="str">
        <f t="shared" si="926"/>
        <v/>
      </c>
      <c r="AS815" s="41" t="b">
        <f t="shared" si="927"/>
        <v>1</v>
      </c>
      <c r="AT815" s="38">
        <f t="shared" si="928"/>
        <v>0</v>
      </c>
      <c r="AU815" s="60">
        <f t="shared" si="929"/>
        <v>0</v>
      </c>
      <c r="AV815" s="41">
        <f t="shared" si="930"/>
        <v>0</v>
      </c>
      <c r="AW815" s="41" t="b">
        <f t="shared" si="931"/>
        <v>0</v>
      </c>
      <c r="AX815" t="str">
        <f t="shared" si="932"/>
        <v>+00</v>
      </c>
      <c r="AY815" t="str">
        <f t="shared" si="933"/>
        <v>+00</v>
      </c>
      <c r="BA815" s="47" t="b">
        <f t="shared" si="962"/>
        <v>1</v>
      </c>
      <c r="BB815" s="42" t="b">
        <f t="shared" si="963"/>
        <v>1</v>
      </c>
      <c r="BC815" s="42" t="b">
        <f t="shared" si="964"/>
        <v>0</v>
      </c>
      <c r="BD815" s="42" t="b">
        <f t="shared" si="965"/>
        <v>0</v>
      </c>
      <c r="BE815" s="70">
        <f t="shared" si="966"/>
        <v>0</v>
      </c>
      <c r="BF815" s="70">
        <f t="shared" si="967"/>
        <v>0</v>
      </c>
      <c r="BG815" s="34"/>
      <c r="BI815" s="47" t="b">
        <f t="shared" si="968"/>
        <v>1</v>
      </c>
      <c r="BJ815" s="47" t="b">
        <f t="shared" si="969"/>
        <v>1</v>
      </c>
      <c r="BK815" s="42" t="b">
        <f t="shared" si="970"/>
        <v>0</v>
      </c>
      <c r="BL815" s="42" t="b">
        <f t="shared" si="971"/>
        <v>0</v>
      </c>
      <c r="BM815" s="42">
        <f t="shared" si="972"/>
        <v>0</v>
      </c>
      <c r="BN815" s="42">
        <f t="shared" si="973"/>
        <v>0</v>
      </c>
      <c r="BP815" t="e">
        <f t="shared" si="974"/>
        <v>#N/A</v>
      </c>
      <c r="BQ815" t="e">
        <f t="shared" si="975"/>
        <v>#N/A</v>
      </c>
      <c r="BR815" t="e">
        <f t="shared" si="976"/>
        <v>#N/A</v>
      </c>
      <c r="BT815" s="60">
        <f t="shared" si="977"/>
        <v>0</v>
      </c>
      <c r="BU815" s="60">
        <f t="shared" si="978"/>
        <v>0</v>
      </c>
      <c r="BV815" s="60">
        <f t="shared" si="979"/>
        <v>0</v>
      </c>
      <c r="BW815" s="60">
        <f t="shared" si="980"/>
        <v>0</v>
      </c>
      <c r="BX815" s="60">
        <f t="shared" si="981"/>
        <v>0</v>
      </c>
      <c r="BY815" s="60">
        <f t="shared" si="982"/>
        <v>0</v>
      </c>
      <c r="BZ815" s="60">
        <f t="shared" si="983"/>
        <v>0</v>
      </c>
      <c r="CA815" s="60">
        <f t="shared" si="984"/>
        <v>0</v>
      </c>
      <c r="CB815" s="60" t="e">
        <f t="shared" si="934"/>
        <v>#N/A</v>
      </c>
      <c r="CC815" s="60">
        <f t="shared" si="935"/>
        <v>100000</v>
      </c>
      <c r="CD815" s="60" t="e">
        <f t="shared" si="936"/>
        <v>#N/A</v>
      </c>
      <c r="CE815" s="60">
        <f t="shared" si="937"/>
        <v>100000</v>
      </c>
      <c r="CF815" s="83" t="e">
        <f t="shared" si="985"/>
        <v>#N/A</v>
      </c>
      <c r="CG815" s="83">
        <f t="shared" si="986"/>
        <v>0</v>
      </c>
      <c r="CH815" s="83" t="e">
        <f t="shared" si="987"/>
        <v>#N/A</v>
      </c>
      <c r="CI815" s="83">
        <f t="shared" si="988"/>
        <v>0</v>
      </c>
      <c r="CJ815" s="86" t="e">
        <f t="shared" si="938"/>
        <v>#N/A</v>
      </c>
      <c r="CK815" s="82">
        <f t="shared" si="939"/>
        <v>5.3070370403969858E-3</v>
      </c>
      <c r="CL815" s="82" t="e">
        <f t="shared" si="940"/>
        <v>#N/A</v>
      </c>
      <c r="CM815" s="82">
        <f t="shared" si="941"/>
        <v>5.3070370403969858E-3</v>
      </c>
      <c r="CO815" s="149" t="str">
        <f>IF($I815&lt;&gt;"",IF(O815="User Specified",U815,INDEX('Refrigerant GWPs'!$G$2:$G$156,MATCH(O815,'Refrigerant GWPs'!$A$2:$A$156,0))),"")</f>
        <v/>
      </c>
      <c r="CP815" s="138" t="str">
        <f>IF($I815&lt;&gt;"",INDEX('Device Refrigerant Leakage'!$E$2:$E$42,MATCH($M815,'Device Refrigerant Leakage'!$B$2:$B$42,0)),"")</f>
        <v/>
      </c>
      <c r="CQ815" s="138" t="str">
        <f>IF($I815&lt;&gt;"",INDEX('Device Refrigerant Leakage'!$F$2:$F$42,MATCH($M815,'Device Refrigerant Leakage'!$B$2:$B$42,0)),"")</f>
        <v/>
      </c>
      <c r="CR815" s="145" t="str">
        <f>IF($I815&lt;&gt;"",INDEX('Device Refrigerant Leakage'!$G$2:$G$42,MATCH($M815,'Device Refrigerant Leakage'!$B$2:$B$42,0)),"")</f>
        <v/>
      </c>
      <c r="CS815" s="145" t="str">
        <f>IF($I815&lt;&gt;"",INDEX('Device Refrigerant Leakage'!$D$2:$D$42,MATCH($M815,'Device Refrigerant Leakage'!$B$2:$B$42,0))*CP815/2204.62*CO815,"")</f>
        <v/>
      </c>
      <c r="CT815" s="145" t="str">
        <f>IF($I815&lt;&gt;"",J815*(INDEX('Device Refrigerant Leakage'!$D$2:$D$42,MATCH($M815,'Device Refrigerant Leakage'!$B$2:$B$42,0))-(INDEX('Device Refrigerant Leakage'!$D$2:$D$42,MATCH($M815,'Device Refrigerant Leakage'!$B$2:$B$42,0)))*CR815*CP815)*CQ815/2204.62*CO815,"")</f>
        <v/>
      </c>
      <c r="CU815" s="135" t="str">
        <f>IF($I815&lt;&gt;"",J815*IF(W815&lt;&gt;"AR",(CS815*K815)+CT815,(CS815*AB815)+CT815*(AB815/INDEX('Device Refrigerant Leakage'!$C$2:$C$42,MATCH($M815,'Device Refrigerant Leakage'!$B$2:$B$42,0)))),"")</f>
        <v/>
      </c>
      <c r="CW815" s="135" t="str">
        <f>IF($I815&lt;&gt;"",IF(S815="User Specified",V815,INDEX('Refrigerant GWPs'!$G$2:$G$156,MATCH(S815,'Refrigerant GWPs'!$A$2:$A$157,0))),"")</f>
        <v/>
      </c>
      <c r="CX815" s="138" t="str">
        <f>IF($I815&lt;&gt;"",INDEX('Device Refrigerant Leakage'!$E$2:$E$42,MATCH($Q815,'Device Refrigerant Leakage'!$B$2:$B$42,0)),"")</f>
        <v/>
      </c>
      <c r="CY815" s="138" t="str">
        <f>IF($I815&lt;&gt;"",INDEX('Device Refrigerant Leakage'!$F$2:$F$42,MATCH($Q815,'Device Refrigerant Leakage'!$B$2:$B$42,0)),"")</f>
        <v/>
      </c>
      <c r="CZ815" s="145" t="str">
        <f>IF($I815&lt;&gt;"",INDEX('Device Refrigerant Leakage'!$G$2:$G$42,MATCH($Q815,'Device Refrigerant Leakage'!$B$2:$B$42,0)),"")</f>
        <v/>
      </c>
      <c r="DA815" s="145" t="str">
        <f>IF($I815&lt;&gt;"",J815*INDEX('Device Refrigerant Leakage'!$D$2:$D$42,MATCH($Q815,'Device Refrigerant Leakage'!$B$2:$B$42,0))*CX815/2204.62*CW815,"")</f>
        <v/>
      </c>
      <c r="DB815" s="145" t="str">
        <f>IF($I815&lt;&gt;"",J815*(INDEX('Device Refrigerant Leakage'!$D$2:$D$42,MATCH($Q815,'Device Refrigerant Leakage'!$B$2:$B$42,0))-(INDEX('Device Refrigerant Leakage'!$D$2:$D$42,MATCH($Q815,'Device Refrigerant Leakage'!$B$2:$B$42,0)))*CZ815*CX815)*CY815/2204.62*CW815,"")</f>
        <v/>
      </c>
      <c r="DC815" s="135" t="str">
        <f t="shared" si="960"/>
        <v/>
      </c>
      <c r="DE815" s="146" t="str">
        <f>IF(W815&lt;&gt;"AR","",IF(Y815="User Specified", AA815, INDEX('Refrigerant GWPs'!$G$2:$G$154,MATCH(Y815,'Refrigerant GWPs'!$A$2:$A$154,0))))</f>
        <v/>
      </c>
      <c r="DF815" s="146" t="str">
        <f>IF(W815&lt;&gt;"AR","",INDEX('Device Refrigerant Leakage'!$E$2:$E$42,MATCH(X815,'Device Refrigerant Leakage'!$B$2:$B$42,0)))</f>
        <v/>
      </c>
      <c r="DG815" s="146" t="str">
        <f>IF(W815&lt;&gt;"AR","",INDEX('Device Refrigerant Leakage'!$F$2:$F$42,MATCH(X815,'Device Refrigerant Leakage'!$B$2:$B$42,0)))</f>
        <v/>
      </c>
      <c r="DH815" s="146" t="str">
        <f>IF(W815&lt;&gt;"AR","",INDEX('Device Refrigerant Leakage'!$G$2:$G$42,MATCH(X815,'Device Refrigerant Leakage'!$B$2:$B$42,0)))</f>
        <v/>
      </c>
      <c r="DI815" s="146" t="str">
        <f>IF(W815&lt;&gt;"AR","",J815*INDEX('Device Refrigerant Leakage'!$D$2:$D$42,MATCH(X815,'Device Refrigerant Leakage'!$B$2:$B$42,0))*DF815/2204.62*DE815)</f>
        <v/>
      </c>
      <c r="DJ815" s="146" t="str">
        <f>IF(W815&lt;&gt;"AR","",J815*(INDEX('Device Refrigerant Leakage'!$D$2:$D$42,MATCH(X815,'Device Refrigerant Leakage'!$B$2:$B$42,0))-(INDEX('Device Refrigerant Leakage'!$D$2:$D$42,MATCH(X815,'Device Refrigerant Leakage'!$B$2:$B$42,0)))*DH815*DF815)*DG815/2204.62*DE815)</f>
        <v/>
      </c>
      <c r="DK815" s="146" t="str">
        <f>IF(W815&lt;&gt;"AR","",DI815*(K815-AB815)+'Fuel Sub Calcs-Deemed'!DJ815*((K815-AB815)/INDEX('Device Refrigerant Leakage'!$C$2:$C$42,MATCH('Fuel Sub Calcs-Deemed'!X815,'Device Refrigerant Leakage'!$B$2:$B$42,0))))</f>
        <v/>
      </c>
      <c r="DM815" s="56">
        <v>801</v>
      </c>
      <c r="DN815" s="67" t="e">
        <f t="shared" si="942"/>
        <v>#N/A</v>
      </c>
      <c r="DO815" s="45" t="e">
        <f t="shared" si="943"/>
        <v>#N/A</v>
      </c>
      <c r="DP815" s="67" t="e">
        <f t="shared" si="944"/>
        <v>#N/A</v>
      </c>
      <c r="DQ815" s="45" t="e">
        <f t="shared" si="945"/>
        <v>#N/A</v>
      </c>
      <c r="DR815" s="69" t="e">
        <f t="shared" si="946"/>
        <v>#N/A</v>
      </c>
      <c r="DS815" s="34"/>
      <c r="DT815" s="67" t="e">
        <f>((BX815*CJ815)+IF($W815=MAT_AR,(BZ815*CL815),0))*(1+Reference!$E$50+Reference!$E$51)</f>
        <v>#N/A</v>
      </c>
      <c r="DU815" s="67">
        <f>((BY815*CK815)+IF($W815=MAT_AR,(CA815*CM815),0))*(1+Reference!$G$50+Reference!$G$51)</f>
        <v>0</v>
      </c>
      <c r="DV815" s="67" t="e">
        <f t="shared" si="947"/>
        <v>#VALUE!</v>
      </c>
      <c r="DX815" s="56">
        <v>801</v>
      </c>
      <c r="DY815" s="67">
        <f t="shared" si="948"/>
        <v>0</v>
      </c>
      <c r="DZ815" s="45" t="e">
        <f>VLOOKUP($R815,Dropdown!$C$3:$D$4,2,FALSE)</f>
        <v>#N/A</v>
      </c>
      <c r="EA815" s="68">
        <f t="shared" si="949"/>
        <v>0</v>
      </c>
      <c r="EB815" s="68" t="str">
        <f t="shared" si="950"/>
        <v>N/A</v>
      </c>
      <c r="EC815" s="68">
        <f t="shared" si="951"/>
        <v>0</v>
      </c>
      <c r="ED815" s="68" t="str">
        <f t="shared" si="989"/>
        <v>N/A</v>
      </c>
      <c r="EF815" s="56">
        <v>801</v>
      </c>
      <c r="EG815" s="46">
        <f t="shared" si="952"/>
        <v>0</v>
      </c>
      <c r="EH815" s="68" t="e">
        <f t="shared" si="953"/>
        <v>#N/A</v>
      </c>
      <c r="EI815" s="68" t="e">
        <f t="shared" si="954"/>
        <v>#N/A</v>
      </c>
      <c r="EJ815" s="68" t="e">
        <f t="shared" si="955"/>
        <v>#N/A</v>
      </c>
      <c r="EK815" s="68" t="e">
        <f t="shared" si="956"/>
        <v>#N/A</v>
      </c>
      <c r="EL815" s="46">
        <f t="shared" si="957"/>
        <v>0</v>
      </c>
      <c r="EM815" s="46">
        <f t="shared" si="958"/>
        <v>0</v>
      </c>
    </row>
    <row r="816" spans="1:143">
      <c r="A816" s="89"/>
      <c r="B816" s="89"/>
      <c r="C816" s="89"/>
      <c r="D816" s="89"/>
      <c r="E816" s="89"/>
      <c r="F816" s="89"/>
      <c r="G816" s="34"/>
      <c r="H816" s="56">
        <f t="shared" si="959"/>
        <v>802</v>
      </c>
      <c r="I816" s="165"/>
      <c r="J816" s="163"/>
      <c r="K816" s="163"/>
      <c r="L816" s="164"/>
      <c r="M816" s="155"/>
      <c r="N816" s="155"/>
      <c r="O816" s="144"/>
      <c r="P816" s="159" t="str">
        <f>IFERROR(IF(O816&lt;&gt;"User Specified",IF(O816&lt;&gt;"", INDEX('Refrigerant GWPs'!$G$2:$G$154,MATCH(O816,'Refrigerant GWPs'!$A$2:$A$154,0)),""),U816),0)</f>
        <v/>
      </c>
      <c r="Q816" s="155"/>
      <c r="R816" s="155"/>
      <c r="S816" s="144"/>
      <c r="T816" s="159" t="str">
        <f>IF(S816&lt;&gt;"User Specified",IF(AND(S816&lt;&gt;"User Specified",S816&lt;&gt;""), INDEX('Refrigerant GWPs'!$G$2:$G$154,MATCH(S816,'Refrigerant GWPs'!$A$2:$A$154,0)),""),V816)</f>
        <v/>
      </c>
      <c r="U816" s="144"/>
      <c r="V816" s="144"/>
      <c r="W816" s="155"/>
      <c r="X816" s="155"/>
      <c r="Y816" s="144"/>
      <c r="Z816" s="159" t="str">
        <f>IF(AND(Y816&lt;&gt;"User Specified",Y816&lt;&gt;""), INDEX('Refrigerant GWPs'!$G$2:$G$154,MATCH(Y816,'Refrigerant GWPs'!$A$2:$A$154,0)),"")</f>
        <v/>
      </c>
      <c r="AA816" s="155"/>
      <c r="AB816" s="156"/>
      <c r="AC816" s="66"/>
      <c r="AD816" s="66"/>
      <c r="AE816" s="66"/>
      <c r="AF816" s="66"/>
      <c r="AG816" s="66"/>
      <c r="AH816" s="66"/>
      <c r="AI816" s="34"/>
      <c r="AJ816" s="88">
        <f t="shared" si="922"/>
        <v>0</v>
      </c>
      <c r="AK816" s="88">
        <f t="shared" si="923"/>
        <v>0</v>
      </c>
      <c r="AL816" s="88">
        <v>0</v>
      </c>
      <c r="AM816" s="88">
        <v>0</v>
      </c>
      <c r="AN816" s="81" t="str">
        <f t="shared" si="961"/>
        <v/>
      </c>
      <c r="AO816" s="88">
        <f t="shared" si="924"/>
        <v>0</v>
      </c>
      <c r="AP816" s="88">
        <f t="shared" si="925"/>
        <v>0</v>
      </c>
      <c r="AQ816" s="81" t="str">
        <f t="shared" si="926"/>
        <v/>
      </c>
      <c r="AS816" s="41" t="b">
        <f t="shared" si="927"/>
        <v>1</v>
      </c>
      <c r="AT816" s="38">
        <f t="shared" si="928"/>
        <v>0</v>
      </c>
      <c r="AU816" s="60">
        <f t="shared" si="929"/>
        <v>0</v>
      </c>
      <c r="AV816" s="41">
        <f t="shared" si="930"/>
        <v>0</v>
      </c>
      <c r="AW816" s="41" t="b">
        <f t="shared" si="931"/>
        <v>0</v>
      </c>
      <c r="AX816" t="str">
        <f t="shared" si="932"/>
        <v>+00</v>
      </c>
      <c r="AY816" t="str">
        <f t="shared" si="933"/>
        <v>+00</v>
      </c>
      <c r="BA816" s="47" t="b">
        <f t="shared" si="962"/>
        <v>1</v>
      </c>
      <c r="BB816" s="42" t="b">
        <f t="shared" si="963"/>
        <v>1</v>
      </c>
      <c r="BC816" s="42" t="b">
        <f t="shared" si="964"/>
        <v>0</v>
      </c>
      <c r="BD816" s="42" t="b">
        <f t="shared" si="965"/>
        <v>0</v>
      </c>
      <c r="BE816" s="70">
        <f t="shared" si="966"/>
        <v>0</v>
      </c>
      <c r="BF816" s="70">
        <f t="shared" si="967"/>
        <v>0</v>
      </c>
      <c r="BG816" s="34"/>
      <c r="BI816" s="47" t="b">
        <f t="shared" si="968"/>
        <v>1</v>
      </c>
      <c r="BJ816" s="47" t="b">
        <f t="shared" si="969"/>
        <v>1</v>
      </c>
      <c r="BK816" s="42" t="b">
        <f t="shared" si="970"/>
        <v>0</v>
      </c>
      <c r="BL816" s="42" t="b">
        <f t="shared" si="971"/>
        <v>0</v>
      </c>
      <c r="BM816" s="42">
        <f t="shared" si="972"/>
        <v>0</v>
      </c>
      <c r="BN816" s="42">
        <f t="shared" si="973"/>
        <v>0</v>
      </c>
      <c r="BP816" t="e">
        <f t="shared" si="974"/>
        <v>#N/A</v>
      </c>
      <c r="BQ816" t="e">
        <f t="shared" si="975"/>
        <v>#N/A</v>
      </c>
      <c r="BR816" t="e">
        <f t="shared" si="976"/>
        <v>#N/A</v>
      </c>
      <c r="BT816" s="60">
        <f t="shared" si="977"/>
        <v>0</v>
      </c>
      <c r="BU816" s="60">
        <f t="shared" si="978"/>
        <v>0</v>
      </c>
      <c r="BV816" s="60">
        <f t="shared" si="979"/>
        <v>0</v>
      </c>
      <c r="BW816" s="60">
        <f t="shared" si="980"/>
        <v>0</v>
      </c>
      <c r="BX816" s="60">
        <f t="shared" si="981"/>
        <v>0</v>
      </c>
      <c r="BY816" s="60">
        <f t="shared" si="982"/>
        <v>0</v>
      </c>
      <c r="BZ816" s="60">
        <f t="shared" si="983"/>
        <v>0</v>
      </c>
      <c r="CA816" s="60">
        <f t="shared" si="984"/>
        <v>0</v>
      </c>
      <c r="CB816" s="60" t="e">
        <f t="shared" si="934"/>
        <v>#N/A</v>
      </c>
      <c r="CC816" s="60">
        <f t="shared" si="935"/>
        <v>100000</v>
      </c>
      <c r="CD816" s="60" t="e">
        <f t="shared" si="936"/>
        <v>#N/A</v>
      </c>
      <c r="CE816" s="60">
        <f t="shared" si="937"/>
        <v>100000</v>
      </c>
      <c r="CF816" s="83" t="e">
        <f t="shared" si="985"/>
        <v>#N/A</v>
      </c>
      <c r="CG816" s="83">
        <f t="shared" si="986"/>
        <v>0</v>
      </c>
      <c r="CH816" s="83" t="e">
        <f t="shared" si="987"/>
        <v>#N/A</v>
      </c>
      <c r="CI816" s="83">
        <f t="shared" si="988"/>
        <v>0</v>
      </c>
      <c r="CJ816" s="86" t="e">
        <f t="shared" si="938"/>
        <v>#N/A</v>
      </c>
      <c r="CK816" s="82">
        <f t="shared" si="939"/>
        <v>5.3070370403969858E-3</v>
      </c>
      <c r="CL816" s="82" t="e">
        <f t="shared" si="940"/>
        <v>#N/A</v>
      </c>
      <c r="CM816" s="82">
        <f t="shared" si="941"/>
        <v>5.3070370403969858E-3</v>
      </c>
      <c r="CO816" s="149" t="str">
        <f>IF($I816&lt;&gt;"",IF(O816="User Specified",U816,INDEX('Refrigerant GWPs'!$G$2:$G$156,MATCH(O816,'Refrigerant GWPs'!$A$2:$A$156,0))),"")</f>
        <v/>
      </c>
      <c r="CP816" s="138" t="str">
        <f>IF($I816&lt;&gt;"",INDEX('Device Refrigerant Leakage'!$E$2:$E$42,MATCH($M816,'Device Refrigerant Leakage'!$B$2:$B$42,0)),"")</f>
        <v/>
      </c>
      <c r="CQ816" s="138" t="str">
        <f>IF($I816&lt;&gt;"",INDEX('Device Refrigerant Leakage'!$F$2:$F$42,MATCH($M816,'Device Refrigerant Leakage'!$B$2:$B$42,0)),"")</f>
        <v/>
      </c>
      <c r="CR816" s="145" t="str">
        <f>IF($I816&lt;&gt;"",INDEX('Device Refrigerant Leakage'!$G$2:$G$42,MATCH($M816,'Device Refrigerant Leakage'!$B$2:$B$42,0)),"")</f>
        <v/>
      </c>
      <c r="CS816" s="145" t="str">
        <f>IF($I816&lt;&gt;"",INDEX('Device Refrigerant Leakage'!$D$2:$D$42,MATCH($M816,'Device Refrigerant Leakage'!$B$2:$B$42,0))*CP816/2204.62*CO816,"")</f>
        <v/>
      </c>
      <c r="CT816" s="145" t="str">
        <f>IF($I816&lt;&gt;"",J816*(INDEX('Device Refrigerant Leakage'!$D$2:$D$42,MATCH($M816,'Device Refrigerant Leakage'!$B$2:$B$42,0))-(INDEX('Device Refrigerant Leakage'!$D$2:$D$42,MATCH($M816,'Device Refrigerant Leakage'!$B$2:$B$42,0)))*CR816*CP816)*CQ816/2204.62*CO816,"")</f>
        <v/>
      </c>
      <c r="CU816" s="135" t="str">
        <f>IF($I816&lt;&gt;"",J816*IF(W816&lt;&gt;"AR",(CS816*K816)+CT816,(CS816*AB816)+CT816*(AB816/INDEX('Device Refrigerant Leakage'!$C$2:$C$42,MATCH($M816,'Device Refrigerant Leakage'!$B$2:$B$42,0)))),"")</f>
        <v/>
      </c>
      <c r="CW816" s="135" t="str">
        <f>IF($I816&lt;&gt;"",IF(S816="User Specified",V816,INDEX('Refrigerant GWPs'!$G$2:$G$156,MATCH(S816,'Refrigerant GWPs'!$A$2:$A$157,0))),"")</f>
        <v/>
      </c>
      <c r="CX816" s="138" t="str">
        <f>IF($I816&lt;&gt;"",INDEX('Device Refrigerant Leakage'!$E$2:$E$42,MATCH($Q816,'Device Refrigerant Leakage'!$B$2:$B$42,0)),"")</f>
        <v/>
      </c>
      <c r="CY816" s="138" t="str">
        <f>IF($I816&lt;&gt;"",INDEX('Device Refrigerant Leakage'!$F$2:$F$42,MATCH($Q816,'Device Refrigerant Leakage'!$B$2:$B$42,0)),"")</f>
        <v/>
      </c>
      <c r="CZ816" s="145" t="str">
        <f>IF($I816&lt;&gt;"",INDEX('Device Refrigerant Leakage'!$G$2:$G$42,MATCH($Q816,'Device Refrigerant Leakage'!$B$2:$B$42,0)),"")</f>
        <v/>
      </c>
      <c r="DA816" s="145" t="str">
        <f>IF($I816&lt;&gt;"",J816*INDEX('Device Refrigerant Leakage'!$D$2:$D$42,MATCH($Q816,'Device Refrigerant Leakage'!$B$2:$B$42,0))*CX816/2204.62*CW816,"")</f>
        <v/>
      </c>
      <c r="DB816" s="145" t="str">
        <f>IF($I816&lt;&gt;"",J816*(INDEX('Device Refrigerant Leakage'!$D$2:$D$42,MATCH($Q816,'Device Refrigerant Leakage'!$B$2:$B$42,0))-(INDEX('Device Refrigerant Leakage'!$D$2:$D$42,MATCH($Q816,'Device Refrigerant Leakage'!$B$2:$B$42,0)))*CZ816*CX816)*CY816/2204.62*CW816,"")</f>
        <v/>
      </c>
      <c r="DC816" s="135" t="str">
        <f t="shared" si="960"/>
        <v/>
      </c>
      <c r="DE816" s="146" t="str">
        <f>IF(W816&lt;&gt;"AR","",IF(Y816="User Specified", AA816, INDEX('Refrigerant GWPs'!$G$2:$G$154,MATCH(Y816,'Refrigerant GWPs'!$A$2:$A$154,0))))</f>
        <v/>
      </c>
      <c r="DF816" s="146" t="str">
        <f>IF(W816&lt;&gt;"AR","",INDEX('Device Refrigerant Leakage'!$E$2:$E$42,MATCH(X816,'Device Refrigerant Leakage'!$B$2:$B$42,0)))</f>
        <v/>
      </c>
      <c r="DG816" s="146" t="str">
        <f>IF(W816&lt;&gt;"AR","",INDEX('Device Refrigerant Leakage'!$F$2:$F$42,MATCH(X816,'Device Refrigerant Leakage'!$B$2:$B$42,0)))</f>
        <v/>
      </c>
      <c r="DH816" s="146" t="str">
        <f>IF(W816&lt;&gt;"AR","",INDEX('Device Refrigerant Leakage'!$G$2:$G$42,MATCH(X816,'Device Refrigerant Leakage'!$B$2:$B$42,0)))</f>
        <v/>
      </c>
      <c r="DI816" s="146" t="str">
        <f>IF(W816&lt;&gt;"AR","",J816*INDEX('Device Refrigerant Leakage'!$D$2:$D$42,MATCH(X816,'Device Refrigerant Leakage'!$B$2:$B$42,0))*DF816/2204.62*DE816)</f>
        <v/>
      </c>
      <c r="DJ816" s="146" t="str">
        <f>IF(W816&lt;&gt;"AR","",J816*(INDEX('Device Refrigerant Leakage'!$D$2:$D$42,MATCH(X816,'Device Refrigerant Leakage'!$B$2:$B$42,0))-(INDEX('Device Refrigerant Leakage'!$D$2:$D$42,MATCH(X816,'Device Refrigerant Leakage'!$B$2:$B$42,0)))*DH816*DF816)*DG816/2204.62*DE816)</f>
        <v/>
      </c>
      <c r="DK816" s="146" t="str">
        <f>IF(W816&lt;&gt;"AR","",DI816*(K816-AB816)+'Fuel Sub Calcs-Deemed'!DJ816*((K816-AB816)/INDEX('Device Refrigerant Leakage'!$C$2:$C$42,MATCH('Fuel Sub Calcs-Deemed'!X816,'Device Refrigerant Leakage'!$B$2:$B$42,0))))</f>
        <v/>
      </c>
      <c r="DM816" s="56">
        <v>802</v>
      </c>
      <c r="DN816" s="67" t="e">
        <f t="shared" si="942"/>
        <v>#N/A</v>
      </c>
      <c r="DO816" s="45" t="e">
        <f t="shared" si="943"/>
        <v>#N/A</v>
      </c>
      <c r="DP816" s="67" t="e">
        <f t="shared" si="944"/>
        <v>#N/A</v>
      </c>
      <c r="DQ816" s="45" t="e">
        <f t="shared" si="945"/>
        <v>#N/A</v>
      </c>
      <c r="DR816" s="69" t="e">
        <f t="shared" si="946"/>
        <v>#N/A</v>
      </c>
      <c r="DS816" s="34"/>
      <c r="DT816" s="67" t="e">
        <f>((BX816*CJ816)+IF($W816=MAT_AR,(BZ816*CL816),0))*(1+Reference!$E$50+Reference!$E$51)</f>
        <v>#N/A</v>
      </c>
      <c r="DU816" s="67">
        <f>((BY816*CK816)+IF($W816=MAT_AR,(CA816*CM816),0))*(1+Reference!$G$50+Reference!$G$51)</f>
        <v>0</v>
      </c>
      <c r="DV816" s="67" t="e">
        <f t="shared" si="947"/>
        <v>#VALUE!</v>
      </c>
      <c r="DX816" s="56">
        <v>802</v>
      </c>
      <c r="DY816" s="67">
        <f t="shared" si="948"/>
        <v>0</v>
      </c>
      <c r="DZ816" s="45" t="e">
        <f>VLOOKUP($R816,Dropdown!$C$3:$D$4,2,FALSE)</f>
        <v>#N/A</v>
      </c>
      <c r="EA816" s="68">
        <f t="shared" si="949"/>
        <v>0</v>
      </c>
      <c r="EB816" s="68" t="str">
        <f t="shared" si="950"/>
        <v>N/A</v>
      </c>
      <c r="EC816" s="68">
        <f t="shared" si="951"/>
        <v>0</v>
      </c>
      <c r="ED816" s="68" t="str">
        <f t="shared" si="989"/>
        <v>N/A</v>
      </c>
      <c r="EF816" s="56">
        <v>802</v>
      </c>
      <c r="EG816" s="46">
        <f t="shared" si="952"/>
        <v>0</v>
      </c>
      <c r="EH816" s="68" t="e">
        <f t="shared" si="953"/>
        <v>#N/A</v>
      </c>
      <c r="EI816" s="68" t="e">
        <f t="shared" si="954"/>
        <v>#N/A</v>
      </c>
      <c r="EJ816" s="68" t="e">
        <f t="shared" si="955"/>
        <v>#N/A</v>
      </c>
      <c r="EK816" s="68" t="e">
        <f t="shared" si="956"/>
        <v>#N/A</v>
      </c>
      <c r="EL816" s="46">
        <f t="shared" si="957"/>
        <v>0</v>
      </c>
      <c r="EM816" s="46">
        <f t="shared" si="958"/>
        <v>0</v>
      </c>
    </row>
    <row r="817" spans="1:143">
      <c r="A817" s="89"/>
      <c r="B817" s="89"/>
      <c r="C817" s="89"/>
      <c r="D817" s="89"/>
      <c r="E817" s="89"/>
      <c r="F817" s="89"/>
      <c r="G817" s="34"/>
      <c r="H817" s="56">
        <f t="shared" si="959"/>
        <v>803</v>
      </c>
      <c r="I817" s="165"/>
      <c r="J817" s="163"/>
      <c r="K817" s="163"/>
      <c r="L817" s="164"/>
      <c r="M817" s="155"/>
      <c r="N817" s="155"/>
      <c r="O817" s="144"/>
      <c r="P817" s="159" t="str">
        <f>IFERROR(IF(O817&lt;&gt;"User Specified",IF(O817&lt;&gt;"", INDEX('Refrigerant GWPs'!$G$2:$G$154,MATCH(O817,'Refrigerant GWPs'!$A$2:$A$154,0)),""),U817),0)</f>
        <v/>
      </c>
      <c r="Q817" s="155"/>
      <c r="R817" s="155"/>
      <c r="S817" s="144"/>
      <c r="T817" s="159" t="str">
        <f>IF(S817&lt;&gt;"User Specified",IF(AND(S817&lt;&gt;"User Specified",S817&lt;&gt;""), INDEX('Refrigerant GWPs'!$G$2:$G$154,MATCH(S817,'Refrigerant GWPs'!$A$2:$A$154,0)),""),V817)</f>
        <v/>
      </c>
      <c r="U817" s="144"/>
      <c r="V817" s="144"/>
      <c r="W817" s="155"/>
      <c r="X817" s="155"/>
      <c r="Y817" s="144"/>
      <c r="Z817" s="159" t="str">
        <f>IF(AND(Y817&lt;&gt;"User Specified",Y817&lt;&gt;""), INDEX('Refrigerant GWPs'!$G$2:$G$154,MATCH(Y817,'Refrigerant GWPs'!$A$2:$A$154,0)),"")</f>
        <v/>
      </c>
      <c r="AA817" s="155"/>
      <c r="AB817" s="156"/>
      <c r="AC817" s="66"/>
      <c r="AD817" s="66"/>
      <c r="AE817" s="66"/>
      <c r="AF817" s="66"/>
      <c r="AG817" s="66"/>
      <c r="AH817" s="66"/>
      <c r="AI817" s="34"/>
      <c r="AJ817" s="88">
        <f t="shared" si="922"/>
        <v>0</v>
      </c>
      <c r="AK817" s="88">
        <f t="shared" si="923"/>
        <v>0</v>
      </c>
      <c r="AL817" s="88">
        <v>0</v>
      </c>
      <c r="AM817" s="88">
        <v>0</v>
      </c>
      <c r="AN817" s="81" t="str">
        <f t="shared" si="961"/>
        <v/>
      </c>
      <c r="AO817" s="88">
        <f t="shared" si="924"/>
        <v>0</v>
      </c>
      <c r="AP817" s="88">
        <f t="shared" si="925"/>
        <v>0</v>
      </c>
      <c r="AQ817" s="81" t="str">
        <f t="shared" si="926"/>
        <v/>
      </c>
      <c r="AS817" s="41" t="b">
        <f t="shared" si="927"/>
        <v>1</v>
      </c>
      <c r="AT817" s="38">
        <f t="shared" si="928"/>
        <v>0</v>
      </c>
      <c r="AU817" s="60">
        <f t="shared" si="929"/>
        <v>0</v>
      </c>
      <c r="AV817" s="41">
        <f t="shared" si="930"/>
        <v>0</v>
      </c>
      <c r="AW817" s="41" t="b">
        <f t="shared" si="931"/>
        <v>0</v>
      </c>
      <c r="AX817" t="str">
        <f t="shared" si="932"/>
        <v>+00</v>
      </c>
      <c r="AY817" t="str">
        <f t="shared" si="933"/>
        <v>+00</v>
      </c>
      <c r="BA817" s="47" t="b">
        <f t="shared" si="962"/>
        <v>1</v>
      </c>
      <c r="BB817" s="42" t="b">
        <f t="shared" si="963"/>
        <v>1</v>
      </c>
      <c r="BC817" s="42" t="b">
        <f t="shared" si="964"/>
        <v>0</v>
      </c>
      <c r="BD817" s="42" t="b">
        <f t="shared" si="965"/>
        <v>0</v>
      </c>
      <c r="BE817" s="70">
        <f t="shared" si="966"/>
        <v>0</v>
      </c>
      <c r="BF817" s="70">
        <f t="shared" si="967"/>
        <v>0</v>
      </c>
      <c r="BG817" s="34"/>
      <c r="BI817" s="47" t="b">
        <f t="shared" si="968"/>
        <v>1</v>
      </c>
      <c r="BJ817" s="47" t="b">
        <f t="shared" si="969"/>
        <v>1</v>
      </c>
      <c r="BK817" s="42" t="b">
        <f t="shared" si="970"/>
        <v>0</v>
      </c>
      <c r="BL817" s="42" t="b">
        <f t="shared" si="971"/>
        <v>0</v>
      </c>
      <c r="BM817" s="42">
        <f t="shared" si="972"/>
        <v>0</v>
      </c>
      <c r="BN817" s="42">
        <f t="shared" si="973"/>
        <v>0</v>
      </c>
      <c r="BP817" t="e">
        <f t="shared" si="974"/>
        <v>#N/A</v>
      </c>
      <c r="BQ817" t="e">
        <f t="shared" si="975"/>
        <v>#N/A</v>
      </c>
      <c r="BR817" t="e">
        <f t="shared" si="976"/>
        <v>#N/A</v>
      </c>
      <c r="BT817" s="60">
        <f t="shared" si="977"/>
        <v>0</v>
      </c>
      <c r="BU817" s="60">
        <f t="shared" si="978"/>
        <v>0</v>
      </c>
      <c r="BV817" s="60">
        <f t="shared" si="979"/>
        <v>0</v>
      </c>
      <c r="BW817" s="60">
        <f t="shared" si="980"/>
        <v>0</v>
      </c>
      <c r="BX817" s="60">
        <f t="shared" si="981"/>
        <v>0</v>
      </c>
      <c r="BY817" s="60">
        <f t="shared" si="982"/>
        <v>0</v>
      </c>
      <c r="BZ817" s="60">
        <f t="shared" si="983"/>
        <v>0</v>
      </c>
      <c r="CA817" s="60">
        <f t="shared" si="984"/>
        <v>0</v>
      </c>
      <c r="CB817" s="60" t="e">
        <f t="shared" si="934"/>
        <v>#N/A</v>
      </c>
      <c r="CC817" s="60">
        <f t="shared" si="935"/>
        <v>100000</v>
      </c>
      <c r="CD817" s="60" t="e">
        <f t="shared" si="936"/>
        <v>#N/A</v>
      </c>
      <c r="CE817" s="60">
        <f t="shared" si="937"/>
        <v>100000</v>
      </c>
      <c r="CF817" s="83" t="e">
        <f t="shared" si="985"/>
        <v>#N/A</v>
      </c>
      <c r="CG817" s="83">
        <f t="shared" si="986"/>
        <v>0</v>
      </c>
      <c r="CH817" s="83" t="e">
        <f t="shared" si="987"/>
        <v>#N/A</v>
      </c>
      <c r="CI817" s="83">
        <f t="shared" si="988"/>
        <v>0</v>
      </c>
      <c r="CJ817" s="86" t="e">
        <f t="shared" si="938"/>
        <v>#N/A</v>
      </c>
      <c r="CK817" s="82">
        <f t="shared" si="939"/>
        <v>5.3070370403969858E-3</v>
      </c>
      <c r="CL817" s="82" t="e">
        <f t="shared" si="940"/>
        <v>#N/A</v>
      </c>
      <c r="CM817" s="82">
        <f t="shared" si="941"/>
        <v>5.3070370403969858E-3</v>
      </c>
      <c r="CO817" s="149" t="str">
        <f>IF($I817&lt;&gt;"",IF(O817="User Specified",U817,INDEX('Refrigerant GWPs'!$G$2:$G$156,MATCH(O817,'Refrigerant GWPs'!$A$2:$A$156,0))),"")</f>
        <v/>
      </c>
      <c r="CP817" s="138" t="str">
        <f>IF($I817&lt;&gt;"",INDEX('Device Refrigerant Leakage'!$E$2:$E$42,MATCH($M817,'Device Refrigerant Leakage'!$B$2:$B$42,0)),"")</f>
        <v/>
      </c>
      <c r="CQ817" s="138" t="str">
        <f>IF($I817&lt;&gt;"",INDEX('Device Refrigerant Leakage'!$F$2:$F$42,MATCH($M817,'Device Refrigerant Leakage'!$B$2:$B$42,0)),"")</f>
        <v/>
      </c>
      <c r="CR817" s="145" t="str">
        <f>IF($I817&lt;&gt;"",INDEX('Device Refrigerant Leakage'!$G$2:$G$42,MATCH($M817,'Device Refrigerant Leakage'!$B$2:$B$42,0)),"")</f>
        <v/>
      </c>
      <c r="CS817" s="145" t="str">
        <f>IF($I817&lt;&gt;"",INDEX('Device Refrigerant Leakage'!$D$2:$D$42,MATCH($M817,'Device Refrigerant Leakage'!$B$2:$B$42,0))*CP817/2204.62*CO817,"")</f>
        <v/>
      </c>
      <c r="CT817" s="145" t="str">
        <f>IF($I817&lt;&gt;"",J817*(INDEX('Device Refrigerant Leakage'!$D$2:$D$42,MATCH($M817,'Device Refrigerant Leakage'!$B$2:$B$42,0))-(INDEX('Device Refrigerant Leakage'!$D$2:$D$42,MATCH($M817,'Device Refrigerant Leakage'!$B$2:$B$42,0)))*CR817*CP817)*CQ817/2204.62*CO817,"")</f>
        <v/>
      </c>
      <c r="CU817" s="135" t="str">
        <f>IF($I817&lt;&gt;"",J817*IF(W817&lt;&gt;"AR",(CS817*K817)+CT817,(CS817*AB817)+CT817*(AB817/INDEX('Device Refrigerant Leakage'!$C$2:$C$42,MATCH($M817,'Device Refrigerant Leakage'!$B$2:$B$42,0)))),"")</f>
        <v/>
      </c>
      <c r="CW817" s="135" t="str">
        <f>IF($I817&lt;&gt;"",IF(S817="User Specified",V817,INDEX('Refrigerant GWPs'!$G$2:$G$156,MATCH(S817,'Refrigerant GWPs'!$A$2:$A$157,0))),"")</f>
        <v/>
      </c>
      <c r="CX817" s="138" t="str">
        <f>IF($I817&lt;&gt;"",INDEX('Device Refrigerant Leakage'!$E$2:$E$42,MATCH($Q817,'Device Refrigerant Leakage'!$B$2:$B$42,0)),"")</f>
        <v/>
      </c>
      <c r="CY817" s="138" t="str">
        <f>IF($I817&lt;&gt;"",INDEX('Device Refrigerant Leakage'!$F$2:$F$42,MATCH($Q817,'Device Refrigerant Leakage'!$B$2:$B$42,0)),"")</f>
        <v/>
      </c>
      <c r="CZ817" s="145" t="str">
        <f>IF($I817&lt;&gt;"",INDEX('Device Refrigerant Leakage'!$G$2:$G$42,MATCH($Q817,'Device Refrigerant Leakage'!$B$2:$B$42,0)),"")</f>
        <v/>
      </c>
      <c r="DA817" s="145" t="str">
        <f>IF($I817&lt;&gt;"",J817*INDEX('Device Refrigerant Leakage'!$D$2:$D$42,MATCH($Q817,'Device Refrigerant Leakage'!$B$2:$B$42,0))*CX817/2204.62*CW817,"")</f>
        <v/>
      </c>
      <c r="DB817" s="145" t="str">
        <f>IF($I817&lt;&gt;"",J817*(INDEX('Device Refrigerant Leakage'!$D$2:$D$42,MATCH($Q817,'Device Refrigerant Leakage'!$B$2:$B$42,0))-(INDEX('Device Refrigerant Leakage'!$D$2:$D$42,MATCH($Q817,'Device Refrigerant Leakage'!$B$2:$B$42,0)))*CZ817*CX817)*CY817/2204.62*CW817,"")</f>
        <v/>
      </c>
      <c r="DC817" s="135" t="str">
        <f t="shared" si="960"/>
        <v/>
      </c>
      <c r="DE817" s="146" t="str">
        <f>IF(W817&lt;&gt;"AR","",IF(Y817="User Specified", AA817, INDEX('Refrigerant GWPs'!$G$2:$G$154,MATCH(Y817,'Refrigerant GWPs'!$A$2:$A$154,0))))</f>
        <v/>
      </c>
      <c r="DF817" s="146" t="str">
        <f>IF(W817&lt;&gt;"AR","",INDEX('Device Refrigerant Leakage'!$E$2:$E$42,MATCH(X817,'Device Refrigerant Leakage'!$B$2:$B$42,0)))</f>
        <v/>
      </c>
      <c r="DG817" s="146" t="str">
        <f>IF(W817&lt;&gt;"AR","",INDEX('Device Refrigerant Leakage'!$F$2:$F$42,MATCH(X817,'Device Refrigerant Leakage'!$B$2:$B$42,0)))</f>
        <v/>
      </c>
      <c r="DH817" s="146" t="str">
        <f>IF(W817&lt;&gt;"AR","",INDEX('Device Refrigerant Leakage'!$G$2:$G$42,MATCH(X817,'Device Refrigerant Leakage'!$B$2:$B$42,0)))</f>
        <v/>
      </c>
      <c r="DI817" s="146" t="str">
        <f>IF(W817&lt;&gt;"AR","",J817*INDEX('Device Refrigerant Leakage'!$D$2:$D$42,MATCH(X817,'Device Refrigerant Leakage'!$B$2:$B$42,0))*DF817/2204.62*DE817)</f>
        <v/>
      </c>
      <c r="DJ817" s="146" t="str">
        <f>IF(W817&lt;&gt;"AR","",J817*(INDEX('Device Refrigerant Leakage'!$D$2:$D$42,MATCH(X817,'Device Refrigerant Leakage'!$B$2:$B$42,0))-(INDEX('Device Refrigerant Leakage'!$D$2:$D$42,MATCH(X817,'Device Refrigerant Leakage'!$B$2:$B$42,0)))*DH817*DF817)*DG817/2204.62*DE817)</f>
        <v/>
      </c>
      <c r="DK817" s="146" t="str">
        <f>IF(W817&lt;&gt;"AR","",DI817*(K817-AB817)+'Fuel Sub Calcs-Deemed'!DJ817*((K817-AB817)/INDEX('Device Refrigerant Leakage'!$C$2:$C$42,MATCH('Fuel Sub Calcs-Deemed'!X817,'Device Refrigerant Leakage'!$B$2:$B$42,0))))</f>
        <v/>
      </c>
      <c r="DM817" s="56">
        <v>803</v>
      </c>
      <c r="DN817" s="67" t="e">
        <f t="shared" si="942"/>
        <v>#N/A</v>
      </c>
      <c r="DO817" s="45" t="e">
        <f t="shared" si="943"/>
        <v>#N/A</v>
      </c>
      <c r="DP817" s="67" t="e">
        <f t="shared" si="944"/>
        <v>#N/A</v>
      </c>
      <c r="DQ817" s="45" t="e">
        <f t="shared" si="945"/>
        <v>#N/A</v>
      </c>
      <c r="DR817" s="69" t="e">
        <f t="shared" si="946"/>
        <v>#N/A</v>
      </c>
      <c r="DS817" s="34"/>
      <c r="DT817" s="67" t="e">
        <f>((BX817*CJ817)+IF($W817=MAT_AR,(BZ817*CL817),0))*(1+Reference!$E$50+Reference!$E$51)</f>
        <v>#N/A</v>
      </c>
      <c r="DU817" s="67">
        <f>((BY817*CK817)+IF($W817=MAT_AR,(CA817*CM817),0))*(1+Reference!$G$50+Reference!$G$51)</f>
        <v>0</v>
      </c>
      <c r="DV817" s="67" t="e">
        <f t="shared" si="947"/>
        <v>#VALUE!</v>
      </c>
      <c r="DX817" s="56">
        <v>803</v>
      </c>
      <c r="DY817" s="67">
        <f t="shared" si="948"/>
        <v>0</v>
      </c>
      <c r="DZ817" s="45" t="e">
        <f>VLOOKUP($R817,Dropdown!$C$3:$D$4,2,FALSE)</f>
        <v>#N/A</v>
      </c>
      <c r="EA817" s="68">
        <f t="shared" si="949"/>
        <v>0</v>
      </c>
      <c r="EB817" s="68" t="str">
        <f t="shared" si="950"/>
        <v>N/A</v>
      </c>
      <c r="EC817" s="68">
        <f t="shared" si="951"/>
        <v>0</v>
      </c>
      <c r="ED817" s="68" t="str">
        <f t="shared" si="989"/>
        <v>N/A</v>
      </c>
      <c r="EF817" s="56">
        <v>803</v>
      </c>
      <c r="EG817" s="46">
        <f t="shared" si="952"/>
        <v>0</v>
      </c>
      <c r="EH817" s="68" t="e">
        <f t="shared" si="953"/>
        <v>#N/A</v>
      </c>
      <c r="EI817" s="68" t="e">
        <f t="shared" si="954"/>
        <v>#N/A</v>
      </c>
      <c r="EJ817" s="68" t="e">
        <f t="shared" si="955"/>
        <v>#N/A</v>
      </c>
      <c r="EK817" s="68" t="e">
        <f t="shared" si="956"/>
        <v>#N/A</v>
      </c>
      <c r="EL817" s="46">
        <f t="shared" si="957"/>
        <v>0</v>
      </c>
      <c r="EM817" s="46">
        <f t="shared" si="958"/>
        <v>0</v>
      </c>
    </row>
    <row r="818" spans="1:143">
      <c r="A818" s="89"/>
      <c r="B818" s="89"/>
      <c r="C818" s="89"/>
      <c r="D818" s="89"/>
      <c r="E818" s="89"/>
      <c r="F818" s="89"/>
      <c r="G818" s="34"/>
      <c r="H818" s="56">
        <f t="shared" si="959"/>
        <v>804</v>
      </c>
      <c r="I818" s="165"/>
      <c r="J818" s="163"/>
      <c r="K818" s="163"/>
      <c r="L818" s="164"/>
      <c r="M818" s="155"/>
      <c r="N818" s="155"/>
      <c r="O818" s="144"/>
      <c r="P818" s="159" t="str">
        <f>IFERROR(IF(O818&lt;&gt;"User Specified",IF(O818&lt;&gt;"", INDEX('Refrigerant GWPs'!$G$2:$G$154,MATCH(O818,'Refrigerant GWPs'!$A$2:$A$154,0)),""),U818),0)</f>
        <v/>
      </c>
      <c r="Q818" s="155"/>
      <c r="R818" s="155"/>
      <c r="S818" s="144"/>
      <c r="T818" s="159" t="str">
        <f>IF(S818&lt;&gt;"User Specified",IF(AND(S818&lt;&gt;"User Specified",S818&lt;&gt;""), INDEX('Refrigerant GWPs'!$G$2:$G$154,MATCH(S818,'Refrigerant GWPs'!$A$2:$A$154,0)),""),V818)</f>
        <v/>
      </c>
      <c r="U818" s="144"/>
      <c r="V818" s="144"/>
      <c r="W818" s="155"/>
      <c r="X818" s="155"/>
      <c r="Y818" s="144"/>
      <c r="Z818" s="159" t="str">
        <f>IF(AND(Y818&lt;&gt;"User Specified",Y818&lt;&gt;""), INDEX('Refrigerant GWPs'!$G$2:$G$154,MATCH(Y818,'Refrigerant GWPs'!$A$2:$A$154,0)),"")</f>
        <v/>
      </c>
      <c r="AA818" s="155"/>
      <c r="AB818" s="156"/>
      <c r="AC818" s="66"/>
      <c r="AD818" s="66"/>
      <c r="AE818" s="66"/>
      <c r="AF818" s="66"/>
      <c r="AG818" s="66"/>
      <c r="AH818" s="66"/>
      <c r="AI818" s="34"/>
      <c r="AJ818" s="88">
        <f t="shared" si="922"/>
        <v>0</v>
      </c>
      <c r="AK818" s="88">
        <f t="shared" si="923"/>
        <v>0</v>
      </c>
      <c r="AL818" s="88">
        <v>0</v>
      </c>
      <c r="AM818" s="88">
        <v>0</v>
      </c>
      <c r="AN818" s="81" t="str">
        <f t="shared" si="961"/>
        <v/>
      </c>
      <c r="AO818" s="88">
        <f t="shared" si="924"/>
        <v>0</v>
      </c>
      <c r="AP818" s="88">
        <f t="shared" si="925"/>
        <v>0</v>
      </c>
      <c r="AQ818" s="81" t="str">
        <f t="shared" si="926"/>
        <v/>
      </c>
      <c r="AS818" s="41" t="b">
        <f t="shared" si="927"/>
        <v>1</v>
      </c>
      <c r="AT818" s="38">
        <f t="shared" si="928"/>
        <v>0</v>
      </c>
      <c r="AU818" s="60">
        <f t="shared" si="929"/>
        <v>0</v>
      </c>
      <c r="AV818" s="41">
        <f t="shared" si="930"/>
        <v>0</v>
      </c>
      <c r="AW818" s="41" t="b">
        <f t="shared" si="931"/>
        <v>0</v>
      </c>
      <c r="AX818" t="str">
        <f t="shared" si="932"/>
        <v>+00</v>
      </c>
      <c r="AY818" t="str">
        <f t="shared" si="933"/>
        <v>+00</v>
      </c>
      <c r="BA818" s="47" t="b">
        <f t="shared" si="962"/>
        <v>1</v>
      </c>
      <c r="BB818" s="42" t="b">
        <f t="shared" si="963"/>
        <v>1</v>
      </c>
      <c r="BC818" s="42" t="b">
        <f t="shared" si="964"/>
        <v>0</v>
      </c>
      <c r="BD818" s="42" t="b">
        <f t="shared" si="965"/>
        <v>0</v>
      </c>
      <c r="BE818" s="70">
        <f t="shared" si="966"/>
        <v>0</v>
      </c>
      <c r="BF818" s="70">
        <f t="shared" si="967"/>
        <v>0</v>
      </c>
      <c r="BG818" s="34"/>
      <c r="BI818" s="47" t="b">
        <f t="shared" si="968"/>
        <v>1</v>
      </c>
      <c r="BJ818" s="47" t="b">
        <f t="shared" si="969"/>
        <v>1</v>
      </c>
      <c r="BK818" s="42" t="b">
        <f t="shared" si="970"/>
        <v>0</v>
      </c>
      <c r="BL818" s="42" t="b">
        <f t="shared" si="971"/>
        <v>0</v>
      </c>
      <c r="BM818" s="42">
        <f t="shared" si="972"/>
        <v>0</v>
      </c>
      <c r="BN818" s="42">
        <f t="shared" si="973"/>
        <v>0</v>
      </c>
      <c r="BP818" t="e">
        <f t="shared" si="974"/>
        <v>#N/A</v>
      </c>
      <c r="BQ818" t="e">
        <f t="shared" si="975"/>
        <v>#N/A</v>
      </c>
      <c r="BR818" t="e">
        <f t="shared" si="976"/>
        <v>#N/A</v>
      </c>
      <c r="BT818" s="60">
        <f t="shared" si="977"/>
        <v>0</v>
      </c>
      <c r="BU818" s="60">
        <f t="shared" si="978"/>
        <v>0</v>
      </c>
      <c r="BV818" s="60">
        <f t="shared" si="979"/>
        <v>0</v>
      </c>
      <c r="BW818" s="60">
        <f t="shared" si="980"/>
        <v>0</v>
      </c>
      <c r="BX818" s="60">
        <f t="shared" si="981"/>
        <v>0</v>
      </c>
      <c r="BY818" s="60">
        <f t="shared" si="982"/>
        <v>0</v>
      </c>
      <c r="BZ818" s="60">
        <f t="shared" si="983"/>
        <v>0</v>
      </c>
      <c r="CA818" s="60">
        <f t="shared" si="984"/>
        <v>0</v>
      </c>
      <c r="CB818" s="60" t="e">
        <f t="shared" si="934"/>
        <v>#N/A</v>
      </c>
      <c r="CC818" s="60">
        <f t="shared" si="935"/>
        <v>100000</v>
      </c>
      <c r="CD818" s="60" t="e">
        <f t="shared" si="936"/>
        <v>#N/A</v>
      </c>
      <c r="CE818" s="60">
        <f t="shared" si="937"/>
        <v>100000</v>
      </c>
      <c r="CF818" s="83" t="e">
        <f t="shared" si="985"/>
        <v>#N/A</v>
      </c>
      <c r="CG818" s="83">
        <f t="shared" si="986"/>
        <v>0</v>
      </c>
      <c r="CH818" s="83" t="e">
        <f t="shared" si="987"/>
        <v>#N/A</v>
      </c>
      <c r="CI818" s="83">
        <f t="shared" si="988"/>
        <v>0</v>
      </c>
      <c r="CJ818" s="86" t="e">
        <f t="shared" si="938"/>
        <v>#N/A</v>
      </c>
      <c r="CK818" s="82">
        <f t="shared" si="939"/>
        <v>5.3070370403969858E-3</v>
      </c>
      <c r="CL818" s="82" t="e">
        <f t="shared" si="940"/>
        <v>#N/A</v>
      </c>
      <c r="CM818" s="82">
        <f t="shared" si="941"/>
        <v>5.3070370403969858E-3</v>
      </c>
      <c r="CO818" s="149" t="str">
        <f>IF($I818&lt;&gt;"",IF(O818="User Specified",U818,INDEX('Refrigerant GWPs'!$G$2:$G$156,MATCH(O818,'Refrigerant GWPs'!$A$2:$A$156,0))),"")</f>
        <v/>
      </c>
      <c r="CP818" s="138" t="str">
        <f>IF($I818&lt;&gt;"",INDEX('Device Refrigerant Leakage'!$E$2:$E$42,MATCH($M818,'Device Refrigerant Leakage'!$B$2:$B$42,0)),"")</f>
        <v/>
      </c>
      <c r="CQ818" s="138" t="str">
        <f>IF($I818&lt;&gt;"",INDEX('Device Refrigerant Leakage'!$F$2:$F$42,MATCH($M818,'Device Refrigerant Leakage'!$B$2:$B$42,0)),"")</f>
        <v/>
      </c>
      <c r="CR818" s="145" t="str">
        <f>IF($I818&lt;&gt;"",INDEX('Device Refrigerant Leakage'!$G$2:$G$42,MATCH($M818,'Device Refrigerant Leakage'!$B$2:$B$42,0)),"")</f>
        <v/>
      </c>
      <c r="CS818" s="145" t="str">
        <f>IF($I818&lt;&gt;"",INDEX('Device Refrigerant Leakage'!$D$2:$D$42,MATCH($M818,'Device Refrigerant Leakage'!$B$2:$B$42,0))*CP818/2204.62*CO818,"")</f>
        <v/>
      </c>
      <c r="CT818" s="145" t="str">
        <f>IF($I818&lt;&gt;"",J818*(INDEX('Device Refrigerant Leakage'!$D$2:$D$42,MATCH($M818,'Device Refrigerant Leakage'!$B$2:$B$42,0))-(INDEX('Device Refrigerant Leakage'!$D$2:$D$42,MATCH($M818,'Device Refrigerant Leakage'!$B$2:$B$42,0)))*CR818*CP818)*CQ818/2204.62*CO818,"")</f>
        <v/>
      </c>
      <c r="CU818" s="135" t="str">
        <f>IF($I818&lt;&gt;"",J818*IF(W818&lt;&gt;"AR",(CS818*K818)+CT818,(CS818*AB818)+CT818*(AB818/INDEX('Device Refrigerant Leakage'!$C$2:$C$42,MATCH($M818,'Device Refrigerant Leakage'!$B$2:$B$42,0)))),"")</f>
        <v/>
      </c>
      <c r="CW818" s="135" t="str">
        <f>IF($I818&lt;&gt;"",IF(S818="User Specified",V818,INDEX('Refrigerant GWPs'!$G$2:$G$156,MATCH(S818,'Refrigerant GWPs'!$A$2:$A$157,0))),"")</f>
        <v/>
      </c>
      <c r="CX818" s="138" t="str">
        <f>IF($I818&lt;&gt;"",INDEX('Device Refrigerant Leakage'!$E$2:$E$42,MATCH($Q818,'Device Refrigerant Leakage'!$B$2:$B$42,0)),"")</f>
        <v/>
      </c>
      <c r="CY818" s="138" t="str">
        <f>IF($I818&lt;&gt;"",INDEX('Device Refrigerant Leakage'!$F$2:$F$42,MATCH($Q818,'Device Refrigerant Leakage'!$B$2:$B$42,0)),"")</f>
        <v/>
      </c>
      <c r="CZ818" s="145" t="str">
        <f>IF($I818&lt;&gt;"",INDEX('Device Refrigerant Leakage'!$G$2:$G$42,MATCH($Q818,'Device Refrigerant Leakage'!$B$2:$B$42,0)),"")</f>
        <v/>
      </c>
      <c r="DA818" s="145" t="str">
        <f>IF($I818&lt;&gt;"",J818*INDEX('Device Refrigerant Leakage'!$D$2:$D$42,MATCH($Q818,'Device Refrigerant Leakage'!$B$2:$B$42,0))*CX818/2204.62*CW818,"")</f>
        <v/>
      </c>
      <c r="DB818" s="145" t="str">
        <f>IF($I818&lt;&gt;"",J818*(INDEX('Device Refrigerant Leakage'!$D$2:$D$42,MATCH($Q818,'Device Refrigerant Leakage'!$B$2:$B$42,0))-(INDEX('Device Refrigerant Leakage'!$D$2:$D$42,MATCH($Q818,'Device Refrigerant Leakage'!$B$2:$B$42,0)))*CZ818*CX818)*CY818/2204.62*CW818,"")</f>
        <v/>
      </c>
      <c r="DC818" s="135" t="str">
        <f t="shared" si="960"/>
        <v/>
      </c>
      <c r="DE818" s="146" t="str">
        <f>IF(W818&lt;&gt;"AR","",IF(Y818="User Specified", AA818, INDEX('Refrigerant GWPs'!$G$2:$G$154,MATCH(Y818,'Refrigerant GWPs'!$A$2:$A$154,0))))</f>
        <v/>
      </c>
      <c r="DF818" s="146" t="str">
        <f>IF(W818&lt;&gt;"AR","",INDEX('Device Refrigerant Leakage'!$E$2:$E$42,MATCH(X818,'Device Refrigerant Leakage'!$B$2:$B$42,0)))</f>
        <v/>
      </c>
      <c r="DG818" s="146" t="str">
        <f>IF(W818&lt;&gt;"AR","",INDEX('Device Refrigerant Leakage'!$F$2:$F$42,MATCH(X818,'Device Refrigerant Leakage'!$B$2:$B$42,0)))</f>
        <v/>
      </c>
      <c r="DH818" s="146" t="str">
        <f>IF(W818&lt;&gt;"AR","",INDEX('Device Refrigerant Leakage'!$G$2:$G$42,MATCH(X818,'Device Refrigerant Leakage'!$B$2:$B$42,0)))</f>
        <v/>
      </c>
      <c r="DI818" s="146" t="str">
        <f>IF(W818&lt;&gt;"AR","",J818*INDEX('Device Refrigerant Leakage'!$D$2:$D$42,MATCH(X818,'Device Refrigerant Leakage'!$B$2:$B$42,0))*DF818/2204.62*DE818)</f>
        <v/>
      </c>
      <c r="DJ818" s="146" t="str">
        <f>IF(W818&lt;&gt;"AR","",J818*(INDEX('Device Refrigerant Leakage'!$D$2:$D$42,MATCH(X818,'Device Refrigerant Leakage'!$B$2:$B$42,0))-(INDEX('Device Refrigerant Leakage'!$D$2:$D$42,MATCH(X818,'Device Refrigerant Leakage'!$B$2:$B$42,0)))*DH818*DF818)*DG818/2204.62*DE818)</f>
        <v/>
      </c>
      <c r="DK818" s="146" t="str">
        <f>IF(W818&lt;&gt;"AR","",DI818*(K818-AB818)+'Fuel Sub Calcs-Deemed'!DJ818*((K818-AB818)/INDEX('Device Refrigerant Leakage'!$C$2:$C$42,MATCH('Fuel Sub Calcs-Deemed'!X818,'Device Refrigerant Leakage'!$B$2:$B$42,0))))</f>
        <v/>
      </c>
      <c r="DM818" s="56">
        <v>804</v>
      </c>
      <c r="DN818" s="67" t="e">
        <f t="shared" si="942"/>
        <v>#N/A</v>
      </c>
      <c r="DO818" s="45" t="e">
        <f t="shared" si="943"/>
        <v>#N/A</v>
      </c>
      <c r="DP818" s="67" t="e">
        <f t="shared" si="944"/>
        <v>#N/A</v>
      </c>
      <c r="DQ818" s="45" t="e">
        <f t="shared" si="945"/>
        <v>#N/A</v>
      </c>
      <c r="DR818" s="69" t="e">
        <f t="shared" si="946"/>
        <v>#N/A</v>
      </c>
      <c r="DS818" s="34"/>
      <c r="DT818" s="67" t="e">
        <f>((BX818*CJ818)+IF($W818=MAT_AR,(BZ818*CL818),0))*(1+Reference!$E$50+Reference!$E$51)</f>
        <v>#N/A</v>
      </c>
      <c r="DU818" s="67">
        <f>((BY818*CK818)+IF($W818=MAT_AR,(CA818*CM818),0))*(1+Reference!$G$50+Reference!$G$51)</f>
        <v>0</v>
      </c>
      <c r="DV818" s="67" t="e">
        <f t="shared" si="947"/>
        <v>#VALUE!</v>
      </c>
      <c r="DX818" s="56">
        <v>804</v>
      </c>
      <c r="DY818" s="67">
        <f t="shared" si="948"/>
        <v>0</v>
      </c>
      <c r="DZ818" s="45" t="e">
        <f>VLOOKUP($R818,Dropdown!$C$3:$D$4,2,FALSE)</f>
        <v>#N/A</v>
      </c>
      <c r="EA818" s="68">
        <f t="shared" si="949"/>
        <v>0</v>
      </c>
      <c r="EB818" s="68" t="str">
        <f t="shared" si="950"/>
        <v>N/A</v>
      </c>
      <c r="EC818" s="68">
        <f t="shared" si="951"/>
        <v>0</v>
      </c>
      <c r="ED818" s="68" t="str">
        <f t="shared" si="989"/>
        <v>N/A</v>
      </c>
      <c r="EF818" s="56">
        <v>804</v>
      </c>
      <c r="EG818" s="46">
        <f t="shared" si="952"/>
        <v>0</v>
      </c>
      <c r="EH818" s="68" t="e">
        <f t="shared" si="953"/>
        <v>#N/A</v>
      </c>
      <c r="EI818" s="68" t="e">
        <f t="shared" si="954"/>
        <v>#N/A</v>
      </c>
      <c r="EJ818" s="68" t="e">
        <f t="shared" si="955"/>
        <v>#N/A</v>
      </c>
      <c r="EK818" s="68" t="e">
        <f t="shared" si="956"/>
        <v>#N/A</v>
      </c>
      <c r="EL818" s="46">
        <f t="shared" si="957"/>
        <v>0</v>
      </c>
      <c r="EM818" s="46">
        <f t="shared" si="958"/>
        <v>0</v>
      </c>
    </row>
    <row r="819" spans="1:143">
      <c r="A819" s="89"/>
      <c r="B819" s="89"/>
      <c r="C819" s="89"/>
      <c r="D819" s="89"/>
      <c r="E819" s="89"/>
      <c r="F819" s="89"/>
      <c r="G819" s="34"/>
      <c r="H819" s="56">
        <f t="shared" si="959"/>
        <v>805</v>
      </c>
      <c r="I819" s="165"/>
      <c r="J819" s="163"/>
      <c r="K819" s="163"/>
      <c r="L819" s="164"/>
      <c r="M819" s="155"/>
      <c r="N819" s="155"/>
      <c r="O819" s="144"/>
      <c r="P819" s="159" t="str">
        <f>IFERROR(IF(O819&lt;&gt;"User Specified",IF(O819&lt;&gt;"", INDEX('Refrigerant GWPs'!$G$2:$G$154,MATCH(O819,'Refrigerant GWPs'!$A$2:$A$154,0)),""),U819),0)</f>
        <v/>
      </c>
      <c r="Q819" s="155"/>
      <c r="R819" s="155"/>
      <c r="S819" s="144"/>
      <c r="T819" s="159" t="str">
        <f>IF(S819&lt;&gt;"User Specified",IF(AND(S819&lt;&gt;"User Specified",S819&lt;&gt;""), INDEX('Refrigerant GWPs'!$G$2:$G$154,MATCH(S819,'Refrigerant GWPs'!$A$2:$A$154,0)),""),V819)</f>
        <v/>
      </c>
      <c r="U819" s="144"/>
      <c r="V819" s="144"/>
      <c r="W819" s="155"/>
      <c r="X819" s="155"/>
      <c r="Y819" s="144"/>
      <c r="Z819" s="159" t="str">
        <f>IF(AND(Y819&lt;&gt;"User Specified",Y819&lt;&gt;""), INDEX('Refrigerant GWPs'!$G$2:$G$154,MATCH(Y819,'Refrigerant GWPs'!$A$2:$A$154,0)),"")</f>
        <v/>
      </c>
      <c r="AA819" s="155"/>
      <c r="AB819" s="156"/>
      <c r="AC819" s="66"/>
      <c r="AD819" s="66"/>
      <c r="AE819" s="66"/>
      <c r="AF819" s="66"/>
      <c r="AG819" s="66"/>
      <c r="AH819" s="66"/>
      <c r="AI819" s="34"/>
      <c r="AJ819" s="88">
        <f t="shared" si="922"/>
        <v>0</v>
      </c>
      <c r="AK819" s="88">
        <f t="shared" si="923"/>
        <v>0</v>
      </c>
      <c r="AL819" s="88">
        <v>0</v>
      </c>
      <c r="AM819" s="88">
        <v>0</v>
      </c>
      <c r="AN819" s="81" t="str">
        <f t="shared" si="961"/>
        <v/>
      </c>
      <c r="AO819" s="88">
        <f t="shared" si="924"/>
        <v>0</v>
      </c>
      <c r="AP819" s="88">
        <f t="shared" si="925"/>
        <v>0</v>
      </c>
      <c r="AQ819" s="81" t="str">
        <f t="shared" si="926"/>
        <v/>
      </c>
      <c r="AS819" s="41" t="b">
        <f t="shared" si="927"/>
        <v>1</v>
      </c>
      <c r="AT819" s="38">
        <f t="shared" si="928"/>
        <v>0</v>
      </c>
      <c r="AU819" s="60">
        <f t="shared" si="929"/>
        <v>0</v>
      </c>
      <c r="AV819" s="41">
        <f t="shared" si="930"/>
        <v>0</v>
      </c>
      <c r="AW819" s="41" t="b">
        <f t="shared" si="931"/>
        <v>0</v>
      </c>
      <c r="AX819" t="str">
        <f t="shared" si="932"/>
        <v>+00</v>
      </c>
      <c r="AY819" t="str">
        <f t="shared" si="933"/>
        <v>+00</v>
      </c>
      <c r="BA819" s="47" t="b">
        <f t="shared" si="962"/>
        <v>1</v>
      </c>
      <c r="BB819" s="42" t="b">
        <f t="shared" si="963"/>
        <v>1</v>
      </c>
      <c r="BC819" s="42" t="b">
        <f t="shared" si="964"/>
        <v>0</v>
      </c>
      <c r="BD819" s="42" t="b">
        <f t="shared" si="965"/>
        <v>0</v>
      </c>
      <c r="BE819" s="70">
        <f t="shared" si="966"/>
        <v>0</v>
      </c>
      <c r="BF819" s="70">
        <f t="shared" si="967"/>
        <v>0</v>
      </c>
      <c r="BG819" s="34"/>
      <c r="BI819" s="47" t="b">
        <f t="shared" si="968"/>
        <v>1</v>
      </c>
      <c r="BJ819" s="47" t="b">
        <f t="shared" si="969"/>
        <v>1</v>
      </c>
      <c r="BK819" s="42" t="b">
        <f t="shared" si="970"/>
        <v>0</v>
      </c>
      <c r="BL819" s="42" t="b">
        <f t="shared" si="971"/>
        <v>0</v>
      </c>
      <c r="BM819" s="42">
        <f t="shared" si="972"/>
        <v>0</v>
      </c>
      <c r="BN819" s="42">
        <f t="shared" si="973"/>
        <v>0</v>
      </c>
      <c r="BP819" t="e">
        <f t="shared" si="974"/>
        <v>#N/A</v>
      </c>
      <c r="BQ819" t="e">
        <f t="shared" si="975"/>
        <v>#N/A</v>
      </c>
      <c r="BR819" t="e">
        <f t="shared" si="976"/>
        <v>#N/A</v>
      </c>
      <c r="BT819" s="60">
        <f t="shared" si="977"/>
        <v>0</v>
      </c>
      <c r="BU819" s="60">
        <f t="shared" si="978"/>
        <v>0</v>
      </c>
      <c r="BV819" s="60">
        <f t="shared" si="979"/>
        <v>0</v>
      </c>
      <c r="BW819" s="60">
        <f t="shared" si="980"/>
        <v>0</v>
      </c>
      <c r="BX819" s="60">
        <f t="shared" si="981"/>
        <v>0</v>
      </c>
      <c r="BY819" s="60">
        <f t="shared" si="982"/>
        <v>0</v>
      </c>
      <c r="BZ819" s="60">
        <f t="shared" si="983"/>
        <v>0</v>
      </c>
      <c r="CA819" s="60">
        <f t="shared" si="984"/>
        <v>0</v>
      </c>
      <c r="CB819" s="60" t="e">
        <f t="shared" si="934"/>
        <v>#N/A</v>
      </c>
      <c r="CC819" s="60">
        <f t="shared" si="935"/>
        <v>100000</v>
      </c>
      <c r="CD819" s="60" t="e">
        <f t="shared" si="936"/>
        <v>#N/A</v>
      </c>
      <c r="CE819" s="60">
        <f t="shared" si="937"/>
        <v>100000</v>
      </c>
      <c r="CF819" s="83" t="e">
        <f t="shared" si="985"/>
        <v>#N/A</v>
      </c>
      <c r="CG819" s="83">
        <f t="shared" si="986"/>
        <v>0</v>
      </c>
      <c r="CH819" s="83" t="e">
        <f t="shared" si="987"/>
        <v>#N/A</v>
      </c>
      <c r="CI819" s="83">
        <f t="shared" si="988"/>
        <v>0</v>
      </c>
      <c r="CJ819" s="86" t="e">
        <f t="shared" si="938"/>
        <v>#N/A</v>
      </c>
      <c r="CK819" s="82">
        <f t="shared" si="939"/>
        <v>5.3070370403969858E-3</v>
      </c>
      <c r="CL819" s="82" t="e">
        <f t="shared" si="940"/>
        <v>#N/A</v>
      </c>
      <c r="CM819" s="82">
        <f t="shared" si="941"/>
        <v>5.3070370403969858E-3</v>
      </c>
      <c r="CO819" s="149" t="str">
        <f>IF($I819&lt;&gt;"",IF(O819="User Specified",U819,INDEX('Refrigerant GWPs'!$G$2:$G$156,MATCH(O819,'Refrigerant GWPs'!$A$2:$A$156,0))),"")</f>
        <v/>
      </c>
      <c r="CP819" s="138" t="str">
        <f>IF($I819&lt;&gt;"",INDEX('Device Refrigerant Leakage'!$E$2:$E$42,MATCH($M819,'Device Refrigerant Leakage'!$B$2:$B$42,0)),"")</f>
        <v/>
      </c>
      <c r="CQ819" s="138" t="str">
        <f>IF($I819&lt;&gt;"",INDEX('Device Refrigerant Leakage'!$F$2:$F$42,MATCH($M819,'Device Refrigerant Leakage'!$B$2:$B$42,0)),"")</f>
        <v/>
      </c>
      <c r="CR819" s="145" t="str">
        <f>IF($I819&lt;&gt;"",INDEX('Device Refrigerant Leakage'!$G$2:$G$42,MATCH($M819,'Device Refrigerant Leakage'!$B$2:$B$42,0)),"")</f>
        <v/>
      </c>
      <c r="CS819" s="145" t="str">
        <f>IF($I819&lt;&gt;"",INDEX('Device Refrigerant Leakage'!$D$2:$D$42,MATCH($M819,'Device Refrigerant Leakage'!$B$2:$B$42,0))*CP819/2204.62*CO819,"")</f>
        <v/>
      </c>
      <c r="CT819" s="145" t="str">
        <f>IF($I819&lt;&gt;"",J819*(INDEX('Device Refrigerant Leakage'!$D$2:$D$42,MATCH($M819,'Device Refrigerant Leakage'!$B$2:$B$42,0))-(INDEX('Device Refrigerant Leakage'!$D$2:$D$42,MATCH($M819,'Device Refrigerant Leakage'!$B$2:$B$42,0)))*CR819*CP819)*CQ819/2204.62*CO819,"")</f>
        <v/>
      </c>
      <c r="CU819" s="135" t="str">
        <f>IF($I819&lt;&gt;"",J819*IF(W819&lt;&gt;"AR",(CS819*K819)+CT819,(CS819*AB819)+CT819*(AB819/INDEX('Device Refrigerant Leakage'!$C$2:$C$42,MATCH($M819,'Device Refrigerant Leakage'!$B$2:$B$42,0)))),"")</f>
        <v/>
      </c>
      <c r="CW819" s="135" t="str">
        <f>IF($I819&lt;&gt;"",IF(S819="User Specified",V819,INDEX('Refrigerant GWPs'!$G$2:$G$156,MATCH(S819,'Refrigerant GWPs'!$A$2:$A$157,0))),"")</f>
        <v/>
      </c>
      <c r="CX819" s="138" t="str">
        <f>IF($I819&lt;&gt;"",INDEX('Device Refrigerant Leakage'!$E$2:$E$42,MATCH($Q819,'Device Refrigerant Leakage'!$B$2:$B$42,0)),"")</f>
        <v/>
      </c>
      <c r="CY819" s="138" t="str">
        <f>IF($I819&lt;&gt;"",INDEX('Device Refrigerant Leakage'!$F$2:$F$42,MATCH($Q819,'Device Refrigerant Leakage'!$B$2:$B$42,0)),"")</f>
        <v/>
      </c>
      <c r="CZ819" s="145" t="str">
        <f>IF($I819&lt;&gt;"",INDEX('Device Refrigerant Leakage'!$G$2:$G$42,MATCH($Q819,'Device Refrigerant Leakage'!$B$2:$B$42,0)),"")</f>
        <v/>
      </c>
      <c r="DA819" s="145" t="str">
        <f>IF($I819&lt;&gt;"",J819*INDEX('Device Refrigerant Leakage'!$D$2:$D$42,MATCH($Q819,'Device Refrigerant Leakage'!$B$2:$B$42,0))*CX819/2204.62*CW819,"")</f>
        <v/>
      </c>
      <c r="DB819" s="145" t="str">
        <f>IF($I819&lt;&gt;"",J819*(INDEX('Device Refrigerant Leakage'!$D$2:$D$42,MATCH($Q819,'Device Refrigerant Leakage'!$B$2:$B$42,0))-(INDEX('Device Refrigerant Leakage'!$D$2:$D$42,MATCH($Q819,'Device Refrigerant Leakage'!$B$2:$B$42,0)))*CZ819*CX819)*CY819/2204.62*CW819,"")</f>
        <v/>
      </c>
      <c r="DC819" s="135" t="str">
        <f t="shared" si="960"/>
        <v/>
      </c>
      <c r="DE819" s="146" t="str">
        <f>IF(W819&lt;&gt;"AR","",IF(Y819="User Specified", AA819, INDEX('Refrigerant GWPs'!$G$2:$G$154,MATCH(Y819,'Refrigerant GWPs'!$A$2:$A$154,0))))</f>
        <v/>
      </c>
      <c r="DF819" s="146" t="str">
        <f>IF(W819&lt;&gt;"AR","",INDEX('Device Refrigerant Leakage'!$E$2:$E$42,MATCH(X819,'Device Refrigerant Leakage'!$B$2:$B$42,0)))</f>
        <v/>
      </c>
      <c r="DG819" s="146" t="str">
        <f>IF(W819&lt;&gt;"AR","",INDEX('Device Refrigerant Leakage'!$F$2:$F$42,MATCH(X819,'Device Refrigerant Leakage'!$B$2:$B$42,0)))</f>
        <v/>
      </c>
      <c r="DH819" s="146" t="str">
        <f>IF(W819&lt;&gt;"AR","",INDEX('Device Refrigerant Leakage'!$G$2:$G$42,MATCH(X819,'Device Refrigerant Leakage'!$B$2:$B$42,0)))</f>
        <v/>
      </c>
      <c r="DI819" s="146" t="str">
        <f>IF(W819&lt;&gt;"AR","",J819*INDEX('Device Refrigerant Leakage'!$D$2:$D$42,MATCH(X819,'Device Refrigerant Leakage'!$B$2:$B$42,0))*DF819/2204.62*DE819)</f>
        <v/>
      </c>
      <c r="DJ819" s="146" t="str">
        <f>IF(W819&lt;&gt;"AR","",J819*(INDEX('Device Refrigerant Leakage'!$D$2:$D$42,MATCH(X819,'Device Refrigerant Leakage'!$B$2:$B$42,0))-(INDEX('Device Refrigerant Leakage'!$D$2:$D$42,MATCH(X819,'Device Refrigerant Leakage'!$B$2:$B$42,0)))*DH819*DF819)*DG819/2204.62*DE819)</f>
        <v/>
      </c>
      <c r="DK819" s="146" t="str">
        <f>IF(W819&lt;&gt;"AR","",DI819*(K819-AB819)+'Fuel Sub Calcs-Deemed'!DJ819*((K819-AB819)/INDEX('Device Refrigerant Leakage'!$C$2:$C$42,MATCH('Fuel Sub Calcs-Deemed'!X819,'Device Refrigerant Leakage'!$B$2:$B$42,0))))</f>
        <v/>
      </c>
      <c r="DM819" s="56">
        <v>805</v>
      </c>
      <c r="DN819" s="67" t="e">
        <f t="shared" si="942"/>
        <v>#N/A</v>
      </c>
      <c r="DO819" s="45" t="e">
        <f t="shared" si="943"/>
        <v>#N/A</v>
      </c>
      <c r="DP819" s="67" t="e">
        <f t="shared" si="944"/>
        <v>#N/A</v>
      </c>
      <c r="DQ819" s="45" t="e">
        <f t="shared" si="945"/>
        <v>#N/A</v>
      </c>
      <c r="DR819" s="69" t="e">
        <f t="shared" si="946"/>
        <v>#N/A</v>
      </c>
      <c r="DS819" s="34"/>
      <c r="DT819" s="67" t="e">
        <f>((BX819*CJ819)+IF($W819=MAT_AR,(BZ819*CL819),0))*(1+Reference!$E$50+Reference!$E$51)</f>
        <v>#N/A</v>
      </c>
      <c r="DU819" s="67">
        <f>((BY819*CK819)+IF($W819=MAT_AR,(CA819*CM819),0))*(1+Reference!$G$50+Reference!$G$51)</f>
        <v>0</v>
      </c>
      <c r="DV819" s="67" t="e">
        <f t="shared" si="947"/>
        <v>#VALUE!</v>
      </c>
      <c r="DX819" s="56">
        <v>805</v>
      </c>
      <c r="DY819" s="67">
        <f t="shared" si="948"/>
        <v>0</v>
      </c>
      <c r="DZ819" s="45" t="e">
        <f>VLOOKUP($R819,Dropdown!$C$3:$D$4,2,FALSE)</f>
        <v>#N/A</v>
      </c>
      <c r="EA819" s="68">
        <f t="shared" si="949"/>
        <v>0</v>
      </c>
      <c r="EB819" s="68" t="str">
        <f t="shared" si="950"/>
        <v>N/A</v>
      </c>
      <c r="EC819" s="68">
        <f t="shared" si="951"/>
        <v>0</v>
      </c>
      <c r="ED819" s="68" t="str">
        <f t="shared" si="989"/>
        <v>N/A</v>
      </c>
      <c r="EF819" s="56">
        <v>805</v>
      </c>
      <c r="EG819" s="46">
        <f t="shared" si="952"/>
        <v>0</v>
      </c>
      <c r="EH819" s="68" t="e">
        <f t="shared" si="953"/>
        <v>#N/A</v>
      </c>
      <c r="EI819" s="68" t="e">
        <f t="shared" si="954"/>
        <v>#N/A</v>
      </c>
      <c r="EJ819" s="68" t="e">
        <f t="shared" si="955"/>
        <v>#N/A</v>
      </c>
      <c r="EK819" s="68" t="e">
        <f t="shared" si="956"/>
        <v>#N/A</v>
      </c>
      <c r="EL819" s="46">
        <f t="shared" si="957"/>
        <v>0</v>
      </c>
      <c r="EM819" s="46">
        <f t="shared" si="958"/>
        <v>0</v>
      </c>
    </row>
    <row r="820" spans="1:143">
      <c r="A820" s="89"/>
      <c r="B820" s="89"/>
      <c r="C820" s="89"/>
      <c r="D820" s="89"/>
      <c r="E820" s="89"/>
      <c r="F820" s="89"/>
      <c r="G820" s="34"/>
      <c r="H820" s="56">
        <f t="shared" si="959"/>
        <v>806</v>
      </c>
      <c r="I820" s="165"/>
      <c r="J820" s="163"/>
      <c r="K820" s="163"/>
      <c r="L820" s="164"/>
      <c r="M820" s="155"/>
      <c r="N820" s="155"/>
      <c r="O820" s="144"/>
      <c r="P820" s="159" t="str">
        <f>IFERROR(IF(O820&lt;&gt;"User Specified",IF(O820&lt;&gt;"", INDEX('Refrigerant GWPs'!$G$2:$G$154,MATCH(O820,'Refrigerant GWPs'!$A$2:$A$154,0)),""),U820),0)</f>
        <v/>
      </c>
      <c r="Q820" s="155"/>
      <c r="R820" s="155"/>
      <c r="S820" s="144"/>
      <c r="T820" s="159" t="str">
        <f>IF(S820&lt;&gt;"User Specified",IF(AND(S820&lt;&gt;"User Specified",S820&lt;&gt;""), INDEX('Refrigerant GWPs'!$G$2:$G$154,MATCH(S820,'Refrigerant GWPs'!$A$2:$A$154,0)),""),V820)</f>
        <v/>
      </c>
      <c r="U820" s="144"/>
      <c r="V820" s="144"/>
      <c r="W820" s="155"/>
      <c r="X820" s="155"/>
      <c r="Y820" s="144"/>
      <c r="Z820" s="159" t="str">
        <f>IF(AND(Y820&lt;&gt;"User Specified",Y820&lt;&gt;""), INDEX('Refrigerant GWPs'!$G$2:$G$154,MATCH(Y820,'Refrigerant GWPs'!$A$2:$A$154,0)),"")</f>
        <v/>
      </c>
      <c r="AA820" s="155"/>
      <c r="AB820" s="156"/>
      <c r="AC820" s="66"/>
      <c r="AD820" s="66"/>
      <c r="AE820" s="66"/>
      <c r="AF820" s="66"/>
      <c r="AG820" s="66"/>
      <c r="AH820" s="66"/>
      <c r="AI820" s="34"/>
      <c r="AJ820" s="88">
        <f t="shared" si="922"/>
        <v>0</v>
      </c>
      <c r="AK820" s="88">
        <f t="shared" si="923"/>
        <v>0</v>
      </c>
      <c r="AL820" s="88">
        <v>0</v>
      </c>
      <c r="AM820" s="88">
        <v>0</v>
      </c>
      <c r="AN820" s="81" t="str">
        <f t="shared" si="961"/>
        <v/>
      </c>
      <c r="AO820" s="88">
        <f t="shared" si="924"/>
        <v>0</v>
      </c>
      <c r="AP820" s="88">
        <f t="shared" si="925"/>
        <v>0</v>
      </c>
      <c r="AQ820" s="81" t="str">
        <f t="shared" si="926"/>
        <v/>
      </c>
      <c r="AS820" s="41" t="b">
        <f t="shared" si="927"/>
        <v>1</v>
      </c>
      <c r="AT820" s="38">
        <f t="shared" si="928"/>
        <v>0</v>
      </c>
      <c r="AU820" s="60">
        <f t="shared" si="929"/>
        <v>0</v>
      </c>
      <c r="AV820" s="41">
        <f t="shared" si="930"/>
        <v>0</v>
      </c>
      <c r="AW820" s="41" t="b">
        <f t="shared" si="931"/>
        <v>0</v>
      </c>
      <c r="AX820" t="str">
        <f t="shared" si="932"/>
        <v>+00</v>
      </c>
      <c r="AY820" t="str">
        <f t="shared" si="933"/>
        <v>+00</v>
      </c>
      <c r="BA820" s="47" t="b">
        <f t="shared" si="962"/>
        <v>1</v>
      </c>
      <c r="BB820" s="42" t="b">
        <f t="shared" si="963"/>
        <v>1</v>
      </c>
      <c r="BC820" s="42" t="b">
        <f t="shared" si="964"/>
        <v>0</v>
      </c>
      <c r="BD820" s="42" t="b">
        <f t="shared" si="965"/>
        <v>0</v>
      </c>
      <c r="BE820" s="70">
        <f t="shared" si="966"/>
        <v>0</v>
      </c>
      <c r="BF820" s="70">
        <f t="shared" si="967"/>
        <v>0</v>
      </c>
      <c r="BG820" s="34"/>
      <c r="BI820" s="47" t="b">
        <f t="shared" si="968"/>
        <v>1</v>
      </c>
      <c r="BJ820" s="47" t="b">
        <f t="shared" si="969"/>
        <v>1</v>
      </c>
      <c r="BK820" s="42" t="b">
        <f t="shared" si="970"/>
        <v>0</v>
      </c>
      <c r="BL820" s="42" t="b">
        <f t="shared" si="971"/>
        <v>0</v>
      </c>
      <c r="BM820" s="42">
        <f t="shared" si="972"/>
        <v>0</v>
      </c>
      <c r="BN820" s="42">
        <f t="shared" si="973"/>
        <v>0</v>
      </c>
      <c r="BP820" t="e">
        <f t="shared" si="974"/>
        <v>#N/A</v>
      </c>
      <c r="BQ820" t="e">
        <f t="shared" si="975"/>
        <v>#N/A</v>
      </c>
      <c r="BR820" t="e">
        <f t="shared" si="976"/>
        <v>#N/A</v>
      </c>
      <c r="BT820" s="60">
        <f t="shared" si="977"/>
        <v>0</v>
      </c>
      <c r="BU820" s="60">
        <f t="shared" si="978"/>
        <v>0</v>
      </c>
      <c r="BV820" s="60">
        <f t="shared" si="979"/>
        <v>0</v>
      </c>
      <c r="BW820" s="60">
        <f t="shared" si="980"/>
        <v>0</v>
      </c>
      <c r="BX820" s="60">
        <f t="shared" si="981"/>
        <v>0</v>
      </c>
      <c r="BY820" s="60">
        <f t="shared" si="982"/>
        <v>0</v>
      </c>
      <c r="BZ820" s="60">
        <f t="shared" si="983"/>
        <v>0</v>
      </c>
      <c r="CA820" s="60">
        <f t="shared" si="984"/>
        <v>0</v>
      </c>
      <c r="CB820" s="60" t="e">
        <f t="shared" si="934"/>
        <v>#N/A</v>
      </c>
      <c r="CC820" s="60">
        <f t="shared" si="935"/>
        <v>100000</v>
      </c>
      <c r="CD820" s="60" t="e">
        <f t="shared" si="936"/>
        <v>#N/A</v>
      </c>
      <c r="CE820" s="60">
        <f t="shared" si="937"/>
        <v>100000</v>
      </c>
      <c r="CF820" s="83" t="e">
        <f t="shared" si="985"/>
        <v>#N/A</v>
      </c>
      <c r="CG820" s="83">
        <f t="shared" si="986"/>
        <v>0</v>
      </c>
      <c r="CH820" s="83" t="e">
        <f t="shared" si="987"/>
        <v>#N/A</v>
      </c>
      <c r="CI820" s="83">
        <f t="shared" si="988"/>
        <v>0</v>
      </c>
      <c r="CJ820" s="86" t="e">
        <f t="shared" si="938"/>
        <v>#N/A</v>
      </c>
      <c r="CK820" s="82">
        <f t="shared" si="939"/>
        <v>5.3070370403969858E-3</v>
      </c>
      <c r="CL820" s="82" t="e">
        <f t="shared" si="940"/>
        <v>#N/A</v>
      </c>
      <c r="CM820" s="82">
        <f t="shared" si="941"/>
        <v>5.3070370403969858E-3</v>
      </c>
      <c r="CO820" s="149" t="str">
        <f>IF($I820&lt;&gt;"",IF(O820="User Specified",U820,INDEX('Refrigerant GWPs'!$G$2:$G$156,MATCH(O820,'Refrigerant GWPs'!$A$2:$A$156,0))),"")</f>
        <v/>
      </c>
      <c r="CP820" s="138" t="str">
        <f>IF($I820&lt;&gt;"",INDEX('Device Refrigerant Leakage'!$E$2:$E$42,MATCH($M820,'Device Refrigerant Leakage'!$B$2:$B$42,0)),"")</f>
        <v/>
      </c>
      <c r="CQ820" s="138" t="str">
        <f>IF($I820&lt;&gt;"",INDEX('Device Refrigerant Leakage'!$F$2:$F$42,MATCH($M820,'Device Refrigerant Leakage'!$B$2:$B$42,0)),"")</f>
        <v/>
      </c>
      <c r="CR820" s="145" t="str">
        <f>IF($I820&lt;&gt;"",INDEX('Device Refrigerant Leakage'!$G$2:$G$42,MATCH($M820,'Device Refrigerant Leakage'!$B$2:$B$42,0)),"")</f>
        <v/>
      </c>
      <c r="CS820" s="145" t="str">
        <f>IF($I820&lt;&gt;"",INDEX('Device Refrigerant Leakage'!$D$2:$D$42,MATCH($M820,'Device Refrigerant Leakage'!$B$2:$B$42,0))*CP820/2204.62*CO820,"")</f>
        <v/>
      </c>
      <c r="CT820" s="145" t="str">
        <f>IF($I820&lt;&gt;"",J820*(INDEX('Device Refrigerant Leakage'!$D$2:$D$42,MATCH($M820,'Device Refrigerant Leakage'!$B$2:$B$42,0))-(INDEX('Device Refrigerant Leakage'!$D$2:$D$42,MATCH($M820,'Device Refrigerant Leakage'!$B$2:$B$42,0)))*CR820*CP820)*CQ820/2204.62*CO820,"")</f>
        <v/>
      </c>
      <c r="CU820" s="135" t="str">
        <f>IF($I820&lt;&gt;"",J820*IF(W820&lt;&gt;"AR",(CS820*K820)+CT820,(CS820*AB820)+CT820*(AB820/INDEX('Device Refrigerant Leakage'!$C$2:$C$42,MATCH($M820,'Device Refrigerant Leakage'!$B$2:$B$42,0)))),"")</f>
        <v/>
      </c>
      <c r="CW820" s="135" t="str">
        <f>IF($I820&lt;&gt;"",IF(S820="User Specified",V820,INDEX('Refrigerant GWPs'!$G$2:$G$156,MATCH(S820,'Refrigerant GWPs'!$A$2:$A$157,0))),"")</f>
        <v/>
      </c>
      <c r="CX820" s="138" t="str">
        <f>IF($I820&lt;&gt;"",INDEX('Device Refrigerant Leakage'!$E$2:$E$42,MATCH($Q820,'Device Refrigerant Leakage'!$B$2:$B$42,0)),"")</f>
        <v/>
      </c>
      <c r="CY820" s="138" t="str">
        <f>IF($I820&lt;&gt;"",INDEX('Device Refrigerant Leakage'!$F$2:$F$42,MATCH($Q820,'Device Refrigerant Leakage'!$B$2:$B$42,0)),"")</f>
        <v/>
      </c>
      <c r="CZ820" s="145" t="str">
        <f>IF($I820&lt;&gt;"",INDEX('Device Refrigerant Leakage'!$G$2:$G$42,MATCH($Q820,'Device Refrigerant Leakage'!$B$2:$B$42,0)),"")</f>
        <v/>
      </c>
      <c r="DA820" s="145" t="str">
        <f>IF($I820&lt;&gt;"",J820*INDEX('Device Refrigerant Leakage'!$D$2:$D$42,MATCH($Q820,'Device Refrigerant Leakage'!$B$2:$B$42,0))*CX820/2204.62*CW820,"")</f>
        <v/>
      </c>
      <c r="DB820" s="145" t="str">
        <f>IF($I820&lt;&gt;"",J820*(INDEX('Device Refrigerant Leakage'!$D$2:$D$42,MATCH($Q820,'Device Refrigerant Leakage'!$B$2:$B$42,0))-(INDEX('Device Refrigerant Leakage'!$D$2:$D$42,MATCH($Q820,'Device Refrigerant Leakage'!$B$2:$B$42,0)))*CZ820*CX820)*CY820/2204.62*CW820,"")</f>
        <v/>
      </c>
      <c r="DC820" s="135" t="str">
        <f t="shared" si="960"/>
        <v/>
      </c>
      <c r="DE820" s="146" t="str">
        <f>IF(W820&lt;&gt;"AR","",IF(Y820="User Specified", AA820, INDEX('Refrigerant GWPs'!$G$2:$G$154,MATCH(Y820,'Refrigerant GWPs'!$A$2:$A$154,0))))</f>
        <v/>
      </c>
      <c r="DF820" s="146" t="str">
        <f>IF(W820&lt;&gt;"AR","",INDEX('Device Refrigerant Leakage'!$E$2:$E$42,MATCH(X820,'Device Refrigerant Leakage'!$B$2:$B$42,0)))</f>
        <v/>
      </c>
      <c r="DG820" s="146" t="str">
        <f>IF(W820&lt;&gt;"AR","",INDEX('Device Refrigerant Leakage'!$F$2:$F$42,MATCH(X820,'Device Refrigerant Leakage'!$B$2:$B$42,0)))</f>
        <v/>
      </c>
      <c r="DH820" s="146" t="str">
        <f>IF(W820&lt;&gt;"AR","",INDEX('Device Refrigerant Leakage'!$G$2:$G$42,MATCH(X820,'Device Refrigerant Leakage'!$B$2:$B$42,0)))</f>
        <v/>
      </c>
      <c r="DI820" s="146" t="str">
        <f>IF(W820&lt;&gt;"AR","",J820*INDEX('Device Refrigerant Leakage'!$D$2:$D$42,MATCH(X820,'Device Refrigerant Leakage'!$B$2:$B$42,0))*DF820/2204.62*DE820)</f>
        <v/>
      </c>
      <c r="DJ820" s="146" t="str">
        <f>IF(W820&lt;&gt;"AR","",J820*(INDEX('Device Refrigerant Leakage'!$D$2:$D$42,MATCH(X820,'Device Refrigerant Leakage'!$B$2:$B$42,0))-(INDEX('Device Refrigerant Leakage'!$D$2:$D$42,MATCH(X820,'Device Refrigerant Leakage'!$B$2:$B$42,0)))*DH820*DF820)*DG820/2204.62*DE820)</f>
        <v/>
      </c>
      <c r="DK820" s="146" t="str">
        <f>IF(W820&lt;&gt;"AR","",DI820*(K820-AB820)+'Fuel Sub Calcs-Deemed'!DJ820*((K820-AB820)/INDEX('Device Refrigerant Leakage'!$C$2:$C$42,MATCH('Fuel Sub Calcs-Deemed'!X820,'Device Refrigerant Leakage'!$B$2:$B$42,0))))</f>
        <v/>
      </c>
      <c r="DM820" s="56">
        <v>806</v>
      </c>
      <c r="DN820" s="67" t="e">
        <f t="shared" si="942"/>
        <v>#N/A</v>
      </c>
      <c r="DO820" s="45" t="e">
        <f t="shared" si="943"/>
        <v>#N/A</v>
      </c>
      <c r="DP820" s="67" t="e">
        <f t="shared" si="944"/>
        <v>#N/A</v>
      </c>
      <c r="DQ820" s="45" t="e">
        <f t="shared" si="945"/>
        <v>#N/A</v>
      </c>
      <c r="DR820" s="69" t="e">
        <f t="shared" si="946"/>
        <v>#N/A</v>
      </c>
      <c r="DS820" s="34"/>
      <c r="DT820" s="67" t="e">
        <f>((BX820*CJ820)+IF($W820=MAT_AR,(BZ820*CL820),0))*(1+Reference!$E$50+Reference!$E$51)</f>
        <v>#N/A</v>
      </c>
      <c r="DU820" s="67">
        <f>((BY820*CK820)+IF($W820=MAT_AR,(CA820*CM820),0))*(1+Reference!$G$50+Reference!$G$51)</f>
        <v>0</v>
      </c>
      <c r="DV820" s="67" t="e">
        <f t="shared" si="947"/>
        <v>#VALUE!</v>
      </c>
      <c r="DX820" s="56">
        <v>806</v>
      </c>
      <c r="DY820" s="67">
        <f t="shared" si="948"/>
        <v>0</v>
      </c>
      <c r="DZ820" s="45" t="e">
        <f>VLOOKUP($R820,Dropdown!$C$3:$D$4,2,FALSE)</f>
        <v>#N/A</v>
      </c>
      <c r="EA820" s="68">
        <f t="shared" si="949"/>
        <v>0</v>
      </c>
      <c r="EB820" s="68" t="str">
        <f t="shared" si="950"/>
        <v>N/A</v>
      </c>
      <c r="EC820" s="68">
        <f t="shared" si="951"/>
        <v>0</v>
      </c>
      <c r="ED820" s="68" t="str">
        <f t="shared" si="989"/>
        <v>N/A</v>
      </c>
      <c r="EF820" s="56">
        <v>806</v>
      </c>
      <c r="EG820" s="46">
        <f t="shared" si="952"/>
        <v>0</v>
      </c>
      <c r="EH820" s="68" t="e">
        <f t="shared" si="953"/>
        <v>#N/A</v>
      </c>
      <c r="EI820" s="68" t="e">
        <f t="shared" si="954"/>
        <v>#N/A</v>
      </c>
      <c r="EJ820" s="68" t="e">
        <f t="shared" si="955"/>
        <v>#N/A</v>
      </c>
      <c r="EK820" s="68" t="e">
        <f t="shared" si="956"/>
        <v>#N/A</v>
      </c>
      <c r="EL820" s="46">
        <f t="shared" si="957"/>
        <v>0</v>
      </c>
      <c r="EM820" s="46">
        <f t="shared" si="958"/>
        <v>0</v>
      </c>
    </row>
    <row r="821" spans="1:143">
      <c r="A821" s="89"/>
      <c r="B821" s="89"/>
      <c r="C821" s="89"/>
      <c r="D821" s="89"/>
      <c r="E821" s="89"/>
      <c r="F821" s="89"/>
      <c r="G821" s="34"/>
      <c r="H821" s="56">
        <f t="shared" si="959"/>
        <v>807</v>
      </c>
      <c r="I821" s="165"/>
      <c r="J821" s="163"/>
      <c r="K821" s="163"/>
      <c r="L821" s="164"/>
      <c r="M821" s="155"/>
      <c r="N821" s="155"/>
      <c r="O821" s="144"/>
      <c r="P821" s="159" t="str">
        <f>IFERROR(IF(O821&lt;&gt;"User Specified",IF(O821&lt;&gt;"", INDEX('Refrigerant GWPs'!$G$2:$G$154,MATCH(O821,'Refrigerant GWPs'!$A$2:$A$154,0)),""),U821),0)</f>
        <v/>
      </c>
      <c r="Q821" s="155"/>
      <c r="R821" s="155"/>
      <c r="S821" s="144"/>
      <c r="T821" s="159" t="str">
        <f>IF(S821&lt;&gt;"User Specified",IF(AND(S821&lt;&gt;"User Specified",S821&lt;&gt;""), INDEX('Refrigerant GWPs'!$G$2:$G$154,MATCH(S821,'Refrigerant GWPs'!$A$2:$A$154,0)),""),V821)</f>
        <v/>
      </c>
      <c r="U821" s="144"/>
      <c r="V821" s="144"/>
      <c r="W821" s="155"/>
      <c r="X821" s="155"/>
      <c r="Y821" s="144"/>
      <c r="Z821" s="159" t="str">
        <f>IF(AND(Y821&lt;&gt;"User Specified",Y821&lt;&gt;""), INDEX('Refrigerant GWPs'!$G$2:$G$154,MATCH(Y821,'Refrigerant GWPs'!$A$2:$A$154,0)),"")</f>
        <v/>
      </c>
      <c r="AA821" s="155"/>
      <c r="AB821" s="156"/>
      <c r="AC821" s="66"/>
      <c r="AD821" s="66"/>
      <c r="AE821" s="66"/>
      <c r="AF821" s="66"/>
      <c r="AG821" s="66"/>
      <c r="AH821" s="66"/>
      <c r="AI821" s="34"/>
      <c r="AJ821" s="88">
        <f t="shared" si="922"/>
        <v>0</v>
      </c>
      <c r="AK821" s="88">
        <f t="shared" si="923"/>
        <v>0</v>
      </c>
      <c r="AL821" s="88">
        <v>0</v>
      </c>
      <c r="AM821" s="88">
        <v>0</v>
      </c>
      <c r="AN821" s="81" t="str">
        <f t="shared" si="961"/>
        <v/>
      </c>
      <c r="AO821" s="88">
        <f t="shared" si="924"/>
        <v>0</v>
      </c>
      <c r="AP821" s="88">
        <f t="shared" si="925"/>
        <v>0</v>
      </c>
      <c r="AQ821" s="81" t="str">
        <f t="shared" si="926"/>
        <v/>
      </c>
      <c r="AS821" s="41" t="b">
        <f t="shared" si="927"/>
        <v>1</v>
      </c>
      <c r="AT821" s="38">
        <f t="shared" si="928"/>
        <v>0</v>
      </c>
      <c r="AU821" s="60">
        <f t="shared" si="929"/>
        <v>0</v>
      </c>
      <c r="AV821" s="41">
        <f t="shared" si="930"/>
        <v>0</v>
      </c>
      <c r="AW821" s="41" t="b">
        <f t="shared" si="931"/>
        <v>0</v>
      </c>
      <c r="AX821" t="str">
        <f t="shared" si="932"/>
        <v>+00</v>
      </c>
      <c r="AY821" t="str">
        <f t="shared" si="933"/>
        <v>+00</v>
      </c>
      <c r="BA821" s="47" t="b">
        <f t="shared" si="962"/>
        <v>1</v>
      </c>
      <c r="BB821" s="42" t="b">
        <f t="shared" si="963"/>
        <v>1</v>
      </c>
      <c r="BC821" s="42" t="b">
        <f t="shared" si="964"/>
        <v>0</v>
      </c>
      <c r="BD821" s="42" t="b">
        <f t="shared" si="965"/>
        <v>0</v>
      </c>
      <c r="BE821" s="70">
        <f t="shared" si="966"/>
        <v>0</v>
      </c>
      <c r="BF821" s="70">
        <f t="shared" si="967"/>
        <v>0</v>
      </c>
      <c r="BG821" s="34"/>
      <c r="BI821" s="47" t="b">
        <f t="shared" si="968"/>
        <v>1</v>
      </c>
      <c r="BJ821" s="47" t="b">
        <f t="shared" si="969"/>
        <v>1</v>
      </c>
      <c r="BK821" s="42" t="b">
        <f t="shared" si="970"/>
        <v>0</v>
      </c>
      <c r="BL821" s="42" t="b">
        <f t="shared" si="971"/>
        <v>0</v>
      </c>
      <c r="BM821" s="42">
        <f t="shared" si="972"/>
        <v>0</v>
      </c>
      <c r="BN821" s="42">
        <f t="shared" si="973"/>
        <v>0</v>
      </c>
      <c r="BP821" t="e">
        <f t="shared" si="974"/>
        <v>#N/A</v>
      </c>
      <c r="BQ821" t="e">
        <f t="shared" si="975"/>
        <v>#N/A</v>
      </c>
      <c r="BR821" t="e">
        <f t="shared" si="976"/>
        <v>#N/A</v>
      </c>
      <c r="BT821" s="60">
        <f t="shared" si="977"/>
        <v>0</v>
      </c>
      <c r="BU821" s="60">
        <f t="shared" si="978"/>
        <v>0</v>
      </c>
      <c r="BV821" s="60">
        <f t="shared" si="979"/>
        <v>0</v>
      </c>
      <c r="BW821" s="60">
        <f t="shared" si="980"/>
        <v>0</v>
      </c>
      <c r="BX821" s="60">
        <f t="shared" si="981"/>
        <v>0</v>
      </c>
      <c r="BY821" s="60">
        <f t="shared" si="982"/>
        <v>0</v>
      </c>
      <c r="BZ821" s="60">
        <f t="shared" si="983"/>
        <v>0</v>
      </c>
      <c r="CA821" s="60">
        <f t="shared" si="984"/>
        <v>0</v>
      </c>
      <c r="CB821" s="60" t="e">
        <f t="shared" si="934"/>
        <v>#N/A</v>
      </c>
      <c r="CC821" s="60">
        <f t="shared" si="935"/>
        <v>100000</v>
      </c>
      <c r="CD821" s="60" t="e">
        <f t="shared" si="936"/>
        <v>#N/A</v>
      </c>
      <c r="CE821" s="60">
        <f t="shared" si="937"/>
        <v>100000</v>
      </c>
      <c r="CF821" s="83" t="e">
        <f t="shared" si="985"/>
        <v>#N/A</v>
      </c>
      <c r="CG821" s="83">
        <f t="shared" si="986"/>
        <v>0</v>
      </c>
      <c r="CH821" s="83" t="e">
        <f t="shared" si="987"/>
        <v>#N/A</v>
      </c>
      <c r="CI821" s="83">
        <f t="shared" si="988"/>
        <v>0</v>
      </c>
      <c r="CJ821" s="86" t="e">
        <f t="shared" si="938"/>
        <v>#N/A</v>
      </c>
      <c r="CK821" s="82">
        <f t="shared" si="939"/>
        <v>5.3070370403969858E-3</v>
      </c>
      <c r="CL821" s="82" t="e">
        <f t="shared" si="940"/>
        <v>#N/A</v>
      </c>
      <c r="CM821" s="82">
        <f t="shared" si="941"/>
        <v>5.3070370403969858E-3</v>
      </c>
      <c r="CO821" s="149" t="str">
        <f>IF($I821&lt;&gt;"",IF(O821="User Specified",U821,INDEX('Refrigerant GWPs'!$G$2:$G$156,MATCH(O821,'Refrigerant GWPs'!$A$2:$A$156,0))),"")</f>
        <v/>
      </c>
      <c r="CP821" s="138" t="str">
        <f>IF($I821&lt;&gt;"",INDEX('Device Refrigerant Leakage'!$E$2:$E$42,MATCH($M821,'Device Refrigerant Leakage'!$B$2:$B$42,0)),"")</f>
        <v/>
      </c>
      <c r="CQ821" s="138" t="str">
        <f>IF($I821&lt;&gt;"",INDEX('Device Refrigerant Leakage'!$F$2:$F$42,MATCH($M821,'Device Refrigerant Leakage'!$B$2:$B$42,0)),"")</f>
        <v/>
      </c>
      <c r="CR821" s="145" t="str">
        <f>IF($I821&lt;&gt;"",INDEX('Device Refrigerant Leakage'!$G$2:$G$42,MATCH($M821,'Device Refrigerant Leakage'!$B$2:$B$42,0)),"")</f>
        <v/>
      </c>
      <c r="CS821" s="145" t="str">
        <f>IF($I821&lt;&gt;"",INDEX('Device Refrigerant Leakage'!$D$2:$D$42,MATCH($M821,'Device Refrigerant Leakage'!$B$2:$B$42,0))*CP821/2204.62*CO821,"")</f>
        <v/>
      </c>
      <c r="CT821" s="145" t="str">
        <f>IF($I821&lt;&gt;"",J821*(INDEX('Device Refrigerant Leakage'!$D$2:$D$42,MATCH($M821,'Device Refrigerant Leakage'!$B$2:$B$42,0))-(INDEX('Device Refrigerant Leakage'!$D$2:$D$42,MATCH($M821,'Device Refrigerant Leakage'!$B$2:$B$42,0)))*CR821*CP821)*CQ821/2204.62*CO821,"")</f>
        <v/>
      </c>
      <c r="CU821" s="135" t="str">
        <f>IF($I821&lt;&gt;"",J821*IF(W821&lt;&gt;"AR",(CS821*K821)+CT821,(CS821*AB821)+CT821*(AB821/INDEX('Device Refrigerant Leakage'!$C$2:$C$42,MATCH($M821,'Device Refrigerant Leakage'!$B$2:$B$42,0)))),"")</f>
        <v/>
      </c>
      <c r="CW821" s="135" t="str">
        <f>IF($I821&lt;&gt;"",IF(S821="User Specified",V821,INDEX('Refrigerant GWPs'!$G$2:$G$156,MATCH(S821,'Refrigerant GWPs'!$A$2:$A$157,0))),"")</f>
        <v/>
      </c>
      <c r="CX821" s="138" t="str">
        <f>IF($I821&lt;&gt;"",INDEX('Device Refrigerant Leakage'!$E$2:$E$42,MATCH($Q821,'Device Refrigerant Leakage'!$B$2:$B$42,0)),"")</f>
        <v/>
      </c>
      <c r="CY821" s="138" t="str">
        <f>IF($I821&lt;&gt;"",INDEX('Device Refrigerant Leakage'!$F$2:$F$42,MATCH($Q821,'Device Refrigerant Leakage'!$B$2:$B$42,0)),"")</f>
        <v/>
      </c>
      <c r="CZ821" s="145" t="str">
        <f>IF($I821&lt;&gt;"",INDEX('Device Refrigerant Leakage'!$G$2:$G$42,MATCH($Q821,'Device Refrigerant Leakage'!$B$2:$B$42,0)),"")</f>
        <v/>
      </c>
      <c r="DA821" s="145" t="str">
        <f>IF($I821&lt;&gt;"",J821*INDEX('Device Refrigerant Leakage'!$D$2:$D$42,MATCH($Q821,'Device Refrigerant Leakage'!$B$2:$B$42,0))*CX821/2204.62*CW821,"")</f>
        <v/>
      </c>
      <c r="DB821" s="145" t="str">
        <f>IF($I821&lt;&gt;"",J821*(INDEX('Device Refrigerant Leakage'!$D$2:$D$42,MATCH($Q821,'Device Refrigerant Leakage'!$B$2:$B$42,0))-(INDEX('Device Refrigerant Leakage'!$D$2:$D$42,MATCH($Q821,'Device Refrigerant Leakage'!$B$2:$B$42,0)))*CZ821*CX821)*CY821/2204.62*CW821,"")</f>
        <v/>
      </c>
      <c r="DC821" s="135" t="str">
        <f t="shared" si="960"/>
        <v/>
      </c>
      <c r="DE821" s="146" t="str">
        <f>IF(W821&lt;&gt;"AR","",IF(Y821="User Specified", AA821, INDEX('Refrigerant GWPs'!$G$2:$G$154,MATCH(Y821,'Refrigerant GWPs'!$A$2:$A$154,0))))</f>
        <v/>
      </c>
      <c r="DF821" s="146" t="str">
        <f>IF(W821&lt;&gt;"AR","",INDEX('Device Refrigerant Leakage'!$E$2:$E$42,MATCH(X821,'Device Refrigerant Leakage'!$B$2:$B$42,0)))</f>
        <v/>
      </c>
      <c r="DG821" s="146" t="str">
        <f>IF(W821&lt;&gt;"AR","",INDEX('Device Refrigerant Leakage'!$F$2:$F$42,MATCH(X821,'Device Refrigerant Leakage'!$B$2:$B$42,0)))</f>
        <v/>
      </c>
      <c r="DH821" s="146" t="str">
        <f>IF(W821&lt;&gt;"AR","",INDEX('Device Refrigerant Leakage'!$G$2:$G$42,MATCH(X821,'Device Refrigerant Leakage'!$B$2:$B$42,0)))</f>
        <v/>
      </c>
      <c r="DI821" s="146" t="str">
        <f>IF(W821&lt;&gt;"AR","",J821*INDEX('Device Refrigerant Leakage'!$D$2:$D$42,MATCH(X821,'Device Refrigerant Leakage'!$B$2:$B$42,0))*DF821/2204.62*DE821)</f>
        <v/>
      </c>
      <c r="DJ821" s="146" t="str">
        <f>IF(W821&lt;&gt;"AR","",J821*(INDEX('Device Refrigerant Leakage'!$D$2:$D$42,MATCH(X821,'Device Refrigerant Leakage'!$B$2:$B$42,0))-(INDEX('Device Refrigerant Leakage'!$D$2:$D$42,MATCH(X821,'Device Refrigerant Leakage'!$B$2:$B$42,0)))*DH821*DF821)*DG821/2204.62*DE821)</f>
        <v/>
      </c>
      <c r="DK821" s="146" t="str">
        <f>IF(W821&lt;&gt;"AR","",DI821*(K821-AB821)+'Fuel Sub Calcs-Deemed'!DJ821*((K821-AB821)/INDEX('Device Refrigerant Leakage'!$C$2:$C$42,MATCH('Fuel Sub Calcs-Deemed'!X821,'Device Refrigerant Leakage'!$B$2:$B$42,0))))</f>
        <v/>
      </c>
      <c r="DM821" s="56">
        <v>807</v>
      </c>
      <c r="DN821" s="67" t="e">
        <f t="shared" si="942"/>
        <v>#N/A</v>
      </c>
      <c r="DO821" s="45" t="e">
        <f t="shared" si="943"/>
        <v>#N/A</v>
      </c>
      <c r="DP821" s="67" t="e">
        <f t="shared" si="944"/>
        <v>#N/A</v>
      </c>
      <c r="DQ821" s="45" t="e">
        <f t="shared" si="945"/>
        <v>#N/A</v>
      </c>
      <c r="DR821" s="69" t="e">
        <f t="shared" si="946"/>
        <v>#N/A</v>
      </c>
      <c r="DS821" s="34"/>
      <c r="DT821" s="67" t="e">
        <f>((BX821*CJ821)+IF($W821=MAT_AR,(BZ821*CL821),0))*(1+Reference!$E$50+Reference!$E$51)</f>
        <v>#N/A</v>
      </c>
      <c r="DU821" s="67">
        <f>((BY821*CK821)+IF($W821=MAT_AR,(CA821*CM821),0))*(1+Reference!$G$50+Reference!$G$51)</f>
        <v>0</v>
      </c>
      <c r="DV821" s="67" t="e">
        <f t="shared" si="947"/>
        <v>#VALUE!</v>
      </c>
      <c r="DX821" s="56">
        <v>807</v>
      </c>
      <c r="DY821" s="67">
        <f t="shared" si="948"/>
        <v>0</v>
      </c>
      <c r="DZ821" s="45" t="e">
        <f>VLOOKUP($R821,Dropdown!$C$3:$D$4,2,FALSE)</f>
        <v>#N/A</v>
      </c>
      <c r="EA821" s="68">
        <f t="shared" si="949"/>
        <v>0</v>
      </c>
      <c r="EB821" s="68" t="str">
        <f t="shared" si="950"/>
        <v>N/A</v>
      </c>
      <c r="EC821" s="68">
        <f t="shared" si="951"/>
        <v>0</v>
      </c>
      <c r="ED821" s="68" t="str">
        <f t="shared" si="989"/>
        <v>N/A</v>
      </c>
      <c r="EF821" s="56">
        <v>807</v>
      </c>
      <c r="EG821" s="46">
        <f t="shared" si="952"/>
        <v>0</v>
      </c>
      <c r="EH821" s="68" t="e">
        <f t="shared" si="953"/>
        <v>#N/A</v>
      </c>
      <c r="EI821" s="68" t="e">
        <f t="shared" si="954"/>
        <v>#N/A</v>
      </c>
      <c r="EJ821" s="68" t="e">
        <f t="shared" si="955"/>
        <v>#N/A</v>
      </c>
      <c r="EK821" s="68" t="e">
        <f t="shared" si="956"/>
        <v>#N/A</v>
      </c>
      <c r="EL821" s="46">
        <f t="shared" si="957"/>
        <v>0</v>
      </c>
      <c r="EM821" s="46">
        <f t="shared" si="958"/>
        <v>0</v>
      </c>
    </row>
    <row r="822" spans="1:143">
      <c r="A822" s="89"/>
      <c r="B822" s="89"/>
      <c r="C822" s="89"/>
      <c r="D822" s="89"/>
      <c r="E822" s="89"/>
      <c r="F822" s="89"/>
      <c r="G822" s="34"/>
      <c r="H822" s="56">
        <f t="shared" si="959"/>
        <v>808</v>
      </c>
      <c r="I822" s="165"/>
      <c r="J822" s="163"/>
      <c r="K822" s="163"/>
      <c r="L822" s="164"/>
      <c r="M822" s="155"/>
      <c r="N822" s="155"/>
      <c r="O822" s="144"/>
      <c r="P822" s="159" t="str">
        <f>IFERROR(IF(O822&lt;&gt;"User Specified",IF(O822&lt;&gt;"", INDEX('Refrigerant GWPs'!$G$2:$G$154,MATCH(O822,'Refrigerant GWPs'!$A$2:$A$154,0)),""),U822),0)</f>
        <v/>
      </c>
      <c r="Q822" s="155"/>
      <c r="R822" s="155"/>
      <c r="S822" s="144"/>
      <c r="T822" s="159" t="str">
        <f>IF(S822&lt;&gt;"User Specified",IF(AND(S822&lt;&gt;"User Specified",S822&lt;&gt;""), INDEX('Refrigerant GWPs'!$G$2:$G$154,MATCH(S822,'Refrigerant GWPs'!$A$2:$A$154,0)),""),V822)</f>
        <v/>
      </c>
      <c r="U822" s="144"/>
      <c r="V822" s="144"/>
      <c r="W822" s="155"/>
      <c r="X822" s="155"/>
      <c r="Y822" s="144"/>
      <c r="Z822" s="159" t="str">
        <f>IF(AND(Y822&lt;&gt;"User Specified",Y822&lt;&gt;""), INDEX('Refrigerant GWPs'!$G$2:$G$154,MATCH(Y822,'Refrigerant GWPs'!$A$2:$A$154,0)),"")</f>
        <v/>
      </c>
      <c r="AA822" s="155"/>
      <c r="AB822" s="156"/>
      <c r="AC822" s="66"/>
      <c r="AD822" s="66"/>
      <c r="AE822" s="66"/>
      <c r="AF822" s="66"/>
      <c r="AG822" s="66"/>
      <c r="AH822" s="66"/>
      <c r="AI822" s="34"/>
      <c r="AJ822" s="88">
        <f t="shared" si="922"/>
        <v>0</v>
      </c>
      <c r="AK822" s="88">
        <f t="shared" si="923"/>
        <v>0</v>
      </c>
      <c r="AL822" s="88">
        <v>0</v>
      </c>
      <c r="AM822" s="88">
        <v>0</v>
      </c>
      <c r="AN822" s="81" t="str">
        <f t="shared" si="961"/>
        <v/>
      </c>
      <c r="AO822" s="88">
        <f t="shared" si="924"/>
        <v>0</v>
      </c>
      <c r="AP822" s="88">
        <f t="shared" si="925"/>
        <v>0</v>
      </c>
      <c r="AQ822" s="81" t="str">
        <f t="shared" si="926"/>
        <v/>
      </c>
      <c r="AS822" s="41" t="b">
        <f t="shared" si="927"/>
        <v>1</v>
      </c>
      <c r="AT822" s="38">
        <f t="shared" si="928"/>
        <v>0</v>
      </c>
      <c r="AU822" s="60">
        <f t="shared" si="929"/>
        <v>0</v>
      </c>
      <c r="AV822" s="41">
        <f t="shared" si="930"/>
        <v>0</v>
      </c>
      <c r="AW822" s="41" t="b">
        <f t="shared" si="931"/>
        <v>0</v>
      </c>
      <c r="AX822" t="str">
        <f t="shared" si="932"/>
        <v>+00</v>
      </c>
      <c r="AY822" t="str">
        <f t="shared" si="933"/>
        <v>+00</v>
      </c>
      <c r="BA822" s="47" t="b">
        <f t="shared" si="962"/>
        <v>1</v>
      </c>
      <c r="BB822" s="42" t="b">
        <f t="shared" si="963"/>
        <v>1</v>
      </c>
      <c r="BC822" s="42" t="b">
        <f t="shared" si="964"/>
        <v>0</v>
      </c>
      <c r="BD822" s="42" t="b">
        <f t="shared" si="965"/>
        <v>0</v>
      </c>
      <c r="BE822" s="70">
        <f t="shared" si="966"/>
        <v>0</v>
      </c>
      <c r="BF822" s="70">
        <f t="shared" si="967"/>
        <v>0</v>
      </c>
      <c r="BG822" s="34"/>
      <c r="BI822" s="47" t="b">
        <f t="shared" si="968"/>
        <v>1</v>
      </c>
      <c r="BJ822" s="47" t="b">
        <f t="shared" si="969"/>
        <v>1</v>
      </c>
      <c r="BK822" s="42" t="b">
        <f t="shared" si="970"/>
        <v>0</v>
      </c>
      <c r="BL822" s="42" t="b">
        <f t="shared" si="971"/>
        <v>0</v>
      </c>
      <c r="BM822" s="42">
        <f t="shared" si="972"/>
        <v>0</v>
      </c>
      <c r="BN822" s="42">
        <f t="shared" si="973"/>
        <v>0</v>
      </c>
      <c r="BP822" t="e">
        <f t="shared" si="974"/>
        <v>#N/A</v>
      </c>
      <c r="BQ822" t="e">
        <f t="shared" si="975"/>
        <v>#N/A</v>
      </c>
      <c r="BR822" t="e">
        <f t="shared" si="976"/>
        <v>#N/A</v>
      </c>
      <c r="BT822" s="60">
        <f t="shared" si="977"/>
        <v>0</v>
      </c>
      <c r="BU822" s="60">
        <f t="shared" si="978"/>
        <v>0</v>
      </c>
      <c r="BV822" s="60">
        <f t="shared" si="979"/>
        <v>0</v>
      </c>
      <c r="BW822" s="60">
        <f t="shared" si="980"/>
        <v>0</v>
      </c>
      <c r="BX822" s="60">
        <f t="shared" si="981"/>
        <v>0</v>
      </c>
      <c r="BY822" s="60">
        <f t="shared" si="982"/>
        <v>0</v>
      </c>
      <c r="BZ822" s="60">
        <f t="shared" si="983"/>
        <v>0</v>
      </c>
      <c r="CA822" s="60">
        <f t="shared" si="984"/>
        <v>0</v>
      </c>
      <c r="CB822" s="60" t="e">
        <f t="shared" si="934"/>
        <v>#N/A</v>
      </c>
      <c r="CC822" s="60">
        <f t="shared" si="935"/>
        <v>100000</v>
      </c>
      <c r="CD822" s="60" t="e">
        <f t="shared" si="936"/>
        <v>#N/A</v>
      </c>
      <c r="CE822" s="60">
        <f t="shared" si="937"/>
        <v>100000</v>
      </c>
      <c r="CF822" s="83" t="e">
        <f t="shared" si="985"/>
        <v>#N/A</v>
      </c>
      <c r="CG822" s="83">
        <f t="shared" si="986"/>
        <v>0</v>
      </c>
      <c r="CH822" s="83" t="e">
        <f t="shared" si="987"/>
        <v>#N/A</v>
      </c>
      <c r="CI822" s="83">
        <f t="shared" si="988"/>
        <v>0</v>
      </c>
      <c r="CJ822" s="86" t="e">
        <f t="shared" si="938"/>
        <v>#N/A</v>
      </c>
      <c r="CK822" s="82">
        <f t="shared" si="939"/>
        <v>5.3070370403969858E-3</v>
      </c>
      <c r="CL822" s="82" t="e">
        <f t="shared" si="940"/>
        <v>#N/A</v>
      </c>
      <c r="CM822" s="82">
        <f t="shared" si="941"/>
        <v>5.3070370403969858E-3</v>
      </c>
      <c r="CO822" s="149" t="str">
        <f>IF($I822&lt;&gt;"",IF(O822="User Specified",U822,INDEX('Refrigerant GWPs'!$G$2:$G$156,MATCH(O822,'Refrigerant GWPs'!$A$2:$A$156,0))),"")</f>
        <v/>
      </c>
      <c r="CP822" s="138" t="str">
        <f>IF($I822&lt;&gt;"",INDEX('Device Refrigerant Leakage'!$E$2:$E$42,MATCH($M822,'Device Refrigerant Leakage'!$B$2:$B$42,0)),"")</f>
        <v/>
      </c>
      <c r="CQ822" s="138" t="str">
        <f>IF($I822&lt;&gt;"",INDEX('Device Refrigerant Leakage'!$F$2:$F$42,MATCH($M822,'Device Refrigerant Leakage'!$B$2:$B$42,0)),"")</f>
        <v/>
      </c>
      <c r="CR822" s="145" t="str">
        <f>IF($I822&lt;&gt;"",INDEX('Device Refrigerant Leakage'!$G$2:$G$42,MATCH($M822,'Device Refrigerant Leakage'!$B$2:$B$42,0)),"")</f>
        <v/>
      </c>
      <c r="CS822" s="145" t="str">
        <f>IF($I822&lt;&gt;"",INDEX('Device Refrigerant Leakage'!$D$2:$D$42,MATCH($M822,'Device Refrigerant Leakage'!$B$2:$B$42,0))*CP822/2204.62*CO822,"")</f>
        <v/>
      </c>
      <c r="CT822" s="145" t="str">
        <f>IF($I822&lt;&gt;"",J822*(INDEX('Device Refrigerant Leakage'!$D$2:$D$42,MATCH($M822,'Device Refrigerant Leakage'!$B$2:$B$42,0))-(INDEX('Device Refrigerant Leakage'!$D$2:$D$42,MATCH($M822,'Device Refrigerant Leakage'!$B$2:$B$42,0)))*CR822*CP822)*CQ822/2204.62*CO822,"")</f>
        <v/>
      </c>
      <c r="CU822" s="135" t="str">
        <f>IF($I822&lt;&gt;"",J822*IF(W822&lt;&gt;"AR",(CS822*K822)+CT822,(CS822*AB822)+CT822*(AB822/INDEX('Device Refrigerant Leakage'!$C$2:$C$42,MATCH($M822,'Device Refrigerant Leakage'!$B$2:$B$42,0)))),"")</f>
        <v/>
      </c>
      <c r="CW822" s="135" t="str">
        <f>IF($I822&lt;&gt;"",IF(S822="User Specified",V822,INDEX('Refrigerant GWPs'!$G$2:$G$156,MATCH(S822,'Refrigerant GWPs'!$A$2:$A$157,0))),"")</f>
        <v/>
      </c>
      <c r="CX822" s="138" t="str">
        <f>IF($I822&lt;&gt;"",INDEX('Device Refrigerant Leakage'!$E$2:$E$42,MATCH($Q822,'Device Refrigerant Leakage'!$B$2:$B$42,0)),"")</f>
        <v/>
      </c>
      <c r="CY822" s="138" t="str">
        <f>IF($I822&lt;&gt;"",INDEX('Device Refrigerant Leakage'!$F$2:$F$42,MATCH($Q822,'Device Refrigerant Leakage'!$B$2:$B$42,0)),"")</f>
        <v/>
      </c>
      <c r="CZ822" s="145" t="str">
        <f>IF($I822&lt;&gt;"",INDEX('Device Refrigerant Leakage'!$G$2:$G$42,MATCH($Q822,'Device Refrigerant Leakage'!$B$2:$B$42,0)),"")</f>
        <v/>
      </c>
      <c r="DA822" s="145" t="str">
        <f>IF($I822&lt;&gt;"",J822*INDEX('Device Refrigerant Leakage'!$D$2:$D$42,MATCH($Q822,'Device Refrigerant Leakage'!$B$2:$B$42,0))*CX822/2204.62*CW822,"")</f>
        <v/>
      </c>
      <c r="DB822" s="145" t="str">
        <f>IF($I822&lt;&gt;"",J822*(INDEX('Device Refrigerant Leakage'!$D$2:$D$42,MATCH($Q822,'Device Refrigerant Leakage'!$B$2:$B$42,0))-(INDEX('Device Refrigerant Leakage'!$D$2:$D$42,MATCH($Q822,'Device Refrigerant Leakage'!$B$2:$B$42,0)))*CZ822*CX822)*CY822/2204.62*CW822,"")</f>
        <v/>
      </c>
      <c r="DC822" s="135" t="str">
        <f t="shared" si="960"/>
        <v/>
      </c>
      <c r="DE822" s="146" t="str">
        <f>IF(W822&lt;&gt;"AR","",IF(Y822="User Specified", AA822, INDEX('Refrigerant GWPs'!$G$2:$G$154,MATCH(Y822,'Refrigerant GWPs'!$A$2:$A$154,0))))</f>
        <v/>
      </c>
      <c r="DF822" s="146" t="str">
        <f>IF(W822&lt;&gt;"AR","",INDEX('Device Refrigerant Leakage'!$E$2:$E$42,MATCH(X822,'Device Refrigerant Leakage'!$B$2:$B$42,0)))</f>
        <v/>
      </c>
      <c r="DG822" s="146" t="str">
        <f>IF(W822&lt;&gt;"AR","",INDEX('Device Refrigerant Leakage'!$F$2:$F$42,MATCH(X822,'Device Refrigerant Leakage'!$B$2:$B$42,0)))</f>
        <v/>
      </c>
      <c r="DH822" s="146" t="str">
        <f>IF(W822&lt;&gt;"AR","",INDEX('Device Refrigerant Leakage'!$G$2:$G$42,MATCH(X822,'Device Refrigerant Leakage'!$B$2:$B$42,0)))</f>
        <v/>
      </c>
      <c r="DI822" s="146" t="str">
        <f>IF(W822&lt;&gt;"AR","",J822*INDEX('Device Refrigerant Leakage'!$D$2:$D$42,MATCH(X822,'Device Refrigerant Leakage'!$B$2:$B$42,0))*DF822/2204.62*DE822)</f>
        <v/>
      </c>
      <c r="DJ822" s="146" t="str">
        <f>IF(W822&lt;&gt;"AR","",J822*(INDEX('Device Refrigerant Leakage'!$D$2:$D$42,MATCH(X822,'Device Refrigerant Leakage'!$B$2:$B$42,0))-(INDEX('Device Refrigerant Leakage'!$D$2:$D$42,MATCH(X822,'Device Refrigerant Leakage'!$B$2:$B$42,0)))*DH822*DF822)*DG822/2204.62*DE822)</f>
        <v/>
      </c>
      <c r="DK822" s="146" t="str">
        <f>IF(W822&lt;&gt;"AR","",DI822*(K822-AB822)+'Fuel Sub Calcs-Deemed'!DJ822*((K822-AB822)/INDEX('Device Refrigerant Leakage'!$C$2:$C$42,MATCH('Fuel Sub Calcs-Deemed'!X822,'Device Refrigerant Leakage'!$B$2:$B$42,0))))</f>
        <v/>
      </c>
      <c r="DM822" s="56">
        <v>808</v>
      </c>
      <c r="DN822" s="67" t="e">
        <f t="shared" si="942"/>
        <v>#N/A</v>
      </c>
      <c r="DO822" s="45" t="e">
        <f t="shared" si="943"/>
        <v>#N/A</v>
      </c>
      <c r="DP822" s="67" t="e">
        <f t="shared" si="944"/>
        <v>#N/A</v>
      </c>
      <c r="DQ822" s="45" t="e">
        <f t="shared" si="945"/>
        <v>#N/A</v>
      </c>
      <c r="DR822" s="69" t="e">
        <f t="shared" si="946"/>
        <v>#N/A</v>
      </c>
      <c r="DS822" s="34"/>
      <c r="DT822" s="67" t="e">
        <f>((BX822*CJ822)+IF($W822=MAT_AR,(BZ822*CL822),0))*(1+Reference!$E$50+Reference!$E$51)</f>
        <v>#N/A</v>
      </c>
      <c r="DU822" s="67">
        <f>((BY822*CK822)+IF($W822=MAT_AR,(CA822*CM822),0))*(1+Reference!$G$50+Reference!$G$51)</f>
        <v>0</v>
      </c>
      <c r="DV822" s="67" t="e">
        <f t="shared" si="947"/>
        <v>#VALUE!</v>
      </c>
      <c r="DX822" s="56">
        <v>808</v>
      </c>
      <c r="DY822" s="67">
        <f t="shared" si="948"/>
        <v>0</v>
      </c>
      <c r="DZ822" s="45" t="e">
        <f>VLOOKUP($R822,Dropdown!$C$3:$D$4,2,FALSE)</f>
        <v>#N/A</v>
      </c>
      <c r="EA822" s="68">
        <f t="shared" si="949"/>
        <v>0</v>
      </c>
      <c r="EB822" s="68" t="str">
        <f t="shared" si="950"/>
        <v>N/A</v>
      </c>
      <c r="EC822" s="68">
        <f t="shared" si="951"/>
        <v>0</v>
      </c>
      <c r="ED822" s="68" t="str">
        <f t="shared" si="989"/>
        <v>N/A</v>
      </c>
      <c r="EF822" s="56">
        <v>808</v>
      </c>
      <c r="EG822" s="46">
        <f t="shared" si="952"/>
        <v>0</v>
      </c>
      <c r="EH822" s="68" t="e">
        <f t="shared" si="953"/>
        <v>#N/A</v>
      </c>
      <c r="EI822" s="68" t="e">
        <f t="shared" si="954"/>
        <v>#N/A</v>
      </c>
      <c r="EJ822" s="68" t="e">
        <f t="shared" si="955"/>
        <v>#N/A</v>
      </c>
      <c r="EK822" s="68" t="e">
        <f t="shared" si="956"/>
        <v>#N/A</v>
      </c>
      <c r="EL822" s="46">
        <f t="shared" si="957"/>
        <v>0</v>
      </c>
      <c r="EM822" s="46">
        <f t="shared" si="958"/>
        <v>0</v>
      </c>
    </row>
    <row r="823" spans="1:143">
      <c r="A823" s="89"/>
      <c r="B823" s="89"/>
      <c r="C823" s="89"/>
      <c r="D823" s="89"/>
      <c r="E823" s="89"/>
      <c r="F823" s="89"/>
      <c r="G823" s="34"/>
      <c r="H823" s="56">
        <f t="shared" si="959"/>
        <v>809</v>
      </c>
      <c r="I823" s="165"/>
      <c r="J823" s="163"/>
      <c r="K823" s="163"/>
      <c r="L823" s="164"/>
      <c r="M823" s="155"/>
      <c r="N823" s="155"/>
      <c r="O823" s="144"/>
      <c r="P823" s="159" t="str">
        <f>IFERROR(IF(O823&lt;&gt;"User Specified",IF(O823&lt;&gt;"", INDEX('Refrigerant GWPs'!$G$2:$G$154,MATCH(O823,'Refrigerant GWPs'!$A$2:$A$154,0)),""),U823),0)</f>
        <v/>
      </c>
      <c r="Q823" s="155"/>
      <c r="R823" s="155"/>
      <c r="S823" s="144"/>
      <c r="T823" s="159" t="str">
        <f>IF(S823&lt;&gt;"User Specified",IF(AND(S823&lt;&gt;"User Specified",S823&lt;&gt;""), INDEX('Refrigerant GWPs'!$G$2:$G$154,MATCH(S823,'Refrigerant GWPs'!$A$2:$A$154,0)),""),V823)</f>
        <v/>
      </c>
      <c r="U823" s="144"/>
      <c r="V823" s="144"/>
      <c r="W823" s="155"/>
      <c r="X823" s="155"/>
      <c r="Y823" s="144"/>
      <c r="Z823" s="159" t="str">
        <f>IF(AND(Y823&lt;&gt;"User Specified",Y823&lt;&gt;""), INDEX('Refrigerant GWPs'!$G$2:$G$154,MATCH(Y823,'Refrigerant GWPs'!$A$2:$A$154,0)),"")</f>
        <v/>
      </c>
      <c r="AA823" s="155"/>
      <c r="AB823" s="156"/>
      <c r="AC823" s="66"/>
      <c r="AD823" s="66"/>
      <c r="AE823" s="66"/>
      <c r="AF823" s="66"/>
      <c r="AG823" s="66"/>
      <c r="AH823" s="66"/>
      <c r="AI823" s="34"/>
      <c r="AJ823" s="88">
        <f t="shared" si="922"/>
        <v>0</v>
      </c>
      <c r="AK823" s="88">
        <f t="shared" si="923"/>
        <v>0</v>
      </c>
      <c r="AL823" s="88">
        <v>0</v>
      </c>
      <c r="AM823" s="88">
        <v>0</v>
      </c>
      <c r="AN823" s="81" t="str">
        <f t="shared" si="961"/>
        <v/>
      </c>
      <c r="AO823" s="88">
        <f t="shared" si="924"/>
        <v>0</v>
      </c>
      <c r="AP823" s="88">
        <f t="shared" si="925"/>
        <v>0</v>
      </c>
      <c r="AQ823" s="81" t="str">
        <f t="shared" si="926"/>
        <v/>
      </c>
      <c r="AS823" s="41" t="b">
        <f t="shared" si="927"/>
        <v>1</v>
      </c>
      <c r="AT823" s="38">
        <f t="shared" si="928"/>
        <v>0</v>
      </c>
      <c r="AU823" s="60">
        <f t="shared" si="929"/>
        <v>0</v>
      </c>
      <c r="AV823" s="41">
        <f t="shared" si="930"/>
        <v>0</v>
      </c>
      <c r="AW823" s="41" t="b">
        <f t="shared" si="931"/>
        <v>0</v>
      </c>
      <c r="AX823" t="str">
        <f t="shared" si="932"/>
        <v>+00</v>
      </c>
      <c r="AY823" t="str">
        <f t="shared" si="933"/>
        <v>+00</v>
      </c>
      <c r="BA823" s="47" t="b">
        <f t="shared" si="962"/>
        <v>1</v>
      </c>
      <c r="BB823" s="42" t="b">
        <f t="shared" si="963"/>
        <v>1</v>
      </c>
      <c r="BC823" s="42" t="b">
        <f t="shared" si="964"/>
        <v>0</v>
      </c>
      <c r="BD823" s="42" t="b">
        <f t="shared" si="965"/>
        <v>0</v>
      </c>
      <c r="BE823" s="70">
        <f t="shared" si="966"/>
        <v>0</v>
      </c>
      <c r="BF823" s="70">
        <f t="shared" si="967"/>
        <v>0</v>
      </c>
      <c r="BG823" s="34"/>
      <c r="BI823" s="47" t="b">
        <f t="shared" si="968"/>
        <v>1</v>
      </c>
      <c r="BJ823" s="47" t="b">
        <f t="shared" si="969"/>
        <v>1</v>
      </c>
      <c r="BK823" s="42" t="b">
        <f t="shared" si="970"/>
        <v>0</v>
      </c>
      <c r="BL823" s="42" t="b">
        <f t="shared" si="971"/>
        <v>0</v>
      </c>
      <c r="BM823" s="42">
        <f t="shared" si="972"/>
        <v>0</v>
      </c>
      <c r="BN823" s="42">
        <f t="shared" si="973"/>
        <v>0</v>
      </c>
      <c r="BP823" t="e">
        <f t="shared" si="974"/>
        <v>#N/A</v>
      </c>
      <c r="BQ823" t="e">
        <f t="shared" si="975"/>
        <v>#N/A</v>
      </c>
      <c r="BR823" t="e">
        <f t="shared" si="976"/>
        <v>#N/A</v>
      </c>
      <c r="BT823" s="60">
        <f t="shared" si="977"/>
        <v>0</v>
      </c>
      <c r="BU823" s="60">
        <f t="shared" si="978"/>
        <v>0</v>
      </c>
      <c r="BV823" s="60">
        <f t="shared" si="979"/>
        <v>0</v>
      </c>
      <c r="BW823" s="60">
        <f t="shared" si="980"/>
        <v>0</v>
      </c>
      <c r="BX823" s="60">
        <f t="shared" si="981"/>
        <v>0</v>
      </c>
      <c r="BY823" s="60">
        <f t="shared" si="982"/>
        <v>0</v>
      </c>
      <c r="BZ823" s="60">
        <f t="shared" si="983"/>
        <v>0</v>
      </c>
      <c r="CA823" s="60">
        <f t="shared" si="984"/>
        <v>0</v>
      </c>
      <c r="CB823" s="60" t="e">
        <f t="shared" si="934"/>
        <v>#N/A</v>
      </c>
      <c r="CC823" s="60">
        <f t="shared" si="935"/>
        <v>100000</v>
      </c>
      <c r="CD823" s="60" t="e">
        <f t="shared" si="936"/>
        <v>#N/A</v>
      </c>
      <c r="CE823" s="60">
        <f t="shared" si="937"/>
        <v>100000</v>
      </c>
      <c r="CF823" s="83" t="e">
        <f t="shared" si="985"/>
        <v>#N/A</v>
      </c>
      <c r="CG823" s="83">
        <f t="shared" si="986"/>
        <v>0</v>
      </c>
      <c r="CH823" s="83" t="e">
        <f t="shared" si="987"/>
        <v>#N/A</v>
      </c>
      <c r="CI823" s="83">
        <f t="shared" si="988"/>
        <v>0</v>
      </c>
      <c r="CJ823" s="86" t="e">
        <f t="shared" si="938"/>
        <v>#N/A</v>
      </c>
      <c r="CK823" s="82">
        <f t="shared" si="939"/>
        <v>5.3070370403969858E-3</v>
      </c>
      <c r="CL823" s="82" t="e">
        <f t="shared" si="940"/>
        <v>#N/A</v>
      </c>
      <c r="CM823" s="82">
        <f t="shared" si="941"/>
        <v>5.3070370403969858E-3</v>
      </c>
      <c r="CO823" s="149" t="str">
        <f>IF($I823&lt;&gt;"",IF(O823="User Specified",U823,INDEX('Refrigerant GWPs'!$G$2:$G$156,MATCH(O823,'Refrigerant GWPs'!$A$2:$A$156,0))),"")</f>
        <v/>
      </c>
      <c r="CP823" s="138" t="str">
        <f>IF($I823&lt;&gt;"",INDEX('Device Refrigerant Leakage'!$E$2:$E$42,MATCH($M823,'Device Refrigerant Leakage'!$B$2:$B$42,0)),"")</f>
        <v/>
      </c>
      <c r="CQ823" s="138" t="str">
        <f>IF($I823&lt;&gt;"",INDEX('Device Refrigerant Leakage'!$F$2:$F$42,MATCH($M823,'Device Refrigerant Leakage'!$B$2:$B$42,0)),"")</f>
        <v/>
      </c>
      <c r="CR823" s="145" t="str">
        <f>IF($I823&lt;&gt;"",INDEX('Device Refrigerant Leakage'!$G$2:$G$42,MATCH($M823,'Device Refrigerant Leakage'!$B$2:$B$42,0)),"")</f>
        <v/>
      </c>
      <c r="CS823" s="145" t="str">
        <f>IF($I823&lt;&gt;"",INDEX('Device Refrigerant Leakage'!$D$2:$D$42,MATCH($M823,'Device Refrigerant Leakage'!$B$2:$B$42,0))*CP823/2204.62*CO823,"")</f>
        <v/>
      </c>
      <c r="CT823" s="145" t="str">
        <f>IF($I823&lt;&gt;"",J823*(INDEX('Device Refrigerant Leakage'!$D$2:$D$42,MATCH($M823,'Device Refrigerant Leakage'!$B$2:$B$42,0))-(INDEX('Device Refrigerant Leakage'!$D$2:$D$42,MATCH($M823,'Device Refrigerant Leakage'!$B$2:$B$42,0)))*CR823*CP823)*CQ823/2204.62*CO823,"")</f>
        <v/>
      </c>
      <c r="CU823" s="135" t="str">
        <f>IF($I823&lt;&gt;"",J823*IF(W823&lt;&gt;"AR",(CS823*K823)+CT823,(CS823*AB823)+CT823*(AB823/INDEX('Device Refrigerant Leakage'!$C$2:$C$42,MATCH($M823,'Device Refrigerant Leakage'!$B$2:$B$42,0)))),"")</f>
        <v/>
      </c>
      <c r="CW823" s="135" t="str">
        <f>IF($I823&lt;&gt;"",IF(S823="User Specified",V823,INDEX('Refrigerant GWPs'!$G$2:$G$156,MATCH(S823,'Refrigerant GWPs'!$A$2:$A$157,0))),"")</f>
        <v/>
      </c>
      <c r="CX823" s="138" t="str">
        <f>IF($I823&lt;&gt;"",INDEX('Device Refrigerant Leakage'!$E$2:$E$42,MATCH($Q823,'Device Refrigerant Leakage'!$B$2:$B$42,0)),"")</f>
        <v/>
      </c>
      <c r="CY823" s="138" t="str">
        <f>IF($I823&lt;&gt;"",INDEX('Device Refrigerant Leakage'!$F$2:$F$42,MATCH($Q823,'Device Refrigerant Leakage'!$B$2:$B$42,0)),"")</f>
        <v/>
      </c>
      <c r="CZ823" s="145" t="str">
        <f>IF($I823&lt;&gt;"",INDEX('Device Refrigerant Leakage'!$G$2:$G$42,MATCH($Q823,'Device Refrigerant Leakage'!$B$2:$B$42,0)),"")</f>
        <v/>
      </c>
      <c r="DA823" s="145" t="str">
        <f>IF($I823&lt;&gt;"",J823*INDEX('Device Refrigerant Leakage'!$D$2:$D$42,MATCH($Q823,'Device Refrigerant Leakage'!$B$2:$B$42,0))*CX823/2204.62*CW823,"")</f>
        <v/>
      </c>
      <c r="DB823" s="145" t="str">
        <f>IF($I823&lt;&gt;"",J823*(INDEX('Device Refrigerant Leakage'!$D$2:$D$42,MATCH($Q823,'Device Refrigerant Leakage'!$B$2:$B$42,0))-(INDEX('Device Refrigerant Leakage'!$D$2:$D$42,MATCH($Q823,'Device Refrigerant Leakage'!$B$2:$B$42,0)))*CZ823*CX823)*CY823/2204.62*CW823,"")</f>
        <v/>
      </c>
      <c r="DC823" s="135" t="str">
        <f t="shared" si="960"/>
        <v/>
      </c>
      <c r="DE823" s="146" t="str">
        <f>IF(W823&lt;&gt;"AR","",IF(Y823="User Specified", AA823, INDEX('Refrigerant GWPs'!$G$2:$G$154,MATCH(Y823,'Refrigerant GWPs'!$A$2:$A$154,0))))</f>
        <v/>
      </c>
      <c r="DF823" s="146" t="str">
        <f>IF(W823&lt;&gt;"AR","",INDEX('Device Refrigerant Leakage'!$E$2:$E$42,MATCH(X823,'Device Refrigerant Leakage'!$B$2:$B$42,0)))</f>
        <v/>
      </c>
      <c r="DG823" s="146" t="str">
        <f>IF(W823&lt;&gt;"AR","",INDEX('Device Refrigerant Leakage'!$F$2:$F$42,MATCH(X823,'Device Refrigerant Leakage'!$B$2:$B$42,0)))</f>
        <v/>
      </c>
      <c r="DH823" s="146" t="str">
        <f>IF(W823&lt;&gt;"AR","",INDEX('Device Refrigerant Leakage'!$G$2:$G$42,MATCH(X823,'Device Refrigerant Leakage'!$B$2:$B$42,0)))</f>
        <v/>
      </c>
      <c r="DI823" s="146" t="str">
        <f>IF(W823&lt;&gt;"AR","",J823*INDEX('Device Refrigerant Leakage'!$D$2:$D$42,MATCH(X823,'Device Refrigerant Leakage'!$B$2:$B$42,0))*DF823/2204.62*DE823)</f>
        <v/>
      </c>
      <c r="DJ823" s="146" t="str">
        <f>IF(W823&lt;&gt;"AR","",J823*(INDEX('Device Refrigerant Leakage'!$D$2:$D$42,MATCH(X823,'Device Refrigerant Leakage'!$B$2:$B$42,0))-(INDEX('Device Refrigerant Leakage'!$D$2:$D$42,MATCH(X823,'Device Refrigerant Leakage'!$B$2:$B$42,0)))*DH823*DF823)*DG823/2204.62*DE823)</f>
        <v/>
      </c>
      <c r="DK823" s="146" t="str">
        <f>IF(W823&lt;&gt;"AR","",DI823*(K823-AB823)+'Fuel Sub Calcs-Deemed'!DJ823*((K823-AB823)/INDEX('Device Refrigerant Leakage'!$C$2:$C$42,MATCH('Fuel Sub Calcs-Deemed'!X823,'Device Refrigerant Leakage'!$B$2:$B$42,0))))</f>
        <v/>
      </c>
      <c r="DM823" s="56">
        <v>809</v>
      </c>
      <c r="DN823" s="67" t="e">
        <f t="shared" si="942"/>
        <v>#N/A</v>
      </c>
      <c r="DO823" s="45" t="e">
        <f t="shared" si="943"/>
        <v>#N/A</v>
      </c>
      <c r="DP823" s="67" t="e">
        <f t="shared" si="944"/>
        <v>#N/A</v>
      </c>
      <c r="DQ823" s="45" t="e">
        <f t="shared" si="945"/>
        <v>#N/A</v>
      </c>
      <c r="DR823" s="69" t="e">
        <f t="shared" si="946"/>
        <v>#N/A</v>
      </c>
      <c r="DS823" s="34"/>
      <c r="DT823" s="67" t="e">
        <f>((BX823*CJ823)+IF($W823=MAT_AR,(BZ823*CL823),0))*(1+Reference!$E$50+Reference!$E$51)</f>
        <v>#N/A</v>
      </c>
      <c r="DU823" s="67">
        <f>((BY823*CK823)+IF($W823=MAT_AR,(CA823*CM823),0))*(1+Reference!$G$50+Reference!$G$51)</f>
        <v>0</v>
      </c>
      <c r="DV823" s="67" t="e">
        <f t="shared" si="947"/>
        <v>#VALUE!</v>
      </c>
      <c r="DX823" s="56">
        <v>809</v>
      </c>
      <c r="DY823" s="67">
        <f t="shared" si="948"/>
        <v>0</v>
      </c>
      <c r="DZ823" s="45" t="e">
        <f>VLOOKUP($R823,Dropdown!$C$3:$D$4,2,FALSE)</f>
        <v>#N/A</v>
      </c>
      <c r="EA823" s="68">
        <f t="shared" si="949"/>
        <v>0</v>
      </c>
      <c r="EB823" s="68" t="str">
        <f t="shared" si="950"/>
        <v>N/A</v>
      </c>
      <c r="EC823" s="68">
        <f t="shared" si="951"/>
        <v>0</v>
      </c>
      <c r="ED823" s="68" t="str">
        <f t="shared" si="989"/>
        <v>N/A</v>
      </c>
      <c r="EF823" s="56">
        <v>809</v>
      </c>
      <c r="EG823" s="46">
        <f t="shared" si="952"/>
        <v>0</v>
      </c>
      <c r="EH823" s="68" t="e">
        <f t="shared" si="953"/>
        <v>#N/A</v>
      </c>
      <c r="EI823" s="68" t="e">
        <f t="shared" si="954"/>
        <v>#N/A</v>
      </c>
      <c r="EJ823" s="68" t="e">
        <f t="shared" si="955"/>
        <v>#N/A</v>
      </c>
      <c r="EK823" s="68" t="e">
        <f t="shared" si="956"/>
        <v>#N/A</v>
      </c>
      <c r="EL823" s="46">
        <f t="shared" si="957"/>
        <v>0</v>
      </c>
      <c r="EM823" s="46">
        <f t="shared" si="958"/>
        <v>0</v>
      </c>
    </row>
    <row r="824" spans="1:143">
      <c r="A824" s="89"/>
      <c r="B824" s="89"/>
      <c r="C824" s="89"/>
      <c r="D824" s="89"/>
      <c r="E824" s="89"/>
      <c r="F824" s="89"/>
      <c r="G824" s="34"/>
      <c r="H824" s="56">
        <f t="shared" si="959"/>
        <v>810</v>
      </c>
      <c r="I824" s="165"/>
      <c r="J824" s="163"/>
      <c r="K824" s="163"/>
      <c r="L824" s="164"/>
      <c r="M824" s="155"/>
      <c r="N824" s="155"/>
      <c r="O824" s="144"/>
      <c r="P824" s="159" t="str">
        <f>IFERROR(IF(O824&lt;&gt;"User Specified",IF(O824&lt;&gt;"", INDEX('Refrigerant GWPs'!$G$2:$G$154,MATCH(O824,'Refrigerant GWPs'!$A$2:$A$154,0)),""),U824),0)</f>
        <v/>
      </c>
      <c r="Q824" s="155"/>
      <c r="R824" s="155"/>
      <c r="S824" s="144"/>
      <c r="T824" s="159" t="str">
        <f>IF(S824&lt;&gt;"User Specified",IF(AND(S824&lt;&gt;"User Specified",S824&lt;&gt;""), INDEX('Refrigerant GWPs'!$G$2:$G$154,MATCH(S824,'Refrigerant GWPs'!$A$2:$A$154,0)),""),V824)</f>
        <v/>
      </c>
      <c r="U824" s="144"/>
      <c r="V824" s="144"/>
      <c r="W824" s="155"/>
      <c r="X824" s="155"/>
      <c r="Y824" s="144"/>
      <c r="Z824" s="159" t="str">
        <f>IF(AND(Y824&lt;&gt;"User Specified",Y824&lt;&gt;""), INDEX('Refrigerant GWPs'!$G$2:$G$154,MATCH(Y824,'Refrigerant GWPs'!$A$2:$A$154,0)),"")</f>
        <v/>
      </c>
      <c r="AA824" s="155"/>
      <c r="AB824" s="156"/>
      <c r="AC824" s="66"/>
      <c r="AD824" s="66"/>
      <c r="AE824" s="66"/>
      <c r="AF824" s="66"/>
      <c r="AG824" s="66"/>
      <c r="AH824" s="66"/>
      <c r="AI824" s="34"/>
      <c r="AJ824" s="88">
        <f t="shared" si="922"/>
        <v>0</v>
      </c>
      <c r="AK824" s="88">
        <f t="shared" si="923"/>
        <v>0</v>
      </c>
      <c r="AL824" s="88">
        <v>0</v>
      </c>
      <c r="AM824" s="88">
        <v>0</v>
      </c>
      <c r="AN824" s="81" t="str">
        <f t="shared" si="961"/>
        <v/>
      </c>
      <c r="AO824" s="88">
        <f t="shared" si="924"/>
        <v>0</v>
      </c>
      <c r="AP824" s="88">
        <f t="shared" si="925"/>
        <v>0</v>
      </c>
      <c r="AQ824" s="81" t="str">
        <f t="shared" si="926"/>
        <v/>
      </c>
      <c r="AS824" s="41" t="b">
        <f t="shared" si="927"/>
        <v>1</v>
      </c>
      <c r="AT824" s="38">
        <f t="shared" si="928"/>
        <v>0</v>
      </c>
      <c r="AU824" s="60">
        <f t="shared" si="929"/>
        <v>0</v>
      </c>
      <c r="AV824" s="41">
        <f t="shared" si="930"/>
        <v>0</v>
      </c>
      <c r="AW824" s="41" t="b">
        <f t="shared" si="931"/>
        <v>0</v>
      </c>
      <c r="AX824" t="str">
        <f t="shared" si="932"/>
        <v>+00</v>
      </c>
      <c r="AY824" t="str">
        <f t="shared" si="933"/>
        <v>+00</v>
      </c>
      <c r="BA824" s="47" t="b">
        <f t="shared" si="962"/>
        <v>1</v>
      </c>
      <c r="BB824" s="42" t="b">
        <f t="shared" si="963"/>
        <v>1</v>
      </c>
      <c r="BC824" s="42" t="b">
        <f t="shared" si="964"/>
        <v>0</v>
      </c>
      <c r="BD824" s="42" t="b">
        <f t="shared" si="965"/>
        <v>0</v>
      </c>
      <c r="BE824" s="70">
        <f t="shared" si="966"/>
        <v>0</v>
      </c>
      <c r="BF824" s="70">
        <f t="shared" si="967"/>
        <v>0</v>
      </c>
      <c r="BG824" s="34"/>
      <c r="BI824" s="47" t="b">
        <f t="shared" si="968"/>
        <v>1</v>
      </c>
      <c r="BJ824" s="47" t="b">
        <f t="shared" si="969"/>
        <v>1</v>
      </c>
      <c r="BK824" s="42" t="b">
        <f t="shared" si="970"/>
        <v>0</v>
      </c>
      <c r="BL824" s="42" t="b">
        <f t="shared" si="971"/>
        <v>0</v>
      </c>
      <c r="BM824" s="42">
        <f t="shared" si="972"/>
        <v>0</v>
      </c>
      <c r="BN824" s="42">
        <f t="shared" si="973"/>
        <v>0</v>
      </c>
      <c r="BP824" t="e">
        <f t="shared" si="974"/>
        <v>#N/A</v>
      </c>
      <c r="BQ824" t="e">
        <f t="shared" si="975"/>
        <v>#N/A</v>
      </c>
      <c r="BR824" t="e">
        <f t="shared" si="976"/>
        <v>#N/A</v>
      </c>
      <c r="BT824" s="60">
        <f t="shared" si="977"/>
        <v>0</v>
      </c>
      <c r="BU824" s="60">
        <f t="shared" si="978"/>
        <v>0</v>
      </c>
      <c r="BV824" s="60">
        <f t="shared" si="979"/>
        <v>0</v>
      </c>
      <c r="BW824" s="60">
        <f t="shared" si="980"/>
        <v>0</v>
      </c>
      <c r="BX824" s="60">
        <f t="shared" si="981"/>
        <v>0</v>
      </c>
      <c r="BY824" s="60">
        <f t="shared" si="982"/>
        <v>0</v>
      </c>
      <c r="BZ824" s="60">
        <f t="shared" si="983"/>
        <v>0</v>
      </c>
      <c r="CA824" s="60">
        <f t="shared" si="984"/>
        <v>0</v>
      </c>
      <c r="CB824" s="60" t="e">
        <f t="shared" si="934"/>
        <v>#N/A</v>
      </c>
      <c r="CC824" s="60">
        <f t="shared" si="935"/>
        <v>100000</v>
      </c>
      <c r="CD824" s="60" t="e">
        <f t="shared" si="936"/>
        <v>#N/A</v>
      </c>
      <c r="CE824" s="60">
        <f t="shared" si="937"/>
        <v>100000</v>
      </c>
      <c r="CF824" s="83" t="e">
        <f t="shared" si="985"/>
        <v>#N/A</v>
      </c>
      <c r="CG824" s="83">
        <f t="shared" si="986"/>
        <v>0</v>
      </c>
      <c r="CH824" s="83" t="e">
        <f t="shared" si="987"/>
        <v>#N/A</v>
      </c>
      <c r="CI824" s="83">
        <f t="shared" si="988"/>
        <v>0</v>
      </c>
      <c r="CJ824" s="86" t="e">
        <f t="shared" si="938"/>
        <v>#N/A</v>
      </c>
      <c r="CK824" s="82">
        <f t="shared" si="939"/>
        <v>5.3070370403969858E-3</v>
      </c>
      <c r="CL824" s="82" t="e">
        <f t="shared" si="940"/>
        <v>#N/A</v>
      </c>
      <c r="CM824" s="82">
        <f t="shared" si="941"/>
        <v>5.3070370403969858E-3</v>
      </c>
      <c r="CO824" s="149" t="str">
        <f>IF($I824&lt;&gt;"",IF(O824="User Specified",U824,INDEX('Refrigerant GWPs'!$G$2:$G$156,MATCH(O824,'Refrigerant GWPs'!$A$2:$A$156,0))),"")</f>
        <v/>
      </c>
      <c r="CP824" s="138" t="str">
        <f>IF($I824&lt;&gt;"",INDEX('Device Refrigerant Leakage'!$E$2:$E$42,MATCH($M824,'Device Refrigerant Leakage'!$B$2:$B$42,0)),"")</f>
        <v/>
      </c>
      <c r="CQ824" s="138" t="str">
        <f>IF($I824&lt;&gt;"",INDEX('Device Refrigerant Leakage'!$F$2:$F$42,MATCH($M824,'Device Refrigerant Leakage'!$B$2:$B$42,0)),"")</f>
        <v/>
      </c>
      <c r="CR824" s="145" t="str">
        <f>IF($I824&lt;&gt;"",INDEX('Device Refrigerant Leakage'!$G$2:$G$42,MATCH($M824,'Device Refrigerant Leakage'!$B$2:$B$42,0)),"")</f>
        <v/>
      </c>
      <c r="CS824" s="145" t="str">
        <f>IF($I824&lt;&gt;"",INDEX('Device Refrigerant Leakage'!$D$2:$D$42,MATCH($M824,'Device Refrigerant Leakage'!$B$2:$B$42,0))*CP824/2204.62*CO824,"")</f>
        <v/>
      </c>
      <c r="CT824" s="145" t="str">
        <f>IF($I824&lt;&gt;"",J824*(INDEX('Device Refrigerant Leakage'!$D$2:$D$42,MATCH($M824,'Device Refrigerant Leakage'!$B$2:$B$42,0))-(INDEX('Device Refrigerant Leakage'!$D$2:$D$42,MATCH($M824,'Device Refrigerant Leakage'!$B$2:$B$42,0)))*CR824*CP824)*CQ824/2204.62*CO824,"")</f>
        <v/>
      </c>
      <c r="CU824" s="135" t="str">
        <f>IF($I824&lt;&gt;"",J824*IF(W824&lt;&gt;"AR",(CS824*K824)+CT824,(CS824*AB824)+CT824*(AB824/INDEX('Device Refrigerant Leakage'!$C$2:$C$42,MATCH($M824,'Device Refrigerant Leakage'!$B$2:$B$42,0)))),"")</f>
        <v/>
      </c>
      <c r="CW824" s="135" t="str">
        <f>IF($I824&lt;&gt;"",IF(S824="User Specified",V824,INDEX('Refrigerant GWPs'!$G$2:$G$156,MATCH(S824,'Refrigerant GWPs'!$A$2:$A$157,0))),"")</f>
        <v/>
      </c>
      <c r="CX824" s="138" t="str">
        <f>IF($I824&lt;&gt;"",INDEX('Device Refrigerant Leakage'!$E$2:$E$42,MATCH($Q824,'Device Refrigerant Leakage'!$B$2:$B$42,0)),"")</f>
        <v/>
      </c>
      <c r="CY824" s="138" t="str">
        <f>IF($I824&lt;&gt;"",INDEX('Device Refrigerant Leakage'!$F$2:$F$42,MATCH($Q824,'Device Refrigerant Leakage'!$B$2:$B$42,0)),"")</f>
        <v/>
      </c>
      <c r="CZ824" s="145" t="str">
        <f>IF($I824&lt;&gt;"",INDEX('Device Refrigerant Leakage'!$G$2:$G$42,MATCH($Q824,'Device Refrigerant Leakage'!$B$2:$B$42,0)),"")</f>
        <v/>
      </c>
      <c r="DA824" s="145" t="str">
        <f>IF($I824&lt;&gt;"",J824*INDEX('Device Refrigerant Leakage'!$D$2:$D$42,MATCH($Q824,'Device Refrigerant Leakage'!$B$2:$B$42,0))*CX824/2204.62*CW824,"")</f>
        <v/>
      </c>
      <c r="DB824" s="145" t="str">
        <f>IF($I824&lt;&gt;"",J824*(INDEX('Device Refrigerant Leakage'!$D$2:$D$42,MATCH($Q824,'Device Refrigerant Leakage'!$B$2:$B$42,0))-(INDEX('Device Refrigerant Leakage'!$D$2:$D$42,MATCH($Q824,'Device Refrigerant Leakage'!$B$2:$B$42,0)))*CZ824*CX824)*CY824/2204.62*CW824,"")</f>
        <v/>
      </c>
      <c r="DC824" s="135" t="str">
        <f t="shared" si="960"/>
        <v/>
      </c>
      <c r="DE824" s="146" t="str">
        <f>IF(W824&lt;&gt;"AR","",IF(Y824="User Specified", AA824, INDEX('Refrigerant GWPs'!$G$2:$G$154,MATCH(Y824,'Refrigerant GWPs'!$A$2:$A$154,0))))</f>
        <v/>
      </c>
      <c r="DF824" s="146" t="str">
        <f>IF(W824&lt;&gt;"AR","",INDEX('Device Refrigerant Leakage'!$E$2:$E$42,MATCH(X824,'Device Refrigerant Leakage'!$B$2:$B$42,0)))</f>
        <v/>
      </c>
      <c r="DG824" s="146" t="str">
        <f>IF(W824&lt;&gt;"AR","",INDEX('Device Refrigerant Leakage'!$F$2:$F$42,MATCH(X824,'Device Refrigerant Leakage'!$B$2:$B$42,0)))</f>
        <v/>
      </c>
      <c r="DH824" s="146" t="str">
        <f>IF(W824&lt;&gt;"AR","",INDEX('Device Refrigerant Leakage'!$G$2:$G$42,MATCH(X824,'Device Refrigerant Leakage'!$B$2:$B$42,0)))</f>
        <v/>
      </c>
      <c r="DI824" s="146" t="str">
        <f>IF(W824&lt;&gt;"AR","",J824*INDEX('Device Refrigerant Leakage'!$D$2:$D$42,MATCH(X824,'Device Refrigerant Leakage'!$B$2:$B$42,0))*DF824/2204.62*DE824)</f>
        <v/>
      </c>
      <c r="DJ824" s="146" t="str">
        <f>IF(W824&lt;&gt;"AR","",J824*(INDEX('Device Refrigerant Leakage'!$D$2:$D$42,MATCH(X824,'Device Refrigerant Leakage'!$B$2:$B$42,0))-(INDEX('Device Refrigerant Leakage'!$D$2:$D$42,MATCH(X824,'Device Refrigerant Leakage'!$B$2:$B$42,0)))*DH824*DF824)*DG824/2204.62*DE824)</f>
        <v/>
      </c>
      <c r="DK824" s="146" t="str">
        <f>IF(W824&lt;&gt;"AR","",DI824*(K824-AB824)+'Fuel Sub Calcs-Deemed'!DJ824*((K824-AB824)/INDEX('Device Refrigerant Leakage'!$C$2:$C$42,MATCH('Fuel Sub Calcs-Deemed'!X824,'Device Refrigerant Leakage'!$B$2:$B$42,0))))</f>
        <v/>
      </c>
      <c r="DM824" s="56">
        <v>810</v>
      </c>
      <c r="DN824" s="67" t="e">
        <f t="shared" si="942"/>
        <v>#N/A</v>
      </c>
      <c r="DO824" s="45" t="e">
        <f t="shared" si="943"/>
        <v>#N/A</v>
      </c>
      <c r="DP824" s="67" t="e">
        <f t="shared" si="944"/>
        <v>#N/A</v>
      </c>
      <c r="DQ824" s="45" t="e">
        <f t="shared" si="945"/>
        <v>#N/A</v>
      </c>
      <c r="DR824" s="69" t="e">
        <f t="shared" si="946"/>
        <v>#N/A</v>
      </c>
      <c r="DS824" s="34"/>
      <c r="DT824" s="67" t="e">
        <f>((BX824*CJ824)+IF($W824=MAT_AR,(BZ824*CL824),0))*(1+Reference!$E$50+Reference!$E$51)</f>
        <v>#N/A</v>
      </c>
      <c r="DU824" s="67">
        <f>((BY824*CK824)+IF($W824=MAT_AR,(CA824*CM824),0))*(1+Reference!$G$50+Reference!$G$51)</f>
        <v>0</v>
      </c>
      <c r="DV824" s="67" t="e">
        <f t="shared" si="947"/>
        <v>#VALUE!</v>
      </c>
      <c r="DX824" s="56">
        <v>810</v>
      </c>
      <c r="DY824" s="67">
        <f t="shared" si="948"/>
        <v>0</v>
      </c>
      <c r="DZ824" s="45" t="e">
        <f>VLOOKUP($R824,Dropdown!$C$3:$D$4,2,FALSE)</f>
        <v>#N/A</v>
      </c>
      <c r="EA824" s="68">
        <f t="shared" si="949"/>
        <v>0</v>
      </c>
      <c r="EB824" s="68" t="str">
        <f t="shared" si="950"/>
        <v>N/A</v>
      </c>
      <c r="EC824" s="68">
        <f t="shared" si="951"/>
        <v>0</v>
      </c>
      <c r="ED824" s="68" t="str">
        <f t="shared" si="989"/>
        <v>N/A</v>
      </c>
      <c r="EF824" s="56">
        <v>810</v>
      </c>
      <c r="EG824" s="46">
        <f t="shared" si="952"/>
        <v>0</v>
      </c>
      <c r="EH824" s="68" t="e">
        <f t="shared" si="953"/>
        <v>#N/A</v>
      </c>
      <c r="EI824" s="68" t="e">
        <f t="shared" si="954"/>
        <v>#N/A</v>
      </c>
      <c r="EJ824" s="68" t="e">
        <f t="shared" si="955"/>
        <v>#N/A</v>
      </c>
      <c r="EK824" s="68" t="e">
        <f t="shared" si="956"/>
        <v>#N/A</v>
      </c>
      <c r="EL824" s="46">
        <f t="shared" si="957"/>
        <v>0</v>
      </c>
      <c r="EM824" s="46">
        <f t="shared" si="958"/>
        <v>0</v>
      </c>
    </row>
    <row r="825" spans="1:143">
      <c r="A825" s="89"/>
      <c r="B825" s="89"/>
      <c r="C825" s="89"/>
      <c r="D825" s="89"/>
      <c r="E825" s="89"/>
      <c r="F825" s="89"/>
      <c r="G825" s="34"/>
      <c r="H825" s="56">
        <f t="shared" si="959"/>
        <v>811</v>
      </c>
      <c r="I825" s="165"/>
      <c r="J825" s="163"/>
      <c r="K825" s="163"/>
      <c r="L825" s="164"/>
      <c r="M825" s="155"/>
      <c r="N825" s="155"/>
      <c r="O825" s="144"/>
      <c r="P825" s="159" t="str">
        <f>IFERROR(IF(O825&lt;&gt;"User Specified",IF(O825&lt;&gt;"", INDEX('Refrigerant GWPs'!$G$2:$G$154,MATCH(O825,'Refrigerant GWPs'!$A$2:$A$154,0)),""),U825),0)</f>
        <v/>
      </c>
      <c r="Q825" s="155"/>
      <c r="R825" s="155"/>
      <c r="S825" s="144"/>
      <c r="T825" s="159" t="str">
        <f>IF(S825&lt;&gt;"User Specified",IF(AND(S825&lt;&gt;"User Specified",S825&lt;&gt;""), INDEX('Refrigerant GWPs'!$G$2:$G$154,MATCH(S825,'Refrigerant GWPs'!$A$2:$A$154,0)),""),V825)</f>
        <v/>
      </c>
      <c r="U825" s="144"/>
      <c r="V825" s="144"/>
      <c r="W825" s="155"/>
      <c r="X825" s="155"/>
      <c r="Y825" s="144"/>
      <c r="Z825" s="159" t="str">
        <f>IF(AND(Y825&lt;&gt;"User Specified",Y825&lt;&gt;""), INDEX('Refrigerant GWPs'!$G$2:$G$154,MATCH(Y825,'Refrigerant GWPs'!$A$2:$A$154,0)),"")</f>
        <v/>
      </c>
      <c r="AA825" s="155"/>
      <c r="AB825" s="156"/>
      <c r="AC825" s="66"/>
      <c r="AD825" s="66"/>
      <c r="AE825" s="66"/>
      <c r="AF825" s="66"/>
      <c r="AG825" s="66"/>
      <c r="AH825" s="66"/>
      <c r="AI825" s="34"/>
      <c r="AJ825" s="88">
        <f t="shared" si="922"/>
        <v>0</v>
      </c>
      <c r="AK825" s="88">
        <f t="shared" si="923"/>
        <v>0</v>
      </c>
      <c r="AL825" s="88">
        <v>0</v>
      </c>
      <c r="AM825" s="88">
        <v>0</v>
      </c>
      <c r="AN825" s="81" t="str">
        <f t="shared" si="961"/>
        <v/>
      </c>
      <c r="AO825" s="88">
        <f t="shared" si="924"/>
        <v>0</v>
      </c>
      <c r="AP825" s="88">
        <f t="shared" si="925"/>
        <v>0</v>
      </c>
      <c r="AQ825" s="81" t="str">
        <f t="shared" si="926"/>
        <v/>
      </c>
      <c r="AS825" s="41" t="b">
        <f t="shared" si="927"/>
        <v>1</v>
      </c>
      <c r="AT825" s="38">
        <f t="shared" si="928"/>
        <v>0</v>
      </c>
      <c r="AU825" s="60">
        <f t="shared" si="929"/>
        <v>0</v>
      </c>
      <c r="AV825" s="41">
        <f t="shared" si="930"/>
        <v>0</v>
      </c>
      <c r="AW825" s="41" t="b">
        <f t="shared" si="931"/>
        <v>0</v>
      </c>
      <c r="AX825" t="str">
        <f t="shared" si="932"/>
        <v>+00</v>
      </c>
      <c r="AY825" t="str">
        <f t="shared" si="933"/>
        <v>+00</v>
      </c>
      <c r="BA825" s="47" t="b">
        <f t="shared" si="962"/>
        <v>1</v>
      </c>
      <c r="BB825" s="42" t="b">
        <f t="shared" si="963"/>
        <v>1</v>
      </c>
      <c r="BC825" s="42" t="b">
        <f t="shared" si="964"/>
        <v>0</v>
      </c>
      <c r="BD825" s="42" t="b">
        <f t="shared" si="965"/>
        <v>0</v>
      </c>
      <c r="BE825" s="70">
        <f t="shared" si="966"/>
        <v>0</v>
      </c>
      <c r="BF825" s="70">
        <f t="shared" si="967"/>
        <v>0</v>
      </c>
      <c r="BG825" s="34"/>
      <c r="BI825" s="47" t="b">
        <f t="shared" si="968"/>
        <v>1</v>
      </c>
      <c r="BJ825" s="47" t="b">
        <f t="shared" si="969"/>
        <v>1</v>
      </c>
      <c r="BK825" s="42" t="b">
        <f t="shared" si="970"/>
        <v>0</v>
      </c>
      <c r="BL825" s="42" t="b">
        <f t="shared" si="971"/>
        <v>0</v>
      </c>
      <c r="BM825" s="42">
        <f t="shared" si="972"/>
        <v>0</v>
      </c>
      <c r="BN825" s="42">
        <f t="shared" si="973"/>
        <v>0</v>
      </c>
      <c r="BP825" t="e">
        <f t="shared" si="974"/>
        <v>#N/A</v>
      </c>
      <c r="BQ825" t="e">
        <f t="shared" si="975"/>
        <v>#N/A</v>
      </c>
      <c r="BR825" t="e">
        <f t="shared" si="976"/>
        <v>#N/A</v>
      </c>
      <c r="BT825" s="60">
        <f t="shared" si="977"/>
        <v>0</v>
      </c>
      <c r="BU825" s="60">
        <f t="shared" si="978"/>
        <v>0</v>
      </c>
      <c r="BV825" s="60">
        <f t="shared" si="979"/>
        <v>0</v>
      </c>
      <c r="BW825" s="60">
        <f t="shared" si="980"/>
        <v>0</v>
      </c>
      <c r="BX825" s="60">
        <f t="shared" si="981"/>
        <v>0</v>
      </c>
      <c r="BY825" s="60">
        <f t="shared" si="982"/>
        <v>0</v>
      </c>
      <c r="BZ825" s="60">
        <f t="shared" si="983"/>
        <v>0</v>
      </c>
      <c r="CA825" s="60">
        <f t="shared" si="984"/>
        <v>0</v>
      </c>
      <c r="CB825" s="60" t="e">
        <f t="shared" si="934"/>
        <v>#N/A</v>
      </c>
      <c r="CC825" s="60">
        <f t="shared" si="935"/>
        <v>100000</v>
      </c>
      <c r="CD825" s="60" t="e">
        <f t="shared" si="936"/>
        <v>#N/A</v>
      </c>
      <c r="CE825" s="60">
        <f t="shared" si="937"/>
        <v>100000</v>
      </c>
      <c r="CF825" s="83" t="e">
        <f t="shared" si="985"/>
        <v>#N/A</v>
      </c>
      <c r="CG825" s="83">
        <f t="shared" si="986"/>
        <v>0</v>
      </c>
      <c r="CH825" s="83" t="e">
        <f t="shared" si="987"/>
        <v>#N/A</v>
      </c>
      <c r="CI825" s="83">
        <f t="shared" si="988"/>
        <v>0</v>
      </c>
      <c r="CJ825" s="86" t="e">
        <f t="shared" si="938"/>
        <v>#N/A</v>
      </c>
      <c r="CK825" s="82">
        <f t="shared" si="939"/>
        <v>5.3070370403969858E-3</v>
      </c>
      <c r="CL825" s="82" t="e">
        <f t="shared" si="940"/>
        <v>#N/A</v>
      </c>
      <c r="CM825" s="82">
        <f t="shared" si="941"/>
        <v>5.3070370403969858E-3</v>
      </c>
      <c r="CO825" s="149" t="str">
        <f>IF($I825&lt;&gt;"",IF(O825="User Specified",U825,INDEX('Refrigerant GWPs'!$G$2:$G$156,MATCH(O825,'Refrigerant GWPs'!$A$2:$A$156,0))),"")</f>
        <v/>
      </c>
      <c r="CP825" s="138" t="str">
        <f>IF($I825&lt;&gt;"",INDEX('Device Refrigerant Leakage'!$E$2:$E$42,MATCH($M825,'Device Refrigerant Leakage'!$B$2:$B$42,0)),"")</f>
        <v/>
      </c>
      <c r="CQ825" s="138" t="str">
        <f>IF($I825&lt;&gt;"",INDEX('Device Refrigerant Leakage'!$F$2:$F$42,MATCH($M825,'Device Refrigerant Leakage'!$B$2:$B$42,0)),"")</f>
        <v/>
      </c>
      <c r="CR825" s="145" t="str">
        <f>IF($I825&lt;&gt;"",INDEX('Device Refrigerant Leakage'!$G$2:$G$42,MATCH($M825,'Device Refrigerant Leakage'!$B$2:$B$42,0)),"")</f>
        <v/>
      </c>
      <c r="CS825" s="145" t="str">
        <f>IF($I825&lt;&gt;"",INDEX('Device Refrigerant Leakage'!$D$2:$D$42,MATCH($M825,'Device Refrigerant Leakage'!$B$2:$B$42,0))*CP825/2204.62*CO825,"")</f>
        <v/>
      </c>
      <c r="CT825" s="145" t="str">
        <f>IF($I825&lt;&gt;"",J825*(INDEX('Device Refrigerant Leakage'!$D$2:$D$42,MATCH($M825,'Device Refrigerant Leakage'!$B$2:$B$42,0))-(INDEX('Device Refrigerant Leakage'!$D$2:$D$42,MATCH($M825,'Device Refrigerant Leakage'!$B$2:$B$42,0)))*CR825*CP825)*CQ825/2204.62*CO825,"")</f>
        <v/>
      </c>
      <c r="CU825" s="135" t="str">
        <f>IF($I825&lt;&gt;"",J825*IF(W825&lt;&gt;"AR",(CS825*K825)+CT825,(CS825*AB825)+CT825*(AB825/INDEX('Device Refrigerant Leakage'!$C$2:$C$42,MATCH($M825,'Device Refrigerant Leakage'!$B$2:$B$42,0)))),"")</f>
        <v/>
      </c>
      <c r="CW825" s="135" t="str">
        <f>IF($I825&lt;&gt;"",IF(S825="User Specified",V825,INDEX('Refrigerant GWPs'!$G$2:$G$156,MATCH(S825,'Refrigerant GWPs'!$A$2:$A$157,0))),"")</f>
        <v/>
      </c>
      <c r="CX825" s="138" t="str">
        <f>IF($I825&lt;&gt;"",INDEX('Device Refrigerant Leakage'!$E$2:$E$42,MATCH($Q825,'Device Refrigerant Leakage'!$B$2:$B$42,0)),"")</f>
        <v/>
      </c>
      <c r="CY825" s="138" t="str">
        <f>IF($I825&lt;&gt;"",INDEX('Device Refrigerant Leakage'!$F$2:$F$42,MATCH($Q825,'Device Refrigerant Leakage'!$B$2:$B$42,0)),"")</f>
        <v/>
      </c>
      <c r="CZ825" s="145" t="str">
        <f>IF($I825&lt;&gt;"",INDEX('Device Refrigerant Leakage'!$G$2:$G$42,MATCH($Q825,'Device Refrigerant Leakage'!$B$2:$B$42,0)),"")</f>
        <v/>
      </c>
      <c r="DA825" s="145" t="str">
        <f>IF($I825&lt;&gt;"",J825*INDEX('Device Refrigerant Leakage'!$D$2:$D$42,MATCH($Q825,'Device Refrigerant Leakage'!$B$2:$B$42,0))*CX825/2204.62*CW825,"")</f>
        <v/>
      </c>
      <c r="DB825" s="145" t="str">
        <f>IF($I825&lt;&gt;"",J825*(INDEX('Device Refrigerant Leakage'!$D$2:$D$42,MATCH($Q825,'Device Refrigerant Leakage'!$B$2:$B$42,0))-(INDEX('Device Refrigerant Leakage'!$D$2:$D$42,MATCH($Q825,'Device Refrigerant Leakage'!$B$2:$B$42,0)))*CZ825*CX825)*CY825/2204.62*CW825,"")</f>
        <v/>
      </c>
      <c r="DC825" s="135" t="str">
        <f t="shared" si="960"/>
        <v/>
      </c>
      <c r="DE825" s="146" t="str">
        <f>IF(W825&lt;&gt;"AR","",IF(Y825="User Specified", AA825, INDEX('Refrigerant GWPs'!$G$2:$G$154,MATCH(Y825,'Refrigerant GWPs'!$A$2:$A$154,0))))</f>
        <v/>
      </c>
      <c r="DF825" s="146" t="str">
        <f>IF(W825&lt;&gt;"AR","",INDEX('Device Refrigerant Leakage'!$E$2:$E$42,MATCH(X825,'Device Refrigerant Leakage'!$B$2:$B$42,0)))</f>
        <v/>
      </c>
      <c r="DG825" s="146" t="str">
        <f>IF(W825&lt;&gt;"AR","",INDEX('Device Refrigerant Leakage'!$F$2:$F$42,MATCH(X825,'Device Refrigerant Leakage'!$B$2:$B$42,0)))</f>
        <v/>
      </c>
      <c r="DH825" s="146" t="str">
        <f>IF(W825&lt;&gt;"AR","",INDEX('Device Refrigerant Leakage'!$G$2:$G$42,MATCH(X825,'Device Refrigerant Leakage'!$B$2:$B$42,0)))</f>
        <v/>
      </c>
      <c r="DI825" s="146" t="str">
        <f>IF(W825&lt;&gt;"AR","",J825*INDEX('Device Refrigerant Leakage'!$D$2:$D$42,MATCH(X825,'Device Refrigerant Leakage'!$B$2:$B$42,0))*DF825/2204.62*DE825)</f>
        <v/>
      </c>
      <c r="DJ825" s="146" t="str">
        <f>IF(W825&lt;&gt;"AR","",J825*(INDEX('Device Refrigerant Leakage'!$D$2:$D$42,MATCH(X825,'Device Refrigerant Leakage'!$B$2:$B$42,0))-(INDEX('Device Refrigerant Leakage'!$D$2:$D$42,MATCH(X825,'Device Refrigerant Leakage'!$B$2:$B$42,0)))*DH825*DF825)*DG825/2204.62*DE825)</f>
        <v/>
      </c>
      <c r="DK825" s="146" t="str">
        <f>IF(W825&lt;&gt;"AR","",DI825*(K825-AB825)+'Fuel Sub Calcs-Deemed'!DJ825*((K825-AB825)/INDEX('Device Refrigerant Leakage'!$C$2:$C$42,MATCH('Fuel Sub Calcs-Deemed'!X825,'Device Refrigerant Leakage'!$B$2:$B$42,0))))</f>
        <v/>
      </c>
      <c r="DM825" s="56">
        <v>811</v>
      </c>
      <c r="DN825" s="67" t="e">
        <f t="shared" si="942"/>
        <v>#N/A</v>
      </c>
      <c r="DO825" s="45" t="e">
        <f t="shared" si="943"/>
        <v>#N/A</v>
      </c>
      <c r="DP825" s="67" t="e">
        <f t="shared" si="944"/>
        <v>#N/A</v>
      </c>
      <c r="DQ825" s="45" t="e">
        <f t="shared" si="945"/>
        <v>#N/A</v>
      </c>
      <c r="DR825" s="69" t="e">
        <f t="shared" si="946"/>
        <v>#N/A</v>
      </c>
      <c r="DS825" s="34"/>
      <c r="DT825" s="67" t="e">
        <f>((BX825*CJ825)+IF($W825=MAT_AR,(BZ825*CL825),0))*(1+Reference!$E$50+Reference!$E$51)</f>
        <v>#N/A</v>
      </c>
      <c r="DU825" s="67">
        <f>((BY825*CK825)+IF($W825=MAT_AR,(CA825*CM825),0))*(1+Reference!$G$50+Reference!$G$51)</f>
        <v>0</v>
      </c>
      <c r="DV825" s="67" t="e">
        <f t="shared" si="947"/>
        <v>#VALUE!</v>
      </c>
      <c r="DX825" s="56">
        <v>811</v>
      </c>
      <c r="DY825" s="67">
        <f t="shared" si="948"/>
        <v>0</v>
      </c>
      <c r="DZ825" s="45" t="e">
        <f>VLOOKUP($R825,Dropdown!$C$3:$D$4,2,FALSE)</f>
        <v>#N/A</v>
      </c>
      <c r="EA825" s="68">
        <f t="shared" si="949"/>
        <v>0</v>
      </c>
      <c r="EB825" s="68" t="str">
        <f t="shared" si="950"/>
        <v>N/A</v>
      </c>
      <c r="EC825" s="68">
        <f t="shared" si="951"/>
        <v>0</v>
      </c>
      <c r="ED825" s="68" t="str">
        <f t="shared" si="989"/>
        <v>N/A</v>
      </c>
      <c r="EF825" s="56">
        <v>811</v>
      </c>
      <c r="EG825" s="46">
        <f t="shared" si="952"/>
        <v>0</v>
      </c>
      <c r="EH825" s="68" t="e">
        <f t="shared" si="953"/>
        <v>#N/A</v>
      </c>
      <c r="EI825" s="68" t="e">
        <f t="shared" si="954"/>
        <v>#N/A</v>
      </c>
      <c r="EJ825" s="68" t="e">
        <f t="shared" si="955"/>
        <v>#N/A</v>
      </c>
      <c r="EK825" s="68" t="e">
        <f t="shared" si="956"/>
        <v>#N/A</v>
      </c>
      <c r="EL825" s="46">
        <f t="shared" si="957"/>
        <v>0</v>
      </c>
      <c r="EM825" s="46">
        <f t="shared" si="958"/>
        <v>0</v>
      </c>
    </row>
    <row r="826" spans="1:143">
      <c r="A826" s="89"/>
      <c r="B826" s="89"/>
      <c r="C826" s="89"/>
      <c r="D826" s="89"/>
      <c r="E826" s="89"/>
      <c r="F826" s="89"/>
      <c r="G826" s="34"/>
      <c r="H826" s="56">
        <f t="shared" si="959"/>
        <v>812</v>
      </c>
      <c r="I826" s="165"/>
      <c r="J826" s="163"/>
      <c r="K826" s="163"/>
      <c r="L826" s="164"/>
      <c r="M826" s="155"/>
      <c r="N826" s="155"/>
      <c r="O826" s="144"/>
      <c r="P826" s="159" t="str">
        <f>IFERROR(IF(O826&lt;&gt;"User Specified",IF(O826&lt;&gt;"", INDEX('Refrigerant GWPs'!$G$2:$G$154,MATCH(O826,'Refrigerant GWPs'!$A$2:$A$154,0)),""),U826),0)</f>
        <v/>
      </c>
      <c r="Q826" s="155"/>
      <c r="R826" s="155"/>
      <c r="S826" s="144"/>
      <c r="T826" s="159" t="str">
        <f>IF(S826&lt;&gt;"User Specified",IF(AND(S826&lt;&gt;"User Specified",S826&lt;&gt;""), INDEX('Refrigerant GWPs'!$G$2:$G$154,MATCH(S826,'Refrigerant GWPs'!$A$2:$A$154,0)),""),V826)</f>
        <v/>
      </c>
      <c r="U826" s="144"/>
      <c r="V826" s="144"/>
      <c r="W826" s="155"/>
      <c r="X826" s="155"/>
      <c r="Y826" s="144"/>
      <c r="Z826" s="159" t="str">
        <f>IF(AND(Y826&lt;&gt;"User Specified",Y826&lt;&gt;""), INDEX('Refrigerant GWPs'!$G$2:$G$154,MATCH(Y826,'Refrigerant GWPs'!$A$2:$A$154,0)),"")</f>
        <v/>
      </c>
      <c r="AA826" s="155"/>
      <c r="AB826" s="156"/>
      <c r="AC826" s="66"/>
      <c r="AD826" s="66"/>
      <c r="AE826" s="66"/>
      <c r="AF826" s="66"/>
      <c r="AG826" s="66"/>
      <c r="AH826" s="66"/>
      <c r="AI826" s="34"/>
      <c r="AJ826" s="88">
        <f t="shared" si="922"/>
        <v>0</v>
      </c>
      <c r="AK826" s="88">
        <f t="shared" si="923"/>
        <v>0</v>
      </c>
      <c r="AL826" s="88">
        <v>0</v>
      </c>
      <c r="AM826" s="88">
        <v>0</v>
      </c>
      <c r="AN826" s="81" t="str">
        <f t="shared" si="961"/>
        <v/>
      </c>
      <c r="AO826" s="88">
        <f t="shared" si="924"/>
        <v>0</v>
      </c>
      <c r="AP826" s="88">
        <f t="shared" si="925"/>
        <v>0</v>
      </c>
      <c r="AQ826" s="81" t="str">
        <f t="shared" si="926"/>
        <v/>
      </c>
      <c r="AS826" s="41" t="b">
        <f t="shared" si="927"/>
        <v>1</v>
      </c>
      <c r="AT826" s="38">
        <f t="shared" si="928"/>
        <v>0</v>
      </c>
      <c r="AU826" s="60">
        <f t="shared" si="929"/>
        <v>0</v>
      </c>
      <c r="AV826" s="41">
        <f t="shared" si="930"/>
        <v>0</v>
      </c>
      <c r="AW826" s="41" t="b">
        <f t="shared" si="931"/>
        <v>0</v>
      </c>
      <c r="AX826" t="str">
        <f t="shared" si="932"/>
        <v>+00</v>
      </c>
      <c r="AY826" t="str">
        <f t="shared" si="933"/>
        <v>+00</v>
      </c>
      <c r="BA826" s="47" t="b">
        <f t="shared" si="962"/>
        <v>1</v>
      </c>
      <c r="BB826" s="42" t="b">
        <f t="shared" si="963"/>
        <v>1</v>
      </c>
      <c r="BC826" s="42" t="b">
        <f t="shared" si="964"/>
        <v>0</v>
      </c>
      <c r="BD826" s="42" t="b">
        <f t="shared" si="965"/>
        <v>0</v>
      </c>
      <c r="BE826" s="70">
        <f t="shared" si="966"/>
        <v>0</v>
      </c>
      <c r="BF826" s="70">
        <f t="shared" si="967"/>
        <v>0</v>
      </c>
      <c r="BG826" s="34"/>
      <c r="BI826" s="47" t="b">
        <f t="shared" si="968"/>
        <v>1</v>
      </c>
      <c r="BJ826" s="47" t="b">
        <f t="shared" si="969"/>
        <v>1</v>
      </c>
      <c r="BK826" s="42" t="b">
        <f t="shared" si="970"/>
        <v>0</v>
      </c>
      <c r="BL826" s="42" t="b">
        <f t="shared" si="971"/>
        <v>0</v>
      </c>
      <c r="BM826" s="42">
        <f t="shared" si="972"/>
        <v>0</v>
      </c>
      <c r="BN826" s="42">
        <f t="shared" si="973"/>
        <v>0</v>
      </c>
      <c r="BP826" t="e">
        <f t="shared" si="974"/>
        <v>#N/A</v>
      </c>
      <c r="BQ826" t="e">
        <f t="shared" si="975"/>
        <v>#N/A</v>
      </c>
      <c r="BR826" t="e">
        <f t="shared" si="976"/>
        <v>#N/A</v>
      </c>
      <c r="BT826" s="60">
        <f t="shared" si="977"/>
        <v>0</v>
      </c>
      <c r="BU826" s="60">
        <f t="shared" si="978"/>
        <v>0</v>
      </c>
      <c r="BV826" s="60">
        <f t="shared" si="979"/>
        <v>0</v>
      </c>
      <c r="BW826" s="60">
        <f t="shared" si="980"/>
        <v>0</v>
      </c>
      <c r="BX826" s="60">
        <f t="shared" si="981"/>
        <v>0</v>
      </c>
      <c r="BY826" s="60">
        <f t="shared" si="982"/>
        <v>0</v>
      </c>
      <c r="BZ826" s="60">
        <f t="shared" si="983"/>
        <v>0</v>
      </c>
      <c r="CA826" s="60">
        <f t="shared" si="984"/>
        <v>0</v>
      </c>
      <c r="CB826" s="60" t="e">
        <f t="shared" si="934"/>
        <v>#N/A</v>
      </c>
      <c r="CC826" s="60">
        <f t="shared" si="935"/>
        <v>100000</v>
      </c>
      <c r="CD826" s="60" t="e">
        <f t="shared" si="936"/>
        <v>#N/A</v>
      </c>
      <c r="CE826" s="60">
        <f t="shared" si="937"/>
        <v>100000</v>
      </c>
      <c r="CF826" s="83" t="e">
        <f t="shared" si="985"/>
        <v>#N/A</v>
      </c>
      <c r="CG826" s="83">
        <f t="shared" si="986"/>
        <v>0</v>
      </c>
      <c r="CH826" s="83" t="e">
        <f t="shared" si="987"/>
        <v>#N/A</v>
      </c>
      <c r="CI826" s="83">
        <f t="shared" si="988"/>
        <v>0</v>
      </c>
      <c r="CJ826" s="86" t="e">
        <f t="shared" si="938"/>
        <v>#N/A</v>
      </c>
      <c r="CK826" s="82">
        <f t="shared" si="939"/>
        <v>5.3070370403969858E-3</v>
      </c>
      <c r="CL826" s="82" t="e">
        <f t="shared" si="940"/>
        <v>#N/A</v>
      </c>
      <c r="CM826" s="82">
        <f t="shared" si="941"/>
        <v>5.3070370403969858E-3</v>
      </c>
      <c r="CO826" s="149" t="str">
        <f>IF($I826&lt;&gt;"",IF(O826="User Specified",U826,INDEX('Refrigerant GWPs'!$G$2:$G$156,MATCH(O826,'Refrigerant GWPs'!$A$2:$A$156,0))),"")</f>
        <v/>
      </c>
      <c r="CP826" s="138" t="str">
        <f>IF($I826&lt;&gt;"",INDEX('Device Refrigerant Leakage'!$E$2:$E$42,MATCH($M826,'Device Refrigerant Leakage'!$B$2:$B$42,0)),"")</f>
        <v/>
      </c>
      <c r="CQ826" s="138" t="str">
        <f>IF($I826&lt;&gt;"",INDEX('Device Refrigerant Leakage'!$F$2:$F$42,MATCH($M826,'Device Refrigerant Leakage'!$B$2:$B$42,0)),"")</f>
        <v/>
      </c>
      <c r="CR826" s="145" t="str">
        <f>IF($I826&lt;&gt;"",INDEX('Device Refrigerant Leakage'!$G$2:$G$42,MATCH($M826,'Device Refrigerant Leakage'!$B$2:$B$42,0)),"")</f>
        <v/>
      </c>
      <c r="CS826" s="145" t="str">
        <f>IF($I826&lt;&gt;"",INDEX('Device Refrigerant Leakage'!$D$2:$D$42,MATCH($M826,'Device Refrigerant Leakage'!$B$2:$B$42,0))*CP826/2204.62*CO826,"")</f>
        <v/>
      </c>
      <c r="CT826" s="145" t="str">
        <f>IF($I826&lt;&gt;"",J826*(INDEX('Device Refrigerant Leakage'!$D$2:$D$42,MATCH($M826,'Device Refrigerant Leakage'!$B$2:$B$42,0))-(INDEX('Device Refrigerant Leakage'!$D$2:$D$42,MATCH($M826,'Device Refrigerant Leakage'!$B$2:$B$42,0)))*CR826*CP826)*CQ826/2204.62*CO826,"")</f>
        <v/>
      </c>
      <c r="CU826" s="135" t="str">
        <f>IF($I826&lt;&gt;"",J826*IF(W826&lt;&gt;"AR",(CS826*K826)+CT826,(CS826*AB826)+CT826*(AB826/INDEX('Device Refrigerant Leakage'!$C$2:$C$42,MATCH($M826,'Device Refrigerant Leakage'!$B$2:$B$42,0)))),"")</f>
        <v/>
      </c>
      <c r="CW826" s="135" t="str">
        <f>IF($I826&lt;&gt;"",IF(S826="User Specified",V826,INDEX('Refrigerant GWPs'!$G$2:$G$156,MATCH(S826,'Refrigerant GWPs'!$A$2:$A$157,0))),"")</f>
        <v/>
      </c>
      <c r="CX826" s="138" t="str">
        <f>IF($I826&lt;&gt;"",INDEX('Device Refrigerant Leakage'!$E$2:$E$42,MATCH($Q826,'Device Refrigerant Leakage'!$B$2:$B$42,0)),"")</f>
        <v/>
      </c>
      <c r="CY826" s="138" t="str">
        <f>IF($I826&lt;&gt;"",INDEX('Device Refrigerant Leakage'!$F$2:$F$42,MATCH($Q826,'Device Refrigerant Leakage'!$B$2:$B$42,0)),"")</f>
        <v/>
      </c>
      <c r="CZ826" s="145" t="str">
        <f>IF($I826&lt;&gt;"",INDEX('Device Refrigerant Leakage'!$G$2:$G$42,MATCH($Q826,'Device Refrigerant Leakage'!$B$2:$B$42,0)),"")</f>
        <v/>
      </c>
      <c r="DA826" s="145" t="str">
        <f>IF($I826&lt;&gt;"",J826*INDEX('Device Refrigerant Leakage'!$D$2:$D$42,MATCH($Q826,'Device Refrigerant Leakage'!$B$2:$B$42,0))*CX826/2204.62*CW826,"")</f>
        <v/>
      </c>
      <c r="DB826" s="145" t="str">
        <f>IF($I826&lt;&gt;"",J826*(INDEX('Device Refrigerant Leakage'!$D$2:$D$42,MATCH($Q826,'Device Refrigerant Leakage'!$B$2:$B$42,0))-(INDEX('Device Refrigerant Leakage'!$D$2:$D$42,MATCH($Q826,'Device Refrigerant Leakage'!$B$2:$B$42,0)))*CZ826*CX826)*CY826/2204.62*CW826,"")</f>
        <v/>
      </c>
      <c r="DC826" s="135" t="str">
        <f t="shared" si="960"/>
        <v/>
      </c>
      <c r="DE826" s="146" t="str">
        <f>IF(W826&lt;&gt;"AR","",IF(Y826="User Specified", AA826, INDEX('Refrigerant GWPs'!$G$2:$G$154,MATCH(Y826,'Refrigerant GWPs'!$A$2:$A$154,0))))</f>
        <v/>
      </c>
      <c r="DF826" s="146" t="str">
        <f>IF(W826&lt;&gt;"AR","",INDEX('Device Refrigerant Leakage'!$E$2:$E$42,MATCH(X826,'Device Refrigerant Leakage'!$B$2:$B$42,0)))</f>
        <v/>
      </c>
      <c r="DG826" s="146" t="str">
        <f>IF(W826&lt;&gt;"AR","",INDEX('Device Refrigerant Leakage'!$F$2:$F$42,MATCH(X826,'Device Refrigerant Leakage'!$B$2:$B$42,0)))</f>
        <v/>
      </c>
      <c r="DH826" s="146" t="str">
        <f>IF(W826&lt;&gt;"AR","",INDEX('Device Refrigerant Leakage'!$G$2:$G$42,MATCH(X826,'Device Refrigerant Leakage'!$B$2:$B$42,0)))</f>
        <v/>
      </c>
      <c r="DI826" s="146" t="str">
        <f>IF(W826&lt;&gt;"AR","",J826*INDEX('Device Refrigerant Leakage'!$D$2:$D$42,MATCH(X826,'Device Refrigerant Leakage'!$B$2:$B$42,0))*DF826/2204.62*DE826)</f>
        <v/>
      </c>
      <c r="DJ826" s="146" t="str">
        <f>IF(W826&lt;&gt;"AR","",J826*(INDEX('Device Refrigerant Leakage'!$D$2:$D$42,MATCH(X826,'Device Refrigerant Leakage'!$B$2:$B$42,0))-(INDEX('Device Refrigerant Leakage'!$D$2:$D$42,MATCH(X826,'Device Refrigerant Leakage'!$B$2:$B$42,0)))*DH826*DF826)*DG826/2204.62*DE826)</f>
        <v/>
      </c>
      <c r="DK826" s="146" t="str">
        <f>IF(W826&lt;&gt;"AR","",DI826*(K826-AB826)+'Fuel Sub Calcs-Deemed'!DJ826*((K826-AB826)/INDEX('Device Refrigerant Leakage'!$C$2:$C$42,MATCH('Fuel Sub Calcs-Deemed'!X826,'Device Refrigerant Leakage'!$B$2:$B$42,0))))</f>
        <v/>
      </c>
      <c r="DM826" s="56">
        <v>812</v>
      </c>
      <c r="DN826" s="67" t="e">
        <f t="shared" si="942"/>
        <v>#N/A</v>
      </c>
      <c r="DO826" s="45" t="e">
        <f t="shared" si="943"/>
        <v>#N/A</v>
      </c>
      <c r="DP826" s="67" t="e">
        <f t="shared" si="944"/>
        <v>#N/A</v>
      </c>
      <c r="DQ826" s="45" t="e">
        <f t="shared" si="945"/>
        <v>#N/A</v>
      </c>
      <c r="DR826" s="69" t="e">
        <f t="shared" si="946"/>
        <v>#N/A</v>
      </c>
      <c r="DS826" s="34"/>
      <c r="DT826" s="67" t="e">
        <f>((BX826*CJ826)+IF($W826=MAT_AR,(BZ826*CL826),0))*(1+Reference!$E$50+Reference!$E$51)</f>
        <v>#N/A</v>
      </c>
      <c r="DU826" s="67">
        <f>((BY826*CK826)+IF($W826=MAT_AR,(CA826*CM826),0))*(1+Reference!$G$50+Reference!$G$51)</f>
        <v>0</v>
      </c>
      <c r="DV826" s="67" t="e">
        <f t="shared" si="947"/>
        <v>#VALUE!</v>
      </c>
      <c r="DX826" s="56">
        <v>812</v>
      </c>
      <c r="DY826" s="67">
        <f t="shared" si="948"/>
        <v>0</v>
      </c>
      <c r="DZ826" s="45" t="e">
        <f>VLOOKUP($R826,Dropdown!$C$3:$D$4,2,FALSE)</f>
        <v>#N/A</v>
      </c>
      <c r="EA826" s="68">
        <f t="shared" si="949"/>
        <v>0</v>
      </c>
      <c r="EB826" s="68" t="str">
        <f t="shared" si="950"/>
        <v>N/A</v>
      </c>
      <c r="EC826" s="68">
        <f t="shared" si="951"/>
        <v>0</v>
      </c>
      <c r="ED826" s="68" t="str">
        <f t="shared" si="989"/>
        <v>N/A</v>
      </c>
      <c r="EF826" s="56">
        <v>812</v>
      </c>
      <c r="EG826" s="46">
        <f t="shared" si="952"/>
        <v>0</v>
      </c>
      <c r="EH826" s="68" t="e">
        <f t="shared" si="953"/>
        <v>#N/A</v>
      </c>
      <c r="EI826" s="68" t="e">
        <f t="shared" si="954"/>
        <v>#N/A</v>
      </c>
      <c r="EJ826" s="68" t="e">
        <f t="shared" si="955"/>
        <v>#N/A</v>
      </c>
      <c r="EK826" s="68" t="e">
        <f t="shared" si="956"/>
        <v>#N/A</v>
      </c>
      <c r="EL826" s="46">
        <f t="shared" si="957"/>
        <v>0</v>
      </c>
      <c r="EM826" s="46">
        <f t="shared" si="958"/>
        <v>0</v>
      </c>
    </row>
    <row r="827" spans="1:143">
      <c r="A827" s="89"/>
      <c r="B827" s="89"/>
      <c r="C827" s="89"/>
      <c r="D827" s="89"/>
      <c r="E827" s="89"/>
      <c r="F827" s="89"/>
      <c r="G827" s="34"/>
      <c r="H827" s="56">
        <f t="shared" si="959"/>
        <v>813</v>
      </c>
      <c r="I827" s="165"/>
      <c r="J827" s="163"/>
      <c r="K827" s="163"/>
      <c r="L827" s="164"/>
      <c r="M827" s="155"/>
      <c r="N827" s="155"/>
      <c r="O827" s="144"/>
      <c r="P827" s="159" t="str">
        <f>IFERROR(IF(O827&lt;&gt;"User Specified",IF(O827&lt;&gt;"", INDEX('Refrigerant GWPs'!$G$2:$G$154,MATCH(O827,'Refrigerant GWPs'!$A$2:$A$154,0)),""),U827),0)</f>
        <v/>
      </c>
      <c r="Q827" s="155"/>
      <c r="R827" s="155"/>
      <c r="S827" s="144"/>
      <c r="T827" s="159" t="str">
        <f>IF(S827&lt;&gt;"User Specified",IF(AND(S827&lt;&gt;"User Specified",S827&lt;&gt;""), INDEX('Refrigerant GWPs'!$G$2:$G$154,MATCH(S827,'Refrigerant GWPs'!$A$2:$A$154,0)),""),V827)</f>
        <v/>
      </c>
      <c r="U827" s="144"/>
      <c r="V827" s="144"/>
      <c r="W827" s="155"/>
      <c r="X827" s="155"/>
      <c r="Y827" s="144"/>
      <c r="Z827" s="159" t="str">
        <f>IF(AND(Y827&lt;&gt;"User Specified",Y827&lt;&gt;""), INDEX('Refrigerant GWPs'!$G$2:$G$154,MATCH(Y827,'Refrigerant GWPs'!$A$2:$A$154,0)),"")</f>
        <v/>
      </c>
      <c r="AA827" s="155"/>
      <c r="AB827" s="156"/>
      <c r="AC827" s="66"/>
      <c r="AD827" s="66"/>
      <c r="AE827" s="66"/>
      <c r="AF827" s="66"/>
      <c r="AG827" s="66"/>
      <c r="AH827" s="66"/>
      <c r="AI827" s="34"/>
      <c r="AJ827" s="88">
        <f t="shared" si="922"/>
        <v>0</v>
      </c>
      <c r="AK827" s="88">
        <f t="shared" si="923"/>
        <v>0</v>
      </c>
      <c r="AL827" s="88">
        <v>0</v>
      </c>
      <c r="AM827" s="88">
        <v>0</v>
      </c>
      <c r="AN827" s="81" t="str">
        <f t="shared" si="961"/>
        <v/>
      </c>
      <c r="AO827" s="88">
        <f t="shared" si="924"/>
        <v>0</v>
      </c>
      <c r="AP827" s="88">
        <f t="shared" si="925"/>
        <v>0</v>
      </c>
      <c r="AQ827" s="81" t="str">
        <f t="shared" si="926"/>
        <v/>
      </c>
      <c r="AS827" s="41" t="b">
        <f t="shared" si="927"/>
        <v>1</v>
      </c>
      <c r="AT827" s="38">
        <f t="shared" si="928"/>
        <v>0</v>
      </c>
      <c r="AU827" s="60">
        <f t="shared" si="929"/>
        <v>0</v>
      </c>
      <c r="AV827" s="41">
        <f t="shared" si="930"/>
        <v>0</v>
      </c>
      <c r="AW827" s="41" t="b">
        <f t="shared" si="931"/>
        <v>0</v>
      </c>
      <c r="AX827" t="str">
        <f t="shared" si="932"/>
        <v>+00</v>
      </c>
      <c r="AY827" t="str">
        <f t="shared" si="933"/>
        <v>+00</v>
      </c>
      <c r="BA827" s="47" t="b">
        <f t="shared" si="962"/>
        <v>1</v>
      </c>
      <c r="BB827" s="42" t="b">
        <f t="shared" si="963"/>
        <v>1</v>
      </c>
      <c r="BC827" s="42" t="b">
        <f t="shared" si="964"/>
        <v>0</v>
      </c>
      <c r="BD827" s="42" t="b">
        <f t="shared" si="965"/>
        <v>0</v>
      </c>
      <c r="BE827" s="70">
        <f t="shared" si="966"/>
        <v>0</v>
      </c>
      <c r="BF827" s="70">
        <f t="shared" si="967"/>
        <v>0</v>
      </c>
      <c r="BG827" s="34"/>
      <c r="BI827" s="47" t="b">
        <f t="shared" si="968"/>
        <v>1</v>
      </c>
      <c r="BJ827" s="47" t="b">
        <f t="shared" si="969"/>
        <v>1</v>
      </c>
      <c r="BK827" s="42" t="b">
        <f t="shared" si="970"/>
        <v>0</v>
      </c>
      <c r="BL827" s="42" t="b">
        <f t="shared" si="971"/>
        <v>0</v>
      </c>
      <c r="BM827" s="42">
        <f t="shared" si="972"/>
        <v>0</v>
      </c>
      <c r="BN827" s="42">
        <f t="shared" si="973"/>
        <v>0</v>
      </c>
      <c r="BP827" t="e">
        <f t="shared" si="974"/>
        <v>#N/A</v>
      </c>
      <c r="BQ827" t="e">
        <f t="shared" si="975"/>
        <v>#N/A</v>
      </c>
      <c r="BR827" t="e">
        <f t="shared" si="976"/>
        <v>#N/A</v>
      </c>
      <c r="BT827" s="60">
        <f t="shared" si="977"/>
        <v>0</v>
      </c>
      <c r="BU827" s="60">
        <f t="shared" si="978"/>
        <v>0</v>
      </c>
      <c r="BV827" s="60">
        <f t="shared" si="979"/>
        <v>0</v>
      </c>
      <c r="BW827" s="60">
        <f t="shared" si="980"/>
        <v>0</v>
      </c>
      <c r="BX827" s="60">
        <f t="shared" si="981"/>
        <v>0</v>
      </c>
      <c r="BY827" s="60">
        <f t="shared" si="982"/>
        <v>0</v>
      </c>
      <c r="BZ827" s="60">
        <f t="shared" si="983"/>
        <v>0</v>
      </c>
      <c r="CA827" s="60">
        <f t="shared" si="984"/>
        <v>0</v>
      </c>
      <c r="CB827" s="60" t="e">
        <f t="shared" si="934"/>
        <v>#N/A</v>
      </c>
      <c r="CC827" s="60">
        <f t="shared" si="935"/>
        <v>100000</v>
      </c>
      <c r="CD827" s="60" t="e">
        <f t="shared" si="936"/>
        <v>#N/A</v>
      </c>
      <c r="CE827" s="60">
        <f t="shared" si="937"/>
        <v>100000</v>
      </c>
      <c r="CF827" s="83" t="e">
        <f t="shared" si="985"/>
        <v>#N/A</v>
      </c>
      <c r="CG827" s="83">
        <f t="shared" si="986"/>
        <v>0</v>
      </c>
      <c r="CH827" s="83" t="e">
        <f t="shared" si="987"/>
        <v>#N/A</v>
      </c>
      <c r="CI827" s="83">
        <f t="shared" si="988"/>
        <v>0</v>
      </c>
      <c r="CJ827" s="86" t="e">
        <f t="shared" si="938"/>
        <v>#N/A</v>
      </c>
      <c r="CK827" s="82">
        <f t="shared" si="939"/>
        <v>5.3070370403969858E-3</v>
      </c>
      <c r="CL827" s="82" t="e">
        <f t="shared" si="940"/>
        <v>#N/A</v>
      </c>
      <c r="CM827" s="82">
        <f t="shared" si="941"/>
        <v>5.3070370403969858E-3</v>
      </c>
      <c r="CO827" s="149" t="str">
        <f>IF($I827&lt;&gt;"",IF(O827="User Specified",U827,INDEX('Refrigerant GWPs'!$G$2:$G$156,MATCH(O827,'Refrigerant GWPs'!$A$2:$A$156,0))),"")</f>
        <v/>
      </c>
      <c r="CP827" s="138" t="str">
        <f>IF($I827&lt;&gt;"",INDEX('Device Refrigerant Leakage'!$E$2:$E$42,MATCH($M827,'Device Refrigerant Leakage'!$B$2:$B$42,0)),"")</f>
        <v/>
      </c>
      <c r="CQ827" s="138" t="str">
        <f>IF($I827&lt;&gt;"",INDEX('Device Refrigerant Leakage'!$F$2:$F$42,MATCH($M827,'Device Refrigerant Leakage'!$B$2:$B$42,0)),"")</f>
        <v/>
      </c>
      <c r="CR827" s="145" t="str">
        <f>IF($I827&lt;&gt;"",INDEX('Device Refrigerant Leakage'!$G$2:$G$42,MATCH($M827,'Device Refrigerant Leakage'!$B$2:$B$42,0)),"")</f>
        <v/>
      </c>
      <c r="CS827" s="145" t="str">
        <f>IF($I827&lt;&gt;"",INDEX('Device Refrigerant Leakage'!$D$2:$D$42,MATCH($M827,'Device Refrigerant Leakage'!$B$2:$B$42,0))*CP827/2204.62*CO827,"")</f>
        <v/>
      </c>
      <c r="CT827" s="145" t="str">
        <f>IF($I827&lt;&gt;"",J827*(INDEX('Device Refrigerant Leakage'!$D$2:$D$42,MATCH($M827,'Device Refrigerant Leakage'!$B$2:$B$42,0))-(INDEX('Device Refrigerant Leakage'!$D$2:$D$42,MATCH($M827,'Device Refrigerant Leakage'!$B$2:$B$42,0)))*CR827*CP827)*CQ827/2204.62*CO827,"")</f>
        <v/>
      </c>
      <c r="CU827" s="135" t="str">
        <f>IF($I827&lt;&gt;"",J827*IF(W827&lt;&gt;"AR",(CS827*K827)+CT827,(CS827*AB827)+CT827*(AB827/INDEX('Device Refrigerant Leakage'!$C$2:$C$42,MATCH($M827,'Device Refrigerant Leakage'!$B$2:$B$42,0)))),"")</f>
        <v/>
      </c>
      <c r="CW827" s="135" t="str">
        <f>IF($I827&lt;&gt;"",IF(S827="User Specified",V827,INDEX('Refrigerant GWPs'!$G$2:$G$156,MATCH(S827,'Refrigerant GWPs'!$A$2:$A$157,0))),"")</f>
        <v/>
      </c>
      <c r="CX827" s="138" t="str">
        <f>IF($I827&lt;&gt;"",INDEX('Device Refrigerant Leakage'!$E$2:$E$42,MATCH($Q827,'Device Refrigerant Leakage'!$B$2:$B$42,0)),"")</f>
        <v/>
      </c>
      <c r="CY827" s="138" t="str">
        <f>IF($I827&lt;&gt;"",INDEX('Device Refrigerant Leakage'!$F$2:$F$42,MATCH($Q827,'Device Refrigerant Leakage'!$B$2:$B$42,0)),"")</f>
        <v/>
      </c>
      <c r="CZ827" s="145" t="str">
        <f>IF($I827&lt;&gt;"",INDEX('Device Refrigerant Leakage'!$G$2:$G$42,MATCH($Q827,'Device Refrigerant Leakage'!$B$2:$B$42,0)),"")</f>
        <v/>
      </c>
      <c r="DA827" s="145" t="str">
        <f>IF($I827&lt;&gt;"",J827*INDEX('Device Refrigerant Leakage'!$D$2:$D$42,MATCH($Q827,'Device Refrigerant Leakage'!$B$2:$B$42,0))*CX827/2204.62*CW827,"")</f>
        <v/>
      </c>
      <c r="DB827" s="145" t="str">
        <f>IF($I827&lt;&gt;"",J827*(INDEX('Device Refrigerant Leakage'!$D$2:$D$42,MATCH($Q827,'Device Refrigerant Leakage'!$B$2:$B$42,0))-(INDEX('Device Refrigerant Leakage'!$D$2:$D$42,MATCH($Q827,'Device Refrigerant Leakage'!$B$2:$B$42,0)))*CZ827*CX827)*CY827/2204.62*CW827,"")</f>
        <v/>
      </c>
      <c r="DC827" s="135" t="str">
        <f t="shared" si="960"/>
        <v/>
      </c>
      <c r="DE827" s="146" t="str">
        <f>IF(W827&lt;&gt;"AR","",IF(Y827="User Specified", AA827, INDEX('Refrigerant GWPs'!$G$2:$G$154,MATCH(Y827,'Refrigerant GWPs'!$A$2:$A$154,0))))</f>
        <v/>
      </c>
      <c r="DF827" s="146" t="str">
        <f>IF(W827&lt;&gt;"AR","",INDEX('Device Refrigerant Leakage'!$E$2:$E$42,MATCH(X827,'Device Refrigerant Leakage'!$B$2:$B$42,0)))</f>
        <v/>
      </c>
      <c r="DG827" s="146" t="str">
        <f>IF(W827&lt;&gt;"AR","",INDEX('Device Refrigerant Leakage'!$F$2:$F$42,MATCH(X827,'Device Refrigerant Leakage'!$B$2:$B$42,0)))</f>
        <v/>
      </c>
      <c r="DH827" s="146" t="str">
        <f>IF(W827&lt;&gt;"AR","",INDEX('Device Refrigerant Leakage'!$G$2:$G$42,MATCH(X827,'Device Refrigerant Leakage'!$B$2:$B$42,0)))</f>
        <v/>
      </c>
      <c r="DI827" s="146" t="str">
        <f>IF(W827&lt;&gt;"AR","",J827*INDEX('Device Refrigerant Leakage'!$D$2:$D$42,MATCH(X827,'Device Refrigerant Leakage'!$B$2:$B$42,0))*DF827/2204.62*DE827)</f>
        <v/>
      </c>
      <c r="DJ827" s="146" t="str">
        <f>IF(W827&lt;&gt;"AR","",J827*(INDEX('Device Refrigerant Leakage'!$D$2:$D$42,MATCH(X827,'Device Refrigerant Leakage'!$B$2:$B$42,0))-(INDEX('Device Refrigerant Leakage'!$D$2:$D$42,MATCH(X827,'Device Refrigerant Leakage'!$B$2:$B$42,0)))*DH827*DF827)*DG827/2204.62*DE827)</f>
        <v/>
      </c>
      <c r="DK827" s="146" t="str">
        <f>IF(W827&lt;&gt;"AR","",DI827*(K827-AB827)+'Fuel Sub Calcs-Deemed'!DJ827*((K827-AB827)/INDEX('Device Refrigerant Leakage'!$C$2:$C$42,MATCH('Fuel Sub Calcs-Deemed'!X827,'Device Refrigerant Leakage'!$B$2:$B$42,0))))</f>
        <v/>
      </c>
      <c r="DM827" s="56">
        <v>813</v>
      </c>
      <c r="DN827" s="67" t="e">
        <f t="shared" si="942"/>
        <v>#N/A</v>
      </c>
      <c r="DO827" s="45" t="e">
        <f t="shared" si="943"/>
        <v>#N/A</v>
      </c>
      <c r="DP827" s="67" t="e">
        <f t="shared" si="944"/>
        <v>#N/A</v>
      </c>
      <c r="DQ827" s="45" t="e">
        <f t="shared" si="945"/>
        <v>#N/A</v>
      </c>
      <c r="DR827" s="69" t="e">
        <f t="shared" si="946"/>
        <v>#N/A</v>
      </c>
      <c r="DS827" s="34"/>
      <c r="DT827" s="67" t="e">
        <f>((BX827*CJ827)+IF($W827=MAT_AR,(BZ827*CL827),0))*(1+Reference!$E$50+Reference!$E$51)</f>
        <v>#N/A</v>
      </c>
      <c r="DU827" s="67">
        <f>((BY827*CK827)+IF($W827=MAT_AR,(CA827*CM827),0))*(1+Reference!$G$50+Reference!$G$51)</f>
        <v>0</v>
      </c>
      <c r="DV827" s="67" t="e">
        <f t="shared" si="947"/>
        <v>#VALUE!</v>
      </c>
      <c r="DX827" s="56">
        <v>813</v>
      </c>
      <c r="DY827" s="67">
        <f t="shared" si="948"/>
        <v>0</v>
      </c>
      <c r="DZ827" s="45" t="e">
        <f>VLOOKUP($R827,Dropdown!$C$3:$D$4,2,FALSE)</f>
        <v>#N/A</v>
      </c>
      <c r="EA827" s="68">
        <f t="shared" si="949"/>
        <v>0</v>
      </c>
      <c r="EB827" s="68" t="str">
        <f t="shared" si="950"/>
        <v>N/A</v>
      </c>
      <c r="EC827" s="68">
        <f t="shared" si="951"/>
        <v>0</v>
      </c>
      <c r="ED827" s="68" t="str">
        <f t="shared" si="989"/>
        <v>N/A</v>
      </c>
      <c r="EF827" s="56">
        <v>813</v>
      </c>
      <c r="EG827" s="46">
        <f t="shared" si="952"/>
        <v>0</v>
      </c>
      <c r="EH827" s="68" t="e">
        <f t="shared" si="953"/>
        <v>#N/A</v>
      </c>
      <c r="EI827" s="68" t="e">
        <f t="shared" si="954"/>
        <v>#N/A</v>
      </c>
      <c r="EJ827" s="68" t="e">
        <f t="shared" si="955"/>
        <v>#N/A</v>
      </c>
      <c r="EK827" s="68" t="e">
        <f t="shared" si="956"/>
        <v>#N/A</v>
      </c>
      <c r="EL827" s="46">
        <f t="shared" si="957"/>
        <v>0</v>
      </c>
      <c r="EM827" s="46">
        <f t="shared" si="958"/>
        <v>0</v>
      </c>
    </row>
    <row r="828" spans="1:143">
      <c r="A828" s="89"/>
      <c r="B828" s="89"/>
      <c r="C828" s="89"/>
      <c r="D828" s="89"/>
      <c r="E828" s="89"/>
      <c r="F828" s="89"/>
      <c r="G828" s="34"/>
      <c r="H828" s="56">
        <f t="shared" si="959"/>
        <v>814</v>
      </c>
      <c r="I828" s="165"/>
      <c r="J828" s="163"/>
      <c r="K828" s="163"/>
      <c r="L828" s="164"/>
      <c r="M828" s="155"/>
      <c r="N828" s="155"/>
      <c r="O828" s="144"/>
      <c r="P828" s="159" t="str">
        <f>IFERROR(IF(O828&lt;&gt;"User Specified",IF(O828&lt;&gt;"", INDEX('Refrigerant GWPs'!$G$2:$G$154,MATCH(O828,'Refrigerant GWPs'!$A$2:$A$154,0)),""),U828),0)</f>
        <v/>
      </c>
      <c r="Q828" s="155"/>
      <c r="R828" s="155"/>
      <c r="S828" s="144"/>
      <c r="T828" s="159" t="str">
        <f>IF(S828&lt;&gt;"User Specified",IF(AND(S828&lt;&gt;"User Specified",S828&lt;&gt;""), INDEX('Refrigerant GWPs'!$G$2:$G$154,MATCH(S828,'Refrigerant GWPs'!$A$2:$A$154,0)),""),V828)</f>
        <v/>
      </c>
      <c r="U828" s="144"/>
      <c r="V828" s="144"/>
      <c r="W828" s="155"/>
      <c r="X828" s="155"/>
      <c r="Y828" s="144"/>
      <c r="Z828" s="159" t="str">
        <f>IF(AND(Y828&lt;&gt;"User Specified",Y828&lt;&gt;""), INDEX('Refrigerant GWPs'!$G$2:$G$154,MATCH(Y828,'Refrigerant GWPs'!$A$2:$A$154,0)),"")</f>
        <v/>
      </c>
      <c r="AA828" s="155"/>
      <c r="AB828" s="156"/>
      <c r="AC828" s="66"/>
      <c r="AD828" s="66"/>
      <c r="AE828" s="66"/>
      <c r="AF828" s="66"/>
      <c r="AG828" s="66"/>
      <c r="AH828" s="66"/>
      <c r="AI828" s="34"/>
      <c r="AJ828" s="88">
        <f t="shared" si="922"/>
        <v>0</v>
      </c>
      <c r="AK828" s="88">
        <f t="shared" si="923"/>
        <v>0</v>
      </c>
      <c r="AL828" s="88">
        <v>0</v>
      </c>
      <c r="AM828" s="88">
        <v>0</v>
      </c>
      <c r="AN828" s="81" t="str">
        <f t="shared" si="961"/>
        <v/>
      </c>
      <c r="AO828" s="88">
        <f t="shared" si="924"/>
        <v>0</v>
      </c>
      <c r="AP828" s="88">
        <f t="shared" si="925"/>
        <v>0</v>
      </c>
      <c r="AQ828" s="81" t="str">
        <f t="shared" si="926"/>
        <v/>
      </c>
      <c r="AS828" s="41" t="b">
        <f t="shared" si="927"/>
        <v>1</v>
      </c>
      <c r="AT828" s="38">
        <f t="shared" si="928"/>
        <v>0</v>
      </c>
      <c r="AU828" s="60">
        <f t="shared" si="929"/>
        <v>0</v>
      </c>
      <c r="AV828" s="41">
        <f t="shared" si="930"/>
        <v>0</v>
      </c>
      <c r="AW828" s="41" t="b">
        <f t="shared" si="931"/>
        <v>0</v>
      </c>
      <c r="AX828" t="str">
        <f t="shared" si="932"/>
        <v>+00</v>
      </c>
      <c r="AY828" t="str">
        <f t="shared" si="933"/>
        <v>+00</v>
      </c>
      <c r="BA828" s="47" t="b">
        <f t="shared" si="962"/>
        <v>1</v>
      </c>
      <c r="BB828" s="42" t="b">
        <f t="shared" si="963"/>
        <v>1</v>
      </c>
      <c r="BC828" s="42" t="b">
        <f t="shared" si="964"/>
        <v>0</v>
      </c>
      <c r="BD828" s="42" t="b">
        <f t="shared" si="965"/>
        <v>0</v>
      </c>
      <c r="BE828" s="70">
        <f t="shared" si="966"/>
        <v>0</v>
      </c>
      <c r="BF828" s="70">
        <f t="shared" si="967"/>
        <v>0</v>
      </c>
      <c r="BG828" s="34"/>
      <c r="BI828" s="47" t="b">
        <f t="shared" si="968"/>
        <v>1</v>
      </c>
      <c r="BJ828" s="47" t="b">
        <f t="shared" si="969"/>
        <v>1</v>
      </c>
      <c r="BK828" s="42" t="b">
        <f t="shared" si="970"/>
        <v>0</v>
      </c>
      <c r="BL828" s="42" t="b">
        <f t="shared" si="971"/>
        <v>0</v>
      </c>
      <c r="BM828" s="42">
        <f t="shared" si="972"/>
        <v>0</v>
      </c>
      <c r="BN828" s="42">
        <f t="shared" si="973"/>
        <v>0</v>
      </c>
      <c r="BP828" t="e">
        <f t="shared" si="974"/>
        <v>#N/A</v>
      </c>
      <c r="BQ828" t="e">
        <f t="shared" si="975"/>
        <v>#N/A</v>
      </c>
      <c r="BR828" t="e">
        <f t="shared" si="976"/>
        <v>#N/A</v>
      </c>
      <c r="BT828" s="60">
        <f t="shared" si="977"/>
        <v>0</v>
      </c>
      <c r="BU828" s="60">
        <f t="shared" si="978"/>
        <v>0</v>
      </c>
      <c r="BV828" s="60">
        <f t="shared" si="979"/>
        <v>0</v>
      </c>
      <c r="BW828" s="60">
        <f t="shared" si="980"/>
        <v>0</v>
      </c>
      <c r="BX828" s="60">
        <f t="shared" si="981"/>
        <v>0</v>
      </c>
      <c r="BY828" s="60">
        <f t="shared" si="982"/>
        <v>0</v>
      </c>
      <c r="BZ828" s="60">
        <f t="shared" si="983"/>
        <v>0</v>
      </c>
      <c r="CA828" s="60">
        <f t="shared" si="984"/>
        <v>0</v>
      </c>
      <c r="CB828" s="60" t="e">
        <f t="shared" si="934"/>
        <v>#N/A</v>
      </c>
      <c r="CC828" s="60">
        <f t="shared" si="935"/>
        <v>100000</v>
      </c>
      <c r="CD828" s="60" t="e">
        <f t="shared" si="936"/>
        <v>#N/A</v>
      </c>
      <c r="CE828" s="60">
        <f t="shared" si="937"/>
        <v>100000</v>
      </c>
      <c r="CF828" s="83" t="e">
        <f t="shared" si="985"/>
        <v>#N/A</v>
      </c>
      <c r="CG828" s="83">
        <f t="shared" si="986"/>
        <v>0</v>
      </c>
      <c r="CH828" s="83" t="e">
        <f t="shared" si="987"/>
        <v>#N/A</v>
      </c>
      <c r="CI828" s="83">
        <f t="shared" si="988"/>
        <v>0</v>
      </c>
      <c r="CJ828" s="86" t="e">
        <f t="shared" si="938"/>
        <v>#N/A</v>
      </c>
      <c r="CK828" s="82">
        <f t="shared" si="939"/>
        <v>5.3070370403969858E-3</v>
      </c>
      <c r="CL828" s="82" t="e">
        <f t="shared" si="940"/>
        <v>#N/A</v>
      </c>
      <c r="CM828" s="82">
        <f t="shared" si="941"/>
        <v>5.3070370403969858E-3</v>
      </c>
      <c r="CO828" s="149" t="str">
        <f>IF($I828&lt;&gt;"",IF(O828="User Specified",U828,INDEX('Refrigerant GWPs'!$G$2:$G$156,MATCH(O828,'Refrigerant GWPs'!$A$2:$A$156,0))),"")</f>
        <v/>
      </c>
      <c r="CP828" s="138" t="str">
        <f>IF($I828&lt;&gt;"",INDEX('Device Refrigerant Leakage'!$E$2:$E$42,MATCH($M828,'Device Refrigerant Leakage'!$B$2:$B$42,0)),"")</f>
        <v/>
      </c>
      <c r="CQ828" s="138" t="str">
        <f>IF($I828&lt;&gt;"",INDEX('Device Refrigerant Leakage'!$F$2:$F$42,MATCH($M828,'Device Refrigerant Leakage'!$B$2:$B$42,0)),"")</f>
        <v/>
      </c>
      <c r="CR828" s="145" t="str">
        <f>IF($I828&lt;&gt;"",INDEX('Device Refrigerant Leakage'!$G$2:$G$42,MATCH($M828,'Device Refrigerant Leakage'!$B$2:$B$42,0)),"")</f>
        <v/>
      </c>
      <c r="CS828" s="145" t="str">
        <f>IF($I828&lt;&gt;"",INDEX('Device Refrigerant Leakage'!$D$2:$D$42,MATCH($M828,'Device Refrigerant Leakage'!$B$2:$B$42,0))*CP828/2204.62*CO828,"")</f>
        <v/>
      </c>
      <c r="CT828" s="145" t="str">
        <f>IF($I828&lt;&gt;"",J828*(INDEX('Device Refrigerant Leakage'!$D$2:$D$42,MATCH($M828,'Device Refrigerant Leakage'!$B$2:$B$42,0))-(INDEX('Device Refrigerant Leakage'!$D$2:$D$42,MATCH($M828,'Device Refrigerant Leakage'!$B$2:$B$42,0)))*CR828*CP828)*CQ828/2204.62*CO828,"")</f>
        <v/>
      </c>
      <c r="CU828" s="135" t="str">
        <f>IF($I828&lt;&gt;"",J828*IF(W828&lt;&gt;"AR",(CS828*K828)+CT828,(CS828*AB828)+CT828*(AB828/INDEX('Device Refrigerant Leakage'!$C$2:$C$42,MATCH($M828,'Device Refrigerant Leakage'!$B$2:$B$42,0)))),"")</f>
        <v/>
      </c>
      <c r="CW828" s="135" t="str">
        <f>IF($I828&lt;&gt;"",IF(S828="User Specified",V828,INDEX('Refrigerant GWPs'!$G$2:$G$156,MATCH(S828,'Refrigerant GWPs'!$A$2:$A$157,0))),"")</f>
        <v/>
      </c>
      <c r="CX828" s="138" t="str">
        <f>IF($I828&lt;&gt;"",INDEX('Device Refrigerant Leakage'!$E$2:$E$42,MATCH($Q828,'Device Refrigerant Leakage'!$B$2:$B$42,0)),"")</f>
        <v/>
      </c>
      <c r="CY828" s="138" t="str">
        <f>IF($I828&lt;&gt;"",INDEX('Device Refrigerant Leakage'!$F$2:$F$42,MATCH($Q828,'Device Refrigerant Leakage'!$B$2:$B$42,0)),"")</f>
        <v/>
      </c>
      <c r="CZ828" s="145" t="str">
        <f>IF($I828&lt;&gt;"",INDEX('Device Refrigerant Leakage'!$G$2:$G$42,MATCH($Q828,'Device Refrigerant Leakage'!$B$2:$B$42,0)),"")</f>
        <v/>
      </c>
      <c r="DA828" s="145" t="str">
        <f>IF($I828&lt;&gt;"",J828*INDEX('Device Refrigerant Leakage'!$D$2:$D$42,MATCH($Q828,'Device Refrigerant Leakage'!$B$2:$B$42,0))*CX828/2204.62*CW828,"")</f>
        <v/>
      </c>
      <c r="DB828" s="145" t="str">
        <f>IF($I828&lt;&gt;"",J828*(INDEX('Device Refrigerant Leakage'!$D$2:$D$42,MATCH($Q828,'Device Refrigerant Leakage'!$B$2:$B$42,0))-(INDEX('Device Refrigerant Leakage'!$D$2:$D$42,MATCH($Q828,'Device Refrigerant Leakage'!$B$2:$B$42,0)))*CZ828*CX828)*CY828/2204.62*CW828,"")</f>
        <v/>
      </c>
      <c r="DC828" s="135" t="str">
        <f t="shared" si="960"/>
        <v/>
      </c>
      <c r="DE828" s="146" t="str">
        <f>IF(W828&lt;&gt;"AR","",IF(Y828="User Specified", AA828, INDEX('Refrigerant GWPs'!$G$2:$G$154,MATCH(Y828,'Refrigerant GWPs'!$A$2:$A$154,0))))</f>
        <v/>
      </c>
      <c r="DF828" s="146" t="str">
        <f>IF(W828&lt;&gt;"AR","",INDEX('Device Refrigerant Leakage'!$E$2:$E$42,MATCH(X828,'Device Refrigerant Leakage'!$B$2:$B$42,0)))</f>
        <v/>
      </c>
      <c r="DG828" s="146" t="str">
        <f>IF(W828&lt;&gt;"AR","",INDEX('Device Refrigerant Leakage'!$F$2:$F$42,MATCH(X828,'Device Refrigerant Leakage'!$B$2:$B$42,0)))</f>
        <v/>
      </c>
      <c r="DH828" s="146" t="str">
        <f>IF(W828&lt;&gt;"AR","",INDEX('Device Refrigerant Leakage'!$G$2:$G$42,MATCH(X828,'Device Refrigerant Leakage'!$B$2:$B$42,0)))</f>
        <v/>
      </c>
      <c r="DI828" s="146" t="str">
        <f>IF(W828&lt;&gt;"AR","",J828*INDEX('Device Refrigerant Leakage'!$D$2:$D$42,MATCH(X828,'Device Refrigerant Leakage'!$B$2:$B$42,0))*DF828/2204.62*DE828)</f>
        <v/>
      </c>
      <c r="DJ828" s="146" t="str">
        <f>IF(W828&lt;&gt;"AR","",J828*(INDEX('Device Refrigerant Leakage'!$D$2:$D$42,MATCH(X828,'Device Refrigerant Leakage'!$B$2:$B$42,0))-(INDEX('Device Refrigerant Leakage'!$D$2:$D$42,MATCH(X828,'Device Refrigerant Leakage'!$B$2:$B$42,0)))*DH828*DF828)*DG828/2204.62*DE828)</f>
        <v/>
      </c>
      <c r="DK828" s="146" t="str">
        <f>IF(W828&lt;&gt;"AR","",DI828*(K828-AB828)+'Fuel Sub Calcs-Deemed'!DJ828*((K828-AB828)/INDEX('Device Refrigerant Leakage'!$C$2:$C$42,MATCH('Fuel Sub Calcs-Deemed'!X828,'Device Refrigerant Leakage'!$B$2:$B$42,0))))</f>
        <v/>
      </c>
      <c r="DM828" s="56">
        <v>814</v>
      </c>
      <c r="DN828" s="67" t="e">
        <f t="shared" si="942"/>
        <v>#N/A</v>
      </c>
      <c r="DO828" s="45" t="e">
        <f t="shared" si="943"/>
        <v>#N/A</v>
      </c>
      <c r="DP828" s="67" t="e">
        <f t="shared" si="944"/>
        <v>#N/A</v>
      </c>
      <c r="DQ828" s="45" t="e">
        <f t="shared" si="945"/>
        <v>#N/A</v>
      </c>
      <c r="DR828" s="69" t="e">
        <f t="shared" si="946"/>
        <v>#N/A</v>
      </c>
      <c r="DS828" s="34"/>
      <c r="DT828" s="67" t="e">
        <f>((BX828*CJ828)+IF($W828=MAT_AR,(BZ828*CL828),0))*(1+Reference!$E$50+Reference!$E$51)</f>
        <v>#N/A</v>
      </c>
      <c r="DU828" s="67">
        <f>((BY828*CK828)+IF($W828=MAT_AR,(CA828*CM828),0))*(1+Reference!$G$50+Reference!$G$51)</f>
        <v>0</v>
      </c>
      <c r="DV828" s="67" t="e">
        <f t="shared" si="947"/>
        <v>#VALUE!</v>
      </c>
      <c r="DX828" s="56">
        <v>814</v>
      </c>
      <c r="DY828" s="67">
        <f t="shared" si="948"/>
        <v>0</v>
      </c>
      <c r="DZ828" s="45" t="e">
        <f>VLOOKUP($R828,Dropdown!$C$3:$D$4,2,FALSE)</f>
        <v>#N/A</v>
      </c>
      <c r="EA828" s="68">
        <f t="shared" si="949"/>
        <v>0</v>
      </c>
      <c r="EB828" s="68" t="str">
        <f t="shared" si="950"/>
        <v>N/A</v>
      </c>
      <c r="EC828" s="68">
        <f t="shared" si="951"/>
        <v>0</v>
      </c>
      <c r="ED828" s="68" t="str">
        <f t="shared" si="989"/>
        <v>N/A</v>
      </c>
      <c r="EF828" s="56">
        <v>814</v>
      </c>
      <c r="EG828" s="46">
        <f t="shared" si="952"/>
        <v>0</v>
      </c>
      <c r="EH828" s="68" t="e">
        <f t="shared" si="953"/>
        <v>#N/A</v>
      </c>
      <c r="EI828" s="68" t="e">
        <f t="shared" si="954"/>
        <v>#N/A</v>
      </c>
      <c r="EJ828" s="68" t="e">
        <f t="shared" si="955"/>
        <v>#N/A</v>
      </c>
      <c r="EK828" s="68" t="e">
        <f t="shared" si="956"/>
        <v>#N/A</v>
      </c>
      <c r="EL828" s="46">
        <f t="shared" si="957"/>
        <v>0</v>
      </c>
      <c r="EM828" s="46">
        <f t="shared" si="958"/>
        <v>0</v>
      </c>
    </row>
    <row r="829" spans="1:143">
      <c r="A829" s="89"/>
      <c r="B829" s="89"/>
      <c r="C829" s="89"/>
      <c r="D829" s="89"/>
      <c r="E829" s="89"/>
      <c r="F829" s="89"/>
      <c r="G829" s="34"/>
      <c r="H829" s="56">
        <f t="shared" si="959"/>
        <v>815</v>
      </c>
      <c r="I829" s="165"/>
      <c r="J829" s="163"/>
      <c r="K829" s="163"/>
      <c r="L829" s="164"/>
      <c r="M829" s="155"/>
      <c r="N829" s="155"/>
      <c r="O829" s="144"/>
      <c r="P829" s="159" t="str">
        <f>IFERROR(IF(O829&lt;&gt;"User Specified",IF(O829&lt;&gt;"", INDEX('Refrigerant GWPs'!$G$2:$G$154,MATCH(O829,'Refrigerant GWPs'!$A$2:$A$154,0)),""),U829),0)</f>
        <v/>
      </c>
      <c r="Q829" s="155"/>
      <c r="R829" s="155"/>
      <c r="S829" s="144"/>
      <c r="T829" s="159" t="str">
        <f>IF(S829&lt;&gt;"User Specified",IF(AND(S829&lt;&gt;"User Specified",S829&lt;&gt;""), INDEX('Refrigerant GWPs'!$G$2:$G$154,MATCH(S829,'Refrigerant GWPs'!$A$2:$A$154,0)),""),V829)</f>
        <v/>
      </c>
      <c r="U829" s="144"/>
      <c r="V829" s="144"/>
      <c r="W829" s="155"/>
      <c r="X829" s="155"/>
      <c r="Y829" s="144"/>
      <c r="Z829" s="159" t="str">
        <f>IF(AND(Y829&lt;&gt;"User Specified",Y829&lt;&gt;""), INDEX('Refrigerant GWPs'!$G$2:$G$154,MATCH(Y829,'Refrigerant GWPs'!$A$2:$A$154,0)),"")</f>
        <v/>
      </c>
      <c r="AA829" s="155"/>
      <c r="AB829" s="156"/>
      <c r="AC829" s="66"/>
      <c r="AD829" s="66"/>
      <c r="AE829" s="66"/>
      <c r="AF829" s="66"/>
      <c r="AG829" s="66"/>
      <c r="AH829" s="66"/>
      <c r="AI829" s="34"/>
      <c r="AJ829" s="88">
        <f t="shared" si="922"/>
        <v>0</v>
      </c>
      <c r="AK829" s="88">
        <f t="shared" si="923"/>
        <v>0</v>
      </c>
      <c r="AL829" s="88">
        <v>0</v>
      </c>
      <c r="AM829" s="88">
        <v>0</v>
      </c>
      <c r="AN829" s="81" t="str">
        <f t="shared" si="961"/>
        <v/>
      </c>
      <c r="AO829" s="88">
        <f t="shared" si="924"/>
        <v>0</v>
      </c>
      <c r="AP829" s="88">
        <f t="shared" si="925"/>
        <v>0</v>
      </c>
      <c r="AQ829" s="81" t="str">
        <f t="shared" si="926"/>
        <v/>
      </c>
      <c r="AS829" s="41" t="b">
        <f t="shared" si="927"/>
        <v>1</v>
      </c>
      <c r="AT829" s="38">
        <f t="shared" si="928"/>
        <v>0</v>
      </c>
      <c r="AU829" s="60">
        <f t="shared" si="929"/>
        <v>0</v>
      </c>
      <c r="AV829" s="41">
        <f t="shared" si="930"/>
        <v>0</v>
      </c>
      <c r="AW829" s="41" t="b">
        <f t="shared" si="931"/>
        <v>0</v>
      </c>
      <c r="AX829" t="str">
        <f t="shared" si="932"/>
        <v>+00</v>
      </c>
      <c r="AY829" t="str">
        <f t="shared" si="933"/>
        <v>+00</v>
      </c>
      <c r="BA829" s="47" t="b">
        <f t="shared" si="962"/>
        <v>1</v>
      </c>
      <c r="BB829" s="42" t="b">
        <f t="shared" si="963"/>
        <v>1</v>
      </c>
      <c r="BC829" s="42" t="b">
        <f t="shared" si="964"/>
        <v>0</v>
      </c>
      <c r="BD829" s="42" t="b">
        <f t="shared" si="965"/>
        <v>0</v>
      </c>
      <c r="BE829" s="70">
        <f t="shared" si="966"/>
        <v>0</v>
      </c>
      <c r="BF829" s="70">
        <f t="shared" si="967"/>
        <v>0</v>
      </c>
      <c r="BG829" s="34"/>
      <c r="BI829" s="47" t="b">
        <f t="shared" si="968"/>
        <v>1</v>
      </c>
      <c r="BJ829" s="47" t="b">
        <f t="shared" si="969"/>
        <v>1</v>
      </c>
      <c r="BK829" s="42" t="b">
        <f t="shared" si="970"/>
        <v>0</v>
      </c>
      <c r="BL829" s="42" t="b">
        <f t="shared" si="971"/>
        <v>0</v>
      </c>
      <c r="BM829" s="42">
        <f t="shared" si="972"/>
        <v>0</v>
      </c>
      <c r="BN829" s="42">
        <f t="shared" si="973"/>
        <v>0</v>
      </c>
      <c r="BP829" t="e">
        <f t="shared" si="974"/>
        <v>#N/A</v>
      </c>
      <c r="BQ829" t="e">
        <f t="shared" si="975"/>
        <v>#N/A</v>
      </c>
      <c r="BR829" t="e">
        <f t="shared" si="976"/>
        <v>#N/A</v>
      </c>
      <c r="BT829" s="60">
        <f t="shared" si="977"/>
        <v>0</v>
      </c>
      <c r="BU829" s="60">
        <f t="shared" si="978"/>
        <v>0</v>
      </c>
      <c r="BV829" s="60">
        <f t="shared" si="979"/>
        <v>0</v>
      </c>
      <c r="BW829" s="60">
        <f t="shared" si="980"/>
        <v>0</v>
      </c>
      <c r="BX829" s="60">
        <f t="shared" si="981"/>
        <v>0</v>
      </c>
      <c r="BY829" s="60">
        <f t="shared" si="982"/>
        <v>0</v>
      </c>
      <c r="BZ829" s="60">
        <f t="shared" si="983"/>
        <v>0</v>
      </c>
      <c r="CA829" s="60">
        <f t="shared" si="984"/>
        <v>0</v>
      </c>
      <c r="CB829" s="60" t="e">
        <f t="shared" si="934"/>
        <v>#N/A</v>
      </c>
      <c r="CC829" s="60">
        <f t="shared" si="935"/>
        <v>100000</v>
      </c>
      <c r="CD829" s="60" t="e">
        <f t="shared" si="936"/>
        <v>#N/A</v>
      </c>
      <c r="CE829" s="60">
        <f t="shared" si="937"/>
        <v>100000</v>
      </c>
      <c r="CF829" s="83" t="e">
        <f t="shared" si="985"/>
        <v>#N/A</v>
      </c>
      <c r="CG829" s="83">
        <f t="shared" si="986"/>
        <v>0</v>
      </c>
      <c r="CH829" s="83" t="e">
        <f t="shared" si="987"/>
        <v>#N/A</v>
      </c>
      <c r="CI829" s="83">
        <f t="shared" si="988"/>
        <v>0</v>
      </c>
      <c r="CJ829" s="86" t="e">
        <f t="shared" si="938"/>
        <v>#N/A</v>
      </c>
      <c r="CK829" s="82">
        <f t="shared" si="939"/>
        <v>5.3070370403969858E-3</v>
      </c>
      <c r="CL829" s="82" t="e">
        <f t="shared" si="940"/>
        <v>#N/A</v>
      </c>
      <c r="CM829" s="82">
        <f t="shared" si="941"/>
        <v>5.3070370403969858E-3</v>
      </c>
      <c r="CO829" s="149" t="str">
        <f>IF($I829&lt;&gt;"",IF(O829="User Specified",U829,INDEX('Refrigerant GWPs'!$G$2:$G$156,MATCH(O829,'Refrigerant GWPs'!$A$2:$A$156,0))),"")</f>
        <v/>
      </c>
      <c r="CP829" s="138" t="str">
        <f>IF($I829&lt;&gt;"",INDEX('Device Refrigerant Leakage'!$E$2:$E$42,MATCH($M829,'Device Refrigerant Leakage'!$B$2:$B$42,0)),"")</f>
        <v/>
      </c>
      <c r="CQ829" s="138" t="str">
        <f>IF($I829&lt;&gt;"",INDEX('Device Refrigerant Leakage'!$F$2:$F$42,MATCH($M829,'Device Refrigerant Leakage'!$B$2:$B$42,0)),"")</f>
        <v/>
      </c>
      <c r="CR829" s="145" t="str">
        <f>IF($I829&lt;&gt;"",INDEX('Device Refrigerant Leakage'!$G$2:$G$42,MATCH($M829,'Device Refrigerant Leakage'!$B$2:$B$42,0)),"")</f>
        <v/>
      </c>
      <c r="CS829" s="145" t="str">
        <f>IF($I829&lt;&gt;"",INDEX('Device Refrigerant Leakage'!$D$2:$D$42,MATCH($M829,'Device Refrigerant Leakage'!$B$2:$B$42,0))*CP829/2204.62*CO829,"")</f>
        <v/>
      </c>
      <c r="CT829" s="145" t="str">
        <f>IF($I829&lt;&gt;"",J829*(INDEX('Device Refrigerant Leakage'!$D$2:$D$42,MATCH($M829,'Device Refrigerant Leakage'!$B$2:$B$42,0))-(INDEX('Device Refrigerant Leakage'!$D$2:$D$42,MATCH($M829,'Device Refrigerant Leakage'!$B$2:$B$42,0)))*CR829*CP829)*CQ829/2204.62*CO829,"")</f>
        <v/>
      </c>
      <c r="CU829" s="135" t="str">
        <f>IF($I829&lt;&gt;"",J829*IF(W829&lt;&gt;"AR",(CS829*K829)+CT829,(CS829*AB829)+CT829*(AB829/INDEX('Device Refrigerant Leakage'!$C$2:$C$42,MATCH($M829,'Device Refrigerant Leakage'!$B$2:$B$42,0)))),"")</f>
        <v/>
      </c>
      <c r="CW829" s="135" t="str">
        <f>IF($I829&lt;&gt;"",IF(S829="User Specified",V829,INDEX('Refrigerant GWPs'!$G$2:$G$156,MATCH(S829,'Refrigerant GWPs'!$A$2:$A$157,0))),"")</f>
        <v/>
      </c>
      <c r="CX829" s="138" t="str">
        <f>IF($I829&lt;&gt;"",INDEX('Device Refrigerant Leakage'!$E$2:$E$42,MATCH($Q829,'Device Refrigerant Leakage'!$B$2:$B$42,0)),"")</f>
        <v/>
      </c>
      <c r="CY829" s="138" t="str">
        <f>IF($I829&lt;&gt;"",INDEX('Device Refrigerant Leakage'!$F$2:$F$42,MATCH($Q829,'Device Refrigerant Leakage'!$B$2:$B$42,0)),"")</f>
        <v/>
      </c>
      <c r="CZ829" s="145" t="str">
        <f>IF($I829&lt;&gt;"",INDEX('Device Refrigerant Leakage'!$G$2:$G$42,MATCH($Q829,'Device Refrigerant Leakage'!$B$2:$B$42,0)),"")</f>
        <v/>
      </c>
      <c r="DA829" s="145" t="str">
        <f>IF($I829&lt;&gt;"",J829*INDEX('Device Refrigerant Leakage'!$D$2:$D$42,MATCH($Q829,'Device Refrigerant Leakage'!$B$2:$B$42,0))*CX829/2204.62*CW829,"")</f>
        <v/>
      </c>
      <c r="DB829" s="145" t="str">
        <f>IF($I829&lt;&gt;"",J829*(INDEX('Device Refrigerant Leakage'!$D$2:$D$42,MATCH($Q829,'Device Refrigerant Leakage'!$B$2:$B$42,0))-(INDEX('Device Refrigerant Leakage'!$D$2:$D$42,MATCH($Q829,'Device Refrigerant Leakage'!$B$2:$B$42,0)))*CZ829*CX829)*CY829/2204.62*CW829,"")</f>
        <v/>
      </c>
      <c r="DC829" s="135" t="str">
        <f t="shared" si="960"/>
        <v/>
      </c>
      <c r="DE829" s="146" t="str">
        <f>IF(W829&lt;&gt;"AR","",IF(Y829="User Specified", AA829, INDEX('Refrigerant GWPs'!$G$2:$G$154,MATCH(Y829,'Refrigerant GWPs'!$A$2:$A$154,0))))</f>
        <v/>
      </c>
      <c r="DF829" s="146" t="str">
        <f>IF(W829&lt;&gt;"AR","",INDEX('Device Refrigerant Leakage'!$E$2:$E$42,MATCH(X829,'Device Refrigerant Leakage'!$B$2:$B$42,0)))</f>
        <v/>
      </c>
      <c r="DG829" s="146" t="str">
        <f>IF(W829&lt;&gt;"AR","",INDEX('Device Refrigerant Leakage'!$F$2:$F$42,MATCH(X829,'Device Refrigerant Leakage'!$B$2:$B$42,0)))</f>
        <v/>
      </c>
      <c r="DH829" s="146" t="str">
        <f>IF(W829&lt;&gt;"AR","",INDEX('Device Refrigerant Leakage'!$G$2:$G$42,MATCH(X829,'Device Refrigerant Leakage'!$B$2:$B$42,0)))</f>
        <v/>
      </c>
      <c r="DI829" s="146" t="str">
        <f>IF(W829&lt;&gt;"AR","",J829*INDEX('Device Refrigerant Leakage'!$D$2:$D$42,MATCH(X829,'Device Refrigerant Leakage'!$B$2:$B$42,0))*DF829/2204.62*DE829)</f>
        <v/>
      </c>
      <c r="DJ829" s="146" t="str">
        <f>IF(W829&lt;&gt;"AR","",J829*(INDEX('Device Refrigerant Leakage'!$D$2:$D$42,MATCH(X829,'Device Refrigerant Leakage'!$B$2:$B$42,0))-(INDEX('Device Refrigerant Leakage'!$D$2:$D$42,MATCH(X829,'Device Refrigerant Leakage'!$B$2:$B$42,0)))*DH829*DF829)*DG829/2204.62*DE829)</f>
        <v/>
      </c>
      <c r="DK829" s="146" t="str">
        <f>IF(W829&lt;&gt;"AR","",DI829*(K829-AB829)+'Fuel Sub Calcs-Deemed'!DJ829*((K829-AB829)/INDEX('Device Refrigerant Leakage'!$C$2:$C$42,MATCH('Fuel Sub Calcs-Deemed'!X829,'Device Refrigerant Leakage'!$B$2:$B$42,0))))</f>
        <v/>
      </c>
      <c r="DM829" s="56">
        <v>815</v>
      </c>
      <c r="DN829" s="67" t="e">
        <f t="shared" si="942"/>
        <v>#N/A</v>
      </c>
      <c r="DO829" s="45" t="e">
        <f t="shared" si="943"/>
        <v>#N/A</v>
      </c>
      <c r="DP829" s="67" t="e">
        <f t="shared" si="944"/>
        <v>#N/A</v>
      </c>
      <c r="DQ829" s="45" t="e">
        <f t="shared" si="945"/>
        <v>#N/A</v>
      </c>
      <c r="DR829" s="69" t="e">
        <f t="shared" si="946"/>
        <v>#N/A</v>
      </c>
      <c r="DS829" s="34"/>
      <c r="DT829" s="67" t="e">
        <f>((BX829*CJ829)+IF($W829=MAT_AR,(BZ829*CL829),0))*(1+Reference!$E$50+Reference!$E$51)</f>
        <v>#N/A</v>
      </c>
      <c r="DU829" s="67">
        <f>((BY829*CK829)+IF($W829=MAT_AR,(CA829*CM829),0))*(1+Reference!$G$50+Reference!$G$51)</f>
        <v>0</v>
      </c>
      <c r="DV829" s="67" t="e">
        <f t="shared" si="947"/>
        <v>#VALUE!</v>
      </c>
      <c r="DX829" s="56">
        <v>815</v>
      </c>
      <c r="DY829" s="67">
        <f t="shared" si="948"/>
        <v>0</v>
      </c>
      <c r="DZ829" s="45" t="e">
        <f>VLOOKUP($R829,Dropdown!$C$3:$D$4,2,FALSE)</f>
        <v>#N/A</v>
      </c>
      <c r="EA829" s="68">
        <f t="shared" si="949"/>
        <v>0</v>
      </c>
      <c r="EB829" s="68" t="str">
        <f t="shared" si="950"/>
        <v>N/A</v>
      </c>
      <c r="EC829" s="68">
        <f t="shared" si="951"/>
        <v>0</v>
      </c>
      <c r="ED829" s="68" t="str">
        <f t="shared" si="989"/>
        <v>N/A</v>
      </c>
      <c r="EF829" s="56">
        <v>815</v>
      </c>
      <c r="EG829" s="46">
        <f t="shared" si="952"/>
        <v>0</v>
      </c>
      <c r="EH829" s="68" t="e">
        <f t="shared" si="953"/>
        <v>#N/A</v>
      </c>
      <c r="EI829" s="68" t="e">
        <f t="shared" si="954"/>
        <v>#N/A</v>
      </c>
      <c r="EJ829" s="68" t="e">
        <f t="shared" si="955"/>
        <v>#N/A</v>
      </c>
      <c r="EK829" s="68" t="e">
        <f t="shared" si="956"/>
        <v>#N/A</v>
      </c>
      <c r="EL829" s="46">
        <f t="shared" si="957"/>
        <v>0</v>
      </c>
      <c r="EM829" s="46">
        <f t="shared" si="958"/>
        <v>0</v>
      </c>
    </row>
    <row r="830" spans="1:143">
      <c r="A830" s="89"/>
      <c r="B830" s="89"/>
      <c r="C830" s="89"/>
      <c r="D830" s="89"/>
      <c r="E830" s="89"/>
      <c r="F830" s="89"/>
      <c r="G830" s="34"/>
      <c r="H830" s="56">
        <f t="shared" si="959"/>
        <v>816</v>
      </c>
      <c r="I830" s="165"/>
      <c r="J830" s="163"/>
      <c r="K830" s="163"/>
      <c r="L830" s="164"/>
      <c r="M830" s="155"/>
      <c r="N830" s="155"/>
      <c r="O830" s="144"/>
      <c r="P830" s="159" t="str">
        <f>IFERROR(IF(O830&lt;&gt;"User Specified",IF(O830&lt;&gt;"", INDEX('Refrigerant GWPs'!$G$2:$G$154,MATCH(O830,'Refrigerant GWPs'!$A$2:$A$154,0)),""),U830),0)</f>
        <v/>
      </c>
      <c r="Q830" s="155"/>
      <c r="R830" s="155"/>
      <c r="S830" s="144"/>
      <c r="T830" s="159" t="str">
        <f>IF(S830&lt;&gt;"User Specified",IF(AND(S830&lt;&gt;"User Specified",S830&lt;&gt;""), INDEX('Refrigerant GWPs'!$G$2:$G$154,MATCH(S830,'Refrigerant GWPs'!$A$2:$A$154,0)),""),V830)</f>
        <v/>
      </c>
      <c r="U830" s="144"/>
      <c r="V830" s="144"/>
      <c r="W830" s="155"/>
      <c r="X830" s="155"/>
      <c r="Y830" s="144"/>
      <c r="Z830" s="159" t="str">
        <f>IF(AND(Y830&lt;&gt;"User Specified",Y830&lt;&gt;""), INDEX('Refrigerant GWPs'!$G$2:$G$154,MATCH(Y830,'Refrigerant GWPs'!$A$2:$A$154,0)),"")</f>
        <v/>
      </c>
      <c r="AA830" s="155"/>
      <c r="AB830" s="156"/>
      <c r="AC830" s="66"/>
      <c r="AD830" s="66"/>
      <c r="AE830" s="66"/>
      <c r="AF830" s="66"/>
      <c r="AG830" s="66"/>
      <c r="AH830" s="66"/>
      <c r="AI830" s="34"/>
      <c r="AJ830" s="88">
        <f t="shared" si="922"/>
        <v>0</v>
      </c>
      <c r="AK830" s="88">
        <f t="shared" si="923"/>
        <v>0</v>
      </c>
      <c r="AL830" s="88">
        <v>0</v>
      </c>
      <c r="AM830" s="88">
        <v>0</v>
      </c>
      <c r="AN830" s="81" t="str">
        <f t="shared" si="961"/>
        <v/>
      </c>
      <c r="AO830" s="88">
        <f t="shared" si="924"/>
        <v>0</v>
      </c>
      <c r="AP830" s="88">
        <f t="shared" si="925"/>
        <v>0</v>
      </c>
      <c r="AQ830" s="81" t="str">
        <f t="shared" si="926"/>
        <v/>
      </c>
      <c r="AS830" s="41" t="b">
        <f t="shared" si="927"/>
        <v>1</v>
      </c>
      <c r="AT830" s="38">
        <f t="shared" si="928"/>
        <v>0</v>
      </c>
      <c r="AU830" s="60">
        <f t="shared" si="929"/>
        <v>0</v>
      </c>
      <c r="AV830" s="41">
        <f t="shared" si="930"/>
        <v>0</v>
      </c>
      <c r="AW830" s="41" t="b">
        <f t="shared" si="931"/>
        <v>0</v>
      </c>
      <c r="AX830" t="str">
        <f t="shared" si="932"/>
        <v>+00</v>
      </c>
      <c r="AY830" t="str">
        <f t="shared" si="933"/>
        <v>+00</v>
      </c>
      <c r="BA830" s="47" t="b">
        <f t="shared" si="962"/>
        <v>1</v>
      </c>
      <c r="BB830" s="42" t="b">
        <f t="shared" si="963"/>
        <v>1</v>
      </c>
      <c r="BC830" s="42" t="b">
        <f t="shared" si="964"/>
        <v>0</v>
      </c>
      <c r="BD830" s="42" t="b">
        <f t="shared" si="965"/>
        <v>0</v>
      </c>
      <c r="BE830" s="70">
        <f t="shared" si="966"/>
        <v>0</v>
      </c>
      <c r="BF830" s="70">
        <f t="shared" si="967"/>
        <v>0</v>
      </c>
      <c r="BG830" s="34"/>
      <c r="BI830" s="47" t="b">
        <f t="shared" si="968"/>
        <v>1</v>
      </c>
      <c r="BJ830" s="47" t="b">
        <f t="shared" si="969"/>
        <v>1</v>
      </c>
      <c r="BK830" s="42" t="b">
        <f t="shared" si="970"/>
        <v>0</v>
      </c>
      <c r="BL830" s="42" t="b">
        <f t="shared" si="971"/>
        <v>0</v>
      </c>
      <c r="BM830" s="42">
        <f t="shared" si="972"/>
        <v>0</v>
      </c>
      <c r="BN830" s="42">
        <f t="shared" si="973"/>
        <v>0</v>
      </c>
      <c r="BP830" t="e">
        <f t="shared" si="974"/>
        <v>#N/A</v>
      </c>
      <c r="BQ830" t="e">
        <f t="shared" si="975"/>
        <v>#N/A</v>
      </c>
      <c r="BR830" t="e">
        <f t="shared" si="976"/>
        <v>#N/A</v>
      </c>
      <c r="BT830" s="60">
        <f t="shared" si="977"/>
        <v>0</v>
      </c>
      <c r="BU830" s="60">
        <f t="shared" si="978"/>
        <v>0</v>
      </c>
      <c r="BV830" s="60">
        <f t="shared" si="979"/>
        <v>0</v>
      </c>
      <c r="BW830" s="60">
        <f t="shared" si="980"/>
        <v>0</v>
      </c>
      <c r="BX830" s="60">
        <f t="shared" si="981"/>
        <v>0</v>
      </c>
      <c r="BY830" s="60">
        <f t="shared" si="982"/>
        <v>0</v>
      </c>
      <c r="BZ830" s="60">
        <f t="shared" si="983"/>
        <v>0</v>
      </c>
      <c r="CA830" s="60">
        <f t="shared" si="984"/>
        <v>0</v>
      </c>
      <c r="CB830" s="60" t="e">
        <f t="shared" si="934"/>
        <v>#N/A</v>
      </c>
      <c r="CC830" s="60">
        <f t="shared" si="935"/>
        <v>100000</v>
      </c>
      <c r="CD830" s="60" t="e">
        <f t="shared" si="936"/>
        <v>#N/A</v>
      </c>
      <c r="CE830" s="60">
        <f t="shared" si="937"/>
        <v>100000</v>
      </c>
      <c r="CF830" s="83" t="e">
        <f t="shared" si="985"/>
        <v>#N/A</v>
      </c>
      <c r="CG830" s="83">
        <f t="shared" si="986"/>
        <v>0</v>
      </c>
      <c r="CH830" s="83" t="e">
        <f t="shared" si="987"/>
        <v>#N/A</v>
      </c>
      <c r="CI830" s="83">
        <f t="shared" si="988"/>
        <v>0</v>
      </c>
      <c r="CJ830" s="86" t="e">
        <f t="shared" si="938"/>
        <v>#N/A</v>
      </c>
      <c r="CK830" s="82">
        <f t="shared" si="939"/>
        <v>5.3070370403969858E-3</v>
      </c>
      <c r="CL830" s="82" t="e">
        <f t="shared" si="940"/>
        <v>#N/A</v>
      </c>
      <c r="CM830" s="82">
        <f t="shared" si="941"/>
        <v>5.3070370403969858E-3</v>
      </c>
      <c r="CO830" s="149" t="str">
        <f>IF($I830&lt;&gt;"",IF(O830="User Specified",U830,INDEX('Refrigerant GWPs'!$G$2:$G$156,MATCH(O830,'Refrigerant GWPs'!$A$2:$A$156,0))),"")</f>
        <v/>
      </c>
      <c r="CP830" s="138" t="str">
        <f>IF($I830&lt;&gt;"",INDEX('Device Refrigerant Leakage'!$E$2:$E$42,MATCH($M830,'Device Refrigerant Leakage'!$B$2:$B$42,0)),"")</f>
        <v/>
      </c>
      <c r="CQ830" s="138" t="str">
        <f>IF($I830&lt;&gt;"",INDEX('Device Refrigerant Leakage'!$F$2:$F$42,MATCH($M830,'Device Refrigerant Leakage'!$B$2:$B$42,0)),"")</f>
        <v/>
      </c>
      <c r="CR830" s="145" t="str">
        <f>IF($I830&lt;&gt;"",INDEX('Device Refrigerant Leakage'!$G$2:$G$42,MATCH($M830,'Device Refrigerant Leakage'!$B$2:$B$42,0)),"")</f>
        <v/>
      </c>
      <c r="CS830" s="145" t="str">
        <f>IF($I830&lt;&gt;"",INDEX('Device Refrigerant Leakage'!$D$2:$D$42,MATCH($M830,'Device Refrigerant Leakage'!$B$2:$B$42,0))*CP830/2204.62*CO830,"")</f>
        <v/>
      </c>
      <c r="CT830" s="145" t="str">
        <f>IF($I830&lt;&gt;"",J830*(INDEX('Device Refrigerant Leakage'!$D$2:$D$42,MATCH($M830,'Device Refrigerant Leakage'!$B$2:$B$42,0))-(INDEX('Device Refrigerant Leakage'!$D$2:$D$42,MATCH($M830,'Device Refrigerant Leakage'!$B$2:$B$42,0)))*CR830*CP830)*CQ830/2204.62*CO830,"")</f>
        <v/>
      </c>
      <c r="CU830" s="135" t="str">
        <f>IF($I830&lt;&gt;"",J830*IF(W830&lt;&gt;"AR",(CS830*K830)+CT830,(CS830*AB830)+CT830*(AB830/INDEX('Device Refrigerant Leakage'!$C$2:$C$42,MATCH($M830,'Device Refrigerant Leakage'!$B$2:$B$42,0)))),"")</f>
        <v/>
      </c>
      <c r="CW830" s="135" t="str">
        <f>IF($I830&lt;&gt;"",IF(S830="User Specified",V830,INDEX('Refrigerant GWPs'!$G$2:$G$156,MATCH(S830,'Refrigerant GWPs'!$A$2:$A$157,0))),"")</f>
        <v/>
      </c>
      <c r="CX830" s="138" t="str">
        <f>IF($I830&lt;&gt;"",INDEX('Device Refrigerant Leakage'!$E$2:$E$42,MATCH($Q830,'Device Refrigerant Leakage'!$B$2:$B$42,0)),"")</f>
        <v/>
      </c>
      <c r="CY830" s="138" t="str">
        <f>IF($I830&lt;&gt;"",INDEX('Device Refrigerant Leakage'!$F$2:$F$42,MATCH($Q830,'Device Refrigerant Leakage'!$B$2:$B$42,0)),"")</f>
        <v/>
      </c>
      <c r="CZ830" s="145" t="str">
        <f>IF($I830&lt;&gt;"",INDEX('Device Refrigerant Leakage'!$G$2:$G$42,MATCH($Q830,'Device Refrigerant Leakage'!$B$2:$B$42,0)),"")</f>
        <v/>
      </c>
      <c r="DA830" s="145" t="str">
        <f>IF($I830&lt;&gt;"",J830*INDEX('Device Refrigerant Leakage'!$D$2:$D$42,MATCH($Q830,'Device Refrigerant Leakage'!$B$2:$B$42,0))*CX830/2204.62*CW830,"")</f>
        <v/>
      </c>
      <c r="DB830" s="145" t="str">
        <f>IF($I830&lt;&gt;"",J830*(INDEX('Device Refrigerant Leakage'!$D$2:$D$42,MATCH($Q830,'Device Refrigerant Leakage'!$B$2:$B$42,0))-(INDEX('Device Refrigerant Leakage'!$D$2:$D$42,MATCH($Q830,'Device Refrigerant Leakage'!$B$2:$B$42,0)))*CZ830*CX830)*CY830/2204.62*CW830,"")</f>
        <v/>
      </c>
      <c r="DC830" s="135" t="str">
        <f t="shared" si="960"/>
        <v/>
      </c>
      <c r="DE830" s="146" t="str">
        <f>IF(W830&lt;&gt;"AR","",IF(Y830="User Specified", AA830, INDEX('Refrigerant GWPs'!$G$2:$G$154,MATCH(Y830,'Refrigerant GWPs'!$A$2:$A$154,0))))</f>
        <v/>
      </c>
      <c r="DF830" s="146" t="str">
        <f>IF(W830&lt;&gt;"AR","",INDEX('Device Refrigerant Leakage'!$E$2:$E$42,MATCH(X830,'Device Refrigerant Leakage'!$B$2:$B$42,0)))</f>
        <v/>
      </c>
      <c r="DG830" s="146" t="str">
        <f>IF(W830&lt;&gt;"AR","",INDEX('Device Refrigerant Leakage'!$F$2:$F$42,MATCH(X830,'Device Refrigerant Leakage'!$B$2:$B$42,0)))</f>
        <v/>
      </c>
      <c r="DH830" s="146" t="str">
        <f>IF(W830&lt;&gt;"AR","",INDEX('Device Refrigerant Leakage'!$G$2:$G$42,MATCH(X830,'Device Refrigerant Leakage'!$B$2:$B$42,0)))</f>
        <v/>
      </c>
      <c r="DI830" s="146" t="str">
        <f>IF(W830&lt;&gt;"AR","",J830*INDEX('Device Refrigerant Leakage'!$D$2:$D$42,MATCH(X830,'Device Refrigerant Leakage'!$B$2:$B$42,0))*DF830/2204.62*DE830)</f>
        <v/>
      </c>
      <c r="DJ830" s="146" t="str">
        <f>IF(W830&lt;&gt;"AR","",J830*(INDEX('Device Refrigerant Leakage'!$D$2:$D$42,MATCH(X830,'Device Refrigerant Leakage'!$B$2:$B$42,0))-(INDEX('Device Refrigerant Leakage'!$D$2:$D$42,MATCH(X830,'Device Refrigerant Leakage'!$B$2:$B$42,0)))*DH830*DF830)*DG830/2204.62*DE830)</f>
        <v/>
      </c>
      <c r="DK830" s="146" t="str">
        <f>IF(W830&lt;&gt;"AR","",DI830*(K830-AB830)+'Fuel Sub Calcs-Deemed'!DJ830*((K830-AB830)/INDEX('Device Refrigerant Leakage'!$C$2:$C$42,MATCH('Fuel Sub Calcs-Deemed'!X830,'Device Refrigerant Leakage'!$B$2:$B$42,0))))</f>
        <v/>
      </c>
      <c r="DM830" s="56">
        <v>816</v>
      </c>
      <c r="DN830" s="67" t="e">
        <f t="shared" si="942"/>
        <v>#N/A</v>
      </c>
      <c r="DO830" s="45" t="e">
        <f t="shared" si="943"/>
        <v>#N/A</v>
      </c>
      <c r="DP830" s="67" t="e">
        <f t="shared" si="944"/>
        <v>#N/A</v>
      </c>
      <c r="DQ830" s="45" t="e">
        <f t="shared" si="945"/>
        <v>#N/A</v>
      </c>
      <c r="DR830" s="69" t="e">
        <f t="shared" si="946"/>
        <v>#N/A</v>
      </c>
      <c r="DS830" s="34"/>
      <c r="DT830" s="67" t="e">
        <f>((BX830*CJ830)+IF($W830=MAT_AR,(BZ830*CL830),0))*(1+Reference!$E$50+Reference!$E$51)</f>
        <v>#N/A</v>
      </c>
      <c r="DU830" s="67">
        <f>((BY830*CK830)+IF($W830=MAT_AR,(CA830*CM830),0))*(1+Reference!$G$50+Reference!$G$51)</f>
        <v>0</v>
      </c>
      <c r="DV830" s="67" t="e">
        <f t="shared" si="947"/>
        <v>#VALUE!</v>
      </c>
      <c r="DX830" s="56">
        <v>816</v>
      </c>
      <c r="DY830" s="67">
        <f t="shared" si="948"/>
        <v>0</v>
      </c>
      <c r="DZ830" s="45" t="e">
        <f>VLOOKUP($R830,Dropdown!$C$3:$D$4,2,FALSE)</f>
        <v>#N/A</v>
      </c>
      <c r="EA830" s="68">
        <f t="shared" si="949"/>
        <v>0</v>
      </c>
      <c r="EB830" s="68" t="str">
        <f t="shared" si="950"/>
        <v>N/A</v>
      </c>
      <c r="EC830" s="68">
        <f t="shared" si="951"/>
        <v>0</v>
      </c>
      <c r="ED830" s="68" t="str">
        <f t="shared" si="989"/>
        <v>N/A</v>
      </c>
      <c r="EF830" s="56">
        <v>816</v>
      </c>
      <c r="EG830" s="46">
        <f t="shared" si="952"/>
        <v>0</v>
      </c>
      <c r="EH830" s="68" t="e">
        <f t="shared" si="953"/>
        <v>#N/A</v>
      </c>
      <c r="EI830" s="68" t="e">
        <f t="shared" si="954"/>
        <v>#N/A</v>
      </c>
      <c r="EJ830" s="68" t="e">
        <f t="shared" si="955"/>
        <v>#N/A</v>
      </c>
      <c r="EK830" s="68" t="e">
        <f t="shared" si="956"/>
        <v>#N/A</v>
      </c>
      <c r="EL830" s="46">
        <f t="shared" si="957"/>
        <v>0</v>
      </c>
      <c r="EM830" s="46">
        <f t="shared" si="958"/>
        <v>0</v>
      </c>
    </row>
    <row r="831" spans="1:143">
      <c r="A831" s="89"/>
      <c r="B831" s="89"/>
      <c r="C831" s="89"/>
      <c r="D831" s="89"/>
      <c r="E831" s="89"/>
      <c r="F831" s="89"/>
      <c r="G831" s="34"/>
      <c r="H831" s="56">
        <f t="shared" si="959"/>
        <v>817</v>
      </c>
      <c r="I831" s="165"/>
      <c r="J831" s="163"/>
      <c r="K831" s="163"/>
      <c r="L831" s="164"/>
      <c r="M831" s="155"/>
      <c r="N831" s="155"/>
      <c r="O831" s="144"/>
      <c r="P831" s="159" t="str">
        <f>IFERROR(IF(O831&lt;&gt;"User Specified",IF(O831&lt;&gt;"", INDEX('Refrigerant GWPs'!$G$2:$G$154,MATCH(O831,'Refrigerant GWPs'!$A$2:$A$154,0)),""),U831),0)</f>
        <v/>
      </c>
      <c r="Q831" s="155"/>
      <c r="R831" s="155"/>
      <c r="S831" s="144"/>
      <c r="T831" s="159" t="str">
        <f>IF(S831&lt;&gt;"User Specified",IF(AND(S831&lt;&gt;"User Specified",S831&lt;&gt;""), INDEX('Refrigerant GWPs'!$G$2:$G$154,MATCH(S831,'Refrigerant GWPs'!$A$2:$A$154,0)),""),V831)</f>
        <v/>
      </c>
      <c r="U831" s="144"/>
      <c r="V831" s="144"/>
      <c r="W831" s="155"/>
      <c r="X831" s="155"/>
      <c r="Y831" s="144"/>
      <c r="Z831" s="159" t="str">
        <f>IF(AND(Y831&lt;&gt;"User Specified",Y831&lt;&gt;""), INDEX('Refrigerant GWPs'!$G$2:$G$154,MATCH(Y831,'Refrigerant GWPs'!$A$2:$A$154,0)),"")</f>
        <v/>
      </c>
      <c r="AA831" s="155"/>
      <c r="AB831" s="156"/>
      <c r="AC831" s="66"/>
      <c r="AD831" s="66"/>
      <c r="AE831" s="66"/>
      <c r="AF831" s="66"/>
      <c r="AG831" s="66"/>
      <c r="AH831" s="66"/>
      <c r="AI831" s="34"/>
      <c r="AJ831" s="88">
        <f t="shared" si="922"/>
        <v>0</v>
      </c>
      <c r="AK831" s="88">
        <f t="shared" si="923"/>
        <v>0</v>
      </c>
      <c r="AL831" s="88">
        <v>0</v>
      </c>
      <c r="AM831" s="88">
        <v>0</v>
      </c>
      <c r="AN831" s="81" t="str">
        <f t="shared" si="961"/>
        <v/>
      </c>
      <c r="AO831" s="88">
        <f t="shared" si="924"/>
        <v>0</v>
      </c>
      <c r="AP831" s="88">
        <f t="shared" si="925"/>
        <v>0</v>
      </c>
      <c r="AQ831" s="81" t="str">
        <f t="shared" si="926"/>
        <v/>
      </c>
      <c r="AS831" s="41" t="b">
        <f t="shared" si="927"/>
        <v>1</v>
      </c>
      <c r="AT831" s="38">
        <f t="shared" si="928"/>
        <v>0</v>
      </c>
      <c r="AU831" s="60">
        <f t="shared" si="929"/>
        <v>0</v>
      </c>
      <c r="AV831" s="41">
        <f t="shared" si="930"/>
        <v>0</v>
      </c>
      <c r="AW831" s="41" t="b">
        <f t="shared" si="931"/>
        <v>0</v>
      </c>
      <c r="AX831" t="str">
        <f t="shared" si="932"/>
        <v>+00</v>
      </c>
      <c r="AY831" t="str">
        <f t="shared" si="933"/>
        <v>+00</v>
      </c>
      <c r="BA831" s="47" t="b">
        <f t="shared" si="962"/>
        <v>1</v>
      </c>
      <c r="BB831" s="42" t="b">
        <f t="shared" si="963"/>
        <v>1</v>
      </c>
      <c r="BC831" s="42" t="b">
        <f t="shared" si="964"/>
        <v>0</v>
      </c>
      <c r="BD831" s="42" t="b">
        <f t="shared" si="965"/>
        <v>0</v>
      </c>
      <c r="BE831" s="70">
        <f t="shared" si="966"/>
        <v>0</v>
      </c>
      <c r="BF831" s="70">
        <f t="shared" si="967"/>
        <v>0</v>
      </c>
      <c r="BG831" s="34"/>
      <c r="BI831" s="47" t="b">
        <f t="shared" si="968"/>
        <v>1</v>
      </c>
      <c r="BJ831" s="47" t="b">
        <f t="shared" si="969"/>
        <v>1</v>
      </c>
      <c r="BK831" s="42" t="b">
        <f t="shared" si="970"/>
        <v>0</v>
      </c>
      <c r="BL831" s="42" t="b">
        <f t="shared" si="971"/>
        <v>0</v>
      </c>
      <c r="BM831" s="42">
        <f t="shared" si="972"/>
        <v>0</v>
      </c>
      <c r="BN831" s="42">
        <f t="shared" si="973"/>
        <v>0</v>
      </c>
      <c r="BP831" t="e">
        <f t="shared" si="974"/>
        <v>#N/A</v>
      </c>
      <c r="BQ831" t="e">
        <f t="shared" si="975"/>
        <v>#N/A</v>
      </c>
      <c r="BR831" t="e">
        <f t="shared" si="976"/>
        <v>#N/A</v>
      </c>
      <c r="BT831" s="60">
        <f t="shared" si="977"/>
        <v>0</v>
      </c>
      <c r="BU831" s="60">
        <f t="shared" si="978"/>
        <v>0</v>
      </c>
      <c r="BV831" s="60">
        <f t="shared" si="979"/>
        <v>0</v>
      </c>
      <c r="BW831" s="60">
        <f t="shared" si="980"/>
        <v>0</v>
      </c>
      <c r="BX831" s="60">
        <f t="shared" si="981"/>
        <v>0</v>
      </c>
      <c r="BY831" s="60">
        <f t="shared" si="982"/>
        <v>0</v>
      </c>
      <c r="BZ831" s="60">
        <f t="shared" si="983"/>
        <v>0</v>
      </c>
      <c r="CA831" s="60">
        <f t="shared" si="984"/>
        <v>0</v>
      </c>
      <c r="CB831" s="60" t="e">
        <f t="shared" si="934"/>
        <v>#N/A</v>
      </c>
      <c r="CC831" s="60">
        <f t="shared" si="935"/>
        <v>100000</v>
      </c>
      <c r="CD831" s="60" t="e">
        <f t="shared" si="936"/>
        <v>#N/A</v>
      </c>
      <c r="CE831" s="60">
        <f t="shared" si="937"/>
        <v>100000</v>
      </c>
      <c r="CF831" s="83" t="e">
        <f t="shared" si="985"/>
        <v>#N/A</v>
      </c>
      <c r="CG831" s="83">
        <f t="shared" si="986"/>
        <v>0</v>
      </c>
      <c r="CH831" s="83" t="e">
        <f t="shared" si="987"/>
        <v>#N/A</v>
      </c>
      <c r="CI831" s="83">
        <f t="shared" si="988"/>
        <v>0</v>
      </c>
      <c r="CJ831" s="86" t="e">
        <f t="shared" si="938"/>
        <v>#N/A</v>
      </c>
      <c r="CK831" s="82">
        <f t="shared" si="939"/>
        <v>5.3070370403969858E-3</v>
      </c>
      <c r="CL831" s="82" t="e">
        <f t="shared" si="940"/>
        <v>#N/A</v>
      </c>
      <c r="CM831" s="82">
        <f t="shared" si="941"/>
        <v>5.3070370403969858E-3</v>
      </c>
      <c r="CO831" s="149" t="str">
        <f>IF($I831&lt;&gt;"",IF(O831="User Specified",U831,INDEX('Refrigerant GWPs'!$G$2:$G$156,MATCH(O831,'Refrigerant GWPs'!$A$2:$A$156,0))),"")</f>
        <v/>
      </c>
      <c r="CP831" s="138" t="str">
        <f>IF($I831&lt;&gt;"",INDEX('Device Refrigerant Leakage'!$E$2:$E$42,MATCH($M831,'Device Refrigerant Leakage'!$B$2:$B$42,0)),"")</f>
        <v/>
      </c>
      <c r="CQ831" s="138" t="str">
        <f>IF($I831&lt;&gt;"",INDEX('Device Refrigerant Leakage'!$F$2:$F$42,MATCH($M831,'Device Refrigerant Leakage'!$B$2:$B$42,0)),"")</f>
        <v/>
      </c>
      <c r="CR831" s="145" t="str">
        <f>IF($I831&lt;&gt;"",INDEX('Device Refrigerant Leakage'!$G$2:$G$42,MATCH($M831,'Device Refrigerant Leakage'!$B$2:$B$42,0)),"")</f>
        <v/>
      </c>
      <c r="CS831" s="145" t="str">
        <f>IF($I831&lt;&gt;"",INDEX('Device Refrigerant Leakage'!$D$2:$D$42,MATCH($M831,'Device Refrigerant Leakage'!$B$2:$B$42,0))*CP831/2204.62*CO831,"")</f>
        <v/>
      </c>
      <c r="CT831" s="145" t="str">
        <f>IF($I831&lt;&gt;"",J831*(INDEX('Device Refrigerant Leakage'!$D$2:$D$42,MATCH($M831,'Device Refrigerant Leakage'!$B$2:$B$42,0))-(INDEX('Device Refrigerant Leakage'!$D$2:$D$42,MATCH($M831,'Device Refrigerant Leakage'!$B$2:$B$42,0)))*CR831*CP831)*CQ831/2204.62*CO831,"")</f>
        <v/>
      </c>
      <c r="CU831" s="135" t="str">
        <f>IF($I831&lt;&gt;"",J831*IF(W831&lt;&gt;"AR",(CS831*K831)+CT831,(CS831*AB831)+CT831*(AB831/INDEX('Device Refrigerant Leakage'!$C$2:$C$42,MATCH($M831,'Device Refrigerant Leakage'!$B$2:$B$42,0)))),"")</f>
        <v/>
      </c>
      <c r="CW831" s="135" t="str">
        <f>IF($I831&lt;&gt;"",IF(S831="User Specified",V831,INDEX('Refrigerant GWPs'!$G$2:$G$156,MATCH(S831,'Refrigerant GWPs'!$A$2:$A$157,0))),"")</f>
        <v/>
      </c>
      <c r="CX831" s="138" t="str">
        <f>IF($I831&lt;&gt;"",INDEX('Device Refrigerant Leakage'!$E$2:$E$42,MATCH($Q831,'Device Refrigerant Leakage'!$B$2:$B$42,0)),"")</f>
        <v/>
      </c>
      <c r="CY831" s="138" t="str">
        <f>IF($I831&lt;&gt;"",INDEX('Device Refrigerant Leakage'!$F$2:$F$42,MATCH($Q831,'Device Refrigerant Leakage'!$B$2:$B$42,0)),"")</f>
        <v/>
      </c>
      <c r="CZ831" s="145" t="str">
        <f>IF($I831&lt;&gt;"",INDEX('Device Refrigerant Leakage'!$G$2:$G$42,MATCH($Q831,'Device Refrigerant Leakage'!$B$2:$B$42,0)),"")</f>
        <v/>
      </c>
      <c r="DA831" s="145" t="str">
        <f>IF($I831&lt;&gt;"",J831*INDEX('Device Refrigerant Leakage'!$D$2:$D$42,MATCH($Q831,'Device Refrigerant Leakage'!$B$2:$B$42,0))*CX831/2204.62*CW831,"")</f>
        <v/>
      </c>
      <c r="DB831" s="145" t="str">
        <f>IF($I831&lt;&gt;"",J831*(INDEX('Device Refrigerant Leakage'!$D$2:$D$42,MATCH($Q831,'Device Refrigerant Leakage'!$B$2:$B$42,0))-(INDEX('Device Refrigerant Leakage'!$D$2:$D$42,MATCH($Q831,'Device Refrigerant Leakage'!$B$2:$B$42,0)))*CZ831*CX831)*CY831/2204.62*CW831,"")</f>
        <v/>
      </c>
      <c r="DC831" s="135" t="str">
        <f t="shared" si="960"/>
        <v/>
      </c>
      <c r="DE831" s="146" t="str">
        <f>IF(W831&lt;&gt;"AR","",IF(Y831="User Specified", AA831, INDEX('Refrigerant GWPs'!$G$2:$G$154,MATCH(Y831,'Refrigerant GWPs'!$A$2:$A$154,0))))</f>
        <v/>
      </c>
      <c r="DF831" s="146" t="str">
        <f>IF(W831&lt;&gt;"AR","",INDEX('Device Refrigerant Leakage'!$E$2:$E$42,MATCH(X831,'Device Refrigerant Leakage'!$B$2:$B$42,0)))</f>
        <v/>
      </c>
      <c r="DG831" s="146" t="str">
        <f>IF(W831&lt;&gt;"AR","",INDEX('Device Refrigerant Leakage'!$F$2:$F$42,MATCH(X831,'Device Refrigerant Leakage'!$B$2:$B$42,0)))</f>
        <v/>
      </c>
      <c r="DH831" s="146" t="str">
        <f>IF(W831&lt;&gt;"AR","",INDEX('Device Refrigerant Leakage'!$G$2:$G$42,MATCH(X831,'Device Refrigerant Leakage'!$B$2:$B$42,0)))</f>
        <v/>
      </c>
      <c r="DI831" s="146" t="str">
        <f>IF(W831&lt;&gt;"AR","",J831*INDEX('Device Refrigerant Leakage'!$D$2:$D$42,MATCH(X831,'Device Refrigerant Leakage'!$B$2:$B$42,0))*DF831/2204.62*DE831)</f>
        <v/>
      </c>
      <c r="DJ831" s="146" t="str">
        <f>IF(W831&lt;&gt;"AR","",J831*(INDEX('Device Refrigerant Leakage'!$D$2:$D$42,MATCH(X831,'Device Refrigerant Leakage'!$B$2:$B$42,0))-(INDEX('Device Refrigerant Leakage'!$D$2:$D$42,MATCH(X831,'Device Refrigerant Leakage'!$B$2:$B$42,0)))*DH831*DF831)*DG831/2204.62*DE831)</f>
        <v/>
      </c>
      <c r="DK831" s="146" t="str">
        <f>IF(W831&lt;&gt;"AR","",DI831*(K831-AB831)+'Fuel Sub Calcs-Deemed'!DJ831*((K831-AB831)/INDEX('Device Refrigerant Leakage'!$C$2:$C$42,MATCH('Fuel Sub Calcs-Deemed'!X831,'Device Refrigerant Leakage'!$B$2:$B$42,0))))</f>
        <v/>
      </c>
      <c r="DM831" s="56">
        <v>817</v>
      </c>
      <c r="DN831" s="67" t="e">
        <f t="shared" si="942"/>
        <v>#N/A</v>
      </c>
      <c r="DO831" s="45" t="e">
        <f t="shared" si="943"/>
        <v>#N/A</v>
      </c>
      <c r="DP831" s="67" t="e">
        <f t="shared" si="944"/>
        <v>#N/A</v>
      </c>
      <c r="DQ831" s="45" t="e">
        <f t="shared" si="945"/>
        <v>#N/A</v>
      </c>
      <c r="DR831" s="69" t="e">
        <f t="shared" si="946"/>
        <v>#N/A</v>
      </c>
      <c r="DS831" s="34"/>
      <c r="DT831" s="67" t="e">
        <f>((BX831*CJ831)+IF($W831=MAT_AR,(BZ831*CL831),0))*(1+Reference!$E$50+Reference!$E$51)</f>
        <v>#N/A</v>
      </c>
      <c r="DU831" s="67">
        <f>((BY831*CK831)+IF($W831=MAT_AR,(CA831*CM831),0))*(1+Reference!$G$50+Reference!$G$51)</f>
        <v>0</v>
      </c>
      <c r="DV831" s="67" t="e">
        <f t="shared" si="947"/>
        <v>#VALUE!</v>
      </c>
      <c r="DX831" s="56">
        <v>817</v>
      </c>
      <c r="DY831" s="67">
        <f t="shared" si="948"/>
        <v>0</v>
      </c>
      <c r="DZ831" s="45" t="e">
        <f>VLOOKUP($R831,Dropdown!$C$3:$D$4,2,FALSE)</f>
        <v>#N/A</v>
      </c>
      <c r="EA831" s="68">
        <f t="shared" si="949"/>
        <v>0</v>
      </c>
      <c r="EB831" s="68" t="str">
        <f t="shared" si="950"/>
        <v>N/A</v>
      </c>
      <c r="EC831" s="68">
        <f t="shared" si="951"/>
        <v>0</v>
      </c>
      <c r="ED831" s="68" t="str">
        <f t="shared" si="989"/>
        <v>N/A</v>
      </c>
      <c r="EF831" s="56">
        <v>817</v>
      </c>
      <c r="EG831" s="46">
        <f t="shared" si="952"/>
        <v>0</v>
      </c>
      <c r="EH831" s="68" t="e">
        <f t="shared" si="953"/>
        <v>#N/A</v>
      </c>
      <c r="EI831" s="68" t="e">
        <f t="shared" si="954"/>
        <v>#N/A</v>
      </c>
      <c r="EJ831" s="68" t="e">
        <f t="shared" si="955"/>
        <v>#N/A</v>
      </c>
      <c r="EK831" s="68" t="e">
        <f t="shared" si="956"/>
        <v>#N/A</v>
      </c>
      <c r="EL831" s="46">
        <f t="shared" si="957"/>
        <v>0</v>
      </c>
      <c r="EM831" s="46">
        <f t="shared" si="958"/>
        <v>0</v>
      </c>
    </row>
    <row r="832" spans="1:143">
      <c r="A832" s="89"/>
      <c r="B832" s="89"/>
      <c r="C832" s="89"/>
      <c r="D832" s="89"/>
      <c r="E832" s="89"/>
      <c r="F832" s="89"/>
      <c r="G832" s="34"/>
      <c r="H832" s="56">
        <f t="shared" si="959"/>
        <v>818</v>
      </c>
      <c r="I832" s="165"/>
      <c r="J832" s="163"/>
      <c r="K832" s="163"/>
      <c r="L832" s="164"/>
      <c r="M832" s="155"/>
      <c r="N832" s="155"/>
      <c r="O832" s="144"/>
      <c r="P832" s="159" t="str">
        <f>IFERROR(IF(O832&lt;&gt;"User Specified",IF(O832&lt;&gt;"", INDEX('Refrigerant GWPs'!$G$2:$G$154,MATCH(O832,'Refrigerant GWPs'!$A$2:$A$154,0)),""),U832),0)</f>
        <v/>
      </c>
      <c r="Q832" s="155"/>
      <c r="R832" s="155"/>
      <c r="S832" s="144"/>
      <c r="T832" s="159" t="str">
        <f>IF(S832&lt;&gt;"User Specified",IF(AND(S832&lt;&gt;"User Specified",S832&lt;&gt;""), INDEX('Refrigerant GWPs'!$G$2:$G$154,MATCH(S832,'Refrigerant GWPs'!$A$2:$A$154,0)),""),V832)</f>
        <v/>
      </c>
      <c r="U832" s="144"/>
      <c r="V832" s="144"/>
      <c r="W832" s="155"/>
      <c r="X832" s="155"/>
      <c r="Y832" s="144"/>
      <c r="Z832" s="159" t="str">
        <f>IF(AND(Y832&lt;&gt;"User Specified",Y832&lt;&gt;""), INDEX('Refrigerant GWPs'!$G$2:$G$154,MATCH(Y832,'Refrigerant GWPs'!$A$2:$A$154,0)),"")</f>
        <v/>
      </c>
      <c r="AA832" s="155"/>
      <c r="AB832" s="156"/>
      <c r="AC832" s="66"/>
      <c r="AD832" s="66"/>
      <c r="AE832" s="66"/>
      <c r="AF832" s="66"/>
      <c r="AG832" s="66"/>
      <c r="AH832" s="66"/>
      <c r="AI832" s="34"/>
      <c r="AJ832" s="88">
        <f t="shared" si="922"/>
        <v>0</v>
      </c>
      <c r="AK832" s="88">
        <f t="shared" si="923"/>
        <v>0</v>
      </c>
      <c r="AL832" s="88">
        <v>0</v>
      </c>
      <c r="AM832" s="88">
        <v>0</v>
      </c>
      <c r="AN832" s="81" t="str">
        <f t="shared" si="961"/>
        <v/>
      </c>
      <c r="AO832" s="88">
        <f t="shared" si="924"/>
        <v>0</v>
      </c>
      <c r="AP832" s="88">
        <f t="shared" si="925"/>
        <v>0</v>
      </c>
      <c r="AQ832" s="81" t="str">
        <f t="shared" si="926"/>
        <v/>
      </c>
      <c r="AS832" s="41" t="b">
        <f t="shared" si="927"/>
        <v>1</v>
      </c>
      <c r="AT832" s="38">
        <f t="shared" si="928"/>
        <v>0</v>
      </c>
      <c r="AU832" s="60">
        <f t="shared" si="929"/>
        <v>0</v>
      </c>
      <c r="AV832" s="41">
        <f t="shared" si="930"/>
        <v>0</v>
      </c>
      <c r="AW832" s="41" t="b">
        <f t="shared" si="931"/>
        <v>0</v>
      </c>
      <c r="AX832" t="str">
        <f t="shared" si="932"/>
        <v>+00</v>
      </c>
      <c r="AY832" t="str">
        <f t="shared" si="933"/>
        <v>+00</v>
      </c>
      <c r="BA832" s="47" t="b">
        <f t="shared" si="962"/>
        <v>1</v>
      </c>
      <c r="BB832" s="42" t="b">
        <f t="shared" si="963"/>
        <v>1</v>
      </c>
      <c r="BC832" s="42" t="b">
        <f t="shared" si="964"/>
        <v>0</v>
      </c>
      <c r="BD832" s="42" t="b">
        <f t="shared" si="965"/>
        <v>0</v>
      </c>
      <c r="BE832" s="70">
        <f t="shared" si="966"/>
        <v>0</v>
      </c>
      <c r="BF832" s="70">
        <f t="shared" si="967"/>
        <v>0</v>
      </c>
      <c r="BG832" s="34"/>
      <c r="BI832" s="47" t="b">
        <f t="shared" si="968"/>
        <v>1</v>
      </c>
      <c r="BJ832" s="47" t="b">
        <f t="shared" si="969"/>
        <v>1</v>
      </c>
      <c r="BK832" s="42" t="b">
        <f t="shared" si="970"/>
        <v>0</v>
      </c>
      <c r="BL832" s="42" t="b">
        <f t="shared" si="971"/>
        <v>0</v>
      </c>
      <c r="BM832" s="42">
        <f t="shared" si="972"/>
        <v>0</v>
      </c>
      <c r="BN832" s="42">
        <f t="shared" si="973"/>
        <v>0</v>
      </c>
      <c r="BP832" t="e">
        <f t="shared" si="974"/>
        <v>#N/A</v>
      </c>
      <c r="BQ832" t="e">
        <f t="shared" si="975"/>
        <v>#N/A</v>
      </c>
      <c r="BR832" t="e">
        <f t="shared" si="976"/>
        <v>#N/A</v>
      </c>
      <c r="BT832" s="60">
        <f t="shared" si="977"/>
        <v>0</v>
      </c>
      <c r="BU832" s="60">
        <f t="shared" si="978"/>
        <v>0</v>
      </c>
      <c r="BV832" s="60">
        <f t="shared" si="979"/>
        <v>0</v>
      </c>
      <c r="BW832" s="60">
        <f t="shared" si="980"/>
        <v>0</v>
      </c>
      <c r="BX832" s="60">
        <f t="shared" si="981"/>
        <v>0</v>
      </c>
      <c r="BY832" s="60">
        <f t="shared" si="982"/>
        <v>0</v>
      </c>
      <c r="BZ832" s="60">
        <f t="shared" si="983"/>
        <v>0</v>
      </c>
      <c r="CA832" s="60">
        <f t="shared" si="984"/>
        <v>0</v>
      </c>
      <c r="CB832" s="60" t="e">
        <f t="shared" si="934"/>
        <v>#N/A</v>
      </c>
      <c r="CC832" s="60">
        <f t="shared" si="935"/>
        <v>100000</v>
      </c>
      <c r="CD832" s="60" t="e">
        <f t="shared" si="936"/>
        <v>#N/A</v>
      </c>
      <c r="CE832" s="60">
        <f t="shared" si="937"/>
        <v>100000</v>
      </c>
      <c r="CF832" s="83" t="e">
        <f t="shared" si="985"/>
        <v>#N/A</v>
      </c>
      <c r="CG832" s="83">
        <f t="shared" si="986"/>
        <v>0</v>
      </c>
      <c r="CH832" s="83" t="e">
        <f t="shared" si="987"/>
        <v>#N/A</v>
      </c>
      <c r="CI832" s="83">
        <f t="shared" si="988"/>
        <v>0</v>
      </c>
      <c r="CJ832" s="86" t="e">
        <f t="shared" si="938"/>
        <v>#N/A</v>
      </c>
      <c r="CK832" s="82">
        <f t="shared" si="939"/>
        <v>5.3070370403969858E-3</v>
      </c>
      <c r="CL832" s="82" t="e">
        <f t="shared" si="940"/>
        <v>#N/A</v>
      </c>
      <c r="CM832" s="82">
        <f t="shared" si="941"/>
        <v>5.3070370403969858E-3</v>
      </c>
      <c r="CO832" s="149" t="str">
        <f>IF($I832&lt;&gt;"",IF(O832="User Specified",U832,INDEX('Refrigerant GWPs'!$G$2:$G$156,MATCH(O832,'Refrigerant GWPs'!$A$2:$A$156,0))),"")</f>
        <v/>
      </c>
      <c r="CP832" s="138" t="str">
        <f>IF($I832&lt;&gt;"",INDEX('Device Refrigerant Leakage'!$E$2:$E$42,MATCH($M832,'Device Refrigerant Leakage'!$B$2:$B$42,0)),"")</f>
        <v/>
      </c>
      <c r="CQ832" s="138" t="str">
        <f>IF($I832&lt;&gt;"",INDEX('Device Refrigerant Leakage'!$F$2:$F$42,MATCH($M832,'Device Refrigerant Leakage'!$B$2:$B$42,0)),"")</f>
        <v/>
      </c>
      <c r="CR832" s="145" t="str">
        <f>IF($I832&lt;&gt;"",INDEX('Device Refrigerant Leakage'!$G$2:$G$42,MATCH($M832,'Device Refrigerant Leakage'!$B$2:$B$42,0)),"")</f>
        <v/>
      </c>
      <c r="CS832" s="145" t="str">
        <f>IF($I832&lt;&gt;"",INDEX('Device Refrigerant Leakage'!$D$2:$D$42,MATCH($M832,'Device Refrigerant Leakage'!$B$2:$B$42,0))*CP832/2204.62*CO832,"")</f>
        <v/>
      </c>
      <c r="CT832" s="145" t="str">
        <f>IF($I832&lt;&gt;"",J832*(INDEX('Device Refrigerant Leakage'!$D$2:$D$42,MATCH($M832,'Device Refrigerant Leakage'!$B$2:$B$42,0))-(INDEX('Device Refrigerant Leakage'!$D$2:$D$42,MATCH($M832,'Device Refrigerant Leakage'!$B$2:$B$42,0)))*CR832*CP832)*CQ832/2204.62*CO832,"")</f>
        <v/>
      </c>
      <c r="CU832" s="135" t="str">
        <f>IF($I832&lt;&gt;"",J832*IF(W832&lt;&gt;"AR",(CS832*K832)+CT832,(CS832*AB832)+CT832*(AB832/INDEX('Device Refrigerant Leakage'!$C$2:$C$42,MATCH($M832,'Device Refrigerant Leakage'!$B$2:$B$42,0)))),"")</f>
        <v/>
      </c>
      <c r="CW832" s="135" t="str">
        <f>IF($I832&lt;&gt;"",IF(S832="User Specified",V832,INDEX('Refrigerant GWPs'!$G$2:$G$156,MATCH(S832,'Refrigerant GWPs'!$A$2:$A$157,0))),"")</f>
        <v/>
      </c>
      <c r="CX832" s="138" t="str">
        <f>IF($I832&lt;&gt;"",INDEX('Device Refrigerant Leakage'!$E$2:$E$42,MATCH($Q832,'Device Refrigerant Leakage'!$B$2:$B$42,0)),"")</f>
        <v/>
      </c>
      <c r="CY832" s="138" t="str">
        <f>IF($I832&lt;&gt;"",INDEX('Device Refrigerant Leakage'!$F$2:$F$42,MATCH($Q832,'Device Refrigerant Leakage'!$B$2:$B$42,0)),"")</f>
        <v/>
      </c>
      <c r="CZ832" s="145" t="str">
        <f>IF($I832&lt;&gt;"",INDEX('Device Refrigerant Leakage'!$G$2:$G$42,MATCH($Q832,'Device Refrigerant Leakage'!$B$2:$B$42,0)),"")</f>
        <v/>
      </c>
      <c r="DA832" s="145" t="str">
        <f>IF($I832&lt;&gt;"",J832*INDEX('Device Refrigerant Leakage'!$D$2:$D$42,MATCH($Q832,'Device Refrigerant Leakage'!$B$2:$B$42,0))*CX832/2204.62*CW832,"")</f>
        <v/>
      </c>
      <c r="DB832" s="145" t="str">
        <f>IF($I832&lt;&gt;"",J832*(INDEX('Device Refrigerant Leakage'!$D$2:$D$42,MATCH($Q832,'Device Refrigerant Leakage'!$B$2:$B$42,0))-(INDEX('Device Refrigerant Leakage'!$D$2:$D$42,MATCH($Q832,'Device Refrigerant Leakage'!$B$2:$B$42,0)))*CZ832*CX832)*CY832/2204.62*CW832,"")</f>
        <v/>
      </c>
      <c r="DC832" s="135" t="str">
        <f t="shared" si="960"/>
        <v/>
      </c>
      <c r="DE832" s="146" t="str">
        <f>IF(W832&lt;&gt;"AR","",IF(Y832="User Specified", AA832, INDEX('Refrigerant GWPs'!$G$2:$G$154,MATCH(Y832,'Refrigerant GWPs'!$A$2:$A$154,0))))</f>
        <v/>
      </c>
      <c r="DF832" s="146" t="str">
        <f>IF(W832&lt;&gt;"AR","",INDEX('Device Refrigerant Leakage'!$E$2:$E$42,MATCH(X832,'Device Refrigerant Leakage'!$B$2:$B$42,0)))</f>
        <v/>
      </c>
      <c r="DG832" s="146" t="str">
        <f>IF(W832&lt;&gt;"AR","",INDEX('Device Refrigerant Leakage'!$F$2:$F$42,MATCH(X832,'Device Refrigerant Leakage'!$B$2:$B$42,0)))</f>
        <v/>
      </c>
      <c r="DH832" s="146" t="str">
        <f>IF(W832&lt;&gt;"AR","",INDEX('Device Refrigerant Leakage'!$G$2:$G$42,MATCH(X832,'Device Refrigerant Leakage'!$B$2:$B$42,0)))</f>
        <v/>
      </c>
      <c r="DI832" s="146" t="str">
        <f>IF(W832&lt;&gt;"AR","",J832*INDEX('Device Refrigerant Leakage'!$D$2:$D$42,MATCH(X832,'Device Refrigerant Leakage'!$B$2:$B$42,0))*DF832/2204.62*DE832)</f>
        <v/>
      </c>
      <c r="DJ832" s="146" t="str">
        <f>IF(W832&lt;&gt;"AR","",J832*(INDEX('Device Refrigerant Leakage'!$D$2:$D$42,MATCH(X832,'Device Refrigerant Leakage'!$B$2:$B$42,0))-(INDEX('Device Refrigerant Leakage'!$D$2:$D$42,MATCH(X832,'Device Refrigerant Leakage'!$B$2:$B$42,0)))*DH832*DF832)*DG832/2204.62*DE832)</f>
        <v/>
      </c>
      <c r="DK832" s="146" t="str">
        <f>IF(W832&lt;&gt;"AR","",DI832*(K832-AB832)+'Fuel Sub Calcs-Deemed'!DJ832*((K832-AB832)/INDEX('Device Refrigerant Leakage'!$C$2:$C$42,MATCH('Fuel Sub Calcs-Deemed'!X832,'Device Refrigerant Leakage'!$B$2:$B$42,0))))</f>
        <v/>
      </c>
      <c r="DM832" s="56">
        <v>818</v>
      </c>
      <c r="DN832" s="67" t="e">
        <f t="shared" si="942"/>
        <v>#N/A</v>
      </c>
      <c r="DO832" s="45" t="e">
        <f t="shared" si="943"/>
        <v>#N/A</v>
      </c>
      <c r="DP832" s="67" t="e">
        <f t="shared" si="944"/>
        <v>#N/A</v>
      </c>
      <c r="DQ832" s="45" t="e">
        <f t="shared" si="945"/>
        <v>#N/A</v>
      </c>
      <c r="DR832" s="69" t="e">
        <f t="shared" si="946"/>
        <v>#N/A</v>
      </c>
      <c r="DS832" s="34"/>
      <c r="DT832" s="67" t="e">
        <f>((BX832*CJ832)+IF($W832=MAT_AR,(BZ832*CL832),0))*(1+Reference!$E$50+Reference!$E$51)</f>
        <v>#N/A</v>
      </c>
      <c r="DU832" s="67">
        <f>((BY832*CK832)+IF($W832=MAT_AR,(CA832*CM832),0))*(1+Reference!$G$50+Reference!$G$51)</f>
        <v>0</v>
      </c>
      <c r="DV832" s="67" t="e">
        <f t="shared" si="947"/>
        <v>#VALUE!</v>
      </c>
      <c r="DX832" s="56">
        <v>818</v>
      </c>
      <c r="DY832" s="67">
        <f t="shared" si="948"/>
        <v>0</v>
      </c>
      <c r="DZ832" s="45" t="e">
        <f>VLOOKUP($R832,Dropdown!$C$3:$D$4,2,FALSE)</f>
        <v>#N/A</v>
      </c>
      <c r="EA832" s="68">
        <f t="shared" si="949"/>
        <v>0</v>
      </c>
      <c r="EB832" s="68" t="str">
        <f t="shared" si="950"/>
        <v>N/A</v>
      </c>
      <c r="EC832" s="68">
        <f t="shared" si="951"/>
        <v>0</v>
      </c>
      <c r="ED832" s="68" t="str">
        <f t="shared" si="989"/>
        <v>N/A</v>
      </c>
      <c r="EF832" s="56">
        <v>818</v>
      </c>
      <c r="EG832" s="46">
        <f t="shared" si="952"/>
        <v>0</v>
      </c>
      <c r="EH832" s="68" t="e">
        <f t="shared" si="953"/>
        <v>#N/A</v>
      </c>
      <c r="EI832" s="68" t="e">
        <f t="shared" si="954"/>
        <v>#N/A</v>
      </c>
      <c r="EJ832" s="68" t="e">
        <f t="shared" si="955"/>
        <v>#N/A</v>
      </c>
      <c r="EK832" s="68" t="e">
        <f t="shared" si="956"/>
        <v>#N/A</v>
      </c>
      <c r="EL832" s="46">
        <f t="shared" si="957"/>
        <v>0</v>
      </c>
      <c r="EM832" s="46">
        <f t="shared" si="958"/>
        <v>0</v>
      </c>
    </row>
    <row r="833" spans="1:143">
      <c r="A833" s="89"/>
      <c r="B833" s="89"/>
      <c r="C833" s="89"/>
      <c r="D833" s="89"/>
      <c r="E833" s="89"/>
      <c r="F833" s="89"/>
      <c r="G833" s="34"/>
      <c r="H833" s="56">
        <f t="shared" si="959"/>
        <v>819</v>
      </c>
      <c r="I833" s="165"/>
      <c r="J833" s="163"/>
      <c r="K833" s="163"/>
      <c r="L833" s="164"/>
      <c r="M833" s="155"/>
      <c r="N833" s="155"/>
      <c r="O833" s="144"/>
      <c r="P833" s="159" t="str">
        <f>IFERROR(IF(O833&lt;&gt;"User Specified",IF(O833&lt;&gt;"", INDEX('Refrigerant GWPs'!$G$2:$G$154,MATCH(O833,'Refrigerant GWPs'!$A$2:$A$154,0)),""),U833),0)</f>
        <v/>
      </c>
      <c r="Q833" s="155"/>
      <c r="R833" s="155"/>
      <c r="S833" s="144"/>
      <c r="T833" s="159" t="str">
        <f>IF(S833&lt;&gt;"User Specified",IF(AND(S833&lt;&gt;"User Specified",S833&lt;&gt;""), INDEX('Refrigerant GWPs'!$G$2:$G$154,MATCH(S833,'Refrigerant GWPs'!$A$2:$A$154,0)),""),V833)</f>
        <v/>
      </c>
      <c r="U833" s="144"/>
      <c r="V833" s="144"/>
      <c r="W833" s="155"/>
      <c r="X833" s="155"/>
      <c r="Y833" s="144"/>
      <c r="Z833" s="159" t="str">
        <f>IF(AND(Y833&lt;&gt;"User Specified",Y833&lt;&gt;""), INDEX('Refrigerant GWPs'!$G$2:$G$154,MATCH(Y833,'Refrigerant GWPs'!$A$2:$A$154,0)),"")</f>
        <v/>
      </c>
      <c r="AA833" s="155"/>
      <c r="AB833" s="156"/>
      <c r="AC833" s="66"/>
      <c r="AD833" s="66"/>
      <c r="AE833" s="66"/>
      <c r="AF833" s="66"/>
      <c r="AG833" s="66"/>
      <c r="AH833" s="66"/>
      <c r="AI833" s="34"/>
      <c r="AJ833" s="88">
        <f t="shared" si="922"/>
        <v>0</v>
      </c>
      <c r="AK833" s="88">
        <f t="shared" si="923"/>
        <v>0</v>
      </c>
      <c r="AL833" s="88">
        <v>0</v>
      </c>
      <c r="AM833" s="88">
        <v>0</v>
      </c>
      <c r="AN833" s="81" t="str">
        <f t="shared" si="961"/>
        <v/>
      </c>
      <c r="AO833" s="88">
        <f t="shared" si="924"/>
        <v>0</v>
      </c>
      <c r="AP833" s="88">
        <f t="shared" si="925"/>
        <v>0</v>
      </c>
      <c r="AQ833" s="81" t="str">
        <f t="shared" si="926"/>
        <v/>
      </c>
      <c r="AS833" s="41" t="b">
        <f t="shared" si="927"/>
        <v>1</v>
      </c>
      <c r="AT833" s="38">
        <f t="shared" si="928"/>
        <v>0</v>
      </c>
      <c r="AU833" s="60">
        <f t="shared" si="929"/>
        <v>0</v>
      </c>
      <c r="AV833" s="41">
        <f t="shared" si="930"/>
        <v>0</v>
      </c>
      <c r="AW833" s="41" t="b">
        <f t="shared" si="931"/>
        <v>0</v>
      </c>
      <c r="AX833" t="str">
        <f t="shared" si="932"/>
        <v>+00</v>
      </c>
      <c r="AY833" t="str">
        <f t="shared" si="933"/>
        <v>+00</v>
      </c>
      <c r="BA833" s="47" t="b">
        <f t="shared" si="962"/>
        <v>1</v>
      </c>
      <c r="BB833" s="42" t="b">
        <f t="shared" si="963"/>
        <v>1</v>
      </c>
      <c r="BC833" s="42" t="b">
        <f t="shared" si="964"/>
        <v>0</v>
      </c>
      <c r="BD833" s="42" t="b">
        <f t="shared" si="965"/>
        <v>0</v>
      </c>
      <c r="BE833" s="70">
        <f t="shared" si="966"/>
        <v>0</v>
      </c>
      <c r="BF833" s="70">
        <f t="shared" si="967"/>
        <v>0</v>
      </c>
      <c r="BG833" s="34"/>
      <c r="BI833" s="47" t="b">
        <f t="shared" si="968"/>
        <v>1</v>
      </c>
      <c r="BJ833" s="47" t="b">
        <f t="shared" si="969"/>
        <v>1</v>
      </c>
      <c r="BK833" s="42" t="b">
        <f t="shared" si="970"/>
        <v>0</v>
      </c>
      <c r="BL833" s="42" t="b">
        <f t="shared" si="971"/>
        <v>0</v>
      </c>
      <c r="BM833" s="42">
        <f t="shared" si="972"/>
        <v>0</v>
      </c>
      <c r="BN833" s="42">
        <f t="shared" si="973"/>
        <v>0</v>
      </c>
      <c r="BP833" t="e">
        <f t="shared" si="974"/>
        <v>#N/A</v>
      </c>
      <c r="BQ833" t="e">
        <f t="shared" si="975"/>
        <v>#N/A</v>
      </c>
      <c r="BR833" t="e">
        <f t="shared" si="976"/>
        <v>#N/A</v>
      </c>
      <c r="BT833" s="60">
        <f t="shared" si="977"/>
        <v>0</v>
      </c>
      <c r="BU833" s="60">
        <f t="shared" si="978"/>
        <v>0</v>
      </c>
      <c r="BV833" s="60">
        <f t="shared" si="979"/>
        <v>0</v>
      </c>
      <c r="BW833" s="60">
        <f t="shared" si="980"/>
        <v>0</v>
      </c>
      <c r="BX833" s="60">
        <f t="shared" si="981"/>
        <v>0</v>
      </c>
      <c r="BY833" s="60">
        <f t="shared" si="982"/>
        <v>0</v>
      </c>
      <c r="BZ833" s="60">
        <f t="shared" si="983"/>
        <v>0</v>
      </c>
      <c r="CA833" s="60">
        <f t="shared" si="984"/>
        <v>0</v>
      </c>
      <c r="CB833" s="60" t="e">
        <f t="shared" si="934"/>
        <v>#N/A</v>
      </c>
      <c r="CC833" s="60">
        <f t="shared" si="935"/>
        <v>100000</v>
      </c>
      <c r="CD833" s="60" t="e">
        <f t="shared" si="936"/>
        <v>#N/A</v>
      </c>
      <c r="CE833" s="60">
        <f t="shared" si="937"/>
        <v>100000</v>
      </c>
      <c r="CF833" s="83" t="e">
        <f t="shared" si="985"/>
        <v>#N/A</v>
      </c>
      <c r="CG833" s="83">
        <f t="shared" si="986"/>
        <v>0</v>
      </c>
      <c r="CH833" s="83" t="e">
        <f t="shared" si="987"/>
        <v>#N/A</v>
      </c>
      <c r="CI833" s="83">
        <f t="shared" si="988"/>
        <v>0</v>
      </c>
      <c r="CJ833" s="86" t="e">
        <f t="shared" si="938"/>
        <v>#N/A</v>
      </c>
      <c r="CK833" s="82">
        <f t="shared" si="939"/>
        <v>5.3070370403969858E-3</v>
      </c>
      <c r="CL833" s="82" t="e">
        <f t="shared" si="940"/>
        <v>#N/A</v>
      </c>
      <c r="CM833" s="82">
        <f t="shared" si="941"/>
        <v>5.3070370403969858E-3</v>
      </c>
      <c r="CO833" s="149" t="str">
        <f>IF($I833&lt;&gt;"",IF(O833="User Specified",U833,INDEX('Refrigerant GWPs'!$G$2:$G$156,MATCH(O833,'Refrigerant GWPs'!$A$2:$A$156,0))),"")</f>
        <v/>
      </c>
      <c r="CP833" s="138" t="str">
        <f>IF($I833&lt;&gt;"",INDEX('Device Refrigerant Leakage'!$E$2:$E$42,MATCH($M833,'Device Refrigerant Leakage'!$B$2:$B$42,0)),"")</f>
        <v/>
      </c>
      <c r="CQ833" s="138" t="str">
        <f>IF($I833&lt;&gt;"",INDEX('Device Refrigerant Leakage'!$F$2:$F$42,MATCH($M833,'Device Refrigerant Leakage'!$B$2:$B$42,0)),"")</f>
        <v/>
      </c>
      <c r="CR833" s="145" t="str">
        <f>IF($I833&lt;&gt;"",INDEX('Device Refrigerant Leakage'!$G$2:$G$42,MATCH($M833,'Device Refrigerant Leakage'!$B$2:$B$42,0)),"")</f>
        <v/>
      </c>
      <c r="CS833" s="145" t="str">
        <f>IF($I833&lt;&gt;"",INDEX('Device Refrigerant Leakage'!$D$2:$D$42,MATCH($M833,'Device Refrigerant Leakage'!$B$2:$B$42,0))*CP833/2204.62*CO833,"")</f>
        <v/>
      </c>
      <c r="CT833" s="145" t="str">
        <f>IF($I833&lt;&gt;"",J833*(INDEX('Device Refrigerant Leakage'!$D$2:$D$42,MATCH($M833,'Device Refrigerant Leakage'!$B$2:$B$42,0))-(INDEX('Device Refrigerant Leakage'!$D$2:$D$42,MATCH($M833,'Device Refrigerant Leakage'!$B$2:$B$42,0)))*CR833*CP833)*CQ833/2204.62*CO833,"")</f>
        <v/>
      </c>
      <c r="CU833" s="135" t="str">
        <f>IF($I833&lt;&gt;"",J833*IF(W833&lt;&gt;"AR",(CS833*K833)+CT833,(CS833*AB833)+CT833*(AB833/INDEX('Device Refrigerant Leakage'!$C$2:$C$42,MATCH($M833,'Device Refrigerant Leakage'!$B$2:$B$42,0)))),"")</f>
        <v/>
      </c>
      <c r="CW833" s="135" t="str">
        <f>IF($I833&lt;&gt;"",IF(S833="User Specified",V833,INDEX('Refrigerant GWPs'!$G$2:$G$156,MATCH(S833,'Refrigerant GWPs'!$A$2:$A$157,0))),"")</f>
        <v/>
      </c>
      <c r="CX833" s="138" t="str">
        <f>IF($I833&lt;&gt;"",INDEX('Device Refrigerant Leakage'!$E$2:$E$42,MATCH($Q833,'Device Refrigerant Leakage'!$B$2:$B$42,0)),"")</f>
        <v/>
      </c>
      <c r="CY833" s="138" t="str">
        <f>IF($I833&lt;&gt;"",INDEX('Device Refrigerant Leakage'!$F$2:$F$42,MATCH($Q833,'Device Refrigerant Leakage'!$B$2:$B$42,0)),"")</f>
        <v/>
      </c>
      <c r="CZ833" s="145" t="str">
        <f>IF($I833&lt;&gt;"",INDEX('Device Refrigerant Leakage'!$G$2:$G$42,MATCH($Q833,'Device Refrigerant Leakage'!$B$2:$B$42,0)),"")</f>
        <v/>
      </c>
      <c r="DA833" s="145" t="str">
        <f>IF($I833&lt;&gt;"",J833*INDEX('Device Refrigerant Leakage'!$D$2:$D$42,MATCH($Q833,'Device Refrigerant Leakage'!$B$2:$B$42,0))*CX833/2204.62*CW833,"")</f>
        <v/>
      </c>
      <c r="DB833" s="145" t="str">
        <f>IF($I833&lt;&gt;"",J833*(INDEX('Device Refrigerant Leakage'!$D$2:$D$42,MATCH($Q833,'Device Refrigerant Leakage'!$B$2:$B$42,0))-(INDEX('Device Refrigerant Leakage'!$D$2:$D$42,MATCH($Q833,'Device Refrigerant Leakage'!$B$2:$B$42,0)))*CZ833*CX833)*CY833/2204.62*CW833,"")</f>
        <v/>
      </c>
      <c r="DC833" s="135" t="str">
        <f t="shared" si="960"/>
        <v/>
      </c>
      <c r="DE833" s="146" t="str">
        <f>IF(W833&lt;&gt;"AR","",IF(Y833="User Specified", AA833, INDEX('Refrigerant GWPs'!$G$2:$G$154,MATCH(Y833,'Refrigerant GWPs'!$A$2:$A$154,0))))</f>
        <v/>
      </c>
      <c r="DF833" s="146" t="str">
        <f>IF(W833&lt;&gt;"AR","",INDEX('Device Refrigerant Leakage'!$E$2:$E$42,MATCH(X833,'Device Refrigerant Leakage'!$B$2:$B$42,0)))</f>
        <v/>
      </c>
      <c r="DG833" s="146" t="str">
        <f>IF(W833&lt;&gt;"AR","",INDEX('Device Refrigerant Leakage'!$F$2:$F$42,MATCH(X833,'Device Refrigerant Leakage'!$B$2:$B$42,0)))</f>
        <v/>
      </c>
      <c r="DH833" s="146" t="str">
        <f>IF(W833&lt;&gt;"AR","",INDEX('Device Refrigerant Leakage'!$G$2:$G$42,MATCH(X833,'Device Refrigerant Leakage'!$B$2:$B$42,0)))</f>
        <v/>
      </c>
      <c r="DI833" s="146" t="str">
        <f>IF(W833&lt;&gt;"AR","",J833*INDEX('Device Refrigerant Leakage'!$D$2:$D$42,MATCH(X833,'Device Refrigerant Leakage'!$B$2:$B$42,0))*DF833/2204.62*DE833)</f>
        <v/>
      </c>
      <c r="DJ833" s="146" t="str">
        <f>IF(W833&lt;&gt;"AR","",J833*(INDEX('Device Refrigerant Leakage'!$D$2:$D$42,MATCH(X833,'Device Refrigerant Leakage'!$B$2:$B$42,0))-(INDEX('Device Refrigerant Leakage'!$D$2:$D$42,MATCH(X833,'Device Refrigerant Leakage'!$B$2:$B$42,0)))*DH833*DF833)*DG833/2204.62*DE833)</f>
        <v/>
      </c>
      <c r="DK833" s="146" t="str">
        <f>IF(W833&lt;&gt;"AR","",DI833*(K833-AB833)+'Fuel Sub Calcs-Deemed'!DJ833*((K833-AB833)/INDEX('Device Refrigerant Leakage'!$C$2:$C$42,MATCH('Fuel Sub Calcs-Deemed'!X833,'Device Refrigerant Leakage'!$B$2:$B$42,0))))</f>
        <v/>
      </c>
      <c r="DM833" s="56">
        <v>819</v>
      </c>
      <c r="DN833" s="67" t="e">
        <f t="shared" si="942"/>
        <v>#N/A</v>
      </c>
      <c r="DO833" s="45" t="e">
        <f t="shared" si="943"/>
        <v>#N/A</v>
      </c>
      <c r="DP833" s="67" t="e">
        <f t="shared" si="944"/>
        <v>#N/A</v>
      </c>
      <c r="DQ833" s="45" t="e">
        <f t="shared" si="945"/>
        <v>#N/A</v>
      </c>
      <c r="DR833" s="69" t="e">
        <f t="shared" si="946"/>
        <v>#N/A</v>
      </c>
      <c r="DS833" s="34"/>
      <c r="DT833" s="67" t="e">
        <f>((BX833*CJ833)+IF($W833=MAT_AR,(BZ833*CL833),0))*(1+Reference!$E$50+Reference!$E$51)</f>
        <v>#N/A</v>
      </c>
      <c r="DU833" s="67">
        <f>((BY833*CK833)+IF($W833=MAT_AR,(CA833*CM833),0))*(1+Reference!$G$50+Reference!$G$51)</f>
        <v>0</v>
      </c>
      <c r="DV833" s="67" t="e">
        <f t="shared" si="947"/>
        <v>#VALUE!</v>
      </c>
      <c r="DX833" s="56">
        <v>819</v>
      </c>
      <c r="DY833" s="67">
        <f t="shared" si="948"/>
        <v>0</v>
      </c>
      <c r="DZ833" s="45" t="e">
        <f>VLOOKUP($R833,Dropdown!$C$3:$D$4,2,FALSE)</f>
        <v>#N/A</v>
      </c>
      <c r="EA833" s="68">
        <f t="shared" si="949"/>
        <v>0</v>
      </c>
      <c r="EB833" s="68" t="str">
        <f t="shared" si="950"/>
        <v>N/A</v>
      </c>
      <c r="EC833" s="68">
        <f t="shared" si="951"/>
        <v>0</v>
      </c>
      <c r="ED833" s="68" t="str">
        <f t="shared" si="989"/>
        <v>N/A</v>
      </c>
      <c r="EF833" s="56">
        <v>819</v>
      </c>
      <c r="EG833" s="46">
        <f t="shared" si="952"/>
        <v>0</v>
      </c>
      <c r="EH833" s="68" t="e">
        <f t="shared" si="953"/>
        <v>#N/A</v>
      </c>
      <c r="EI833" s="68" t="e">
        <f t="shared" si="954"/>
        <v>#N/A</v>
      </c>
      <c r="EJ833" s="68" t="e">
        <f t="shared" si="955"/>
        <v>#N/A</v>
      </c>
      <c r="EK833" s="68" t="e">
        <f t="shared" si="956"/>
        <v>#N/A</v>
      </c>
      <c r="EL833" s="46">
        <f t="shared" si="957"/>
        <v>0</v>
      </c>
      <c r="EM833" s="46">
        <f t="shared" si="958"/>
        <v>0</v>
      </c>
    </row>
    <row r="834" spans="1:143">
      <c r="A834" s="89"/>
      <c r="B834" s="89"/>
      <c r="C834" s="89"/>
      <c r="D834" s="89"/>
      <c r="E834" s="89"/>
      <c r="F834" s="89"/>
      <c r="G834" s="34"/>
      <c r="H834" s="56">
        <f t="shared" si="959"/>
        <v>820</v>
      </c>
      <c r="I834" s="165"/>
      <c r="J834" s="163"/>
      <c r="K834" s="163"/>
      <c r="L834" s="164"/>
      <c r="M834" s="155"/>
      <c r="N834" s="155"/>
      <c r="O834" s="144"/>
      <c r="P834" s="159" t="str">
        <f>IFERROR(IF(O834&lt;&gt;"User Specified",IF(O834&lt;&gt;"", INDEX('Refrigerant GWPs'!$G$2:$G$154,MATCH(O834,'Refrigerant GWPs'!$A$2:$A$154,0)),""),U834),0)</f>
        <v/>
      </c>
      <c r="Q834" s="155"/>
      <c r="R834" s="155"/>
      <c r="S834" s="144"/>
      <c r="T834" s="159" t="str">
        <f>IF(S834&lt;&gt;"User Specified",IF(AND(S834&lt;&gt;"User Specified",S834&lt;&gt;""), INDEX('Refrigerant GWPs'!$G$2:$G$154,MATCH(S834,'Refrigerant GWPs'!$A$2:$A$154,0)),""),V834)</f>
        <v/>
      </c>
      <c r="U834" s="144"/>
      <c r="V834" s="144"/>
      <c r="W834" s="155"/>
      <c r="X834" s="155"/>
      <c r="Y834" s="144"/>
      <c r="Z834" s="159" t="str">
        <f>IF(AND(Y834&lt;&gt;"User Specified",Y834&lt;&gt;""), INDEX('Refrigerant GWPs'!$G$2:$G$154,MATCH(Y834,'Refrigerant GWPs'!$A$2:$A$154,0)),"")</f>
        <v/>
      </c>
      <c r="AA834" s="155"/>
      <c r="AB834" s="156"/>
      <c r="AC834" s="66"/>
      <c r="AD834" s="66"/>
      <c r="AE834" s="66"/>
      <c r="AF834" s="66"/>
      <c r="AG834" s="66"/>
      <c r="AH834" s="66"/>
      <c r="AI834" s="34"/>
      <c r="AJ834" s="88">
        <f t="shared" si="922"/>
        <v>0</v>
      </c>
      <c r="AK834" s="88">
        <f t="shared" si="923"/>
        <v>0</v>
      </c>
      <c r="AL834" s="88">
        <v>0</v>
      </c>
      <c r="AM834" s="88">
        <v>0</v>
      </c>
      <c r="AN834" s="81" t="str">
        <f t="shared" si="961"/>
        <v/>
      </c>
      <c r="AO834" s="88">
        <f t="shared" si="924"/>
        <v>0</v>
      </c>
      <c r="AP834" s="88">
        <f t="shared" si="925"/>
        <v>0</v>
      </c>
      <c r="AQ834" s="81" t="str">
        <f t="shared" si="926"/>
        <v/>
      </c>
      <c r="AS834" s="41" t="b">
        <f t="shared" si="927"/>
        <v>1</v>
      </c>
      <c r="AT834" s="38">
        <f t="shared" si="928"/>
        <v>0</v>
      </c>
      <c r="AU834" s="60">
        <f t="shared" si="929"/>
        <v>0</v>
      </c>
      <c r="AV834" s="41">
        <f t="shared" si="930"/>
        <v>0</v>
      </c>
      <c r="AW834" s="41" t="b">
        <f t="shared" si="931"/>
        <v>0</v>
      </c>
      <c r="AX834" t="str">
        <f t="shared" si="932"/>
        <v>+00</v>
      </c>
      <c r="AY834" t="str">
        <f t="shared" si="933"/>
        <v>+00</v>
      </c>
      <c r="BA834" s="47" t="b">
        <f t="shared" si="962"/>
        <v>1</v>
      </c>
      <c r="BB834" s="42" t="b">
        <f t="shared" si="963"/>
        <v>1</v>
      </c>
      <c r="BC834" s="42" t="b">
        <f t="shared" si="964"/>
        <v>0</v>
      </c>
      <c r="BD834" s="42" t="b">
        <f t="shared" si="965"/>
        <v>0</v>
      </c>
      <c r="BE834" s="70">
        <f t="shared" si="966"/>
        <v>0</v>
      </c>
      <c r="BF834" s="70">
        <f t="shared" si="967"/>
        <v>0</v>
      </c>
      <c r="BG834" s="34"/>
      <c r="BI834" s="47" t="b">
        <f t="shared" si="968"/>
        <v>1</v>
      </c>
      <c r="BJ834" s="47" t="b">
        <f t="shared" si="969"/>
        <v>1</v>
      </c>
      <c r="BK834" s="42" t="b">
        <f t="shared" si="970"/>
        <v>0</v>
      </c>
      <c r="BL834" s="42" t="b">
        <f t="shared" si="971"/>
        <v>0</v>
      </c>
      <c r="BM834" s="42">
        <f t="shared" si="972"/>
        <v>0</v>
      </c>
      <c r="BN834" s="42">
        <f t="shared" si="973"/>
        <v>0</v>
      </c>
      <c r="BP834" t="e">
        <f t="shared" si="974"/>
        <v>#N/A</v>
      </c>
      <c r="BQ834" t="e">
        <f t="shared" si="975"/>
        <v>#N/A</v>
      </c>
      <c r="BR834" t="e">
        <f t="shared" si="976"/>
        <v>#N/A</v>
      </c>
      <c r="BT834" s="60">
        <f t="shared" si="977"/>
        <v>0</v>
      </c>
      <c r="BU834" s="60">
        <f t="shared" si="978"/>
        <v>0</v>
      </c>
      <c r="BV834" s="60">
        <f t="shared" si="979"/>
        <v>0</v>
      </c>
      <c r="BW834" s="60">
        <f t="shared" si="980"/>
        <v>0</v>
      </c>
      <c r="BX834" s="60">
        <f t="shared" si="981"/>
        <v>0</v>
      </c>
      <c r="BY834" s="60">
        <f t="shared" si="982"/>
        <v>0</v>
      </c>
      <c r="BZ834" s="60">
        <f t="shared" si="983"/>
        <v>0</v>
      </c>
      <c r="CA834" s="60">
        <f t="shared" si="984"/>
        <v>0</v>
      </c>
      <c r="CB834" s="60" t="e">
        <f t="shared" si="934"/>
        <v>#N/A</v>
      </c>
      <c r="CC834" s="60">
        <f t="shared" si="935"/>
        <v>100000</v>
      </c>
      <c r="CD834" s="60" t="e">
        <f t="shared" si="936"/>
        <v>#N/A</v>
      </c>
      <c r="CE834" s="60">
        <f t="shared" si="937"/>
        <v>100000</v>
      </c>
      <c r="CF834" s="83" t="e">
        <f t="shared" si="985"/>
        <v>#N/A</v>
      </c>
      <c r="CG834" s="83">
        <f t="shared" si="986"/>
        <v>0</v>
      </c>
      <c r="CH834" s="83" t="e">
        <f t="shared" si="987"/>
        <v>#N/A</v>
      </c>
      <c r="CI834" s="83">
        <f t="shared" si="988"/>
        <v>0</v>
      </c>
      <c r="CJ834" s="86" t="e">
        <f t="shared" si="938"/>
        <v>#N/A</v>
      </c>
      <c r="CK834" s="82">
        <f t="shared" si="939"/>
        <v>5.3070370403969858E-3</v>
      </c>
      <c r="CL834" s="82" t="e">
        <f t="shared" si="940"/>
        <v>#N/A</v>
      </c>
      <c r="CM834" s="82">
        <f t="shared" si="941"/>
        <v>5.3070370403969858E-3</v>
      </c>
      <c r="CO834" s="149" t="str">
        <f>IF($I834&lt;&gt;"",IF(O834="User Specified",U834,INDEX('Refrigerant GWPs'!$G$2:$G$156,MATCH(O834,'Refrigerant GWPs'!$A$2:$A$156,0))),"")</f>
        <v/>
      </c>
      <c r="CP834" s="138" t="str">
        <f>IF($I834&lt;&gt;"",INDEX('Device Refrigerant Leakage'!$E$2:$E$42,MATCH($M834,'Device Refrigerant Leakage'!$B$2:$B$42,0)),"")</f>
        <v/>
      </c>
      <c r="CQ834" s="138" t="str">
        <f>IF($I834&lt;&gt;"",INDEX('Device Refrigerant Leakage'!$F$2:$F$42,MATCH($M834,'Device Refrigerant Leakage'!$B$2:$B$42,0)),"")</f>
        <v/>
      </c>
      <c r="CR834" s="145" t="str">
        <f>IF($I834&lt;&gt;"",INDEX('Device Refrigerant Leakage'!$G$2:$G$42,MATCH($M834,'Device Refrigerant Leakage'!$B$2:$B$42,0)),"")</f>
        <v/>
      </c>
      <c r="CS834" s="145" t="str">
        <f>IF($I834&lt;&gt;"",INDEX('Device Refrigerant Leakage'!$D$2:$D$42,MATCH($M834,'Device Refrigerant Leakage'!$B$2:$B$42,0))*CP834/2204.62*CO834,"")</f>
        <v/>
      </c>
      <c r="CT834" s="145" t="str">
        <f>IF($I834&lt;&gt;"",J834*(INDEX('Device Refrigerant Leakage'!$D$2:$D$42,MATCH($M834,'Device Refrigerant Leakage'!$B$2:$B$42,0))-(INDEX('Device Refrigerant Leakage'!$D$2:$D$42,MATCH($M834,'Device Refrigerant Leakage'!$B$2:$B$42,0)))*CR834*CP834)*CQ834/2204.62*CO834,"")</f>
        <v/>
      </c>
      <c r="CU834" s="135" t="str">
        <f>IF($I834&lt;&gt;"",J834*IF(W834&lt;&gt;"AR",(CS834*K834)+CT834,(CS834*AB834)+CT834*(AB834/INDEX('Device Refrigerant Leakage'!$C$2:$C$42,MATCH($M834,'Device Refrigerant Leakage'!$B$2:$B$42,0)))),"")</f>
        <v/>
      </c>
      <c r="CW834" s="135" t="str">
        <f>IF($I834&lt;&gt;"",IF(S834="User Specified",V834,INDEX('Refrigerant GWPs'!$G$2:$G$156,MATCH(S834,'Refrigerant GWPs'!$A$2:$A$157,0))),"")</f>
        <v/>
      </c>
      <c r="CX834" s="138" t="str">
        <f>IF($I834&lt;&gt;"",INDEX('Device Refrigerant Leakage'!$E$2:$E$42,MATCH($Q834,'Device Refrigerant Leakage'!$B$2:$B$42,0)),"")</f>
        <v/>
      </c>
      <c r="CY834" s="138" t="str">
        <f>IF($I834&lt;&gt;"",INDEX('Device Refrigerant Leakage'!$F$2:$F$42,MATCH($Q834,'Device Refrigerant Leakage'!$B$2:$B$42,0)),"")</f>
        <v/>
      </c>
      <c r="CZ834" s="145" t="str">
        <f>IF($I834&lt;&gt;"",INDEX('Device Refrigerant Leakage'!$G$2:$G$42,MATCH($Q834,'Device Refrigerant Leakage'!$B$2:$B$42,0)),"")</f>
        <v/>
      </c>
      <c r="DA834" s="145" t="str">
        <f>IF($I834&lt;&gt;"",J834*INDEX('Device Refrigerant Leakage'!$D$2:$D$42,MATCH($Q834,'Device Refrigerant Leakage'!$B$2:$B$42,0))*CX834/2204.62*CW834,"")</f>
        <v/>
      </c>
      <c r="DB834" s="145" t="str">
        <f>IF($I834&lt;&gt;"",J834*(INDEX('Device Refrigerant Leakage'!$D$2:$D$42,MATCH($Q834,'Device Refrigerant Leakage'!$B$2:$B$42,0))-(INDEX('Device Refrigerant Leakage'!$D$2:$D$42,MATCH($Q834,'Device Refrigerant Leakage'!$B$2:$B$42,0)))*CZ834*CX834)*CY834/2204.62*CW834,"")</f>
        <v/>
      </c>
      <c r="DC834" s="135" t="str">
        <f t="shared" si="960"/>
        <v/>
      </c>
      <c r="DE834" s="146" t="str">
        <f>IF(W834&lt;&gt;"AR","",IF(Y834="User Specified", AA834, INDEX('Refrigerant GWPs'!$G$2:$G$154,MATCH(Y834,'Refrigerant GWPs'!$A$2:$A$154,0))))</f>
        <v/>
      </c>
      <c r="DF834" s="146" t="str">
        <f>IF(W834&lt;&gt;"AR","",INDEX('Device Refrigerant Leakage'!$E$2:$E$42,MATCH(X834,'Device Refrigerant Leakage'!$B$2:$B$42,0)))</f>
        <v/>
      </c>
      <c r="DG834" s="146" t="str">
        <f>IF(W834&lt;&gt;"AR","",INDEX('Device Refrigerant Leakage'!$F$2:$F$42,MATCH(X834,'Device Refrigerant Leakage'!$B$2:$B$42,0)))</f>
        <v/>
      </c>
      <c r="DH834" s="146" t="str">
        <f>IF(W834&lt;&gt;"AR","",INDEX('Device Refrigerant Leakage'!$G$2:$G$42,MATCH(X834,'Device Refrigerant Leakage'!$B$2:$B$42,0)))</f>
        <v/>
      </c>
      <c r="DI834" s="146" t="str">
        <f>IF(W834&lt;&gt;"AR","",J834*INDEX('Device Refrigerant Leakage'!$D$2:$D$42,MATCH(X834,'Device Refrigerant Leakage'!$B$2:$B$42,0))*DF834/2204.62*DE834)</f>
        <v/>
      </c>
      <c r="DJ834" s="146" t="str">
        <f>IF(W834&lt;&gt;"AR","",J834*(INDEX('Device Refrigerant Leakage'!$D$2:$D$42,MATCH(X834,'Device Refrigerant Leakage'!$B$2:$B$42,0))-(INDEX('Device Refrigerant Leakage'!$D$2:$D$42,MATCH(X834,'Device Refrigerant Leakage'!$B$2:$B$42,0)))*DH834*DF834)*DG834/2204.62*DE834)</f>
        <v/>
      </c>
      <c r="DK834" s="146" t="str">
        <f>IF(W834&lt;&gt;"AR","",DI834*(K834-AB834)+'Fuel Sub Calcs-Deemed'!DJ834*((K834-AB834)/INDEX('Device Refrigerant Leakage'!$C$2:$C$42,MATCH('Fuel Sub Calcs-Deemed'!X834,'Device Refrigerant Leakage'!$B$2:$B$42,0))))</f>
        <v/>
      </c>
      <c r="DM834" s="56">
        <v>820</v>
      </c>
      <c r="DN834" s="67" t="e">
        <f t="shared" si="942"/>
        <v>#N/A</v>
      </c>
      <c r="DO834" s="45" t="e">
        <f t="shared" si="943"/>
        <v>#N/A</v>
      </c>
      <c r="DP834" s="67" t="e">
        <f t="shared" si="944"/>
        <v>#N/A</v>
      </c>
      <c r="DQ834" s="45" t="e">
        <f t="shared" si="945"/>
        <v>#N/A</v>
      </c>
      <c r="DR834" s="69" t="e">
        <f t="shared" si="946"/>
        <v>#N/A</v>
      </c>
      <c r="DS834" s="34"/>
      <c r="DT834" s="67" t="e">
        <f>((BX834*CJ834)+IF($W834=MAT_AR,(BZ834*CL834),0))*(1+Reference!$E$50+Reference!$E$51)</f>
        <v>#N/A</v>
      </c>
      <c r="DU834" s="67">
        <f>((BY834*CK834)+IF($W834=MAT_AR,(CA834*CM834),0))*(1+Reference!$G$50+Reference!$G$51)</f>
        <v>0</v>
      </c>
      <c r="DV834" s="67" t="e">
        <f t="shared" si="947"/>
        <v>#VALUE!</v>
      </c>
      <c r="DX834" s="56">
        <v>820</v>
      </c>
      <c r="DY834" s="67">
        <f t="shared" si="948"/>
        <v>0</v>
      </c>
      <c r="DZ834" s="45" t="e">
        <f>VLOOKUP($R834,Dropdown!$C$3:$D$4,2,FALSE)</f>
        <v>#N/A</v>
      </c>
      <c r="EA834" s="68">
        <f t="shared" si="949"/>
        <v>0</v>
      </c>
      <c r="EB834" s="68" t="str">
        <f t="shared" si="950"/>
        <v>N/A</v>
      </c>
      <c r="EC834" s="68">
        <f t="shared" si="951"/>
        <v>0</v>
      </c>
      <c r="ED834" s="68" t="str">
        <f t="shared" si="989"/>
        <v>N/A</v>
      </c>
      <c r="EF834" s="56">
        <v>820</v>
      </c>
      <c r="EG834" s="46">
        <f t="shared" si="952"/>
        <v>0</v>
      </c>
      <c r="EH834" s="68" t="e">
        <f t="shared" si="953"/>
        <v>#N/A</v>
      </c>
      <c r="EI834" s="68" t="e">
        <f t="shared" si="954"/>
        <v>#N/A</v>
      </c>
      <c r="EJ834" s="68" t="e">
        <f t="shared" si="955"/>
        <v>#N/A</v>
      </c>
      <c r="EK834" s="68" t="e">
        <f t="shared" si="956"/>
        <v>#N/A</v>
      </c>
      <c r="EL834" s="46">
        <f t="shared" si="957"/>
        <v>0</v>
      </c>
      <c r="EM834" s="46">
        <f t="shared" si="958"/>
        <v>0</v>
      </c>
    </row>
    <row r="835" spans="1:143">
      <c r="A835" s="89"/>
      <c r="B835" s="89"/>
      <c r="C835" s="89"/>
      <c r="D835" s="89"/>
      <c r="E835" s="89"/>
      <c r="F835" s="89"/>
      <c r="G835" s="34"/>
      <c r="H835" s="56">
        <f t="shared" si="959"/>
        <v>821</v>
      </c>
      <c r="I835" s="165"/>
      <c r="J835" s="163"/>
      <c r="K835" s="163"/>
      <c r="L835" s="164"/>
      <c r="M835" s="155"/>
      <c r="N835" s="155"/>
      <c r="O835" s="144"/>
      <c r="P835" s="159" t="str">
        <f>IFERROR(IF(O835&lt;&gt;"User Specified",IF(O835&lt;&gt;"", INDEX('Refrigerant GWPs'!$G$2:$G$154,MATCH(O835,'Refrigerant GWPs'!$A$2:$A$154,0)),""),U835),0)</f>
        <v/>
      </c>
      <c r="Q835" s="155"/>
      <c r="R835" s="155"/>
      <c r="S835" s="144"/>
      <c r="T835" s="159" t="str">
        <f>IF(S835&lt;&gt;"User Specified",IF(AND(S835&lt;&gt;"User Specified",S835&lt;&gt;""), INDEX('Refrigerant GWPs'!$G$2:$G$154,MATCH(S835,'Refrigerant GWPs'!$A$2:$A$154,0)),""),V835)</f>
        <v/>
      </c>
      <c r="U835" s="144"/>
      <c r="V835" s="144"/>
      <c r="W835" s="155"/>
      <c r="X835" s="155"/>
      <c r="Y835" s="144"/>
      <c r="Z835" s="159" t="str">
        <f>IF(AND(Y835&lt;&gt;"User Specified",Y835&lt;&gt;""), INDEX('Refrigerant GWPs'!$G$2:$G$154,MATCH(Y835,'Refrigerant GWPs'!$A$2:$A$154,0)),"")</f>
        <v/>
      </c>
      <c r="AA835" s="155"/>
      <c r="AB835" s="156"/>
      <c r="AC835" s="66"/>
      <c r="AD835" s="66"/>
      <c r="AE835" s="66"/>
      <c r="AF835" s="66"/>
      <c r="AG835" s="66"/>
      <c r="AH835" s="66"/>
      <c r="AI835" s="34"/>
      <c r="AJ835" s="88">
        <f t="shared" si="922"/>
        <v>0</v>
      </c>
      <c r="AK835" s="88">
        <f t="shared" si="923"/>
        <v>0</v>
      </c>
      <c r="AL835" s="88">
        <v>0</v>
      </c>
      <c r="AM835" s="88">
        <v>0</v>
      </c>
      <c r="AN835" s="81" t="str">
        <f t="shared" si="961"/>
        <v/>
      </c>
      <c r="AO835" s="88">
        <f t="shared" si="924"/>
        <v>0</v>
      </c>
      <c r="AP835" s="88">
        <f t="shared" si="925"/>
        <v>0</v>
      </c>
      <c r="AQ835" s="81" t="str">
        <f t="shared" si="926"/>
        <v/>
      </c>
      <c r="AS835" s="41" t="b">
        <f t="shared" si="927"/>
        <v>1</v>
      </c>
      <c r="AT835" s="38">
        <f t="shared" si="928"/>
        <v>0</v>
      </c>
      <c r="AU835" s="60">
        <f t="shared" si="929"/>
        <v>0</v>
      </c>
      <c r="AV835" s="41">
        <f t="shared" si="930"/>
        <v>0</v>
      </c>
      <c r="AW835" s="41" t="b">
        <f t="shared" si="931"/>
        <v>0</v>
      </c>
      <c r="AX835" t="str">
        <f t="shared" si="932"/>
        <v>+00</v>
      </c>
      <c r="AY835" t="str">
        <f t="shared" si="933"/>
        <v>+00</v>
      </c>
      <c r="BA835" s="47" t="b">
        <f t="shared" si="962"/>
        <v>1</v>
      </c>
      <c r="BB835" s="42" t="b">
        <f t="shared" si="963"/>
        <v>1</v>
      </c>
      <c r="BC835" s="42" t="b">
        <f t="shared" si="964"/>
        <v>0</v>
      </c>
      <c r="BD835" s="42" t="b">
        <f t="shared" si="965"/>
        <v>0</v>
      </c>
      <c r="BE835" s="70">
        <f t="shared" si="966"/>
        <v>0</v>
      </c>
      <c r="BF835" s="70">
        <f t="shared" si="967"/>
        <v>0</v>
      </c>
      <c r="BG835" s="34"/>
      <c r="BI835" s="47" t="b">
        <f t="shared" si="968"/>
        <v>1</v>
      </c>
      <c r="BJ835" s="47" t="b">
        <f t="shared" si="969"/>
        <v>1</v>
      </c>
      <c r="BK835" s="42" t="b">
        <f t="shared" si="970"/>
        <v>0</v>
      </c>
      <c r="BL835" s="42" t="b">
        <f t="shared" si="971"/>
        <v>0</v>
      </c>
      <c r="BM835" s="42">
        <f t="shared" si="972"/>
        <v>0</v>
      </c>
      <c r="BN835" s="42">
        <f t="shared" si="973"/>
        <v>0</v>
      </c>
      <c r="BP835" t="e">
        <f t="shared" si="974"/>
        <v>#N/A</v>
      </c>
      <c r="BQ835" t="e">
        <f t="shared" si="975"/>
        <v>#N/A</v>
      </c>
      <c r="BR835" t="e">
        <f t="shared" si="976"/>
        <v>#N/A</v>
      </c>
      <c r="BT835" s="60">
        <f t="shared" si="977"/>
        <v>0</v>
      </c>
      <c r="BU835" s="60">
        <f t="shared" si="978"/>
        <v>0</v>
      </c>
      <c r="BV835" s="60">
        <f t="shared" si="979"/>
        <v>0</v>
      </c>
      <c r="BW835" s="60">
        <f t="shared" si="980"/>
        <v>0</v>
      </c>
      <c r="BX835" s="60">
        <f t="shared" si="981"/>
        <v>0</v>
      </c>
      <c r="BY835" s="60">
        <f t="shared" si="982"/>
        <v>0</v>
      </c>
      <c r="BZ835" s="60">
        <f t="shared" si="983"/>
        <v>0</v>
      </c>
      <c r="CA835" s="60">
        <f t="shared" si="984"/>
        <v>0</v>
      </c>
      <c r="CB835" s="60" t="e">
        <f t="shared" si="934"/>
        <v>#N/A</v>
      </c>
      <c r="CC835" s="60">
        <f t="shared" si="935"/>
        <v>100000</v>
      </c>
      <c r="CD835" s="60" t="e">
        <f t="shared" si="936"/>
        <v>#N/A</v>
      </c>
      <c r="CE835" s="60">
        <f t="shared" si="937"/>
        <v>100000</v>
      </c>
      <c r="CF835" s="83" t="e">
        <f t="shared" si="985"/>
        <v>#N/A</v>
      </c>
      <c r="CG835" s="83">
        <f t="shared" si="986"/>
        <v>0</v>
      </c>
      <c r="CH835" s="83" t="e">
        <f t="shared" si="987"/>
        <v>#N/A</v>
      </c>
      <c r="CI835" s="83">
        <f t="shared" si="988"/>
        <v>0</v>
      </c>
      <c r="CJ835" s="86" t="e">
        <f t="shared" si="938"/>
        <v>#N/A</v>
      </c>
      <c r="CK835" s="82">
        <f t="shared" si="939"/>
        <v>5.3070370403969858E-3</v>
      </c>
      <c r="CL835" s="82" t="e">
        <f t="shared" si="940"/>
        <v>#N/A</v>
      </c>
      <c r="CM835" s="82">
        <f t="shared" si="941"/>
        <v>5.3070370403969858E-3</v>
      </c>
      <c r="CO835" s="149" t="str">
        <f>IF($I835&lt;&gt;"",IF(O835="User Specified",U835,INDEX('Refrigerant GWPs'!$G$2:$G$156,MATCH(O835,'Refrigerant GWPs'!$A$2:$A$156,0))),"")</f>
        <v/>
      </c>
      <c r="CP835" s="138" t="str">
        <f>IF($I835&lt;&gt;"",INDEX('Device Refrigerant Leakage'!$E$2:$E$42,MATCH($M835,'Device Refrigerant Leakage'!$B$2:$B$42,0)),"")</f>
        <v/>
      </c>
      <c r="CQ835" s="138" t="str">
        <f>IF($I835&lt;&gt;"",INDEX('Device Refrigerant Leakage'!$F$2:$F$42,MATCH($M835,'Device Refrigerant Leakage'!$B$2:$B$42,0)),"")</f>
        <v/>
      </c>
      <c r="CR835" s="145" t="str">
        <f>IF($I835&lt;&gt;"",INDEX('Device Refrigerant Leakage'!$G$2:$G$42,MATCH($M835,'Device Refrigerant Leakage'!$B$2:$B$42,0)),"")</f>
        <v/>
      </c>
      <c r="CS835" s="145" t="str">
        <f>IF($I835&lt;&gt;"",INDEX('Device Refrigerant Leakage'!$D$2:$D$42,MATCH($M835,'Device Refrigerant Leakage'!$B$2:$B$42,0))*CP835/2204.62*CO835,"")</f>
        <v/>
      </c>
      <c r="CT835" s="145" t="str">
        <f>IF($I835&lt;&gt;"",J835*(INDEX('Device Refrigerant Leakage'!$D$2:$D$42,MATCH($M835,'Device Refrigerant Leakage'!$B$2:$B$42,0))-(INDEX('Device Refrigerant Leakage'!$D$2:$D$42,MATCH($M835,'Device Refrigerant Leakage'!$B$2:$B$42,0)))*CR835*CP835)*CQ835/2204.62*CO835,"")</f>
        <v/>
      </c>
      <c r="CU835" s="135" t="str">
        <f>IF($I835&lt;&gt;"",J835*IF(W835&lt;&gt;"AR",(CS835*K835)+CT835,(CS835*AB835)+CT835*(AB835/INDEX('Device Refrigerant Leakage'!$C$2:$C$42,MATCH($M835,'Device Refrigerant Leakage'!$B$2:$B$42,0)))),"")</f>
        <v/>
      </c>
      <c r="CW835" s="135" t="str">
        <f>IF($I835&lt;&gt;"",IF(S835="User Specified",V835,INDEX('Refrigerant GWPs'!$G$2:$G$156,MATCH(S835,'Refrigerant GWPs'!$A$2:$A$157,0))),"")</f>
        <v/>
      </c>
      <c r="CX835" s="138" t="str">
        <f>IF($I835&lt;&gt;"",INDEX('Device Refrigerant Leakage'!$E$2:$E$42,MATCH($Q835,'Device Refrigerant Leakage'!$B$2:$B$42,0)),"")</f>
        <v/>
      </c>
      <c r="CY835" s="138" t="str">
        <f>IF($I835&lt;&gt;"",INDEX('Device Refrigerant Leakage'!$F$2:$F$42,MATCH($Q835,'Device Refrigerant Leakage'!$B$2:$B$42,0)),"")</f>
        <v/>
      </c>
      <c r="CZ835" s="145" t="str">
        <f>IF($I835&lt;&gt;"",INDEX('Device Refrigerant Leakage'!$G$2:$G$42,MATCH($Q835,'Device Refrigerant Leakage'!$B$2:$B$42,0)),"")</f>
        <v/>
      </c>
      <c r="DA835" s="145" t="str">
        <f>IF($I835&lt;&gt;"",J835*INDEX('Device Refrigerant Leakage'!$D$2:$D$42,MATCH($Q835,'Device Refrigerant Leakage'!$B$2:$B$42,0))*CX835/2204.62*CW835,"")</f>
        <v/>
      </c>
      <c r="DB835" s="145" t="str">
        <f>IF($I835&lt;&gt;"",J835*(INDEX('Device Refrigerant Leakage'!$D$2:$D$42,MATCH($Q835,'Device Refrigerant Leakage'!$B$2:$B$42,0))-(INDEX('Device Refrigerant Leakage'!$D$2:$D$42,MATCH($Q835,'Device Refrigerant Leakage'!$B$2:$B$42,0)))*CZ835*CX835)*CY835/2204.62*CW835,"")</f>
        <v/>
      </c>
      <c r="DC835" s="135" t="str">
        <f t="shared" si="960"/>
        <v/>
      </c>
      <c r="DE835" s="146" t="str">
        <f>IF(W835&lt;&gt;"AR","",IF(Y835="User Specified", AA835, INDEX('Refrigerant GWPs'!$G$2:$G$154,MATCH(Y835,'Refrigerant GWPs'!$A$2:$A$154,0))))</f>
        <v/>
      </c>
      <c r="DF835" s="146" t="str">
        <f>IF(W835&lt;&gt;"AR","",INDEX('Device Refrigerant Leakage'!$E$2:$E$42,MATCH(X835,'Device Refrigerant Leakage'!$B$2:$B$42,0)))</f>
        <v/>
      </c>
      <c r="DG835" s="146" t="str">
        <f>IF(W835&lt;&gt;"AR","",INDEX('Device Refrigerant Leakage'!$F$2:$F$42,MATCH(X835,'Device Refrigerant Leakage'!$B$2:$B$42,0)))</f>
        <v/>
      </c>
      <c r="DH835" s="146" t="str">
        <f>IF(W835&lt;&gt;"AR","",INDEX('Device Refrigerant Leakage'!$G$2:$G$42,MATCH(X835,'Device Refrigerant Leakage'!$B$2:$B$42,0)))</f>
        <v/>
      </c>
      <c r="DI835" s="146" t="str">
        <f>IF(W835&lt;&gt;"AR","",J835*INDEX('Device Refrigerant Leakage'!$D$2:$D$42,MATCH(X835,'Device Refrigerant Leakage'!$B$2:$B$42,0))*DF835/2204.62*DE835)</f>
        <v/>
      </c>
      <c r="DJ835" s="146" t="str">
        <f>IF(W835&lt;&gt;"AR","",J835*(INDEX('Device Refrigerant Leakage'!$D$2:$D$42,MATCH(X835,'Device Refrigerant Leakage'!$B$2:$B$42,0))-(INDEX('Device Refrigerant Leakage'!$D$2:$D$42,MATCH(X835,'Device Refrigerant Leakage'!$B$2:$B$42,0)))*DH835*DF835)*DG835/2204.62*DE835)</f>
        <v/>
      </c>
      <c r="DK835" s="146" t="str">
        <f>IF(W835&lt;&gt;"AR","",DI835*(K835-AB835)+'Fuel Sub Calcs-Deemed'!DJ835*((K835-AB835)/INDEX('Device Refrigerant Leakage'!$C$2:$C$42,MATCH('Fuel Sub Calcs-Deemed'!X835,'Device Refrigerant Leakage'!$B$2:$B$42,0))))</f>
        <v/>
      </c>
      <c r="DM835" s="56">
        <v>821</v>
      </c>
      <c r="DN835" s="67" t="e">
        <f t="shared" si="942"/>
        <v>#N/A</v>
      </c>
      <c r="DO835" s="45" t="e">
        <f t="shared" si="943"/>
        <v>#N/A</v>
      </c>
      <c r="DP835" s="67" t="e">
        <f t="shared" si="944"/>
        <v>#N/A</v>
      </c>
      <c r="DQ835" s="45" t="e">
        <f t="shared" si="945"/>
        <v>#N/A</v>
      </c>
      <c r="DR835" s="69" t="e">
        <f t="shared" si="946"/>
        <v>#N/A</v>
      </c>
      <c r="DS835" s="34"/>
      <c r="DT835" s="67" t="e">
        <f>((BX835*CJ835)+IF($W835=MAT_AR,(BZ835*CL835),0))*(1+Reference!$E$50+Reference!$E$51)</f>
        <v>#N/A</v>
      </c>
      <c r="DU835" s="67">
        <f>((BY835*CK835)+IF($W835=MAT_AR,(CA835*CM835),0))*(1+Reference!$G$50+Reference!$G$51)</f>
        <v>0</v>
      </c>
      <c r="DV835" s="67" t="e">
        <f t="shared" si="947"/>
        <v>#VALUE!</v>
      </c>
      <c r="DX835" s="56">
        <v>821</v>
      </c>
      <c r="DY835" s="67">
        <f t="shared" si="948"/>
        <v>0</v>
      </c>
      <c r="DZ835" s="45" t="e">
        <f>VLOOKUP($R835,Dropdown!$C$3:$D$4,2,FALSE)</f>
        <v>#N/A</v>
      </c>
      <c r="EA835" s="68">
        <f t="shared" si="949"/>
        <v>0</v>
      </c>
      <c r="EB835" s="68" t="str">
        <f t="shared" si="950"/>
        <v>N/A</v>
      </c>
      <c r="EC835" s="68">
        <f t="shared" si="951"/>
        <v>0</v>
      </c>
      <c r="ED835" s="68" t="str">
        <f t="shared" si="989"/>
        <v>N/A</v>
      </c>
      <c r="EF835" s="56">
        <v>821</v>
      </c>
      <c r="EG835" s="46">
        <f t="shared" si="952"/>
        <v>0</v>
      </c>
      <c r="EH835" s="68" t="e">
        <f t="shared" si="953"/>
        <v>#N/A</v>
      </c>
      <c r="EI835" s="68" t="e">
        <f t="shared" si="954"/>
        <v>#N/A</v>
      </c>
      <c r="EJ835" s="68" t="e">
        <f t="shared" si="955"/>
        <v>#N/A</v>
      </c>
      <c r="EK835" s="68" t="e">
        <f t="shared" si="956"/>
        <v>#N/A</v>
      </c>
      <c r="EL835" s="46">
        <f t="shared" si="957"/>
        <v>0</v>
      </c>
      <c r="EM835" s="46">
        <f t="shared" si="958"/>
        <v>0</v>
      </c>
    </row>
    <row r="836" spans="1:143">
      <c r="A836" s="89"/>
      <c r="B836" s="89"/>
      <c r="C836" s="89"/>
      <c r="D836" s="89"/>
      <c r="E836" s="89"/>
      <c r="F836" s="89"/>
      <c r="G836" s="34"/>
      <c r="H836" s="56">
        <f t="shared" si="959"/>
        <v>822</v>
      </c>
      <c r="I836" s="165"/>
      <c r="J836" s="163"/>
      <c r="K836" s="163"/>
      <c r="L836" s="164"/>
      <c r="M836" s="155"/>
      <c r="N836" s="155"/>
      <c r="O836" s="144"/>
      <c r="P836" s="159" t="str">
        <f>IFERROR(IF(O836&lt;&gt;"User Specified",IF(O836&lt;&gt;"", INDEX('Refrigerant GWPs'!$G$2:$G$154,MATCH(O836,'Refrigerant GWPs'!$A$2:$A$154,0)),""),U836),0)</f>
        <v/>
      </c>
      <c r="Q836" s="155"/>
      <c r="R836" s="155"/>
      <c r="S836" s="144"/>
      <c r="T836" s="159" t="str">
        <f>IF(S836&lt;&gt;"User Specified",IF(AND(S836&lt;&gt;"User Specified",S836&lt;&gt;""), INDEX('Refrigerant GWPs'!$G$2:$G$154,MATCH(S836,'Refrigerant GWPs'!$A$2:$A$154,0)),""),V836)</f>
        <v/>
      </c>
      <c r="U836" s="144"/>
      <c r="V836" s="144"/>
      <c r="W836" s="155"/>
      <c r="X836" s="155"/>
      <c r="Y836" s="144"/>
      <c r="Z836" s="159" t="str">
        <f>IF(AND(Y836&lt;&gt;"User Specified",Y836&lt;&gt;""), INDEX('Refrigerant GWPs'!$G$2:$G$154,MATCH(Y836,'Refrigerant GWPs'!$A$2:$A$154,0)),"")</f>
        <v/>
      </c>
      <c r="AA836" s="155"/>
      <c r="AB836" s="156"/>
      <c r="AC836" s="66"/>
      <c r="AD836" s="66"/>
      <c r="AE836" s="66"/>
      <c r="AF836" s="66"/>
      <c r="AG836" s="66"/>
      <c r="AH836" s="66"/>
      <c r="AI836" s="34"/>
      <c r="AJ836" s="88">
        <f t="shared" si="922"/>
        <v>0</v>
      </c>
      <c r="AK836" s="88">
        <f t="shared" si="923"/>
        <v>0</v>
      </c>
      <c r="AL836" s="88">
        <v>0</v>
      </c>
      <c r="AM836" s="88">
        <v>0</v>
      </c>
      <c r="AN836" s="81" t="str">
        <f t="shared" si="961"/>
        <v/>
      </c>
      <c r="AO836" s="88">
        <f t="shared" si="924"/>
        <v>0</v>
      </c>
      <c r="AP836" s="88">
        <f t="shared" si="925"/>
        <v>0</v>
      </c>
      <c r="AQ836" s="81" t="str">
        <f t="shared" si="926"/>
        <v/>
      </c>
      <c r="AS836" s="41" t="b">
        <f t="shared" si="927"/>
        <v>1</v>
      </c>
      <c r="AT836" s="38">
        <f t="shared" si="928"/>
        <v>0</v>
      </c>
      <c r="AU836" s="60">
        <f t="shared" si="929"/>
        <v>0</v>
      </c>
      <c r="AV836" s="41">
        <f t="shared" si="930"/>
        <v>0</v>
      </c>
      <c r="AW836" s="41" t="b">
        <f t="shared" si="931"/>
        <v>0</v>
      </c>
      <c r="AX836" t="str">
        <f t="shared" si="932"/>
        <v>+00</v>
      </c>
      <c r="AY836" t="str">
        <f t="shared" si="933"/>
        <v>+00</v>
      </c>
      <c r="BA836" s="47" t="b">
        <f t="shared" si="962"/>
        <v>1</v>
      </c>
      <c r="BB836" s="42" t="b">
        <f t="shared" si="963"/>
        <v>1</v>
      </c>
      <c r="BC836" s="42" t="b">
        <f t="shared" si="964"/>
        <v>0</v>
      </c>
      <c r="BD836" s="42" t="b">
        <f t="shared" si="965"/>
        <v>0</v>
      </c>
      <c r="BE836" s="70">
        <f t="shared" si="966"/>
        <v>0</v>
      </c>
      <c r="BF836" s="70">
        <f t="shared" si="967"/>
        <v>0</v>
      </c>
      <c r="BG836" s="34"/>
      <c r="BI836" s="47" t="b">
        <f t="shared" si="968"/>
        <v>1</v>
      </c>
      <c r="BJ836" s="47" t="b">
        <f t="shared" si="969"/>
        <v>1</v>
      </c>
      <c r="BK836" s="42" t="b">
        <f t="shared" si="970"/>
        <v>0</v>
      </c>
      <c r="BL836" s="42" t="b">
        <f t="shared" si="971"/>
        <v>0</v>
      </c>
      <c r="BM836" s="42">
        <f t="shared" si="972"/>
        <v>0</v>
      </c>
      <c r="BN836" s="42">
        <f t="shared" si="973"/>
        <v>0</v>
      </c>
      <c r="BP836" t="e">
        <f t="shared" si="974"/>
        <v>#N/A</v>
      </c>
      <c r="BQ836" t="e">
        <f t="shared" si="975"/>
        <v>#N/A</v>
      </c>
      <c r="BR836" t="e">
        <f t="shared" si="976"/>
        <v>#N/A</v>
      </c>
      <c r="BT836" s="60">
        <f t="shared" si="977"/>
        <v>0</v>
      </c>
      <c r="BU836" s="60">
        <f t="shared" si="978"/>
        <v>0</v>
      </c>
      <c r="BV836" s="60">
        <f t="shared" si="979"/>
        <v>0</v>
      </c>
      <c r="BW836" s="60">
        <f t="shared" si="980"/>
        <v>0</v>
      </c>
      <c r="BX836" s="60">
        <f t="shared" si="981"/>
        <v>0</v>
      </c>
      <c r="BY836" s="60">
        <f t="shared" si="982"/>
        <v>0</v>
      </c>
      <c r="BZ836" s="60">
        <f t="shared" si="983"/>
        <v>0</v>
      </c>
      <c r="CA836" s="60">
        <f t="shared" si="984"/>
        <v>0</v>
      </c>
      <c r="CB836" s="60" t="e">
        <f t="shared" si="934"/>
        <v>#N/A</v>
      </c>
      <c r="CC836" s="60">
        <f t="shared" si="935"/>
        <v>100000</v>
      </c>
      <c r="CD836" s="60" t="e">
        <f t="shared" si="936"/>
        <v>#N/A</v>
      </c>
      <c r="CE836" s="60">
        <f t="shared" si="937"/>
        <v>100000</v>
      </c>
      <c r="CF836" s="83" t="e">
        <f t="shared" si="985"/>
        <v>#N/A</v>
      </c>
      <c r="CG836" s="83">
        <f t="shared" si="986"/>
        <v>0</v>
      </c>
      <c r="CH836" s="83" t="e">
        <f t="shared" si="987"/>
        <v>#N/A</v>
      </c>
      <c r="CI836" s="83">
        <f t="shared" si="988"/>
        <v>0</v>
      </c>
      <c r="CJ836" s="86" t="e">
        <f t="shared" si="938"/>
        <v>#N/A</v>
      </c>
      <c r="CK836" s="82">
        <f t="shared" si="939"/>
        <v>5.3070370403969858E-3</v>
      </c>
      <c r="CL836" s="82" t="e">
        <f t="shared" si="940"/>
        <v>#N/A</v>
      </c>
      <c r="CM836" s="82">
        <f t="shared" si="941"/>
        <v>5.3070370403969858E-3</v>
      </c>
      <c r="CO836" s="149" t="str">
        <f>IF($I836&lt;&gt;"",IF(O836="User Specified",U836,INDEX('Refrigerant GWPs'!$G$2:$G$156,MATCH(O836,'Refrigerant GWPs'!$A$2:$A$156,0))),"")</f>
        <v/>
      </c>
      <c r="CP836" s="138" t="str">
        <f>IF($I836&lt;&gt;"",INDEX('Device Refrigerant Leakage'!$E$2:$E$42,MATCH($M836,'Device Refrigerant Leakage'!$B$2:$B$42,0)),"")</f>
        <v/>
      </c>
      <c r="CQ836" s="138" t="str">
        <f>IF($I836&lt;&gt;"",INDEX('Device Refrigerant Leakage'!$F$2:$F$42,MATCH($M836,'Device Refrigerant Leakage'!$B$2:$B$42,0)),"")</f>
        <v/>
      </c>
      <c r="CR836" s="145" t="str">
        <f>IF($I836&lt;&gt;"",INDEX('Device Refrigerant Leakage'!$G$2:$G$42,MATCH($M836,'Device Refrigerant Leakage'!$B$2:$B$42,0)),"")</f>
        <v/>
      </c>
      <c r="CS836" s="145" t="str">
        <f>IF($I836&lt;&gt;"",INDEX('Device Refrigerant Leakage'!$D$2:$D$42,MATCH($M836,'Device Refrigerant Leakage'!$B$2:$B$42,0))*CP836/2204.62*CO836,"")</f>
        <v/>
      </c>
      <c r="CT836" s="145" t="str">
        <f>IF($I836&lt;&gt;"",J836*(INDEX('Device Refrigerant Leakage'!$D$2:$D$42,MATCH($M836,'Device Refrigerant Leakage'!$B$2:$B$42,0))-(INDEX('Device Refrigerant Leakage'!$D$2:$D$42,MATCH($M836,'Device Refrigerant Leakage'!$B$2:$B$42,0)))*CR836*CP836)*CQ836/2204.62*CO836,"")</f>
        <v/>
      </c>
      <c r="CU836" s="135" t="str">
        <f>IF($I836&lt;&gt;"",J836*IF(W836&lt;&gt;"AR",(CS836*K836)+CT836,(CS836*AB836)+CT836*(AB836/INDEX('Device Refrigerant Leakage'!$C$2:$C$42,MATCH($M836,'Device Refrigerant Leakage'!$B$2:$B$42,0)))),"")</f>
        <v/>
      </c>
      <c r="CW836" s="135" t="str">
        <f>IF($I836&lt;&gt;"",IF(S836="User Specified",V836,INDEX('Refrigerant GWPs'!$G$2:$G$156,MATCH(S836,'Refrigerant GWPs'!$A$2:$A$157,0))),"")</f>
        <v/>
      </c>
      <c r="CX836" s="138" t="str">
        <f>IF($I836&lt;&gt;"",INDEX('Device Refrigerant Leakage'!$E$2:$E$42,MATCH($Q836,'Device Refrigerant Leakage'!$B$2:$B$42,0)),"")</f>
        <v/>
      </c>
      <c r="CY836" s="138" t="str">
        <f>IF($I836&lt;&gt;"",INDEX('Device Refrigerant Leakage'!$F$2:$F$42,MATCH($Q836,'Device Refrigerant Leakage'!$B$2:$B$42,0)),"")</f>
        <v/>
      </c>
      <c r="CZ836" s="145" t="str">
        <f>IF($I836&lt;&gt;"",INDEX('Device Refrigerant Leakage'!$G$2:$G$42,MATCH($Q836,'Device Refrigerant Leakage'!$B$2:$B$42,0)),"")</f>
        <v/>
      </c>
      <c r="DA836" s="145" t="str">
        <f>IF($I836&lt;&gt;"",J836*INDEX('Device Refrigerant Leakage'!$D$2:$D$42,MATCH($Q836,'Device Refrigerant Leakage'!$B$2:$B$42,0))*CX836/2204.62*CW836,"")</f>
        <v/>
      </c>
      <c r="DB836" s="145" t="str">
        <f>IF($I836&lt;&gt;"",J836*(INDEX('Device Refrigerant Leakage'!$D$2:$D$42,MATCH($Q836,'Device Refrigerant Leakage'!$B$2:$B$42,0))-(INDEX('Device Refrigerant Leakage'!$D$2:$D$42,MATCH($Q836,'Device Refrigerant Leakage'!$B$2:$B$42,0)))*CZ836*CX836)*CY836/2204.62*CW836,"")</f>
        <v/>
      </c>
      <c r="DC836" s="135" t="str">
        <f t="shared" si="960"/>
        <v/>
      </c>
      <c r="DE836" s="146" t="str">
        <f>IF(W836&lt;&gt;"AR","",IF(Y836="User Specified", AA836, INDEX('Refrigerant GWPs'!$G$2:$G$154,MATCH(Y836,'Refrigerant GWPs'!$A$2:$A$154,0))))</f>
        <v/>
      </c>
      <c r="DF836" s="146" t="str">
        <f>IF(W836&lt;&gt;"AR","",INDEX('Device Refrigerant Leakage'!$E$2:$E$42,MATCH(X836,'Device Refrigerant Leakage'!$B$2:$B$42,0)))</f>
        <v/>
      </c>
      <c r="DG836" s="146" t="str">
        <f>IF(W836&lt;&gt;"AR","",INDEX('Device Refrigerant Leakage'!$F$2:$F$42,MATCH(X836,'Device Refrigerant Leakage'!$B$2:$B$42,0)))</f>
        <v/>
      </c>
      <c r="DH836" s="146" t="str">
        <f>IF(W836&lt;&gt;"AR","",INDEX('Device Refrigerant Leakage'!$G$2:$G$42,MATCH(X836,'Device Refrigerant Leakage'!$B$2:$B$42,0)))</f>
        <v/>
      </c>
      <c r="DI836" s="146" t="str">
        <f>IF(W836&lt;&gt;"AR","",J836*INDEX('Device Refrigerant Leakage'!$D$2:$D$42,MATCH(X836,'Device Refrigerant Leakage'!$B$2:$B$42,0))*DF836/2204.62*DE836)</f>
        <v/>
      </c>
      <c r="DJ836" s="146" t="str">
        <f>IF(W836&lt;&gt;"AR","",J836*(INDEX('Device Refrigerant Leakage'!$D$2:$D$42,MATCH(X836,'Device Refrigerant Leakage'!$B$2:$B$42,0))-(INDEX('Device Refrigerant Leakage'!$D$2:$D$42,MATCH(X836,'Device Refrigerant Leakage'!$B$2:$B$42,0)))*DH836*DF836)*DG836/2204.62*DE836)</f>
        <v/>
      </c>
      <c r="DK836" s="146" t="str">
        <f>IF(W836&lt;&gt;"AR","",DI836*(K836-AB836)+'Fuel Sub Calcs-Deemed'!DJ836*((K836-AB836)/INDEX('Device Refrigerant Leakage'!$C$2:$C$42,MATCH('Fuel Sub Calcs-Deemed'!X836,'Device Refrigerant Leakage'!$B$2:$B$42,0))))</f>
        <v/>
      </c>
      <c r="DM836" s="56">
        <v>822</v>
      </c>
      <c r="DN836" s="67" t="e">
        <f t="shared" si="942"/>
        <v>#N/A</v>
      </c>
      <c r="DO836" s="45" t="e">
        <f t="shared" si="943"/>
        <v>#N/A</v>
      </c>
      <c r="DP836" s="67" t="e">
        <f t="shared" si="944"/>
        <v>#N/A</v>
      </c>
      <c r="DQ836" s="45" t="e">
        <f t="shared" si="945"/>
        <v>#N/A</v>
      </c>
      <c r="DR836" s="69" t="e">
        <f t="shared" si="946"/>
        <v>#N/A</v>
      </c>
      <c r="DS836" s="34"/>
      <c r="DT836" s="67" t="e">
        <f>((BX836*CJ836)+IF($W836=MAT_AR,(BZ836*CL836),0))*(1+Reference!$E$50+Reference!$E$51)</f>
        <v>#N/A</v>
      </c>
      <c r="DU836" s="67">
        <f>((BY836*CK836)+IF($W836=MAT_AR,(CA836*CM836),0))*(1+Reference!$G$50+Reference!$G$51)</f>
        <v>0</v>
      </c>
      <c r="DV836" s="67" t="e">
        <f t="shared" si="947"/>
        <v>#VALUE!</v>
      </c>
      <c r="DX836" s="56">
        <v>822</v>
      </c>
      <c r="DY836" s="67">
        <f t="shared" si="948"/>
        <v>0</v>
      </c>
      <c r="DZ836" s="45" t="e">
        <f>VLOOKUP($R836,Dropdown!$C$3:$D$4,2,FALSE)</f>
        <v>#N/A</v>
      </c>
      <c r="EA836" s="68">
        <f t="shared" si="949"/>
        <v>0</v>
      </c>
      <c r="EB836" s="68" t="str">
        <f t="shared" si="950"/>
        <v>N/A</v>
      </c>
      <c r="EC836" s="68">
        <f t="shared" si="951"/>
        <v>0</v>
      </c>
      <c r="ED836" s="68" t="str">
        <f t="shared" si="989"/>
        <v>N/A</v>
      </c>
      <c r="EF836" s="56">
        <v>822</v>
      </c>
      <c r="EG836" s="46">
        <f t="shared" si="952"/>
        <v>0</v>
      </c>
      <c r="EH836" s="68" t="e">
        <f t="shared" si="953"/>
        <v>#N/A</v>
      </c>
      <c r="EI836" s="68" t="e">
        <f t="shared" si="954"/>
        <v>#N/A</v>
      </c>
      <c r="EJ836" s="68" t="e">
        <f t="shared" si="955"/>
        <v>#N/A</v>
      </c>
      <c r="EK836" s="68" t="e">
        <f t="shared" si="956"/>
        <v>#N/A</v>
      </c>
      <c r="EL836" s="46">
        <f t="shared" si="957"/>
        <v>0</v>
      </c>
      <c r="EM836" s="46">
        <f t="shared" si="958"/>
        <v>0</v>
      </c>
    </row>
    <row r="837" spans="1:143">
      <c r="A837" s="89"/>
      <c r="B837" s="89"/>
      <c r="C837" s="89"/>
      <c r="D837" s="89"/>
      <c r="E837" s="89"/>
      <c r="F837" s="89"/>
      <c r="G837" s="34"/>
      <c r="H837" s="56">
        <f t="shared" si="959"/>
        <v>823</v>
      </c>
      <c r="I837" s="165"/>
      <c r="J837" s="163"/>
      <c r="K837" s="163"/>
      <c r="L837" s="164"/>
      <c r="M837" s="155"/>
      <c r="N837" s="155"/>
      <c r="O837" s="144"/>
      <c r="P837" s="159" t="str">
        <f>IFERROR(IF(O837&lt;&gt;"User Specified",IF(O837&lt;&gt;"", INDEX('Refrigerant GWPs'!$G$2:$G$154,MATCH(O837,'Refrigerant GWPs'!$A$2:$A$154,0)),""),U837),0)</f>
        <v/>
      </c>
      <c r="Q837" s="155"/>
      <c r="R837" s="155"/>
      <c r="S837" s="144"/>
      <c r="T837" s="159" t="str">
        <f>IF(S837&lt;&gt;"User Specified",IF(AND(S837&lt;&gt;"User Specified",S837&lt;&gt;""), INDEX('Refrigerant GWPs'!$G$2:$G$154,MATCH(S837,'Refrigerant GWPs'!$A$2:$A$154,0)),""),V837)</f>
        <v/>
      </c>
      <c r="U837" s="144"/>
      <c r="V837" s="144"/>
      <c r="W837" s="155"/>
      <c r="X837" s="155"/>
      <c r="Y837" s="144"/>
      <c r="Z837" s="159" t="str">
        <f>IF(AND(Y837&lt;&gt;"User Specified",Y837&lt;&gt;""), INDEX('Refrigerant GWPs'!$G$2:$G$154,MATCH(Y837,'Refrigerant GWPs'!$A$2:$A$154,0)),"")</f>
        <v/>
      </c>
      <c r="AA837" s="155"/>
      <c r="AB837" s="156"/>
      <c r="AC837" s="66"/>
      <c r="AD837" s="66"/>
      <c r="AE837" s="66"/>
      <c r="AF837" s="66"/>
      <c r="AG837" s="66"/>
      <c r="AH837" s="66"/>
      <c r="AI837" s="34"/>
      <c r="AJ837" s="88">
        <f t="shared" si="922"/>
        <v>0</v>
      </c>
      <c r="AK837" s="88">
        <f t="shared" si="923"/>
        <v>0</v>
      </c>
      <c r="AL837" s="88">
        <v>0</v>
      </c>
      <c r="AM837" s="88">
        <v>0</v>
      </c>
      <c r="AN837" s="81" t="str">
        <f t="shared" si="961"/>
        <v/>
      </c>
      <c r="AO837" s="88">
        <f t="shared" si="924"/>
        <v>0</v>
      </c>
      <c r="AP837" s="88">
        <f t="shared" si="925"/>
        <v>0</v>
      </c>
      <c r="AQ837" s="81" t="str">
        <f t="shared" si="926"/>
        <v/>
      </c>
      <c r="AS837" s="41" t="b">
        <f t="shared" si="927"/>
        <v>1</v>
      </c>
      <c r="AT837" s="38">
        <f t="shared" si="928"/>
        <v>0</v>
      </c>
      <c r="AU837" s="60">
        <f t="shared" si="929"/>
        <v>0</v>
      </c>
      <c r="AV837" s="41">
        <f t="shared" si="930"/>
        <v>0</v>
      </c>
      <c r="AW837" s="41" t="b">
        <f t="shared" si="931"/>
        <v>0</v>
      </c>
      <c r="AX837" t="str">
        <f t="shared" si="932"/>
        <v>+00</v>
      </c>
      <c r="AY837" t="str">
        <f t="shared" si="933"/>
        <v>+00</v>
      </c>
      <c r="BA837" s="47" t="b">
        <f t="shared" si="962"/>
        <v>1</v>
      </c>
      <c r="BB837" s="42" t="b">
        <f t="shared" si="963"/>
        <v>1</v>
      </c>
      <c r="BC837" s="42" t="b">
        <f t="shared" si="964"/>
        <v>0</v>
      </c>
      <c r="BD837" s="42" t="b">
        <f t="shared" si="965"/>
        <v>0</v>
      </c>
      <c r="BE837" s="70">
        <f t="shared" si="966"/>
        <v>0</v>
      </c>
      <c r="BF837" s="70">
        <f t="shared" si="967"/>
        <v>0</v>
      </c>
      <c r="BG837" s="34"/>
      <c r="BI837" s="47" t="b">
        <f t="shared" si="968"/>
        <v>1</v>
      </c>
      <c r="BJ837" s="47" t="b">
        <f t="shared" si="969"/>
        <v>1</v>
      </c>
      <c r="BK837" s="42" t="b">
        <f t="shared" si="970"/>
        <v>0</v>
      </c>
      <c r="BL837" s="42" t="b">
        <f t="shared" si="971"/>
        <v>0</v>
      </c>
      <c r="BM837" s="42">
        <f t="shared" si="972"/>
        <v>0</v>
      </c>
      <c r="BN837" s="42">
        <f t="shared" si="973"/>
        <v>0</v>
      </c>
      <c r="BP837" t="e">
        <f t="shared" si="974"/>
        <v>#N/A</v>
      </c>
      <c r="BQ837" t="e">
        <f t="shared" si="975"/>
        <v>#N/A</v>
      </c>
      <c r="BR837" t="e">
        <f t="shared" si="976"/>
        <v>#N/A</v>
      </c>
      <c r="BT837" s="60">
        <f t="shared" si="977"/>
        <v>0</v>
      </c>
      <c r="BU837" s="60">
        <f t="shared" si="978"/>
        <v>0</v>
      </c>
      <c r="BV837" s="60">
        <f t="shared" si="979"/>
        <v>0</v>
      </c>
      <c r="BW837" s="60">
        <f t="shared" si="980"/>
        <v>0</v>
      </c>
      <c r="BX837" s="60">
        <f t="shared" si="981"/>
        <v>0</v>
      </c>
      <c r="BY837" s="60">
        <f t="shared" si="982"/>
        <v>0</v>
      </c>
      <c r="BZ837" s="60">
        <f t="shared" si="983"/>
        <v>0</v>
      </c>
      <c r="CA837" s="60">
        <f t="shared" si="984"/>
        <v>0</v>
      </c>
      <c r="CB837" s="60" t="e">
        <f t="shared" si="934"/>
        <v>#N/A</v>
      </c>
      <c r="CC837" s="60">
        <f t="shared" si="935"/>
        <v>100000</v>
      </c>
      <c r="CD837" s="60" t="e">
        <f t="shared" si="936"/>
        <v>#N/A</v>
      </c>
      <c r="CE837" s="60">
        <f t="shared" si="937"/>
        <v>100000</v>
      </c>
      <c r="CF837" s="83" t="e">
        <f t="shared" si="985"/>
        <v>#N/A</v>
      </c>
      <c r="CG837" s="83">
        <f t="shared" si="986"/>
        <v>0</v>
      </c>
      <c r="CH837" s="83" t="e">
        <f t="shared" si="987"/>
        <v>#N/A</v>
      </c>
      <c r="CI837" s="83">
        <f t="shared" si="988"/>
        <v>0</v>
      </c>
      <c r="CJ837" s="86" t="e">
        <f t="shared" si="938"/>
        <v>#N/A</v>
      </c>
      <c r="CK837" s="82">
        <f t="shared" si="939"/>
        <v>5.3070370403969858E-3</v>
      </c>
      <c r="CL837" s="82" t="e">
        <f t="shared" si="940"/>
        <v>#N/A</v>
      </c>
      <c r="CM837" s="82">
        <f t="shared" si="941"/>
        <v>5.3070370403969858E-3</v>
      </c>
      <c r="CO837" s="149" t="str">
        <f>IF($I837&lt;&gt;"",IF(O837="User Specified",U837,INDEX('Refrigerant GWPs'!$G$2:$G$156,MATCH(O837,'Refrigerant GWPs'!$A$2:$A$156,0))),"")</f>
        <v/>
      </c>
      <c r="CP837" s="138" t="str">
        <f>IF($I837&lt;&gt;"",INDEX('Device Refrigerant Leakage'!$E$2:$E$42,MATCH($M837,'Device Refrigerant Leakage'!$B$2:$B$42,0)),"")</f>
        <v/>
      </c>
      <c r="CQ837" s="138" t="str">
        <f>IF($I837&lt;&gt;"",INDEX('Device Refrigerant Leakage'!$F$2:$F$42,MATCH($M837,'Device Refrigerant Leakage'!$B$2:$B$42,0)),"")</f>
        <v/>
      </c>
      <c r="CR837" s="145" t="str">
        <f>IF($I837&lt;&gt;"",INDEX('Device Refrigerant Leakage'!$G$2:$G$42,MATCH($M837,'Device Refrigerant Leakage'!$B$2:$B$42,0)),"")</f>
        <v/>
      </c>
      <c r="CS837" s="145" t="str">
        <f>IF($I837&lt;&gt;"",INDEX('Device Refrigerant Leakage'!$D$2:$D$42,MATCH($M837,'Device Refrigerant Leakage'!$B$2:$B$42,0))*CP837/2204.62*CO837,"")</f>
        <v/>
      </c>
      <c r="CT837" s="145" t="str">
        <f>IF($I837&lt;&gt;"",J837*(INDEX('Device Refrigerant Leakage'!$D$2:$D$42,MATCH($M837,'Device Refrigerant Leakage'!$B$2:$B$42,0))-(INDEX('Device Refrigerant Leakage'!$D$2:$D$42,MATCH($M837,'Device Refrigerant Leakage'!$B$2:$B$42,0)))*CR837*CP837)*CQ837/2204.62*CO837,"")</f>
        <v/>
      </c>
      <c r="CU837" s="135" t="str">
        <f>IF($I837&lt;&gt;"",J837*IF(W837&lt;&gt;"AR",(CS837*K837)+CT837,(CS837*AB837)+CT837*(AB837/INDEX('Device Refrigerant Leakage'!$C$2:$C$42,MATCH($M837,'Device Refrigerant Leakage'!$B$2:$B$42,0)))),"")</f>
        <v/>
      </c>
      <c r="CW837" s="135" t="str">
        <f>IF($I837&lt;&gt;"",IF(S837="User Specified",V837,INDEX('Refrigerant GWPs'!$G$2:$G$156,MATCH(S837,'Refrigerant GWPs'!$A$2:$A$157,0))),"")</f>
        <v/>
      </c>
      <c r="CX837" s="138" t="str">
        <f>IF($I837&lt;&gt;"",INDEX('Device Refrigerant Leakage'!$E$2:$E$42,MATCH($Q837,'Device Refrigerant Leakage'!$B$2:$B$42,0)),"")</f>
        <v/>
      </c>
      <c r="CY837" s="138" t="str">
        <f>IF($I837&lt;&gt;"",INDEX('Device Refrigerant Leakage'!$F$2:$F$42,MATCH($Q837,'Device Refrigerant Leakage'!$B$2:$B$42,0)),"")</f>
        <v/>
      </c>
      <c r="CZ837" s="145" t="str">
        <f>IF($I837&lt;&gt;"",INDEX('Device Refrigerant Leakage'!$G$2:$G$42,MATCH($Q837,'Device Refrigerant Leakage'!$B$2:$B$42,0)),"")</f>
        <v/>
      </c>
      <c r="DA837" s="145" t="str">
        <f>IF($I837&lt;&gt;"",J837*INDEX('Device Refrigerant Leakage'!$D$2:$D$42,MATCH($Q837,'Device Refrigerant Leakage'!$B$2:$B$42,0))*CX837/2204.62*CW837,"")</f>
        <v/>
      </c>
      <c r="DB837" s="145" t="str">
        <f>IF($I837&lt;&gt;"",J837*(INDEX('Device Refrigerant Leakage'!$D$2:$D$42,MATCH($Q837,'Device Refrigerant Leakage'!$B$2:$B$42,0))-(INDEX('Device Refrigerant Leakage'!$D$2:$D$42,MATCH($Q837,'Device Refrigerant Leakage'!$B$2:$B$42,0)))*CZ837*CX837)*CY837/2204.62*CW837,"")</f>
        <v/>
      </c>
      <c r="DC837" s="135" t="str">
        <f t="shared" si="960"/>
        <v/>
      </c>
      <c r="DE837" s="146" t="str">
        <f>IF(W837&lt;&gt;"AR","",IF(Y837="User Specified", AA837, INDEX('Refrigerant GWPs'!$G$2:$G$154,MATCH(Y837,'Refrigerant GWPs'!$A$2:$A$154,0))))</f>
        <v/>
      </c>
      <c r="DF837" s="146" t="str">
        <f>IF(W837&lt;&gt;"AR","",INDEX('Device Refrigerant Leakage'!$E$2:$E$42,MATCH(X837,'Device Refrigerant Leakage'!$B$2:$B$42,0)))</f>
        <v/>
      </c>
      <c r="DG837" s="146" t="str">
        <f>IF(W837&lt;&gt;"AR","",INDEX('Device Refrigerant Leakage'!$F$2:$F$42,MATCH(X837,'Device Refrigerant Leakage'!$B$2:$B$42,0)))</f>
        <v/>
      </c>
      <c r="DH837" s="146" t="str">
        <f>IF(W837&lt;&gt;"AR","",INDEX('Device Refrigerant Leakage'!$G$2:$G$42,MATCH(X837,'Device Refrigerant Leakage'!$B$2:$B$42,0)))</f>
        <v/>
      </c>
      <c r="DI837" s="146" t="str">
        <f>IF(W837&lt;&gt;"AR","",J837*INDEX('Device Refrigerant Leakage'!$D$2:$D$42,MATCH(X837,'Device Refrigerant Leakage'!$B$2:$B$42,0))*DF837/2204.62*DE837)</f>
        <v/>
      </c>
      <c r="DJ837" s="146" t="str">
        <f>IF(W837&lt;&gt;"AR","",J837*(INDEX('Device Refrigerant Leakage'!$D$2:$D$42,MATCH(X837,'Device Refrigerant Leakage'!$B$2:$B$42,0))-(INDEX('Device Refrigerant Leakage'!$D$2:$D$42,MATCH(X837,'Device Refrigerant Leakage'!$B$2:$B$42,0)))*DH837*DF837)*DG837/2204.62*DE837)</f>
        <v/>
      </c>
      <c r="DK837" s="146" t="str">
        <f>IF(W837&lt;&gt;"AR","",DI837*(K837-AB837)+'Fuel Sub Calcs-Deemed'!DJ837*((K837-AB837)/INDEX('Device Refrigerant Leakage'!$C$2:$C$42,MATCH('Fuel Sub Calcs-Deemed'!X837,'Device Refrigerant Leakage'!$B$2:$B$42,0))))</f>
        <v/>
      </c>
      <c r="DM837" s="56">
        <v>823</v>
      </c>
      <c r="DN837" s="67" t="e">
        <f t="shared" si="942"/>
        <v>#N/A</v>
      </c>
      <c r="DO837" s="45" t="e">
        <f t="shared" si="943"/>
        <v>#N/A</v>
      </c>
      <c r="DP837" s="67" t="e">
        <f t="shared" si="944"/>
        <v>#N/A</v>
      </c>
      <c r="DQ837" s="45" t="e">
        <f t="shared" si="945"/>
        <v>#N/A</v>
      </c>
      <c r="DR837" s="69" t="e">
        <f t="shared" si="946"/>
        <v>#N/A</v>
      </c>
      <c r="DS837" s="34"/>
      <c r="DT837" s="67" t="e">
        <f>((BX837*CJ837)+IF($W837=MAT_AR,(BZ837*CL837),0))*(1+Reference!$E$50+Reference!$E$51)</f>
        <v>#N/A</v>
      </c>
      <c r="DU837" s="67">
        <f>((BY837*CK837)+IF($W837=MAT_AR,(CA837*CM837),0))*(1+Reference!$G$50+Reference!$G$51)</f>
        <v>0</v>
      </c>
      <c r="DV837" s="67" t="e">
        <f t="shared" si="947"/>
        <v>#VALUE!</v>
      </c>
      <c r="DX837" s="56">
        <v>823</v>
      </c>
      <c r="DY837" s="67">
        <f t="shared" si="948"/>
        <v>0</v>
      </c>
      <c r="DZ837" s="45" t="e">
        <f>VLOOKUP($R837,Dropdown!$C$3:$D$4,2,FALSE)</f>
        <v>#N/A</v>
      </c>
      <c r="EA837" s="68">
        <f t="shared" si="949"/>
        <v>0</v>
      </c>
      <c r="EB837" s="68" t="str">
        <f t="shared" si="950"/>
        <v>N/A</v>
      </c>
      <c r="EC837" s="68">
        <f t="shared" si="951"/>
        <v>0</v>
      </c>
      <c r="ED837" s="68" t="str">
        <f t="shared" si="989"/>
        <v>N/A</v>
      </c>
      <c r="EF837" s="56">
        <v>823</v>
      </c>
      <c r="EG837" s="46">
        <f t="shared" si="952"/>
        <v>0</v>
      </c>
      <c r="EH837" s="68" t="e">
        <f t="shared" si="953"/>
        <v>#N/A</v>
      </c>
      <c r="EI837" s="68" t="e">
        <f t="shared" si="954"/>
        <v>#N/A</v>
      </c>
      <c r="EJ837" s="68" t="e">
        <f t="shared" si="955"/>
        <v>#N/A</v>
      </c>
      <c r="EK837" s="68" t="e">
        <f t="shared" si="956"/>
        <v>#N/A</v>
      </c>
      <c r="EL837" s="46">
        <f t="shared" si="957"/>
        <v>0</v>
      </c>
      <c r="EM837" s="46">
        <f t="shared" si="958"/>
        <v>0</v>
      </c>
    </row>
    <row r="838" spans="1:143">
      <c r="A838" s="89"/>
      <c r="B838" s="89"/>
      <c r="C838" s="89"/>
      <c r="D838" s="89"/>
      <c r="E838" s="89"/>
      <c r="F838" s="89"/>
      <c r="G838" s="34"/>
      <c r="H838" s="56">
        <f t="shared" si="959"/>
        <v>824</v>
      </c>
      <c r="I838" s="165"/>
      <c r="J838" s="163"/>
      <c r="K838" s="163"/>
      <c r="L838" s="164"/>
      <c r="M838" s="155"/>
      <c r="N838" s="155"/>
      <c r="O838" s="144"/>
      <c r="P838" s="159" t="str">
        <f>IFERROR(IF(O838&lt;&gt;"User Specified",IF(O838&lt;&gt;"", INDEX('Refrigerant GWPs'!$G$2:$G$154,MATCH(O838,'Refrigerant GWPs'!$A$2:$A$154,0)),""),U838),0)</f>
        <v/>
      </c>
      <c r="Q838" s="155"/>
      <c r="R838" s="155"/>
      <c r="S838" s="144"/>
      <c r="T838" s="159" t="str">
        <f>IF(S838&lt;&gt;"User Specified",IF(AND(S838&lt;&gt;"User Specified",S838&lt;&gt;""), INDEX('Refrigerant GWPs'!$G$2:$G$154,MATCH(S838,'Refrigerant GWPs'!$A$2:$A$154,0)),""),V838)</f>
        <v/>
      </c>
      <c r="U838" s="144"/>
      <c r="V838" s="144"/>
      <c r="W838" s="155"/>
      <c r="X838" s="155"/>
      <c r="Y838" s="144"/>
      <c r="Z838" s="159" t="str">
        <f>IF(AND(Y838&lt;&gt;"User Specified",Y838&lt;&gt;""), INDEX('Refrigerant GWPs'!$G$2:$G$154,MATCH(Y838,'Refrigerant GWPs'!$A$2:$A$154,0)),"")</f>
        <v/>
      </c>
      <c r="AA838" s="155"/>
      <c r="AB838" s="156"/>
      <c r="AC838" s="66"/>
      <c r="AD838" s="66"/>
      <c r="AE838" s="66"/>
      <c r="AF838" s="66"/>
      <c r="AG838" s="66"/>
      <c r="AH838" s="66"/>
      <c r="AI838" s="34"/>
      <c r="AJ838" s="88">
        <f t="shared" si="922"/>
        <v>0</v>
      </c>
      <c r="AK838" s="88">
        <f t="shared" si="923"/>
        <v>0</v>
      </c>
      <c r="AL838" s="88">
        <v>0</v>
      </c>
      <c r="AM838" s="88">
        <v>0</v>
      </c>
      <c r="AN838" s="81" t="str">
        <f t="shared" si="961"/>
        <v/>
      </c>
      <c r="AO838" s="88">
        <f t="shared" si="924"/>
        <v>0</v>
      </c>
      <c r="AP838" s="88">
        <f t="shared" si="925"/>
        <v>0</v>
      </c>
      <c r="AQ838" s="81" t="str">
        <f t="shared" si="926"/>
        <v/>
      </c>
      <c r="AS838" s="41" t="b">
        <f t="shared" si="927"/>
        <v>1</v>
      </c>
      <c r="AT838" s="38">
        <f t="shared" si="928"/>
        <v>0</v>
      </c>
      <c r="AU838" s="60">
        <f t="shared" si="929"/>
        <v>0</v>
      </c>
      <c r="AV838" s="41">
        <f t="shared" si="930"/>
        <v>0</v>
      </c>
      <c r="AW838" s="41" t="b">
        <f t="shared" si="931"/>
        <v>0</v>
      </c>
      <c r="AX838" t="str">
        <f t="shared" si="932"/>
        <v>+00</v>
      </c>
      <c r="AY838" t="str">
        <f t="shared" si="933"/>
        <v>+00</v>
      </c>
      <c r="BA838" s="47" t="b">
        <f t="shared" si="962"/>
        <v>1</v>
      </c>
      <c r="BB838" s="42" t="b">
        <f t="shared" si="963"/>
        <v>1</v>
      </c>
      <c r="BC838" s="42" t="b">
        <f t="shared" si="964"/>
        <v>0</v>
      </c>
      <c r="BD838" s="42" t="b">
        <f t="shared" si="965"/>
        <v>0</v>
      </c>
      <c r="BE838" s="70">
        <f t="shared" si="966"/>
        <v>0</v>
      </c>
      <c r="BF838" s="70">
        <f t="shared" si="967"/>
        <v>0</v>
      </c>
      <c r="BG838" s="34"/>
      <c r="BI838" s="47" t="b">
        <f t="shared" si="968"/>
        <v>1</v>
      </c>
      <c r="BJ838" s="47" t="b">
        <f t="shared" si="969"/>
        <v>1</v>
      </c>
      <c r="BK838" s="42" t="b">
        <f t="shared" si="970"/>
        <v>0</v>
      </c>
      <c r="BL838" s="42" t="b">
        <f t="shared" si="971"/>
        <v>0</v>
      </c>
      <c r="BM838" s="42">
        <f t="shared" si="972"/>
        <v>0</v>
      </c>
      <c r="BN838" s="42">
        <f t="shared" si="973"/>
        <v>0</v>
      </c>
      <c r="BP838" t="e">
        <f t="shared" si="974"/>
        <v>#N/A</v>
      </c>
      <c r="BQ838" t="e">
        <f t="shared" si="975"/>
        <v>#N/A</v>
      </c>
      <c r="BR838" t="e">
        <f t="shared" si="976"/>
        <v>#N/A</v>
      </c>
      <c r="BT838" s="60">
        <f t="shared" si="977"/>
        <v>0</v>
      </c>
      <c r="BU838" s="60">
        <f t="shared" si="978"/>
        <v>0</v>
      </c>
      <c r="BV838" s="60">
        <f t="shared" si="979"/>
        <v>0</v>
      </c>
      <c r="BW838" s="60">
        <f t="shared" si="980"/>
        <v>0</v>
      </c>
      <c r="BX838" s="60">
        <f t="shared" si="981"/>
        <v>0</v>
      </c>
      <c r="BY838" s="60">
        <f t="shared" si="982"/>
        <v>0</v>
      </c>
      <c r="BZ838" s="60">
        <f t="shared" si="983"/>
        <v>0</v>
      </c>
      <c r="CA838" s="60">
        <f t="shared" si="984"/>
        <v>0</v>
      </c>
      <c r="CB838" s="60" t="e">
        <f t="shared" si="934"/>
        <v>#N/A</v>
      </c>
      <c r="CC838" s="60">
        <f t="shared" si="935"/>
        <v>100000</v>
      </c>
      <c r="CD838" s="60" t="e">
        <f t="shared" si="936"/>
        <v>#N/A</v>
      </c>
      <c r="CE838" s="60">
        <f t="shared" si="937"/>
        <v>100000</v>
      </c>
      <c r="CF838" s="83" t="e">
        <f t="shared" si="985"/>
        <v>#N/A</v>
      </c>
      <c r="CG838" s="83">
        <f t="shared" si="986"/>
        <v>0</v>
      </c>
      <c r="CH838" s="83" t="e">
        <f t="shared" si="987"/>
        <v>#N/A</v>
      </c>
      <c r="CI838" s="83">
        <f t="shared" si="988"/>
        <v>0</v>
      </c>
      <c r="CJ838" s="86" t="e">
        <f t="shared" si="938"/>
        <v>#N/A</v>
      </c>
      <c r="CK838" s="82">
        <f t="shared" si="939"/>
        <v>5.3070370403969858E-3</v>
      </c>
      <c r="CL838" s="82" t="e">
        <f t="shared" si="940"/>
        <v>#N/A</v>
      </c>
      <c r="CM838" s="82">
        <f t="shared" si="941"/>
        <v>5.3070370403969858E-3</v>
      </c>
      <c r="CO838" s="149" t="str">
        <f>IF($I838&lt;&gt;"",IF(O838="User Specified",U838,INDEX('Refrigerant GWPs'!$G$2:$G$156,MATCH(O838,'Refrigerant GWPs'!$A$2:$A$156,0))),"")</f>
        <v/>
      </c>
      <c r="CP838" s="138" t="str">
        <f>IF($I838&lt;&gt;"",INDEX('Device Refrigerant Leakage'!$E$2:$E$42,MATCH($M838,'Device Refrigerant Leakage'!$B$2:$B$42,0)),"")</f>
        <v/>
      </c>
      <c r="CQ838" s="138" t="str">
        <f>IF($I838&lt;&gt;"",INDEX('Device Refrigerant Leakage'!$F$2:$F$42,MATCH($M838,'Device Refrigerant Leakage'!$B$2:$B$42,0)),"")</f>
        <v/>
      </c>
      <c r="CR838" s="145" t="str">
        <f>IF($I838&lt;&gt;"",INDEX('Device Refrigerant Leakage'!$G$2:$G$42,MATCH($M838,'Device Refrigerant Leakage'!$B$2:$B$42,0)),"")</f>
        <v/>
      </c>
      <c r="CS838" s="145" t="str">
        <f>IF($I838&lt;&gt;"",INDEX('Device Refrigerant Leakage'!$D$2:$D$42,MATCH($M838,'Device Refrigerant Leakage'!$B$2:$B$42,0))*CP838/2204.62*CO838,"")</f>
        <v/>
      </c>
      <c r="CT838" s="145" t="str">
        <f>IF($I838&lt;&gt;"",J838*(INDEX('Device Refrigerant Leakage'!$D$2:$D$42,MATCH($M838,'Device Refrigerant Leakage'!$B$2:$B$42,0))-(INDEX('Device Refrigerant Leakage'!$D$2:$D$42,MATCH($M838,'Device Refrigerant Leakage'!$B$2:$B$42,0)))*CR838*CP838)*CQ838/2204.62*CO838,"")</f>
        <v/>
      </c>
      <c r="CU838" s="135" t="str">
        <f>IF($I838&lt;&gt;"",J838*IF(W838&lt;&gt;"AR",(CS838*K838)+CT838,(CS838*AB838)+CT838*(AB838/INDEX('Device Refrigerant Leakage'!$C$2:$C$42,MATCH($M838,'Device Refrigerant Leakage'!$B$2:$B$42,0)))),"")</f>
        <v/>
      </c>
      <c r="CW838" s="135" t="str">
        <f>IF($I838&lt;&gt;"",IF(S838="User Specified",V838,INDEX('Refrigerant GWPs'!$G$2:$G$156,MATCH(S838,'Refrigerant GWPs'!$A$2:$A$157,0))),"")</f>
        <v/>
      </c>
      <c r="CX838" s="138" t="str">
        <f>IF($I838&lt;&gt;"",INDEX('Device Refrigerant Leakage'!$E$2:$E$42,MATCH($Q838,'Device Refrigerant Leakage'!$B$2:$B$42,0)),"")</f>
        <v/>
      </c>
      <c r="CY838" s="138" t="str">
        <f>IF($I838&lt;&gt;"",INDEX('Device Refrigerant Leakage'!$F$2:$F$42,MATCH($Q838,'Device Refrigerant Leakage'!$B$2:$B$42,0)),"")</f>
        <v/>
      </c>
      <c r="CZ838" s="145" t="str">
        <f>IF($I838&lt;&gt;"",INDEX('Device Refrigerant Leakage'!$G$2:$G$42,MATCH($Q838,'Device Refrigerant Leakage'!$B$2:$B$42,0)),"")</f>
        <v/>
      </c>
      <c r="DA838" s="145" t="str">
        <f>IF($I838&lt;&gt;"",J838*INDEX('Device Refrigerant Leakage'!$D$2:$D$42,MATCH($Q838,'Device Refrigerant Leakage'!$B$2:$B$42,0))*CX838/2204.62*CW838,"")</f>
        <v/>
      </c>
      <c r="DB838" s="145" t="str">
        <f>IF($I838&lt;&gt;"",J838*(INDEX('Device Refrigerant Leakage'!$D$2:$D$42,MATCH($Q838,'Device Refrigerant Leakage'!$B$2:$B$42,0))-(INDEX('Device Refrigerant Leakage'!$D$2:$D$42,MATCH($Q838,'Device Refrigerant Leakage'!$B$2:$B$42,0)))*CZ838*CX838)*CY838/2204.62*CW838,"")</f>
        <v/>
      </c>
      <c r="DC838" s="135" t="str">
        <f t="shared" si="960"/>
        <v/>
      </c>
      <c r="DE838" s="146" t="str">
        <f>IF(W838&lt;&gt;"AR","",IF(Y838="User Specified", AA838, INDEX('Refrigerant GWPs'!$G$2:$G$154,MATCH(Y838,'Refrigerant GWPs'!$A$2:$A$154,0))))</f>
        <v/>
      </c>
      <c r="DF838" s="146" t="str">
        <f>IF(W838&lt;&gt;"AR","",INDEX('Device Refrigerant Leakage'!$E$2:$E$42,MATCH(X838,'Device Refrigerant Leakage'!$B$2:$B$42,0)))</f>
        <v/>
      </c>
      <c r="DG838" s="146" t="str">
        <f>IF(W838&lt;&gt;"AR","",INDEX('Device Refrigerant Leakage'!$F$2:$F$42,MATCH(X838,'Device Refrigerant Leakage'!$B$2:$B$42,0)))</f>
        <v/>
      </c>
      <c r="DH838" s="146" t="str">
        <f>IF(W838&lt;&gt;"AR","",INDEX('Device Refrigerant Leakage'!$G$2:$G$42,MATCH(X838,'Device Refrigerant Leakage'!$B$2:$B$42,0)))</f>
        <v/>
      </c>
      <c r="DI838" s="146" t="str">
        <f>IF(W838&lt;&gt;"AR","",J838*INDEX('Device Refrigerant Leakage'!$D$2:$D$42,MATCH(X838,'Device Refrigerant Leakage'!$B$2:$B$42,0))*DF838/2204.62*DE838)</f>
        <v/>
      </c>
      <c r="DJ838" s="146" t="str">
        <f>IF(W838&lt;&gt;"AR","",J838*(INDEX('Device Refrigerant Leakage'!$D$2:$D$42,MATCH(X838,'Device Refrigerant Leakage'!$B$2:$B$42,0))-(INDEX('Device Refrigerant Leakage'!$D$2:$D$42,MATCH(X838,'Device Refrigerant Leakage'!$B$2:$B$42,0)))*DH838*DF838)*DG838/2204.62*DE838)</f>
        <v/>
      </c>
      <c r="DK838" s="146" t="str">
        <f>IF(W838&lt;&gt;"AR","",DI838*(K838-AB838)+'Fuel Sub Calcs-Deemed'!DJ838*((K838-AB838)/INDEX('Device Refrigerant Leakage'!$C$2:$C$42,MATCH('Fuel Sub Calcs-Deemed'!X838,'Device Refrigerant Leakage'!$B$2:$B$42,0))))</f>
        <v/>
      </c>
      <c r="DM838" s="56">
        <v>824</v>
      </c>
      <c r="DN838" s="67" t="e">
        <f t="shared" si="942"/>
        <v>#N/A</v>
      </c>
      <c r="DO838" s="45" t="e">
        <f t="shared" si="943"/>
        <v>#N/A</v>
      </c>
      <c r="DP838" s="67" t="e">
        <f t="shared" si="944"/>
        <v>#N/A</v>
      </c>
      <c r="DQ838" s="45" t="e">
        <f t="shared" si="945"/>
        <v>#N/A</v>
      </c>
      <c r="DR838" s="69" t="e">
        <f t="shared" si="946"/>
        <v>#N/A</v>
      </c>
      <c r="DS838" s="34"/>
      <c r="DT838" s="67" t="e">
        <f>((BX838*CJ838)+IF($W838=MAT_AR,(BZ838*CL838),0))*(1+Reference!$E$50+Reference!$E$51)</f>
        <v>#N/A</v>
      </c>
      <c r="DU838" s="67">
        <f>((BY838*CK838)+IF($W838=MAT_AR,(CA838*CM838),0))*(1+Reference!$G$50+Reference!$G$51)</f>
        <v>0</v>
      </c>
      <c r="DV838" s="67" t="e">
        <f t="shared" si="947"/>
        <v>#VALUE!</v>
      </c>
      <c r="DX838" s="56">
        <v>824</v>
      </c>
      <c r="DY838" s="67">
        <f t="shared" si="948"/>
        <v>0</v>
      </c>
      <c r="DZ838" s="45" t="e">
        <f>VLOOKUP($R838,Dropdown!$C$3:$D$4,2,FALSE)</f>
        <v>#N/A</v>
      </c>
      <c r="EA838" s="68">
        <f t="shared" si="949"/>
        <v>0</v>
      </c>
      <c r="EB838" s="68" t="str">
        <f t="shared" si="950"/>
        <v>N/A</v>
      </c>
      <c r="EC838" s="68">
        <f t="shared" si="951"/>
        <v>0</v>
      </c>
      <c r="ED838" s="68" t="str">
        <f t="shared" si="989"/>
        <v>N/A</v>
      </c>
      <c r="EF838" s="56">
        <v>824</v>
      </c>
      <c r="EG838" s="46">
        <f t="shared" si="952"/>
        <v>0</v>
      </c>
      <c r="EH838" s="68" t="e">
        <f t="shared" si="953"/>
        <v>#N/A</v>
      </c>
      <c r="EI838" s="68" t="e">
        <f t="shared" si="954"/>
        <v>#N/A</v>
      </c>
      <c r="EJ838" s="68" t="e">
        <f t="shared" si="955"/>
        <v>#N/A</v>
      </c>
      <c r="EK838" s="68" t="e">
        <f t="shared" si="956"/>
        <v>#N/A</v>
      </c>
      <c r="EL838" s="46">
        <f t="shared" si="957"/>
        <v>0</v>
      </c>
      <c r="EM838" s="46">
        <f t="shared" si="958"/>
        <v>0</v>
      </c>
    </row>
    <row r="839" spans="1:143">
      <c r="A839" s="89"/>
      <c r="B839" s="89"/>
      <c r="C839" s="89"/>
      <c r="D839" s="89"/>
      <c r="E839" s="89"/>
      <c r="F839" s="89"/>
      <c r="G839" s="34"/>
      <c r="H839" s="56">
        <f t="shared" si="959"/>
        <v>825</v>
      </c>
      <c r="I839" s="165"/>
      <c r="J839" s="163"/>
      <c r="K839" s="163"/>
      <c r="L839" s="164"/>
      <c r="M839" s="155"/>
      <c r="N839" s="155"/>
      <c r="O839" s="144"/>
      <c r="P839" s="159" t="str">
        <f>IFERROR(IF(O839&lt;&gt;"User Specified",IF(O839&lt;&gt;"", INDEX('Refrigerant GWPs'!$G$2:$G$154,MATCH(O839,'Refrigerant GWPs'!$A$2:$A$154,0)),""),U839),0)</f>
        <v/>
      </c>
      <c r="Q839" s="155"/>
      <c r="R839" s="155"/>
      <c r="S839" s="144"/>
      <c r="T839" s="159" t="str">
        <f>IF(S839&lt;&gt;"User Specified",IF(AND(S839&lt;&gt;"User Specified",S839&lt;&gt;""), INDEX('Refrigerant GWPs'!$G$2:$G$154,MATCH(S839,'Refrigerant GWPs'!$A$2:$A$154,0)),""),V839)</f>
        <v/>
      </c>
      <c r="U839" s="144"/>
      <c r="V839" s="144"/>
      <c r="W839" s="155"/>
      <c r="X839" s="155"/>
      <c r="Y839" s="144"/>
      <c r="Z839" s="159" t="str">
        <f>IF(AND(Y839&lt;&gt;"User Specified",Y839&lt;&gt;""), INDEX('Refrigerant GWPs'!$G$2:$G$154,MATCH(Y839,'Refrigerant GWPs'!$A$2:$A$154,0)),"")</f>
        <v/>
      </c>
      <c r="AA839" s="155"/>
      <c r="AB839" s="156"/>
      <c r="AC839" s="66"/>
      <c r="AD839" s="66"/>
      <c r="AE839" s="66"/>
      <c r="AF839" s="66"/>
      <c r="AG839" s="66"/>
      <c r="AH839" s="66"/>
      <c r="AI839" s="34"/>
      <c r="AJ839" s="88">
        <f t="shared" si="922"/>
        <v>0</v>
      </c>
      <c r="AK839" s="88">
        <f t="shared" si="923"/>
        <v>0</v>
      </c>
      <c r="AL839" s="88">
        <v>0</v>
      </c>
      <c r="AM839" s="88">
        <v>0</v>
      </c>
      <c r="AN839" s="81" t="str">
        <f t="shared" si="961"/>
        <v/>
      </c>
      <c r="AO839" s="88">
        <f t="shared" si="924"/>
        <v>0</v>
      </c>
      <c r="AP839" s="88">
        <f t="shared" si="925"/>
        <v>0</v>
      </c>
      <c r="AQ839" s="81" t="str">
        <f t="shared" si="926"/>
        <v/>
      </c>
      <c r="AS839" s="41" t="b">
        <f t="shared" si="927"/>
        <v>1</v>
      </c>
      <c r="AT839" s="38">
        <f t="shared" si="928"/>
        <v>0</v>
      </c>
      <c r="AU839" s="60">
        <f t="shared" si="929"/>
        <v>0</v>
      </c>
      <c r="AV839" s="41">
        <f t="shared" si="930"/>
        <v>0</v>
      </c>
      <c r="AW839" s="41" t="b">
        <f t="shared" si="931"/>
        <v>0</v>
      </c>
      <c r="AX839" t="str">
        <f t="shared" si="932"/>
        <v>+00</v>
      </c>
      <c r="AY839" t="str">
        <f t="shared" si="933"/>
        <v>+00</v>
      </c>
      <c r="BA839" s="47" t="b">
        <f t="shared" si="962"/>
        <v>1</v>
      </c>
      <c r="BB839" s="42" t="b">
        <f t="shared" si="963"/>
        <v>1</v>
      </c>
      <c r="BC839" s="42" t="b">
        <f t="shared" si="964"/>
        <v>0</v>
      </c>
      <c r="BD839" s="42" t="b">
        <f t="shared" si="965"/>
        <v>0</v>
      </c>
      <c r="BE839" s="70">
        <f t="shared" si="966"/>
        <v>0</v>
      </c>
      <c r="BF839" s="70">
        <f t="shared" si="967"/>
        <v>0</v>
      </c>
      <c r="BG839" s="34"/>
      <c r="BI839" s="47" t="b">
        <f t="shared" si="968"/>
        <v>1</v>
      </c>
      <c r="BJ839" s="47" t="b">
        <f t="shared" si="969"/>
        <v>1</v>
      </c>
      <c r="BK839" s="42" t="b">
        <f t="shared" si="970"/>
        <v>0</v>
      </c>
      <c r="BL839" s="42" t="b">
        <f t="shared" si="971"/>
        <v>0</v>
      </c>
      <c r="BM839" s="42">
        <f t="shared" si="972"/>
        <v>0</v>
      </c>
      <c r="BN839" s="42">
        <f t="shared" si="973"/>
        <v>0</v>
      </c>
      <c r="BP839" t="e">
        <f t="shared" si="974"/>
        <v>#N/A</v>
      </c>
      <c r="BQ839" t="e">
        <f t="shared" si="975"/>
        <v>#N/A</v>
      </c>
      <c r="BR839" t="e">
        <f t="shared" si="976"/>
        <v>#N/A</v>
      </c>
      <c r="BT839" s="60">
        <f t="shared" si="977"/>
        <v>0</v>
      </c>
      <c r="BU839" s="60">
        <f t="shared" si="978"/>
        <v>0</v>
      </c>
      <c r="BV839" s="60">
        <f t="shared" si="979"/>
        <v>0</v>
      </c>
      <c r="BW839" s="60">
        <f t="shared" si="980"/>
        <v>0</v>
      </c>
      <c r="BX839" s="60">
        <f t="shared" si="981"/>
        <v>0</v>
      </c>
      <c r="BY839" s="60">
        <f t="shared" si="982"/>
        <v>0</v>
      </c>
      <c r="BZ839" s="60">
        <f t="shared" si="983"/>
        <v>0</v>
      </c>
      <c r="CA839" s="60">
        <f t="shared" si="984"/>
        <v>0</v>
      </c>
      <c r="CB839" s="60" t="e">
        <f t="shared" si="934"/>
        <v>#N/A</v>
      </c>
      <c r="CC839" s="60">
        <f t="shared" si="935"/>
        <v>100000</v>
      </c>
      <c r="CD839" s="60" t="e">
        <f t="shared" si="936"/>
        <v>#N/A</v>
      </c>
      <c r="CE839" s="60">
        <f t="shared" si="937"/>
        <v>100000</v>
      </c>
      <c r="CF839" s="83" t="e">
        <f t="shared" si="985"/>
        <v>#N/A</v>
      </c>
      <c r="CG839" s="83">
        <f t="shared" si="986"/>
        <v>0</v>
      </c>
      <c r="CH839" s="83" t="e">
        <f t="shared" si="987"/>
        <v>#N/A</v>
      </c>
      <c r="CI839" s="83">
        <f t="shared" si="988"/>
        <v>0</v>
      </c>
      <c r="CJ839" s="86" t="e">
        <f t="shared" si="938"/>
        <v>#N/A</v>
      </c>
      <c r="CK839" s="82">
        <f t="shared" si="939"/>
        <v>5.3070370403969858E-3</v>
      </c>
      <c r="CL839" s="82" t="e">
        <f t="shared" si="940"/>
        <v>#N/A</v>
      </c>
      <c r="CM839" s="82">
        <f t="shared" si="941"/>
        <v>5.3070370403969858E-3</v>
      </c>
      <c r="CO839" s="149" t="str">
        <f>IF($I839&lt;&gt;"",IF(O839="User Specified",U839,INDEX('Refrigerant GWPs'!$G$2:$G$156,MATCH(O839,'Refrigerant GWPs'!$A$2:$A$156,0))),"")</f>
        <v/>
      </c>
      <c r="CP839" s="138" t="str">
        <f>IF($I839&lt;&gt;"",INDEX('Device Refrigerant Leakage'!$E$2:$E$42,MATCH($M839,'Device Refrigerant Leakage'!$B$2:$B$42,0)),"")</f>
        <v/>
      </c>
      <c r="CQ839" s="138" t="str">
        <f>IF($I839&lt;&gt;"",INDEX('Device Refrigerant Leakage'!$F$2:$F$42,MATCH($M839,'Device Refrigerant Leakage'!$B$2:$B$42,0)),"")</f>
        <v/>
      </c>
      <c r="CR839" s="145" t="str">
        <f>IF($I839&lt;&gt;"",INDEX('Device Refrigerant Leakage'!$G$2:$G$42,MATCH($M839,'Device Refrigerant Leakage'!$B$2:$B$42,0)),"")</f>
        <v/>
      </c>
      <c r="CS839" s="145" t="str">
        <f>IF($I839&lt;&gt;"",INDEX('Device Refrigerant Leakage'!$D$2:$D$42,MATCH($M839,'Device Refrigerant Leakage'!$B$2:$B$42,0))*CP839/2204.62*CO839,"")</f>
        <v/>
      </c>
      <c r="CT839" s="145" t="str">
        <f>IF($I839&lt;&gt;"",J839*(INDEX('Device Refrigerant Leakage'!$D$2:$D$42,MATCH($M839,'Device Refrigerant Leakage'!$B$2:$B$42,0))-(INDEX('Device Refrigerant Leakage'!$D$2:$D$42,MATCH($M839,'Device Refrigerant Leakage'!$B$2:$B$42,0)))*CR839*CP839)*CQ839/2204.62*CO839,"")</f>
        <v/>
      </c>
      <c r="CU839" s="135" t="str">
        <f>IF($I839&lt;&gt;"",J839*IF(W839&lt;&gt;"AR",(CS839*K839)+CT839,(CS839*AB839)+CT839*(AB839/INDEX('Device Refrigerant Leakage'!$C$2:$C$42,MATCH($M839,'Device Refrigerant Leakage'!$B$2:$B$42,0)))),"")</f>
        <v/>
      </c>
      <c r="CW839" s="135" t="str">
        <f>IF($I839&lt;&gt;"",IF(S839="User Specified",V839,INDEX('Refrigerant GWPs'!$G$2:$G$156,MATCH(S839,'Refrigerant GWPs'!$A$2:$A$157,0))),"")</f>
        <v/>
      </c>
      <c r="CX839" s="138" t="str">
        <f>IF($I839&lt;&gt;"",INDEX('Device Refrigerant Leakage'!$E$2:$E$42,MATCH($Q839,'Device Refrigerant Leakage'!$B$2:$B$42,0)),"")</f>
        <v/>
      </c>
      <c r="CY839" s="138" t="str">
        <f>IF($I839&lt;&gt;"",INDEX('Device Refrigerant Leakage'!$F$2:$F$42,MATCH($Q839,'Device Refrigerant Leakage'!$B$2:$B$42,0)),"")</f>
        <v/>
      </c>
      <c r="CZ839" s="145" t="str">
        <f>IF($I839&lt;&gt;"",INDEX('Device Refrigerant Leakage'!$G$2:$G$42,MATCH($Q839,'Device Refrigerant Leakage'!$B$2:$B$42,0)),"")</f>
        <v/>
      </c>
      <c r="DA839" s="145" t="str">
        <f>IF($I839&lt;&gt;"",J839*INDEX('Device Refrigerant Leakage'!$D$2:$D$42,MATCH($Q839,'Device Refrigerant Leakage'!$B$2:$B$42,0))*CX839/2204.62*CW839,"")</f>
        <v/>
      </c>
      <c r="DB839" s="145" t="str">
        <f>IF($I839&lt;&gt;"",J839*(INDEX('Device Refrigerant Leakage'!$D$2:$D$42,MATCH($Q839,'Device Refrigerant Leakage'!$B$2:$B$42,0))-(INDEX('Device Refrigerant Leakage'!$D$2:$D$42,MATCH($Q839,'Device Refrigerant Leakage'!$B$2:$B$42,0)))*CZ839*CX839)*CY839/2204.62*CW839,"")</f>
        <v/>
      </c>
      <c r="DC839" s="135" t="str">
        <f t="shared" si="960"/>
        <v/>
      </c>
      <c r="DE839" s="146" t="str">
        <f>IF(W839&lt;&gt;"AR","",IF(Y839="User Specified", AA839, INDEX('Refrigerant GWPs'!$G$2:$G$154,MATCH(Y839,'Refrigerant GWPs'!$A$2:$A$154,0))))</f>
        <v/>
      </c>
      <c r="DF839" s="146" t="str">
        <f>IF(W839&lt;&gt;"AR","",INDEX('Device Refrigerant Leakage'!$E$2:$E$42,MATCH(X839,'Device Refrigerant Leakage'!$B$2:$B$42,0)))</f>
        <v/>
      </c>
      <c r="DG839" s="146" t="str">
        <f>IF(W839&lt;&gt;"AR","",INDEX('Device Refrigerant Leakage'!$F$2:$F$42,MATCH(X839,'Device Refrigerant Leakage'!$B$2:$B$42,0)))</f>
        <v/>
      </c>
      <c r="DH839" s="146" t="str">
        <f>IF(W839&lt;&gt;"AR","",INDEX('Device Refrigerant Leakage'!$G$2:$G$42,MATCH(X839,'Device Refrigerant Leakage'!$B$2:$B$42,0)))</f>
        <v/>
      </c>
      <c r="DI839" s="146" t="str">
        <f>IF(W839&lt;&gt;"AR","",J839*INDEX('Device Refrigerant Leakage'!$D$2:$D$42,MATCH(X839,'Device Refrigerant Leakage'!$B$2:$B$42,0))*DF839/2204.62*DE839)</f>
        <v/>
      </c>
      <c r="DJ839" s="146" t="str">
        <f>IF(W839&lt;&gt;"AR","",J839*(INDEX('Device Refrigerant Leakage'!$D$2:$D$42,MATCH(X839,'Device Refrigerant Leakage'!$B$2:$B$42,0))-(INDEX('Device Refrigerant Leakage'!$D$2:$D$42,MATCH(X839,'Device Refrigerant Leakage'!$B$2:$B$42,0)))*DH839*DF839)*DG839/2204.62*DE839)</f>
        <v/>
      </c>
      <c r="DK839" s="146" t="str">
        <f>IF(W839&lt;&gt;"AR","",DI839*(K839-AB839)+'Fuel Sub Calcs-Deemed'!DJ839*((K839-AB839)/INDEX('Device Refrigerant Leakage'!$C$2:$C$42,MATCH('Fuel Sub Calcs-Deemed'!X839,'Device Refrigerant Leakage'!$B$2:$B$42,0))))</f>
        <v/>
      </c>
      <c r="DM839" s="56">
        <v>825</v>
      </c>
      <c r="DN839" s="67" t="e">
        <f t="shared" si="942"/>
        <v>#N/A</v>
      </c>
      <c r="DO839" s="45" t="e">
        <f t="shared" si="943"/>
        <v>#N/A</v>
      </c>
      <c r="DP839" s="67" t="e">
        <f t="shared" si="944"/>
        <v>#N/A</v>
      </c>
      <c r="DQ839" s="45" t="e">
        <f t="shared" si="945"/>
        <v>#N/A</v>
      </c>
      <c r="DR839" s="69" t="e">
        <f t="shared" si="946"/>
        <v>#N/A</v>
      </c>
      <c r="DS839" s="34"/>
      <c r="DT839" s="67" t="e">
        <f>((BX839*CJ839)+IF($W839=MAT_AR,(BZ839*CL839),0))*(1+Reference!$E$50+Reference!$E$51)</f>
        <v>#N/A</v>
      </c>
      <c r="DU839" s="67">
        <f>((BY839*CK839)+IF($W839=MAT_AR,(CA839*CM839),0))*(1+Reference!$G$50+Reference!$G$51)</f>
        <v>0</v>
      </c>
      <c r="DV839" s="67" t="e">
        <f t="shared" si="947"/>
        <v>#VALUE!</v>
      </c>
      <c r="DX839" s="56">
        <v>825</v>
      </c>
      <c r="DY839" s="67">
        <f t="shared" si="948"/>
        <v>0</v>
      </c>
      <c r="DZ839" s="45" t="e">
        <f>VLOOKUP($R839,Dropdown!$C$3:$D$4,2,FALSE)</f>
        <v>#N/A</v>
      </c>
      <c r="EA839" s="68">
        <f t="shared" si="949"/>
        <v>0</v>
      </c>
      <c r="EB839" s="68" t="str">
        <f t="shared" si="950"/>
        <v>N/A</v>
      </c>
      <c r="EC839" s="68">
        <f t="shared" si="951"/>
        <v>0</v>
      </c>
      <c r="ED839" s="68" t="str">
        <f t="shared" si="989"/>
        <v>N/A</v>
      </c>
      <c r="EF839" s="56">
        <v>825</v>
      </c>
      <c r="EG839" s="46">
        <f t="shared" si="952"/>
        <v>0</v>
      </c>
      <c r="EH839" s="68" t="e">
        <f t="shared" si="953"/>
        <v>#N/A</v>
      </c>
      <c r="EI839" s="68" t="e">
        <f t="shared" si="954"/>
        <v>#N/A</v>
      </c>
      <c r="EJ839" s="68" t="e">
        <f t="shared" si="955"/>
        <v>#N/A</v>
      </c>
      <c r="EK839" s="68" t="e">
        <f t="shared" si="956"/>
        <v>#N/A</v>
      </c>
      <c r="EL839" s="46">
        <f t="shared" si="957"/>
        <v>0</v>
      </c>
      <c r="EM839" s="46">
        <f t="shared" si="958"/>
        <v>0</v>
      </c>
    </row>
    <row r="840" spans="1:143">
      <c r="A840" s="89"/>
      <c r="B840" s="89"/>
      <c r="C840" s="89"/>
      <c r="D840" s="89"/>
      <c r="E840" s="89"/>
      <c r="F840" s="89"/>
      <c r="G840" s="34"/>
      <c r="H840" s="56">
        <f t="shared" si="959"/>
        <v>826</v>
      </c>
      <c r="I840" s="165"/>
      <c r="J840" s="163"/>
      <c r="K840" s="163"/>
      <c r="L840" s="164"/>
      <c r="M840" s="155"/>
      <c r="N840" s="155"/>
      <c r="O840" s="144"/>
      <c r="P840" s="159" t="str">
        <f>IFERROR(IF(O840&lt;&gt;"User Specified",IF(O840&lt;&gt;"", INDEX('Refrigerant GWPs'!$G$2:$G$154,MATCH(O840,'Refrigerant GWPs'!$A$2:$A$154,0)),""),U840),0)</f>
        <v/>
      </c>
      <c r="Q840" s="155"/>
      <c r="R840" s="155"/>
      <c r="S840" s="144"/>
      <c r="T840" s="159" t="str">
        <f>IF(S840&lt;&gt;"User Specified",IF(AND(S840&lt;&gt;"User Specified",S840&lt;&gt;""), INDEX('Refrigerant GWPs'!$G$2:$G$154,MATCH(S840,'Refrigerant GWPs'!$A$2:$A$154,0)),""),V840)</f>
        <v/>
      </c>
      <c r="U840" s="144"/>
      <c r="V840" s="144"/>
      <c r="W840" s="155"/>
      <c r="X840" s="155"/>
      <c r="Y840" s="144"/>
      <c r="Z840" s="159" t="str">
        <f>IF(AND(Y840&lt;&gt;"User Specified",Y840&lt;&gt;""), INDEX('Refrigerant GWPs'!$G$2:$G$154,MATCH(Y840,'Refrigerant GWPs'!$A$2:$A$154,0)),"")</f>
        <v/>
      </c>
      <c r="AA840" s="155"/>
      <c r="AB840" s="156"/>
      <c r="AC840" s="66"/>
      <c r="AD840" s="66"/>
      <c r="AE840" s="66"/>
      <c r="AF840" s="66"/>
      <c r="AG840" s="66"/>
      <c r="AH840" s="66"/>
      <c r="AI840" s="34"/>
      <c r="AJ840" s="88">
        <f t="shared" si="922"/>
        <v>0</v>
      </c>
      <c r="AK840" s="88">
        <f t="shared" si="923"/>
        <v>0</v>
      </c>
      <c r="AL840" s="88">
        <v>0</v>
      </c>
      <c r="AM840" s="88">
        <v>0</v>
      </c>
      <c r="AN840" s="81" t="str">
        <f t="shared" si="961"/>
        <v/>
      </c>
      <c r="AO840" s="88">
        <f t="shared" si="924"/>
        <v>0</v>
      </c>
      <c r="AP840" s="88">
        <f t="shared" si="925"/>
        <v>0</v>
      </c>
      <c r="AQ840" s="81" t="str">
        <f t="shared" si="926"/>
        <v/>
      </c>
      <c r="AS840" s="41" t="b">
        <f t="shared" si="927"/>
        <v>1</v>
      </c>
      <c r="AT840" s="38">
        <f t="shared" si="928"/>
        <v>0</v>
      </c>
      <c r="AU840" s="60">
        <f t="shared" si="929"/>
        <v>0</v>
      </c>
      <c r="AV840" s="41">
        <f t="shared" si="930"/>
        <v>0</v>
      </c>
      <c r="AW840" s="41" t="b">
        <f t="shared" si="931"/>
        <v>0</v>
      </c>
      <c r="AX840" t="str">
        <f t="shared" si="932"/>
        <v>+00</v>
      </c>
      <c r="AY840" t="str">
        <f t="shared" si="933"/>
        <v>+00</v>
      </c>
      <c r="BA840" s="47" t="b">
        <f t="shared" si="962"/>
        <v>1</v>
      </c>
      <c r="BB840" s="42" t="b">
        <f t="shared" si="963"/>
        <v>1</v>
      </c>
      <c r="BC840" s="42" t="b">
        <f t="shared" si="964"/>
        <v>0</v>
      </c>
      <c r="BD840" s="42" t="b">
        <f t="shared" si="965"/>
        <v>0</v>
      </c>
      <c r="BE840" s="70">
        <f t="shared" si="966"/>
        <v>0</v>
      </c>
      <c r="BF840" s="70">
        <f t="shared" si="967"/>
        <v>0</v>
      </c>
      <c r="BG840" s="34"/>
      <c r="BI840" s="47" t="b">
        <f t="shared" si="968"/>
        <v>1</v>
      </c>
      <c r="BJ840" s="47" t="b">
        <f t="shared" si="969"/>
        <v>1</v>
      </c>
      <c r="BK840" s="42" t="b">
        <f t="shared" si="970"/>
        <v>0</v>
      </c>
      <c r="BL840" s="42" t="b">
        <f t="shared" si="971"/>
        <v>0</v>
      </c>
      <c r="BM840" s="42">
        <f t="shared" si="972"/>
        <v>0</v>
      </c>
      <c r="BN840" s="42">
        <f t="shared" si="973"/>
        <v>0</v>
      </c>
      <c r="BP840" t="e">
        <f t="shared" si="974"/>
        <v>#N/A</v>
      </c>
      <c r="BQ840" t="e">
        <f t="shared" si="975"/>
        <v>#N/A</v>
      </c>
      <c r="BR840" t="e">
        <f t="shared" si="976"/>
        <v>#N/A</v>
      </c>
      <c r="BT840" s="60">
        <f t="shared" si="977"/>
        <v>0</v>
      </c>
      <c r="BU840" s="60">
        <f t="shared" si="978"/>
        <v>0</v>
      </c>
      <c r="BV840" s="60">
        <f t="shared" si="979"/>
        <v>0</v>
      </c>
      <c r="BW840" s="60">
        <f t="shared" si="980"/>
        <v>0</v>
      </c>
      <c r="BX840" s="60">
        <f t="shared" si="981"/>
        <v>0</v>
      </c>
      <c r="BY840" s="60">
        <f t="shared" si="982"/>
        <v>0</v>
      </c>
      <c r="BZ840" s="60">
        <f t="shared" si="983"/>
        <v>0</v>
      </c>
      <c r="CA840" s="60">
        <f t="shared" si="984"/>
        <v>0</v>
      </c>
      <c r="CB840" s="60" t="e">
        <f t="shared" si="934"/>
        <v>#N/A</v>
      </c>
      <c r="CC840" s="60">
        <f t="shared" si="935"/>
        <v>100000</v>
      </c>
      <c r="CD840" s="60" t="e">
        <f t="shared" si="936"/>
        <v>#N/A</v>
      </c>
      <c r="CE840" s="60">
        <f t="shared" si="937"/>
        <v>100000</v>
      </c>
      <c r="CF840" s="83" t="e">
        <f t="shared" si="985"/>
        <v>#N/A</v>
      </c>
      <c r="CG840" s="83">
        <f t="shared" si="986"/>
        <v>0</v>
      </c>
      <c r="CH840" s="83" t="e">
        <f t="shared" si="987"/>
        <v>#N/A</v>
      </c>
      <c r="CI840" s="83">
        <f t="shared" si="988"/>
        <v>0</v>
      </c>
      <c r="CJ840" s="86" t="e">
        <f t="shared" si="938"/>
        <v>#N/A</v>
      </c>
      <c r="CK840" s="82">
        <f t="shared" si="939"/>
        <v>5.3070370403969858E-3</v>
      </c>
      <c r="CL840" s="82" t="e">
        <f t="shared" si="940"/>
        <v>#N/A</v>
      </c>
      <c r="CM840" s="82">
        <f t="shared" si="941"/>
        <v>5.3070370403969858E-3</v>
      </c>
      <c r="CO840" s="149" t="str">
        <f>IF($I840&lt;&gt;"",IF(O840="User Specified",U840,INDEX('Refrigerant GWPs'!$G$2:$G$156,MATCH(O840,'Refrigerant GWPs'!$A$2:$A$156,0))),"")</f>
        <v/>
      </c>
      <c r="CP840" s="138" t="str">
        <f>IF($I840&lt;&gt;"",INDEX('Device Refrigerant Leakage'!$E$2:$E$42,MATCH($M840,'Device Refrigerant Leakage'!$B$2:$B$42,0)),"")</f>
        <v/>
      </c>
      <c r="CQ840" s="138" t="str">
        <f>IF($I840&lt;&gt;"",INDEX('Device Refrigerant Leakage'!$F$2:$F$42,MATCH($M840,'Device Refrigerant Leakage'!$B$2:$B$42,0)),"")</f>
        <v/>
      </c>
      <c r="CR840" s="145" t="str">
        <f>IF($I840&lt;&gt;"",INDEX('Device Refrigerant Leakage'!$G$2:$G$42,MATCH($M840,'Device Refrigerant Leakage'!$B$2:$B$42,0)),"")</f>
        <v/>
      </c>
      <c r="CS840" s="145" t="str">
        <f>IF($I840&lt;&gt;"",INDEX('Device Refrigerant Leakage'!$D$2:$D$42,MATCH($M840,'Device Refrigerant Leakage'!$B$2:$B$42,0))*CP840/2204.62*CO840,"")</f>
        <v/>
      </c>
      <c r="CT840" s="145" t="str">
        <f>IF($I840&lt;&gt;"",J840*(INDEX('Device Refrigerant Leakage'!$D$2:$D$42,MATCH($M840,'Device Refrigerant Leakage'!$B$2:$B$42,0))-(INDEX('Device Refrigerant Leakage'!$D$2:$D$42,MATCH($M840,'Device Refrigerant Leakage'!$B$2:$B$42,0)))*CR840*CP840)*CQ840/2204.62*CO840,"")</f>
        <v/>
      </c>
      <c r="CU840" s="135" t="str">
        <f>IF($I840&lt;&gt;"",J840*IF(W840&lt;&gt;"AR",(CS840*K840)+CT840,(CS840*AB840)+CT840*(AB840/INDEX('Device Refrigerant Leakage'!$C$2:$C$42,MATCH($M840,'Device Refrigerant Leakage'!$B$2:$B$42,0)))),"")</f>
        <v/>
      </c>
      <c r="CW840" s="135" t="str">
        <f>IF($I840&lt;&gt;"",IF(S840="User Specified",V840,INDEX('Refrigerant GWPs'!$G$2:$G$156,MATCH(S840,'Refrigerant GWPs'!$A$2:$A$157,0))),"")</f>
        <v/>
      </c>
      <c r="CX840" s="138" t="str">
        <f>IF($I840&lt;&gt;"",INDEX('Device Refrigerant Leakage'!$E$2:$E$42,MATCH($Q840,'Device Refrigerant Leakage'!$B$2:$B$42,0)),"")</f>
        <v/>
      </c>
      <c r="CY840" s="138" t="str">
        <f>IF($I840&lt;&gt;"",INDEX('Device Refrigerant Leakage'!$F$2:$F$42,MATCH($Q840,'Device Refrigerant Leakage'!$B$2:$B$42,0)),"")</f>
        <v/>
      </c>
      <c r="CZ840" s="145" t="str">
        <f>IF($I840&lt;&gt;"",INDEX('Device Refrigerant Leakage'!$G$2:$G$42,MATCH($Q840,'Device Refrigerant Leakage'!$B$2:$B$42,0)),"")</f>
        <v/>
      </c>
      <c r="DA840" s="145" t="str">
        <f>IF($I840&lt;&gt;"",J840*INDEX('Device Refrigerant Leakage'!$D$2:$D$42,MATCH($Q840,'Device Refrigerant Leakage'!$B$2:$B$42,0))*CX840/2204.62*CW840,"")</f>
        <v/>
      </c>
      <c r="DB840" s="145" t="str">
        <f>IF($I840&lt;&gt;"",J840*(INDEX('Device Refrigerant Leakage'!$D$2:$D$42,MATCH($Q840,'Device Refrigerant Leakage'!$B$2:$B$42,0))-(INDEX('Device Refrigerant Leakage'!$D$2:$D$42,MATCH($Q840,'Device Refrigerant Leakage'!$B$2:$B$42,0)))*CZ840*CX840)*CY840/2204.62*CW840,"")</f>
        <v/>
      </c>
      <c r="DC840" s="135" t="str">
        <f t="shared" si="960"/>
        <v/>
      </c>
      <c r="DE840" s="146" t="str">
        <f>IF(W840&lt;&gt;"AR","",IF(Y840="User Specified", AA840, INDEX('Refrigerant GWPs'!$G$2:$G$154,MATCH(Y840,'Refrigerant GWPs'!$A$2:$A$154,0))))</f>
        <v/>
      </c>
      <c r="DF840" s="146" t="str">
        <f>IF(W840&lt;&gt;"AR","",INDEX('Device Refrigerant Leakage'!$E$2:$E$42,MATCH(X840,'Device Refrigerant Leakage'!$B$2:$B$42,0)))</f>
        <v/>
      </c>
      <c r="DG840" s="146" t="str">
        <f>IF(W840&lt;&gt;"AR","",INDEX('Device Refrigerant Leakage'!$F$2:$F$42,MATCH(X840,'Device Refrigerant Leakage'!$B$2:$B$42,0)))</f>
        <v/>
      </c>
      <c r="DH840" s="146" t="str">
        <f>IF(W840&lt;&gt;"AR","",INDEX('Device Refrigerant Leakage'!$G$2:$G$42,MATCH(X840,'Device Refrigerant Leakage'!$B$2:$B$42,0)))</f>
        <v/>
      </c>
      <c r="DI840" s="146" t="str">
        <f>IF(W840&lt;&gt;"AR","",J840*INDEX('Device Refrigerant Leakage'!$D$2:$D$42,MATCH(X840,'Device Refrigerant Leakage'!$B$2:$B$42,0))*DF840/2204.62*DE840)</f>
        <v/>
      </c>
      <c r="DJ840" s="146" t="str">
        <f>IF(W840&lt;&gt;"AR","",J840*(INDEX('Device Refrigerant Leakage'!$D$2:$D$42,MATCH(X840,'Device Refrigerant Leakage'!$B$2:$B$42,0))-(INDEX('Device Refrigerant Leakage'!$D$2:$D$42,MATCH(X840,'Device Refrigerant Leakage'!$B$2:$B$42,0)))*DH840*DF840)*DG840/2204.62*DE840)</f>
        <v/>
      </c>
      <c r="DK840" s="146" t="str">
        <f>IF(W840&lt;&gt;"AR","",DI840*(K840-AB840)+'Fuel Sub Calcs-Deemed'!DJ840*((K840-AB840)/INDEX('Device Refrigerant Leakage'!$C$2:$C$42,MATCH('Fuel Sub Calcs-Deemed'!X840,'Device Refrigerant Leakage'!$B$2:$B$42,0))))</f>
        <v/>
      </c>
      <c r="DM840" s="56">
        <v>826</v>
      </c>
      <c r="DN840" s="67" t="e">
        <f t="shared" si="942"/>
        <v>#N/A</v>
      </c>
      <c r="DO840" s="45" t="e">
        <f t="shared" si="943"/>
        <v>#N/A</v>
      </c>
      <c r="DP840" s="67" t="e">
        <f t="shared" si="944"/>
        <v>#N/A</v>
      </c>
      <c r="DQ840" s="45" t="e">
        <f t="shared" si="945"/>
        <v>#N/A</v>
      </c>
      <c r="DR840" s="69" t="e">
        <f t="shared" si="946"/>
        <v>#N/A</v>
      </c>
      <c r="DS840" s="34"/>
      <c r="DT840" s="67" t="e">
        <f>((BX840*CJ840)+IF($W840=MAT_AR,(BZ840*CL840),0))*(1+Reference!$E$50+Reference!$E$51)</f>
        <v>#N/A</v>
      </c>
      <c r="DU840" s="67">
        <f>((BY840*CK840)+IF($W840=MAT_AR,(CA840*CM840),0))*(1+Reference!$G$50+Reference!$G$51)</f>
        <v>0</v>
      </c>
      <c r="DV840" s="67" t="e">
        <f t="shared" si="947"/>
        <v>#VALUE!</v>
      </c>
      <c r="DX840" s="56">
        <v>826</v>
      </c>
      <c r="DY840" s="67">
        <f t="shared" si="948"/>
        <v>0</v>
      </c>
      <c r="DZ840" s="45" t="e">
        <f>VLOOKUP($R840,Dropdown!$C$3:$D$4,2,FALSE)</f>
        <v>#N/A</v>
      </c>
      <c r="EA840" s="68">
        <f t="shared" si="949"/>
        <v>0</v>
      </c>
      <c r="EB840" s="68" t="str">
        <f t="shared" si="950"/>
        <v>N/A</v>
      </c>
      <c r="EC840" s="68">
        <f t="shared" si="951"/>
        <v>0</v>
      </c>
      <c r="ED840" s="68" t="str">
        <f t="shared" si="989"/>
        <v>N/A</v>
      </c>
      <c r="EF840" s="56">
        <v>826</v>
      </c>
      <c r="EG840" s="46">
        <f t="shared" si="952"/>
        <v>0</v>
      </c>
      <c r="EH840" s="68" t="e">
        <f t="shared" si="953"/>
        <v>#N/A</v>
      </c>
      <c r="EI840" s="68" t="e">
        <f t="shared" si="954"/>
        <v>#N/A</v>
      </c>
      <c r="EJ840" s="68" t="e">
        <f t="shared" si="955"/>
        <v>#N/A</v>
      </c>
      <c r="EK840" s="68" t="e">
        <f t="shared" si="956"/>
        <v>#N/A</v>
      </c>
      <c r="EL840" s="46">
        <f t="shared" si="957"/>
        <v>0</v>
      </c>
      <c r="EM840" s="46">
        <f t="shared" si="958"/>
        <v>0</v>
      </c>
    </row>
    <row r="841" spans="1:143">
      <c r="A841" s="89"/>
      <c r="B841" s="89"/>
      <c r="C841" s="89"/>
      <c r="D841" s="89"/>
      <c r="E841" s="89"/>
      <c r="F841" s="89"/>
      <c r="G841" s="34"/>
      <c r="H841" s="56">
        <f t="shared" si="959"/>
        <v>827</v>
      </c>
      <c r="I841" s="165"/>
      <c r="J841" s="163"/>
      <c r="K841" s="163"/>
      <c r="L841" s="164"/>
      <c r="M841" s="155"/>
      <c r="N841" s="155"/>
      <c r="O841" s="144"/>
      <c r="P841" s="159" t="str">
        <f>IFERROR(IF(O841&lt;&gt;"User Specified",IF(O841&lt;&gt;"", INDEX('Refrigerant GWPs'!$G$2:$G$154,MATCH(O841,'Refrigerant GWPs'!$A$2:$A$154,0)),""),U841),0)</f>
        <v/>
      </c>
      <c r="Q841" s="155"/>
      <c r="R841" s="155"/>
      <c r="S841" s="144"/>
      <c r="T841" s="159" t="str">
        <f>IF(S841&lt;&gt;"User Specified",IF(AND(S841&lt;&gt;"User Specified",S841&lt;&gt;""), INDEX('Refrigerant GWPs'!$G$2:$G$154,MATCH(S841,'Refrigerant GWPs'!$A$2:$A$154,0)),""),V841)</f>
        <v/>
      </c>
      <c r="U841" s="144"/>
      <c r="V841" s="144"/>
      <c r="W841" s="155"/>
      <c r="X841" s="155"/>
      <c r="Y841" s="144"/>
      <c r="Z841" s="159" t="str">
        <f>IF(AND(Y841&lt;&gt;"User Specified",Y841&lt;&gt;""), INDEX('Refrigerant GWPs'!$G$2:$G$154,MATCH(Y841,'Refrigerant GWPs'!$A$2:$A$154,0)),"")</f>
        <v/>
      </c>
      <c r="AA841" s="155"/>
      <c r="AB841" s="156"/>
      <c r="AC841" s="66"/>
      <c r="AD841" s="66"/>
      <c r="AE841" s="66"/>
      <c r="AF841" s="66"/>
      <c r="AG841" s="66"/>
      <c r="AH841" s="66"/>
      <c r="AI841" s="34"/>
      <c r="AJ841" s="88">
        <f t="shared" si="922"/>
        <v>0</v>
      </c>
      <c r="AK841" s="88">
        <f t="shared" si="923"/>
        <v>0</v>
      </c>
      <c r="AL841" s="88">
        <v>0</v>
      </c>
      <c r="AM841" s="88">
        <v>0</v>
      </c>
      <c r="AN841" s="81" t="str">
        <f t="shared" si="961"/>
        <v/>
      </c>
      <c r="AO841" s="88">
        <f t="shared" si="924"/>
        <v>0</v>
      </c>
      <c r="AP841" s="88">
        <f t="shared" si="925"/>
        <v>0</v>
      </c>
      <c r="AQ841" s="81" t="str">
        <f t="shared" si="926"/>
        <v/>
      </c>
      <c r="AS841" s="41" t="b">
        <f t="shared" si="927"/>
        <v>1</v>
      </c>
      <c r="AT841" s="38">
        <f t="shared" si="928"/>
        <v>0</v>
      </c>
      <c r="AU841" s="60">
        <f t="shared" si="929"/>
        <v>0</v>
      </c>
      <c r="AV841" s="41">
        <f t="shared" si="930"/>
        <v>0</v>
      </c>
      <c r="AW841" s="41" t="b">
        <f t="shared" si="931"/>
        <v>0</v>
      </c>
      <c r="AX841" t="str">
        <f t="shared" si="932"/>
        <v>+00</v>
      </c>
      <c r="AY841" t="str">
        <f t="shared" si="933"/>
        <v>+00</v>
      </c>
      <c r="BA841" s="47" t="b">
        <f t="shared" si="962"/>
        <v>1</v>
      </c>
      <c r="BB841" s="42" t="b">
        <f t="shared" si="963"/>
        <v>1</v>
      </c>
      <c r="BC841" s="42" t="b">
        <f t="shared" si="964"/>
        <v>0</v>
      </c>
      <c r="BD841" s="42" t="b">
        <f t="shared" si="965"/>
        <v>0</v>
      </c>
      <c r="BE841" s="70">
        <f t="shared" si="966"/>
        <v>0</v>
      </c>
      <c r="BF841" s="70">
        <f t="shared" si="967"/>
        <v>0</v>
      </c>
      <c r="BG841" s="34"/>
      <c r="BI841" s="47" t="b">
        <f t="shared" si="968"/>
        <v>1</v>
      </c>
      <c r="BJ841" s="47" t="b">
        <f t="shared" si="969"/>
        <v>1</v>
      </c>
      <c r="BK841" s="42" t="b">
        <f t="shared" si="970"/>
        <v>0</v>
      </c>
      <c r="BL841" s="42" t="b">
        <f t="shared" si="971"/>
        <v>0</v>
      </c>
      <c r="BM841" s="42">
        <f t="shared" si="972"/>
        <v>0</v>
      </c>
      <c r="BN841" s="42">
        <f t="shared" si="973"/>
        <v>0</v>
      </c>
      <c r="BP841" t="e">
        <f t="shared" si="974"/>
        <v>#N/A</v>
      </c>
      <c r="BQ841" t="e">
        <f t="shared" si="975"/>
        <v>#N/A</v>
      </c>
      <c r="BR841" t="e">
        <f t="shared" si="976"/>
        <v>#N/A</v>
      </c>
      <c r="BT841" s="60">
        <f t="shared" si="977"/>
        <v>0</v>
      </c>
      <c r="BU841" s="60">
        <f t="shared" si="978"/>
        <v>0</v>
      </c>
      <c r="BV841" s="60">
        <f t="shared" si="979"/>
        <v>0</v>
      </c>
      <c r="BW841" s="60">
        <f t="shared" si="980"/>
        <v>0</v>
      </c>
      <c r="BX841" s="60">
        <f t="shared" si="981"/>
        <v>0</v>
      </c>
      <c r="BY841" s="60">
        <f t="shared" si="982"/>
        <v>0</v>
      </c>
      <c r="BZ841" s="60">
        <f t="shared" si="983"/>
        <v>0</v>
      </c>
      <c r="CA841" s="60">
        <f t="shared" si="984"/>
        <v>0</v>
      </c>
      <c r="CB841" s="60" t="e">
        <f t="shared" si="934"/>
        <v>#N/A</v>
      </c>
      <c r="CC841" s="60">
        <f t="shared" si="935"/>
        <v>100000</v>
      </c>
      <c r="CD841" s="60" t="e">
        <f t="shared" si="936"/>
        <v>#N/A</v>
      </c>
      <c r="CE841" s="60">
        <f t="shared" si="937"/>
        <v>100000</v>
      </c>
      <c r="CF841" s="83" t="e">
        <f t="shared" si="985"/>
        <v>#N/A</v>
      </c>
      <c r="CG841" s="83">
        <f t="shared" si="986"/>
        <v>0</v>
      </c>
      <c r="CH841" s="83" t="e">
        <f t="shared" si="987"/>
        <v>#N/A</v>
      </c>
      <c r="CI841" s="83">
        <f t="shared" si="988"/>
        <v>0</v>
      </c>
      <c r="CJ841" s="86" t="e">
        <f t="shared" si="938"/>
        <v>#N/A</v>
      </c>
      <c r="CK841" s="82">
        <f t="shared" si="939"/>
        <v>5.3070370403969858E-3</v>
      </c>
      <c r="CL841" s="82" t="e">
        <f t="shared" si="940"/>
        <v>#N/A</v>
      </c>
      <c r="CM841" s="82">
        <f t="shared" si="941"/>
        <v>5.3070370403969858E-3</v>
      </c>
      <c r="CO841" s="149" t="str">
        <f>IF($I841&lt;&gt;"",IF(O841="User Specified",U841,INDEX('Refrigerant GWPs'!$G$2:$G$156,MATCH(O841,'Refrigerant GWPs'!$A$2:$A$156,0))),"")</f>
        <v/>
      </c>
      <c r="CP841" s="138" t="str">
        <f>IF($I841&lt;&gt;"",INDEX('Device Refrigerant Leakage'!$E$2:$E$42,MATCH($M841,'Device Refrigerant Leakage'!$B$2:$B$42,0)),"")</f>
        <v/>
      </c>
      <c r="CQ841" s="138" t="str">
        <f>IF($I841&lt;&gt;"",INDEX('Device Refrigerant Leakage'!$F$2:$F$42,MATCH($M841,'Device Refrigerant Leakage'!$B$2:$B$42,0)),"")</f>
        <v/>
      </c>
      <c r="CR841" s="145" t="str">
        <f>IF($I841&lt;&gt;"",INDEX('Device Refrigerant Leakage'!$G$2:$G$42,MATCH($M841,'Device Refrigerant Leakage'!$B$2:$B$42,0)),"")</f>
        <v/>
      </c>
      <c r="CS841" s="145" t="str">
        <f>IF($I841&lt;&gt;"",INDEX('Device Refrigerant Leakage'!$D$2:$D$42,MATCH($M841,'Device Refrigerant Leakage'!$B$2:$B$42,0))*CP841/2204.62*CO841,"")</f>
        <v/>
      </c>
      <c r="CT841" s="145" t="str">
        <f>IF($I841&lt;&gt;"",J841*(INDEX('Device Refrigerant Leakage'!$D$2:$D$42,MATCH($M841,'Device Refrigerant Leakage'!$B$2:$B$42,0))-(INDEX('Device Refrigerant Leakage'!$D$2:$D$42,MATCH($M841,'Device Refrigerant Leakage'!$B$2:$B$42,0)))*CR841*CP841)*CQ841/2204.62*CO841,"")</f>
        <v/>
      </c>
      <c r="CU841" s="135" t="str">
        <f>IF($I841&lt;&gt;"",J841*IF(W841&lt;&gt;"AR",(CS841*K841)+CT841,(CS841*AB841)+CT841*(AB841/INDEX('Device Refrigerant Leakage'!$C$2:$C$42,MATCH($M841,'Device Refrigerant Leakage'!$B$2:$B$42,0)))),"")</f>
        <v/>
      </c>
      <c r="CW841" s="135" t="str">
        <f>IF($I841&lt;&gt;"",IF(S841="User Specified",V841,INDEX('Refrigerant GWPs'!$G$2:$G$156,MATCH(S841,'Refrigerant GWPs'!$A$2:$A$157,0))),"")</f>
        <v/>
      </c>
      <c r="CX841" s="138" t="str">
        <f>IF($I841&lt;&gt;"",INDEX('Device Refrigerant Leakage'!$E$2:$E$42,MATCH($Q841,'Device Refrigerant Leakage'!$B$2:$B$42,0)),"")</f>
        <v/>
      </c>
      <c r="CY841" s="138" t="str">
        <f>IF($I841&lt;&gt;"",INDEX('Device Refrigerant Leakage'!$F$2:$F$42,MATCH($Q841,'Device Refrigerant Leakage'!$B$2:$B$42,0)),"")</f>
        <v/>
      </c>
      <c r="CZ841" s="145" t="str">
        <f>IF($I841&lt;&gt;"",INDEX('Device Refrigerant Leakage'!$G$2:$G$42,MATCH($Q841,'Device Refrigerant Leakage'!$B$2:$B$42,0)),"")</f>
        <v/>
      </c>
      <c r="DA841" s="145" t="str">
        <f>IF($I841&lt;&gt;"",J841*INDEX('Device Refrigerant Leakage'!$D$2:$D$42,MATCH($Q841,'Device Refrigerant Leakage'!$B$2:$B$42,0))*CX841/2204.62*CW841,"")</f>
        <v/>
      </c>
      <c r="DB841" s="145" t="str">
        <f>IF($I841&lt;&gt;"",J841*(INDEX('Device Refrigerant Leakage'!$D$2:$D$42,MATCH($Q841,'Device Refrigerant Leakage'!$B$2:$B$42,0))-(INDEX('Device Refrigerant Leakage'!$D$2:$D$42,MATCH($Q841,'Device Refrigerant Leakage'!$B$2:$B$42,0)))*CZ841*CX841)*CY841/2204.62*CW841,"")</f>
        <v/>
      </c>
      <c r="DC841" s="135" t="str">
        <f t="shared" si="960"/>
        <v/>
      </c>
      <c r="DE841" s="146" t="str">
        <f>IF(W841&lt;&gt;"AR","",IF(Y841="User Specified", AA841, INDEX('Refrigerant GWPs'!$G$2:$G$154,MATCH(Y841,'Refrigerant GWPs'!$A$2:$A$154,0))))</f>
        <v/>
      </c>
      <c r="DF841" s="146" t="str">
        <f>IF(W841&lt;&gt;"AR","",INDEX('Device Refrigerant Leakage'!$E$2:$E$42,MATCH(X841,'Device Refrigerant Leakage'!$B$2:$B$42,0)))</f>
        <v/>
      </c>
      <c r="DG841" s="146" t="str">
        <f>IF(W841&lt;&gt;"AR","",INDEX('Device Refrigerant Leakage'!$F$2:$F$42,MATCH(X841,'Device Refrigerant Leakage'!$B$2:$B$42,0)))</f>
        <v/>
      </c>
      <c r="DH841" s="146" t="str">
        <f>IF(W841&lt;&gt;"AR","",INDEX('Device Refrigerant Leakage'!$G$2:$G$42,MATCH(X841,'Device Refrigerant Leakage'!$B$2:$B$42,0)))</f>
        <v/>
      </c>
      <c r="DI841" s="146" t="str">
        <f>IF(W841&lt;&gt;"AR","",J841*INDEX('Device Refrigerant Leakage'!$D$2:$D$42,MATCH(X841,'Device Refrigerant Leakage'!$B$2:$B$42,0))*DF841/2204.62*DE841)</f>
        <v/>
      </c>
      <c r="DJ841" s="146" t="str">
        <f>IF(W841&lt;&gt;"AR","",J841*(INDEX('Device Refrigerant Leakage'!$D$2:$D$42,MATCH(X841,'Device Refrigerant Leakage'!$B$2:$B$42,0))-(INDEX('Device Refrigerant Leakage'!$D$2:$D$42,MATCH(X841,'Device Refrigerant Leakage'!$B$2:$B$42,0)))*DH841*DF841)*DG841/2204.62*DE841)</f>
        <v/>
      </c>
      <c r="DK841" s="146" t="str">
        <f>IF(W841&lt;&gt;"AR","",DI841*(K841-AB841)+'Fuel Sub Calcs-Deemed'!DJ841*((K841-AB841)/INDEX('Device Refrigerant Leakage'!$C$2:$C$42,MATCH('Fuel Sub Calcs-Deemed'!X841,'Device Refrigerant Leakage'!$B$2:$B$42,0))))</f>
        <v/>
      </c>
      <c r="DM841" s="56">
        <v>827</v>
      </c>
      <c r="DN841" s="67" t="e">
        <f t="shared" si="942"/>
        <v>#N/A</v>
      </c>
      <c r="DO841" s="45" t="e">
        <f t="shared" si="943"/>
        <v>#N/A</v>
      </c>
      <c r="DP841" s="67" t="e">
        <f t="shared" si="944"/>
        <v>#N/A</v>
      </c>
      <c r="DQ841" s="45" t="e">
        <f t="shared" si="945"/>
        <v>#N/A</v>
      </c>
      <c r="DR841" s="69" t="e">
        <f t="shared" si="946"/>
        <v>#N/A</v>
      </c>
      <c r="DS841" s="34"/>
      <c r="DT841" s="67" t="e">
        <f>((BX841*CJ841)+IF($W841=MAT_AR,(BZ841*CL841),0))*(1+Reference!$E$50+Reference!$E$51)</f>
        <v>#N/A</v>
      </c>
      <c r="DU841" s="67">
        <f>((BY841*CK841)+IF($W841=MAT_AR,(CA841*CM841),0))*(1+Reference!$G$50+Reference!$G$51)</f>
        <v>0</v>
      </c>
      <c r="DV841" s="67" t="e">
        <f t="shared" si="947"/>
        <v>#VALUE!</v>
      </c>
      <c r="DX841" s="56">
        <v>827</v>
      </c>
      <c r="DY841" s="67">
        <f t="shared" si="948"/>
        <v>0</v>
      </c>
      <c r="DZ841" s="45" t="e">
        <f>VLOOKUP($R841,Dropdown!$C$3:$D$4,2,FALSE)</f>
        <v>#N/A</v>
      </c>
      <c r="EA841" s="68">
        <f t="shared" si="949"/>
        <v>0</v>
      </c>
      <c r="EB841" s="68" t="str">
        <f t="shared" si="950"/>
        <v>N/A</v>
      </c>
      <c r="EC841" s="68">
        <f t="shared" si="951"/>
        <v>0</v>
      </c>
      <c r="ED841" s="68" t="str">
        <f t="shared" si="989"/>
        <v>N/A</v>
      </c>
      <c r="EF841" s="56">
        <v>827</v>
      </c>
      <c r="EG841" s="46">
        <f t="shared" si="952"/>
        <v>0</v>
      </c>
      <c r="EH841" s="68" t="e">
        <f t="shared" si="953"/>
        <v>#N/A</v>
      </c>
      <c r="EI841" s="68" t="e">
        <f t="shared" si="954"/>
        <v>#N/A</v>
      </c>
      <c r="EJ841" s="68" t="e">
        <f t="shared" si="955"/>
        <v>#N/A</v>
      </c>
      <c r="EK841" s="68" t="e">
        <f t="shared" si="956"/>
        <v>#N/A</v>
      </c>
      <c r="EL841" s="46">
        <f t="shared" si="957"/>
        <v>0</v>
      </c>
      <c r="EM841" s="46">
        <f t="shared" si="958"/>
        <v>0</v>
      </c>
    </row>
    <row r="842" spans="1:143">
      <c r="A842" s="89"/>
      <c r="B842" s="89"/>
      <c r="C842" s="89"/>
      <c r="D842" s="89"/>
      <c r="E842" s="89"/>
      <c r="F842" s="89"/>
      <c r="G842" s="34"/>
      <c r="H842" s="56">
        <f t="shared" si="959"/>
        <v>828</v>
      </c>
      <c r="I842" s="165"/>
      <c r="J842" s="163"/>
      <c r="K842" s="163"/>
      <c r="L842" s="164"/>
      <c r="M842" s="155"/>
      <c r="N842" s="155"/>
      <c r="O842" s="144"/>
      <c r="P842" s="159" t="str">
        <f>IFERROR(IF(O842&lt;&gt;"User Specified",IF(O842&lt;&gt;"", INDEX('Refrigerant GWPs'!$G$2:$G$154,MATCH(O842,'Refrigerant GWPs'!$A$2:$A$154,0)),""),U842),0)</f>
        <v/>
      </c>
      <c r="Q842" s="155"/>
      <c r="R842" s="155"/>
      <c r="S842" s="144"/>
      <c r="T842" s="159" t="str">
        <f>IF(S842&lt;&gt;"User Specified",IF(AND(S842&lt;&gt;"User Specified",S842&lt;&gt;""), INDEX('Refrigerant GWPs'!$G$2:$G$154,MATCH(S842,'Refrigerant GWPs'!$A$2:$A$154,0)),""),V842)</f>
        <v/>
      </c>
      <c r="U842" s="144"/>
      <c r="V842" s="144"/>
      <c r="W842" s="155"/>
      <c r="X842" s="155"/>
      <c r="Y842" s="144"/>
      <c r="Z842" s="159" t="str">
        <f>IF(AND(Y842&lt;&gt;"User Specified",Y842&lt;&gt;""), INDEX('Refrigerant GWPs'!$G$2:$G$154,MATCH(Y842,'Refrigerant GWPs'!$A$2:$A$154,0)),"")</f>
        <v/>
      </c>
      <c r="AA842" s="155"/>
      <c r="AB842" s="156"/>
      <c r="AC842" s="66"/>
      <c r="AD842" s="66"/>
      <c r="AE842" s="66"/>
      <c r="AF842" s="66"/>
      <c r="AG842" s="66"/>
      <c r="AH842" s="66"/>
      <c r="AI842" s="34"/>
      <c r="AJ842" s="88">
        <f t="shared" si="922"/>
        <v>0</v>
      </c>
      <c r="AK842" s="88">
        <f t="shared" si="923"/>
        <v>0</v>
      </c>
      <c r="AL842" s="88">
        <v>0</v>
      </c>
      <c r="AM842" s="88">
        <v>0</v>
      </c>
      <c r="AN842" s="81" t="str">
        <f t="shared" si="961"/>
        <v/>
      </c>
      <c r="AO842" s="88">
        <f t="shared" si="924"/>
        <v>0</v>
      </c>
      <c r="AP842" s="88">
        <f t="shared" si="925"/>
        <v>0</v>
      </c>
      <c r="AQ842" s="81" t="str">
        <f t="shared" si="926"/>
        <v/>
      </c>
      <c r="AS842" s="41" t="b">
        <f t="shared" si="927"/>
        <v>1</v>
      </c>
      <c r="AT842" s="38">
        <f t="shared" si="928"/>
        <v>0</v>
      </c>
      <c r="AU842" s="60">
        <f t="shared" si="929"/>
        <v>0</v>
      </c>
      <c r="AV842" s="41">
        <f t="shared" si="930"/>
        <v>0</v>
      </c>
      <c r="AW842" s="41" t="b">
        <f t="shared" si="931"/>
        <v>0</v>
      </c>
      <c r="AX842" t="str">
        <f t="shared" si="932"/>
        <v>+00</v>
      </c>
      <c r="AY842" t="str">
        <f t="shared" si="933"/>
        <v>+00</v>
      </c>
      <c r="BA842" s="47" t="b">
        <f t="shared" si="962"/>
        <v>1</v>
      </c>
      <c r="BB842" s="42" t="b">
        <f t="shared" si="963"/>
        <v>1</v>
      </c>
      <c r="BC842" s="42" t="b">
        <f t="shared" si="964"/>
        <v>0</v>
      </c>
      <c r="BD842" s="42" t="b">
        <f t="shared" si="965"/>
        <v>0</v>
      </c>
      <c r="BE842" s="70">
        <f t="shared" si="966"/>
        <v>0</v>
      </c>
      <c r="BF842" s="70">
        <f t="shared" si="967"/>
        <v>0</v>
      </c>
      <c r="BG842" s="34"/>
      <c r="BI842" s="47" t="b">
        <f t="shared" si="968"/>
        <v>1</v>
      </c>
      <c r="BJ842" s="47" t="b">
        <f t="shared" si="969"/>
        <v>1</v>
      </c>
      <c r="BK842" s="42" t="b">
        <f t="shared" si="970"/>
        <v>0</v>
      </c>
      <c r="BL842" s="42" t="b">
        <f t="shared" si="971"/>
        <v>0</v>
      </c>
      <c r="BM842" s="42">
        <f t="shared" si="972"/>
        <v>0</v>
      </c>
      <c r="BN842" s="42">
        <f t="shared" si="973"/>
        <v>0</v>
      </c>
      <c r="BP842" t="e">
        <f t="shared" si="974"/>
        <v>#N/A</v>
      </c>
      <c r="BQ842" t="e">
        <f t="shared" si="975"/>
        <v>#N/A</v>
      </c>
      <c r="BR842" t="e">
        <f t="shared" si="976"/>
        <v>#N/A</v>
      </c>
      <c r="BT842" s="60">
        <f t="shared" si="977"/>
        <v>0</v>
      </c>
      <c r="BU842" s="60">
        <f t="shared" si="978"/>
        <v>0</v>
      </c>
      <c r="BV842" s="60">
        <f t="shared" si="979"/>
        <v>0</v>
      </c>
      <c r="BW842" s="60">
        <f t="shared" si="980"/>
        <v>0</v>
      </c>
      <c r="BX842" s="60">
        <f t="shared" si="981"/>
        <v>0</v>
      </c>
      <c r="BY842" s="60">
        <f t="shared" si="982"/>
        <v>0</v>
      </c>
      <c r="BZ842" s="60">
        <f t="shared" si="983"/>
        <v>0</v>
      </c>
      <c r="CA842" s="60">
        <f t="shared" si="984"/>
        <v>0</v>
      </c>
      <c r="CB842" s="60" t="e">
        <f t="shared" si="934"/>
        <v>#N/A</v>
      </c>
      <c r="CC842" s="60">
        <f t="shared" si="935"/>
        <v>100000</v>
      </c>
      <c r="CD842" s="60" t="e">
        <f t="shared" si="936"/>
        <v>#N/A</v>
      </c>
      <c r="CE842" s="60">
        <f t="shared" si="937"/>
        <v>100000</v>
      </c>
      <c r="CF842" s="83" t="e">
        <f t="shared" si="985"/>
        <v>#N/A</v>
      </c>
      <c r="CG842" s="83">
        <f t="shared" si="986"/>
        <v>0</v>
      </c>
      <c r="CH842" s="83" t="e">
        <f t="shared" si="987"/>
        <v>#N/A</v>
      </c>
      <c r="CI842" s="83">
        <f t="shared" si="988"/>
        <v>0</v>
      </c>
      <c r="CJ842" s="86" t="e">
        <f t="shared" si="938"/>
        <v>#N/A</v>
      </c>
      <c r="CK842" s="82">
        <f t="shared" si="939"/>
        <v>5.3070370403969858E-3</v>
      </c>
      <c r="CL842" s="82" t="e">
        <f t="shared" si="940"/>
        <v>#N/A</v>
      </c>
      <c r="CM842" s="82">
        <f t="shared" si="941"/>
        <v>5.3070370403969858E-3</v>
      </c>
      <c r="CO842" s="149" t="str">
        <f>IF($I842&lt;&gt;"",IF(O842="User Specified",U842,INDEX('Refrigerant GWPs'!$G$2:$G$156,MATCH(O842,'Refrigerant GWPs'!$A$2:$A$156,0))),"")</f>
        <v/>
      </c>
      <c r="CP842" s="138" t="str">
        <f>IF($I842&lt;&gt;"",INDEX('Device Refrigerant Leakage'!$E$2:$E$42,MATCH($M842,'Device Refrigerant Leakage'!$B$2:$B$42,0)),"")</f>
        <v/>
      </c>
      <c r="CQ842" s="138" t="str">
        <f>IF($I842&lt;&gt;"",INDEX('Device Refrigerant Leakage'!$F$2:$F$42,MATCH($M842,'Device Refrigerant Leakage'!$B$2:$B$42,0)),"")</f>
        <v/>
      </c>
      <c r="CR842" s="145" t="str">
        <f>IF($I842&lt;&gt;"",INDEX('Device Refrigerant Leakage'!$G$2:$G$42,MATCH($M842,'Device Refrigerant Leakage'!$B$2:$B$42,0)),"")</f>
        <v/>
      </c>
      <c r="CS842" s="145" t="str">
        <f>IF($I842&lt;&gt;"",INDEX('Device Refrigerant Leakage'!$D$2:$D$42,MATCH($M842,'Device Refrigerant Leakage'!$B$2:$B$42,0))*CP842/2204.62*CO842,"")</f>
        <v/>
      </c>
      <c r="CT842" s="145" t="str">
        <f>IF($I842&lt;&gt;"",J842*(INDEX('Device Refrigerant Leakage'!$D$2:$D$42,MATCH($M842,'Device Refrigerant Leakage'!$B$2:$B$42,0))-(INDEX('Device Refrigerant Leakage'!$D$2:$D$42,MATCH($M842,'Device Refrigerant Leakage'!$B$2:$B$42,0)))*CR842*CP842)*CQ842/2204.62*CO842,"")</f>
        <v/>
      </c>
      <c r="CU842" s="135" t="str">
        <f>IF($I842&lt;&gt;"",J842*IF(W842&lt;&gt;"AR",(CS842*K842)+CT842,(CS842*AB842)+CT842*(AB842/INDEX('Device Refrigerant Leakage'!$C$2:$C$42,MATCH($M842,'Device Refrigerant Leakage'!$B$2:$B$42,0)))),"")</f>
        <v/>
      </c>
      <c r="CW842" s="135" t="str">
        <f>IF($I842&lt;&gt;"",IF(S842="User Specified",V842,INDEX('Refrigerant GWPs'!$G$2:$G$156,MATCH(S842,'Refrigerant GWPs'!$A$2:$A$157,0))),"")</f>
        <v/>
      </c>
      <c r="CX842" s="138" t="str">
        <f>IF($I842&lt;&gt;"",INDEX('Device Refrigerant Leakage'!$E$2:$E$42,MATCH($Q842,'Device Refrigerant Leakage'!$B$2:$B$42,0)),"")</f>
        <v/>
      </c>
      <c r="CY842" s="138" t="str">
        <f>IF($I842&lt;&gt;"",INDEX('Device Refrigerant Leakage'!$F$2:$F$42,MATCH($Q842,'Device Refrigerant Leakage'!$B$2:$B$42,0)),"")</f>
        <v/>
      </c>
      <c r="CZ842" s="145" t="str">
        <f>IF($I842&lt;&gt;"",INDEX('Device Refrigerant Leakage'!$G$2:$G$42,MATCH($Q842,'Device Refrigerant Leakage'!$B$2:$B$42,0)),"")</f>
        <v/>
      </c>
      <c r="DA842" s="145" t="str">
        <f>IF($I842&lt;&gt;"",J842*INDEX('Device Refrigerant Leakage'!$D$2:$D$42,MATCH($Q842,'Device Refrigerant Leakage'!$B$2:$B$42,0))*CX842/2204.62*CW842,"")</f>
        <v/>
      </c>
      <c r="DB842" s="145" t="str">
        <f>IF($I842&lt;&gt;"",J842*(INDEX('Device Refrigerant Leakage'!$D$2:$D$42,MATCH($Q842,'Device Refrigerant Leakage'!$B$2:$B$42,0))-(INDEX('Device Refrigerant Leakage'!$D$2:$D$42,MATCH($Q842,'Device Refrigerant Leakage'!$B$2:$B$42,0)))*CZ842*CX842)*CY842/2204.62*CW842,"")</f>
        <v/>
      </c>
      <c r="DC842" s="135" t="str">
        <f t="shared" si="960"/>
        <v/>
      </c>
      <c r="DE842" s="146" t="str">
        <f>IF(W842&lt;&gt;"AR","",IF(Y842="User Specified", AA842, INDEX('Refrigerant GWPs'!$G$2:$G$154,MATCH(Y842,'Refrigerant GWPs'!$A$2:$A$154,0))))</f>
        <v/>
      </c>
      <c r="DF842" s="146" t="str">
        <f>IF(W842&lt;&gt;"AR","",INDEX('Device Refrigerant Leakage'!$E$2:$E$42,MATCH(X842,'Device Refrigerant Leakage'!$B$2:$B$42,0)))</f>
        <v/>
      </c>
      <c r="DG842" s="146" t="str">
        <f>IF(W842&lt;&gt;"AR","",INDEX('Device Refrigerant Leakage'!$F$2:$F$42,MATCH(X842,'Device Refrigerant Leakage'!$B$2:$B$42,0)))</f>
        <v/>
      </c>
      <c r="DH842" s="146" t="str">
        <f>IF(W842&lt;&gt;"AR","",INDEX('Device Refrigerant Leakage'!$G$2:$G$42,MATCH(X842,'Device Refrigerant Leakage'!$B$2:$B$42,0)))</f>
        <v/>
      </c>
      <c r="DI842" s="146" t="str">
        <f>IF(W842&lt;&gt;"AR","",J842*INDEX('Device Refrigerant Leakage'!$D$2:$D$42,MATCH(X842,'Device Refrigerant Leakage'!$B$2:$B$42,0))*DF842/2204.62*DE842)</f>
        <v/>
      </c>
      <c r="DJ842" s="146" t="str">
        <f>IF(W842&lt;&gt;"AR","",J842*(INDEX('Device Refrigerant Leakage'!$D$2:$D$42,MATCH(X842,'Device Refrigerant Leakage'!$B$2:$B$42,0))-(INDEX('Device Refrigerant Leakage'!$D$2:$D$42,MATCH(X842,'Device Refrigerant Leakage'!$B$2:$B$42,0)))*DH842*DF842)*DG842/2204.62*DE842)</f>
        <v/>
      </c>
      <c r="DK842" s="146" t="str">
        <f>IF(W842&lt;&gt;"AR","",DI842*(K842-AB842)+'Fuel Sub Calcs-Deemed'!DJ842*((K842-AB842)/INDEX('Device Refrigerant Leakage'!$C$2:$C$42,MATCH('Fuel Sub Calcs-Deemed'!X842,'Device Refrigerant Leakage'!$B$2:$B$42,0))))</f>
        <v/>
      </c>
      <c r="DM842" s="56">
        <v>828</v>
      </c>
      <c r="DN842" s="67" t="e">
        <f t="shared" si="942"/>
        <v>#N/A</v>
      </c>
      <c r="DO842" s="45" t="e">
        <f t="shared" si="943"/>
        <v>#N/A</v>
      </c>
      <c r="DP842" s="67" t="e">
        <f t="shared" si="944"/>
        <v>#N/A</v>
      </c>
      <c r="DQ842" s="45" t="e">
        <f t="shared" si="945"/>
        <v>#N/A</v>
      </c>
      <c r="DR842" s="69" t="e">
        <f t="shared" si="946"/>
        <v>#N/A</v>
      </c>
      <c r="DS842" s="34"/>
      <c r="DT842" s="67" t="e">
        <f>((BX842*CJ842)+IF($W842=MAT_AR,(BZ842*CL842),0))*(1+Reference!$E$50+Reference!$E$51)</f>
        <v>#N/A</v>
      </c>
      <c r="DU842" s="67">
        <f>((BY842*CK842)+IF($W842=MAT_AR,(CA842*CM842),0))*(1+Reference!$G$50+Reference!$G$51)</f>
        <v>0</v>
      </c>
      <c r="DV842" s="67" t="e">
        <f t="shared" si="947"/>
        <v>#VALUE!</v>
      </c>
      <c r="DX842" s="56">
        <v>828</v>
      </c>
      <c r="DY842" s="67">
        <f t="shared" si="948"/>
        <v>0</v>
      </c>
      <c r="DZ842" s="45" t="e">
        <f>VLOOKUP($R842,Dropdown!$C$3:$D$4,2,FALSE)</f>
        <v>#N/A</v>
      </c>
      <c r="EA842" s="68">
        <f t="shared" si="949"/>
        <v>0</v>
      </c>
      <c r="EB842" s="68" t="str">
        <f t="shared" si="950"/>
        <v>N/A</v>
      </c>
      <c r="EC842" s="68">
        <f t="shared" si="951"/>
        <v>0</v>
      </c>
      <c r="ED842" s="68" t="str">
        <f t="shared" si="989"/>
        <v>N/A</v>
      </c>
      <c r="EF842" s="56">
        <v>828</v>
      </c>
      <c r="EG842" s="46">
        <f t="shared" si="952"/>
        <v>0</v>
      </c>
      <c r="EH842" s="68" t="e">
        <f t="shared" si="953"/>
        <v>#N/A</v>
      </c>
      <c r="EI842" s="68" t="e">
        <f t="shared" si="954"/>
        <v>#N/A</v>
      </c>
      <c r="EJ842" s="68" t="e">
        <f t="shared" si="955"/>
        <v>#N/A</v>
      </c>
      <c r="EK842" s="68" t="e">
        <f t="shared" si="956"/>
        <v>#N/A</v>
      </c>
      <c r="EL842" s="46">
        <f t="shared" si="957"/>
        <v>0</v>
      </c>
      <c r="EM842" s="46">
        <f t="shared" si="958"/>
        <v>0</v>
      </c>
    </row>
    <row r="843" spans="1:143">
      <c r="A843" s="89"/>
      <c r="B843" s="89"/>
      <c r="C843" s="89"/>
      <c r="D843" s="89"/>
      <c r="E843" s="89"/>
      <c r="F843" s="89"/>
      <c r="G843" s="34"/>
      <c r="H843" s="56">
        <f t="shared" si="959"/>
        <v>829</v>
      </c>
      <c r="I843" s="165"/>
      <c r="J843" s="163"/>
      <c r="K843" s="163"/>
      <c r="L843" s="164"/>
      <c r="M843" s="155"/>
      <c r="N843" s="155"/>
      <c r="O843" s="144"/>
      <c r="P843" s="159" t="str">
        <f>IFERROR(IF(O843&lt;&gt;"User Specified",IF(O843&lt;&gt;"", INDEX('Refrigerant GWPs'!$G$2:$G$154,MATCH(O843,'Refrigerant GWPs'!$A$2:$A$154,0)),""),U843),0)</f>
        <v/>
      </c>
      <c r="Q843" s="155"/>
      <c r="R843" s="155"/>
      <c r="S843" s="144"/>
      <c r="T843" s="159" t="str">
        <f>IF(S843&lt;&gt;"User Specified",IF(AND(S843&lt;&gt;"User Specified",S843&lt;&gt;""), INDEX('Refrigerant GWPs'!$G$2:$G$154,MATCH(S843,'Refrigerant GWPs'!$A$2:$A$154,0)),""),V843)</f>
        <v/>
      </c>
      <c r="U843" s="144"/>
      <c r="V843" s="144"/>
      <c r="W843" s="155"/>
      <c r="X843" s="155"/>
      <c r="Y843" s="144"/>
      <c r="Z843" s="159" t="str">
        <f>IF(AND(Y843&lt;&gt;"User Specified",Y843&lt;&gt;""), INDEX('Refrigerant GWPs'!$G$2:$G$154,MATCH(Y843,'Refrigerant GWPs'!$A$2:$A$154,0)),"")</f>
        <v/>
      </c>
      <c r="AA843" s="155"/>
      <c r="AB843" s="156"/>
      <c r="AC843" s="66"/>
      <c r="AD843" s="66"/>
      <c r="AE843" s="66"/>
      <c r="AF843" s="66"/>
      <c r="AG843" s="66"/>
      <c r="AH843" s="66"/>
      <c r="AI843" s="34"/>
      <c r="AJ843" s="88">
        <f t="shared" si="922"/>
        <v>0</v>
      </c>
      <c r="AK843" s="88">
        <f t="shared" si="923"/>
        <v>0</v>
      </c>
      <c r="AL843" s="88">
        <v>0</v>
      </c>
      <c r="AM843" s="88">
        <v>0</v>
      </c>
      <c r="AN843" s="81" t="str">
        <f t="shared" si="961"/>
        <v/>
      </c>
      <c r="AO843" s="88">
        <f t="shared" si="924"/>
        <v>0</v>
      </c>
      <c r="AP843" s="88">
        <f t="shared" si="925"/>
        <v>0</v>
      </c>
      <c r="AQ843" s="81" t="str">
        <f t="shared" si="926"/>
        <v/>
      </c>
      <c r="AS843" s="41" t="b">
        <f t="shared" si="927"/>
        <v>1</v>
      </c>
      <c r="AT843" s="38">
        <f t="shared" si="928"/>
        <v>0</v>
      </c>
      <c r="AU843" s="60">
        <f t="shared" si="929"/>
        <v>0</v>
      </c>
      <c r="AV843" s="41">
        <f t="shared" si="930"/>
        <v>0</v>
      </c>
      <c r="AW843" s="41" t="b">
        <f t="shared" si="931"/>
        <v>0</v>
      </c>
      <c r="AX843" t="str">
        <f t="shared" si="932"/>
        <v>+00</v>
      </c>
      <c r="AY843" t="str">
        <f t="shared" si="933"/>
        <v>+00</v>
      </c>
      <c r="BA843" s="47" t="b">
        <f t="shared" si="962"/>
        <v>1</v>
      </c>
      <c r="BB843" s="42" t="b">
        <f t="shared" si="963"/>
        <v>1</v>
      </c>
      <c r="BC843" s="42" t="b">
        <f t="shared" si="964"/>
        <v>0</v>
      </c>
      <c r="BD843" s="42" t="b">
        <f t="shared" si="965"/>
        <v>0</v>
      </c>
      <c r="BE843" s="70">
        <f t="shared" si="966"/>
        <v>0</v>
      </c>
      <c r="BF843" s="70">
        <f t="shared" si="967"/>
        <v>0</v>
      </c>
      <c r="BG843" s="34"/>
      <c r="BI843" s="47" t="b">
        <f t="shared" si="968"/>
        <v>1</v>
      </c>
      <c r="BJ843" s="47" t="b">
        <f t="shared" si="969"/>
        <v>1</v>
      </c>
      <c r="BK843" s="42" t="b">
        <f t="shared" si="970"/>
        <v>0</v>
      </c>
      <c r="BL843" s="42" t="b">
        <f t="shared" si="971"/>
        <v>0</v>
      </c>
      <c r="BM843" s="42">
        <f t="shared" si="972"/>
        <v>0</v>
      </c>
      <c r="BN843" s="42">
        <f t="shared" si="973"/>
        <v>0</v>
      </c>
      <c r="BP843" t="e">
        <f t="shared" si="974"/>
        <v>#N/A</v>
      </c>
      <c r="BQ843" t="e">
        <f t="shared" si="975"/>
        <v>#N/A</v>
      </c>
      <c r="BR843" t="e">
        <f t="shared" si="976"/>
        <v>#N/A</v>
      </c>
      <c r="BT843" s="60">
        <f t="shared" si="977"/>
        <v>0</v>
      </c>
      <c r="BU843" s="60">
        <f t="shared" si="978"/>
        <v>0</v>
      </c>
      <c r="BV843" s="60">
        <f t="shared" si="979"/>
        <v>0</v>
      </c>
      <c r="BW843" s="60">
        <f t="shared" si="980"/>
        <v>0</v>
      </c>
      <c r="BX843" s="60">
        <f t="shared" si="981"/>
        <v>0</v>
      </c>
      <c r="BY843" s="60">
        <f t="shared" si="982"/>
        <v>0</v>
      </c>
      <c r="BZ843" s="60">
        <f t="shared" si="983"/>
        <v>0</v>
      </c>
      <c r="CA843" s="60">
        <f t="shared" si="984"/>
        <v>0</v>
      </c>
      <c r="CB843" s="60" t="e">
        <f t="shared" si="934"/>
        <v>#N/A</v>
      </c>
      <c r="CC843" s="60">
        <f t="shared" si="935"/>
        <v>100000</v>
      </c>
      <c r="CD843" s="60" t="e">
        <f t="shared" si="936"/>
        <v>#N/A</v>
      </c>
      <c r="CE843" s="60">
        <f t="shared" si="937"/>
        <v>100000</v>
      </c>
      <c r="CF843" s="83" t="e">
        <f t="shared" si="985"/>
        <v>#N/A</v>
      </c>
      <c r="CG843" s="83">
        <f t="shared" si="986"/>
        <v>0</v>
      </c>
      <c r="CH843" s="83" t="e">
        <f t="shared" si="987"/>
        <v>#N/A</v>
      </c>
      <c r="CI843" s="83">
        <f t="shared" si="988"/>
        <v>0</v>
      </c>
      <c r="CJ843" s="86" t="e">
        <f t="shared" si="938"/>
        <v>#N/A</v>
      </c>
      <c r="CK843" s="82">
        <f t="shared" si="939"/>
        <v>5.3070370403969858E-3</v>
      </c>
      <c r="CL843" s="82" t="e">
        <f t="shared" si="940"/>
        <v>#N/A</v>
      </c>
      <c r="CM843" s="82">
        <f t="shared" si="941"/>
        <v>5.3070370403969858E-3</v>
      </c>
      <c r="CO843" s="149" t="str">
        <f>IF($I843&lt;&gt;"",IF(O843="User Specified",U843,INDEX('Refrigerant GWPs'!$G$2:$G$156,MATCH(O843,'Refrigerant GWPs'!$A$2:$A$156,0))),"")</f>
        <v/>
      </c>
      <c r="CP843" s="138" t="str">
        <f>IF($I843&lt;&gt;"",INDEX('Device Refrigerant Leakage'!$E$2:$E$42,MATCH($M843,'Device Refrigerant Leakage'!$B$2:$B$42,0)),"")</f>
        <v/>
      </c>
      <c r="CQ843" s="138" t="str">
        <f>IF($I843&lt;&gt;"",INDEX('Device Refrigerant Leakage'!$F$2:$F$42,MATCH($M843,'Device Refrigerant Leakage'!$B$2:$B$42,0)),"")</f>
        <v/>
      </c>
      <c r="CR843" s="145" t="str">
        <f>IF($I843&lt;&gt;"",INDEX('Device Refrigerant Leakage'!$G$2:$G$42,MATCH($M843,'Device Refrigerant Leakage'!$B$2:$B$42,0)),"")</f>
        <v/>
      </c>
      <c r="CS843" s="145" t="str">
        <f>IF($I843&lt;&gt;"",INDEX('Device Refrigerant Leakage'!$D$2:$D$42,MATCH($M843,'Device Refrigerant Leakage'!$B$2:$B$42,0))*CP843/2204.62*CO843,"")</f>
        <v/>
      </c>
      <c r="CT843" s="145" t="str">
        <f>IF($I843&lt;&gt;"",J843*(INDEX('Device Refrigerant Leakage'!$D$2:$D$42,MATCH($M843,'Device Refrigerant Leakage'!$B$2:$B$42,0))-(INDEX('Device Refrigerant Leakage'!$D$2:$D$42,MATCH($M843,'Device Refrigerant Leakage'!$B$2:$B$42,0)))*CR843*CP843)*CQ843/2204.62*CO843,"")</f>
        <v/>
      </c>
      <c r="CU843" s="135" t="str">
        <f>IF($I843&lt;&gt;"",J843*IF(W843&lt;&gt;"AR",(CS843*K843)+CT843,(CS843*AB843)+CT843*(AB843/INDEX('Device Refrigerant Leakage'!$C$2:$C$42,MATCH($M843,'Device Refrigerant Leakage'!$B$2:$B$42,0)))),"")</f>
        <v/>
      </c>
      <c r="CW843" s="135" t="str">
        <f>IF($I843&lt;&gt;"",IF(S843="User Specified",V843,INDEX('Refrigerant GWPs'!$G$2:$G$156,MATCH(S843,'Refrigerant GWPs'!$A$2:$A$157,0))),"")</f>
        <v/>
      </c>
      <c r="CX843" s="138" t="str">
        <f>IF($I843&lt;&gt;"",INDEX('Device Refrigerant Leakage'!$E$2:$E$42,MATCH($Q843,'Device Refrigerant Leakage'!$B$2:$B$42,0)),"")</f>
        <v/>
      </c>
      <c r="CY843" s="138" t="str">
        <f>IF($I843&lt;&gt;"",INDEX('Device Refrigerant Leakage'!$F$2:$F$42,MATCH($Q843,'Device Refrigerant Leakage'!$B$2:$B$42,0)),"")</f>
        <v/>
      </c>
      <c r="CZ843" s="145" t="str">
        <f>IF($I843&lt;&gt;"",INDEX('Device Refrigerant Leakage'!$G$2:$G$42,MATCH($Q843,'Device Refrigerant Leakage'!$B$2:$B$42,0)),"")</f>
        <v/>
      </c>
      <c r="DA843" s="145" t="str">
        <f>IF($I843&lt;&gt;"",J843*INDEX('Device Refrigerant Leakage'!$D$2:$D$42,MATCH($Q843,'Device Refrigerant Leakage'!$B$2:$B$42,0))*CX843/2204.62*CW843,"")</f>
        <v/>
      </c>
      <c r="DB843" s="145" t="str">
        <f>IF($I843&lt;&gt;"",J843*(INDEX('Device Refrigerant Leakage'!$D$2:$D$42,MATCH($Q843,'Device Refrigerant Leakage'!$B$2:$B$42,0))-(INDEX('Device Refrigerant Leakage'!$D$2:$D$42,MATCH($Q843,'Device Refrigerant Leakage'!$B$2:$B$42,0)))*CZ843*CX843)*CY843/2204.62*CW843,"")</f>
        <v/>
      </c>
      <c r="DC843" s="135" t="str">
        <f t="shared" si="960"/>
        <v/>
      </c>
      <c r="DE843" s="146" t="str">
        <f>IF(W843&lt;&gt;"AR","",IF(Y843="User Specified", AA843, INDEX('Refrigerant GWPs'!$G$2:$G$154,MATCH(Y843,'Refrigerant GWPs'!$A$2:$A$154,0))))</f>
        <v/>
      </c>
      <c r="DF843" s="146" t="str">
        <f>IF(W843&lt;&gt;"AR","",INDEX('Device Refrigerant Leakage'!$E$2:$E$42,MATCH(X843,'Device Refrigerant Leakage'!$B$2:$B$42,0)))</f>
        <v/>
      </c>
      <c r="DG843" s="146" t="str">
        <f>IF(W843&lt;&gt;"AR","",INDEX('Device Refrigerant Leakage'!$F$2:$F$42,MATCH(X843,'Device Refrigerant Leakage'!$B$2:$B$42,0)))</f>
        <v/>
      </c>
      <c r="DH843" s="146" t="str">
        <f>IF(W843&lt;&gt;"AR","",INDEX('Device Refrigerant Leakage'!$G$2:$G$42,MATCH(X843,'Device Refrigerant Leakage'!$B$2:$B$42,0)))</f>
        <v/>
      </c>
      <c r="DI843" s="146" t="str">
        <f>IF(W843&lt;&gt;"AR","",J843*INDEX('Device Refrigerant Leakage'!$D$2:$D$42,MATCH(X843,'Device Refrigerant Leakage'!$B$2:$B$42,0))*DF843/2204.62*DE843)</f>
        <v/>
      </c>
      <c r="DJ843" s="146" t="str">
        <f>IF(W843&lt;&gt;"AR","",J843*(INDEX('Device Refrigerant Leakage'!$D$2:$D$42,MATCH(X843,'Device Refrigerant Leakage'!$B$2:$B$42,0))-(INDEX('Device Refrigerant Leakage'!$D$2:$D$42,MATCH(X843,'Device Refrigerant Leakage'!$B$2:$B$42,0)))*DH843*DF843)*DG843/2204.62*DE843)</f>
        <v/>
      </c>
      <c r="DK843" s="146" t="str">
        <f>IF(W843&lt;&gt;"AR","",DI843*(K843-AB843)+'Fuel Sub Calcs-Deemed'!DJ843*((K843-AB843)/INDEX('Device Refrigerant Leakage'!$C$2:$C$42,MATCH('Fuel Sub Calcs-Deemed'!X843,'Device Refrigerant Leakage'!$B$2:$B$42,0))))</f>
        <v/>
      </c>
      <c r="DM843" s="56">
        <v>829</v>
      </c>
      <c r="DN843" s="67" t="e">
        <f t="shared" si="942"/>
        <v>#N/A</v>
      </c>
      <c r="DO843" s="45" t="e">
        <f t="shared" si="943"/>
        <v>#N/A</v>
      </c>
      <c r="DP843" s="67" t="e">
        <f t="shared" si="944"/>
        <v>#N/A</v>
      </c>
      <c r="DQ843" s="45" t="e">
        <f t="shared" si="945"/>
        <v>#N/A</v>
      </c>
      <c r="DR843" s="69" t="e">
        <f t="shared" si="946"/>
        <v>#N/A</v>
      </c>
      <c r="DS843" s="34"/>
      <c r="DT843" s="67" t="e">
        <f>((BX843*CJ843)+IF($W843=MAT_AR,(BZ843*CL843),0))*(1+Reference!$E$50+Reference!$E$51)</f>
        <v>#N/A</v>
      </c>
      <c r="DU843" s="67">
        <f>((BY843*CK843)+IF($W843=MAT_AR,(CA843*CM843),0))*(1+Reference!$G$50+Reference!$G$51)</f>
        <v>0</v>
      </c>
      <c r="DV843" s="67" t="e">
        <f t="shared" si="947"/>
        <v>#VALUE!</v>
      </c>
      <c r="DX843" s="56">
        <v>829</v>
      </c>
      <c r="DY843" s="67">
        <f t="shared" si="948"/>
        <v>0</v>
      </c>
      <c r="DZ843" s="45" t="e">
        <f>VLOOKUP($R843,Dropdown!$C$3:$D$4,2,FALSE)</f>
        <v>#N/A</v>
      </c>
      <c r="EA843" s="68">
        <f t="shared" si="949"/>
        <v>0</v>
      </c>
      <c r="EB843" s="68" t="str">
        <f t="shared" si="950"/>
        <v>N/A</v>
      </c>
      <c r="EC843" s="68">
        <f t="shared" si="951"/>
        <v>0</v>
      </c>
      <c r="ED843" s="68" t="str">
        <f t="shared" si="989"/>
        <v>N/A</v>
      </c>
      <c r="EF843" s="56">
        <v>829</v>
      </c>
      <c r="EG843" s="46">
        <f t="shared" si="952"/>
        <v>0</v>
      </c>
      <c r="EH843" s="68" t="e">
        <f t="shared" si="953"/>
        <v>#N/A</v>
      </c>
      <c r="EI843" s="68" t="e">
        <f t="shared" si="954"/>
        <v>#N/A</v>
      </c>
      <c r="EJ843" s="68" t="e">
        <f t="shared" si="955"/>
        <v>#N/A</v>
      </c>
      <c r="EK843" s="68" t="e">
        <f t="shared" si="956"/>
        <v>#N/A</v>
      </c>
      <c r="EL843" s="46">
        <f t="shared" si="957"/>
        <v>0</v>
      </c>
      <c r="EM843" s="46">
        <f t="shared" si="958"/>
        <v>0</v>
      </c>
    </row>
    <row r="844" spans="1:143">
      <c r="A844" s="89"/>
      <c r="B844" s="89"/>
      <c r="C844" s="89"/>
      <c r="D844" s="89"/>
      <c r="E844" s="89"/>
      <c r="F844" s="89"/>
      <c r="G844" s="34"/>
      <c r="H844" s="56">
        <f t="shared" si="959"/>
        <v>830</v>
      </c>
      <c r="I844" s="165"/>
      <c r="J844" s="163"/>
      <c r="K844" s="163"/>
      <c r="L844" s="164"/>
      <c r="M844" s="155"/>
      <c r="N844" s="155"/>
      <c r="O844" s="144"/>
      <c r="P844" s="159" t="str">
        <f>IFERROR(IF(O844&lt;&gt;"User Specified",IF(O844&lt;&gt;"", INDEX('Refrigerant GWPs'!$G$2:$G$154,MATCH(O844,'Refrigerant GWPs'!$A$2:$A$154,0)),""),U844),0)</f>
        <v/>
      </c>
      <c r="Q844" s="155"/>
      <c r="R844" s="155"/>
      <c r="S844" s="144"/>
      <c r="T844" s="159" t="str">
        <f>IF(S844&lt;&gt;"User Specified",IF(AND(S844&lt;&gt;"User Specified",S844&lt;&gt;""), INDEX('Refrigerant GWPs'!$G$2:$G$154,MATCH(S844,'Refrigerant GWPs'!$A$2:$A$154,0)),""),V844)</f>
        <v/>
      </c>
      <c r="U844" s="144"/>
      <c r="V844" s="144"/>
      <c r="W844" s="155"/>
      <c r="X844" s="155"/>
      <c r="Y844" s="144"/>
      <c r="Z844" s="159" t="str">
        <f>IF(AND(Y844&lt;&gt;"User Specified",Y844&lt;&gt;""), INDEX('Refrigerant GWPs'!$G$2:$G$154,MATCH(Y844,'Refrigerant GWPs'!$A$2:$A$154,0)),"")</f>
        <v/>
      </c>
      <c r="AA844" s="155"/>
      <c r="AB844" s="156"/>
      <c r="AC844" s="66"/>
      <c r="AD844" s="66"/>
      <c r="AE844" s="66"/>
      <c r="AF844" s="66"/>
      <c r="AG844" s="66"/>
      <c r="AH844" s="66"/>
      <c r="AI844" s="34"/>
      <c r="AJ844" s="88">
        <f t="shared" si="922"/>
        <v>0</v>
      </c>
      <c r="AK844" s="88">
        <f t="shared" si="923"/>
        <v>0</v>
      </c>
      <c r="AL844" s="88">
        <v>0</v>
      </c>
      <c r="AM844" s="88">
        <v>0</v>
      </c>
      <c r="AN844" s="81" t="str">
        <f t="shared" si="961"/>
        <v/>
      </c>
      <c r="AO844" s="88">
        <f t="shared" si="924"/>
        <v>0</v>
      </c>
      <c r="AP844" s="88">
        <f t="shared" si="925"/>
        <v>0</v>
      </c>
      <c r="AQ844" s="81" t="str">
        <f t="shared" si="926"/>
        <v/>
      </c>
      <c r="AS844" s="41" t="b">
        <f t="shared" si="927"/>
        <v>1</v>
      </c>
      <c r="AT844" s="38">
        <f t="shared" si="928"/>
        <v>0</v>
      </c>
      <c r="AU844" s="60">
        <f t="shared" si="929"/>
        <v>0</v>
      </c>
      <c r="AV844" s="41">
        <f t="shared" si="930"/>
        <v>0</v>
      </c>
      <c r="AW844" s="41" t="b">
        <f t="shared" si="931"/>
        <v>0</v>
      </c>
      <c r="AX844" t="str">
        <f t="shared" si="932"/>
        <v>+00</v>
      </c>
      <c r="AY844" t="str">
        <f t="shared" si="933"/>
        <v>+00</v>
      </c>
      <c r="BA844" s="47" t="b">
        <f t="shared" si="962"/>
        <v>1</v>
      </c>
      <c r="BB844" s="42" t="b">
        <f t="shared" si="963"/>
        <v>1</v>
      </c>
      <c r="BC844" s="42" t="b">
        <f t="shared" si="964"/>
        <v>0</v>
      </c>
      <c r="BD844" s="42" t="b">
        <f t="shared" si="965"/>
        <v>0</v>
      </c>
      <c r="BE844" s="70">
        <f t="shared" si="966"/>
        <v>0</v>
      </c>
      <c r="BF844" s="70">
        <f t="shared" si="967"/>
        <v>0</v>
      </c>
      <c r="BG844" s="34"/>
      <c r="BI844" s="47" t="b">
        <f t="shared" si="968"/>
        <v>1</v>
      </c>
      <c r="BJ844" s="47" t="b">
        <f t="shared" si="969"/>
        <v>1</v>
      </c>
      <c r="BK844" s="42" t="b">
        <f t="shared" si="970"/>
        <v>0</v>
      </c>
      <c r="BL844" s="42" t="b">
        <f t="shared" si="971"/>
        <v>0</v>
      </c>
      <c r="BM844" s="42">
        <f t="shared" si="972"/>
        <v>0</v>
      </c>
      <c r="BN844" s="42">
        <f t="shared" si="973"/>
        <v>0</v>
      </c>
      <c r="BP844" t="e">
        <f t="shared" si="974"/>
        <v>#N/A</v>
      </c>
      <c r="BQ844" t="e">
        <f t="shared" si="975"/>
        <v>#N/A</v>
      </c>
      <c r="BR844" t="e">
        <f t="shared" si="976"/>
        <v>#N/A</v>
      </c>
      <c r="BT844" s="60">
        <f t="shared" si="977"/>
        <v>0</v>
      </c>
      <c r="BU844" s="60">
        <f t="shared" si="978"/>
        <v>0</v>
      </c>
      <c r="BV844" s="60">
        <f t="shared" si="979"/>
        <v>0</v>
      </c>
      <c r="BW844" s="60">
        <f t="shared" si="980"/>
        <v>0</v>
      </c>
      <c r="BX844" s="60">
        <f t="shared" si="981"/>
        <v>0</v>
      </c>
      <c r="BY844" s="60">
        <f t="shared" si="982"/>
        <v>0</v>
      </c>
      <c r="BZ844" s="60">
        <f t="shared" si="983"/>
        <v>0</v>
      </c>
      <c r="CA844" s="60">
        <f t="shared" si="984"/>
        <v>0</v>
      </c>
      <c r="CB844" s="60" t="e">
        <f t="shared" si="934"/>
        <v>#N/A</v>
      </c>
      <c r="CC844" s="60">
        <f t="shared" si="935"/>
        <v>100000</v>
      </c>
      <c r="CD844" s="60" t="e">
        <f t="shared" si="936"/>
        <v>#N/A</v>
      </c>
      <c r="CE844" s="60">
        <f t="shared" si="937"/>
        <v>100000</v>
      </c>
      <c r="CF844" s="83" t="e">
        <f t="shared" si="985"/>
        <v>#N/A</v>
      </c>
      <c r="CG844" s="83">
        <f t="shared" si="986"/>
        <v>0</v>
      </c>
      <c r="CH844" s="83" t="e">
        <f t="shared" si="987"/>
        <v>#N/A</v>
      </c>
      <c r="CI844" s="83">
        <f t="shared" si="988"/>
        <v>0</v>
      </c>
      <c r="CJ844" s="86" t="e">
        <f t="shared" si="938"/>
        <v>#N/A</v>
      </c>
      <c r="CK844" s="82">
        <f t="shared" si="939"/>
        <v>5.3070370403969858E-3</v>
      </c>
      <c r="CL844" s="82" t="e">
        <f t="shared" si="940"/>
        <v>#N/A</v>
      </c>
      <c r="CM844" s="82">
        <f t="shared" si="941"/>
        <v>5.3070370403969858E-3</v>
      </c>
      <c r="CO844" s="149" t="str">
        <f>IF($I844&lt;&gt;"",IF(O844="User Specified",U844,INDEX('Refrigerant GWPs'!$G$2:$G$156,MATCH(O844,'Refrigerant GWPs'!$A$2:$A$156,0))),"")</f>
        <v/>
      </c>
      <c r="CP844" s="138" t="str">
        <f>IF($I844&lt;&gt;"",INDEX('Device Refrigerant Leakage'!$E$2:$E$42,MATCH($M844,'Device Refrigerant Leakage'!$B$2:$B$42,0)),"")</f>
        <v/>
      </c>
      <c r="CQ844" s="138" t="str">
        <f>IF($I844&lt;&gt;"",INDEX('Device Refrigerant Leakage'!$F$2:$F$42,MATCH($M844,'Device Refrigerant Leakage'!$B$2:$B$42,0)),"")</f>
        <v/>
      </c>
      <c r="CR844" s="145" t="str">
        <f>IF($I844&lt;&gt;"",INDEX('Device Refrigerant Leakage'!$G$2:$G$42,MATCH($M844,'Device Refrigerant Leakage'!$B$2:$B$42,0)),"")</f>
        <v/>
      </c>
      <c r="CS844" s="145" t="str">
        <f>IF($I844&lt;&gt;"",INDEX('Device Refrigerant Leakage'!$D$2:$D$42,MATCH($M844,'Device Refrigerant Leakage'!$B$2:$B$42,0))*CP844/2204.62*CO844,"")</f>
        <v/>
      </c>
      <c r="CT844" s="145" t="str">
        <f>IF($I844&lt;&gt;"",J844*(INDEX('Device Refrigerant Leakage'!$D$2:$D$42,MATCH($M844,'Device Refrigerant Leakage'!$B$2:$B$42,0))-(INDEX('Device Refrigerant Leakage'!$D$2:$D$42,MATCH($M844,'Device Refrigerant Leakage'!$B$2:$B$42,0)))*CR844*CP844)*CQ844/2204.62*CO844,"")</f>
        <v/>
      </c>
      <c r="CU844" s="135" t="str">
        <f>IF($I844&lt;&gt;"",J844*IF(W844&lt;&gt;"AR",(CS844*K844)+CT844,(CS844*AB844)+CT844*(AB844/INDEX('Device Refrigerant Leakage'!$C$2:$C$42,MATCH($M844,'Device Refrigerant Leakage'!$B$2:$B$42,0)))),"")</f>
        <v/>
      </c>
      <c r="CW844" s="135" t="str">
        <f>IF($I844&lt;&gt;"",IF(S844="User Specified",V844,INDEX('Refrigerant GWPs'!$G$2:$G$156,MATCH(S844,'Refrigerant GWPs'!$A$2:$A$157,0))),"")</f>
        <v/>
      </c>
      <c r="CX844" s="138" t="str">
        <f>IF($I844&lt;&gt;"",INDEX('Device Refrigerant Leakage'!$E$2:$E$42,MATCH($Q844,'Device Refrigerant Leakage'!$B$2:$B$42,0)),"")</f>
        <v/>
      </c>
      <c r="CY844" s="138" t="str">
        <f>IF($I844&lt;&gt;"",INDEX('Device Refrigerant Leakage'!$F$2:$F$42,MATCH($Q844,'Device Refrigerant Leakage'!$B$2:$B$42,0)),"")</f>
        <v/>
      </c>
      <c r="CZ844" s="145" t="str">
        <f>IF($I844&lt;&gt;"",INDEX('Device Refrigerant Leakage'!$G$2:$G$42,MATCH($Q844,'Device Refrigerant Leakage'!$B$2:$B$42,0)),"")</f>
        <v/>
      </c>
      <c r="DA844" s="145" t="str">
        <f>IF($I844&lt;&gt;"",J844*INDEX('Device Refrigerant Leakage'!$D$2:$D$42,MATCH($Q844,'Device Refrigerant Leakage'!$B$2:$B$42,0))*CX844/2204.62*CW844,"")</f>
        <v/>
      </c>
      <c r="DB844" s="145" t="str">
        <f>IF($I844&lt;&gt;"",J844*(INDEX('Device Refrigerant Leakage'!$D$2:$D$42,MATCH($Q844,'Device Refrigerant Leakage'!$B$2:$B$42,0))-(INDEX('Device Refrigerant Leakage'!$D$2:$D$42,MATCH($Q844,'Device Refrigerant Leakage'!$B$2:$B$42,0)))*CZ844*CX844)*CY844/2204.62*CW844,"")</f>
        <v/>
      </c>
      <c r="DC844" s="135" t="str">
        <f t="shared" si="960"/>
        <v/>
      </c>
      <c r="DE844" s="146" t="str">
        <f>IF(W844&lt;&gt;"AR","",IF(Y844="User Specified", AA844, INDEX('Refrigerant GWPs'!$G$2:$G$154,MATCH(Y844,'Refrigerant GWPs'!$A$2:$A$154,0))))</f>
        <v/>
      </c>
      <c r="DF844" s="146" t="str">
        <f>IF(W844&lt;&gt;"AR","",INDEX('Device Refrigerant Leakage'!$E$2:$E$42,MATCH(X844,'Device Refrigerant Leakage'!$B$2:$B$42,0)))</f>
        <v/>
      </c>
      <c r="DG844" s="146" t="str">
        <f>IF(W844&lt;&gt;"AR","",INDEX('Device Refrigerant Leakage'!$F$2:$F$42,MATCH(X844,'Device Refrigerant Leakage'!$B$2:$B$42,0)))</f>
        <v/>
      </c>
      <c r="DH844" s="146" t="str">
        <f>IF(W844&lt;&gt;"AR","",INDEX('Device Refrigerant Leakage'!$G$2:$G$42,MATCH(X844,'Device Refrigerant Leakage'!$B$2:$B$42,0)))</f>
        <v/>
      </c>
      <c r="DI844" s="146" t="str">
        <f>IF(W844&lt;&gt;"AR","",J844*INDEX('Device Refrigerant Leakage'!$D$2:$D$42,MATCH(X844,'Device Refrigerant Leakage'!$B$2:$B$42,0))*DF844/2204.62*DE844)</f>
        <v/>
      </c>
      <c r="DJ844" s="146" t="str">
        <f>IF(W844&lt;&gt;"AR","",J844*(INDEX('Device Refrigerant Leakage'!$D$2:$D$42,MATCH(X844,'Device Refrigerant Leakage'!$B$2:$B$42,0))-(INDEX('Device Refrigerant Leakage'!$D$2:$D$42,MATCH(X844,'Device Refrigerant Leakage'!$B$2:$B$42,0)))*DH844*DF844)*DG844/2204.62*DE844)</f>
        <v/>
      </c>
      <c r="DK844" s="146" t="str">
        <f>IF(W844&lt;&gt;"AR","",DI844*(K844-AB844)+'Fuel Sub Calcs-Deemed'!DJ844*((K844-AB844)/INDEX('Device Refrigerant Leakage'!$C$2:$C$42,MATCH('Fuel Sub Calcs-Deemed'!X844,'Device Refrigerant Leakage'!$B$2:$B$42,0))))</f>
        <v/>
      </c>
      <c r="DM844" s="56">
        <v>830</v>
      </c>
      <c r="DN844" s="67" t="e">
        <f t="shared" si="942"/>
        <v>#N/A</v>
      </c>
      <c r="DO844" s="45" t="e">
        <f t="shared" si="943"/>
        <v>#N/A</v>
      </c>
      <c r="DP844" s="67" t="e">
        <f t="shared" si="944"/>
        <v>#N/A</v>
      </c>
      <c r="DQ844" s="45" t="e">
        <f t="shared" si="945"/>
        <v>#N/A</v>
      </c>
      <c r="DR844" s="69" t="e">
        <f t="shared" si="946"/>
        <v>#N/A</v>
      </c>
      <c r="DS844" s="34"/>
      <c r="DT844" s="67" t="e">
        <f>((BX844*CJ844)+IF($W844=MAT_AR,(BZ844*CL844),0))*(1+Reference!$E$50+Reference!$E$51)</f>
        <v>#N/A</v>
      </c>
      <c r="DU844" s="67">
        <f>((BY844*CK844)+IF($W844=MAT_AR,(CA844*CM844),0))*(1+Reference!$G$50+Reference!$G$51)</f>
        <v>0</v>
      </c>
      <c r="DV844" s="67" t="e">
        <f t="shared" si="947"/>
        <v>#VALUE!</v>
      </c>
      <c r="DX844" s="56">
        <v>830</v>
      </c>
      <c r="DY844" s="67">
        <f t="shared" si="948"/>
        <v>0</v>
      </c>
      <c r="DZ844" s="45" t="e">
        <f>VLOOKUP($R844,Dropdown!$C$3:$D$4,2,FALSE)</f>
        <v>#N/A</v>
      </c>
      <c r="EA844" s="68">
        <f t="shared" si="949"/>
        <v>0</v>
      </c>
      <c r="EB844" s="68" t="str">
        <f t="shared" si="950"/>
        <v>N/A</v>
      </c>
      <c r="EC844" s="68">
        <f t="shared" si="951"/>
        <v>0</v>
      </c>
      <c r="ED844" s="68" t="str">
        <f t="shared" si="989"/>
        <v>N/A</v>
      </c>
      <c r="EF844" s="56">
        <v>830</v>
      </c>
      <c r="EG844" s="46">
        <f t="shared" si="952"/>
        <v>0</v>
      </c>
      <c r="EH844" s="68" t="e">
        <f t="shared" si="953"/>
        <v>#N/A</v>
      </c>
      <c r="EI844" s="68" t="e">
        <f t="shared" si="954"/>
        <v>#N/A</v>
      </c>
      <c r="EJ844" s="68" t="e">
        <f t="shared" si="955"/>
        <v>#N/A</v>
      </c>
      <c r="EK844" s="68" t="e">
        <f t="shared" si="956"/>
        <v>#N/A</v>
      </c>
      <c r="EL844" s="46">
        <f t="shared" si="957"/>
        <v>0</v>
      </c>
      <c r="EM844" s="46">
        <f t="shared" si="958"/>
        <v>0</v>
      </c>
    </row>
    <row r="845" spans="1:143">
      <c r="A845" s="89"/>
      <c r="B845" s="89"/>
      <c r="C845" s="89"/>
      <c r="D845" s="89"/>
      <c r="E845" s="89"/>
      <c r="F845" s="89"/>
      <c r="G845" s="34"/>
      <c r="H845" s="56">
        <f t="shared" si="959"/>
        <v>831</v>
      </c>
      <c r="I845" s="165"/>
      <c r="J845" s="163"/>
      <c r="K845" s="163"/>
      <c r="L845" s="164"/>
      <c r="M845" s="155"/>
      <c r="N845" s="155"/>
      <c r="O845" s="144"/>
      <c r="P845" s="159" t="str">
        <f>IFERROR(IF(O845&lt;&gt;"User Specified",IF(O845&lt;&gt;"", INDEX('Refrigerant GWPs'!$G$2:$G$154,MATCH(O845,'Refrigerant GWPs'!$A$2:$A$154,0)),""),U845),0)</f>
        <v/>
      </c>
      <c r="Q845" s="155"/>
      <c r="R845" s="155"/>
      <c r="S845" s="144"/>
      <c r="T845" s="159" t="str">
        <f>IF(S845&lt;&gt;"User Specified",IF(AND(S845&lt;&gt;"User Specified",S845&lt;&gt;""), INDEX('Refrigerant GWPs'!$G$2:$G$154,MATCH(S845,'Refrigerant GWPs'!$A$2:$A$154,0)),""),V845)</f>
        <v/>
      </c>
      <c r="U845" s="144"/>
      <c r="V845" s="144"/>
      <c r="W845" s="155"/>
      <c r="X845" s="155"/>
      <c r="Y845" s="144"/>
      <c r="Z845" s="159" t="str">
        <f>IF(AND(Y845&lt;&gt;"User Specified",Y845&lt;&gt;""), INDEX('Refrigerant GWPs'!$G$2:$G$154,MATCH(Y845,'Refrigerant GWPs'!$A$2:$A$154,0)),"")</f>
        <v/>
      </c>
      <c r="AA845" s="155"/>
      <c r="AB845" s="156"/>
      <c r="AC845" s="66"/>
      <c r="AD845" s="66"/>
      <c r="AE845" s="66"/>
      <c r="AF845" s="66"/>
      <c r="AG845" s="66"/>
      <c r="AH845" s="66"/>
      <c r="AI845" s="34"/>
      <c r="AJ845" s="88">
        <f t="shared" si="922"/>
        <v>0</v>
      </c>
      <c r="AK845" s="88">
        <f t="shared" si="923"/>
        <v>0</v>
      </c>
      <c r="AL845" s="88">
        <v>0</v>
      </c>
      <c r="AM845" s="88">
        <v>0</v>
      </c>
      <c r="AN845" s="81" t="str">
        <f t="shared" si="961"/>
        <v/>
      </c>
      <c r="AO845" s="88">
        <f t="shared" si="924"/>
        <v>0</v>
      </c>
      <c r="AP845" s="88">
        <f t="shared" si="925"/>
        <v>0</v>
      </c>
      <c r="AQ845" s="81" t="str">
        <f t="shared" si="926"/>
        <v/>
      </c>
      <c r="AS845" s="41" t="b">
        <f t="shared" si="927"/>
        <v>1</v>
      </c>
      <c r="AT845" s="38">
        <f t="shared" si="928"/>
        <v>0</v>
      </c>
      <c r="AU845" s="60">
        <f t="shared" si="929"/>
        <v>0</v>
      </c>
      <c r="AV845" s="41">
        <f t="shared" si="930"/>
        <v>0</v>
      </c>
      <c r="AW845" s="41" t="b">
        <f t="shared" si="931"/>
        <v>0</v>
      </c>
      <c r="AX845" t="str">
        <f t="shared" si="932"/>
        <v>+00</v>
      </c>
      <c r="AY845" t="str">
        <f t="shared" si="933"/>
        <v>+00</v>
      </c>
      <c r="BA845" s="47" t="b">
        <f t="shared" si="962"/>
        <v>1</v>
      </c>
      <c r="BB845" s="42" t="b">
        <f t="shared" si="963"/>
        <v>1</v>
      </c>
      <c r="BC845" s="42" t="b">
        <f t="shared" si="964"/>
        <v>0</v>
      </c>
      <c r="BD845" s="42" t="b">
        <f t="shared" si="965"/>
        <v>0</v>
      </c>
      <c r="BE845" s="70">
        <f t="shared" si="966"/>
        <v>0</v>
      </c>
      <c r="BF845" s="70">
        <f t="shared" si="967"/>
        <v>0</v>
      </c>
      <c r="BG845" s="34"/>
      <c r="BI845" s="47" t="b">
        <f t="shared" si="968"/>
        <v>1</v>
      </c>
      <c r="BJ845" s="47" t="b">
        <f t="shared" si="969"/>
        <v>1</v>
      </c>
      <c r="BK845" s="42" t="b">
        <f t="shared" si="970"/>
        <v>0</v>
      </c>
      <c r="BL845" s="42" t="b">
        <f t="shared" si="971"/>
        <v>0</v>
      </c>
      <c r="BM845" s="42">
        <f t="shared" si="972"/>
        <v>0</v>
      </c>
      <c r="BN845" s="42">
        <f t="shared" si="973"/>
        <v>0</v>
      </c>
      <c r="BP845" t="e">
        <f t="shared" si="974"/>
        <v>#N/A</v>
      </c>
      <c r="BQ845" t="e">
        <f t="shared" si="975"/>
        <v>#N/A</v>
      </c>
      <c r="BR845" t="e">
        <f t="shared" si="976"/>
        <v>#N/A</v>
      </c>
      <c r="BT845" s="60">
        <f t="shared" si="977"/>
        <v>0</v>
      </c>
      <c r="BU845" s="60">
        <f t="shared" si="978"/>
        <v>0</v>
      </c>
      <c r="BV845" s="60">
        <f t="shared" si="979"/>
        <v>0</v>
      </c>
      <c r="BW845" s="60">
        <f t="shared" si="980"/>
        <v>0</v>
      </c>
      <c r="BX845" s="60">
        <f t="shared" si="981"/>
        <v>0</v>
      </c>
      <c r="BY845" s="60">
        <f t="shared" si="982"/>
        <v>0</v>
      </c>
      <c r="BZ845" s="60">
        <f t="shared" si="983"/>
        <v>0</v>
      </c>
      <c r="CA845" s="60">
        <f t="shared" si="984"/>
        <v>0</v>
      </c>
      <c r="CB845" s="60" t="e">
        <f t="shared" si="934"/>
        <v>#N/A</v>
      </c>
      <c r="CC845" s="60">
        <f t="shared" si="935"/>
        <v>100000</v>
      </c>
      <c r="CD845" s="60" t="e">
        <f t="shared" si="936"/>
        <v>#N/A</v>
      </c>
      <c r="CE845" s="60">
        <f t="shared" si="937"/>
        <v>100000</v>
      </c>
      <c r="CF845" s="83" t="e">
        <f t="shared" si="985"/>
        <v>#N/A</v>
      </c>
      <c r="CG845" s="83">
        <f t="shared" si="986"/>
        <v>0</v>
      </c>
      <c r="CH845" s="83" t="e">
        <f t="shared" si="987"/>
        <v>#N/A</v>
      </c>
      <c r="CI845" s="83">
        <f t="shared" si="988"/>
        <v>0</v>
      </c>
      <c r="CJ845" s="86" t="e">
        <f t="shared" si="938"/>
        <v>#N/A</v>
      </c>
      <c r="CK845" s="82">
        <f t="shared" si="939"/>
        <v>5.3070370403969858E-3</v>
      </c>
      <c r="CL845" s="82" t="e">
        <f t="shared" si="940"/>
        <v>#N/A</v>
      </c>
      <c r="CM845" s="82">
        <f t="shared" si="941"/>
        <v>5.3070370403969858E-3</v>
      </c>
      <c r="CO845" s="149" t="str">
        <f>IF($I845&lt;&gt;"",IF(O845="User Specified",U845,INDEX('Refrigerant GWPs'!$G$2:$G$156,MATCH(O845,'Refrigerant GWPs'!$A$2:$A$156,0))),"")</f>
        <v/>
      </c>
      <c r="CP845" s="138" t="str">
        <f>IF($I845&lt;&gt;"",INDEX('Device Refrigerant Leakage'!$E$2:$E$42,MATCH($M845,'Device Refrigerant Leakage'!$B$2:$B$42,0)),"")</f>
        <v/>
      </c>
      <c r="CQ845" s="138" t="str">
        <f>IF($I845&lt;&gt;"",INDEX('Device Refrigerant Leakage'!$F$2:$F$42,MATCH($M845,'Device Refrigerant Leakage'!$B$2:$B$42,0)),"")</f>
        <v/>
      </c>
      <c r="CR845" s="145" t="str">
        <f>IF($I845&lt;&gt;"",INDEX('Device Refrigerant Leakage'!$G$2:$G$42,MATCH($M845,'Device Refrigerant Leakage'!$B$2:$B$42,0)),"")</f>
        <v/>
      </c>
      <c r="CS845" s="145" t="str">
        <f>IF($I845&lt;&gt;"",INDEX('Device Refrigerant Leakage'!$D$2:$D$42,MATCH($M845,'Device Refrigerant Leakage'!$B$2:$B$42,0))*CP845/2204.62*CO845,"")</f>
        <v/>
      </c>
      <c r="CT845" s="145" t="str">
        <f>IF($I845&lt;&gt;"",J845*(INDEX('Device Refrigerant Leakage'!$D$2:$D$42,MATCH($M845,'Device Refrigerant Leakage'!$B$2:$B$42,0))-(INDEX('Device Refrigerant Leakage'!$D$2:$D$42,MATCH($M845,'Device Refrigerant Leakage'!$B$2:$B$42,0)))*CR845*CP845)*CQ845/2204.62*CO845,"")</f>
        <v/>
      </c>
      <c r="CU845" s="135" t="str">
        <f>IF($I845&lt;&gt;"",J845*IF(W845&lt;&gt;"AR",(CS845*K845)+CT845,(CS845*AB845)+CT845*(AB845/INDEX('Device Refrigerant Leakage'!$C$2:$C$42,MATCH($M845,'Device Refrigerant Leakage'!$B$2:$B$42,0)))),"")</f>
        <v/>
      </c>
      <c r="CW845" s="135" t="str">
        <f>IF($I845&lt;&gt;"",IF(S845="User Specified",V845,INDEX('Refrigerant GWPs'!$G$2:$G$156,MATCH(S845,'Refrigerant GWPs'!$A$2:$A$157,0))),"")</f>
        <v/>
      </c>
      <c r="CX845" s="138" t="str">
        <f>IF($I845&lt;&gt;"",INDEX('Device Refrigerant Leakage'!$E$2:$E$42,MATCH($Q845,'Device Refrigerant Leakage'!$B$2:$B$42,0)),"")</f>
        <v/>
      </c>
      <c r="CY845" s="138" t="str">
        <f>IF($I845&lt;&gt;"",INDEX('Device Refrigerant Leakage'!$F$2:$F$42,MATCH($Q845,'Device Refrigerant Leakage'!$B$2:$B$42,0)),"")</f>
        <v/>
      </c>
      <c r="CZ845" s="145" t="str">
        <f>IF($I845&lt;&gt;"",INDEX('Device Refrigerant Leakage'!$G$2:$G$42,MATCH($Q845,'Device Refrigerant Leakage'!$B$2:$B$42,0)),"")</f>
        <v/>
      </c>
      <c r="DA845" s="145" t="str">
        <f>IF($I845&lt;&gt;"",J845*INDEX('Device Refrigerant Leakage'!$D$2:$D$42,MATCH($Q845,'Device Refrigerant Leakage'!$B$2:$B$42,0))*CX845/2204.62*CW845,"")</f>
        <v/>
      </c>
      <c r="DB845" s="145" t="str">
        <f>IF($I845&lt;&gt;"",J845*(INDEX('Device Refrigerant Leakage'!$D$2:$D$42,MATCH($Q845,'Device Refrigerant Leakage'!$B$2:$B$42,0))-(INDEX('Device Refrigerant Leakage'!$D$2:$D$42,MATCH($Q845,'Device Refrigerant Leakage'!$B$2:$B$42,0)))*CZ845*CX845)*CY845/2204.62*CW845,"")</f>
        <v/>
      </c>
      <c r="DC845" s="135" t="str">
        <f t="shared" si="960"/>
        <v/>
      </c>
      <c r="DE845" s="146" t="str">
        <f>IF(W845&lt;&gt;"AR","",IF(Y845="User Specified", AA845, INDEX('Refrigerant GWPs'!$G$2:$G$154,MATCH(Y845,'Refrigerant GWPs'!$A$2:$A$154,0))))</f>
        <v/>
      </c>
      <c r="DF845" s="146" t="str">
        <f>IF(W845&lt;&gt;"AR","",INDEX('Device Refrigerant Leakage'!$E$2:$E$42,MATCH(X845,'Device Refrigerant Leakage'!$B$2:$B$42,0)))</f>
        <v/>
      </c>
      <c r="DG845" s="146" t="str">
        <f>IF(W845&lt;&gt;"AR","",INDEX('Device Refrigerant Leakage'!$F$2:$F$42,MATCH(X845,'Device Refrigerant Leakage'!$B$2:$B$42,0)))</f>
        <v/>
      </c>
      <c r="DH845" s="146" t="str">
        <f>IF(W845&lt;&gt;"AR","",INDEX('Device Refrigerant Leakage'!$G$2:$G$42,MATCH(X845,'Device Refrigerant Leakage'!$B$2:$B$42,0)))</f>
        <v/>
      </c>
      <c r="DI845" s="146" t="str">
        <f>IF(W845&lt;&gt;"AR","",J845*INDEX('Device Refrigerant Leakage'!$D$2:$D$42,MATCH(X845,'Device Refrigerant Leakage'!$B$2:$B$42,0))*DF845/2204.62*DE845)</f>
        <v/>
      </c>
      <c r="DJ845" s="146" t="str">
        <f>IF(W845&lt;&gt;"AR","",J845*(INDEX('Device Refrigerant Leakage'!$D$2:$D$42,MATCH(X845,'Device Refrigerant Leakage'!$B$2:$B$42,0))-(INDEX('Device Refrigerant Leakage'!$D$2:$D$42,MATCH(X845,'Device Refrigerant Leakage'!$B$2:$B$42,0)))*DH845*DF845)*DG845/2204.62*DE845)</f>
        <v/>
      </c>
      <c r="DK845" s="146" t="str">
        <f>IF(W845&lt;&gt;"AR","",DI845*(K845-AB845)+'Fuel Sub Calcs-Deemed'!DJ845*((K845-AB845)/INDEX('Device Refrigerant Leakage'!$C$2:$C$42,MATCH('Fuel Sub Calcs-Deemed'!X845,'Device Refrigerant Leakage'!$B$2:$B$42,0))))</f>
        <v/>
      </c>
      <c r="DM845" s="56">
        <v>831</v>
      </c>
      <c r="DN845" s="67" t="e">
        <f t="shared" si="942"/>
        <v>#N/A</v>
      </c>
      <c r="DO845" s="45" t="e">
        <f t="shared" si="943"/>
        <v>#N/A</v>
      </c>
      <c r="DP845" s="67" t="e">
        <f t="shared" si="944"/>
        <v>#N/A</v>
      </c>
      <c r="DQ845" s="45" t="e">
        <f t="shared" si="945"/>
        <v>#N/A</v>
      </c>
      <c r="DR845" s="69" t="e">
        <f t="shared" si="946"/>
        <v>#N/A</v>
      </c>
      <c r="DS845" s="34"/>
      <c r="DT845" s="67" t="e">
        <f>((BX845*CJ845)+IF($W845=MAT_AR,(BZ845*CL845),0))*(1+Reference!$E$50+Reference!$E$51)</f>
        <v>#N/A</v>
      </c>
      <c r="DU845" s="67">
        <f>((BY845*CK845)+IF($W845=MAT_AR,(CA845*CM845),0))*(1+Reference!$G$50+Reference!$G$51)</f>
        <v>0</v>
      </c>
      <c r="DV845" s="67" t="e">
        <f t="shared" si="947"/>
        <v>#VALUE!</v>
      </c>
      <c r="DX845" s="56">
        <v>831</v>
      </c>
      <c r="DY845" s="67">
        <f t="shared" si="948"/>
        <v>0</v>
      </c>
      <c r="DZ845" s="45" t="e">
        <f>VLOOKUP($R845,Dropdown!$C$3:$D$4,2,FALSE)</f>
        <v>#N/A</v>
      </c>
      <c r="EA845" s="68">
        <f t="shared" si="949"/>
        <v>0</v>
      </c>
      <c r="EB845" s="68" t="str">
        <f t="shared" si="950"/>
        <v>N/A</v>
      </c>
      <c r="EC845" s="68">
        <f t="shared" si="951"/>
        <v>0</v>
      </c>
      <c r="ED845" s="68" t="str">
        <f t="shared" si="989"/>
        <v>N/A</v>
      </c>
      <c r="EF845" s="56">
        <v>831</v>
      </c>
      <c r="EG845" s="46">
        <f t="shared" si="952"/>
        <v>0</v>
      </c>
      <c r="EH845" s="68" t="e">
        <f t="shared" si="953"/>
        <v>#N/A</v>
      </c>
      <c r="EI845" s="68" t="e">
        <f t="shared" si="954"/>
        <v>#N/A</v>
      </c>
      <c r="EJ845" s="68" t="e">
        <f t="shared" si="955"/>
        <v>#N/A</v>
      </c>
      <c r="EK845" s="68" t="e">
        <f t="shared" si="956"/>
        <v>#N/A</v>
      </c>
      <c r="EL845" s="46">
        <f t="shared" si="957"/>
        <v>0</v>
      </c>
      <c r="EM845" s="46">
        <f t="shared" si="958"/>
        <v>0</v>
      </c>
    </row>
    <row r="846" spans="1:143">
      <c r="A846" s="89"/>
      <c r="B846" s="89"/>
      <c r="C846" s="89"/>
      <c r="D846" s="89"/>
      <c r="E846" s="89"/>
      <c r="F846" s="89"/>
      <c r="G846" s="34"/>
      <c r="H846" s="56">
        <f t="shared" si="959"/>
        <v>832</v>
      </c>
      <c r="I846" s="165"/>
      <c r="J846" s="163"/>
      <c r="K846" s="163"/>
      <c r="L846" s="164"/>
      <c r="M846" s="155"/>
      <c r="N846" s="155"/>
      <c r="O846" s="144"/>
      <c r="P846" s="159" t="str">
        <f>IFERROR(IF(O846&lt;&gt;"User Specified",IF(O846&lt;&gt;"", INDEX('Refrigerant GWPs'!$G$2:$G$154,MATCH(O846,'Refrigerant GWPs'!$A$2:$A$154,0)),""),U846),0)</f>
        <v/>
      </c>
      <c r="Q846" s="155"/>
      <c r="R846" s="155"/>
      <c r="S846" s="144"/>
      <c r="T846" s="159" t="str">
        <f>IF(S846&lt;&gt;"User Specified",IF(AND(S846&lt;&gt;"User Specified",S846&lt;&gt;""), INDEX('Refrigerant GWPs'!$G$2:$G$154,MATCH(S846,'Refrigerant GWPs'!$A$2:$A$154,0)),""),V846)</f>
        <v/>
      </c>
      <c r="U846" s="144"/>
      <c r="V846" s="144"/>
      <c r="W846" s="155"/>
      <c r="X846" s="155"/>
      <c r="Y846" s="144"/>
      <c r="Z846" s="159" t="str">
        <f>IF(AND(Y846&lt;&gt;"User Specified",Y846&lt;&gt;""), INDEX('Refrigerant GWPs'!$G$2:$G$154,MATCH(Y846,'Refrigerant GWPs'!$A$2:$A$154,0)),"")</f>
        <v/>
      </c>
      <c r="AA846" s="155"/>
      <c r="AB846" s="156"/>
      <c r="AC846" s="66"/>
      <c r="AD846" s="66"/>
      <c r="AE846" s="66"/>
      <c r="AF846" s="66"/>
      <c r="AG846" s="66"/>
      <c r="AH846" s="66"/>
      <c r="AI846" s="34"/>
      <c r="AJ846" s="88">
        <f t="shared" si="922"/>
        <v>0</v>
      </c>
      <c r="AK846" s="88">
        <f t="shared" si="923"/>
        <v>0</v>
      </c>
      <c r="AL846" s="88">
        <v>0</v>
      </c>
      <c r="AM846" s="88">
        <v>0</v>
      </c>
      <c r="AN846" s="81" t="str">
        <f t="shared" si="961"/>
        <v/>
      </c>
      <c r="AO846" s="88">
        <f t="shared" si="924"/>
        <v>0</v>
      </c>
      <c r="AP846" s="88">
        <f t="shared" si="925"/>
        <v>0</v>
      </c>
      <c r="AQ846" s="81" t="str">
        <f t="shared" si="926"/>
        <v/>
      </c>
      <c r="AS846" s="41" t="b">
        <f t="shared" si="927"/>
        <v>1</v>
      </c>
      <c r="AT846" s="38">
        <f t="shared" si="928"/>
        <v>0</v>
      </c>
      <c r="AU846" s="60">
        <f t="shared" si="929"/>
        <v>0</v>
      </c>
      <c r="AV846" s="41">
        <f t="shared" si="930"/>
        <v>0</v>
      </c>
      <c r="AW846" s="41" t="b">
        <f t="shared" si="931"/>
        <v>0</v>
      </c>
      <c r="AX846" t="str">
        <f t="shared" si="932"/>
        <v>+00</v>
      </c>
      <c r="AY846" t="str">
        <f t="shared" si="933"/>
        <v>+00</v>
      </c>
      <c r="BA846" s="47" t="b">
        <f t="shared" si="962"/>
        <v>1</v>
      </c>
      <c r="BB846" s="42" t="b">
        <f t="shared" si="963"/>
        <v>1</v>
      </c>
      <c r="BC846" s="42" t="b">
        <f t="shared" si="964"/>
        <v>0</v>
      </c>
      <c r="BD846" s="42" t="b">
        <f t="shared" si="965"/>
        <v>0</v>
      </c>
      <c r="BE846" s="70">
        <f t="shared" si="966"/>
        <v>0</v>
      </c>
      <c r="BF846" s="70">
        <f t="shared" si="967"/>
        <v>0</v>
      </c>
      <c r="BG846" s="34"/>
      <c r="BI846" s="47" t="b">
        <f t="shared" si="968"/>
        <v>1</v>
      </c>
      <c r="BJ846" s="47" t="b">
        <f t="shared" si="969"/>
        <v>1</v>
      </c>
      <c r="BK846" s="42" t="b">
        <f t="shared" si="970"/>
        <v>0</v>
      </c>
      <c r="BL846" s="42" t="b">
        <f t="shared" si="971"/>
        <v>0</v>
      </c>
      <c r="BM846" s="42">
        <f t="shared" si="972"/>
        <v>0</v>
      </c>
      <c r="BN846" s="42">
        <f t="shared" si="973"/>
        <v>0</v>
      </c>
      <c r="BP846" t="e">
        <f t="shared" si="974"/>
        <v>#N/A</v>
      </c>
      <c r="BQ846" t="e">
        <f t="shared" si="975"/>
        <v>#N/A</v>
      </c>
      <c r="BR846" t="e">
        <f t="shared" si="976"/>
        <v>#N/A</v>
      </c>
      <c r="BT846" s="60">
        <f t="shared" si="977"/>
        <v>0</v>
      </c>
      <c r="BU846" s="60">
        <f t="shared" si="978"/>
        <v>0</v>
      </c>
      <c r="BV846" s="60">
        <f t="shared" si="979"/>
        <v>0</v>
      </c>
      <c r="BW846" s="60">
        <f t="shared" si="980"/>
        <v>0</v>
      </c>
      <c r="BX846" s="60">
        <f t="shared" si="981"/>
        <v>0</v>
      </c>
      <c r="BY846" s="60">
        <f t="shared" si="982"/>
        <v>0</v>
      </c>
      <c r="BZ846" s="60">
        <f t="shared" si="983"/>
        <v>0</v>
      </c>
      <c r="CA846" s="60">
        <f t="shared" si="984"/>
        <v>0</v>
      </c>
      <c r="CB846" s="60" t="e">
        <f t="shared" si="934"/>
        <v>#N/A</v>
      </c>
      <c r="CC846" s="60">
        <f t="shared" si="935"/>
        <v>100000</v>
      </c>
      <c r="CD846" s="60" t="e">
        <f t="shared" si="936"/>
        <v>#N/A</v>
      </c>
      <c r="CE846" s="60">
        <f t="shared" si="937"/>
        <v>100000</v>
      </c>
      <c r="CF846" s="83" t="e">
        <f t="shared" si="985"/>
        <v>#N/A</v>
      </c>
      <c r="CG846" s="83">
        <f t="shared" si="986"/>
        <v>0</v>
      </c>
      <c r="CH846" s="83" t="e">
        <f t="shared" si="987"/>
        <v>#N/A</v>
      </c>
      <c r="CI846" s="83">
        <f t="shared" si="988"/>
        <v>0</v>
      </c>
      <c r="CJ846" s="86" t="e">
        <f t="shared" si="938"/>
        <v>#N/A</v>
      </c>
      <c r="CK846" s="82">
        <f t="shared" si="939"/>
        <v>5.3070370403969858E-3</v>
      </c>
      <c r="CL846" s="82" t="e">
        <f t="shared" si="940"/>
        <v>#N/A</v>
      </c>
      <c r="CM846" s="82">
        <f t="shared" si="941"/>
        <v>5.3070370403969858E-3</v>
      </c>
      <c r="CO846" s="149" t="str">
        <f>IF($I846&lt;&gt;"",IF(O846="User Specified",U846,INDEX('Refrigerant GWPs'!$G$2:$G$156,MATCH(O846,'Refrigerant GWPs'!$A$2:$A$156,0))),"")</f>
        <v/>
      </c>
      <c r="CP846" s="138" t="str">
        <f>IF($I846&lt;&gt;"",INDEX('Device Refrigerant Leakage'!$E$2:$E$42,MATCH($M846,'Device Refrigerant Leakage'!$B$2:$B$42,0)),"")</f>
        <v/>
      </c>
      <c r="CQ846" s="138" t="str">
        <f>IF($I846&lt;&gt;"",INDEX('Device Refrigerant Leakage'!$F$2:$F$42,MATCH($M846,'Device Refrigerant Leakage'!$B$2:$B$42,0)),"")</f>
        <v/>
      </c>
      <c r="CR846" s="145" t="str">
        <f>IF($I846&lt;&gt;"",INDEX('Device Refrigerant Leakage'!$G$2:$G$42,MATCH($M846,'Device Refrigerant Leakage'!$B$2:$B$42,0)),"")</f>
        <v/>
      </c>
      <c r="CS846" s="145" t="str">
        <f>IF($I846&lt;&gt;"",INDEX('Device Refrigerant Leakage'!$D$2:$D$42,MATCH($M846,'Device Refrigerant Leakage'!$B$2:$B$42,0))*CP846/2204.62*CO846,"")</f>
        <v/>
      </c>
      <c r="CT846" s="145" t="str">
        <f>IF($I846&lt;&gt;"",J846*(INDEX('Device Refrigerant Leakage'!$D$2:$D$42,MATCH($M846,'Device Refrigerant Leakage'!$B$2:$B$42,0))-(INDEX('Device Refrigerant Leakage'!$D$2:$D$42,MATCH($M846,'Device Refrigerant Leakage'!$B$2:$B$42,0)))*CR846*CP846)*CQ846/2204.62*CO846,"")</f>
        <v/>
      </c>
      <c r="CU846" s="135" t="str">
        <f>IF($I846&lt;&gt;"",J846*IF(W846&lt;&gt;"AR",(CS846*K846)+CT846,(CS846*AB846)+CT846*(AB846/INDEX('Device Refrigerant Leakage'!$C$2:$C$42,MATCH($M846,'Device Refrigerant Leakage'!$B$2:$B$42,0)))),"")</f>
        <v/>
      </c>
      <c r="CW846" s="135" t="str">
        <f>IF($I846&lt;&gt;"",IF(S846="User Specified",V846,INDEX('Refrigerant GWPs'!$G$2:$G$156,MATCH(S846,'Refrigerant GWPs'!$A$2:$A$157,0))),"")</f>
        <v/>
      </c>
      <c r="CX846" s="138" t="str">
        <f>IF($I846&lt;&gt;"",INDEX('Device Refrigerant Leakage'!$E$2:$E$42,MATCH($Q846,'Device Refrigerant Leakage'!$B$2:$B$42,0)),"")</f>
        <v/>
      </c>
      <c r="CY846" s="138" t="str">
        <f>IF($I846&lt;&gt;"",INDEX('Device Refrigerant Leakage'!$F$2:$F$42,MATCH($Q846,'Device Refrigerant Leakage'!$B$2:$B$42,0)),"")</f>
        <v/>
      </c>
      <c r="CZ846" s="145" t="str">
        <f>IF($I846&lt;&gt;"",INDEX('Device Refrigerant Leakage'!$G$2:$G$42,MATCH($Q846,'Device Refrigerant Leakage'!$B$2:$B$42,0)),"")</f>
        <v/>
      </c>
      <c r="DA846" s="145" t="str">
        <f>IF($I846&lt;&gt;"",J846*INDEX('Device Refrigerant Leakage'!$D$2:$D$42,MATCH($Q846,'Device Refrigerant Leakage'!$B$2:$B$42,0))*CX846/2204.62*CW846,"")</f>
        <v/>
      </c>
      <c r="DB846" s="145" t="str">
        <f>IF($I846&lt;&gt;"",J846*(INDEX('Device Refrigerant Leakage'!$D$2:$D$42,MATCH($Q846,'Device Refrigerant Leakage'!$B$2:$B$42,0))-(INDEX('Device Refrigerant Leakage'!$D$2:$D$42,MATCH($Q846,'Device Refrigerant Leakage'!$B$2:$B$42,0)))*CZ846*CX846)*CY846/2204.62*CW846,"")</f>
        <v/>
      </c>
      <c r="DC846" s="135" t="str">
        <f t="shared" si="960"/>
        <v/>
      </c>
      <c r="DE846" s="146" t="str">
        <f>IF(W846&lt;&gt;"AR","",IF(Y846="User Specified", AA846, INDEX('Refrigerant GWPs'!$G$2:$G$154,MATCH(Y846,'Refrigerant GWPs'!$A$2:$A$154,0))))</f>
        <v/>
      </c>
      <c r="DF846" s="146" t="str">
        <f>IF(W846&lt;&gt;"AR","",INDEX('Device Refrigerant Leakage'!$E$2:$E$42,MATCH(X846,'Device Refrigerant Leakage'!$B$2:$B$42,0)))</f>
        <v/>
      </c>
      <c r="DG846" s="146" t="str">
        <f>IF(W846&lt;&gt;"AR","",INDEX('Device Refrigerant Leakage'!$F$2:$F$42,MATCH(X846,'Device Refrigerant Leakage'!$B$2:$B$42,0)))</f>
        <v/>
      </c>
      <c r="DH846" s="146" t="str">
        <f>IF(W846&lt;&gt;"AR","",INDEX('Device Refrigerant Leakage'!$G$2:$G$42,MATCH(X846,'Device Refrigerant Leakage'!$B$2:$B$42,0)))</f>
        <v/>
      </c>
      <c r="DI846" s="146" t="str">
        <f>IF(W846&lt;&gt;"AR","",J846*INDEX('Device Refrigerant Leakage'!$D$2:$D$42,MATCH(X846,'Device Refrigerant Leakage'!$B$2:$B$42,0))*DF846/2204.62*DE846)</f>
        <v/>
      </c>
      <c r="DJ846" s="146" t="str">
        <f>IF(W846&lt;&gt;"AR","",J846*(INDEX('Device Refrigerant Leakage'!$D$2:$D$42,MATCH(X846,'Device Refrigerant Leakage'!$B$2:$B$42,0))-(INDEX('Device Refrigerant Leakage'!$D$2:$D$42,MATCH(X846,'Device Refrigerant Leakage'!$B$2:$B$42,0)))*DH846*DF846)*DG846/2204.62*DE846)</f>
        <v/>
      </c>
      <c r="DK846" s="146" t="str">
        <f>IF(W846&lt;&gt;"AR","",DI846*(K846-AB846)+'Fuel Sub Calcs-Deemed'!DJ846*((K846-AB846)/INDEX('Device Refrigerant Leakage'!$C$2:$C$42,MATCH('Fuel Sub Calcs-Deemed'!X846,'Device Refrigerant Leakage'!$B$2:$B$42,0))))</f>
        <v/>
      </c>
      <c r="DM846" s="56">
        <v>832</v>
      </c>
      <c r="DN846" s="67" t="e">
        <f t="shared" si="942"/>
        <v>#N/A</v>
      </c>
      <c r="DO846" s="45" t="e">
        <f t="shared" si="943"/>
        <v>#N/A</v>
      </c>
      <c r="DP846" s="67" t="e">
        <f t="shared" si="944"/>
        <v>#N/A</v>
      </c>
      <c r="DQ846" s="45" t="e">
        <f t="shared" si="945"/>
        <v>#N/A</v>
      </c>
      <c r="DR846" s="69" t="e">
        <f t="shared" si="946"/>
        <v>#N/A</v>
      </c>
      <c r="DS846" s="34"/>
      <c r="DT846" s="67" t="e">
        <f>((BX846*CJ846)+IF($W846=MAT_AR,(BZ846*CL846),0))*(1+Reference!$E$50+Reference!$E$51)</f>
        <v>#N/A</v>
      </c>
      <c r="DU846" s="67">
        <f>((BY846*CK846)+IF($W846=MAT_AR,(CA846*CM846),0))*(1+Reference!$G$50+Reference!$G$51)</f>
        <v>0</v>
      </c>
      <c r="DV846" s="67" t="e">
        <f t="shared" si="947"/>
        <v>#VALUE!</v>
      </c>
      <c r="DX846" s="56">
        <v>832</v>
      </c>
      <c r="DY846" s="67">
        <f t="shared" si="948"/>
        <v>0</v>
      </c>
      <c r="DZ846" s="45" t="e">
        <f>VLOOKUP($R846,Dropdown!$C$3:$D$4,2,FALSE)</f>
        <v>#N/A</v>
      </c>
      <c r="EA846" s="68">
        <f t="shared" si="949"/>
        <v>0</v>
      </c>
      <c r="EB846" s="68" t="str">
        <f t="shared" si="950"/>
        <v>N/A</v>
      </c>
      <c r="EC846" s="68">
        <f t="shared" si="951"/>
        <v>0</v>
      </c>
      <c r="ED846" s="68" t="str">
        <f t="shared" si="989"/>
        <v>N/A</v>
      </c>
      <c r="EF846" s="56">
        <v>832</v>
      </c>
      <c r="EG846" s="46">
        <f t="shared" si="952"/>
        <v>0</v>
      </c>
      <c r="EH846" s="68" t="e">
        <f t="shared" si="953"/>
        <v>#N/A</v>
      </c>
      <c r="EI846" s="68" t="e">
        <f t="shared" si="954"/>
        <v>#N/A</v>
      </c>
      <c r="EJ846" s="68" t="e">
        <f t="shared" si="955"/>
        <v>#N/A</v>
      </c>
      <c r="EK846" s="68" t="e">
        <f t="shared" si="956"/>
        <v>#N/A</v>
      </c>
      <c r="EL846" s="46">
        <f t="shared" si="957"/>
        <v>0</v>
      </c>
      <c r="EM846" s="46">
        <f t="shared" si="958"/>
        <v>0</v>
      </c>
    </row>
    <row r="847" spans="1:143">
      <c r="A847" s="89"/>
      <c r="B847" s="89"/>
      <c r="C847" s="89"/>
      <c r="D847" s="89"/>
      <c r="E847" s="89"/>
      <c r="F847" s="89"/>
      <c r="G847" s="34"/>
      <c r="H847" s="56">
        <f t="shared" si="959"/>
        <v>833</v>
      </c>
      <c r="I847" s="165"/>
      <c r="J847" s="163"/>
      <c r="K847" s="163"/>
      <c r="L847" s="164"/>
      <c r="M847" s="155"/>
      <c r="N847" s="155"/>
      <c r="O847" s="144"/>
      <c r="P847" s="159" t="str">
        <f>IFERROR(IF(O847&lt;&gt;"User Specified",IF(O847&lt;&gt;"", INDEX('Refrigerant GWPs'!$G$2:$G$154,MATCH(O847,'Refrigerant GWPs'!$A$2:$A$154,0)),""),U847),0)</f>
        <v/>
      </c>
      <c r="Q847" s="155"/>
      <c r="R847" s="155"/>
      <c r="S847" s="144"/>
      <c r="T847" s="159" t="str">
        <f>IF(S847&lt;&gt;"User Specified",IF(AND(S847&lt;&gt;"User Specified",S847&lt;&gt;""), INDEX('Refrigerant GWPs'!$G$2:$G$154,MATCH(S847,'Refrigerant GWPs'!$A$2:$A$154,0)),""),V847)</f>
        <v/>
      </c>
      <c r="U847" s="144"/>
      <c r="V847" s="144"/>
      <c r="W847" s="155"/>
      <c r="X847" s="155"/>
      <c r="Y847" s="144"/>
      <c r="Z847" s="159" t="str">
        <f>IF(AND(Y847&lt;&gt;"User Specified",Y847&lt;&gt;""), INDEX('Refrigerant GWPs'!$G$2:$G$154,MATCH(Y847,'Refrigerant GWPs'!$A$2:$A$154,0)),"")</f>
        <v/>
      </c>
      <c r="AA847" s="155"/>
      <c r="AB847" s="156"/>
      <c r="AC847" s="66"/>
      <c r="AD847" s="66"/>
      <c r="AE847" s="66"/>
      <c r="AF847" s="66"/>
      <c r="AG847" s="66"/>
      <c r="AH847" s="66"/>
      <c r="AI847" s="34"/>
      <c r="AJ847" s="88">
        <f t="shared" ref="AJ847:AJ910" si="990">IF($W847=MAT_AR,AC847,AF847)</f>
        <v>0</v>
      </c>
      <c r="AK847" s="88">
        <f t="shared" ref="AK847:AK910" si="991">IF($W847=MAT_AR,AE847,AH847)</f>
        <v>0</v>
      </c>
      <c r="AL847" s="88">
        <v>0</v>
      </c>
      <c r="AM847" s="88">
        <v>0</v>
      </c>
      <c r="AN847" s="81" t="str">
        <f t="shared" si="961"/>
        <v/>
      </c>
      <c r="AO847" s="88">
        <f t="shared" ref="AO847:AO910" si="992">IF($W847=MAT_AR,AF847,0)</f>
        <v>0</v>
      </c>
      <c r="AP847" s="88">
        <f t="shared" ref="AP847:AP910" si="993">IF($W847=MAT_AR,AH847,0)</f>
        <v>0</v>
      </c>
      <c r="AQ847" s="81" t="str">
        <f t="shared" ref="AQ847:AQ910" si="994">IF(AND(W847=MAT_AR,OR(BK847:BL847)),"Warning: Need to enter baseline and measure consumption","")</f>
        <v/>
      </c>
      <c r="AS847" s="41" t="b">
        <f t="shared" ref="AS847:AS910" si="995">NOT(W847=MAT_AR)</f>
        <v>1</v>
      </c>
      <c r="AT847" s="38">
        <f t="shared" ref="AT847:AT910" si="996">IF(W847=MAT_AR,AB847,K847)</f>
        <v>0</v>
      </c>
      <c r="AU847" s="60">
        <f t="shared" ref="AU847:AU910" si="997">K847-AT847</f>
        <v>0</v>
      </c>
      <c r="AV847" s="41">
        <f t="shared" ref="AV847:AV910" si="998">IF(W847=MAT_AR,AB847,0)</f>
        <v>0</v>
      </c>
      <c r="AW847" s="41" t="b">
        <f t="shared" ref="AW847:AW910" si="999">AND(NOT(ISBLANK(I847)),NOT(ISBLANK(J847)),NOT(ISBLANK(K847)),NOT(ISBLANK(L847)),NOT(ISBLANK(N847)),NOT(ISBLANK(R847)),NOT(OR(BC847:BD847)),NOT(ISBLANK(W847)))</f>
        <v>0</v>
      </c>
      <c r="AX847" t="str">
        <f t="shared" ref="AX847:AX910" si="1000">$L847&amp;"+"&amp;TEXT(ROUND($AT847,0),"00")</f>
        <v>+00</v>
      </c>
      <c r="AY847" t="str">
        <f t="shared" ref="AY847:AY910" si="1001">TEXT(ROUND($L847+$AT847,0),"#")&amp;"+"&amp;TEXT(ROUND($AU847,0),"00")</f>
        <v>+00</v>
      </c>
      <c r="BA847" s="47" t="b">
        <f t="shared" si="962"/>
        <v>1</v>
      </c>
      <c r="BB847" s="42" t="b">
        <f t="shared" si="963"/>
        <v>1</v>
      </c>
      <c r="BC847" s="42" t="b">
        <f t="shared" si="964"/>
        <v>0</v>
      </c>
      <c r="BD847" s="42" t="b">
        <f t="shared" si="965"/>
        <v>0</v>
      </c>
      <c r="BE847" s="70">
        <f t="shared" si="966"/>
        <v>0</v>
      </c>
      <c r="BF847" s="70">
        <f t="shared" si="967"/>
        <v>0</v>
      </c>
      <c r="BG847" s="34"/>
      <c r="BI847" s="47" t="b">
        <f t="shared" si="968"/>
        <v>1</v>
      </c>
      <c r="BJ847" s="47" t="b">
        <f t="shared" si="969"/>
        <v>1</v>
      </c>
      <c r="BK847" s="42" t="b">
        <f t="shared" si="970"/>
        <v>0</v>
      </c>
      <c r="BL847" s="42" t="b">
        <f t="shared" si="971"/>
        <v>0</v>
      </c>
      <c r="BM847" s="42">
        <f t="shared" si="972"/>
        <v>0</v>
      </c>
      <c r="BN847" s="42">
        <f t="shared" si="973"/>
        <v>0</v>
      </c>
      <c r="BP847" t="e">
        <f t="shared" si="974"/>
        <v>#N/A</v>
      </c>
      <c r="BQ847" t="e">
        <f t="shared" si="975"/>
        <v>#N/A</v>
      </c>
      <c r="BR847" t="e">
        <f t="shared" si="976"/>
        <v>#N/A</v>
      </c>
      <c r="BT847" s="60">
        <f t="shared" si="977"/>
        <v>0</v>
      </c>
      <c r="BU847" s="60">
        <f t="shared" si="978"/>
        <v>0</v>
      </c>
      <c r="BV847" s="60">
        <f t="shared" si="979"/>
        <v>0</v>
      </c>
      <c r="BW847" s="60">
        <f t="shared" si="980"/>
        <v>0</v>
      </c>
      <c r="BX847" s="60">
        <f t="shared" si="981"/>
        <v>0</v>
      </c>
      <c r="BY847" s="60">
        <f t="shared" si="982"/>
        <v>0</v>
      </c>
      <c r="BZ847" s="60">
        <f t="shared" si="983"/>
        <v>0</v>
      </c>
      <c r="CA847" s="60">
        <f t="shared" si="984"/>
        <v>0</v>
      </c>
      <c r="CB847" s="60" t="e">
        <f t="shared" ref="CB847:CB910" si="1002">INDEX(AFL_Source_Energy_Btu_per_kWh,MATCH($AX847,AFL_IndexB,0))</f>
        <v>#N/A</v>
      </c>
      <c r="CC847" s="60">
        <f t="shared" ref="CC847:CC910" si="1003">Btu_therm</f>
        <v>100000</v>
      </c>
      <c r="CD847" s="60" t="e">
        <f t="shared" ref="CD847:CD910" si="1004">INDEX(AFL_Source_Energy_Btu_per_kWh,MATCH($AY847,AFL_IndexB,0))</f>
        <v>#N/A</v>
      </c>
      <c r="CE847" s="60">
        <f t="shared" ref="CE847:CE910" si="1005">Btu_therm</f>
        <v>100000</v>
      </c>
      <c r="CF847" s="83" t="e">
        <f t="shared" si="985"/>
        <v>#N/A</v>
      </c>
      <c r="CG847" s="83">
        <f t="shared" si="986"/>
        <v>0</v>
      </c>
      <c r="CH847" s="83" t="e">
        <f t="shared" si="987"/>
        <v>#N/A</v>
      </c>
      <c r="CI847" s="83">
        <f t="shared" si="988"/>
        <v>0</v>
      </c>
      <c r="CJ847" s="86" t="e">
        <f t="shared" ref="CJ847:CJ910" si="1006">INDEX(AFL_Emissions_Intensity_metric_tonnes_per_MWh,MATCH($AX847,AFL_IndexB,0))/1000</f>
        <v>#N/A</v>
      </c>
      <c r="CK847" s="82">
        <f t="shared" ref="CK847:CK910" si="1007">NG_metric_tonne_CO2_therm</f>
        <v>5.3070370403969858E-3</v>
      </c>
      <c r="CL847" s="82" t="e">
        <f t="shared" ref="CL847:CL910" si="1008">INDEX(AFL_Emissions_Intensity_metric_tonnes_per_MWh,MATCH($AY847,AFL_IndexB,0))/1000</f>
        <v>#N/A</v>
      </c>
      <c r="CM847" s="82">
        <f t="shared" ref="CM847:CM910" si="1009">NG_metric_tonne_CO2_therm</f>
        <v>5.3070370403969858E-3</v>
      </c>
      <c r="CO847" s="149" t="str">
        <f>IF($I847&lt;&gt;"",IF(O847="User Specified",U847,INDEX('Refrigerant GWPs'!$G$2:$G$156,MATCH(O847,'Refrigerant GWPs'!$A$2:$A$156,0))),"")</f>
        <v/>
      </c>
      <c r="CP847" s="138" t="str">
        <f>IF($I847&lt;&gt;"",INDEX('Device Refrigerant Leakage'!$E$2:$E$42,MATCH($M847,'Device Refrigerant Leakage'!$B$2:$B$42,0)),"")</f>
        <v/>
      </c>
      <c r="CQ847" s="138" t="str">
        <f>IF($I847&lt;&gt;"",INDEX('Device Refrigerant Leakage'!$F$2:$F$42,MATCH($M847,'Device Refrigerant Leakage'!$B$2:$B$42,0)),"")</f>
        <v/>
      </c>
      <c r="CR847" s="145" t="str">
        <f>IF($I847&lt;&gt;"",INDEX('Device Refrigerant Leakage'!$G$2:$G$42,MATCH($M847,'Device Refrigerant Leakage'!$B$2:$B$42,0)),"")</f>
        <v/>
      </c>
      <c r="CS847" s="145" t="str">
        <f>IF($I847&lt;&gt;"",INDEX('Device Refrigerant Leakage'!$D$2:$D$42,MATCH($M847,'Device Refrigerant Leakage'!$B$2:$B$42,0))*CP847/2204.62*CO847,"")</f>
        <v/>
      </c>
      <c r="CT847" s="145" t="str">
        <f>IF($I847&lt;&gt;"",J847*(INDEX('Device Refrigerant Leakage'!$D$2:$D$42,MATCH($M847,'Device Refrigerant Leakage'!$B$2:$B$42,0))-(INDEX('Device Refrigerant Leakage'!$D$2:$D$42,MATCH($M847,'Device Refrigerant Leakage'!$B$2:$B$42,0)))*CR847*CP847)*CQ847/2204.62*CO847,"")</f>
        <v/>
      </c>
      <c r="CU847" s="135" t="str">
        <f>IF($I847&lt;&gt;"",J847*IF(W847&lt;&gt;"AR",(CS847*K847)+CT847,(CS847*AB847)+CT847*(AB847/INDEX('Device Refrigerant Leakage'!$C$2:$C$42,MATCH($M847,'Device Refrigerant Leakage'!$B$2:$B$42,0)))),"")</f>
        <v/>
      </c>
      <c r="CW847" s="135" t="str">
        <f>IF($I847&lt;&gt;"",IF(S847="User Specified",V847,INDEX('Refrigerant GWPs'!$G$2:$G$156,MATCH(S847,'Refrigerant GWPs'!$A$2:$A$157,0))),"")</f>
        <v/>
      </c>
      <c r="CX847" s="138" t="str">
        <f>IF($I847&lt;&gt;"",INDEX('Device Refrigerant Leakage'!$E$2:$E$42,MATCH($Q847,'Device Refrigerant Leakage'!$B$2:$B$42,0)),"")</f>
        <v/>
      </c>
      <c r="CY847" s="138" t="str">
        <f>IF($I847&lt;&gt;"",INDEX('Device Refrigerant Leakage'!$F$2:$F$42,MATCH($Q847,'Device Refrigerant Leakage'!$B$2:$B$42,0)),"")</f>
        <v/>
      </c>
      <c r="CZ847" s="145" t="str">
        <f>IF($I847&lt;&gt;"",INDEX('Device Refrigerant Leakage'!$G$2:$G$42,MATCH($Q847,'Device Refrigerant Leakage'!$B$2:$B$42,0)),"")</f>
        <v/>
      </c>
      <c r="DA847" s="145" t="str">
        <f>IF($I847&lt;&gt;"",J847*INDEX('Device Refrigerant Leakage'!$D$2:$D$42,MATCH($Q847,'Device Refrigerant Leakage'!$B$2:$B$42,0))*CX847/2204.62*CW847,"")</f>
        <v/>
      </c>
      <c r="DB847" s="145" t="str">
        <f>IF($I847&lt;&gt;"",J847*(INDEX('Device Refrigerant Leakage'!$D$2:$D$42,MATCH($Q847,'Device Refrigerant Leakage'!$B$2:$B$42,0))-(INDEX('Device Refrigerant Leakage'!$D$2:$D$42,MATCH($Q847,'Device Refrigerant Leakage'!$B$2:$B$42,0)))*CZ847*CX847)*CY847/2204.62*CW847,"")</f>
        <v/>
      </c>
      <c r="DC847" s="135" t="str">
        <f t="shared" si="960"/>
        <v/>
      </c>
      <c r="DE847" s="146" t="str">
        <f>IF(W847&lt;&gt;"AR","",IF(Y847="User Specified", AA847, INDEX('Refrigerant GWPs'!$G$2:$G$154,MATCH(Y847,'Refrigerant GWPs'!$A$2:$A$154,0))))</f>
        <v/>
      </c>
      <c r="DF847" s="146" t="str">
        <f>IF(W847&lt;&gt;"AR","",INDEX('Device Refrigerant Leakage'!$E$2:$E$42,MATCH(X847,'Device Refrigerant Leakage'!$B$2:$B$42,0)))</f>
        <v/>
      </c>
      <c r="DG847" s="146" t="str">
        <f>IF(W847&lt;&gt;"AR","",INDEX('Device Refrigerant Leakage'!$F$2:$F$42,MATCH(X847,'Device Refrigerant Leakage'!$B$2:$B$42,0)))</f>
        <v/>
      </c>
      <c r="DH847" s="146" t="str">
        <f>IF(W847&lt;&gt;"AR","",INDEX('Device Refrigerant Leakage'!$G$2:$G$42,MATCH(X847,'Device Refrigerant Leakage'!$B$2:$B$42,0)))</f>
        <v/>
      </c>
      <c r="DI847" s="146" t="str">
        <f>IF(W847&lt;&gt;"AR","",J847*INDEX('Device Refrigerant Leakage'!$D$2:$D$42,MATCH(X847,'Device Refrigerant Leakage'!$B$2:$B$42,0))*DF847/2204.62*DE847)</f>
        <v/>
      </c>
      <c r="DJ847" s="146" t="str">
        <f>IF(W847&lt;&gt;"AR","",J847*(INDEX('Device Refrigerant Leakage'!$D$2:$D$42,MATCH(X847,'Device Refrigerant Leakage'!$B$2:$B$42,0))-(INDEX('Device Refrigerant Leakage'!$D$2:$D$42,MATCH(X847,'Device Refrigerant Leakage'!$B$2:$B$42,0)))*DH847*DF847)*DG847/2204.62*DE847)</f>
        <v/>
      </c>
      <c r="DK847" s="146" t="str">
        <f>IF(W847&lt;&gt;"AR","",DI847*(K847-AB847)+'Fuel Sub Calcs-Deemed'!DJ847*((K847-AB847)/INDEX('Device Refrigerant Leakage'!$C$2:$C$42,MATCH('Fuel Sub Calcs-Deemed'!X847,'Device Refrigerant Leakage'!$B$2:$B$42,0))))</f>
        <v/>
      </c>
      <c r="DM847" s="56">
        <v>833</v>
      </c>
      <c r="DN847" s="67" t="e">
        <f t="shared" ref="DN847:DN910" si="1010">(CB847*BX847+BY847*CE847)/10^6+IF($W847=MAT_AR,(BZ847*CD847+CA847*CE847)/10^6,0)</f>
        <v>#N/A</v>
      </c>
      <c r="DO847" s="45" t="e">
        <f t="shared" ref="DO847:DO910" si="1011">IF(BP847,"PASS","FAIL")</f>
        <v>#N/A</v>
      </c>
      <c r="DP847" s="67" t="e">
        <f t="shared" ref="DP847:DP910" si="1012">(DT847+DU847+DV847)</f>
        <v>#N/A</v>
      </c>
      <c r="DQ847" s="45" t="e">
        <f t="shared" ref="DQ847:DQ910" si="1013">IF(BQ847,"PASS","FAIL")</f>
        <v>#N/A</v>
      </c>
      <c r="DR847" s="69" t="e">
        <f t="shared" ref="DR847:DR910" si="1014">IF(BR847,"Eligible","Not eligible")</f>
        <v>#N/A</v>
      </c>
      <c r="DS847" s="34"/>
      <c r="DT847" s="67" t="e">
        <f>((BX847*CJ847)+IF($W847=MAT_AR,(BZ847*CL847),0))*(1+Reference!$E$50+Reference!$E$51)</f>
        <v>#N/A</v>
      </c>
      <c r="DU847" s="67">
        <f>((BY847*CK847)+IF($W847=MAT_AR,(CA847*CM847),0))*(1+Reference!$G$50+Reference!$G$51)</f>
        <v>0</v>
      </c>
      <c r="DV847" s="67" t="e">
        <f t="shared" ref="DV847:DV910" si="1015">IF(W847="NR",CU847-DC847,(CU847+DK847)-DC847)</f>
        <v>#VALUE!</v>
      </c>
      <c r="DX847" s="56">
        <v>833</v>
      </c>
      <c r="DY847" s="67">
        <f t="shared" ref="DY847:DY910" si="1016">(Btu_per_kWh*BT847+Btu_therm*BU847)/10^6</f>
        <v>0</v>
      </c>
      <c r="DZ847" s="45" t="e">
        <f>VLOOKUP($R847,Dropdown!$C$3:$D$4,2,FALSE)</f>
        <v>#N/A</v>
      </c>
      <c r="EA847" s="68">
        <f t="shared" ref="EA847:EA910" si="1017">IF($R847=fuel_electricity,$DY847*10^6/Btu_per_kWh,0)</f>
        <v>0</v>
      </c>
      <c r="EB847" s="68" t="str">
        <f t="shared" ref="EB847:EB910" si="1018">IF($R847=fuel_natural_gas,$DY847/MMBtu_per_therm,"N/A")</f>
        <v>N/A</v>
      </c>
      <c r="EC847" s="68">
        <f t="shared" ref="EC847:EC910" si="1019">IF($R847=fuel_electricity,"N/A",AJ847)</f>
        <v>0</v>
      </c>
      <c r="ED847" s="68" t="str">
        <f t="shared" si="989"/>
        <v>N/A</v>
      </c>
      <c r="EF847" s="56">
        <v>833</v>
      </c>
      <c r="EG847" s="46">
        <f t="shared" ref="EG847:EG910" si="1020">J847</f>
        <v>0</v>
      </c>
      <c r="EH847" s="68" t="e">
        <f t="shared" ref="EH847:EH910" si="1021">IF($BR847,BE847,0)</f>
        <v>#N/A</v>
      </c>
      <c r="EI847" s="68" t="e">
        <f t="shared" ref="EI847:EI910" si="1022">IF($BR847,BF847,0)</f>
        <v>#N/A</v>
      </c>
      <c r="EJ847" s="68" t="e">
        <f t="shared" ref="EJ847:EJ910" si="1023">IF($BR847,BM847,0)</f>
        <v>#N/A</v>
      </c>
      <c r="EK847" s="68" t="e">
        <f t="shared" ref="EK847:EK910" si="1024">IF($BR847,BN847,0)</f>
        <v>#N/A</v>
      </c>
      <c r="EL847" s="46">
        <f t="shared" ref="EL847:EL910" si="1025">K847</f>
        <v>0</v>
      </c>
      <c r="EM847" s="46">
        <f t="shared" ref="EM847:EM910" si="1026">AV847</f>
        <v>0</v>
      </c>
    </row>
    <row r="848" spans="1:143">
      <c r="A848" s="89"/>
      <c r="B848" s="89"/>
      <c r="C848" s="89"/>
      <c r="D848" s="89"/>
      <c r="E848" s="89"/>
      <c r="F848" s="89"/>
      <c r="G848" s="34"/>
      <c r="H848" s="56">
        <f t="shared" ref="H848:H911" si="1027">ROW($H848)-ROW($H$14)</f>
        <v>834</v>
      </c>
      <c r="I848" s="165"/>
      <c r="J848" s="163"/>
      <c r="K848" s="163"/>
      <c r="L848" s="164"/>
      <c r="M848" s="155"/>
      <c r="N848" s="155"/>
      <c r="O848" s="144"/>
      <c r="P848" s="159" t="str">
        <f>IFERROR(IF(O848&lt;&gt;"User Specified",IF(O848&lt;&gt;"", INDEX('Refrigerant GWPs'!$G$2:$G$154,MATCH(O848,'Refrigerant GWPs'!$A$2:$A$154,0)),""),U848),0)</f>
        <v/>
      </c>
      <c r="Q848" s="155"/>
      <c r="R848" s="155"/>
      <c r="S848" s="144"/>
      <c r="T848" s="159" t="str">
        <f>IF(S848&lt;&gt;"User Specified",IF(AND(S848&lt;&gt;"User Specified",S848&lt;&gt;""), INDEX('Refrigerant GWPs'!$G$2:$G$154,MATCH(S848,'Refrigerant GWPs'!$A$2:$A$154,0)),""),V848)</f>
        <v/>
      </c>
      <c r="U848" s="144"/>
      <c r="V848" s="144"/>
      <c r="W848" s="155"/>
      <c r="X848" s="155"/>
      <c r="Y848" s="144"/>
      <c r="Z848" s="159" t="str">
        <f>IF(AND(Y848&lt;&gt;"User Specified",Y848&lt;&gt;""), INDEX('Refrigerant GWPs'!$G$2:$G$154,MATCH(Y848,'Refrigerant GWPs'!$A$2:$A$154,0)),"")</f>
        <v/>
      </c>
      <c r="AA848" s="155"/>
      <c r="AB848" s="156"/>
      <c r="AC848" s="66"/>
      <c r="AD848" s="66"/>
      <c r="AE848" s="66"/>
      <c r="AF848" s="66"/>
      <c r="AG848" s="66"/>
      <c r="AH848" s="66"/>
      <c r="AI848" s="34"/>
      <c r="AJ848" s="88">
        <f t="shared" si="990"/>
        <v>0</v>
      </c>
      <c r="AK848" s="88">
        <f t="shared" si="991"/>
        <v>0</v>
      </c>
      <c r="AL848" s="88">
        <v>0</v>
      </c>
      <c r="AM848" s="88">
        <v>0</v>
      </c>
      <c r="AN848" s="81" t="str">
        <f t="shared" si="961"/>
        <v/>
      </c>
      <c r="AO848" s="88">
        <f t="shared" si="992"/>
        <v>0</v>
      </c>
      <c r="AP848" s="88">
        <f t="shared" si="993"/>
        <v>0</v>
      </c>
      <c r="AQ848" s="81" t="str">
        <f t="shared" si="994"/>
        <v/>
      </c>
      <c r="AS848" s="41" t="b">
        <f t="shared" si="995"/>
        <v>1</v>
      </c>
      <c r="AT848" s="38">
        <f t="shared" si="996"/>
        <v>0</v>
      </c>
      <c r="AU848" s="60">
        <f t="shared" si="997"/>
        <v>0</v>
      </c>
      <c r="AV848" s="41">
        <f t="shared" si="998"/>
        <v>0</v>
      </c>
      <c r="AW848" s="41" t="b">
        <f t="shared" si="999"/>
        <v>0</v>
      </c>
      <c r="AX848" t="str">
        <f t="shared" si="1000"/>
        <v>+00</v>
      </c>
      <c r="AY848" t="str">
        <f t="shared" si="1001"/>
        <v>+00</v>
      </c>
      <c r="BA848" s="47" t="b">
        <f t="shared" si="962"/>
        <v>1</v>
      </c>
      <c r="BB848" s="42" t="b">
        <f t="shared" si="963"/>
        <v>1</v>
      </c>
      <c r="BC848" s="42" t="b">
        <f t="shared" si="964"/>
        <v>0</v>
      </c>
      <c r="BD848" s="42" t="b">
        <f t="shared" si="965"/>
        <v>0</v>
      </c>
      <c r="BE848" s="70">
        <f t="shared" si="966"/>
        <v>0</v>
      </c>
      <c r="BF848" s="70">
        <f t="shared" si="967"/>
        <v>0</v>
      </c>
      <c r="BG848" s="34"/>
      <c r="BI848" s="47" t="b">
        <f t="shared" si="968"/>
        <v>1</v>
      </c>
      <c r="BJ848" s="47" t="b">
        <f t="shared" si="969"/>
        <v>1</v>
      </c>
      <c r="BK848" s="42" t="b">
        <f t="shared" si="970"/>
        <v>0</v>
      </c>
      <c r="BL848" s="42" t="b">
        <f t="shared" si="971"/>
        <v>0</v>
      </c>
      <c r="BM848" s="42">
        <f t="shared" si="972"/>
        <v>0</v>
      </c>
      <c r="BN848" s="42">
        <f t="shared" si="973"/>
        <v>0</v>
      </c>
      <c r="BP848" t="e">
        <f t="shared" si="974"/>
        <v>#N/A</v>
      </c>
      <c r="BQ848" t="e">
        <f t="shared" si="975"/>
        <v>#N/A</v>
      </c>
      <c r="BR848" t="e">
        <f t="shared" si="976"/>
        <v>#N/A</v>
      </c>
      <c r="BT848" s="60">
        <f t="shared" si="977"/>
        <v>0</v>
      </c>
      <c r="BU848" s="60">
        <f t="shared" si="978"/>
        <v>0</v>
      </c>
      <c r="BV848" s="60">
        <f t="shared" si="979"/>
        <v>0</v>
      </c>
      <c r="BW848" s="60">
        <f t="shared" si="980"/>
        <v>0</v>
      </c>
      <c r="BX848" s="60">
        <f t="shared" si="981"/>
        <v>0</v>
      </c>
      <c r="BY848" s="60">
        <f t="shared" si="982"/>
        <v>0</v>
      </c>
      <c r="BZ848" s="60">
        <f t="shared" si="983"/>
        <v>0</v>
      </c>
      <c r="CA848" s="60">
        <f t="shared" si="984"/>
        <v>0</v>
      </c>
      <c r="CB848" s="60" t="e">
        <f t="shared" si="1002"/>
        <v>#N/A</v>
      </c>
      <c r="CC848" s="60">
        <f t="shared" si="1003"/>
        <v>100000</v>
      </c>
      <c r="CD848" s="60" t="e">
        <f t="shared" si="1004"/>
        <v>#N/A</v>
      </c>
      <c r="CE848" s="60">
        <f t="shared" si="1005"/>
        <v>100000</v>
      </c>
      <c r="CF848" s="83" t="e">
        <f t="shared" si="985"/>
        <v>#N/A</v>
      </c>
      <c r="CG848" s="83">
        <f t="shared" si="986"/>
        <v>0</v>
      </c>
      <c r="CH848" s="83" t="e">
        <f t="shared" si="987"/>
        <v>#N/A</v>
      </c>
      <c r="CI848" s="83">
        <f t="shared" si="988"/>
        <v>0</v>
      </c>
      <c r="CJ848" s="86" t="e">
        <f t="shared" si="1006"/>
        <v>#N/A</v>
      </c>
      <c r="CK848" s="82">
        <f t="shared" si="1007"/>
        <v>5.3070370403969858E-3</v>
      </c>
      <c r="CL848" s="82" t="e">
        <f t="shared" si="1008"/>
        <v>#N/A</v>
      </c>
      <c r="CM848" s="82">
        <f t="shared" si="1009"/>
        <v>5.3070370403969858E-3</v>
      </c>
      <c r="CO848" s="149" t="str">
        <f>IF($I848&lt;&gt;"",IF(O848="User Specified",U848,INDEX('Refrigerant GWPs'!$G$2:$G$156,MATCH(O848,'Refrigerant GWPs'!$A$2:$A$156,0))),"")</f>
        <v/>
      </c>
      <c r="CP848" s="138" t="str">
        <f>IF($I848&lt;&gt;"",INDEX('Device Refrigerant Leakage'!$E$2:$E$42,MATCH($M848,'Device Refrigerant Leakage'!$B$2:$B$42,0)),"")</f>
        <v/>
      </c>
      <c r="CQ848" s="138" t="str">
        <f>IF($I848&lt;&gt;"",INDEX('Device Refrigerant Leakage'!$F$2:$F$42,MATCH($M848,'Device Refrigerant Leakage'!$B$2:$B$42,0)),"")</f>
        <v/>
      </c>
      <c r="CR848" s="145" t="str">
        <f>IF($I848&lt;&gt;"",INDEX('Device Refrigerant Leakage'!$G$2:$G$42,MATCH($M848,'Device Refrigerant Leakage'!$B$2:$B$42,0)),"")</f>
        <v/>
      </c>
      <c r="CS848" s="145" t="str">
        <f>IF($I848&lt;&gt;"",INDEX('Device Refrigerant Leakage'!$D$2:$D$42,MATCH($M848,'Device Refrigerant Leakage'!$B$2:$B$42,0))*CP848/2204.62*CO848,"")</f>
        <v/>
      </c>
      <c r="CT848" s="145" t="str">
        <f>IF($I848&lt;&gt;"",J848*(INDEX('Device Refrigerant Leakage'!$D$2:$D$42,MATCH($M848,'Device Refrigerant Leakage'!$B$2:$B$42,0))-(INDEX('Device Refrigerant Leakage'!$D$2:$D$42,MATCH($M848,'Device Refrigerant Leakage'!$B$2:$B$42,0)))*CR848*CP848)*CQ848/2204.62*CO848,"")</f>
        <v/>
      </c>
      <c r="CU848" s="135" t="str">
        <f>IF($I848&lt;&gt;"",J848*IF(W848&lt;&gt;"AR",(CS848*K848)+CT848,(CS848*AB848)+CT848*(AB848/INDEX('Device Refrigerant Leakage'!$C$2:$C$42,MATCH($M848,'Device Refrigerant Leakage'!$B$2:$B$42,0)))),"")</f>
        <v/>
      </c>
      <c r="CW848" s="135" t="str">
        <f>IF($I848&lt;&gt;"",IF(S848="User Specified",V848,INDEX('Refrigerant GWPs'!$G$2:$G$156,MATCH(S848,'Refrigerant GWPs'!$A$2:$A$157,0))),"")</f>
        <v/>
      </c>
      <c r="CX848" s="138" t="str">
        <f>IF($I848&lt;&gt;"",INDEX('Device Refrigerant Leakage'!$E$2:$E$42,MATCH($Q848,'Device Refrigerant Leakage'!$B$2:$B$42,0)),"")</f>
        <v/>
      </c>
      <c r="CY848" s="138" t="str">
        <f>IF($I848&lt;&gt;"",INDEX('Device Refrigerant Leakage'!$F$2:$F$42,MATCH($Q848,'Device Refrigerant Leakage'!$B$2:$B$42,0)),"")</f>
        <v/>
      </c>
      <c r="CZ848" s="145" t="str">
        <f>IF($I848&lt;&gt;"",INDEX('Device Refrigerant Leakage'!$G$2:$G$42,MATCH($Q848,'Device Refrigerant Leakage'!$B$2:$B$42,0)),"")</f>
        <v/>
      </c>
      <c r="DA848" s="145" t="str">
        <f>IF($I848&lt;&gt;"",J848*INDEX('Device Refrigerant Leakage'!$D$2:$D$42,MATCH($Q848,'Device Refrigerant Leakage'!$B$2:$B$42,0))*CX848/2204.62*CW848,"")</f>
        <v/>
      </c>
      <c r="DB848" s="145" t="str">
        <f>IF($I848&lt;&gt;"",J848*(INDEX('Device Refrigerant Leakage'!$D$2:$D$42,MATCH($Q848,'Device Refrigerant Leakage'!$B$2:$B$42,0))-(INDEX('Device Refrigerant Leakage'!$D$2:$D$42,MATCH($Q848,'Device Refrigerant Leakage'!$B$2:$B$42,0)))*CZ848*CX848)*CY848/2204.62*CW848,"")</f>
        <v/>
      </c>
      <c r="DC848" s="135" t="str">
        <f t="shared" ref="DC848:DC911" si="1028">IF($I848&lt;&gt;"",(DA848*K848)+DB848,"")</f>
        <v/>
      </c>
      <c r="DE848" s="146" t="str">
        <f>IF(W848&lt;&gt;"AR","",IF(Y848="User Specified", AA848, INDEX('Refrigerant GWPs'!$G$2:$G$154,MATCH(Y848,'Refrigerant GWPs'!$A$2:$A$154,0))))</f>
        <v/>
      </c>
      <c r="DF848" s="146" t="str">
        <f>IF(W848&lt;&gt;"AR","",INDEX('Device Refrigerant Leakage'!$E$2:$E$42,MATCH(X848,'Device Refrigerant Leakage'!$B$2:$B$42,0)))</f>
        <v/>
      </c>
      <c r="DG848" s="146" t="str">
        <f>IF(W848&lt;&gt;"AR","",INDEX('Device Refrigerant Leakage'!$F$2:$F$42,MATCH(X848,'Device Refrigerant Leakage'!$B$2:$B$42,0)))</f>
        <v/>
      </c>
      <c r="DH848" s="146" t="str">
        <f>IF(W848&lt;&gt;"AR","",INDEX('Device Refrigerant Leakage'!$G$2:$G$42,MATCH(X848,'Device Refrigerant Leakage'!$B$2:$B$42,0)))</f>
        <v/>
      </c>
      <c r="DI848" s="146" t="str">
        <f>IF(W848&lt;&gt;"AR","",J848*INDEX('Device Refrigerant Leakage'!$D$2:$D$42,MATCH(X848,'Device Refrigerant Leakage'!$B$2:$B$42,0))*DF848/2204.62*DE848)</f>
        <v/>
      </c>
      <c r="DJ848" s="146" t="str">
        <f>IF(W848&lt;&gt;"AR","",J848*(INDEX('Device Refrigerant Leakage'!$D$2:$D$42,MATCH(X848,'Device Refrigerant Leakage'!$B$2:$B$42,0))-(INDEX('Device Refrigerant Leakage'!$D$2:$D$42,MATCH(X848,'Device Refrigerant Leakage'!$B$2:$B$42,0)))*DH848*DF848)*DG848/2204.62*DE848)</f>
        <v/>
      </c>
      <c r="DK848" s="146" t="str">
        <f>IF(W848&lt;&gt;"AR","",DI848*(K848-AB848)+'Fuel Sub Calcs-Deemed'!DJ848*((K848-AB848)/INDEX('Device Refrigerant Leakage'!$C$2:$C$42,MATCH('Fuel Sub Calcs-Deemed'!X848,'Device Refrigerant Leakage'!$B$2:$B$42,0))))</f>
        <v/>
      </c>
      <c r="DM848" s="56">
        <v>834</v>
      </c>
      <c r="DN848" s="67" t="e">
        <f t="shared" si="1010"/>
        <v>#N/A</v>
      </c>
      <c r="DO848" s="45" t="e">
        <f t="shared" si="1011"/>
        <v>#N/A</v>
      </c>
      <c r="DP848" s="67" t="e">
        <f t="shared" si="1012"/>
        <v>#N/A</v>
      </c>
      <c r="DQ848" s="45" t="e">
        <f t="shared" si="1013"/>
        <v>#N/A</v>
      </c>
      <c r="DR848" s="69" t="e">
        <f t="shared" si="1014"/>
        <v>#N/A</v>
      </c>
      <c r="DS848" s="34"/>
      <c r="DT848" s="67" t="e">
        <f>((BX848*CJ848)+IF($W848=MAT_AR,(BZ848*CL848),0))*(1+Reference!$E$50+Reference!$E$51)</f>
        <v>#N/A</v>
      </c>
      <c r="DU848" s="67">
        <f>((BY848*CK848)+IF($W848=MAT_AR,(CA848*CM848),0))*(1+Reference!$G$50+Reference!$G$51)</f>
        <v>0</v>
      </c>
      <c r="DV848" s="67" t="e">
        <f t="shared" si="1015"/>
        <v>#VALUE!</v>
      </c>
      <c r="DX848" s="56">
        <v>834</v>
      </c>
      <c r="DY848" s="67">
        <f t="shared" si="1016"/>
        <v>0</v>
      </c>
      <c r="DZ848" s="45" t="e">
        <f>VLOOKUP($R848,Dropdown!$C$3:$D$4,2,FALSE)</f>
        <v>#N/A</v>
      </c>
      <c r="EA848" s="68">
        <f t="shared" si="1017"/>
        <v>0</v>
      </c>
      <c r="EB848" s="68" t="str">
        <f t="shared" si="1018"/>
        <v>N/A</v>
      </c>
      <c r="EC848" s="68">
        <f t="shared" si="1019"/>
        <v>0</v>
      </c>
      <c r="ED848" s="68" t="str">
        <f t="shared" si="989"/>
        <v>N/A</v>
      </c>
      <c r="EF848" s="56">
        <v>834</v>
      </c>
      <c r="EG848" s="46">
        <f t="shared" si="1020"/>
        <v>0</v>
      </c>
      <c r="EH848" s="68" t="e">
        <f t="shared" si="1021"/>
        <v>#N/A</v>
      </c>
      <c r="EI848" s="68" t="e">
        <f t="shared" si="1022"/>
        <v>#N/A</v>
      </c>
      <c r="EJ848" s="68" t="e">
        <f t="shared" si="1023"/>
        <v>#N/A</v>
      </c>
      <c r="EK848" s="68" t="e">
        <f t="shared" si="1024"/>
        <v>#N/A</v>
      </c>
      <c r="EL848" s="46">
        <f t="shared" si="1025"/>
        <v>0</v>
      </c>
      <c r="EM848" s="46">
        <f t="shared" si="1026"/>
        <v>0</v>
      </c>
    </row>
    <row r="849" spans="1:143">
      <c r="A849" s="89"/>
      <c r="B849" s="89"/>
      <c r="C849" s="89"/>
      <c r="D849" s="89"/>
      <c r="E849" s="89"/>
      <c r="F849" s="89"/>
      <c r="G849" s="34"/>
      <c r="H849" s="56">
        <f t="shared" si="1027"/>
        <v>835</v>
      </c>
      <c r="I849" s="165"/>
      <c r="J849" s="163"/>
      <c r="K849" s="163"/>
      <c r="L849" s="164"/>
      <c r="M849" s="155"/>
      <c r="N849" s="155"/>
      <c r="O849" s="144"/>
      <c r="P849" s="159" t="str">
        <f>IFERROR(IF(O849&lt;&gt;"User Specified",IF(O849&lt;&gt;"", INDEX('Refrigerant GWPs'!$G$2:$G$154,MATCH(O849,'Refrigerant GWPs'!$A$2:$A$154,0)),""),U849),0)</f>
        <v/>
      </c>
      <c r="Q849" s="155"/>
      <c r="R849" s="155"/>
      <c r="S849" s="144"/>
      <c r="T849" s="159" t="str">
        <f>IF(S849&lt;&gt;"User Specified",IF(AND(S849&lt;&gt;"User Specified",S849&lt;&gt;""), INDEX('Refrigerant GWPs'!$G$2:$G$154,MATCH(S849,'Refrigerant GWPs'!$A$2:$A$154,0)),""),V849)</f>
        <v/>
      </c>
      <c r="U849" s="144"/>
      <c r="V849" s="144"/>
      <c r="W849" s="155"/>
      <c r="X849" s="155"/>
      <c r="Y849" s="144"/>
      <c r="Z849" s="159" t="str">
        <f>IF(AND(Y849&lt;&gt;"User Specified",Y849&lt;&gt;""), INDEX('Refrigerant GWPs'!$G$2:$G$154,MATCH(Y849,'Refrigerant GWPs'!$A$2:$A$154,0)),"")</f>
        <v/>
      </c>
      <c r="AA849" s="155"/>
      <c r="AB849" s="156"/>
      <c r="AC849" s="66"/>
      <c r="AD849" s="66"/>
      <c r="AE849" s="66"/>
      <c r="AF849" s="66"/>
      <c r="AG849" s="66"/>
      <c r="AH849" s="66"/>
      <c r="AI849" s="34"/>
      <c r="AJ849" s="88">
        <f t="shared" si="990"/>
        <v>0</v>
      </c>
      <c r="AK849" s="88">
        <f t="shared" si="991"/>
        <v>0</v>
      </c>
      <c r="AL849" s="88">
        <v>0</v>
      </c>
      <c r="AM849" s="88">
        <v>0</v>
      </c>
      <c r="AN849" s="81" t="str">
        <f t="shared" si="961"/>
        <v/>
      </c>
      <c r="AO849" s="88">
        <f t="shared" si="992"/>
        <v>0</v>
      </c>
      <c r="AP849" s="88">
        <f t="shared" si="993"/>
        <v>0</v>
      </c>
      <c r="AQ849" s="81" t="str">
        <f t="shared" si="994"/>
        <v/>
      </c>
      <c r="AS849" s="41" t="b">
        <f t="shared" si="995"/>
        <v>1</v>
      </c>
      <c r="AT849" s="38">
        <f t="shared" si="996"/>
        <v>0</v>
      </c>
      <c r="AU849" s="60">
        <f t="shared" si="997"/>
        <v>0</v>
      </c>
      <c r="AV849" s="41">
        <f t="shared" si="998"/>
        <v>0</v>
      </c>
      <c r="AW849" s="41" t="b">
        <f t="shared" si="999"/>
        <v>0</v>
      </c>
      <c r="AX849" t="str">
        <f t="shared" si="1000"/>
        <v>+00</v>
      </c>
      <c r="AY849" t="str">
        <f t="shared" si="1001"/>
        <v>+00</v>
      </c>
      <c r="BA849" s="47" t="b">
        <f t="shared" si="962"/>
        <v>1</v>
      </c>
      <c r="BB849" s="42" t="b">
        <f t="shared" si="963"/>
        <v>1</v>
      </c>
      <c r="BC849" s="42" t="b">
        <f t="shared" si="964"/>
        <v>0</v>
      </c>
      <c r="BD849" s="42" t="b">
        <f t="shared" si="965"/>
        <v>0</v>
      </c>
      <c r="BE849" s="70">
        <f t="shared" si="966"/>
        <v>0</v>
      </c>
      <c r="BF849" s="70">
        <f t="shared" si="967"/>
        <v>0</v>
      </c>
      <c r="BG849" s="34"/>
      <c r="BI849" s="47" t="b">
        <f t="shared" si="968"/>
        <v>1</v>
      </c>
      <c r="BJ849" s="47" t="b">
        <f t="shared" si="969"/>
        <v>1</v>
      </c>
      <c r="BK849" s="42" t="b">
        <f t="shared" si="970"/>
        <v>0</v>
      </c>
      <c r="BL849" s="42" t="b">
        <f t="shared" si="971"/>
        <v>0</v>
      </c>
      <c r="BM849" s="42">
        <f t="shared" si="972"/>
        <v>0</v>
      </c>
      <c r="BN849" s="42">
        <f t="shared" si="973"/>
        <v>0</v>
      </c>
      <c r="BP849" t="e">
        <f t="shared" si="974"/>
        <v>#N/A</v>
      </c>
      <c r="BQ849" t="e">
        <f t="shared" si="975"/>
        <v>#N/A</v>
      </c>
      <c r="BR849" t="e">
        <f t="shared" si="976"/>
        <v>#N/A</v>
      </c>
      <c r="BT849" s="60">
        <f t="shared" si="977"/>
        <v>0</v>
      </c>
      <c r="BU849" s="60">
        <f t="shared" si="978"/>
        <v>0</v>
      </c>
      <c r="BV849" s="60">
        <f t="shared" si="979"/>
        <v>0</v>
      </c>
      <c r="BW849" s="60">
        <f t="shared" si="980"/>
        <v>0</v>
      </c>
      <c r="BX849" s="60">
        <f t="shared" si="981"/>
        <v>0</v>
      </c>
      <c r="BY849" s="60">
        <f t="shared" si="982"/>
        <v>0</v>
      </c>
      <c r="BZ849" s="60">
        <f t="shared" si="983"/>
        <v>0</v>
      </c>
      <c r="CA849" s="60">
        <f t="shared" si="984"/>
        <v>0</v>
      </c>
      <c r="CB849" s="60" t="e">
        <f t="shared" si="1002"/>
        <v>#N/A</v>
      </c>
      <c r="CC849" s="60">
        <f t="shared" si="1003"/>
        <v>100000</v>
      </c>
      <c r="CD849" s="60" t="e">
        <f t="shared" si="1004"/>
        <v>#N/A</v>
      </c>
      <c r="CE849" s="60">
        <f t="shared" si="1005"/>
        <v>100000</v>
      </c>
      <c r="CF849" s="83" t="e">
        <f t="shared" si="985"/>
        <v>#N/A</v>
      </c>
      <c r="CG849" s="83">
        <f t="shared" si="986"/>
        <v>0</v>
      </c>
      <c r="CH849" s="83" t="e">
        <f t="shared" si="987"/>
        <v>#N/A</v>
      </c>
      <c r="CI849" s="83">
        <f t="shared" si="988"/>
        <v>0</v>
      </c>
      <c r="CJ849" s="86" t="e">
        <f t="shared" si="1006"/>
        <v>#N/A</v>
      </c>
      <c r="CK849" s="82">
        <f t="shared" si="1007"/>
        <v>5.3070370403969858E-3</v>
      </c>
      <c r="CL849" s="82" t="e">
        <f t="shared" si="1008"/>
        <v>#N/A</v>
      </c>
      <c r="CM849" s="82">
        <f t="shared" si="1009"/>
        <v>5.3070370403969858E-3</v>
      </c>
      <c r="CO849" s="149" t="str">
        <f>IF($I849&lt;&gt;"",IF(O849="User Specified",U849,INDEX('Refrigerant GWPs'!$G$2:$G$156,MATCH(O849,'Refrigerant GWPs'!$A$2:$A$156,0))),"")</f>
        <v/>
      </c>
      <c r="CP849" s="138" t="str">
        <f>IF($I849&lt;&gt;"",INDEX('Device Refrigerant Leakage'!$E$2:$E$42,MATCH($M849,'Device Refrigerant Leakage'!$B$2:$B$42,0)),"")</f>
        <v/>
      </c>
      <c r="CQ849" s="138" t="str">
        <f>IF($I849&lt;&gt;"",INDEX('Device Refrigerant Leakage'!$F$2:$F$42,MATCH($M849,'Device Refrigerant Leakage'!$B$2:$B$42,0)),"")</f>
        <v/>
      </c>
      <c r="CR849" s="145" t="str">
        <f>IF($I849&lt;&gt;"",INDEX('Device Refrigerant Leakage'!$G$2:$G$42,MATCH($M849,'Device Refrigerant Leakage'!$B$2:$B$42,0)),"")</f>
        <v/>
      </c>
      <c r="CS849" s="145" t="str">
        <f>IF($I849&lt;&gt;"",INDEX('Device Refrigerant Leakage'!$D$2:$D$42,MATCH($M849,'Device Refrigerant Leakage'!$B$2:$B$42,0))*CP849/2204.62*CO849,"")</f>
        <v/>
      </c>
      <c r="CT849" s="145" t="str">
        <f>IF($I849&lt;&gt;"",J849*(INDEX('Device Refrigerant Leakage'!$D$2:$D$42,MATCH($M849,'Device Refrigerant Leakage'!$B$2:$B$42,0))-(INDEX('Device Refrigerant Leakage'!$D$2:$D$42,MATCH($M849,'Device Refrigerant Leakage'!$B$2:$B$42,0)))*CR849*CP849)*CQ849/2204.62*CO849,"")</f>
        <v/>
      </c>
      <c r="CU849" s="135" t="str">
        <f>IF($I849&lt;&gt;"",J849*IF(W849&lt;&gt;"AR",(CS849*K849)+CT849,(CS849*AB849)+CT849*(AB849/INDEX('Device Refrigerant Leakage'!$C$2:$C$42,MATCH($M849,'Device Refrigerant Leakage'!$B$2:$B$42,0)))),"")</f>
        <v/>
      </c>
      <c r="CW849" s="135" t="str">
        <f>IF($I849&lt;&gt;"",IF(S849="User Specified",V849,INDEX('Refrigerant GWPs'!$G$2:$G$156,MATCH(S849,'Refrigerant GWPs'!$A$2:$A$157,0))),"")</f>
        <v/>
      </c>
      <c r="CX849" s="138" t="str">
        <f>IF($I849&lt;&gt;"",INDEX('Device Refrigerant Leakage'!$E$2:$E$42,MATCH($Q849,'Device Refrigerant Leakage'!$B$2:$B$42,0)),"")</f>
        <v/>
      </c>
      <c r="CY849" s="138" t="str">
        <f>IF($I849&lt;&gt;"",INDEX('Device Refrigerant Leakage'!$F$2:$F$42,MATCH($Q849,'Device Refrigerant Leakage'!$B$2:$B$42,0)),"")</f>
        <v/>
      </c>
      <c r="CZ849" s="145" t="str">
        <f>IF($I849&lt;&gt;"",INDEX('Device Refrigerant Leakage'!$G$2:$G$42,MATCH($Q849,'Device Refrigerant Leakage'!$B$2:$B$42,0)),"")</f>
        <v/>
      </c>
      <c r="DA849" s="145" t="str">
        <f>IF($I849&lt;&gt;"",J849*INDEX('Device Refrigerant Leakage'!$D$2:$D$42,MATCH($Q849,'Device Refrigerant Leakage'!$B$2:$B$42,0))*CX849/2204.62*CW849,"")</f>
        <v/>
      </c>
      <c r="DB849" s="145" t="str">
        <f>IF($I849&lt;&gt;"",J849*(INDEX('Device Refrigerant Leakage'!$D$2:$D$42,MATCH($Q849,'Device Refrigerant Leakage'!$B$2:$B$42,0))-(INDEX('Device Refrigerant Leakage'!$D$2:$D$42,MATCH($Q849,'Device Refrigerant Leakage'!$B$2:$B$42,0)))*CZ849*CX849)*CY849/2204.62*CW849,"")</f>
        <v/>
      </c>
      <c r="DC849" s="135" t="str">
        <f t="shared" si="1028"/>
        <v/>
      </c>
      <c r="DE849" s="146" t="str">
        <f>IF(W849&lt;&gt;"AR","",IF(Y849="User Specified", AA849, INDEX('Refrigerant GWPs'!$G$2:$G$154,MATCH(Y849,'Refrigerant GWPs'!$A$2:$A$154,0))))</f>
        <v/>
      </c>
      <c r="DF849" s="146" t="str">
        <f>IF(W849&lt;&gt;"AR","",INDEX('Device Refrigerant Leakage'!$E$2:$E$42,MATCH(X849,'Device Refrigerant Leakage'!$B$2:$B$42,0)))</f>
        <v/>
      </c>
      <c r="DG849" s="146" t="str">
        <f>IF(W849&lt;&gt;"AR","",INDEX('Device Refrigerant Leakage'!$F$2:$F$42,MATCH(X849,'Device Refrigerant Leakage'!$B$2:$B$42,0)))</f>
        <v/>
      </c>
      <c r="DH849" s="146" t="str">
        <f>IF(W849&lt;&gt;"AR","",INDEX('Device Refrigerant Leakage'!$G$2:$G$42,MATCH(X849,'Device Refrigerant Leakage'!$B$2:$B$42,0)))</f>
        <v/>
      </c>
      <c r="DI849" s="146" t="str">
        <f>IF(W849&lt;&gt;"AR","",J849*INDEX('Device Refrigerant Leakage'!$D$2:$D$42,MATCH(X849,'Device Refrigerant Leakage'!$B$2:$B$42,0))*DF849/2204.62*DE849)</f>
        <v/>
      </c>
      <c r="DJ849" s="146" t="str">
        <f>IF(W849&lt;&gt;"AR","",J849*(INDEX('Device Refrigerant Leakage'!$D$2:$D$42,MATCH(X849,'Device Refrigerant Leakage'!$B$2:$B$42,0))-(INDEX('Device Refrigerant Leakage'!$D$2:$D$42,MATCH(X849,'Device Refrigerant Leakage'!$B$2:$B$42,0)))*DH849*DF849)*DG849/2204.62*DE849)</f>
        <v/>
      </c>
      <c r="DK849" s="146" t="str">
        <f>IF(W849&lt;&gt;"AR","",DI849*(K849-AB849)+'Fuel Sub Calcs-Deemed'!DJ849*((K849-AB849)/INDEX('Device Refrigerant Leakage'!$C$2:$C$42,MATCH('Fuel Sub Calcs-Deemed'!X849,'Device Refrigerant Leakage'!$B$2:$B$42,0))))</f>
        <v/>
      </c>
      <c r="DM849" s="56">
        <v>835</v>
      </c>
      <c r="DN849" s="67" t="e">
        <f t="shared" si="1010"/>
        <v>#N/A</v>
      </c>
      <c r="DO849" s="45" t="e">
        <f t="shared" si="1011"/>
        <v>#N/A</v>
      </c>
      <c r="DP849" s="67" t="e">
        <f t="shared" si="1012"/>
        <v>#N/A</v>
      </c>
      <c r="DQ849" s="45" t="e">
        <f t="shared" si="1013"/>
        <v>#N/A</v>
      </c>
      <c r="DR849" s="69" t="e">
        <f t="shared" si="1014"/>
        <v>#N/A</v>
      </c>
      <c r="DS849" s="34"/>
      <c r="DT849" s="67" t="e">
        <f>((BX849*CJ849)+IF($W849=MAT_AR,(BZ849*CL849),0))*(1+Reference!$E$50+Reference!$E$51)</f>
        <v>#N/A</v>
      </c>
      <c r="DU849" s="67">
        <f>((BY849*CK849)+IF($W849=MAT_AR,(CA849*CM849),0))*(1+Reference!$G$50+Reference!$G$51)</f>
        <v>0</v>
      </c>
      <c r="DV849" s="67" t="e">
        <f t="shared" si="1015"/>
        <v>#VALUE!</v>
      </c>
      <c r="DX849" s="56">
        <v>835</v>
      </c>
      <c r="DY849" s="67">
        <f t="shared" si="1016"/>
        <v>0</v>
      </c>
      <c r="DZ849" s="45" t="e">
        <f>VLOOKUP($R849,Dropdown!$C$3:$D$4,2,FALSE)</f>
        <v>#N/A</v>
      </c>
      <c r="EA849" s="68">
        <f t="shared" si="1017"/>
        <v>0</v>
      </c>
      <c r="EB849" s="68" t="str">
        <f t="shared" si="1018"/>
        <v>N/A</v>
      </c>
      <c r="EC849" s="68">
        <f t="shared" si="1019"/>
        <v>0</v>
      </c>
      <c r="ED849" s="68" t="str">
        <f t="shared" si="989"/>
        <v>N/A</v>
      </c>
      <c r="EF849" s="56">
        <v>835</v>
      </c>
      <c r="EG849" s="46">
        <f t="shared" si="1020"/>
        <v>0</v>
      </c>
      <c r="EH849" s="68" t="e">
        <f t="shared" si="1021"/>
        <v>#N/A</v>
      </c>
      <c r="EI849" s="68" t="e">
        <f t="shared" si="1022"/>
        <v>#N/A</v>
      </c>
      <c r="EJ849" s="68" t="e">
        <f t="shared" si="1023"/>
        <v>#N/A</v>
      </c>
      <c r="EK849" s="68" t="e">
        <f t="shared" si="1024"/>
        <v>#N/A</v>
      </c>
      <c r="EL849" s="46">
        <f t="shared" si="1025"/>
        <v>0</v>
      </c>
      <c r="EM849" s="46">
        <f t="shared" si="1026"/>
        <v>0</v>
      </c>
    </row>
    <row r="850" spans="1:143">
      <c r="A850" s="89"/>
      <c r="B850" s="89"/>
      <c r="C850" s="89"/>
      <c r="D850" s="89"/>
      <c r="E850" s="89"/>
      <c r="F850" s="89"/>
      <c r="G850" s="34"/>
      <c r="H850" s="56">
        <f t="shared" si="1027"/>
        <v>836</v>
      </c>
      <c r="I850" s="165"/>
      <c r="J850" s="163"/>
      <c r="K850" s="163"/>
      <c r="L850" s="164"/>
      <c r="M850" s="155"/>
      <c r="N850" s="155"/>
      <c r="O850" s="144"/>
      <c r="P850" s="159" t="str">
        <f>IFERROR(IF(O850&lt;&gt;"User Specified",IF(O850&lt;&gt;"", INDEX('Refrigerant GWPs'!$G$2:$G$154,MATCH(O850,'Refrigerant GWPs'!$A$2:$A$154,0)),""),U850),0)</f>
        <v/>
      </c>
      <c r="Q850" s="155"/>
      <c r="R850" s="155"/>
      <c r="S850" s="144"/>
      <c r="T850" s="159" t="str">
        <f>IF(S850&lt;&gt;"User Specified",IF(AND(S850&lt;&gt;"User Specified",S850&lt;&gt;""), INDEX('Refrigerant GWPs'!$G$2:$G$154,MATCH(S850,'Refrigerant GWPs'!$A$2:$A$154,0)),""),V850)</f>
        <v/>
      </c>
      <c r="U850" s="144"/>
      <c r="V850" s="144"/>
      <c r="W850" s="155"/>
      <c r="X850" s="155"/>
      <c r="Y850" s="144"/>
      <c r="Z850" s="159" t="str">
        <f>IF(AND(Y850&lt;&gt;"User Specified",Y850&lt;&gt;""), INDEX('Refrigerant GWPs'!$G$2:$G$154,MATCH(Y850,'Refrigerant GWPs'!$A$2:$A$154,0)),"")</f>
        <v/>
      </c>
      <c r="AA850" s="155"/>
      <c r="AB850" s="156"/>
      <c r="AC850" s="66"/>
      <c r="AD850" s="66"/>
      <c r="AE850" s="66"/>
      <c r="AF850" s="66"/>
      <c r="AG850" s="66"/>
      <c r="AH850" s="66"/>
      <c r="AI850" s="34"/>
      <c r="AJ850" s="88">
        <f t="shared" si="990"/>
        <v>0</v>
      </c>
      <c r="AK850" s="88">
        <f t="shared" si="991"/>
        <v>0</v>
      </c>
      <c r="AL850" s="88">
        <v>0</v>
      </c>
      <c r="AM850" s="88">
        <v>0</v>
      </c>
      <c r="AN850" s="81" t="str">
        <f t="shared" si="961"/>
        <v/>
      </c>
      <c r="AO850" s="88">
        <f t="shared" si="992"/>
        <v>0</v>
      </c>
      <c r="AP850" s="88">
        <f t="shared" si="993"/>
        <v>0</v>
      </c>
      <c r="AQ850" s="81" t="str">
        <f t="shared" si="994"/>
        <v/>
      </c>
      <c r="AS850" s="41" t="b">
        <f t="shared" si="995"/>
        <v>1</v>
      </c>
      <c r="AT850" s="38">
        <f t="shared" si="996"/>
        <v>0</v>
      </c>
      <c r="AU850" s="60">
        <f t="shared" si="997"/>
        <v>0</v>
      </c>
      <c r="AV850" s="41">
        <f t="shared" si="998"/>
        <v>0</v>
      </c>
      <c r="AW850" s="41" t="b">
        <f t="shared" si="999"/>
        <v>0</v>
      </c>
      <c r="AX850" t="str">
        <f t="shared" si="1000"/>
        <v>+00</v>
      </c>
      <c r="AY850" t="str">
        <f t="shared" si="1001"/>
        <v>+00</v>
      </c>
      <c r="BA850" s="47" t="b">
        <f t="shared" si="962"/>
        <v>1</v>
      </c>
      <c r="BB850" s="42" t="b">
        <f t="shared" si="963"/>
        <v>1</v>
      </c>
      <c r="BC850" s="42" t="b">
        <f t="shared" si="964"/>
        <v>0</v>
      </c>
      <c r="BD850" s="42" t="b">
        <f t="shared" si="965"/>
        <v>0</v>
      </c>
      <c r="BE850" s="70">
        <f t="shared" si="966"/>
        <v>0</v>
      </c>
      <c r="BF850" s="70">
        <f t="shared" si="967"/>
        <v>0</v>
      </c>
      <c r="BG850" s="34"/>
      <c r="BI850" s="47" t="b">
        <f t="shared" si="968"/>
        <v>1</v>
      </c>
      <c r="BJ850" s="47" t="b">
        <f t="shared" si="969"/>
        <v>1</v>
      </c>
      <c r="BK850" s="42" t="b">
        <f t="shared" si="970"/>
        <v>0</v>
      </c>
      <c r="BL850" s="42" t="b">
        <f t="shared" si="971"/>
        <v>0</v>
      </c>
      <c r="BM850" s="42">
        <f t="shared" si="972"/>
        <v>0</v>
      </c>
      <c r="BN850" s="42">
        <f t="shared" si="973"/>
        <v>0</v>
      </c>
      <c r="BP850" t="e">
        <f t="shared" si="974"/>
        <v>#N/A</v>
      </c>
      <c r="BQ850" t="e">
        <f t="shared" si="975"/>
        <v>#N/A</v>
      </c>
      <c r="BR850" t="e">
        <f t="shared" si="976"/>
        <v>#N/A</v>
      </c>
      <c r="BT850" s="60">
        <f t="shared" si="977"/>
        <v>0</v>
      </c>
      <c r="BU850" s="60">
        <f t="shared" si="978"/>
        <v>0</v>
      </c>
      <c r="BV850" s="60">
        <f t="shared" si="979"/>
        <v>0</v>
      </c>
      <c r="BW850" s="60">
        <f t="shared" si="980"/>
        <v>0</v>
      </c>
      <c r="BX850" s="60">
        <f t="shared" si="981"/>
        <v>0</v>
      </c>
      <c r="BY850" s="60">
        <f t="shared" si="982"/>
        <v>0</v>
      </c>
      <c r="BZ850" s="60">
        <f t="shared" si="983"/>
        <v>0</v>
      </c>
      <c r="CA850" s="60">
        <f t="shared" si="984"/>
        <v>0</v>
      </c>
      <c r="CB850" s="60" t="e">
        <f t="shared" si="1002"/>
        <v>#N/A</v>
      </c>
      <c r="CC850" s="60">
        <f t="shared" si="1003"/>
        <v>100000</v>
      </c>
      <c r="CD850" s="60" t="e">
        <f t="shared" si="1004"/>
        <v>#N/A</v>
      </c>
      <c r="CE850" s="60">
        <f t="shared" si="1005"/>
        <v>100000</v>
      </c>
      <c r="CF850" s="83" t="e">
        <f t="shared" si="985"/>
        <v>#N/A</v>
      </c>
      <c r="CG850" s="83">
        <f t="shared" si="986"/>
        <v>0</v>
      </c>
      <c r="CH850" s="83" t="e">
        <f t="shared" si="987"/>
        <v>#N/A</v>
      </c>
      <c r="CI850" s="83">
        <f t="shared" si="988"/>
        <v>0</v>
      </c>
      <c r="CJ850" s="86" t="e">
        <f t="shared" si="1006"/>
        <v>#N/A</v>
      </c>
      <c r="CK850" s="82">
        <f t="shared" si="1007"/>
        <v>5.3070370403969858E-3</v>
      </c>
      <c r="CL850" s="82" t="e">
        <f t="shared" si="1008"/>
        <v>#N/A</v>
      </c>
      <c r="CM850" s="82">
        <f t="shared" si="1009"/>
        <v>5.3070370403969858E-3</v>
      </c>
      <c r="CO850" s="149" t="str">
        <f>IF($I850&lt;&gt;"",IF(O850="User Specified",U850,INDEX('Refrigerant GWPs'!$G$2:$G$156,MATCH(O850,'Refrigerant GWPs'!$A$2:$A$156,0))),"")</f>
        <v/>
      </c>
      <c r="CP850" s="138" t="str">
        <f>IF($I850&lt;&gt;"",INDEX('Device Refrigerant Leakage'!$E$2:$E$42,MATCH($M850,'Device Refrigerant Leakage'!$B$2:$B$42,0)),"")</f>
        <v/>
      </c>
      <c r="CQ850" s="138" t="str">
        <f>IF($I850&lt;&gt;"",INDEX('Device Refrigerant Leakage'!$F$2:$F$42,MATCH($M850,'Device Refrigerant Leakage'!$B$2:$B$42,0)),"")</f>
        <v/>
      </c>
      <c r="CR850" s="145" t="str">
        <f>IF($I850&lt;&gt;"",INDEX('Device Refrigerant Leakage'!$G$2:$G$42,MATCH($M850,'Device Refrigerant Leakage'!$B$2:$B$42,0)),"")</f>
        <v/>
      </c>
      <c r="CS850" s="145" t="str">
        <f>IF($I850&lt;&gt;"",INDEX('Device Refrigerant Leakage'!$D$2:$D$42,MATCH($M850,'Device Refrigerant Leakage'!$B$2:$B$42,0))*CP850/2204.62*CO850,"")</f>
        <v/>
      </c>
      <c r="CT850" s="145" t="str">
        <f>IF($I850&lt;&gt;"",J850*(INDEX('Device Refrigerant Leakage'!$D$2:$D$42,MATCH($M850,'Device Refrigerant Leakage'!$B$2:$B$42,0))-(INDEX('Device Refrigerant Leakage'!$D$2:$D$42,MATCH($M850,'Device Refrigerant Leakage'!$B$2:$B$42,0)))*CR850*CP850)*CQ850/2204.62*CO850,"")</f>
        <v/>
      </c>
      <c r="CU850" s="135" t="str">
        <f>IF($I850&lt;&gt;"",J850*IF(W850&lt;&gt;"AR",(CS850*K850)+CT850,(CS850*AB850)+CT850*(AB850/INDEX('Device Refrigerant Leakage'!$C$2:$C$42,MATCH($M850,'Device Refrigerant Leakage'!$B$2:$B$42,0)))),"")</f>
        <v/>
      </c>
      <c r="CW850" s="135" t="str">
        <f>IF($I850&lt;&gt;"",IF(S850="User Specified",V850,INDEX('Refrigerant GWPs'!$G$2:$G$156,MATCH(S850,'Refrigerant GWPs'!$A$2:$A$157,0))),"")</f>
        <v/>
      </c>
      <c r="CX850" s="138" t="str">
        <f>IF($I850&lt;&gt;"",INDEX('Device Refrigerant Leakage'!$E$2:$E$42,MATCH($Q850,'Device Refrigerant Leakage'!$B$2:$B$42,0)),"")</f>
        <v/>
      </c>
      <c r="CY850" s="138" t="str">
        <f>IF($I850&lt;&gt;"",INDEX('Device Refrigerant Leakage'!$F$2:$F$42,MATCH($Q850,'Device Refrigerant Leakage'!$B$2:$B$42,0)),"")</f>
        <v/>
      </c>
      <c r="CZ850" s="145" t="str">
        <f>IF($I850&lt;&gt;"",INDEX('Device Refrigerant Leakage'!$G$2:$G$42,MATCH($Q850,'Device Refrigerant Leakage'!$B$2:$B$42,0)),"")</f>
        <v/>
      </c>
      <c r="DA850" s="145" t="str">
        <f>IF($I850&lt;&gt;"",J850*INDEX('Device Refrigerant Leakage'!$D$2:$D$42,MATCH($Q850,'Device Refrigerant Leakage'!$B$2:$B$42,0))*CX850/2204.62*CW850,"")</f>
        <v/>
      </c>
      <c r="DB850" s="145" t="str">
        <f>IF($I850&lt;&gt;"",J850*(INDEX('Device Refrigerant Leakage'!$D$2:$D$42,MATCH($Q850,'Device Refrigerant Leakage'!$B$2:$B$42,0))-(INDEX('Device Refrigerant Leakage'!$D$2:$D$42,MATCH($Q850,'Device Refrigerant Leakage'!$B$2:$B$42,0)))*CZ850*CX850)*CY850/2204.62*CW850,"")</f>
        <v/>
      </c>
      <c r="DC850" s="135" t="str">
        <f t="shared" si="1028"/>
        <v/>
      </c>
      <c r="DE850" s="146" t="str">
        <f>IF(W850&lt;&gt;"AR","",IF(Y850="User Specified", AA850, INDEX('Refrigerant GWPs'!$G$2:$G$154,MATCH(Y850,'Refrigerant GWPs'!$A$2:$A$154,0))))</f>
        <v/>
      </c>
      <c r="DF850" s="146" t="str">
        <f>IF(W850&lt;&gt;"AR","",INDEX('Device Refrigerant Leakage'!$E$2:$E$42,MATCH(X850,'Device Refrigerant Leakage'!$B$2:$B$42,0)))</f>
        <v/>
      </c>
      <c r="DG850" s="146" t="str">
        <f>IF(W850&lt;&gt;"AR","",INDEX('Device Refrigerant Leakage'!$F$2:$F$42,MATCH(X850,'Device Refrigerant Leakage'!$B$2:$B$42,0)))</f>
        <v/>
      </c>
      <c r="DH850" s="146" t="str">
        <f>IF(W850&lt;&gt;"AR","",INDEX('Device Refrigerant Leakage'!$G$2:$G$42,MATCH(X850,'Device Refrigerant Leakage'!$B$2:$B$42,0)))</f>
        <v/>
      </c>
      <c r="DI850" s="146" t="str">
        <f>IF(W850&lt;&gt;"AR","",J850*INDEX('Device Refrigerant Leakage'!$D$2:$D$42,MATCH(X850,'Device Refrigerant Leakage'!$B$2:$B$42,0))*DF850/2204.62*DE850)</f>
        <v/>
      </c>
      <c r="DJ850" s="146" t="str">
        <f>IF(W850&lt;&gt;"AR","",J850*(INDEX('Device Refrigerant Leakage'!$D$2:$D$42,MATCH(X850,'Device Refrigerant Leakage'!$B$2:$B$42,0))-(INDEX('Device Refrigerant Leakage'!$D$2:$D$42,MATCH(X850,'Device Refrigerant Leakage'!$B$2:$B$42,0)))*DH850*DF850)*DG850/2204.62*DE850)</f>
        <v/>
      </c>
      <c r="DK850" s="146" t="str">
        <f>IF(W850&lt;&gt;"AR","",DI850*(K850-AB850)+'Fuel Sub Calcs-Deemed'!DJ850*((K850-AB850)/INDEX('Device Refrigerant Leakage'!$C$2:$C$42,MATCH('Fuel Sub Calcs-Deemed'!X850,'Device Refrigerant Leakage'!$B$2:$B$42,0))))</f>
        <v/>
      </c>
      <c r="DM850" s="56">
        <v>836</v>
      </c>
      <c r="DN850" s="67" t="e">
        <f t="shared" si="1010"/>
        <v>#N/A</v>
      </c>
      <c r="DO850" s="45" t="e">
        <f t="shared" si="1011"/>
        <v>#N/A</v>
      </c>
      <c r="DP850" s="67" t="e">
        <f t="shared" si="1012"/>
        <v>#N/A</v>
      </c>
      <c r="DQ850" s="45" t="e">
        <f t="shared" si="1013"/>
        <v>#N/A</v>
      </c>
      <c r="DR850" s="69" t="e">
        <f t="shared" si="1014"/>
        <v>#N/A</v>
      </c>
      <c r="DS850" s="34"/>
      <c r="DT850" s="67" t="e">
        <f>((BX850*CJ850)+IF($W850=MAT_AR,(BZ850*CL850),0))*(1+Reference!$E$50+Reference!$E$51)</f>
        <v>#N/A</v>
      </c>
      <c r="DU850" s="67">
        <f>((BY850*CK850)+IF($W850=MAT_AR,(CA850*CM850),0))*(1+Reference!$G$50+Reference!$G$51)</f>
        <v>0</v>
      </c>
      <c r="DV850" s="67" t="e">
        <f t="shared" si="1015"/>
        <v>#VALUE!</v>
      </c>
      <c r="DX850" s="56">
        <v>836</v>
      </c>
      <c r="DY850" s="67">
        <f t="shared" si="1016"/>
        <v>0</v>
      </c>
      <c r="DZ850" s="45" t="e">
        <f>VLOOKUP($R850,Dropdown!$C$3:$D$4,2,FALSE)</f>
        <v>#N/A</v>
      </c>
      <c r="EA850" s="68">
        <f t="shared" si="1017"/>
        <v>0</v>
      </c>
      <c r="EB850" s="68" t="str">
        <f t="shared" si="1018"/>
        <v>N/A</v>
      </c>
      <c r="EC850" s="68">
        <f t="shared" si="1019"/>
        <v>0</v>
      </c>
      <c r="ED850" s="68" t="str">
        <f t="shared" si="989"/>
        <v>N/A</v>
      </c>
      <c r="EF850" s="56">
        <v>836</v>
      </c>
      <c r="EG850" s="46">
        <f t="shared" si="1020"/>
        <v>0</v>
      </c>
      <c r="EH850" s="68" t="e">
        <f t="shared" si="1021"/>
        <v>#N/A</v>
      </c>
      <c r="EI850" s="68" t="e">
        <f t="shared" si="1022"/>
        <v>#N/A</v>
      </c>
      <c r="EJ850" s="68" t="e">
        <f t="shared" si="1023"/>
        <v>#N/A</v>
      </c>
      <c r="EK850" s="68" t="e">
        <f t="shared" si="1024"/>
        <v>#N/A</v>
      </c>
      <c r="EL850" s="46">
        <f t="shared" si="1025"/>
        <v>0</v>
      </c>
      <c r="EM850" s="46">
        <f t="shared" si="1026"/>
        <v>0</v>
      </c>
    </row>
    <row r="851" spans="1:143">
      <c r="A851" s="89"/>
      <c r="B851" s="89"/>
      <c r="C851" s="89"/>
      <c r="D851" s="89"/>
      <c r="E851" s="89"/>
      <c r="F851" s="89"/>
      <c r="G851" s="34"/>
      <c r="H851" s="56">
        <f t="shared" si="1027"/>
        <v>837</v>
      </c>
      <c r="I851" s="165"/>
      <c r="J851" s="163"/>
      <c r="K851" s="163"/>
      <c r="L851" s="164"/>
      <c r="M851" s="155"/>
      <c r="N851" s="155"/>
      <c r="O851" s="144"/>
      <c r="P851" s="159" t="str">
        <f>IFERROR(IF(O851&lt;&gt;"User Specified",IF(O851&lt;&gt;"", INDEX('Refrigerant GWPs'!$G$2:$G$154,MATCH(O851,'Refrigerant GWPs'!$A$2:$A$154,0)),""),U851),0)</f>
        <v/>
      </c>
      <c r="Q851" s="155"/>
      <c r="R851" s="155"/>
      <c r="S851" s="144"/>
      <c r="T851" s="159" t="str">
        <f>IF(S851&lt;&gt;"User Specified",IF(AND(S851&lt;&gt;"User Specified",S851&lt;&gt;""), INDEX('Refrigerant GWPs'!$G$2:$G$154,MATCH(S851,'Refrigerant GWPs'!$A$2:$A$154,0)),""),V851)</f>
        <v/>
      </c>
      <c r="U851" s="144"/>
      <c r="V851" s="144"/>
      <c r="W851" s="155"/>
      <c r="X851" s="155"/>
      <c r="Y851" s="144"/>
      <c r="Z851" s="159" t="str">
        <f>IF(AND(Y851&lt;&gt;"User Specified",Y851&lt;&gt;""), INDEX('Refrigerant GWPs'!$G$2:$G$154,MATCH(Y851,'Refrigerant GWPs'!$A$2:$A$154,0)),"")</f>
        <v/>
      </c>
      <c r="AA851" s="155"/>
      <c r="AB851" s="156"/>
      <c r="AC851" s="66"/>
      <c r="AD851" s="66"/>
      <c r="AE851" s="66"/>
      <c r="AF851" s="66"/>
      <c r="AG851" s="66"/>
      <c r="AH851" s="66"/>
      <c r="AI851" s="34"/>
      <c r="AJ851" s="88">
        <f t="shared" si="990"/>
        <v>0</v>
      </c>
      <c r="AK851" s="88">
        <f t="shared" si="991"/>
        <v>0</v>
      </c>
      <c r="AL851" s="88">
        <v>0</v>
      </c>
      <c r="AM851" s="88">
        <v>0</v>
      </c>
      <c r="AN851" s="81" t="str">
        <f t="shared" si="961"/>
        <v/>
      </c>
      <c r="AO851" s="88">
        <f t="shared" si="992"/>
        <v>0</v>
      </c>
      <c r="AP851" s="88">
        <f t="shared" si="993"/>
        <v>0</v>
      </c>
      <c r="AQ851" s="81" t="str">
        <f t="shared" si="994"/>
        <v/>
      </c>
      <c r="AS851" s="41" t="b">
        <f t="shared" si="995"/>
        <v>1</v>
      </c>
      <c r="AT851" s="38">
        <f t="shared" si="996"/>
        <v>0</v>
      </c>
      <c r="AU851" s="60">
        <f t="shared" si="997"/>
        <v>0</v>
      </c>
      <c r="AV851" s="41">
        <f t="shared" si="998"/>
        <v>0</v>
      </c>
      <c r="AW851" s="41" t="b">
        <f t="shared" si="999"/>
        <v>0</v>
      </c>
      <c r="AX851" t="str">
        <f t="shared" si="1000"/>
        <v>+00</v>
      </c>
      <c r="AY851" t="str">
        <f t="shared" si="1001"/>
        <v>+00</v>
      </c>
      <c r="BA851" s="47" t="b">
        <f t="shared" si="962"/>
        <v>1</v>
      </c>
      <c r="BB851" s="42" t="b">
        <f t="shared" si="963"/>
        <v>1</v>
      </c>
      <c r="BC851" s="42" t="b">
        <f t="shared" si="964"/>
        <v>0</v>
      </c>
      <c r="BD851" s="42" t="b">
        <f t="shared" si="965"/>
        <v>0</v>
      </c>
      <c r="BE851" s="70">
        <f t="shared" si="966"/>
        <v>0</v>
      </c>
      <c r="BF851" s="70">
        <f t="shared" si="967"/>
        <v>0</v>
      </c>
      <c r="BG851" s="34"/>
      <c r="BI851" s="47" t="b">
        <f t="shared" si="968"/>
        <v>1</v>
      </c>
      <c r="BJ851" s="47" t="b">
        <f t="shared" si="969"/>
        <v>1</v>
      </c>
      <c r="BK851" s="42" t="b">
        <f t="shared" si="970"/>
        <v>0</v>
      </c>
      <c r="BL851" s="42" t="b">
        <f t="shared" si="971"/>
        <v>0</v>
      </c>
      <c r="BM851" s="42">
        <f t="shared" si="972"/>
        <v>0</v>
      </c>
      <c r="BN851" s="42">
        <f t="shared" si="973"/>
        <v>0</v>
      </c>
      <c r="BP851" t="e">
        <f t="shared" si="974"/>
        <v>#N/A</v>
      </c>
      <c r="BQ851" t="e">
        <f t="shared" si="975"/>
        <v>#N/A</v>
      </c>
      <c r="BR851" t="e">
        <f t="shared" si="976"/>
        <v>#N/A</v>
      </c>
      <c r="BT851" s="60">
        <f t="shared" si="977"/>
        <v>0</v>
      </c>
      <c r="BU851" s="60">
        <f t="shared" si="978"/>
        <v>0</v>
      </c>
      <c r="BV851" s="60">
        <f t="shared" si="979"/>
        <v>0</v>
      </c>
      <c r="BW851" s="60">
        <f t="shared" si="980"/>
        <v>0</v>
      </c>
      <c r="BX851" s="60">
        <f t="shared" si="981"/>
        <v>0</v>
      </c>
      <c r="BY851" s="60">
        <f t="shared" si="982"/>
        <v>0</v>
      </c>
      <c r="BZ851" s="60">
        <f t="shared" si="983"/>
        <v>0</v>
      </c>
      <c r="CA851" s="60">
        <f t="shared" si="984"/>
        <v>0</v>
      </c>
      <c r="CB851" s="60" t="e">
        <f t="shared" si="1002"/>
        <v>#N/A</v>
      </c>
      <c r="CC851" s="60">
        <f t="shared" si="1003"/>
        <v>100000</v>
      </c>
      <c r="CD851" s="60" t="e">
        <f t="shared" si="1004"/>
        <v>#N/A</v>
      </c>
      <c r="CE851" s="60">
        <f t="shared" si="1005"/>
        <v>100000</v>
      </c>
      <c r="CF851" s="83" t="e">
        <f t="shared" si="985"/>
        <v>#N/A</v>
      </c>
      <c r="CG851" s="83">
        <f t="shared" si="986"/>
        <v>0</v>
      </c>
      <c r="CH851" s="83" t="e">
        <f t="shared" si="987"/>
        <v>#N/A</v>
      </c>
      <c r="CI851" s="83">
        <f t="shared" si="988"/>
        <v>0</v>
      </c>
      <c r="CJ851" s="86" t="e">
        <f t="shared" si="1006"/>
        <v>#N/A</v>
      </c>
      <c r="CK851" s="82">
        <f t="shared" si="1007"/>
        <v>5.3070370403969858E-3</v>
      </c>
      <c r="CL851" s="82" t="e">
        <f t="shared" si="1008"/>
        <v>#N/A</v>
      </c>
      <c r="CM851" s="82">
        <f t="shared" si="1009"/>
        <v>5.3070370403969858E-3</v>
      </c>
      <c r="CO851" s="149" t="str">
        <f>IF($I851&lt;&gt;"",IF(O851="User Specified",U851,INDEX('Refrigerant GWPs'!$G$2:$G$156,MATCH(O851,'Refrigerant GWPs'!$A$2:$A$156,0))),"")</f>
        <v/>
      </c>
      <c r="CP851" s="138" t="str">
        <f>IF($I851&lt;&gt;"",INDEX('Device Refrigerant Leakage'!$E$2:$E$42,MATCH($M851,'Device Refrigerant Leakage'!$B$2:$B$42,0)),"")</f>
        <v/>
      </c>
      <c r="CQ851" s="138" t="str">
        <f>IF($I851&lt;&gt;"",INDEX('Device Refrigerant Leakage'!$F$2:$F$42,MATCH($M851,'Device Refrigerant Leakage'!$B$2:$B$42,0)),"")</f>
        <v/>
      </c>
      <c r="CR851" s="145" t="str">
        <f>IF($I851&lt;&gt;"",INDEX('Device Refrigerant Leakage'!$G$2:$G$42,MATCH($M851,'Device Refrigerant Leakage'!$B$2:$B$42,0)),"")</f>
        <v/>
      </c>
      <c r="CS851" s="145" t="str">
        <f>IF($I851&lt;&gt;"",INDEX('Device Refrigerant Leakage'!$D$2:$D$42,MATCH($M851,'Device Refrigerant Leakage'!$B$2:$B$42,0))*CP851/2204.62*CO851,"")</f>
        <v/>
      </c>
      <c r="CT851" s="145" t="str">
        <f>IF($I851&lt;&gt;"",J851*(INDEX('Device Refrigerant Leakage'!$D$2:$D$42,MATCH($M851,'Device Refrigerant Leakage'!$B$2:$B$42,0))-(INDEX('Device Refrigerant Leakage'!$D$2:$D$42,MATCH($M851,'Device Refrigerant Leakage'!$B$2:$B$42,0)))*CR851*CP851)*CQ851/2204.62*CO851,"")</f>
        <v/>
      </c>
      <c r="CU851" s="135" t="str">
        <f>IF($I851&lt;&gt;"",J851*IF(W851&lt;&gt;"AR",(CS851*K851)+CT851,(CS851*AB851)+CT851*(AB851/INDEX('Device Refrigerant Leakage'!$C$2:$C$42,MATCH($M851,'Device Refrigerant Leakage'!$B$2:$B$42,0)))),"")</f>
        <v/>
      </c>
      <c r="CW851" s="135" t="str">
        <f>IF($I851&lt;&gt;"",IF(S851="User Specified",V851,INDEX('Refrigerant GWPs'!$G$2:$G$156,MATCH(S851,'Refrigerant GWPs'!$A$2:$A$157,0))),"")</f>
        <v/>
      </c>
      <c r="CX851" s="138" t="str">
        <f>IF($I851&lt;&gt;"",INDEX('Device Refrigerant Leakage'!$E$2:$E$42,MATCH($Q851,'Device Refrigerant Leakage'!$B$2:$B$42,0)),"")</f>
        <v/>
      </c>
      <c r="CY851" s="138" t="str">
        <f>IF($I851&lt;&gt;"",INDEX('Device Refrigerant Leakage'!$F$2:$F$42,MATCH($Q851,'Device Refrigerant Leakage'!$B$2:$B$42,0)),"")</f>
        <v/>
      </c>
      <c r="CZ851" s="145" t="str">
        <f>IF($I851&lt;&gt;"",INDEX('Device Refrigerant Leakage'!$G$2:$G$42,MATCH($Q851,'Device Refrigerant Leakage'!$B$2:$B$42,0)),"")</f>
        <v/>
      </c>
      <c r="DA851" s="145" t="str">
        <f>IF($I851&lt;&gt;"",J851*INDEX('Device Refrigerant Leakage'!$D$2:$D$42,MATCH($Q851,'Device Refrigerant Leakage'!$B$2:$B$42,0))*CX851/2204.62*CW851,"")</f>
        <v/>
      </c>
      <c r="DB851" s="145" t="str">
        <f>IF($I851&lt;&gt;"",J851*(INDEX('Device Refrigerant Leakage'!$D$2:$D$42,MATCH($Q851,'Device Refrigerant Leakage'!$B$2:$B$42,0))-(INDEX('Device Refrigerant Leakage'!$D$2:$D$42,MATCH($Q851,'Device Refrigerant Leakage'!$B$2:$B$42,0)))*CZ851*CX851)*CY851/2204.62*CW851,"")</f>
        <v/>
      </c>
      <c r="DC851" s="135" t="str">
        <f t="shared" si="1028"/>
        <v/>
      </c>
      <c r="DE851" s="146" t="str">
        <f>IF(W851&lt;&gt;"AR","",IF(Y851="User Specified", AA851, INDEX('Refrigerant GWPs'!$G$2:$G$154,MATCH(Y851,'Refrigerant GWPs'!$A$2:$A$154,0))))</f>
        <v/>
      </c>
      <c r="DF851" s="146" t="str">
        <f>IF(W851&lt;&gt;"AR","",INDEX('Device Refrigerant Leakage'!$E$2:$E$42,MATCH(X851,'Device Refrigerant Leakage'!$B$2:$B$42,0)))</f>
        <v/>
      </c>
      <c r="DG851" s="146" t="str">
        <f>IF(W851&lt;&gt;"AR","",INDEX('Device Refrigerant Leakage'!$F$2:$F$42,MATCH(X851,'Device Refrigerant Leakage'!$B$2:$B$42,0)))</f>
        <v/>
      </c>
      <c r="DH851" s="146" t="str">
        <f>IF(W851&lt;&gt;"AR","",INDEX('Device Refrigerant Leakage'!$G$2:$G$42,MATCH(X851,'Device Refrigerant Leakage'!$B$2:$B$42,0)))</f>
        <v/>
      </c>
      <c r="DI851" s="146" t="str">
        <f>IF(W851&lt;&gt;"AR","",J851*INDEX('Device Refrigerant Leakage'!$D$2:$D$42,MATCH(X851,'Device Refrigerant Leakage'!$B$2:$B$42,0))*DF851/2204.62*DE851)</f>
        <v/>
      </c>
      <c r="DJ851" s="146" t="str">
        <f>IF(W851&lt;&gt;"AR","",J851*(INDEX('Device Refrigerant Leakage'!$D$2:$D$42,MATCH(X851,'Device Refrigerant Leakage'!$B$2:$B$42,0))-(INDEX('Device Refrigerant Leakage'!$D$2:$D$42,MATCH(X851,'Device Refrigerant Leakage'!$B$2:$B$42,0)))*DH851*DF851)*DG851/2204.62*DE851)</f>
        <v/>
      </c>
      <c r="DK851" s="146" t="str">
        <f>IF(W851&lt;&gt;"AR","",DI851*(K851-AB851)+'Fuel Sub Calcs-Deemed'!DJ851*((K851-AB851)/INDEX('Device Refrigerant Leakage'!$C$2:$C$42,MATCH('Fuel Sub Calcs-Deemed'!X851,'Device Refrigerant Leakage'!$B$2:$B$42,0))))</f>
        <v/>
      </c>
      <c r="DM851" s="56">
        <v>837</v>
      </c>
      <c r="DN851" s="67" t="e">
        <f t="shared" si="1010"/>
        <v>#N/A</v>
      </c>
      <c r="DO851" s="45" t="e">
        <f t="shared" si="1011"/>
        <v>#N/A</v>
      </c>
      <c r="DP851" s="67" t="e">
        <f t="shared" si="1012"/>
        <v>#N/A</v>
      </c>
      <c r="DQ851" s="45" t="e">
        <f t="shared" si="1013"/>
        <v>#N/A</v>
      </c>
      <c r="DR851" s="69" t="e">
        <f t="shared" si="1014"/>
        <v>#N/A</v>
      </c>
      <c r="DS851" s="34"/>
      <c r="DT851" s="67" t="e">
        <f>((BX851*CJ851)+IF($W851=MAT_AR,(BZ851*CL851),0))*(1+Reference!$E$50+Reference!$E$51)</f>
        <v>#N/A</v>
      </c>
      <c r="DU851" s="67">
        <f>((BY851*CK851)+IF($W851=MAT_AR,(CA851*CM851),0))*(1+Reference!$G$50+Reference!$G$51)</f>
        <v>0</v>
      </c>
      <c r="DV851" s="67" t="e">
        <f t="shared" si="1015"/>
        <v>#VALUE!</v>
      </c>
      <c r="DX851" s="56">
        <v>837</v>
      </c>
      <c r="DY851" s="67">
        <f t="shared" si="1016"/>
        <v>0</v>
      </c>
      <c r="DZ851" s="45" t="e">
        <f>VLOOKUP($R851,Dropdown!$C$3:$D$4,2,FALSE)</f>
        <v>#N/A</v>
      </c>
      <c r="EA851" s="68">
        <f t="shared" si="1017"/>
        <v>0</v>
      </c>
      <c r="EB851" s="68" t="str">
        <f t="shared" si="1018"/>
        <v>N/A</v>
      </c>
      <c r="EC851" s="68">
        <f t="shared" si="1019"/>
        <v>0</v>
      </c>
      <c r="ED851" s="68" t="str">
        <f t="shared" si="989"/>
        <v>N/A</v>
      </c>
      <c r="EF851" s="56">
        <v>837</v>
      </c>
      <c r="EG851" s="46">
        <f t="shared" si="1020"/>
        <v>0</v>
      </c>
      <c r="EH851" s="68" t="e">
        <f t="shared" si="1021"/>
        <v>#N/A</v>
      </c>
      <c r="EI851" s="68" t="e">
        <f t="shared" si="1022"/>
        <v>#N/A</v>
      </c>
      <c r="EJ851" s="68" t="e">
        <f t="shared" si="1023"/>
        <v>#N/A</v>
      </c>
      <c r="EK851" s="68" t="e">
        <f t="shared" si="1024"/>
        <v>#N/A</v>
      </c>
      <c r="EL851" s="46">
        <f t="shared" si="1025"/>
        <v>0</v>
      </c>
      <c r="EM851" s="46">
        <f t="shared" si="1026"/>
        <v>0</v>
      </c>
    </row>
    <row r="852" spans="1:143">
      <c r="A852" s="89"/>
      <c r="B852" s="89"/>
      <c r="C852" s="89"/>
      <c r="D852" s="89"/>
      <c r="E852" s="89"/>
      <c r="F852" s="89"/>
      <c r="G852" s="34"/>
      <c r="H852" s="56">
        <f t="shared" si="1027"/>
        <v>838</v>
      </c>
      <c r="I852" s="165"/>
      <c r="J852" s="163"/>
      <c r="K852" s="163"/>
      <c r="L852" s="164"/>
      <c r="M852" s="155"/>
      <c r="N852" s="155"/>
      <c r="O852" s="144"/>
      <c r="P852" s="159" t="str">
        <f>IFERROR(IF(O852&lt;&gt;"User Specified",IF(O852&lt;&gt;"", INDEX('Refrigerant GWPs'!$G$2:$G$154,MATCH(O852,'Refrigerant GWPs'!$A$2:$A$154,0)),""),U852),0)</f>
        <v/>
      </c>
      <c r="Q852" s="155"/>
      <c r="R852" s="155"/>
      <c r="S852" s="144"/>
      <c r="T852" s="159" t="str">
        <f>IF(S852&lt;&gt;"User Specified",IF(AND(S852&lt;&gt;"User Specified",S852&lt;&gt;""), INDEX('Refrigerant GWPs'!$G$2:$G$154,MATCH(S852,'Refrigerant GWPs'!$A$2:$A$154,0)),""),V852)</f>
        <v/>
      </c>
      <c r="U852" s="144"/>
      <c r="V852" s="144"/>
      <c r="W852" s="155"/>
      <c r="X852" s="155"/>
      <c r="Y852" s="144"/>
      <c r="Z852" s="159" t="str">
        <f>IF(AND(Y852&lt;&gt;"User Specified",Y852&lt;&gt;""), INDEX('Refrigerant GWPs'!$G$2:$G$154,MATCH(Y852,'Refrigerant GWPs'!$A$2:$A$154,0)),"")</f>
        <v/>
      </c>
      <c r="AA852" s="155"/>
      <c r="AB852" s="156"/>
      <c r="AC852" s="66"/>
      <c r="AD852" s="66"/>
      <c r="AE852" s="66"/>
      <c r="AF852" s="66"/>
      <c r="AG852" s="66"/>
      <c r="AH852" s="66"/>
      <c r="AI852" s="34"/>
      <c r="AJ852" s="88">
        <f t="shared" si="990"/>
        <v>0</v>
      </c>
      <c r="AK852" s="88">
        <f t="shared" si="991"/>
        <v>0</v>
      </c>
      <c r="AL852" s="88">
        <v>0</v>
      </c>
      <c r="AM852" s="88">
        <v>0</v>
      </c>
      <c r="AN852" s="81" t="str">
        <f t="shared" si="961"/>
        <v/>
      </c>
      <c r="AO852" s="88">
        <f t="shared" si="992"/>
        <v>0</v>
      </c>
      <c r="AP852" s="88">
        <f t="shared" si="993"/>
        <v>0</v>
      </c>
      <c r="AQ852" s="81" t="str">
        <f t="shared" si="994"/>
        <v/>
      </c>
      <c r="AS852" s="41" t="b">
        <f t="shared" si="995"/>
        <v>1</v>
      </c>
      <c r="AT852" s="38">
        <f t="shared" si="996"/>
        <v>0</v>
      </c>
      <c r="AU852" s="60">
        <f t="shared" si="997"/>
        <v>0</v>
      </c>
      <c r="AV852" s="41">
        <f t="shared" si="998"/>
        <v>0</v>
      </c>
      <c r="AW852" s="41" t="b">
        <f t="shared" si="999"/>
        <v>0</v>
      </c>
      <c r="AX852" t="str">
        <f t="shared" si="1000"/>
        <v>+00</v>
      </c>
      <c r="AY852" t="str">
        <f t="shared" si="1001"/>
        <v>+00</v>
      </c>
      <c r="BA852" s="47" t="b">
        <f t="shared" si="962"/>
        <v>1</v>
      </c>
      <c r="BB852" s="42" t="b">
        <f t="shared" si="963"/>
        <v>1</v>
      </c>
      <c r="BC852" s="42" t="b">
        <f t="shared" si="964"/>
        <v>0</v>
      </c>
      <c r="BD852" s="42" t="b">
        <f t="shared" si="965"/>
        <v>0</v>
      </c>
      <c r="BE852" s="70">
        <f t="shared" si="966"/>
        <v>0</v>
      </c>
      <c r="BF852" s="70">
        <f t="shared" si="967"/>
        <v>0</v>
      </c>
      <c r="BG852" s="34"/>
      <c r="BI852" s="47" t="b">
        <f t="shared" si="968"/>
        <v>1</v>
      </c>
      <c r="BJ852" s="47" t="b">
        <f t="shared" si="969"/>
        <v>1</v>
      </c>
      <c r="BK852" s="42" t="b">
        <f t="shared" si="970"/>
        <v>0</v>
      </c>
      <c r="BL852" s="42" t="b">
        <f t="shared" si="971"/>
        <v>0</v>
      </c>
      <c r="BM852" s="42">
        <f t="shared" si="972"/>
        <v>0</v>
      </c>
      <c r="BN852" s="42">
        <f t="shared" si="973"/>
        <v>0</v>
      </c>
      <c r="BP852" t="e">
        <f t="shared" si="974"/>
        <v>#N/A</v>
      </c>
      <c r="BQ852" t="e">
        <f t="shared" si="975"/>
        <v>#N/A</v>
      </c>
      <c r="BR852" t="e">
        <f t="shared" si="976"/>
        <v>#N/A</v>
      </c>
      <c r="BT852" s="60">
        <f t="shared" si="977"/>
        <v>0</v>
      </c>
      <c r="BU852" s="60">
        <f t="shared" si="978"/>
        <v>0</v>
      </c>
      <c r="BV852" s="60">
        <f t="shared" si="979"/>
        <v>0</v>
      </c>
      <c r="BW852" s="60">
        <f t="shared" si="980"/>
        <v>0</v>
      </c>
      <c r="BX852" s="60">
        <f t="shared" si="981"/>
        <v>0</v>
      </c>
      <c r="BY852" s="60">
        <f t="shared" si="982"/>
        <v>0</v>
      </c>
      <c r="BZ852" s="60">
        <f t="shared" si="983"/>
        <v>0</v>
      </c>
      <c r="CA852" s="60">
        <f t="shared" si="984"/>
        <v>0</v>
      </c>
      <c r="CB852" s="60" t="e">
        <f t="shared" si="1002"/>
        <v>#N/A</v>
      </c>
      <c r="CC852" s="60">
        <f t="shared" si="1003"/>
        <v>100000</v>
      </c>
      <c r="CD852" s="60" t="e">
        <f t="shared" si="1004"/>
        <v>#N/A</v>
      </c>
      <c r="CE852" s="60">
        <f t="shared" si="1005"/>
        <v>100000</v>
      </c>
      <c r="CF852" s="83" t="e">
        <f t="shared" si="985"/>
        <v>#N/A</v>
      </c>
      <c r="CG852" s="83">
        <f t="shared" si="986"/>
        <v>0</v>
      </c>
      <c r="CH852" s="83" t="e">
        <f t="shared" si="987"/>
        <v>#N/A</v>
      </c>
      <c r="CI852" s="83">
        <f t="shared" si="988"/>
        <v>0</v>
      </c>
      <c r="CJ852" s="86" t="e">
        <f t="shared" si="1006"/>
        <v>#N/A</v>
      </c>
      <c r="CK852" s="82">
        <f t="shared" si="1007"/>
        <v>5.3070370403969858E-3</v>
      </c>
      <c r="CL852" s="82" t="e">
        <f t="shared" si="1008"/>
        <v>#N/A</v>
      </c>
      <c r="CM852" s="82">
        <f t="shared" si="1009"/>
        <v>5.3070370403969858E-3</v>
      </c>
      <c r="CO852" s="149" t="str">
        <f>IF($I852&lt;&gt;"",IF(O852="User Specified",U852,INDEX('Refrigerant GWPs'!$G$2:$G$156,MATCH(O852,'Refrigerant GWPs'!$A$2:$A$156,0))),"")</f>
        <v/>
      </c>
      <c r="CP852" s="138" t="str">
        <f>IF($I852&lt;&gt;"",INDEX('Device Refrigerant Leakage'!$E$2:$E$42,MATCH($M852,'Device Refrigerant Leakage'!$B$2:$B$42,0)),"")</f>
        <v/>
      </c>
      <c r="CQ852" s="138" t="str">
        <f>IF($I852&lt;&gt;"",INDEX('Device Refrigerant Leakage'!$F$2:$F$42,MATCH($M852,'Device Refrigerant Leakage'!$B$2:$B$42,0)),"")</f>
        <v/>
      </c>
      <c r="CR852" s="145" t="str">
        <f>IF($I852&lt;&gt;"",INDEX('Device Refrigerant Leakage'!$G$2:$G$42,MATCH($M852,'Device Refrigerant Leakage'!$B$2:$B$42,0)),"")</f>
        <v/>
      </c>
      <c r="CS852" s="145" t="str">
        <f>IF($I852&lt;&gt;"",INDEX('Device Refrigerant Leakage'!$D$2:$D$42,MATCH($M852,'Device Refrigerant Leakage'!$B$2:$B$42,0))*CP852/2204.62*CO852,"")</f>
        <v/>
      </c>
      <c r="CT852" s="145" t="str">
        <f>IF($I852&lt;&gt;"",J852*(INDEX('Device Refrigerant Leakage'!$D$2:$D$42,MATCH($M852,'Device Refrigerant Leakage'!$B$2:$B$42,0))-(INDEX('Device Refrigerant Leakage'!$D$2:$D$42,MATCH($M852,'Device Refrigerant Leakage'!$B$2:$B$42,0)))*CR852*CP852)*CQ852/2204.62*CO852,"")</f>
        <v/>
      </c>
      <c r="CU852" s="135" t="str">
        <f>IF($I852&lt;&gt;"",J852*IF(W852&lt;&gt;"AR",(CS852*K852)+CT852,(CS852*AB852)+CT852*(AB852/INDEX('Device Refrigerant Leakage'!$C$2:$C$42,MATCH($M852,'Device Refrigerant Leakage'!$B$2:$B$42,0)))),"")</f>
        <v/>
      </c>
      <c r="CW852" s="135" t="str">
        <f>IF($I852&lt;&gt;"",IF(S852="User Specified",V852,INDEX('Refrigerant GWPs'!$G$2:$G$156,MATCH(S852,'Refrigerant GWPs'!$A$2:$A$157,0))),"")</f>
        <v/>
      </c>
      <c r="CX852" s="138" t="str">
        <f>IF($I852&lt;&gt;"",INDEX('Device Refrigerant Leakage'!$E$2:$E$42,MATCH($Q852,'Device Refrigerant Leakage'!$B$2:$B$42,0)),"")</f>
        <v/>
      </c>
      <c r="CY852" s="138" t="str">
        <f>IF($I852&lt;&gt;"",INDEX('Device Refrigerant Leakage'!$F$2:$F$42,MATCH($Q852,'Device Refrigerant Leakage'!$B$2:$B$42,0)),"")</f>
        <v/>
      </c>
      <c r="CZ852" s="145" t="str">
        <f>IF($I852&lt;&gt;"",INDEX('Device Refrigerant Leakage'!$G$2:$G$42,MATCH($Q852,'Device Refrigerant Leakage'!$B$2:$B$42,0)),"")</f>
        <v/>
      </c>
      <c r="DA852" s="145" t="str">
        <f>IF($I852&lt;&gt;"",J852*INDEX('Device Refrigerant Leakage'!$D$2:$D$42,MATCH($Q852,'Device Refrigerant Leakage'!$B$2:$B$42,0))*CX852/2204.62*CW852,"")</f>
        <v/>
      </c>
      <c r="DB852" s="145" t="str">
        <f>IF($I852&lt;&gt;"",J852*(INDEX('Device Refrigerant Leakage'!$D$2:$D$42,MATCH($Q852,'Device Refrigerant Leakage'!$B$2:$B$42,0))-(INDEX('Device Refrigerant Leakage'!$D$2:$D$42,MATCH($Q852,'Device Refrigerant Leakage'!$B$2:$B$42,0)))*CZ852*CX852)*CY852/2204.62*CW852,"")</f>
        <v/>
      </c>
      <c r="DC852" s="135" t="str">
        <f t="shared" si="1028"/>
        <v/>
      </c>
      <c r="DE852" s="146" t="str">
        <f>IF(W852&lt;&gt;"AR","",IF(Y852="User Specified", AA852, INDEX('Refrigerant GWPs'!$G$2:$G$154,MATCH(Y852,'Refrigerant GWPs'!$A$2:$A$154,0))))</f>
        <v/>
      </c>
      <c r="DF852" s="146" t="str">
        <f>IF(W852&lt;&gt;"AR","",INDEX('Device Refrigerant Leakage'!$E$2:$E$42,MATCH(X852,'Device Refrigerant Leakage'!$B$2:$B$42,0)))</f>
        <v/>
      </c>
      <c r="DG852" s="146" t="str">
        <f>IF(W852&lt;&gt;"AR","",INDEX('Device Refrigerant Leakage'!$F$2:$F$42,MATCH(X852,'Device Refrigerant Leakage'!$B$2:$B$42,0)))</f>
        <v/>
      </c>
      <c r="DH852" s="146" t="str">
        <f>IF(W852&lt;&gt;"AR","",INDEX('Device Refrigerant Leakage'!$G$2:$G$42,MATCH(X852,'Device Refrigerant Leakage'!$B$2:$B$42,0)))</f>
        <v/>
      </c>
      <c r="DI852" s="146" t="str">
        <f>IF(W852&lt;&gt;"AR","",J852*INDEX('Device Refrigerant Leakage'!$D$2:$D$42,MATCH(X852,'Device Refrigerant Leakage'!$B$2:$B$42,0))*DF852/2204.62*DE852)</f>
        <v/>
      </c>
      <c r="DJ852" s="146" t="str">
        <f>IF(W852&lt;&gt;"AR","",J852*(INDEX('Device Refrigerant Leakage'!$D$2:$D$42,MATCH(X852,'Device Refrigerant Leakage'!$B$2:$B$42,0))-(INDEX('Device Refrigerant Leakage'!$D$2:$D$42,MATCH(X852,'Device Refrigerant Leakage'!$B$2:$B$42,0)))*DH852*DF852)*DG852/2204.62*DE852)</f>
        <v/>
      </c>
      <c r="DK852" s="146" t="str">
        <f>IF(W852&lt;&gt;"AR","",DI852*(K852-AB852)+'Fuel Sub Calcs-Deemed'!DJ852*((K852-AB852)/INDEX('Device Refrigerant Leakage'!$C$2:$C$42,MATCH('Fuel Sub Calcs-Deemed'!X852,'Device Refrigerant Leakage'!$B$2:$B$42,0))))</f>
        <v/>
      </c>
      <c r="DM852" s="56">
        <v>838</v>
      </c>
      <c r="DN852" s="67" t="e">
        <f t="shared" si="1010"/>
        <v>#N/A</v>
      </c>
      <c r="DO852" s="45" t="e">
        <f t="shared" si="1011"/>
        <v>#N/A</v>
      </c>
      <c r="DP852" s="67" t="e">
        <f t="shared" si="1012"/>
        <v>#N/A</v>
      </c>
      <c r="DQ852" s="45" t="e">
        <f t="shared" si="1013"/>
        <v>#N/A</v>
      </c>
      <c r="DR852" s="69" t="e">
        <f t="shared" si="1014"/>
        <v>#N/A</v>
      </c>
      <c r="DS852" s="34"/>
      <c r="DT852" s="67" t="e">
        <f>((BX852*CJ852)+IF($W852=MAT_AR,(BZ852*CL852),0))*(1+Reference!$E$50+Reference!$E$51)</f>
        <v>#N/A</v>
      </c>
      <c r="DU852" s="67">
        <f>((BY852*CK852)+IF($W852=MAT_AR,(CA852*CM852),0))*(1+Reference!$G$50+Reference!$G$51)</f>
        <v>0</v>
      </c>
      <c r="DV852" s="67" t="e">
        <f t="shared" si="1015"/>
        <v>#VALUE!</v>
      </c>
      <c r="DX852" s="56">
        <v>838</v>
      </c>
      <c r="DY852" s="67">
        <f t="shared" si="1016"/>
        <v>0</v>
      </c>
      <c r="DZ852" s="45" t="e">
        <f>VLOOKUP($R852,Dropdown!$C$3:$D$4,2,FALSE)</f>
        <v>#N/A</v>
      </c>
      <c r="EA852" s="68">
        <f t="shared" si="1017"/>
        <v>0</v>
      </c>
      <c r="EB852" s="68" t="str">
        <f t="shared" si="1018"/>
        <v>N/A</v>
      </c>
      <c r="EC852" s="68">
        <f t="shared" si="1019"/>
        <v>0</v>
      </c>
      <c r="ED852" s="68" t="str">
        <f t="shared" si="989"/>
        <v>N/A</v>
      </c>
      <c r="EF852" s="56">
        <v>838</v>
      </c>
      <c r="EG852" s="46">
        <f t="shared" si="1020"/>
        <v>0</v>
      </c>
      <c r="EH852" s="68" t="e">
        <f t="shared" si="1021"/>
        <v>#N/A</v>
      </c>
      <c r="EI852" s="68" t="e">
        <f t="shared" si="1022"/>
        <v>#N/A</v>
      </c>
      <c r="EJ852" s="68" t="e">
        <f t="shared" si="1023"/>
        <v>#N/A</v>
      </c>
      <c r="EK852" s="68" t="e">
        <f t="shared" si="1024"/>
        <v>#N/A</v>
      </c>
      <c r="EL852" s="46">
        <f t="shared" si="1025"/>
        <v>0</v>
      </c>
      <c r="EM852" s="46">
        <f t="shared" si="1026"/>
        <v>0</v>
      </c>
    </row>
    <row r="853" spans="1:143">
      <c r="A853" s="89"/>
      <c r="B853" s="89"/>
      <c r="C853" s="89"/>
      <c r="D853" s="89"/>
      <c r="E853" s="89"/>
      <c r="F853" s="89"/>
      <c r="G853" s="34"/>
      <c r="H853" s="56">
        <f t="shared" si="1027"/>
        <v>839</v>
      </c>
      <c r="I853" s="165"/>
      <c r="J853" s="163"/>
      <c r="K853" s="163"/>
      <c r="L853" s="164"/>
      <c r="M853" s="155"/>
      <c r="N853" s="155"/>
      <c r="O853" s="144"/>
      <c r="P853" s="159" t="str">
        <f>IFERROR(IF(O853&lt;&gt;"User Specified",IF(O853&lt;&gt;"", INDEX('Refrigerant GWPs'!$G$2:$G$154,MATCH(O853,'Refrigerant GWPs'!$A$2:$A$154,0)),""),U853),0)</f>
        <v/>
      </c>
      <c r="Q853" s="155"/>
      <c r="R853" s="155"/>
      <c r="S853" s="144"/>
      <c r="T853" s="159" t="str">
        <f>IF(S853&lt;&gt;"User Specified",IF(AND(S853&lt;&gt;"User Specified",S853&lt;&gt;""), INDEX('Refrigerant GWPs'!$G$2:$G$154,MATCH(S853,'Refrigerant GWPs'!$A$2:$A$154,0)),""),V853)</f>
        <v/>
      </c>
      <c r="U853" s="144"/>
      <c r="V853" s="144"/>
      <c r="W853" s="155"/>
      <c r="X853" s="155"/>
      <c r="Y853" s="144"/>
      <c r="Z853" s="159" t="str">
        <f>IF(AND(Y853&lt;&gt;"User Specified",Y853&lt;&gt;""), INDEX('Refrigerant GWPs'!$G$2:$G$154,MATCH(Y853,'Refrigerant GWPs'!$A$2:$A$154,0)),"")</f>
        <v/>
      </c>
      <c r="AA853" s="155"/>
      <c r="AB853" s="156"/>
      <c r="AC853" s="66"/>
      <c r="AD853" s="66"/>
      <c r="AE853" s="66"/>
      <c r="AF853" s="66"/>
      <c r="AG853" s="66"/>
      <c r="AH853" s="66"/>
      <c r="AI853" s="34"/>
      <c r="AJ853" s="88">
        <f t="shared" si="990"/>
        <v>0</v>
      </c>
      <c r="AK853" s="88">
        <f t="shared" si="991"/>
        <v>0</v>
      </c>
      <c r="AL853" s="88">
        <v>0</v>
      </c>
      <c r="AM853" s="88">
        <v>0</v>
      </c>
      <c r="AN853" s="81" t="str">
        <f t="shared" si="961"/>
        <v/>
      </c>
      <c r="AO853" s="88">
        <f t="shared" si="992"/>
        <v>0</v>
      </c>
      <c r="AP853" s="88">
        <f t="shared" si="993"/>
        <v>0</v>
      </c>
      <c r="AQ853" s="81" t="str">
        <f t="shared" si="994"/>
        <v/>
      </c>
      <c r="AS853" s="41" t="b">
        <f t="shared" si="995"/>
        <v>1</v>
      </c>
      <c r="AT853" s="38">
        <f t="shared" si="996"/>
        <v>0</v>
      </c>
      <c r="AU853" s="60">
        <f t="shared" si="997"/>
        <v>0</v>
      </c>
      <c r="AV853" s="41">
        <f t="shared" si="998"/>
        <v>0</v>
      </c>
      <c r="AW853" s="41" t="b">
        <f t="shared" si="999"/>
        <v>0</v>
      </c>
      <c r="AX853" t="str">
        <f t="shared" si="1000"/>
        <v>+00</v>
      </c>
      <c r="AY853" t="str">
        <f t="shared" si="1001"/>
        <v>+00</v>
      </c>
      <c r="BA853" s="47" t="b">
        <f t="shared" si="962"/>
        <v>1</v>
      </c>
      <c r="BB853" s="42" t="b">
        <f t="shared" si="963"/>
        <v>1</v>
      </c>
      <c r="BC853" s="42" t="b">
        <f t="shared" si="964"/>
        <v>0</v>
      </c>
      <c r="BD853" s="42" t="b">
        <f t="shared" si="965"/>
        <v>0</v>
      </c>
      <c r="BE853" s="70">
        <f t="shared" si="966"/>
        <v>0</v>
      </c>
      <c r="BF853" s="70">
        <f t="shared" si="967"/>
        <v>0</v>
      </c>
      <c r="BG853" s="34"/>
      <c r="BI853" s="47" t="b">
        <f t="shared" si="968"/>
        <v>1</v>
      </c>
      <c r="BJ853" s="47" t="b">
        <f t="shared" si="969"/>
        <v>1</v>
      </c>
      <c r="BK853" s="42" t="b">
        <f t="shared" si="970"/>
        <v>0</v>
      </c>
      <c r="BL853" s="42" t="b">
        <f t="shared" si="971"/>
        <v>0</v>
      </c>
      <c r="BM853" s="42">
        <f t="shared" si="972"/>
        <v>0</v>
      </c>
      <c r="BN853" s="42">
        <f t="shared" si="973"/>
        <v>0</v>
      </c>
      <c r="BP853" t="e">
        <f t="shared" si="974"/>
        <v>#N/A</v>
      </c>
      <c r="BQ853" t="e">
        <f t="shared" si="975"/>
        <v>#N/A</v>
      </c>
      <c r="BR853" t="e">
        <f t="shared" si="976"/>
        <v>#N/A</v>
      </c>
      <c r="BT853" s="60">
        <f t="shared" si="977"/>
        <v>0</v>
      </c>
      <c r="BU853" s="60">
        <f t="shared" si="978"/>
        <v>0</v>
      </c>
      <c r="BV853" s="60">
        <f t="shared" si="979"/>
        <v>0</v>
      </c>
      <c r="BW853" s="60">
        <f t="shared" si="980"/>
        <v>0</v>
      </c>
      <c r="BX853" s="60">
        <f t="shared" si="981"/>
        <v>0</v>
      </c>
      <c r="BY853" s="60">
        <f t="shared" si="982"/>
        <v>0</v>
      </c>
      <c r="BZ853" s="60">
        <f t="shared" si="983"/>
        <v>0</v>
      </c>
      <c r="CA853" s="60">
        <f t="shared" si="984"/>
        <v>0</v>
      </c>
      <c r="CB853" s="60" t="e">
        <f t="shared" si="1002"/>
        <v>#N/A</v>
      </c>
      <c r="CC853" s="60">
        <f t="shared" si="1003"/>
        <v>100000</v>
      </c>
      <c r="CD853" s="60" t="e">
        <f t="shared" si="1004"/>
        <v>#N/A</v>
      </c>
      <c r="CE853" s="60">
        <f t="shared" si="1005"/>
        <v>100000</v>
      </c>
      <c r="CF853" s="83" t="e">
        <f t="shared" si="985"/>
        <v>#N/A</v>
      </c>
      <c r="CG853" s="83">
        <f t="shared" si="986"/>
        <v>0</v>
      </c>
      <c r="CH853" s="83" t="e">
        <f t="shared" si="987"/>
        <v>#N/A</v>
      </c>
      <c r="CI853" s="83">
        <f t="shared" si="988"/>
        <v>0</v>
      </c>
      <c r="CJ853" s="86" t="e">
        <f t="shared" si="1006"/>
        <v>#N/A</v>
      </c>
      <c r="CK853" s="82">
        <f t="shared" si="1007"/>
        <v>5.3070370403969858E-3</v>
      </c>
      <c r="CL853" s="82" t="e">
        <f t="shared" si="1008"/>
        <v>#N/A</v>
      </c>
      <c r="CM853" s="82">
        <f t="shared" si="1009"/>
        <v>5.3070370403969858E-3</v>
      </c>
      <c r="CO853" s="149" t="str">
        <f>IF($I853&lt;&gt;"",IF(O853="User Specified",U853,INDEX('Refrigerant GWPs'!$G$2:$G$156,MATCH(O853,'Refrigerant GWPs'!$A$2:$A$156,0))),"")</f>
        <v/>
      </c>
      <c r="CP853" s="138" t="str">
        <f>IF($I853&lt;&gt;"",INDEX('Device Refrigerant Leakage'!$E$2:$E$42,MATCH($M853,'Device Refrigerant Leakage'!$B$2:$B$42,0)),"")</f>
        <v/>
      </c>
      <c r="CQ853" s="138" t="str">
        <f>IF($I853&lt;&gt;"",INDEX('Device Refrigerant Leakage'!$F$2:$F$42,MATCH($M853,'Device Refrigerant Leakage'!$B$2:$B$42,0)),"")</f>
        <v/>
      </c>
      <c r="CR853" s="145" t="str">
        <f>IF($I853&lt;&gt;"",INDEX('Device Refrigerant Leakage'!$G$2:$G$42,MATCH($M853,'Device Refrigerant Leakage'!$B$2:$B$42,0)),"")</f>
        <v/>
      </c>
      <c r="CS853" s="145" t="str">
        <f>IF($I853&lt;&gt;"",INDEX('Device Refrigerant Leakage'!$D$2:$D$42,MATCH($M853,'Device Refrigerant Leakage'!$B$2:$B$42,0))*CP853/2204.62*CO853,"")</f>
        <v/>
      </c>
      <c r="CT853" s="145" t="str">
        <f>IF($I853&lt;&gt;"",J853*(INDEX('Device Refrigerant Leakage'!$D$2:$D$42,MATCH($M853,'Device Refrigerant Leakage'!$B$2:$B$42,0))-(INDEX('Device Refrigerant Leakage'!$D$2:$D$42,MATCH($M853,'Device Refrigerant Leakage'!$B$2:$B$42,0)))*CR853*CP853)*CQ853/2204.62*CO853,"")</f>
        <v/>
      </c>
      <c r="CU853" s="135" t="str">
        <f>IF($I853&lt;&gt;"",J853*IF(W853&lt;&gt;"AR",(CS853*K853)+CT853,(CS853*AB853)+CT853*(AB853/INDEX('Device Refrigerant Leakage'!$C$2:$C$42,MATCH($M853,'Device Refrigerant Leakage'!$B$2:$B$42,0)))),"")</f>
        <v/>
      </c>
      <c r="CW853" s="135" t="str">
        <f>IF($I853&lt;&gt;"",IF(S853="User Specified",V853,INDEX('Refrigerant GWPs'!$G$2:$G$156,MATCH(S853,'Refrigerant GWPs'!$A$2:$A$157,0))),"")</f>
        <v/>
      </c>
      <c r="CX853" s="138" t="str">
        <f>IF($I853&lt;&gt;"",INDEX('Device Refrigerant Leakage'!$E$2:$E$42,MATCH($Q853,'Device Refrigerant Leakage'!$B$2:$B$42,0)),"")</f>
        <v/>
      </c>
      <c r="CY853" s="138" t="str">
        <f>IF($I853&lt;&gt;"",INDEX('Device Refrigerant Leakage'!$F$2:$F$42,MATCH($Q853,'Device Refrigerant Leakage'!$B$2:$B$42,0)),"")</f>
        <v/>
      </c>
      <c r="CZ853" s="145" t="str">
        <f>IF($I853&lt;&gt;"",INDEX('Device Refrigerant Leakage'!$G$2:$G$42,MATCH($Q853,'Device Refrigerant Leakage'!$B$2:$B$42,0)),"")</f>
        <v/>
      </c>
      <c r="DA853" s="145" t="str">
        <f>IF($I853&lt;&gt;"",J853*INDEX('Device Refrigerant Leakage'!$D$2:$D$42,MATCH($Q853,'Device Refrigerant Leakage'!$B$2:$B$42,0))*CX853/2204.62*CW853,"")</f>
        <v/>
      </c>
      <c r="DB853" s="145" t="str">
        <f>IF($I853&lt;&gt;"",J853*(INDEX('Device Refrigerant Leakage'!$D$2:$D$42,MATCH($Q853,'Device Refrigerant Leakage'!$B$2:$B$42,0))-(INDEX('Device Refrigerant Leakage'!$D$2:$D$42,MATCH($Q853,'Device Refrigerant Leakage'!$B$2:$B$42,0)))*CZ853*CX853)*CY853/2204.62*CW853,"")</f>
        <v/>
      </c>
      <c r="DC853" s="135" t="str">
        <f t="shared" si="1028"/>
        <v/>
      </c>
      <c r="DE853" s="146" t="str">
        <f>IF(W853&lt;&gt;"AR","",IF(Y853="User Specified", AA853, INDEX('Refrigerant GWPs'!$G$2:$G$154,MATCH(Y853,'Refrigerant GWPs'!$A$2:$A$154,0))))</f>
        <v/>
      </c>
      <c r="DF853" s="146" t="str">
        <f>IF(W853&lt;&gt;"AR","",INDEX('Device Refrigerant Leakage'!$E$2:$E$42,MATCH(X853,'Device Refrigerant Leakage'!$B$2:$B$42,0)))</f>
        <v/>
      </c>
      <c r="DG853" s="146" t="str">
        <f>IF(W853&lt;&gt;"AR","",INDEX('Device Refrigerant Leakage'!$F$2:$F$42,MATCH(X853,'Device Refrigerant Leakage'!$B$2:$B$42,0)))</f>
        <v/>
      </c>
      <c r="DH853" s="146" t="str">
        <f>IF(W853&lt;&gt;"AR","",INDEX('Device Refrigerant Leakage'!$G$2:$G$42,MATCH(X853,'Device Refrigerant Leakage'!$B$2:$B$42,0)))</f>
        <v/>
      </c>
      <c r="DI853" s="146" t="str">
        <f>IF(W853&lt;&gt;"AR","",J853*INDEX('Device Refrigerant Leakage'!$D$2:$D$42,MATCH(X853,'Device Refrigerant Leakage'!$B$2:$B$42,0))*DF853/2204.62*DE853)</f>
        <v/>
      </c>
      <c r="DJ853" s="146" t="str">
        <f>IF(W853&lt;&gt;"AR","",J853*(INDEX('Device Refrigerant Leakage'!$D$2:$D$42,MATCH(X853,'Device Refrigerant Leakage'!$B$2:$B$42,0))-(INDEX('Device Refrigerant Leakage'!$D$2:$D$42,MATCH(X853,'Device Refrigerant Leakage'!$B$2:$B$42,0)))*DH853*DF853)*DG853/2204.62*DE853)</f>
        <v/>
      </c>
      <c r="DK853" s="146" t="str">
        <f>IF(W853&lt;&gt;"AR","",DI853*(K853-AB853)+'Fuel Sub Calcs-Deemed'!DJ853*((K853-AB853)/INDEX('Device Refrigerant Leakage'!$C$2:$C$42,MATCH('Fuel Sub Calcs-Deemed'!X853,'Device Refrigerant Leakage'!$B$2:$B$42,0))))</f>
        <v/>
      </c>
      <c r="DM853" s="56">
        <v>839</v>
      </c>
      <c r="DN853" s="67" t="e">
        <f t="shared" si="1010"/>
        <v>#N/A</v>
      </c>
      <c r="DO853" s="45" t="e">
        <f t="shared" si="1011"/>
        <v>#N/A</v>
      </c>
      <c r="DP853" s="67" t="e">
        <f t="shared" si="1012"/>
        <v>#N/A</v>
      </c>
      <c r="DQ853" s="45" t="e">
        <f t="shared" si="1013"/>
        <v>#N/A</v>
      </c>
      <c r="DR853" s="69" t="e">
        <f t="shared" si="1014"/>
        <v>#N/A</v>
      </c>
      <c r="DS853" s="34"/>
      <c r="DT853" s="67" t="e">
        <f>((BX853*CJ853)+IF($W853=MAT_AR,(BZ853*CL853),0))*(1+Reference!$E$50+Reference!$E$51)</f>
        <v>#N/A</v>
      </c>
      <c r="DU853" s="67">
        <f>((BY853*CK853)+IF($W853=MAT_AR,(CA853*CM853),0))*(1+Reference!$G$50+Reference!$G$51)</f>
        <v>0</v>
      </c>
      <c r="DV853" s="67" t="e">
        <f t="shared" si="1015"/>
        <v>#VALUE!</v>
      </c>
      <c r="DX853" s="56">
        <v>839</v>
      </c>
      <c r="DY853" s="67">
        <f t="shared" si="1016"/>
        <v>0</v>
      </c>
      <c r="DZ853" s="45" t="e">
        <f>VLOOKUP($R853,Dropdown!$C$3:$D$4,2,FALSE)</f>
        <v>#N/A</v>
      </c>
      <c r="EA853" s="68">
        <f t="shared" si="1017"/>
        <v>0</v>
      </c>
      <c r="EB853" s="68" t="str">
        <f t="shared" si="1018"/>
        <v>N/A</v>
      </c>
      <c r="EC853" s="68">
        <f t="shared" si="1019"/>
        <v>0</v>
      </c>
      <c r="ED853" s="68" t="str">
        <f t="shared" si="989"/>
        <v>N/A</v>
      </c>
      <c r="EF853" s="56">
        <v>839</v>
      </c>
      <c r="EG853" s="46">
        <f t="shared" si="1020"/>
        <v>0</v>
      </c>
      <c r="EH853" s="68" t="e">
        <f t="shared" si="1021"/>
        <v>#N/A</v>
      </c>
      <c r="EI853" s="68" t="e">
        <f t="shared" si="1022"/>
        <v>#N/A</v>
      </c>
      <c r="EJ853" s="68" t="e">
        <f t="shared" si="1023"/>
        <v>#N/A</v>
      </c>
      <c r="EK853" s="68" t="e">
        <f t="shared" si="1024"/>
        <v>#N/A</v>
      </c>
      <c r="EL853" s="46">
        <f t="shared" si="1025"/>
        <v>0</v>
      </c>
      <c r="EM853" s="46">
        <f t="shared" si="1026"/>
        <v>0</v>
      </c>
    </row>
    <row r="854" spans="1:143">
      <c r="A854" s="89"/>
      <c r="B854" s="89"/>
      <c r="C854" s="89"/>
      <c r="D854" s="89"/>
      <c r="E854" s="89"/>
      <c r="F854" s="89"/>
      <c r="G854" s="34"/>
      <c r="H854" s="56">
        <f t="shared" si="1027"/>
        <v>840</v>
      </c>
      <c r="I854" s="165"/>
      <c r="J854" s="163"/>
      <c r="K854" s="163"/>
      <c r="L854" s="164"/>
      <c r="M854" s="155"/>
      <c r="N854" s="155"/>
      <c r="O854" s="144"/>
      <c r="P854" s="159" t="str">
        <f>IFERROR(IF(O854&lt;&gt;"User Specified",IF(O854&lt;&gt;"", INDEX('Refrigerant GWPs'!$G$2:$G$154,MATCH(O854,'Refrigerant GWPs'!$A$2:$A$154,0)),""),U854),0)</f>
        <v/>
      </c>
      <c r="Q854" s="155"/>
      <c r="R854" s="155"/>
      <c r="S854" s="144"/>
      <c r="T854" s="159" t="str">
        <f>IF(S854&lt;&gt;"User Specified",IF(AND(S854&lt;&gt;"User Specified",S854&lt;&gt;""), INDEX('Refrigerant GWPs'!$G$2:$G$154,MATCH(S854,'Refrigerant GWPs'!$A$2:$A$154,0)),""),V854)</f>
        <v/>
      </c>
      <c r="U854" s="144"/>
      <c r="V854" s="144"/>
      <c r="W854" s="155"/>
      <c r="X854" s="155"/>
      <c r="Y854" s="144"/>
      <c r="Z854" s="159" t="str">
        <f>IF(AND(Y854&lt;&gt;"User Specified",Y854&lt;&gt;""), INDEX('Refrigerant GWPs'!$G$2:$G$154,MATCH(Y854,'Refrigerant GWPs'!$A$2:$A$154,0)),"")</f>
        <v/>
      </c>
      <c r="AA854" s="155"/>
      <c r="AB854" s="156"/>
      <c r="AC854" s="66"/>
      <c r="AD854" s="66"/>
      <c r="AE854" s="66"/>
      <c r="AF854" s="66"/>
      <c r="AG854" s="66"/>
      <c r="AH854" s="66"/>
      <c r="AI854" s="34"/>
      <c r="AJ854" s="88">
        <f t="shared" si="990"/>
        <v>0</v>
      </c>
      <c r="AK854" s="88">
        <f t="shared" si="991"/>
        <v>0</v>
      </c>
      <c r="AL854" s="88">
        <v>0</v>
      </c>
      <c r="AM854" s="88">
        <v>0</v>
      </c>
      <c r="AN854" s="81" t="str">
        <f t="shared" si="961"/>
        <v/>
      </c>
      <c r="AO854" s="88">
        <f t="shared" si="992"/>
        <v>0</v>
      </c>
      <c r="AP854" s="88">
        <f t="shared" si="993"/>
        <v>0</v>
      </c>
      <c r="AQ854" s="81" t="str">
        <f t="shared" si="994"/>
        <v/>
      </c>
      <c r="AS854" s="41" t="b">
        <f t="shared" si="995"/>
        <v>1</v>
      </c>
      <c r="AT854" s="38">
        <f t="shared" si="996"/>
        <v>0</v>
      </c>
      <c r="AU854" s="60">
        <f t="shared" si="997"/>
        <v>0</v>
      </c>
      <c r="AV854" s="41">
        <f t="shared" si="998"/>
        <v>0</v>
      </c>
      <c r="AW854" s="41" t="b">
        <f t="shared" si="999"/>
        <v>0</v>
      </c>
      <c r="AX854" t="str">
        <f t="shared" si="1000"/>
        <v>+00</v>
      </c>
      <c r="AY854" t="str">
        <f t="shared" si="1001"/>
        <v>+00</v>
      </c>
      <c r="BA854" s="47" t="b">
        <f t="shared" si="962"/>
        <v>1</v>
      </c>
      <c r="BB854" s="42" t="b">
        <f t="shared" si="963"/>
        <v>1</v>
      </c>
      <c r="BC854" s="42" t="b">
        <f t="shared" si="964"/>
        <v>0</v>
      </c>
      <c r="BD854" s="42" t="b">
        <f t="shared" si="965"/>
        <v>0</v>
      </c>
      <c r="BE854" s="70">
        <f t="shared" si="966"/>
        <v>0</v>
      </c>
      <c r="BF854" s="70">
        <f t="shared" si="967"/>
        <v>0</v>
      </c>
      <c r="BG854" s="34"/>
      <c r="BI854" s="47" t="b">
        <f t="shared" si="968"/>
        <v>1</v>
      </c>
      <c r="BJ854" s="47" t="b">
        <f t="shared" si="969"/>
        <v>1</v>
      </c>
      <c r="BK854" s="42" t="b">
        <f t="shared" si="970"/>
        <v>0</v>
      </c>
      <c r="BL854" s="42" t="b">
        <f t="shared" si="971"/>
        <v>0</v>
      </c>
      <c r="BM854" s="42">
        <f t="shared" si="972"/>
        <v>0</v>
      </c>
      <c r="BN854" s="42">
        <f t="shared" si="973"/>
        <v>0</v>
      </c>
      <c r="BP854" t="e">
        <f t="shared" si="974"/>
        <v>#N/A</v>
      </c>
      <c r="BQ854" t="e">
        <f t="shared" si="975"/>
        <v>#N/A</v>
      </c>
      <c r="BR854" t="e">
        <f t="shared" si="976"/>
        <v>#N/A</v>
      </c>
      <c r="BT854" s="60">
        <f t="shared" si="977"/>
        <v>0</v>
      </c>
      <c r="BU854" s="60">
        <f t="shared" si="978"/>
        <v>0</v>
      </c>
      <c r="BV854" s="60">
        <f t="shared" si="979"/>
        <v>0</v>
      </c>
      <c r="BW854" s="60">
        <f t="shared" si="980"/>
        <v>0</v>
      </c>
      <c r="BX854" s="60">
        <f t="shared" si="981"/>
        <v>0</v>
      </c>
      <c r="BY854" s="60">
        <f t="shared" si="982"/>
        <v>0</v>
      </c>
      <c r="BZ854" s="60">
        <f t="shared" si="983"/>
        <v>0</v>
      </c>
      <c r="CA854" s="60">
        <f t="shared" si="984"/>
        <v>0</v>
      </c>
      <c r="CB854" s="60" t="e">
        <f t="shared" si="1002"/>
        <v>#N/A</v>
      </c>
      <c r="CC854" s="60">
        <f t="shared" si="1003"/>
        <v>100000</v>
      </c>
      <c r="CD854" s="60" t="e">
        <f t="shared" si="1004"/>
        <v>#N/A</v>
      </c>
      <c r="CE854" s="60">
        <f t="shared" si="1005"/>
        <v>100000</v>
      </c>
      <c r="CF854" s="83" t="e">
        <f t="shared" si="985"/>
        <v>#N/A</v>
      </c>
      <c r="CG854" s="83">
        <f t="shared" si="986"/>
        <v>0</v>
      </c>
      <c r="CH854" s="83" t="e">
        <f t="shared" si="987"/>
        <v>#N/A</v>
      </c>
      <c r="CI854" s="83">
        <f t="shared" si="988"/>
        <v>0</v>
      </c>
      <c r="CJ854" s="86" t="e">
        <f t="shared" si="1006"/>
        <v>#N/A</v>
      </c>
      <c r="CK854" s="82">
        <f t="shared" si="1007"/>
        <v>5.3070370403969858E-3</v>
      </c>
      <c r="CL854" s="82" t="e">
        <f t="shared" si="1008"/>
        <v>#N/A</v>
      </c>
      <c r="CM854" s="82">
        <f t="shared" si="1009"/>
        <v>5.3070370403969858E-3</v>
      </c>
      <c r="CO854" s="149" t="str">
        <f>IF($I854&lt;&gt;"",IF(O854="User Specified",U854,INDEX('Refrigerant GWPs'!$G$2:$G$156,MATCH(O854,'Refrigerant GWPs'!$A$2:$A$156,0))),"")</f>
        <v/>
      </c>
      <c r="CP854" s="138" t="str">
        <f>IF($I854&lt;&gt;"",INDEX('Device Refrigerant Leakage'!$E$2:$E$42,MATCH($M854,'Device Refrigerant Leakage'!$B$2:$B$42,0)),"")</f>
        <v/>
      </c>
      <c r="CQ854" s="138" t="str">
        <f>IF($I854&lt;&gt;"",INDEX('Device Refrigerant Leakage'!$F$2:$F$42,MATCH($M854,'Device Refrigerant Leakage'!$B$2:$B$42,0)),"")</f>
        <v/>
      </c>
      <c r="CR854" s="145" t="str">
        <f>IF($I854&lt;&gt;"",INDEX('Device Refrigerant Leakage'!$G$2:$G$42,MATCH($M854,'Device Refrigerant Leakage'!$B$2:$B$42,0)),"")</f>
        <v/>
      </c>
      <c r="CS854" s="145" t="str">
        <f>IF($I854&lt;&gt;"",INDEX('Device Refrigerant Leakage'!$D$2:$D$42,MATCH($M854,'Device Refrigerant Leakage'!$B$2:$B$42,0))*CP854/2204.62*CO854,"")</f>
        <v/>
      </c>
      <c r="CT854" s="145" t="str">
        <f>IF($I854&lt;&gt;"",J854*(INDEX('Device Refrigerant Leakage'!$D$2:$D$42,MATCH($M854,'Device Refrigerant Leakage'!$B$2:$B$42,0))-(INDEX('Device Refrigerant Leakage'!$D$2:$D$42,MATCH($M854,'Device Refrigerant Leakage'!$B$2:$B$42,0)))*CR854*CP854)*CQ854/2204.62*CO854,"")</f>
        <v/>
      </c>
      <c r="CU854" s="135" t="str">
        <f>IF($I854&lt;&gt;"",J854*IF(W854&lt;&gt;"AR",(CS854*K854)+CT854,(CS854*AB854)+CT854*(AB854/INDEX('Device Refrigerant Leakage'!$C$2:$C$42,MATCH($M854,'Device Refrigerant Leakage'!$B$2:$B$42,0)))),"")</f>
        <v/>
      </c>
      <c r="CW854" s="135" t="str">
        <f>IF($I854&lt;&gt;"",IF(S854="User Specified",V854,INDEX('Refrigerant GWPs'!$G$2:$G$156,MATCH(S854,'Refrigerant GWPs'!$A$2:$A$157,0))),"")</f>
        <v/>
      </c>
      <c r="CX854" s="138" t="str">
        <f>IF($I854&lt;&gt;"",INDEX('Device Refrigerant Leakage'!$E$2:$E$42,MATCH($Q854,'Device Refrigerant Leakage'!$B$2:$B$42,0)),"")</f>
        <v/>
      </c>
      <c r="CY854" s="138" t="str">
        <f>IF($I854&lt;&gt;"",INDEX('Device Refrigerant Leakage'!$F$2:$F$42,MATCH($Q854,'Device Refrigerant Leakage'!$B$2:$B$42,0)),"")</f>
        <v/>
      </c>
      <c r="CZ854" s="145" t="str">
        <f>IF($I854&lt;&gt;"",INDEX('Device Refrigerant Leakage'!$G$2:$G$42,MATCH($Q854,'Device Refrigerant Leakage'!$B$2:$B$42,0)),"")</f>
        <v/>
      </c>
      <c r="DA854" s="145" t="str">
        <f>IF($I854&lt;&gt;"",J854*INDEX('Device Refrigerant Leakage'!$D$2:$D$42,MATCH($Q854,'Device Refrigerant Leakage'!$B$2:$B$42,0))*CX854/2204.62*CW854,"")</f>
        <v/>
      </c>
      <c r="DB854" s="145" t="str">
        <f>IF($I854&lt;&gt;"",J854*(INDEX('Device Refrigerant Leakage'!$D$2:$D$42,MATCH($Q854,'Device Refrigerant Leakage'!$B$2:$B$42,0))-(INDEX('Device Refrigerant Leakage'!$D$2:$D$42,MATCH($Q854,'Device Refrigerant Leakage'!$B$2:$B$42,0)))*CZ854*CX854)*CY854/2204.62*CW854,"")</f>
        <v/>
      </c>
      <c r="DC854" s="135" t="str">
        <f t="shared" si="1028"/>
        <v/>
      </c>
      <c r="DE854" s="146" t="str">
        <f>IF(W854&lt;&gt;"AR","",IF(Y854="User Specified", AA854, INDEX('Refrigerant GWPs'!$G$2:$G$154,MATCH(Y854,'Refrigerant GWPs'!$A$2:$A$154,0))))</f>
        <v/>
      </c>
      <c r="DF854" s="146" t="str">
        <f>IF(W854&lt;&gt;"AR","",INDEX('Device Refrigerant Leakage'!$E$2:$E$42,MATCH(X854,'Device Refrigerant Leakage'!$B$2:$B$42,0)))</f>
        <v/>
      </c>
      <c r="DG854" s="146" t="str">
        <f>IF(W854&lt;&gt;"AR","",INDEX('Device Refrigerant Leakage'!$F$2:$F$42,MATCH(X854,'Device Refrigerant Leakage'!$B$2:$B$42,0)))</f>
        <v/>
      </c>
      <c r="DH854" s="146" t="str">
        <f>IF(W854&lt;&gt;"AR","",INDEX('Device Refrigerant Leakage'!$G$2:$G$42,MATCH(X854,'Device Refrigerant Leakage'!$B$2:$B$42,0)))</f>
        <v/>
      </c>
      <c r="DI854" s="146" t="str">
        <f>IF(W854&lt;&gt;"AR","",J854*INDEX('Device Refrigerant Leakage'!$D$2:$D$42,MATCH(X854,'Device Refrigerant Leakage'!$B$2:$B$42,0))*DF854/2204.62*DE854)</f>
        <v/>
      </c>
      <c r="DJ854" s="146" t="str">
        <f>IF(W854&lt;&gt;"AR","",J854*(INDEX('Device Refrigerant Leakage'!$D$2:$D$42,MATCH(X854,'Device Refrigerant Leakage'!$B$2:$B$42,0))-(INDEX('Device Refrigerant Leakage'!$D$2:$D$42,MATCH(X854,'Device Refrigerant Leakage'!$B$2:$B$42,0)))*DH854*DF854)*DG854/2204.62*DE854)</f>
        <v/>
      </c>
      <c r="DK854" s="146" t="str">
        <f>IF(W854&lt;&gt;"AR","",DI854*(K854-AB854)+'Fuel Sub Calcs-Deemed'!DJ854*((K854-AB854)/INDEX('Device Refrigerant Leakage'!$C$2:$C$42,MATCH('Fuel Sub Calcs-Deemed'!X854,'Device Refrigerant Leakage'!$B$2:$B$42,0))))</f>
        <v/>
      </c>
      <c r="DM854" s="56">
        <v>840</v>
      </c>
      <c r="DN854" s="67" t="e">
        <f t="shared" si="1010"/>
        <v>#N/A</v>
      </c>
      <c r="DO854" s="45" t="e">
        <f t="shared" si="1011"/>
        <v>#N/A</v>
      </c>
      <c r="DP854" s="67" t="e">
        <f t="shared" si="1012"/>
        <v>#N/A</v>
      </c>
      <c r="DQ854" s="45" t="e">
        <f t="shared" si="1013"/>
        <v>#N/A</v>
      </c>
      <c r="DR854" s="69" t="e">
        <f t="shared" si="1014"/>
        <v>#N/A</v>
      </c>
      <c r="DS854" s="34"/>
      <c r="DT854" s="67" t="e">
        <f>((BX854*CJ854)+IF($W854=MAT_AR,(BZ854*CL854),0))*(1+Reference!$E$50+Reference!$E$51)</f>
        <v>#N/A</v>
      </c>
      <c r="DU854" s="67">
        <f>((BY854*CK854)+IF($W854=MAT_AR,(CA854*CM854),0))*(1+Reference!$G$50+Reference!$G$51)</f>
        <v>0</v>
      </c>
      <c r="DV854" s="67" t="e">
        <f t="shared" si="1015"/>
        <v>#VALUE!</v>
      </c>
      <c r="DX854" s="56">
        <v>840</v>
      </c>
      <c r="DY854" s="67">
        <f t="shared" si="1016"/>
        <v>0</v>
      </c>
      <c r="DZ854" s="45" t="e">
        <f>VLOOKUP($R854,Dropdown!$C$3:$D$4,2,FALSE)</f>
        <v>#N/A</v>
      </c>
      <c r="EA854" s="68">
        <f t="shared" si="1017"/>
        <v>0</v>
      </c>
      <c r="EB854" s="68" t="str">
        <f t="shared" si="1018"/>
        <v>N/A</v>
      </c>
      <c r="EC854" s="68">
        <f t="shared" si="1019"/>
        <v>0</v>
      </c>
      <c r="ED854" s="68" t="str">
        <f t="shared" si="989"/>
        <v>N/A</v>
      </c>
      <c r="EF854" s="56">
        <v>840</v>
      </c>
      <c r="EG854" s="46">
        <f t="shared" si="1020"/>
        <v>0</v>
      </c>
      <c r="EH854" s="68" t="e">
        <f t="shared" si="1021"/>
        <v>#N/A</v>
      </c>
      <c r="EI854" s="68" t="e">
        <f t="shared" si="1022"/>
        <v>#N/A</v>
      </c>
      <c r="EJ854" s="68" t="e">
        <f t="shared" si="1023"/>
        <v>#N/A</v>
      </c>
      <c r="EK854" s="68" t="e">
        <f t="shared" si="1024"/>
        <v>#N/A</v>
      </c>
      <c r="EL854" s="46">
        <f t="shared" si="1025"/>
        <v>0</v>
      </c>
      <c r="EM854" s="46">
        <f t="shared" si="1026"/>
        <v>0</v>
      </c>
    </row>
    <row r="855" spans="1:143">
      <c r="A855" s="89"/>
      <c r="B855" s="89"/>
      <c r="C855" s="89"/>
      <c r="D855" s="89"/>
      <c r="E855" s="89"/>
      <c r="F855" s="89"/>
      <c r="G855" s="34"/>
      <c r="H855" s="56">
        <f t="shared" si="1027"/>
        <v>841</v>
      </c>
      <c r="I855" s="165"/>
      <c r="J855" s="163"/>
      <c r="K855" s="163"/>
      <c r="L855" s="164"/>
      <c r="M855" s="155"/>
      <c r="N855" s="155"/>
      <c r="O855" s="144"/>
      <c r="P855" s="159" t="str">
        <f>IFERROR(IF(O855&lt;&gt;"User Specified",IF(O855&lt;&gt;"", INDEX('Refrigerant GWPs'!$G$2:$G$154,MATCH(O855,'Refrigerant GWPs'!$A$2:$A$154,0)),""),U855),0)</f>
        <v/>
      </c>
      <c r="Q855" s="155"/>
      <c r="R855" s="155"/>
      <c r="S855" s="144"/>
      <c r="T855" s="159" t="str">
        <f>IF(S855&lt;&gt;"User Specified",IF(AND(S855&lt;&gt;"User Specified",S855&lt;&gt;""), INDEX('Refrigerant GWPs'!$G$2:$G$154,MATCH(S855,'Refrigerant GWPs'!$A$2:$A$154,0)),""),V855)</f>
        <v/>
      </c>
      <c r="U855" s="144"/>
      <c r="V855" s="144"/>
      <c r="W855" s="155"/>
      <c r="X855" s="155"/>
      <c r="Y855" s="144"/>
      <c r="Z855" s="159" t="str">
        <f>IF(AND(Y855&lt;&gt;"User Specified",Y855&lt;&gt;""), INDEX('Refrigerant GWPs'!$G$2:$G$154,MATCH(Y855,'Refrigerant GWPs'!$A$2:$A$154,0)),"")</f>
        <v/>
      </c>
      <c r="AA855" s="155"/>
      <c r="AB855" s="156"/>
      <c r="AC855" s="66"/>
      <c r="AD855" s="66"/>
      <c r="AE855" s="66"/>
      <c r="AF855" s="66"/>
      <c r="AG855" s="66"/>
      <c r="AH855" s="66"/>
      <c r="AI855" s="34"/>
      <c r="AJ855" s="88">
        <f t="shared" si="990"/>
        <v>0</v>
      </c>
      <c r="AK855" s="88">
        <f t="shared" si="991"/>
        <v>0</v>
      </c>
      <c r="AL855" s="88">
        <v>0</v>
      </c>
      <c r="AM855" s="88">
        <v>0</v>
      </c>
      <c r="AN855" s="81" t="str">
        <f t="shared" ref="AN855:AN918" si="1029">IF(OR(BC855:BD855),"Warning: Need to enter baseline and measure consumption","")</f>
        <v/>
      </c>
      <c r="AO855" s="88">
        <f t="shared" si="992"/>
        <v>0</v>
      </c>
      <c r="AP855" s="88">
        <f t="shared" si="993"/>
        <v>0</v>
      </c>
      <c r="AQ855" s="81" t="str">
        <f t="shared" si="994"/>
        <v/>
      </c>
      <c r="AS855" s="41" t="b">
        <f t="shared" si="995"/>
        <v>1</v>
      </c>
      <c r="AT855" s="38">
        <f t="shared" si="996"/>
        <v>0</v>
      </c>
      <c r="AU855" s="60">
        <f t="shared" si="997"/>
        <v>0</v>
      </c>
      <c r="AV855" s="41">
        <f t="shared" si="998"/>
        <v>0</v>
      </c>
      <c r="AW855" s="41" t="b">
        <f t="shared" si="999"/>
        <v>0</v>
      </c>
      <c r="AX855" t="str">
        <f t="shared" si="1000"/>
        <v>+00</v>
      </c>
      <c r="AY855" t="str">
        <f t="shared" si="1001"/>
        <v>+00</v>
      </c>
      <c r="BA855" s="47" t="b">
        <f t="shared" ref="BA855:BA918" si="1030">NOT(OR(ISBLANK(AJ855),ISBLANK(AL855)))</f>
        <v>1</v>
      </c>
      <c r="BB855" s="42" t="b">
        <f t="shared" ref="BB855:BB918" si="1031">NOT(OR(ISBLANK(AK855),ISBLANK(AM855)))</f>
        <v>1</v>
      </c>
      <c r="BC855" s="42" t="b">
        <f t="shared" ref="BC855:BC918" si="1032">AND(NOT(BA855))</f>
        <v>0</v>
      </c>
      <c r="BD855" s="42" t="b">
        <f t="shared" ref="BD855:BD918" si="1033">AND(NOT(BB855))</f>
        <v>0</v>
      </c>
      <c r="BE855" s="70">
        <f t="shared" ref="BE855:BE918" si="1034">AJ855-AL855</f>
        <v>0</v>
      </c>
      <c r="BF855" s="70">
        <f t="shared" ref="BF855:BF918" si="1035">AK855-AM855</f>
        <v>0</v>
      </c>
      <c r="BG855" s="34"/>
      <c r="BI855" s="47" t="b">
        <f t="shared" ref="BI855:BI918" si="1036">NOT(OR(ISBLANK(AL855),ISBLANK(AO855)))</f>
        <v>1</v>
      </c>
      <c r="BJ855" s="47" t="b">
        <f t="shared" ref="BJ855:BJ918" si="1037">NOT(OR(ISBLANK(AM855),ISBLANK(AP855)))</f>
        <v>1</v>
      </c>
      <c r="BK855" s="42" t="b">
        <f t="shared" ref="BK855:BK918" si="1038">AND(NOT(BI855))</f>
        <v>0</v>
      </c>
      <c r="BL855" s="42" t="b">
        <f t="shared" ref="BL855:BL918" si="1039">AND(NOT(BJ855))</f>
        <v>0</v>
      </c>
      <c r="BM855" s="42">
        <f t="shared" ref="BM855:BM918" si="1040">IF(NOT(OR(ISBLANK(AO855),ISBLANK(AL855))),AO855-AL855,0)</f>
        <v>0</v>
      </c>
      <c r="BN855" s="42">
        <f t="shared" ref="BN855:BN918" si="1041">IF(NOT(OR(ISBLANK(AP855),ISBLANK(AM855))),AP855-AM855,0)</f>
        <v>0</v>
      </c>
      <c r="BP855" t="e">
        <f t="shared" ref="BP855:BP918" si="1042">(DN855&gt;=0)</f>
        <v>#N/A</v>
      </c>
      <c r="BQ855" t="e">
        <f t="shared" ref="BQ855:BQ918" si="1043">(DP855&gt;=0)</f>
        <v>#N/A</v>
      </c>
      <c r="BR855" t="e">
        <f t="shared" ref="BR855:BR918" si="1044">AND(BP855,BQ855)</f>
        <v>#N/A</v>
      </c>
      <c r="BT855" s="60">
        <f t="shared" ref="BT855:BT918" si="1045">$J855*BE855</f>
        <v>0</v>
      </c>
      <c r="BU855" s="60">
        <f t="shared" ref="BU855:BU918" si="1046">$J855*BF855</f>
        <v>0</v>
      </c>
      <c r="BV855" s="60">
        <f t="shared" ref="BV855:BV918" si="1047">$J855*BM855</f>
        <v>0</v>
      </c>
      <c r="BW855" s="60">
        <f t="shared" ref="BW855:BW918" si="1048">$J855*BN855</f>
        <v>0</v>
      </c>
      <c r="BX855" s="60">
        <f t="shared" ref="BX855:BX918" si="1049">$AT855*BT855</f>
        <v>0</v>
      </c>
      <c r="BY855" s="60">
        <f t="shared" ref="BY855:BY918" si="1050">$AT855*BU855</f>
        <v>0</v>
      </c>
      <c r="BZ855" s="60">
        <f t="shared" ref="BZ855:BZ918" si="1051">$AU855*BV855</f>
        <v>0</v>
      </c>
      <c r="CA855" s="60">
        <f t="shared" ref="CA855:CA918" si="1052">$AU855*BW855</f>
        <v>0</v>
      </c>
      <c r="CB855" s="60" t="e">
        <f t="shared" si="1002"/>
        <v>#N/A</v>
      </c>
      <c r="CC855" s="60">
        <f t="shared" si="1003"/>
        <v>100000</v>
      </c>
      <c r="CD855" s="60" t="e">
        <f t="shared" si="1004"/>
        <v>#N/A</v>
      </c>
      <c r="CE855" s="60">
        <f t="shared" si="1005"/>
        <v>100000</v>
      </c>
      <c r="CF855" s="83" t="e">
        <f t="shared" ref="CF855:CF918" si="1053">$AT855*CB855/1000000</f>
        <v>#N/A</v>
      </c>
      <c r="CG855" s="83">
        <f t="shared" ref="CG855:CG918" si="1054">$AT855*CC855/1000000</f>
        <v>0</v>
      </c>
      <c r="CH855" s="83" t="e">
        <f t="shared" ref="CH855:CH918" si="1055">$AU855*CD855/1000000</f>
        <v>#N/A</v>
      </c>
      <c r="CI855" s="83">
        <f t="shared" ref="CI855:CI918" si="1056">$AU855*CE855/1000000</f>
        <v>0</v>
      </c>
      <c r="CJ855" s="86" t="e">
        <f t="shared" si="1006"/>
        <v>#N/A</v>
      </c>
      <c r="CK855" s="82">
        <f t="shared" si="1007"/>
        <v>5.3070370403969858E-3</v>
      </c>
      <c r="CL855" s="82" t="e">
        <f t="shared" si="1008"/>
        <v>#N/A</v>
      </c>
      <c r="CM855" s="82">
        <f t="shared" si="1009"/>
        <v>5.3070370403969858E-3</v>
      </c>
      <c r="CO855" s="149" t="str">
        <f>IF($I855&lt;&gt;"",IF(O855="User Specified",U855,INDEX('Refrigerant GWPs'!$G$2:$G$156,MATCH(O855,'Refrigerant GWPs'!$A$2:$A$156,0))),"")</f>
        <v/>
      </c>
      <c r="CP855" s="138" t="str">
        <f>IF($I855&lt;&gt;"",INDEX('Device Refrigerant Leakage'!$E$2:$E$42,MATCH($M855,'Device Refrigerant Leakage'!$B$2:$B$42,0)),"")</f>
        <v/>
      </c>
      <c r="CQ855" s="138" t="str">
        <f>IF($I855&lt;&gt;"",INDEX('Device Refrigerant Leakage'!$F$2:$F$42,MATCH($M855,'Device Refrigerant Leakage'!$B$2:$B$42,0)),"")</f>
        <v/>
      </c>
      <c r="CR855" s="145" t="str">
        <f>IF($I855&lt;&gt;"",INDEX('Device Refrigerant Leakage'!$G$2:$G$42,MATCH($M855,'Device Refrigerant Leakage'!$B$2:$B$42,0)),"")</f>
        <v/>
      </c>
      <c r="CS855" s="145" t="str">
        <f>IF($I855&lt;&gt;"",INDEX('Device Refrigerant Leakage'!$D$2:$D$42,MATCH($M855,'Device Refrigerant Leakage'!$B$2:$B$42,0))*CP855/2204.62*CO855,"")</f>
        <v/>
      </c>
      <c r="CT855" s="145" t="str">
        <f>IF($I855&lt;&gt;"",J855*(INDEX('Device Refrigerant Leakage'!$D$2:$D$42,MATCH($M855,'Device Refrigerant Leakage'!$B$2:$B$42,0))-(INDEX('Device Refrigerant Leakage'!$D$2:$D$42,MATCH($M855,'Device Refrigerant Leakage'!$B$2:$B$42,0)))*CR855*CP855)*CQ855/2204.62*CO855,"")</f>
        <v/>
      </c>
      <c r="CU855" s="135" t="str">
        <f>IF($I855&lt;&gt;"",J855*IF(W855&lt;&gt;"AR",(CS855*K855)+CT855,(CS855*AB855)+CT855*(AB855/INDEX('Device Refrigerant Leakage'!$C$2:$C$42,MATCH($M855,'Device Refrigerant Leakage'!$B$2:$B$42,0)))),"")</f>
        <v/>
      </c>
      <c r="CW855" s="135" t="str">
        <f>IF($I855&lt;&gt;"",IF(S855="User Specified",V855,INDEX('Refrigerant GWPs'!$G$2:$G$156,MATCH(S855,'Refrigerant GWPs'!$A$2:$A$157,0))),"")</f>
        <v/>
      </c>
      <c r="CX855" s="138" t="str">
        <f>IF($I855&lt;&gt;"",INDEX('Device Refrigerant Leakage'!$E$2:$E$42,MATCH($Q855,'Device Refrigerant Leakage'!$B$2:$B$42,0)),"")</f>
        <v/>
      </c>
      <c r="CY855" s="138" t="str">
        <f>IF($I855&lt;&gt;"",INDEX('Device Refrigerant Leakage'!$F$2:$F$42,MATCH($Q855,'Device Refrigerant Leakage'!$B$2:$B$42,0)),"")</f>
        <v/>
      </c>
      <c r="CZ855" s="145" t="str">
        <f>IF($I855&lt;&gt;"",INDEX('Device Refrigerant Leakage'!$G$2:$G$42,MATCH($Q855,'Device Refrigerant Leakage'!$B$2:$B$42,0)),"")</f>
        <v/>
      </c>
      <c r="DA855" s="145" t="str">
        <f>IF($I855&lt;&gt;"",J855*INDEX('Device Refrigerant Leakage'!$D$2:$D$42,MATCH($Q855,'Device Refrigerant Leakage'!$B$2:$B$42,0))*CX855/2204.62*CW855,"")</f>
        <v/>
      </c>
      <c r="DB855" s="145" t="str">
        <f>IF($I855&lt;&gt;"",J855*(INDEX('Device Refrigerant Leakage'!$D$2:$D$42,MATCH($Q855,'Device Refrigerant Leakage'!$B$2:$B$42,0))-(INDEX('Device Refrigerant Leakage'!$D$2:$D$42,MATCH($Q855,'Device Refrigerant Leakage'!$B$2:$B$42,0)))*CZ855*CX855)*CY855/2204.62*CW855,"")</f>
        <v/>
      </c>
      <c r="DC855" s="135" t="str">
        <f t="shared" si="1028"/>
        <v/>
      </c>
      <c r="DE855" s="146" t="str">
        <f>IF(W855&lt;&gt;"AR","",IF(Y855="User Specified", AA855, INDEX('Refrigerant GWPs'!$G$2:$G$154,MATCH(Y855,'Refrigerant GWPs'!$A$2:$A$154,0))))</f>
        <v/>
      </c>
      <c r="DF855" s="146" t="str">
        <f>IF(W855&lt;&gt;"AR","",INDEX('Device Refrigerant Leakage'!$E$2:$E$42,MATCH(X855,'Device Refrigerant Leakage'!$B$2:$B$42,0)))</f>
        <v/>
      </c>
      <c r="DG855" s="146" t="str">
        <f>IF(W855&lt;&gt;"AR","",INDEX('Device Refrigerant Leakage'!$F$2:$F$42,MATCH(X855,'Device Refrigerant Leakage'!$B$2:$B$42,0)))</f>
        <v/>
      </c>
      <c r="DH855" s="146" t="str">
        <f>IF(W855&lt;&gt;"AR","",INDEX('Device Refrigerant Leakage'!$G$2:$G$42,MATCH(X855,'Device Refrigerant Leakage'!$B$2:$B$42,0)))</f>
        <v/>
      </c>
      <c r="DI855" s="146" t="str">
        <f>IF(W855&lt;&gt;"AR","",J855*INDEX('Device Refrigerant Leakage'!$D$2:$D$42,MATCH(X855,'Device Refrigerant Leakage'!$B$2:$B$42,0))*DF855/2204.62*DE855)</f>
        <v/>
      </c>
      <c r="DJ855" s="146" t="str">
        <f>IF(W855&lt;&gt;"AR","",J855*(INDEX('Device Refrigerant Leakage'!$D$2:$D$42,MATCH(X855,'Device Refrigerant Leakage'!$B$2:$B$42,0))-(INDEX('Device Refrigerant Leakage'!$D$2:$D$42,MATCH(X855,'Device Refrigerant Leakage'!$B$2:$B$42,0)))*DH855*DF855)*DG855/2204.62*DE855)</f>
        <v/>
      </c>
      <c r="DK855" s="146" t="str">
        <f>IF(W855&lt;&gt;"AR","",DI855*(K855-AB855)+'Fuel Sub Calcs-Deemed'!DJ855*((K855-AB855)/INDEX('Device Refrigerant Leakage'!$C$2:$C$42,MATCH('Fuel Sub Calcs-Deemed'!X855,'Device Refrigerant Leakage'!$B$2:$B$42,0))))</f>
        <v/>
      </c>
      <c r="DM855" s="56">
        <v>841</v>
      </c>
      <c r="DN855" s="67" t="e">
        <f t="shared" si="1010"/>
        <v>#N/A</v>
      </c>
      <c r="DO855" s="45" t="e">
        <f t="shared" si="1011"/>
        <v>#N/A</v>
      </c>
      <c r="DP855" s="67" t="e">
        <f t="shared" si="1012"/>
        <v>#N/A</v>
      </c>
      <c r="DQ855" s="45" t="e">
        <f t="shared" si="1013"/>
        <v>#N/A</v>
      </c>
      <c r="DR855" s="69" t="e">
        <f t="shared" si="1014"/>
        <v>#N/A</v>
      </c>
      <c r="DS855" s="34"/>
      <c r="DT855" s="67" t="e">
        <f>((BX855*CJ855)+IF($W855=MAT_AR,(BZ855*CL855),0))*(1+Reference!$E$50+Reference!$E$51)</f>
        <v>#N/A</v>
      </c>
      <c r="DU855" s="67">
        <f>((BY855*CK855)+IF($W855=MAT_AR,(CA855*CM855),0))*(1+Reference!$G$50+Reference!$G$51)</f>
        <v>0</v>
      </c>
      <c r="DV855" s="67" t="e">
        <f t="shared" si="1015"/>
        <v>#VALUE!</v>
      </c>
      <c r="DX855" s="56">
        <v>841</v>
      </c>
      <c r="DY855" s="67">
        <f t="shared" si="1016"/>
        <v>0</v>
      </c>
      <c r="DZ855" s="45" t="e">
        <f>VLOOKUP($R855,Dropdown!$C$3:$D$4,2,FALSE)</f>
        <v>#N/A</v>
      </c>
      <c r="EA855" s="68">
        <f t="shared" si="1017"/>
        <v>0</v>
      </c>
      <c r="EB855" s="68" t="str">
        <f t="shared" si="1018"/>
        <v>N/A</v>
      </c>
      <c r="EC855" s="68">
        <f t="shared" si="1019"/>
        <v>0</v>
      </c>
      <c r="ED855" s="68" t="str">
        <f t="shared" ref="ED855:ED918" si="1057">IF($R855=fuel_electricity,DY855*10^6/Btu_therm,"N/A")</f>
        <v>N/A</v>
      </c>
      <c r="EF855" s="56">
        <v>841</v>
      </c>
      <c r="EG855" s="46">
        <f t="shared" si="1020"/>
        <v>0</v>
      </c>
      <c r="EH855" s="68" t="e">
        <f t="shared" si="1021"/>
        <v>#N/A</v>
      </c>
      <c r="EI855" s="68" t="e">
        <f t="shared" si="1022"/>
        <v>#N/A</v>
      </c>
      <c r="EJ855" s="68" t="e">
        <f t="shared" si="1023"/>
        <v>#N/A</v>
      </c>
      <c r="EK855" s="68" t="e">
        <f t="shared" si="1024"/>
        <v>#N/A</v>
      </c>
      <c r="EL855" s="46">
        <f t="shared" si="1025"/>
        <v>0</v>
      </c>
      <c r="EM855" s="46">
        <f t="shared" si="1026"/>
        <v>0</v>
      </c>
    </row>
    <row r="856" spans="1:143">
      <c r="A856" s="89"/>
      <c r="B856" s="89"/>
      <c r="C856" s="89"/>
      <c r="D856" s="89"/>
      <c r="E856" s="89"/>
      <c r="F856" s="89"/>
      <c r="G856" s="34"/>
      <c r="H856" s="56">
        <f t="shared" si="1027"/>
        <v>842</v>
      </c>
      <c r="I856" s="165"/>
      <c r="J856" s="163"/>
      <c r="K856" s="163"/>
      <c r="L856" s="164"/>
      <c r="M856" s="155"/>
      <c r="N856" s="155"/>
      <c r="O856" s="144"/>
      <c r="P856" s="159" t="str">
        <f>IFERROR(IF(O856&lt;&gt;"User Specified",IF(O856&lt;&gt;"", INDEX('Refrigerant GWPs'!$G$2:$G$154,MATCH(O856,'Refrigerant GWPs'!$A$2:$A$154,0)),""),U856),0)</f>
        <v/>
      </c>
      <c r="Q856" s="155"/>
      <c r="R856" s="155"/>
      <c r="S856" s="144"/>
      <c r="T856" s="159" t="str">
        <f>IF(S856&lt;&gt;"User Specified",IF(AND(S856&lt;&gt;"User Specified",S856&lt;&gt;""), INDEX('Refrigerant GWPs'!$G$2:$G$154,MATCH(S856,'Refrigerant GWPs'!$A$2:$A$154,0)),""),V856)</f>
        <v/>
      </c>
      <c r="U856" s="144"/>
      <c r="V856" s="144"/>
      <c r="W856" s="155"/>
      <c r="X856" s="155"/>
      <c r="Y856" s="144"/>
      <c r="Z856" s="159" t="str">
        <f>IF(AND(Y856&lt;&gt;"User Specified",Y856&lt;&gt;""), INDEX('Refrigerant GWPs'!$G$2:$G$154,MATCH(Y856,'Refrigerant GWPs'!$A$2:$A$154,0)),"")</f>
        <v/>
      </c>
      <c r="AA856" s="155"/>
      <c r="AB856" s="156"/>
      <c r="AC856" s="66"/>
      <c r="AD856" s="66"/>
      <c r="AE856" s="66"/>
      <c r="AF856" s="66"/>
      <c r="AG856" s="66"/>
      <c r="AH856" s="66"/>
      <c r="AI856" s="34"/>
      <c r="AJ856" s="88">
        <f t="shared" si="990"/>
        <v>0</v>
      </c>
      <c r="AK856" s="88">
        <f t="shared" si="991"/>
        <v>0</v>
      </c>
      <c r="AL856" s="88">
        <v>0</v>
      </c>
      <c r="AM856" s="88">
        <v>0</v>
      </c>
      <c r="AN856" s="81" t="str">
        <f t="shared" si="1029"/>
        <v/>
      </c>
      <c r="AO856" s="88">
        <f t="shared" si="992"/>
        <v>0</v>
      </c>
      <c r="AP856" s="88">
        <f t="shared" si="993"/>
        <v>0</v>
      </c>
      <c r="AQ856" s="81" t="str">
        <f t="shared" si="994"/>
        <v/>
      </c>
      <c r="AS856" s="41" t="b">
        <f t="shared" si="995"/>
        <v>1</v>
      </c>
      <c r="AT856" s="38">
        <f t="shared" si="996"/>
        <v>0</v>
      </c>
      <c r="AU856" s="60">
        <f t="shared" si="997"/>
        <v>0</v>
      </c>
      <c r="AV856" s="41">
        <f t="shared" si="998"/>
        <v>0</v>
      </c>
      <c r="AW856" s="41" t="b">
        <f t="shared" si="999"/>
        <v>0</v>
      </c>
      <c r="AX856" t="str">
        <f t="shared" si="1000"/>
        <v>+00</v>
      </c>
      <c r="AY856" t="str">
        <f t="shared" si="1001"/>
        <v>+00</v>
      </c>
      <c r="BA856" s="47" t="b">
        <f t="shared" si="1030"/>
        <v>1</v>
      </c>
      <c r="BB856" s="42" t="b">
        <f t="shared" si="1031"/>
        <v>1</v>
      </c>
      <c r="BC856" s="42" t="b">
        <f t="shared" si="1032"/>
        <v>0</v>
      </c>
      <c r="BD856" s="42" t="b">
        <f t="shared" si="1033"/>
        <v>0</v>
      </c>
      <c r="BE856" s="70">
        <f t="shared" si="1034"/>
        <v>0</v>
      </c>
      <c r="BF856" s="70">
        <f t="shared" si="1035"/>
        <v>0</v>
      </c>
      <c r="BG856" s="34"/>
      <c r="BI856" s="47" t="b">
        <f t="shared" si="1036"/>
        <v>1</v>
      </c>
      <c r="BJ856" s="47" t="b">
        <f t="shared" si="1037"/>
        <v>1</v>
      </c>
      <c r="BK856" s="42" t="b">
        <f t="shared" si="1038"/>
        <v>0</v>
      </c>
      <c r="BL856" s="42" t="b">
        <f t="shared" si="1039"/>
        <v>0</v>
      </c>
      <c r="BM856" s="42">
        <f t="shared" si="1040"/>
        <v>0</v>
      </c>
      <c r="BN856" s="42">
        <f t="shared" si="1041"/>
        <v>0</v>
      </c>
      <c r="BP856" t="e">
        <f t="shared" si="1042"/>
        <v>#N/A</v>
      </c>
      <c r="BQ856" t="e">
        <f t="shared" si="1043"/>
        <v>#N/A</v>
      </c>
      <c r="BR856" t="e">
        <f t="shared" si="1044"/>
        <v>#N/A</v>
      </c>
      <c r="BT856" s="60">
        <f t="shared" si="1045"/>
        <v>0</v>
      </c>
      <c r="BU856" s="60">
        <f t="shared" si="1046"/>
        <v>0</v>
      </c>
      <c r="BV856" s="60">
        <f t="shared" si="1047"/>
        <v>0</v>
      </c>
      <c r="BW856" s="60">
        <f t="shared" si="1048"/>
        <v>0</v>
      </c>
      <c r="BX856" s="60">
        <f t="shared" si="1049"/>
        <v>0</v>
      </c>
      <c r="BY856" s="60">
        <f t="shared" si="1050"/>
        <v>0</v>
      </c>
      <c r="BZ856" s="60">
        <f t="shared" si="1051"/>
        <v>0</v>
      </c>
      <c r="CA856" s="60">
        <f t="shared" si="1052"/>
        <v>0</v>
      </c>
      <c r="CB856" s="60" t="e">
        <f t="shared" si="1002"/>
        <v>#N/A</v>
      </c>
      <c r="CC856" s="60">
        <f t="shared" si="1003"/>
        <v>100000</v>
      </c>
      <c r="CD856" s="60" t="e">
        <f t="shared" si="1004"/>
        <v>#N/A</v>
      </c>
      <c r="CE856" s="60">
        <f t="shared" si="1005"/>
        <v>100000</v>
      </c>
      <c r="CF856" s="83" t="e">
        <f t="shared" si="1053"/>
        <v>#N/A</v>
      </c>
      <c r="CG856" s="83">
        <f t="shared" si="1054"/>
        <v>0</v>
      </c>
      <c r="CH856" s="83" t="e">
        <f t="shared" si="1055"/>
        <v>#N/A</v>
      </c>
      <c r="CI856" s="83">
        <f t="shared" si="1056"/>
        <v>0</v>
      </c>
      <c r="CJ856" s="86" t="e">
        <f t="shared" si="1006"/>
        <v>#N/A</v>
      </c>
      <c r="CK856" s="82">
        <f t="shared" si="1007"/>
        <v>5.3070370403969858E-3</v>
      </c>
      <c r="CL856" s="82" t="e">
        <f t="shared" si="1008"/>
        <v>#N/A</v>
      </c>
      <c r="CM856" s="82">
        <f t="shared" si="1009"/>
        <v>5.3070370403969858E-3</v>
      </c>
      <c r="CO856" s="149" t="str">
        <f>IF($I856&lt;&gt;"",IF(O856="User Specified",U856,INDEX('Refrigerant GWPs'!$G$2:$G$156,MATCH(O856,'Refrigerant GWPs'!$A$2:$A$156,0))),"")</f>
        <v/>
      </c>
      <c r="CP856" s="138" t="str">
        <f>IF($I856&lt;&gt;"",INDEX('Device Refrigerant Leakage'!$E$2:$E$42,MATCH($M856,'Device Refrigerant Leakage'!$B$2:$B$42,0)),"")</f>
        <v/>
      </c>
      <c r="CQ856" s="138" t="str">
        <f>IF($I856&lt;&gt;"",INDEX('Device Refrigerant Leakage'!$F$2:$F$42,MATCH($M856,'Device Refrigerant Leakage'!$B$2:$B$42,0)),"")</f>
        <v/>
      </c>
      <c r="CR856" s="145" t="str">
        <f>IF($I856&lt;&gt;"",INDEX('Device Refrigerant Leakage'!$G$2:$G$42,MATCH($M856,'Device Refrigerant Leakage'!$B$2:$B$42,0)),"")</f>
        <v/>
      </c>
      <c r="CS856" s="145" t="str">
        <f>IF($I856&lt;&gt;"",INDEX('Device Refrigerant Leakage'!$D$2:$D$42,MATCH($M856,'Device Refrigerant Leakage'!$B$2:$B$42,0))*CP856/2204.62*CO856,"")</f>
        <v/>
      </c>
      <c r="CT856" s="145" t="str">
        <f>IF($I856&lt;&gt;"",J856*(INDEX('Device Refrigerant Leakage'!$D$2:$D$42,MATCH($M856,'Device Refrigerant Leakage'!$B$2:$B$42,0))-(INDEX('Device Refrigerant Leakage'!$D$2:$D$42,MATCH($M856,'Device Refrigerant Leakage'!$B$2:$B$42,0)))*CR856*CP856)*CQ856/2204.62*CO856,"")</f>
        <v/>
      </c>
      <c r="CU856" s="135" t="str">
        <f>IF($I856&lt;&gt;"",J856*IF(W856&lt;&gt;"AR",(CS856*K856)+CT856,(CS856*AB856)+CT856*(AB856/INDEX('Device Refrigerant Leakage'!$C$2:$C$42,MATCH($M856,'Device Refrigerant Leakage'!$B$2:$B$42,0)))),"")</f>
        <v/>
      </c>
      <c r="CW856" s="135" t="str">
        <f>IF($I856&lt;&gt;"",IF(S856="User Specified",V856,INDEX('Refrigerant GWPs'!$G$2:$G$156,MATCH(S856,'Refrigerant GWPs'!$A$2:$A$157,0))),"")</f>
        <v/>
      </c>
      <c r="CX856" s="138" t="str">
        <f>IF($I856&lt;&gt;"",INDEX('Device Refrigerant Leakage'!$E$2:$E$42,MATCH($Q856,'Device Refrigerant Leakage'!$B$2:$B$42,0)),"")</f>
        <v/>
      </c>
      <c r="CY856" s="138" t="str">
        <f>IF($I856&lt;&gt;"",INDEX('Device Refrigerant Leakage'!$F$2:$F$42,MATCH($Q856,'Device Refrigerant Leakage'!$B$2:$B$42,0)),"")</f>
        <v/>
      </c>
      <c r="CZ856" s="145" t="str">
        <f>IF($I856&lt;&gt;"",INDEX('Device Refrigerant Leakage'!$G$2:$G$42,MATCH($Q856,'Device Refrigerant Leakage'!$B$2:$B$42,0)),"")</f>
        <v/>
      </c>
      <c r="DA856" s="145" t="str">
        <f>IF($I856&lt;&gt;"",J856*INDEX('Device Refrigerant Leakage'!$D$2:$D$42,MATCH($Q856,'Device Refrigerant Leakage'!$B$2:$B$42,0))*CX856/2204.62*CW856,"")</f>
        <v/>
      </c>
      <c r="DB856" s="145" t="str">
        <f>IF($I856&lt;&gt;"",J856*(INDEX('Device Refrigerant Leakage'!$D$2:$D$42,MATCH($Q856,'Device Refrigerant Leakage'!$B$2:$B$42,0))-(INDEX('Device Refrigerant Leakage'!$D$2:$D$42,MATCH($Q856,'Device Refrigerant Leakage'!$B$2:$B$42,0)))*CZ856*CX856)*CY856/2204.62*CW856,"")</f>
        <v/>
      </c>
      <c r="DC856" s="135" t="str">
        <f t="shared" si="1028"/>
        <v/>
      </c>
      <c r="DE856" s="146" t="str">
        <f>IF(W856&lt;&gt;"AR","",IF(Y856="User Specified", AA856, INDEX('Refrigerant GWPs'!$G$2:$G$154,MATCH(Y856,'Refrigerant GWPs'!$A$2:$A$154,0))))</f>
        <v/>
      </c>
      <c r="DF856" s="146" t="str">
        <f>IF(W856&lt;&gt;"AR","",INDEX('Device Refrigerant Leakage'!$E$2:$E$42,MATCH(X856,'Device Refrigerant Leakage'!$B$2:$B$42,0)))</f>
        <v/>
      </c>
      <c r="DG856" s="146" t="str">
        <f>IF(W856&lt;&gt;"AR","",INDEX('Device Refrigerant Leakage'!$F$2:$F$42,MATCH(X856,'Device Refrigerant Leakage'!$B$2:$B$42,0)))</f>
        <v/>
      </c>
      <c r="DH856" s="146" t="str">
        <f>IF(W856&lt;&gt;"AR","",INDEX('Device Refrigerant Leakage'!$G$2:$G$42,MATCH(X856,'Device Refrigerant Leakage'!$B$2:$B$42,0)))</f>
        <v/>
      </c>
      <c r="DI856" s="146" t="str">
        <f>IF(W856&lt;&gt;"AR","",J856*INDEX('Device Refrigerant Leakage'!$D$2:$D$42,MATCH(X856,'Device Refrigerant Leakage'!$B$2:$B$42,0))*DF856/2204.62*DE856)</f>
        <v/>
      </c>
      <c r="DJ856" s="146" t="str">
        <f>IF(W856&lt;&gt;"AR","",J856*(INDEX('Device Refrigerant Leakage'!$D$2:$D$42,MATCH(X856,'Device Refrigerant Leakage'!$B$2:$B$42,0))-(INDEX('Device Refrigerant Leakage'!$D$2:$D$42,MATCH(X856,'Device Refrigerant Leakage'!$B$2:$B$42,0)))*DH856*DF856)*DG856/2204.62*DE856)</f>
        <v/>
      </c>
      <c r="DK856" s="146" t="str">
        <f>IF(W856&lt;&gt;"AR","",DI856*(K856-AB856)+'Fuel Sub Calcs-Deemed'!DJ856*((K856-AB856)/INDEX('Device Refrigerant Leakage'!$C$2:$C$42,MATCH('Fuel Sub Calcs-Deemed'!X856,'Device Refrigerant Leakage'!$B$2:$B$42,0))))</f>
        <v/>
      </c>
      <c r="DM856" s="56">
        <v>842</v>
      </c>
      <c r="DN856" s="67" t="e">
        <f t="shared" si="1010"/>
        <v>#N/A</v>
      </c>
      <c r="DO856" s="45" t="e">
        <f t="shared" si="1011"/>
        <v>#N/A</v>
      </c>
      <c r="DP856" s="67" t="e">
        <f t="shared" si="1012"/>
        <v>#N/A</v>
      </c>
      <c r="DQ856" s="45" t="e">
        <f t="shared" si="1013"/>
        <v>#N/A</v>
      </c>
      <c r="DR856" s="69" t="e">
        <f t="shared" si="1014"/>
        <v>#N/A</v>
      </c>
      <c r="DS856" s="34"/>
      <c r="DT856" s="67" t="e">
        <f>((BX856*CJ856)+IF($W856=MAT_AR,(BZ856*CL856),0))*(1+Reference!$E$50+Reference!$E$51)</f>
        <v>#N/A</v>
      </c>
      <c r="DU856" s="67">
        <f>((BY856*CK856)+IF($W856=MAT_AR,(CA856*CM856),0))*(1+Reference!$G$50+Reference!$G$51)</f>
        <v>0</v>
      </c>
      <c r="DV856" s="67" t="e">
        <f t="shared" si="1015"/>
        <v>#VALUE!</v>
      </c>
      <c r="DX856" s="56">
        <v>842</v>
      </c>
      <c r="DY856" s="67">
        <f t="shared" si="1016"/>
        <v>0</v>
      </c>
      <c r="DZ856" s="45" t="e">
        <f>VLOOKUP($R856,Dropdown!$C$3:$D$4,2,FALSE)</f>
        <v>#N/A</v>
      </c>
      <c r="EA856" s="68">
        <f t="shared" si="1017"/>
        <v>0</v>
      </c>
      <c r="EB856" s="68" t="str">
        <f t="shared" si="1018"/>
        <v>N/A</v>
      </c>
      <c r="EC856" s="68">
        <f t="shared" si="1019"/>
        <v>0</v>
      </c>
      <c r="ED856" s="68" t="str">
        <f t="shared" si="1057"/>
        <v>N/A</v>
      </c>
      <c r="EF856" s="56">
        <v>842</v>
      </c>
      <c r="EG856" s="46">
        <f t="shared" si="1020"/>
        <v>0</v>
      </c>
      <c r="EH856" s="68" t="e">
        <f t="shared" si="1021"/>
        <v>#N/A</v>
      </c>
      <c r="EI856" s="68" t="e">
        <f t="shared" si="1022"/>
        <v>#N/A</v>
      </c>
      <c r="EJ856" s="68" t="e">
        <f t="shared" si="1023"/>
        <v>#N/A</v>
      </c>
      <c r="EK856" s="68" t="e">
        <f t="shared" si="1024"/>
        <v>#N/A</v>
      </c>
      <c r="EL856" s="46">
        <f t="shared" si="1025"/>
        <v>0</v>
      </c>
      <c r="EM856" s="46">
        <f t="shared" si="1026"/>
        <v>0</v>
      </c>
    </row>
    <row r="857" spans="1:143">
      <c r="A857" s="89"/>
      <c r="B857" s="89"/>
      <c r="C857" s="89"/>
      <c r="D857" s="89"/>
      <c r="E857" s="89"/>
      <c r="F857" s="89"/>
      <c r="G857" s="34"/>
      <c r="H857" s="56">
        <f t="shared" si="1027"/>
        <v>843</v>
      </c>
      <c r="I857" s="165"/>
      <c r="J857" s="163"/>
      <c r="K857" s="163"/>
      <c r="L857" s="164"/>
      <c r="M857" s="155"/>
      <c r="N857" s="155"/>
      <c r="O857" s="144"/>
      <c r="P857" s="159" t="str">
        <f>IFERROR(IF(O857&lt;&gt;"User Specified",IF(O857&lt;&gt;"", INDEX('Refrigerant GWPs'!$G$2:$G$154,MATCH(O857,'Refrigerant GWPs'!$A$2:$A$154,0)),""),U857),0)</f>
        <v/>
      </c>
      <c r="Q857" s="155"/>
      <c r="R857" s="155"/>
      <c r="S857" s="144"/>
      <c r="T857" s="159" t="str">
        <f>IF(S857&lt;&gt;"User Specified",IF(AND(S857&lt;&gt;"User Specified",S857&lt;&gt;""), INDEX('Refrigerant GWPs'!$G$2:$G$154,MATCH(S857,'Refrigerant GWPs'!$A$2:$A$154,0)),""),V857)</f>
        <v/>
      </c>
      <c r="U857" s="144"/>
      <c r="V857" s="144"/>
      <c r="W857" s="155"/>
      <c r="X857" s="155"/>
      <c r="Y857" s="144"/>
      <c r="Z857" s="159" t="str">
        <f>IF(AND(Y857&lt;&gt;"User Specified",Y857&lt;&gt;""), INDEX('Refrigerant GWPs'!$G$2:$G$154,MATCH(Y857,'Refrigerant GWPs'!$A$2:$A$154,0)),"")</f>
        <v/>
      </c>
      <c r="AA857" s="155"/>
      <c r="AB857" s="156"/>
      <c r="AC857" s="66"/>
      <c r="AD857" s="66"/>
      <c r="AE857" s="66"/>
      <c r="AF857" s="66"/>
      <c r="AG857" s="66"/>
      <c r="AH857" s="66"/>
      <c r="AI857" s="34"/>
      <c r="AJ857" s="88">
        <f t="shared" si="990"/>
        <v>0</v>
      </c>
      <c r="AK857" s="88">
        <f t="shared" si="991"/>
        <v>0</v>
      </c>
      <c r="AL857" s="88">
        <v>0</v>
      </c>
      <c r="AM857" s="88">
        <v>0</v>
      </c>
      <c r="AN857" s="81" t="str">
        <f t="shared" si="1029"/>
        <v/>
      </c>
      <c r="AO857" s="88">
        <f t="shared" si="992"/>
        <v>0</v>
      </c>
      <c r="AP857" s="88">
        <f t="shared" si="993"/>
        <v>0</v>
      </c>
      <c r="AQ857" s="81" t="str">
        <f t="shared" si="994"/>
        <v/>
      </c>
      <c r="AS857" s="41" t="b">
        <f t="shared" si="995"/>
        <v>1</v>
      </c>
      <c r="AT857" s="38">
        <f t="shared" si="996"/>
        <v>0</v>
      </c>
      <c r="AU857" s="60">
        <f t="shared" si="997"/>
        <v>0</v>
      </c>
      <c r="AV857" s="41">
        <f t="shared" si="998"/>
        <v>0</v>
      </c>
      <c r="AW857" s="41" t="b">
        <f t="shared" si="999"/>
        <v>0</v>
      </c>
      <c r="AX857" t="str">
        <f t="shared" si="1000"/>
        <v>+00</v>
      </c>
      <c r="AY857" t="str">
        <f t="shared" si="1001"/>
        <v>+00</v>
      </c>
      <c r="BA857" s="47" t="b">
        <f t="shared" si="1030"/>
        <v>1</v>
      </c>
      <c r="BB857" s="42" t="b">
        <f t="shared" si="1031"/>
        <v>1</v>
      </c>
      <c r="BC857" s="42" t="b">
        <f t="shared" si="1032"/>
        <v>0</v>
      </c>
      <c r="BD857" s="42" t="b">
        <f t="shared" si="1033"/>
        <v>0</v>
      </c>
      <c r="BE857" s="70">
        <f t="shared" si="1034"/>
        <v>0</v>
      </c>
      <c r="BF857" s="70">
        <f t="shared" si="1035"/>
        <v>0</v>
      </c>
      <c r="BG857" s="34"/>
      <c r="BI857" s="47" t="b">
        <f t="shared" si="1036"/>
        <v>1</v>
      </c>
      <c r="BJ857" s="47" t="b">
        <f t="shared" si="1037"/>
        <v>1</v>
      </c>
      <c r="BK857" s="42" t="b">
        <f t="shared" si="1038"/>
        <v>0</v>
      </c>
      <c r="BL857" s="42" t="b">
        <f t="shared" si="1039"/>
        <v>0</v>
      </c>
      <c r="BM857" s="42">
        <f t="shared" si="1040"/>
        <v>0</v>
      </c>
      <c r="BN857" s="42">
        <f t="shared" si="1041"/>
        <v>0</v>
      </c>
      <c r="BP857" t="e">
        <f t="shared" si="1042"/>
        <v>#N/A</v>
      </c>
      <c r="BQ857" t="e">
        <f t="shared" si="1043"/>
        <v>#N/A</v>
      </c>
      <c r="BR857" t="e">
        <f t="shared" si="1044"/>
        <v>#N/A</v>
      </c>
      <c r="BT857" s="60">
        <f t="shared" si="1045"/>
        <v>0</v>
      </c>
      <c r="BU857" s="60">
        <f t="shared" si="1046"/>
        <v>0</v>
      </c>
      <c r="BV857" s="60">
        <f t="shared" si="1047"/>
        <v>0</v>
      </c>
      <c r="BW857" s="60">
        <f t="shared" si="1048"/>
        <v>0</v>
      </c>
      <c r="BX857" s="60">
        <f t="shared" si="1049"/>
        <v>0</v>
      </c>
      <c r="BY857" s="60">
        <f t="shared" si="1050"/>
        <v>0</v>
      </c>
      <c r="BZ857" s="60">
        <f t="shared" si="1051"/>
        <v>0</v>
      </c>
      <c r="CA857" s="60">
        <f t="shared" si="1052"/>
        <v>0</v>
      </c>
      <c r="CB857" s="60" t="e">
        <f t="shared" si="1002"/>
        <v>#N/A</v>
      </c>
      <c r="CC857" s="60">
        <f t="shared" si="1003"/>
        <v>100000</v>
      </c>
      <c r="CD857" s="60" t="e">
        <f t="shared" si="1004"/>
        <v>#N/A</v>
      </c>
      <c r="CE857" s="60">
        <f t="shared" si="1005"/>
        <v>100000</v>
      </c>
      <c r="CF857" s="83" t="e">
        <f t="shared" si="1053"/>
        <v>#N/A</v>
      </c>
      <c r="CG857" s="83">
        <f t="shared" si="1054"/>
        <v>0</v>
      </c>
      <c r="CH857" s="83" t="e">
        <f t="shared" si="1055"/>
        <v>#N/A</v>
      </c>
      <c r="CI857" s="83">
        <f t="shared" si="1056"/>
        <v>0</v>
      </c>
      <c r="CJ857" s="86" t="e">
        <f t="shared" si="1006"/>
        <v>#N/A</v>
      </c>
      <c r="CK857" s="82">
        <f t="shared" si="1007"/>
        <v>5.3070370403969858E-3</v>
      </c>
      <c r="CL857" s="82" t="e">
        <f t="shared" si="1008"/>
        <v>#N/A</v>
      </c>
      <c r="CM857" s="82">
        <f t="shared" si="1009"/>
        <v>5.3070370403969858E-3</v>
      </c>
      <c r="CO857" s="149" t="str">
        <f>IF($I857&lt;&gt;"",IF(O857="User Specified",U857,INDEX('Refrigerant GWPs'!$G$2:$G$156,MATCH(O857,'Refrigerant GWPs'!$A$2:$A$156,0))),"")</f>
        <v/>
      </c>
      <c r="CP857" s="138" t="str">
        <f>IF($I857&lt;&gt;"",INDEX('Device Refrigerant Leakage'!$E$2:$E$42,MATCH($M857,'Device Refrigerant Leakage'!$B$2:$B$42,0)),"")</f>
        <v/>
      </c>
      <c r="CQ857" s="138" t="str">
        <f>IF($I857&lt;&gt;"",INDEX('Device Refrigerant Leakage'!$F$2:$F$42,MATCH($M857,'Device Refrigerant Leakage'!$B$2:$B$42,0)),"")</f>
        <v/>
      </c>
      <c r="CR857" s="145" t="str">
        <f>IF($I857&lt;&gt;"",INDEX('Device Refrigerant Leakage'!$G$2:$G$42,MATCH($M857,'Device Refrigerant Leakage'!$B$2:$B$42,0)),"")</f>
        <v/>
      </c>
      <c r="CS857" s="145" t="str">
        <f>IF($I857&lt;&gt;"",INDEX('Device Refrigerant Leakage'!$D$2:$D$42,MATCH($M857,'Device Refrigerant Leakage'!$B$2:$B$42,0))*CP857/2204.62*CO857,"")</f>
        <v/>
      </c>
      <c r="CT857" s="145" t="str">
        <f>IF($I857&lt;&gt;"",J857*(INDEX('Device Refrigerant Leakage'!$D$2:$D$42,MATCH($M857,'Device Refrigerant Leakage'!$B$2:$B$42,0))-(INDEX('Device Refrigerant Leakage'!$D$2:$D$42,MATCH($M857,'Device Refrigerant Leakage'!$B$2:$B$42,0)))*CR857*CP857)*CQ857/2204.62*CO857,"")</f>
        <v/>
      </c>
      <c r="CU857" s="135" t="str">
        <f>IF($I857&lt;&gt;"",J857*IF(W857&lt;&gt;"AR",(CS857*K857)+CT857,(CS857*AB857)+CT857*(AB857/INDEX('Device Refrigerant Leakage'!$C$2:$C$42,MATCH($M857,'Device Refrigerant Leakage'!$B$2:$B$42,0)))),"")</f>
        <v/>
      </c>
      <c r="CW857" s="135" t="str">
        <f>IF($I857&lt;&gt;"",IF(S857="User Specified",V857,INDEX('Refrigerant GWPs'!$G$2:$G$156,MATCH(S857,'Refrigerant GWPs'!$A$2:$A$157,0))),"")</f>
        <v/>
      </c>
      <c r="CX857" s="138" t="str">
        <f>IF($I857&lt;&gt;"",INDEX('Device Refrigerant Leakage'!$E$2:$E$42,MATCH($Q857,'Device Refrigerant Leakage'!$B$2:$B$42,0)),"")</f>
        <v/>
      </c>
      <c r="CY857" s="138" t="str">
        <f>IF($I857&lt;&gt;"",INDEX('Device Refrigerant Leakage'!$F$2:$F$42,MATCH($Q857,'Device Refrigerant Leakage'!$B$2:$B$42,0)),"")</f>
        <v/>
      </c>
      <c r="CZ857" s="145" t="str">
        <f>IF($I857&lt;&gt;"",INDEX('Device Refrigerant Leakage'!$G$2:$G$42,MATCH($Q857,'Device Refrigerant Leakage'!$B$2:$B$42,0)),"")</f>
        <v/>
      </c>
      <c r="DA857" s="145" t="str">
        <f>IF($I857&lt;&gt;"",J857*INDEX('Device Refrigerant Leakage'!$D$2:$D$42,MATCH($Q857,'Device Refrigerant Leakage'!$B$2:$B$42,0))*CX857/2204.62*CW857,"")</f>
        <v/>
      </c>
      <c r="DB857" s="145" t="str">
        <f>IF($I857&lt;&gt;"",J857*(INDEX('Device Refrigerant Leakage'!$D$2:$D$42,MATCH($Q857,'Device Refrigerant Leakage'!$B$2:$B$42,0))-(INDEX('Device Refrigerant Leakage'!$D$2:$D$42,MATCH($Q857,'Device Refrigerant Leakage'!$B$2:$B$42,0)))*CZ857*CX857)*CY857/2204.62*CW857,"")</f>
        <v/>
      </c>
      <c r="DC857" s="135" t="str">
        <f t="shared" si="1028"/>
        <v/>
      </c>
      <c r="DE857" s="146" t="str">
        <f>IF(W857&lt;&gt;"AR","",IF(Y857="User Specified", AA857, INDEX('Refrigerant GWPs'!$G$2:$G$154,MATCH(Y857,'Refrigerant GWPs'!$A$2:$A$154,0))))</f>
        <v/>
      </c>
      <c r="DF857" s="146" t="str">
        <f>IF(W857&lt;&gt;"AR","",INDEX('Device Refrigerant Leakage'!$E$2:$E$42,MATCH(X857,'Device Refrigerant Leakage'!$B$2:$B$42,0)))</f>
        <v/>
      </c>
      <c r="DG857" s="146" t="str">
        <f>IF(W857&lt;&gt;"AR","",INDEX('Device Refrigerant Leakage'!$F$2:$F$42,MATCH(X857,'Device Refrigerant Leakage'!$B$2:$B$42,0)))</f>
        <v/>
      </c>
      <c r="DH857" s="146" t="str">
        <f>IF(W857&lt;&gt;"AR","",INDEX('Device Refrigerant Leakage'!$G$2:$G$42,MATCH(X857,'Device Refrigerant Leakage'!$B$2:$B$42,0)))</f>
        <v/>
      </c>
      <c r="DI857" s="146" t="str">
        <f>IF(W857&lt;&gt;"AR","",J857*INDEX('Device Refrigerant Leakage'!$D$2:$D$42,MATCH(X857,'Device Refrigerant Leakage'!$B$2:$B$42,0))*DF857/2204.62*DE857)</f>
        <v/>
      </c>
      <c r="DJ857" s="146" t="str">
        <f>IF(W857&lt;&gt;"AR","",J857*(INDEX('Device Refrigerant Leakage'!$D$2:$D$42,MATCH(X857,'Device Refrigerant Leakage'!$B$2:$B$42,0))-(INDEX('Device Refrigerant Leakage'!$D$2:$D$42,MATCH(X857,'Device Refrigerant Leakage'!$B$2:$B$42,0)))*DH857*DF857)*DG857/2204.62*DE857)</f>
        <v/>
      </c>
      <c r="DK857" s="146" t="str">
        <f>IF(W857&lt;&gt;"AR","",DI857*(K857-AB857)+'Fuel Sub Calcs-Deemed'!DJ857*((K857-AB857)/INDEX('Device Refrigerant Leakage'!$C$2:$C$42,MATCH('Fuel Sub Calcs-Deemed'!X857,'Device Refrigerant Leakage'!$B$2:$B$42,0))))</f>
        <v/>
      </c>
      <c r="DM857" s="56">
        <v>843</v>
      </c>
      <c r="DN857" s="67" t="e">
        <f t="shared" si="1010"/>
        <v>#N/A</v>
      </c>
      <c r="DO857" s="45" t="e">
        <f t="shared" si="1011"/>
        <v>#N/A</v>
      </c>
      <c r="DP857" s="67" t="e">
        <f t="shared" si="1012"/>
        <v>#N/A</v>
      </c>
      <c r="DQ857" s="45" t="e">
        <f t="shared" si="1013"/>
        <v>#N/A</v>
      </c>
      <c r="DR857" s="69" t="e">
        <f t="shared" si="1014"/>
        <v>#N/A</v>
      </c>
      <c r="DS857" s="34"/>
      <c r="DT857" s="67" t="e">
        <f>((BX857*CJ857)+IF($W857=MAT_AR,(BZ857*CL857),0))*(1+Reference!$E$50+Reference!$E$51)</f>
        <v>#N/A</v>
      </c>
      <c r="DU857" s="67">
        <f>((BY857*CK857)+IF($W857=MAT_AR,(CA857*CM857),0))*(1+Reference!$G$50+Reference!$G$51)</f>
        <v>0</v>
      </c>
      <c r="DV857" s="67" t="e">
        <f t="shared" si="1015"/>
        <v>#VALUE!</v>
      </c>
      <c r="DX857" s="56">
        <v>843</v>
      </c>
      <c r="DY857" s="67">
        <f t="shared" si="1016"/>
        <v>0</v>
      </c>
      <c r="DZ857" s="45" t="e">
        <f>VLOOKUP($R857,Dropdown!$C$3:$D$4,2,FALSE)</f>
        <v>#N/A</v>
      </c>
      <c r="EA857" s="68">
        <f t="shared" si="1017"/>
        <v>0</v>
      </c>
      <c r="EB857" s="68" t="str">
        <f t="shared" si="1018"/>
        <v>N/A</v>
      </c>
      <c r="EC857" s="68">
        <f t="shared" si="1019"/>
        <v>0</v>
      </c>
      <c r="ED857" s="68" t="str">
        <f t="shared" si="1057"/>
        <v>N/A</v>
      </c>
      <c r="EF857" s="56">
        <v>843</v>
      </c>
      <c r="EG857" s="46">
        <f t="shared" si="1020"/>
        <v>0</v>
      </c>
      <c r="EH857" s="68" t="e">
        <f t="shared" si="1021"/>
        <v>#N/A</v>
      </c>
      <c r="EI857" s="68" t="e">
        <f t="shared" si="1022"/>
        <v>#N/A</v>
      </c>
      <c r="EJ857" s="68" t="e">
        <f t="shared" si="1023"/>
        <v>#N/A</v>
      </c>
      <c r="EK857" s="68" t="e">
        <f t="shared" si="1024"/>
        <v>#N/A</v>
      </c>
      <c r="EL857" s="46">
        <f t="shared" si="1025"/>
        <v>0</v>
      </c>
      <c r="EM857" s="46">
        <f t="shared" si="1026"/>
        <v>0</v>
      </c>
    </row>
    <row r="858" spans="1:143">
      <c r="A858" s="89"/>
      <c r="B858" s="89"/>
      <c r="C858" s="89"/>
      <c r="D858" s="89"/>
      <c r="E858" s="89"/>
      <c r="F858" s="89"/>
      <c r="G858" s="34"/>
      <c r="H858" s="56">
        <f t="shared" si="1027"/>
        <v>844</v>
      </c>
      <c r="I858" s="165"/>
      <c r="J858" s="163"/>
      <c r="K858" s="163"/>
      <c r="L858" s="164"/>
      <c r="M858" s="155"/>
      <c r="N858" s="155"/>
      <c r="O858" s="144"/>
      <c r="P858" s="159" t="str">
        <f>IFERROR(IF(O858&lt;&gt;"User Specified",IF(O858&lt;&gt;"", INDEX('Refrigerant GWPs'!$G$2:$G$154,MATCH(O858,'Refrigerant GWPs'!$A$2:$A$154,0)),""),U858),0)</f>
        <v/>
      </c>
      <c r="Q858" s="155"/>
      <c r="R858" s="155"/>
      <c r="S858" s="144"/>
      <c r="T858" s="159" t="str">
        <f>IF(S858&lt;&gt;"User Specified",IF(AND(S858&lt;&gt;"User Specified",S858&lt;&gt;""), INDEX('Refrigerant GWPs'!$G$2:$G$154,MATCH(S858,'Refrigerant GWPs'!$A$2:$A$154,0)),""),V858)</f>
        <v/>
      </c>
      <c r="U858" s="144"/>
      <c r="V858" s="144"/>
      <c r="W858" s="155"/>
      <c r="X858" s="155"/>
      <c r="Y858" s="144"/>
      <c r="Z858" s="159" t="str">
        <f>IF(AND(Y858&lt;&gt;"User Specified",Y858&lt;&gt;""), INDEX('Refrigerant GWPs'!$G$2:$G$154,MATCH(Y858,'Refrigerant GWPs'!$A$2:$A$154,0)),"")</f>
        <v/>
      </c>
      <c r="AA858" s="155"/>
      <c r="AB858" s="156"/>
      <c r="AC858" s="66"/>
      <c r="AD858" s="66"/>
      <c r="AE858" s="66"/>
      <c r="AF858" s="66"/>
      <c r="AG858" s="66"/>
      <c r="AH858" s="66"/>
      <c r="AI858" s="34"/>
      <c r="AJ858" s="88">
        <f t="shared" si="990"/>
        <v>0</v>
      </c>
      <c r="AK858" s="88">
        <f t="shared" si="991"/>
        <v>0</v>
      </c>
      <c r="AL858" s="88">
        <v>0</v>
      </c>
      <c r="AM858" s="88">
        <v>0</v>
      </c>
      <c r="AN858" s="81" t="str">
        <f t="shared" si="1029"/>
        <v/>
      </c>
      <c r="AO858" s="88">
        <f t="shared" si="992"/>
        <v>0</v>
      </c>
      <c r="AP858" s="88">
        <f t="shared" si="993"/>
        <v>0</v>
      </c>
      <c r="AQ858" s="81" t="str">
        <f t="shared" si="994"/>
        <v/>
      </c>
      <c r="AS858" s="41" t="b">
        <f t="shared" si="995"/>
        <v>1</v>
      </c>
      <c r="AT858" s="38">
        <f t="shared" si="996"/>
        <v>0</v>
      </c>
      <c r="AU858" s="60">
        <f t="shared" si="997"/>
        <v>0</v>
      </c>
      <c r="AV858" s="41">
        <f t="shared" si="998"/>
        <v>0</v>
      </c>
      <c r="AW858" s="41" t="b">
        <f t="shared" si="999"/>
        <v>0</v>
      </c>
      <c r="AX858" t="str">
        <f t="shared" si="1000"/>
        <v>+00</v>
      </c>
      <c r="AY858" t="str">
        <f t="shared" si="1001"/>
        <v>+00</v>
      </c>
      <c r="BA858" s="47" t="b">
        <f t="shared" si="1030"/>
        <v>1</v>
      </c>
      <c r="BB858" s="42" t="b">
        <f t="shared" si="1031"/>
        <v>1</v>
      </c>
      <c r="BC858" s="42" t="b">
        <f t="shared" si="1032"/>
        <v>0</v>
      </c>
      <c r="BD858" s="42" t="b">
        <f t="shared" si="1033"/>
        <v>0</v>
      </c>
      <c r="BE858" s="70">
        <f t="shared" si="1034"/>
        <v>0</v>
      </c>
      <c r="BF858" s="70">
        <f t="shared" si="1035"/>
        <v>0</v>
      </c>
      <c r="BG858" s="34"/>
      <c r="BI858" s="47" t="b">
        <f t="shared" si="1036"/>
        <v>1</v>
      </c>
      <c r="BJ858" s="47" t="b">
        <f t="shared" si="1037"/>
        <v>1</v>
      </c>
      <c r="BK858" s="42" t="b">
        <f t="shared" si="1038"/>
        <v>0</v>
      </c>
      <c r="BL858" s="42" t="b">
        <f t="shared" si="1039"/>
        <v>0</v>
      </c>
      <c r="BM858" s="42">
        <f t="shared" si="1040"/>
        <v>0</v>
      </c>
      <c r="BN858" s="42">
        <f t="shared" si="1041"/>
        <v>0</v>
      </c>
      <c r="BP858" t="e">
        <f t="shared" si="1042"/>
        <v>#N/A</v>
      </c>
      <c r="BQ858" t="e">
        <f t="shared" si="1043"/>
        <v>#N/A</v>
      </c>
      <c r="BR858" t="e">
        <f t="shared" si="1044"/>
        <v>#N/A</v>
      </c>
      <c r="BT858" s="60">
        <f t="shared" si="1045"/>
        <v>0</v>
      </c>
      <c r="BU858" s="60">
        <f t="shared" si="1046"/>
        <v>0</v>
      </c>
      <c r="BV858" s="60">
        <f t="shared" si="1047"/>
        <v>0</v>
      </c>
      <c r="BW858" s="60">
        <f t="shared" si="1048"/>
        <v>0</v>
      </c>
      <c r="BX858" s="60">
        <f t="shared" si="1049"/>
        <v>0</v>
      </c>
      <c r="BY858" s="60">
        <f t="shared" si="1050"/>
        <v>0</v>
      </c>
      <c r="BZ858" s="60">
        <f t="shared" si="1051"/>
        <v>0</v>
      </c>
      <c r="CA858" s="60">
        <f t="shared" si="1052"/>
        <v>0</v>
      </c>
      <c r="CB858" s="60" t="e">
        <f t="shared" si="1002"/>
        <v>#N/A</v>
      </c>
      <c r="CC858" s="60">
        <f t="shared" si="1003"/>
        <v>100000</v>
      </c>
      <c r="CD858" s="60" t="e">
        <f t="shared" si="1004"/>
        <v>#N/A</v>
      </c>
      <c r="CE858" s="60">
        <f t="shared" si="1005"/>
        <v>100000</v>
      </c>
      <c r="CF858" s="83" t="e">
        <f t="shared" si="1053"/>
        <v>#N/A</v>
      </c>
      <c r="CG858" s="83">
        <f t="shared" si="1054"/>
        <v>0</v>
      </c>
      <c r="CH858" s="83" t="e">
        <f t="shared" si="1055"/>
        <v>#N/A</v>
      </c>
      <c r="CI858" s="83">
        <f t="shared" si="1056"/>
        <v>0</v>
      </c>
      <c r="CJ858" s="86" t="e">
        <f t="shared" si="1006"/>
        <v>#N/A</v>
      </c>
      <c r="CK858" s="82">
        <f t="shared" si="1007"/>
        <v>5.3070370403969858E-3</v>
      </c>
      <c r="CL858" s="82" t="e">
        <f t="shared" si="1008"/>
        <v>#N/A</v>
      </c>
      <c r="CM858" s="82">
        <f t="shared" si="1009"/>
        <v>5.3070370403969858E-3</v>
      </c>
      <c r="CO858" s="149" t="str">
        <f>IF($I858&lt;&gt;"",IF(O858="User Specified",U858,INDEX('Refrigerant GWPs'!$G$2:$G$156,MATCH(O858,'Refrigerant GWPs'!$A$2:$A$156,0))),"")</f>
        <v/>
      </c>
      <c r="CP858" s="138" t="str">
        <f>IF($I858&lt;&gt;"",INDEX('Device Refrigerant Leakage'!$E$2:$E$42,MATCH($M858,'Device Refrigerant Leakage'!$B$2:$B$42,0)),"")</f>
        <v/>
      </c>
      <c r="CQ858" s="138" t="str">
        <f>IF($I858&lt;&gt;"",INDEX('Device Refrigerant Leakage'!$F$2:$F$42,MATCH($M858,'Device Refrigerant Leakage'!$B$2:$B$42,0)),"")</f>
        <v/>
      </c>
      <c r="CR858" s="145" t="str">
        <f>IF($I858&lt;&gt;"",INDEX('Device Refrigerant Leakage'!$G$2:$G$42,MATCH($M858,'Device Refrigerant Leakage'!$B$2:$B$42,0)),"")</f>
        <v/>
      </c>
      <c r="CS858" s="145" t="str">
        <f>IF($I858&lt;&gt;"",INDEX('Device Refrigerant Leakage'!$D$2:$D$42,MATCH($M858,'Device Refrigerant Leakage'!$B$2:$B$42,0))*CP858/2204.62*CO858,"")</f>
        <v/>
      </c>
      <c r="CT858" s="145" t="str">
        <f>IF($I858&lt;&gt;"",J858*(INDEX('Device Refrigerant Leakage'!$D$2:$D$42,MATCH($M858,'Device Refrigerant Leakage'!$B$2:$B$42,0))-(INDEX('Device Refrigerant Leakage'!$D$2:$D$42,MATCH($M858,'Device Refrigerant Leakage'!$B$2:$B$42,0)))*CR858*CP858)*CQ858/2204.62*CO858,"")</f>
        <v/>
      </c>
      <c r="CU858" s="135" t="str">
        <f>IF($I858&lt;&gt;"",J858*IF(W858&lt;&gt;"AR",(CS858*K858)+CT858,(CS858*AB858)+CT858*(AB858/INDEX('Device Refrigerant Leakage'!$C$2:$C$42,MATCH($M858,'Device Refrigerant Leakage'!$B$2:$B$42,0)))),"")</f>
        <v/>
      </c>
      <c r="CW858" s="135" t="str">
        <f>IF($I858&lt;&gt;"",IF(S858="User Specified",V858,INDEX('Refrigerant GWPs'!$G$2:$G$156,MATCH(S858,'Refrigerant GWPs'!$A$2:$A$157,0))),"")</f>
        <v/>
      </c>
      <c r="CX858" s="138" t="str">
        <f>IF($I858&lt;&gt;"",INDEX('Device Refrigerant Leakage'!$E$2:$E$42,MATCH($Q858,'Device Refrigerant Leakage'!$B$2:$B$42,0)),"")</f>
        <v/>
      </c>
      <c r="CY858" s="138" t="str">
        <f>IF($I858&lt;&gt;"",INDEX('Device Refrigerant Leakage'!$F$2:$F$42,MATCH($Q858,'Device Refrigerant Leakage'!$B$2:$B$42,0)),"")</f>
        <v/>
      </c>
      <c r="CZ858" s="145" t="str">
        <f>IF($I858&lt;&gt;"",INDEX('Device Refrigerant Leakage'!$G$2:$G$42,MATCH($Q858,'Device Refrigerant Leakage'!$B$2:$B$42,0)),"")</f>
        <v/>
      </c>
      <c r="DA858" s="145" t="str">
        <f>IF($I858&lt;&gt;"",J858*INDEX('Device Refrigerant Leakage'!$D$2:$D$42,MATCH($Q858,'Device Refrigerant Leakage'!$B$2:$B$42,0))*CX858/2204.62*CW858,"")</f>
        <v/>
      </c>
      <c r="DB858" s="145" t="str">
        <f>IF($I858&lt;&gt;"",J858*(INDEX('Device Refrigerant Leakage'!$D$2:$D$42,MATCH($Q858,'Device Refrigerant Leakage'!$B$2:$B$42,0))-(INDEX('Device Refrigerant Leakage'!$D$2:$D$42,MATCH($Q858,'Device Refrigerant Leakage'!$B$2:$B$42,0)))*CZ858*CX858)*CY858/2204.62*CW858,"")</f>
        <v/>
      </c>
      <c r="DC858" s="135" t="str">
        <f t="shared" si="1028"/>
        <v/>
      </c>
      <c r="DE858" s="146" t="str">
        <f>IF(W858&lt;&gt;"AR","",IF(Y858="User Specified", AA858, INDEX('Refrigerant GWPs'!$G$2:$G$154,MATCH(Y858,'Refrigerant GWPs'!$A$2:$A$154,0))))</f>
        <v/>
      </c>
      <c r="DF858" s="146" t="str">
        <f>IF(W858&lt;&gt;"AR","",INDEX('Device Refrigerant Leakage'!$E$2:$E$42,MATCH(X858,'Device Refrigerant Leakage'!$B$2:$B$42,0)))</f>
        <v/>
      </c>
      <c r="DG858" s="146" t="str">
        <f>IF(W858&lt;&gt;"AR","",INDEX('Device Refrigerant Leakage'!$F$2:$F$42,MATCH(X858,'Device Refrigerant Leakage'!$B$2:$B$42,0)))</f>
        <v/>
      </c>
      <c r="DH858" s="146" t="str">
        <f>IF(W858&lt;&gt;"AR","",INDEX('Device Refrigerant Leakage'!$G$2:$G$42,MATCH(X858,'Device Refrigerant Leakage'!$B$2:$B$42,0)))</f>
        <v/>
      </c>
      <c r="DI858" s="146" t="str">
        <f>IF(W858&lt;&gt;"AR","",J858*INDEX('Device Refrigerant Leakage'!$D$2:$D$42,MATCH(X858,'Device Refrigerant Leakage'!$B$2:$B$42,0))*DF858/2204.62*DE858)</f>
        <v/>
      </c>
      <c r="DJ858" s="146" t="str">
        <f>IF(W858&lt;&gt;"AR","",J858*(INDEX('Device Refrigerant Leakage'!$D$2:$D$42,MATCH(X858,'Device Refrigerant Leakage'!$B$2:$B$42,0))-(INDEX('Device Refrigerant Leakage'!$D$2:$D$42,MATCH(X858,'Device Refrigerant Leakage'!$B$2:$B$42,0)))*DH858*DF858)*DG858/2204.62*DE858)</f>
        <v/>
      </c>
      <c r="DK858" s="146" t="str">
        <f>IF(W858&lt;&gt;"AR","",DI858*(K858-AB858)+'Fuel Sub Calcs-Deemed'!DJ858*((K858-AB858)/INDEX('Device Refrigerant Leakage'!$C$2:$C$42,MATCH('Fuel Sub Calcs-Deemed'!X858,'Device Refrigerant Leakage'!$B$2:$B$42,0))))</f>
        <v/>
      </c>
      <c r="DM858" s="56">
        <v>844</v>
      </c>
      <c r="DN858" s="67" t="e">
        <f t="shared" si="1010"/>
        <v>#N/A</v>
      </c>
      <c r="DO858" s="45" t="e">
        <f t="shared" si="1011"/>
        <v>#N/A</v>
      </c>
      <c r="DP858" s="67" t="e">
        <f t="shared" si="1012"/>
        <v>#N/A</v>
      </c>
      <c r="DQ858" s="45" t="e">
        <f t="shared" si="1013"/>
        <v>#N/A</v>
      </c>
      <c r="DR858" s="69" t="e">
        <f t="shared" si="1014"/>
        <v>#N/A</v>
      </c>
      <c r="DS858" s="34"/>
      <c r="DT858" s="67" t="e">
        <f>((BX858*CJ858)+IF($W858=MAT_AR,(BZ858*CL858),0))*(1+Reference!$E$50+Reference!$E$51)</f>
        <v>#N/A</v>
      </c>
      <c r="DU858" s="67">
        <f>((BY858*CK858)+IF($W858=MAT_AR,(CA858*CM858),0))*(1+Reference!$G$50+Reference!$G$51)</f>
        <v>0</v>
      </c>
      <c r="DV858" s="67" t="e">
        <f t="shared" si="1015"/>
        <v>#VALUE!</v>
      </c>
      <c r="DX858" s="56">
        <v>844</v>
      </c>
      <c r="DY858" s="67">
        <f t="shared" si="1016"/>
        <v>0</v>
      </c>
      <c r="DZ858" s="45" t="e">
        <f>VLOOKUP($R858,Dropdown!$C$3:$D$4,2,FALSE)</f>
        <v>#N/A</v>
      </c>
      <c r="EA858" s="68">
        <f t="shared" si="1017"/>
        <v>0</v>
      </c>
      <c r="EB858" s="68" t="str">
        <f t="shared" si="1018"/>
        <v>N/A</v>
      </c>
      <c r="EC858" s="68">
        <f t="shared" si="1019"/>
        <v>0</v>
      </c>
      <c r="ED858" s="68" t="str">
        <f t="shared" si="1057"/>
        <v>N/A</v>
      </c>
      <c r="EF858" s="56">
        <v>844</v>
      </c>
      <c r="EG858" s="46">
        <f t="shared" si="1020"/>
        <v>0</v>
      </c>
      <c r="EH858" s="68" t="e">
        <f t="shared" si="1021"/>
        <v>#N/A</v>
      </c>
      <c r="EI858" s="68" t="e">
        <f t="shared" si="1022"/>
        <v>#N/A</v>
      </c>
      <c r="EJ858" s="68" t="e">
        <f t="shared" si="1023"/>
        <v>#N/A</v>
      </c>
      <c r="EK858" s="68" t="e">
        <f t="shared" si="1024"/>
        <v>#N/A</v>
      </c>
      <c r="EL858" s="46">
        <f t="shared" si="1025"/>
        <v>0</v>
      </c>
      <c r="EM858" s="46">
        <f t="shared" si="1026"/>
        <v>0</v>
      </c>
    </row>
    <row r="859" spans="1:143">
      <c r="A859" s="89"/>
      <c r="B859" s="89"/>
      <c r="C859" s="89"/>
      <c r="D859" s="89"/>
      <c r="E859" s="89"/>
      <c r="F859" s="89"/>
      <c r="G859" s="34"/>
      <c r="H859" s="56">
        <f t="shared" si="1027"/>
        <v>845</v>
      </c>
      <c r="I859" s="165"/>
      <c r="J859" s="163"/>
      <c r="K859" s="163"/>
      <c r="L859" s="164"/>
      <c r="M859" s="155"/>
      <c r="N859" s="155"/>
      <c r="O859" s="144"/>
      <c r="P859" s="159" t="str">
        <f>IFERROR(IF(O859&lt;&gt;"User Specified",IF(O859&lt;&gt;"", INDEX('Refrigerant GWPs'!$G$2:$G$154,MATCH(O859,'Refrigerant GWPs'!$A$2:$A$154,0)),""),U859),0)</f>
        <v/>
      </c>
      <c r="Q859" s="155"/>
      <c r="R859" s="155"/>
      <c r="S859" s="144"/>
      <c r="T859" s="159" t="str">
        <f>IF(S859&lt;&gt;"User Specified",IF(AND(S859&lt;&gt;"User Specified",S859&lt;&gt;""), INDEX('Refrigerant GWPs'!$G$2:$G$154,MATCH(S859,'Refrigerant GWPs'!$A$2:$A$154,0)),""),V859)</f>
        <v/>
      </c>
      <c r="U859" s="144"/>
      <c r="V859" s="144"/>
      <c r="W859" s="155"/>
      <c r="X859" s="155"/>
      <c r="Y859" s="144"/>
      <c r="Z859" s="159" t="str">
        <f>IF(AND(Y859&lt;&gt;"User Specified",Y859&lt;&gt;""), INDEX('Refrigerant GWPs'!$G$2:$G$154,MATCH(Y859,'Refrigerant GWPs'!$A$2:$A$154,0)),"")</f>
        <v/>
      </c>
      <c r="AA859" s="155"/>
      <c r="AB859" s="156"/>
      <c r="AC859" s="66"/>
      <c r="AD859" s="66"/>
      <c r="AE859" s="66"/>
      <c r="AF859" s="66"/>
      <c r="AG859" s="66"/>
      <c r="AH859" s="66"/>
      <c r="AI859" s="34"/>
      <c r="AJ859" s="88">
        <f t="shared" si="990"/>
        <v>0</v>
      </c>
      <c r="AK859" s="88">
        <f t="shared" si="991"/>
        <v>0</v>
      </c>
      <c r="AL859" s="88">
        <v>0</v>
      </c>
      <c r="AM859" s="88">
        <v>0</v>
      </c>
      <c r="AN859" s="81" t="str">
        <f t="shared" si="1029"/>
        <v/>
      </c>
      <c r="AO859" s="88">
        <f t="shared" si="992"/>
        <v>0</v>
      </c>
      <c r="AP859" s="88">
        <f t="shared" si="993"/>
        <v>0</v>
      </c>
      <c r="AQ859" s="81" t="str">
        <f t="shared" si="994"/>
        <v/>
      </c>
      <c r="AS859" s="41" t="b">
        <f t="shared" si="995"/>
        <v>1</v>
      </c>
      <c r="AT859" s="38">
        <f t="shared" si="996"/>
        <v>0</v>
      </c>
      <c r="AU859" s="60">
        <f t="shared" si="997"/>
        <v>0</v>
      </c>
      <c r="AV859" s="41">
        <f t="shared" si="998"/>
        <v>0</v>
      </c>
      <c r="AW859" s="41" t="b">
        <f t="shared" si="999"/>
        <v>0</v>
      </c>
      <c r="AX859" t="str">
        <f t="shared" si="1000"/>
        <v>+00</v>
      </c>
      <c r="AY859" t="str">
        <f t="shared" si="1001"/>
        <v>+00</v>
      </c>
      <c r="BA859" s="47" t="b">
        <f t="shared" si="1030"/>
        <v>1</v>
      </c>
      <c r="BB859" s="42" t="b">
        <f t="shared" si="1031"/>
        <v>1</v>
      </c>
      <c r="BC859" s="42" t="b">
        <f t="shared" si="1032"/>
        <v>0</v>
      </c>
      <c r="BD859" s="42" t="b">
        <f t="shared" si="1033"/>
        <v>0</v>
      </c>
      <c r="BE859" s="70">
        <f t="shared" si="1034"/>
        <v>0</v>
      </c>
      <c r="BF859" s="70">
        <f t="shared" si="1035"/>
        <v>0</v>
      </c>
      <c r="BG859" s="34"/>
      <c r="BI859" s="47" t="b">
        <f t="shared" si="1036"/>
        <v>1</v>
      </c>
      <c r="BJ859" s="47" t="b">
        <f t="shared" si="1037"/>
        <v>1</v>
      </c>
      <c r="BK859" s="42" t="b">
        <f t="shared" si="1038"/>
        <v>0</v>
      </c>
      <c r="BL859" s="42" t="b">
        <f t="shared" si="1039"/>
        <v>0</v>
      </c>
      <c r="BM859" s="42">
        <f t="shared" si="1040"/>
        <v>0</v>
      </c>
      <c r="BN859" s="42">
        <f t="shared" si="1041"/>
        <v>0</v>
      </c>
      <c r="BP859" t="e">
        <f t="shared" si="1042"/>
        <v>#N/A</v>
      </c>
      <c r="BQ859" t="e">
        <f t="shared" si="1043"/>
        <v>#N/A</v>
      </c>
      <c r="BR859" t="e">
        <f t="shared" si="1044"/>
        <v>#N/A</v>
      </c>
      <c r="BT859" s="60">
        <f t="shared" si="1045"/>
        <v>0</v>
      </c>
      <c r="BU859" s="60">
        <f t="shared" si="1046"/>
        <v>0</v>
      </c>
      <c r="BV859" s="60">
        <f t="shared" si="1047"/>
        <v>0</v>
      </c>
      <c r="BW859" s="60">
        <f t="shared" si="1048"/>
        <v>0</v>
      </c>
      <c r="BX859" s="60">
        <f t="shared" si="1049"/>
        <v>0</v>
      </c>
      <c r="BY859" s="60">
        <f t="shared" si="1050"/>
        <v>0</v>
      </c>
      <c r="BZ859" s="60">
        <f t="shared" si="1051"/>
        <v>0</v>
      </c>
      <c r="CA859" s="60">
        <f t="shared" si="1052"/>
        <v>0</v>
      </c>
      <c r="CB859" s="60" t="e">
        <f t="shared" si="1002"/>
        <v>#N/A</v>
      </c>
      <c r="CC859" s="60">
        <f t="shared" si="1003"/>
        <v>100000</v>
      </c>
      <c r="CD859" s="60" t="e">
        <f t="shared" si="1004"/>
        <v>#N/A</v>
      </c>
      <c r="CE859" s="60">
        <f t="shared" si="1005"/>
        <v>100000</v>
      </c>
      <c r="CF859" s="83" t="e">
        <f t="shared" si="1053"/>
        <v>#N/A</v>
      </c>
      <c r="CG859" s="83">
        <f t="shared" si="1054"/>
        <v>0</v>
      </c>
      <c r="CH859" s="83" t="e">
        <f t="shared" si="1055"/>
        <v>#N/A</v>
      </c>
      <c r="CI859" s="83">
        <f t="shared" si="1056"/>
        <v>0</v>
      </c>
      <c r="CJ859" s="86" t="e">
        <f t="shared" si="1006"/>
        <v>#N/A</v>
      </c>
      <c r="CK859" s="82">
        <f t="shared" si="1007"/>
        <v>5.3070370403969858E-3</v>
      </c>
      <c r="CL859" s="82" t="e">
        <f t="shared" si="1008"/>
        <v>#N/A</v>
      </c>
      <c r="CM859" s="82">
        <f t="shared" si="1009"/>
        <v>5.3070370403969858E-3</v>
      </c>
      <c r="CO859" s="149" t="str">
        <f>IF($I859&lt;&gt;"",IF(O859="User Specified",U859,INDEX('Refrigerant GWPs'!$G$2:$G$156,MATCH(O859,'Refrigerant GWPs'!$A$2:$A$156,0))),"")</f>
        <v/>
      </c>
      <c r="CP859" s="138" t="str">
        <f>IF($I859&lt;&gt;"",INDEX('Device Refrigerant Leakage'!$E$2:$E$42,MATCH($M859,'Device Refrigerant Leakage'!$B$2:$B$42,0)),"")</f>
        <v/>
      </c>
      <c r="CQ859" s="138" t="str">
        <f>IF($I859&lt;&gt;"",INDEX('Device Refrigerant Leakage'!$F$2:$F$42,MATCH($M859,'Device Refrigerant Leakage'!$B$2:$B$42,0)),"")</f>
        <v/>
      </c>
      <c r="CR859" s="145" t="str">
        <f>IF($I859&lt;&gt;"",INDEX('Device Refrigerant Leakage'!$G$2:$G$42,MATCH($M859,'Device Refrigerant Leakage'!$B$2:$B$42,0)),"")</f>
        <v/>
      </c>
      <c r="CS859" s="145" t="str">
        <f>IF($I859&lt;&gt;"",INDEX('Device Refrigerant Leakage'!$D$2:$D$42,MATCH($M859,'Device Refrigerant Leakage'!$B$2:$B$42,0))*CP859/2204.62*CO859,"")</f>
        <v/>
      </c>
      <c r="CT859" s="145" t="str">
        <f>IF($I859&lt;&gt;"",J859*(INDEX('Device Refrigerant Leakage'!$D$2:$D$42,MATCH($M859,'Device Refrigerant Leakage'!$B$2:$B$42,0))-(INDEX('Device Refrigerant Leakage'!$D$2:$D$42,MATCH($M859,'Device Refrigerant Leakage'!$B$2:$B$42,0)))*CR859*CP859)*CQ859/2204.62*CO859,"")</f>
        <v/>
      </c>
      <c r="CU859" s="135" t="str">
        <f>IF($I859&lt;&gt;"",J859*IF(W859&lt;&gt;"AR",(CS859*K859)+CT859,(CS859*AB859)+CT859*(AB859/INDEX('Device Refrigerant Leakage'!$C$2:$C$42,MATCH($M859,'Device Refrigerant Leakage'!$B$2:$B$42,0)))),"")</f>
        <v/>
      </c>
      <c r="CW859" s="135" t="str">
        <f>IF($I859&lt;&gt;"",IF(S859="User Specified",V859,INDEX('Refrigerant GWPs'!$G$2:$G$156,MATCH(S859,'Refrigerant GWPs'!$A$2:$A$157,0))),"")</f>
        <v/>
      </c>
      <c r="CX859" s="138" t="str">
        <f>IF($I859&lt;&gt;"",INDEX('Device Refrigerant Leakage'!$E$2:$E$42,MATCH($Q859,'Device Refrigerant Leakage'!$B$2:$B$42,0)),"")</f>
        <v/>
      </c>
      <c r="CY859" s="138" t="str">
        <f>IF($I859&lt;&gt;"",INDEX('Device Refrigerant Leakage'!$F$2:$F$42,MATCH($Q859,'Device Refrigerant Leakage'!$B$2:$B$42,0)),"")</f>
        <v/>
      </c>
      <c r="CZ859" s="145" t="str">
        <f>IF($I859&lt;&gt;"",INDEX('Device Refrigerant Leakage'!$G$2:$G$42,MATCH($Q859,'Device Refrigerant Leakage'!$B$2:$B$42,0)),"")</f>
        <v/>
      </c>
      <c r="DA859" s="145" t="str">
        <f>IF($I859&lt;&gt;"",J859*INDEX('Device Refrigerant Leakage'!$D$2:$D$42,MATCH($Q859,'Device Refrigerant Leakage'!$B$2:$B$42,0))*CX859/2204.62*CW859,"")</f>
        <v/>
      </c>
      <c r="DB859" s="145" t="str">
        <f>IF($I859&lt;&gt;"",J859*(INDEX('Device Refrigerant Leakage'!$D$2:$D$42,MATCH($Q859,'Device Refrigerant Leakage'!$B$2:$B$42,0))-(INDEX('Device Refrigerant Leakage'!$D$2:$D$42,MATCH($Q859,'Device Refrigerant Leakage'!$B$2:$B$42,0)))*CZ859*CX859)*CY859/2204.62*CW859,"")</f>
        <v/>
      </c>
      <c r="DC859" s="135" t="str">
        <f t="shared" si="1028"/>
        <v/>
      </c>
      <c r="DE859" s="146" t="str">
        <f>IF(W859&lt;&gt;"AR","",IF(Y859="User Specified", AA859, INDEX('Refrigerant GWPs'!$G$2:$G$154,MATCH(Y859,'Refrigerant GWPs'!$A$2:$A$154,0))))</f>
        <v/>
      </c>
      <c r="DF859" s="146" t="str">
        <f>IF(W859&lt;&gt;"AR","",INDEX('Device Refrigerant Leakage'!$E$2:$E$42,MATCH(X859,'Device Refrigerant Leakage'!$B$2:$B$42,0)))</f>
        <v/>
      </c>
      <c r="DG859" s="146" t="str">
        <f>IF(W859&lt;&gt;"AR","",INDEX('Device Refrigerant Leakage'!$F$2:$F$42,MATCH(X859,'Device Refrigerant Leakage'!$B$2:$B$42,0)))</f>
        <v/>
      </c>
      <c r="DH859" s="146" t="str">
        <f>IF(W859&lt;&gt;"AR","",INDEX('Device Refrigerant Leakage'!$G$2:$G$42,MATCH(X859,'Device Refrigerant Leakage'!$B$2:$B$42,0)))</f>
        <v/>
      </c>
      <c r="DI859" s="146" t="str">
        <f>IF(W859&lt;&gt;"AR","",J859*INDEX('Device Refrigerant Leakage'!$D$2:$D$42,MATCH(X859,'Device Refrigerant Leakage'!$B$2:$B$42,0))*DF859/2204.62*DE859)</f>
        <v/>
      </c>
      <c r="DJ859" s="146" t="str">
        <f>IF(W859&lt;&gt;"AR","",J859*(INDEX('Device Refrigerant Leakage'!$D$2:$D$42,MATCH(X859,'Device Refrigerant Leakage'!$B$2:$B$42,0))-(INDEX('Device Refrigerant Leakage'!$D$2:$D$42,MATCH(X859,'Device Refrigerant Leakage'!$B$2:$B$42,0)))*DH859*DF859)*DG859/2204.62*DE859)</f>
        <v/>
      </c>
      <c r="DK859" s="146" t="str">
        <f>IF(W859&lt;&gt;"AR","",DI859*(K859-AB859)+'Fuel Sub Calcs-Deemed'!DJ859*((K859-AB859)/INDEX('Device Refrigerant Leakage'!$C$2:$C$42,MATCH('Fuel Sub Calcs-Deemed'!X859,'Device Refrigerant Leakage'!$B$2:$B$42,0))))</f>
        <v/>
      </c>
      <c r="DM859" s="56">
        <v>845</v>
      </c>
      <c r="DN859" s="67" t="e">
        <f t="shared" si="1010"/>
        <v>#N/A</v>
      </c>
      <c r="DO859" s="45" t="e">
        <f t="shared" si="1011"/>
        <v>#N/A</v>
      </c>
      <c r="DP859" s="67" t="e">
        <f t="shared" si="1012"/>
        <v>#N/A</v>
      </c>
      <c r="DQ859" s="45" t="e">
        <f t="shared" si="1013"/>
        <v>#N/A</v>
      </c>
      <c r="DR859" s="69" t="e">
        <f t="shared" si="1014"/>
        <v>#N/A</v>
      </c>
      <c r="DS859" s="34"/>
      <c r="DT859" s="67" t="e">
        <f>((BX859*CJ859)+IF($W859=MAT_AR,(BZ859*CL859),0))*(1+Reference!$E$50+Reference!$E$51)</f>
        <v>#N/A</v>
      </c>
      <c r="DU859" s="67">
        <f>((BY859*CK859)+IF($W859=MAT_AR,(CA859*CM859),0))*(1+Reference!$G$50+Reference!$G$51)</f>
        <v>0</v>
      </c>
      <c r="DV859" s="67" t="e">
        <f t="shared" si="1015"/>
        <v>#VALUE!</v>
      </c>
      <c r="DX859" s="56">
        <v>845</v>
      </c>
      <c r="DY859" s="67">
        <f t="shared" si="1016"/>
        <v>0</v>
      </c>
      <c r="DZ859" s="45" t="e">
        <f>VLOOKUP($R859,Dropdown!$C$3:$D$4,2,FALSE)</f>
        <v>#N/A</v>
      </c>
      <c r="EA859" s="68">
        <f t="shared" si="1017"/>
        <v>0</v>
      </c>
      <c r="EB859" s="68" t="str">
        <f t="shared" si="1018"/>
        <v>N/A</v>
      </c>
      <c r="EC859" s="68">
        <f t="shared" si="1019"/>
        <v>0</v>
      </c>
      <c r="ED859" s="68" t="str">
        <f t="shared" si="1057"/>
        <v>N/A</v>
      </c>
      <c r="EF859" s="56">
        <v>845</v>
      </c>
      <c r="EG859" s="46">
        <f t="shared" si="1020"/>
        <v>0</v>
      </c>
      <c r="EH859" s="68" t="e">
        <f t="shared" si="1021"/>
        <v>#N/A</v>
      </c>
      <c r="EI859" s="68" t="e">
        <f t="shared" si="1022"/>
        <v>#N/A</v>
      </c>
      <c r="EJ859" s="68" t="e">
        <f t="shared" si="1023"/>
        <v>#N/A</v>
      </c>
      <c r="EK859" s="68" t="e">
        <f t="shared" si="1024"/>
        <v>#N/A</v>
      </c>
      <c r="EL859" s="46">
        <f t="shared" si="1025"/>
        <v>0</v>
      </c>
      <c r="EM859" s="46">
        <f t="shared" si="1026"/>
        <v>0</v>
      </c>
    </row>
    <row r="860" spans="1:143">
      <c r="A860" s="89"/>
      <c r="B860" s="89"/>
      <c r="C860" s="89"/>
      <c r="D860" s="89"/>
      <c r="E860" s="89"/>
      <c r="F860" s="89"/>
      <c r="G860" s="34"/>
      <c r="H860" s="56">
        <f t="shared" si="1027"/>
        <v>846</v>
      </c>
      <c r="I860" s="165"/>
      <c r="J860" s="163"/>
      <c r="K860" s="163"/>
      <c r="L860" s="164"/>
      <c r="M860" s="155"/>
      <c r="N860" s="155"/>
      <c r="O860" s="144"/>
      <c r="P860" s="159" t="str">
        <f>IFERROR(IF(O860&lt;&gt;"User Specified",IF(O860&lt;&gt;"", INDEX('Refrigerant GWPs'!$G$2:$G$154,MATCH(O860,'Refrigerant GWPs'!$A$2:$A$154,0)),""),U860),0)</f>
        <v/>
      </c>
      <c r="Q860" s="155"/>
      <c r="R860" s="155"/>
      <c r="S860" s="144"/>
      <c r="T860" s="159" t="str">
        <f>IF(S860&lt;&gt;"User Specified",IF(AND(S860&lt;&gt;"User Specified",S860&lt;&gt;""), INDEX('Refrigerant GWPs'!$G$2:$G$154,MATCH(S860,'Refrigerant GWPs'!$A$2:$A$154,0)),""),V860)</f>
        <v/>
      </c>
      <c r="U860" s="144"/>
      <c r="V860" s="144"/>
      <c r="W860" s="155"/>
      <c r="X860" s="155"/>
      <c r="Y860" s="144"/>
      <c r="Z860" s="159" t="str">
        <f>IF(AND(Y860&lt;&gt;"User Specified",Y860&lt;&gt;""), INDEX('Refrigerant GWPs'!$G$2:$G$154,MATCH(Y860,'Refrigerant GWPs'!$A$2:$A$154,0)),"")</f>
        <v/>
      </c>
      <c r="AA860" s="155"/>
      <c r="AB860" s="156"/>
      <c r="AC860" s="66"/>
      <c r="AD860" s="66"/>
      <c r="AE860" s="66"/>
      <c r="AF860" s="66"/>
      <c r="AG860" s="66"/>
      <c r="AH860" s="66"/>
      <c r="AI860" s="34"/>
      <c r="AJ860" s="88">
        <f t="shared" si="990"/>
        <v>0</v>
      </c>
      <c r="AK860" s="88">
        <f t="shared" si="991"/>
        <v>0</v>
      </c>
      <c r="AL860" s="88">
        <v>0</v>
      </c>
      <c r="AM860" s="88">
        <v>0</v>
      </c>
      <c r="AN860" s="81" t="str">
        <f t="shared" si="1029"/>
        <v/>
      </c>
      <c r="AO860" s="88">
        <f t="shared" si="992"/>
        <v>0</v>
      </c>
      <c r="AP860" s="88">
        <f t="shared" si="993"/>
        <v>0</v>
      </c>
      <c r="AQ860" s="81" t="str">
        <f t="shared" si="994"/>
        <v/>
      </c>
      <c r="AS860" s="41" t="b">
        <f t="shared" si="995"/>
        <v>1</v>
      </c>
      <c r="AT860" s="38">
        <f t="shared" si="996"/>
        <v>0</v>
      </c>
      <c r="AU860" s="60">
        <f t="shared" si="997"/>
        <v>0</v>
      </c>
      <c r="AV860" s="41">
        <f t="shared" si="998"/>
        <v>0</v>
      </c>
      <c r="AW860" s="41" t="b">
        <f t="shared" si="999"/>
        <v>0</v>
      </c>
      <c r="AX860" t="str">
        <f t="shared" si="1000"/>
        <v>+00</v>
      </c>
      <c r="AY860" t="str">
        <f t="shared" si="1001"/>
        <v>+00</v>
      </c>
      <c r="BA860" s="47" t="b">
        <f t="shared" si="1030"/>
        <v>1</v>
      </c>
      <c r="BB860" s="42" t="b">
        <f t="shared" si="1031"/>
        <v>1</v>
      </c>
      <c r="BC860" s="42" t="b">
        <f t="shared" si="1032"/>
        <v>0</v>
      </c>
      <c r="BD860" s="42" t="b">
        <f t="shared" si="1033"/>
        <v>0</v>
      </c>
      <c r="BE860" s="70">
        <f t="shared" si="1034"/>
        <v>0</v>
      </c>
      <c r="BF860" s="70">
        <f t="shared" si="1035"/>
        <v>0</v>
      </c>
      <c r="BG860" s="34"/>
      <c r="BI860" s="47" t="b">
        <f t="shared" si="1036"/>
        <v>1</v>
      </c>
      <c r="BJ860" s="47" t="b">
        <f t="shared" si="1037"/>
        <v>1</v>
      </c>
      <c r="BK860" s="42" t="b">
        <f t="shared" si="1038"/>
        <v>0</v>
      </c>
      <c r="BL860" s="42" t="b">
        <f t="shared" si="1039"/>
        <v>0</v>
      </c>
      <c r="BM860" s="42">
        <f t="shared" si="1040"/>
        <v>0</v>
      </c>
      <c r="BN860" s="42">
        <f t="shared" si="1041"/>
        <v>0</v>
      </c>
      <c r="BP860" t="e">
        <f t="shared" si="1042"/>
        <v>#N/A</v>
      </c>
      <c r="BQ860" t="e">
        <f t="shared" si="1043"/>
        <v>#N/A</v>
      </c>
      <c r="BR860" t="e">
        <f t="shared" si="1044"/>
        <v>#N/A</v>
      </c>
      <c r="BT860" s="60">
        <f t="shared" si="1045"/>
        <v>0</v>
      </c>
      <c r="BU860" s="60">
        <f t="shared" si="1046"/>
        <v>0</v>
      </c>
      <c r="BV860" s="60">
        <f t="shared" si="1047"/>
        <v>0</v>
      </c>
      <c r="BW860" s="60">
        <f t="shared" si="1048"/>
        <v>0</v>
      </c>
      <c r="BX860" s="60">
        <f t="shared" si="1049"/>
        <v>0</v>
      </c>
      <c r="BY860" s="60">
        <f t="shared" si="1050"/>
        <v>0</v>
      </c>
      <c r="BZ860" s="60">
        <f t="shared" si="1051"/>
        <v>0</v>
      </c>
      <c r="CA860" s="60">
        <f t="shared" si="1052"/>
        <v>0</v>
      </c>
      <c r="CB860" s="60" t="e">
        <f t="shared" si="1002"/>
        <v>#N/A</v>
      </c>
      <c r="CC860" s="60">
        <f t="shared" si="1003"/>
        <v>100000</v>
      </c>
      <c r="CD860" s="60" t="e">
        <f t="shared" si="1004"/>
        <v>#N/A</v>
      </c>
      <c r="CE860" s="60">
        <f t="shared" si="1005"/>
        <v>100000</v>
      </c>
      <c r="CF860" s="83" t="e">
        <f t="shared" si="1053"/>
        <v>#N/A</v>
      </c>
      <c r="CG860" s="83">
        <f t="shared" si="1054"/>
        <v>0</v>
      </c>
      <c r="CH860" s="83" t="e">
        <f t="shared" si="1055"/>
        <v>#N/A</v>
      </c>
      <c r="CI860" s="83">
        <f t="shared" si="1056"/>
        <v>0</v>
      </c>
      <c r="CJ860" s="86" t="e">
        <f t="shared" si="1006"/>
        <v>#N/A</v>
      </c>
      <c r="CK860" s="82">
        <f t="shared" si="1007"/>
        <v>5.3070370403969858E-3</v>
      </c>
      <c r="CL860" s="82" t="e">
        <f t="shared" si="1008"/>
        <v>#N/A</v>
      </c>
      <c r="CM860" s="82">
        <f t="shared" si="1009"/>
        <v>5.3070370403969858E-3</v>
      </c>
      <c r="CO860" s="149" t="str">
        <f>IF($I860&lt;&gt;"",IF(O860="User Specified",U860,INDEX('Refrigerant GWPs'!$G$2:$G$156,MATCH(O860,'Refrigerant GWPs'!$A$2:$A$156,0))),"")</f>
        <v/>
      </c>
      <c r="CP860" s="138" t="str">
        <f>IF($I860&lt;&gt;"",INDEX('Device Refrigerant Leakage'!$E$2:$E$42,MATCH($M860,'Device Refrigerant Leakage'!$B$2:$B$42,0)),"")</f>
        <v/>
      </c>
      <c r="CQ860" s="138" t="str">
        <f>IF($I860&lt;&gt;"",INDEX('Device Refrigerant Leakage'!$F$2:$F$42,MATCH($M860,'Device Refrigerant Leakage'!$B$2:$B$42,0)),"")</f>
        <v/>
      </c>
      <c r="CR860" s="145" t="str">
        <f>IF($I860&lt;&gt;"",INDEX('Device Refrigerant Leakage'!$G$2:$G$42,MATCH($M860,'Device Refrigerant Leakage'!$B$2:$B$42,0)),"")</f>
        <v/>
      </c>
      <c r="CS860" s="145" t="str">
        <f>IF($I860&lt;&gt;"",INDEX('Device Refrigerant Leakage'!$D$2:$D$42,MATCH($M860,'Device Refrigerant Leakage'!$B$2:$B$42,0))*CP860/2204.62*CO860,"")</f>
        <v/>
      </c>
      <c r="CT860" s="145" t="str">
        <f>IF($I860&lt;&gt;"",J860*(INDEX('Device Refrigerant Leakage'!$D$2:$D$42,MATCH($M860,'Device Refrigerant Leakage'!$B$2:$B$42,0))-(INDEX('Device Refrigerant Leakage'!$D$2:$D$42,MATCH($M860,'Device Refrigerant Leakage'!$B$2:$B$42,0)))*CR860*CP860)*CQ860/2204.62*CO860,"")</f>
        <v/>
      </c>
      <c r="CU860" s="135" t="str">
        <f>IF($I860&lt;&gt;"",J860*IF(W860&lt;&gt;"AR",(CS860*K860)+CT860,(CS860*AB860)+CT860*(AB860/INDEX('Device Refrigerant Leakage'!$C$2:$C$42,MATCH($M860,'Device Refrigerant Leakage'!$B$2:$B$42,0)))),"")</f>
        <v/>
      </c>
      <c r="CW860" s="135" t="str">
        <f>IF($I860&lt;&gt;"",IF(S860="User Specified",V860,INDEX('Refrigerant GWPs'!$G$2:$G$156,MATCH(S860,'Refrigerant GWPs'!$A$2:$A$157,0))),"")</f>
        <v/>
      </c>
      <c r="CX860" s="138" t="str">
        <f>IF($I860&lt;&gt;"",INDEX('Device Refrigerant Leakage'!$E$2:$E$42,MATCH($Q860,'Device Refrigerant Leakage'!$B$2:$B$42,0)),"")</f>
        <v/>
      </c>
      <c r="CY860" s="138" t="str">
        <f>IF($I860&lt;&gt;"",INDEX('Device Refrigerant Leakage'!$F$2:$F$42,MATCH($Q860,'Device Refrigerant Leakage'!$B$2:$B$42,0)),"")</f>
        <v/>
      </c>
      <c r="CZ860" s="145" t="str">
        <f>IF($I860&lt;&gt;"",INDEX('Device Refrigerant Leakage'!$G$2:$G$42,MATCH($Q860,'Device Refrigerant Leakage'!$B$2:$B$42,0)),"")</f>
        <v/>
      </c>
      <c r="DA860" s="145" t="str">
        <f>IF($I860&lt;&gt;"",J860*INDEX('Device Refrigerant Leakage'!$D$2:$D$42,MATCH($Q860,'Device Refrigerant Leakage'!$B$2:$B$42,0))*CX860/2204.62*CW860,"")</f>
        <v/>
      </c>
      <c r="DB860" s="145" t="str">
        <f>IF($I860&lt;&gt;"",J860*(INDEX('Device Refrigerant Leakage'!$D$2:$D$42,MATCH($Q860,'Device Refrigerant Leakage'!$B$2:$B$42,0))-(INDEX('Device Refrigerant Leakage'!$D$2:$D$42,MATCH($Q860,'Device Refrigerant Leakage'!$B$2:$B$42,0)))*CZ860*CX860)*CY860/2204.62*CW860,"")</f>
        <v/>
      </c>
      <c r="DC860" s="135" t="str">
        <f t="shared" si="1028"/>
        <v/>
      </c>
      <c r="DE860" s="146" t="str">
        <f>IF(W860&lt;&gt;"AR","",IF(Y860="User Specified", AA860, INDEX('Refrigerant GWPs'!$G$2:$G$154,MATCH(Y860,'Refrigerant GWPs'!$A$2:$A$154,0))))</f>
        <v/>
      </c>
      <c r="DF860" s="146" t="str">
        <f>IF(W860&lt;&gt;"AR","",INDEX('Device Refrigerant Leakage'!$E$2:$E$42,MATCH(X860,'Device Refrigerant Leakage'!$B$2:$B$42,0)))</f>
        <v/>
      </c>
      <c r="DG860" s="146" t="str">
        <f>IF(W860&lt;&gt;"AR","",INDEX('Device Refrigerant Leakage'!$F$2:$F$42,MATCH(X860,'Device Refrigerant Leakage'!$B$2:$B$42,0)))</f>
        <v/>
      </c>
      <c r="DH860" s="146" t="str">
        <f>IF(W860&lt;&gt;"AR","",INDEX('Device Refrigerant Leakage'!$G$2:$G$42,MATCH(X860,'Device Refrigerant Leakage'!$B$2:$B$42,0)))</f>
        <v/>
      </c>
      <c r="DI860" s="146" t="str">
        <f>IF(W860&lt;&gt;"AR","",J860*INDEX('Device Refrigerant Leakage'!$D$2:$D$42,MATCH(X860,'Device Refrigerant Leakage'!$B$2:$B$42,0))*DF860/2204.62*DE860)</f>
        <v/>
      </c>
      <c r="DJ860" s="146" t="str">
        <f>IF(W860&lt;&gt;"AR","",J860*(INDEX('Device Refrigerant Leakage'!$D$2:$D$42,MATCH(X860,'Device Refrigerant Leakage'!$B$2:$B$42,0))-(INDEX('Device Refrigerant Leakage'!$D$2:$D$42,MATCH(X860,'Device Refrigerant Leakage'!$B$2:$B$42,0)))*DH860*DF860)*DG860/2204.62*DE860)</f>
        <v/>
      </c>
      <c r="DK860" s="146" t="str">
        <f>IF(W860&lt;&gt;"AR","",DI860*(K860-AB860)+'Fuel Sub Calcs-Deemed'!DJ860*((K860-AB860)/INDEX('Device Refrigerant Leakage'!$C$2:$C$42,MATCH('Fuel Sub Calcs-Deemed'!X860,'Device Refrigerant Leakage'!$B$2:$B$42,0))))</f>
        <v/>
      </c>
      <c r="DM860" s="56">
        <v>846</v>
      </c>
      <c r="DN860" s="67" t="e">
        <f t="shared" si="1010"/>
        <v>#N/A</v>
      </c>
      <c r="DO860" s="45" t="e">
        <f t="shared" si="1011"/>
        <v>#N/A</v>
      </c>
      <c r="DP860" s="67" t="e">
        <f t="shared" si="1012"/>
        <v>#N/A</v>
      </c>
      <c r="DQ860" s="45" t="e">
        <f t="shared" si="1013"/>
        <v>#N/A</v>
      </c>
      <c r="DR860" s="69" t="e">
        <f t="shared" si="1014"/>
        <v>#N/A</v>
      </c>
      <c r="DS860" s="34"/>
      <c r="DT860" s="67" t="e">
        <f>((BX860*CJ860)+IF($W860=MAT_AR,(BZ860*CL860),0))*(1+Reference!$E$50+Reference!$E$51)</f>
        <v>#N/A</v>
      </c>
      <c r="DU860" s="67">
        <f>((BY860*CK860)+IF($W860=MAT_AR,(CA860*CM860),0))*(1+Reference!$G$50+Reference!$G$51)</f>
        <v>0</v>
      </c>
      <c r="DV860" s="67" t="e">
        <f t="shared" si="1015"/>
        <v>#VALUE!</v>
      </c>
      <c r="DX860" s="56">
        <v>846</v>
      </c>
      <c r="DY860" s="67">
        <f t="shared" si="1016"/>
        <v>0</v>
      </c>
      <c r="DZ860" s="45" t="e">
        <f>VLOOKUP($R860,Dropdown!$C$3:$D$4,2,FALSE)</f>
        <v>#N/A</v>
      </c>
      <c r="EA860" s="68">
        <f t="shared" si="1017"/>
        <v>0</v>
      </c>
      <c r="EB860" s="68" t="str">
        <f t="shared" si="1018"/>
        <v>N/A</v>
      </c>
      <c r="EC860" s="68">
        <f t="shared" si="1019"/>
        <v>0</v>
      </c>
      <c r="ED860" s="68" t="str">
        <f t="shared" si="1057"/>
        <v>N/A</v>
      </c>
      <c r="EF860" s="56">
        <v>846</v>
      </c>
      <c r="EG860" s="46">
        <f t="shared" si="1020"/>
        <v>0</v>
      </c>
      <c r="EH860" s="68" t="e">
        <f t="shared" si="1021"/>
        <v>#N/A</v>
      </c>
      <c r="EI860" s="68" t="e">
        <f t="shared" si="1022"/>
        <v>#N/A</v>
      </c>
      <c r="EJ860" s="68" t="e">
        <f t="shared" si="1023"/>
        <v>#N/A</v>
      </c>
      <c r="EK860" s="68" t="e">
        <f t="shared" si="1024"/>
        <v>#N/A</v>
      </c>
      <c r="EL860" s="46">
        <f t="shared" si="1025"/>
        <v>0</v>
      </c>
      <c r="EM860" s="46">
        <f t="shared" si="1026"/>
        <v>0</v>
      </c>
    </row>
    <row r="861" spans="1:143">
      <c r="A861" s="89"/>
      <c r="B861" s="89"/>
      <c r="C861" s="89"/>
      <c r="D861" s="89"/>
      <c r="E861" s="89"/>
      <c r="F861" s="89"/>
      <c r="G861" s="34"/>
      <c r="H861" s="56">
        <f t="shared" si="1027"/>
        <v>847</v>
      </c>
      <c r="I861" s="165"/>
      <c r="J861" s="163"/>
      <c r="K861" s="163"/>
      <c r="L861" s="164"/>
      <c r="M861" s="155"/>
      <c r="N861" s="155"/>
      <c r="O861" s="144"/>
      <c r="P861" s="159" t="str">
        <f>IFERROR(IF(O861&lt;&gt;"User Specified",IF(O861&lt;&gt;"", INDEX('Refrigerant GWPs'!$G$2:$G$154,MATCH(O861,'Refrigerant GWPs'!$A$2:$A$154,0)),""),U861),0)</f>
        <v/>
      </c>
      <c r="Q861" s="155"/>
      <c r="R861" s="155"/>
      <c r="S861" s="144"/>
      <c r="T861" s="159" t="str">
        <f>IF(S861&lt;&gt;"User Specified",IF(AND(S861&lt;&gt;"User Specified",S861&lt;&gt;""), INDEX('Refrigerant GWPs'!$G$2:$G$154,MATCH(S861,'Refrigerant GWPs'!$A$2:$A$154,0)),""),V861)</f>
        <v/>
      </c>
      <c r="U861" s="144"/>
      <c r="V861" s="144"/>
      <c r="W861" s="155"/>
      <c r="X861" s="155"/>
      <c r="Y861" s="144"/>
      <c r="Z861" s="159" t="str">
        <f>IF(AND(Y861&lt;&gt;"User Specified",Y861&lt;&gt;""), INDEX('Refrigerant GWPs'!$G$2:$G$154,MATCH(Y861,'Refrigerant GWPs'!$A$2:$A$154,0)),"")</f>
        <v/>
      </c>
      <c r="AA861" s="155"/>
      <c r="AB861" s="156"/>
      <c r="AC861" s="66"/>
      <c r="AD861" s="66"/>
      <c r="AE861" s="66"/>
      <c r="AF861" s="66"/>
      <c r="AG861" s="66"/>
      <c r="AH861" s="66"/>
      <c r="AI861" s="34"/>
      <c r="AJ861" s="88">
        <f t="shared" si="990"/>
        <v>0</v>
      </c>
      <c r="AK861" s="88">
        <f t="shared" si="991"/>
        <v>0</v>
      </c>
      <c r="AL861" s="88">
        <v>0</v>
      </c>
      <c r="AM861" s="88">
        <v>0</v>
      </c>
      <c r="AN861" s="81" t="str">
        <f t="shared" si="1029"/>
        <v/>
      </c>
      <c r="AO861" s="88">
        <f t="shared" si="992"/>
        <v>0</v>
      </c>
      <c r="AP861" s="88">
        <f t="shared" si="993"/>
        <v>0</v>
      </c>
      <c r="AQ861" s="81" t="str">
        <f t="shared" si="994"/>
        <v/>
      </c>
      <c r="AS861" s="41" t="b">
        <f t="shared" si="995"/>
        <v>1</v>
      </c>
      <c r="AT861" s="38">
        <f t="shared" si="996"/>
        <v>0</v>
      </c>
      <c r="AU861" s="60">
        <f t="shared" si="997"/>
        <v>0</v>
      </c>
      <c r="AV861" s="41">
        <f t="shared" si="998"/>
        <v>0</v>
      </c>
      <c r="AW861" s="41" t="b">
        <f t="shared" si="999"/>
        <v>0</v>
      </c>
      <c r="AX861" t="str">
        <f t="shared" si="1000"/>
        <v>+00</v>
      </c>
      <c r="AY861" t="str">
        <f t="shared" si="1001"/>
        <v>+00</v>
      </c>
      <c r="BA861" s="47" t="b">
        <f t="shared" si="1030"/>
        <v>1</v>
      </c>
      <c r="BB861" s="42" t="b">
        <f t="shared" si="1031"/>
        <v>1</v>
      </c>
      <c r="BC861" s="42" t="b">
        <f t="shared" si="1032"/>
        <v>0</v>
      </c>
      <c r="BD861" s="42" t="b">
        <f t="shared" si="1033"/>
        <v>0</v>
      </c>
      <c r="BE861" s="70">
        <f t="shared" si="1034"/>
        <v>0</v>
      </c>
      <c r="BF861" s="70">
        <f t="shared" si="1035"/>
        <v>0</v>
      </c>
      <c r="BG861" s="34"/>
      <c r="BI861" s="47" t="b">
        <f t="shared" si="1036"/>
        <v>1</v>
      </c>
      <c r="BJ861" s="47" t="b">
        <f t="shared" si="1037"/>
        <v>1</v>
      </c>
      <c r="BK861" s="42" t="b">
        <f t="shared" si="1038"/>
        <v>0</v>
      </c>
      <c r="BL861" s="42" t="b">
        <f t="shared" si="1039"/>
        <v>0</v>
      </c>
      <c r="BM861" s="42">
        <f t="shared" si="1040"/>
        <v>0</v>
      </c>
      <c r="BN861" s="42">
        <f t="shared" si="1041"/>
        <v>0</v>
      </c>
      <c r="BP861" t="e">
        <f t="shared" si="1042"/>
        <v>#N/A</v>
      </c>
      <c r="BQ861" t="e">
        <f t="shared" si="1043"/>
        <v>#N/A</v>
      </c>
      <c r="BR861" t="e">
        <f t="shared" si="1044"/>
        <v>#N/A</v>
      </c>
      <c r="BT861" s="60">
        <f t="shared" si="1045"/>
        <v>0</v>
      </c>
      <c r="BU861" s="60">
        <f t="shared" si="1046"/>
        <v>0</v>
      </c>
      <c r="BV861" s="60">
        <f t="shared" si="1047"/>
        <v>0</v>
      </c>
      <c r="BW861" s="60">
        <f t="shared" si="1048"/>
        <v>0</v>
      </c>
      <c r="BX861" s="60">
        <f t="shared" si="1049"/>
        <v>0</v>
      </c>
      <c r="BY861" s="60">
        <f t="shared" si="1050"/>
        <v>0</v>
      </c>
      <c r="BZ861" s="60">
        <f t="shared" si="1051"/>
        <v>0</v>
      </c>
      <c r="CA861" s="60">
        <f t="shared" si="1052"/>
        <v>0</v>
      </c>
      <c r="CB861" s="60" t="e">
        <f t="shared" si="1002"/>
        <v>#N/A</v>
      </c>
      <c r="CC861" s="60">
        <f t="shared" si="1003"/>
        <v>100000</v>
      </c>
      <c r="CD861" s="60" t="e">
        <f t="shared" si="1004"/>
        <v>#N/A</v>
      </c>
      <c r="CE861" s="60">
        <f t="shared" si="1005"/>
        <v>100000</v>
      </c>
      <c r="CF861" s="83" t="e">
        <f t="shared" si="1053"/>
        <v>#N/A</v>
      </c>
      <c r="CG861" s="83">
        <f t="shared" si="1054"/>
        <v>0</v>
      </c>
      <c r="CH861" s="83" t="e">
        <f t="shared" si="1055"/>
        <v>#N/A</v>
      </c>
      <c r="CI861" s="83">
        <f t="shared" si="1056"/>
        <v>0</v>
      </c>
      <c r="CJ861" s="86" t="e">
        <f t="shared" si="1006"/>
        <v>#N/A</v>
      </c>
      <c r="CK861" s="82">
        <f t="shared" si="1007"/>
        <v>5.3070370403969858E-3</v>
      </c>
      <c r="CL861" s="82" t="e">
        <f t="shared" si="1008"/>
        <v>#N/A</v>
      </c>
      <c r="CM861" s="82">
        <f t="shared" si="1009"/>
        <v>5.3070370403969858E-3</v>
      </c>
      <c r="CO861" s="149" t="str">
        <f>IF($I861&lt;&gt;"",IF(O861="User Specified",U861,INDEX('Refrigerant GWPs'!$G$2:$G$156,MATCH(O861,'Refrigerant GWPs'!$A$2:$A$156,0))),"")</f>
        <v/>
      </c>
      <c r="CP861" s="138" t="str">
        <f>IF($I861&lt;&gt;"",INDEX('Device Refrigerant Leakage'!$E$2:$E$42,MATCH($M861,'Device Refrigerant Leakage'!$B$2:$B$42,0)),"")</f>
        <v/>
      </c>
      <c r="CQ861" s="138" t="str">
        <f>IF($I861&lt;&gt;"",INDEX('Device Refrigerant Leakage'!$F$2:$F$42,MATCH($M861,'Device Refrigerant Leakage'!$B$2:$B$42,0)),"")</f>
        <v/>
      </c>
      <c r="CR861" s="145" t="str">
        <f>IF($I861&lt;&gt;"",INDEX('Device Refrigerant Leakage'!$G$2:$G$42,MATCH($M861,'Device Refrigerant Leakage'!$B$2:$B$42,0)),"")</f>
        <v/>
      </c>
      <c r="CS861" s="145" t="str">
        <f>IF($I861&lt;&gt;"",INDEX('Device Refrigerant Leakage'!$D$2:$D$42,MATCH($M861,'Device Refrigerant Leakage'!$B$2:$B$42,0))*CP861/2204.62*CO861,"")</f>
        <v/>
      </c>
      <c r="CT861" s="145" t="str">
        <f>IF($I861&lt;&gt;"",J861*(INDEX('Device Refrigerant Leakage'!$D$2:$D$42,MATCH($M861,'Device Refrigerant Leakage'!$B$2:$B$42,0))-(INDEX('Device Refrigerant Leakage'!$D$2:$D$42,MATCH($M861,'Device Refrigerant Leakage'!$B$2:$B$42,0)))*CR861*CP861)*CQ861/2204.62*CO861,"")</f>
        <v/>
      </c>
      <c r="CU861" s="135" t="str">
        <f>IF($I861&lt;&gt;"",J861*IF(W861&lt;&gt;"AR",(CS861*K861)+CT861,(CS861*AB861)+CT861*(AB861/INDEX('Device Refrigerant Leakage'!$C$2:$C$42,MATCH($M861,'Device Refrigerant Leakage'!$B$2:$B$42,0)))),"")</f>
        <v/>
      </c>
      <c r="CW861" s="135" t="str">
        <f>IF($I861&lt;&gt;"",IF(S861="User Specified",V861,INDEX('Refrigerant GWPs'!$G$2:$G$156,MATCH(S861,'Refrigerant GWPs'!$A$2:$A$157,0))),"")</f>
        <v/>
      </c>
      <c r="CX861" s="138" t="str">
        <f>IF($I861&lt;&gt;"",INDEX('Device Refrigerant Leakage'!$E$2:$E$42,MATCH($Q861,'Device Refrigerant Leakage'!$B$2:$B$42,0)),"")</f>
        <v/>
      </c>
      <c r="CY861" s="138" t="str">
        <f>IF($I861&lt;&gt;"",INDEX('Device Refrigerant Leakage'!$F$2:$F$42,MATCH($Q861,'Device Refrigerant Leakage'!$B$2:$B$42,0)),"")</f>
        <v/>
      </c>
      <c r="CZ861" s="145" t="str">
        <f>IF($I861&lt;&gt;"",INDEX('Device Refrigerant Leakage'!$G$2:$G$42,MATCH($Q861,'Device Refrigerant Leakage'!$B$2:$B$42,0)),"")</f>
        <v/>
      </c>
      <c r="DA861" s="145" t="str">
        <f>IF($I861&lt;&gt;"",J861*INDEX('Device Refrigerant Leakage'!$D$2:$D$42,MATCH($Q861,'Device Refrigerant Leakage'!$B$2:$B$42,0))*CX861/2204.62*CW861,"")</f>
        <v/>
      </c>
      <c r="DB861" s="145" t="str">
        <f>IF($I861&lt;&gt;"",J861*(INDEX('Device Refrigerant Leakage'!$D$2:$D$42,MATCH($Q861,'Device Refrigerant Leakage'!$B$2:$B$42,0))-(INDEX('Device Refrigerant Leakage'!$D$2:$D$42,MATCH($Q861,'Device Refrigerant Leakage'!$B$2:$B$42,0)))*CZ861*CX861)*CY861/2204.62*CW861,"")</f>
        <v/>
      </c>
      <c r="DC861" s="135" t="str">
        <f t="shared" si="1028"/>
        <v/>
      </c>
      <c r="DE861" s="146" t="str">
        <f>IF(W861&lt;&gt;"AR","",IF(Y861="User Specified", AA861, INDEX('Refrigerant GWPs'!$G$2:$G$154,MATCH(Y861,'Refrigerant GWPs'!$A$2:$A$154,0))))</f>
        <v/>
      </c>
      <c r="DF861" s="146" t="str">
        <f>IF(W861&lt;&gt;"AR","",INDEX('Device Refrigerant Leakage'!$E$2:$E$42,MATCH(X861,'Device Refrigerant Leakage'!$B$2:$B$42,0)))</f>
        <v/>
      </c>
      <c r="DG861" s="146" t="str">
        <f>IF(W861&lt;&gt;"AR","",INDEX('Device Refrigerant Leakage'!$F$2:$F$42,MATCH(X861,'Device Refrigerant Leakage'!$B$2:$B$42,0)))</f>
        <v/>
      </c>
      <c r="DH861" s="146" t="str">
        <f>IF(W861&lt;&gt;"AR","",INDEX('Device Refrigerant Leakage'!$G$2:$G$42,MATCH(X861,'Device Refrigerant Leakage'!$B$2:$B$42,0)))</f>
        <v/>
      </c>
      <c r="DI861" s="146" t="str">
        <f>IF(W861&lt;&gt;"AR","",J861*INDEX('Device Refrigerant Leakage'!$D$2:$D$42,MATCH(X861,'Device Refrigerant Leakage'!$B$2:$B$42,0))*DF861/2204.62*DE861)</f>
        <v/>
      </c>
      <c r="DJ861" s="146" t="str">
        <f>IF(W861&lt;&gt;"AR","",J861*(INDEX('Device Refrigerant Leakage'!$D$2:$D$42,MATCH(X861,'Device Refrigerant Leakage'!$B$2:$B$42,0))-(INDEX('Device Refrigerant Leakage'!$D$2:$D$42,MATCH(X861,'Device Refrigerant Leakage'!$B$2:$B$42,0)))*DH861*DF861)*DG861/2204.62*DE861)</f>
        <v/>
      </c>
      <c r="DK861" s="146" t="str">
        <f>IF(W861&lt;&gt;"AR","",DI861*(K861-AB861)+'Fuel Sub Calcs-Deemed'!DJ861*((K861-AB861)/INDEX('Device Refrigerant Leakage'!$C$2:$C$42,MATCH('Fuel Sub Calcs-Deemed'!X861,'Device Refrigerant Leakage'!$B$2:$B$42,0))))</f>
        <v/>
      </c>
      <c r="DM861" s="56">
        <v>847</v>
      </c>
      <c r="DN861" s="67" t="e">
        <f t="shared" si="1010"/>
        <v>#N/A</v>
      </c>
      <c r="DO861" s="45" t="e">
        <f t="shared" si="1011"/>
        <v>#N/A</v>
      </c>
      <c r="DP861" s="67" t="e">
        <f t="shared" si="1012"/>
        <v>#N/A</v>
      </c>
      <c r="DQ861" s="45" t="e">
        <f t="shared" si="1013"/>
        <v>#N/A</v>
      </c>
      <c r="DR861" s="69" t="e">
        <f t="shared" si="1014"/>
        <v>#N/A</v>
      </c>
      <c r="DS861" s="34"/>
      <c r="DT861" s="67" t="e">
        <f>((BX861*CJ861)+IF($W861=MAT_AR,(BZ861*CL861),0))*(1+Reference!$E$50+Reference!$E$51)</f>
        <v>#N/A</v>
      </c>
      <c r="DU861" s="67">
        <f>((BY861*CK861)+IF($W861=MAT_AR,(CA861*CM861),0))*(1+Reference!$G$50+Reference!$G$51)</f>
        <v>0</v>
      </c>
      <c r="DV861" s="67" t="e">
        <f t="shared" si="1015"/>
        <v>#VALUE!</v>
      </c>
      <c r="DX861" s="56">
        <v>847</v>
      </c>
      <c r="DY861" s="67">
        <f t="shared" si="1016"/>
        <v>0</v>
      </c>
      <c r="DZ861" s="45" t="e">
        <f>VLOOKUP($R861,Dropdown!$C$3:$D$4,2,FALSE)</f>
        <v>#N/A</v>
      </c>
      <c r="EA861" s="68">
        <f t="shared" si="1017"/>
        <v>0</v>
      </c>
      <c r="EB861" s="68" t="str">
        <f t="shared" si="1018"/>
        <v>N/A</v>
      </c>
      <c r="EC861" s="68">
        <f t="shared" si="1019"/>
        <v>0</v>
      </c>
      <c r="ED861" s="68" t="str">
        <f t="shared" si="1057"/>
        <v>N/A</v>
      </c>
      <c r="EF861" s="56">
        <v>847</v>
      </c>
      <c r="EG861" s="46">
        <f t="shared" si="1020"/>
        <v>0</v>
      </c>
      <c r="EH861" s="68" t="e">
        <f t="shared" si="1021"/>
        <v>#N/A</v>
      </c>
      <c r="EI861" s="68" t="e">
        <f t="shared" si="1022"/>
        <v>#N/A</v>
      </c>
      <c r="EJ861" s="68" t="e">
        <f t="shared" si="1023"/>
        <v>#N/A</v>
      </c>
      <c r="EK861" s="68" t="e">
        <f t="shared" si="1024"/>
        <v>#N/A</v>
      </c>
      <c r="EL861" s="46">
        <f t="shared" si="1025"/>
        <v>0</v>
      </c>
      <c r="EM861" s="46">
        <f t="shared" si="1026"/>
        <v>0</v>
      </c>
    </row>
    <row r="862" spans="1:143">
      <c r="A862" s="89"/>
      <c r="B862" s="89"/>
      <c r="C862" s="89"/>
      <c r="D862" s="89"/>
      <c r="E862" s="89"/>
      <c r="F862" s="89"/>
      <c r="G862" s="34"/>
      <c r="H862" s="56">
        <f t="shared" si="1027"/>
        <v>848</v>
      </c>
      <c r="I862" s="165"/>
      <c r="J862" s="163"/>
      <c r="K862" s="163"/>
      <c r="L862" s="164"/>
      <c r="M862" s="155"/>
      <c r="N862" s="155"/>
      <c r="O862" s="144"/>
      <c r="P862" s="159" t="str">
        <f>IFERROR(IF(O862&lt;&gt;"User Specified",IF(O862&lt;&gt;"", INDEX('Refrigerant GWPs'!$G$2:$G$154,MATCH(O862,'Refrigerant GWPs'!$A$2:$A$154,0)),""),U862),0)</f>
        <v/>
      </c>
      <c r="Q862" s="155"/>
      <c r="R862" s="155"/>
      <c r="S862" s="144"/>
      <c r="T862" s="159" t="str">
        <f>IF(S862&lt;&gt;"User Specified",IF(AND(S862&lt;&gt;"User Specified",S862&lt;&gt;""), INDEX('Refrigerant GWPs'!$G$2:$G$154,MATCH(S862,'Refrigerant GWPs'!$A$2:$A$154,0)),""),V862)</f>
        <v/>
      </c>
      <c r="U862" s="144"/>
      <c r="V862" s="144"/>
      <c r="W862" s="155"/>
      <c r="X862" s="155"/>
      <c r="Y862" s="144"/>
      <c r="Z862" s="159" t="str">
        <f>IF(AND(Y862&lt;&gt;"User Specified",Y862&lt;&gt;""), INDEX('Refrigerant GWPs'!$G$2:$G$154,MATCH(Y862,'Refrigerant GWPs'!$A$2:$A$154,0)),"")</f>
        <v/>
      </c>
      <c r="AA862" s="155"/>
      <c r="AB862" s="156"/>
      <c r="AC862" s="66"/>
      <c r="AD862" s="66"/>
      <c r="AE862" s="66"/>
      <c r="AF862" s="66"/>
      <c r="AG862" s="66"/>
      <c r="AH862" s="66"/>
      <c r="AI862" s="34"/>
      <c r="AJ862" s="88">
        <f t="shared" si="990"/>
        <v>0</v>
      </c>
      <c r="AK862" s="88">
        <f t="shared" si="991"/>
        <v>0</v>
      </c>
      <c r="AL862" s="88">
        <v>0</v>
      </c>
      <c r="AM862" s="88">
        <v>0</v>
      </c>
      <c r="AN862" s="81" t="str">
        <f t="shared" si="1029"/>
        <v/>
      </c>
      <c r="AO862" s="88">
        <f t="shared" si="992"/>
        <v>0</v>
      </c>
      <c r="AP862" s="88">
        <f t="shared" si="993"/>
        <v>0</v>
      </c>
      <c r="AQ862" s="81" t="str">
        <f t="shared" si="994"/>
        <v/>
      </c>
      <c r="AS862" s="41" t="b">
        <f t="shared" si="995"/>
        <v>1</v>
      </c>
      <c r="AT862" s="38">
        <f t="shared" si="996"/>
        <v>0</v>
      </c>
      <c r="AU862" s="60">
        <f t="shared" si="997"/>
        <v>0</v>
      </c>
      <c r="AV862" s="41">
        <f t="shared" si="998"/>
        <v>0</v>
      </c>
      <c r="AW862" s="41" t="b">
        <f t="shared" si="999"/>
        <v>0</v>
      </c>
      <c r="AX862" t="str">
        <f t="shared" si="1000"/>
        <v>+00</v>
      </c>
      <c r="AY862" t="str">
        <f t="shared" si="1001"/>
        <v>+00</v>
      </c>
      <c r="BA862" s="47" t="b">
        <f t="shared" si="1030"/>
        <v>1</v>
      </c>
      <c r="BB862" s="42" t="b">
        <f t="shared" si="1031"/>
        <v>1</v>
      </c>
      <c r="BC862" s="42" t="b">
        <f t="shared" si="1032"/>
        <v>0</v>
      </c>
      <c r="BD862" s="42" t="b">
        <f t="shared" si="1033"/>
        <v>0</v>
      </c>
      <c r="BE862" s="70">
        <f t="shared" si="1034"/>
        <v>0</v>
      </c>
      <c r="BF862" s="70">
        <f t="shared" si="1035"/>
        <v>0</v>
      </c>
      <c r="BG862" s="34"/>
      <c r="BI862" s="47" t="b">
        <f t="shared" si="1036"/>
        <v>1</v>
      </c>
      <c r="BJ862" s="47" t="b">
        <f t="shared" si="1037"/>
        <v>1</v>
      </c>
      <c r="BK862" s="42" t="b">
        <f t="shared" si="1038"/>
        <v>0</v>
      </c>
      <c r="BL862" s="42" t="b">
        <f t="shared" si="1039"/>
        <v>0</v>
      </c>
      <c r="BM862" s="42">
        <f t="shared" si="1040"/>
        <v>0</v>
      </c>
      <c r="BN862" s="42">
        <f t="shared" si="1041"/>
        <v>0</v>
      </c>
      <c r="BP862" t="e">
        <f t="shared" si="1042"/>
        <v>#N/A</v>
      </c>
      <c r="BQ862" t="e">
        <f t="shared" si="1043"/>
        <v>#N/A</v>
      </c>
      <c r="BR862" t="e">
        <f t="shared" si="1044"/>
        <v>#N/A</v>
      </c>
      <c r="BT862" s="60">
        <f t="shared" si="1045"/>
        <v>0</v>
      </c>
      <c r="BU862" s="60">
        <f t="shared" si="1046"/>
        <v>0</v>
      </c>
      <c r="BV862" s="60">
        <f t="shared" si="1047"/>
        <v>0</v>
      </c>
      <c r="BW862" s="60">
        <f t="shared" si="1048"/>
        <v>0</v>
      </c>
      <c r="BX862" s="60">
        <f t="shared" si="1049"/>
        <v>0</v>
      </c>
      <c r="BY862" s="60">
        <f t="shared" si="1050"/>
        <v>0</v>
      </c>
      <c r="BZ862" s="60">
        <f t="shared" si="1051"/>
        <v>0</v>
      </c>
      <c r="CA862" s="60">
        <f t="shared" si="1052"/>
        <v>0</v>
      </c>
      <c r="CB862" s="60" t="e">
        <f t="shared" si="1002"/>
        <v>#N/A</v>
      </c>
      <c r="CC862" s="60">
        <f t="shared" si="1003"/>
        <v>100000</v>
      </c>
      <c r="CD862" s="60" t="e">
        <f t="shared" si="1004"/>
        <v>#N/A</v>
      </c>
      <c r="CE862" s="60">
        <f t="shared" si="1005"/>
        <v>100000</v>
      </c>
      <c r="CF862" s="83" t="e">
        <f t="shared" si="1053"/>
        <v>#N/A</v>
      </c>
      <c r="CG862" s="83">
        <f t="shared" si="1054"/>
        <v>0</v>
      </c>
      <c r="CH862" s="83" t="e">
        <f t="shared" si="1055"/>
        <v>#N/A</v>
      </c>
      <c r="CI862" s="83">
        <f t="shared" si="1056"/>
        <v>0</v>
      </c>
      <c r="CJ862" s="86" t="e">
        <f t="shared" si="1006"/>
        <v>#N/A</v>
      </c>
      <c r="CK862" s="82">
        <f t="shared" si="1007"/>
        <v>5.3070370403969858E-3</v>
      </c>
      <c r="CL862" s="82" t="e">
        <f t="shared" si="1008"/>
        <v>#N/A</v>
      </c>
      <c r="CM862" s="82">
        <f t="shared" si="1009"/>
        <v>5.3070370403969858E-3</v>
      </c>
      <c r="CO862" s="149" t="str">
        <f>IF($I862&lt;&gt;"",IF(O862="User Specified",U862,INDEX('Refrigerant GWPs'!$G$2:$G$156,MATCH(O862,'Refrigerant GWPs'!$A$2:$A$156,0))),"")</f>
        <v/>
      </c>
      <c r="CP862" s="138" t="str">
        <f>IF($I862&lt;&gt;"",INDEX('Device Refrigerant Leakage'!$E$2:$E$42,MATCH($M862,'Device Refrigerant Leakage'!$B$2:$B$42,0)),"")</f>
        <v/>
      </c>
      <c r="CQ862" s="138" t="str">
        <f>IF($I862&lt;&gt;"",INDEX('Device Refrigerant Leakage'!$F$2:$F$42,MATCH($M862,'Device Refrigerant Leakage'!$B$2:$B$42,0)),"")</f>
        <v/>
      </c>
      <c r="CR862" s="145" t="str">
        <f>IF($I862&lt;&gt;"",INDEX('Device Refrigerant Leakage'!$G$2:$G$42,MATCH($M862,'Device Refrigerant Leakage'!$B$2:$B$42,0)),"")</f>
        <v/>
      </c>
      <c r="CS862" s="145" t="str">
        <f>IF($I862&lt;&gt;"",INDEX('Device Refrigerant Leakage'!$D$2:$D$42,MATCH($M862,'Device Refrigerant Leakage'!$B$2:$B$42,0))*CP862/2204.62*CO862,"")</f>
        <v/>
      </c>
      <c r="CT862" s="145" t="str">
        <f>IF($I862&lt;&gt;"",J862*(INDEX('Device Refrigerant Leakage'!$D$2:$D$42,MATCH($M862,'Device Refrigerant Leakage'!$B$2:$B$42,0))-(INDEX('Device Refrigerant Leakage'!$D$2:$D$42,MATCH($M862,'Device Refrigerant Leakage'!$B$2:$B$42,0)))*CR862*CP862)*CQ862/2204.62*CO862,"")</f>
        <v/>
      </c>
      <c r="CU862" s="135" t="str">
        <f>IF($I862&lt;&gt;"",J862*IF(W862&lt;&gt;"AR",(CS862*K862)+CT862,(CS862*AB862)+CT862*(AB862/INDEX('Device Refrigerant Leakage'!$C$2:$C$42,MATCH($M862,'Device Refrigerant Leakage'!$B$2:$B$42,0)))),"")</f>
        <v/>
      </c>
      <c r="CW862" s="135" t="str">
        <f>IF($I862&lt;&gt;"",IF(S862="User Specified",V862,INDEX('Refrigerant GWPs'!$G$2:$G$156,MATCH(S862,'Refrigerant GWPs'!$A$2:$A$157,0))),"")</f>
        <v/>
      </c>
      <c r="CX862" s="138" t="str">
        <f>IF($I862&lt;&gt;"",INDEX('Device Refrigerant Leakage'!$E$2:$E$42,MATCH($Q862,'Device Refrigerant Leakage'!$B$2:$B$42,0)),"")</f>
        <v/>
      </c>
      <c r="CY862" s="138" t="str">
        <f>IF($I862&lt;&gt;"",INDEX('Device Refrigerant Leakage'!$F$2:$F$42,MATCH($Q862,'Device Refrigerant Leakage'!$B$2:$B$42,0)),"")</f>
        <v/>
      </c>
      <c r="CZ862" s="145" t="str">
        <f>IF($I862&lt;&gt;"",INDEX('Device Refrigerant Leakage'!$G$2:$G$42,MATCH($Q862,'Device Refrigerant Leakage'!$B$2:$B$42,0)),"")</f>
        <v/>
      </c>
      <c r="DA862" s="145" t="str">
        <f>IF($I862&lt;&gt;"",J862*INDEX('Device Refrigerant Leakage'!$D$2:$D$42,MATCH($Q862,'Device Refrigerant Leakage'!$B$2:$B$42,0))*CX862/2204.62*CW862,"")</f>
        <v/>
      </c>
      <c r="DB862" s="145" t="str">
        <f>IF($I862&lt;&gt;"",J862*(INDEX('Device Refrigerant Leakage'!$D$2:$D$42,MATCH($Q862,'Device Refrigerant Leakage'!$B$2:$B$42,0))-(INDEX('Device Refrigerant Leakage'!$D$2:$D$42,MATCH($Q862,'Device Refrigerant Leakage'!$B$2:$B$42,0)))*CZ862*CX862)*CY862/2204.62*CW862,"")</f>
        <v/>
      </c>
      <c r="DC862" s="135" t="str">
        <f t="shared" si="1028"/>
        <v/>
      </c>
      <c r="DE862" s="146" t="str">
        <f>IF(W862&lt;&gt;"AR","",IF(Y862="User Specified", AA862, INDEX('Refrigerant GWPs'!$G$2:$G$154,MATCH(Y862,'Refrigerant GWPs'!$A$2:$A$154,0))))</f>
        <v/>
      </c>
      <c r="DF862" s="146" t="str">
        <f>IF(W862&lt;&gt;"AR","",INDEX('Device Refrigerant Leakage'!$E$2:$E$42,MATCH(X862,'Device Refrigerant Leakage'!$B$2:$B$42,0)))</f>
        <v/>
      </c>
      <c r="DG862" s="146" t="str">
        <f>IF(W862&lt;&gt;"AR","",INDEX('Device Refrigerant Leakage'!$F$2:$F$42,MATCH(X862,'Device Refrigerant Leakage'!$B$2:$B$42,0)))</f>
        <v/>
      </c>
      <c r="DH862" s="146" t="str">
        <f>IF(W862&lt;&gt;"AR","",INDEX('Device Refrigerant Leakage'!$G$2:$G$42,MATCH(X862,'Device Refrigerant Leakage'!$B$2:$B$42,0)))</f>
        <v/>
      </c>
      <c r="DI862" s="146" t="str">
        <f>IF(W862&lt;&gt;"AR","",J862*INDEX('Device Refrigerant Leakage'!$D$2:$D$42,MATCH(X862,'Device Refrigerant Leakage'!$B$2:$B$42,0))*DF862/2204.62*DE862)</f>
        <v/>
      </c>
      <c r="DJ862" s="146" t="str">
        <f>IF(W862&lt;&gt;"AR","",J862*(INDEX('Device Refrigerant Leakage'!$D$2:$D$42,MATCH(X862,'Device Refrigerant Leakage'!$B$2:$B$42,0))-(INDEX('Device Refrigerant Leakage'!$D$2:$D$42,MATCH(X862,'Device Refrigerant Leakage'!$B$2:$B$42,0)))*DH862*DF862)*DG862/2204.62*DE862)</f>
        <v/>
      </c>
      <c r="DK862" s="146" t="str">
        <f>IF(W862&lt;&gt;"AR","",DI862*(K862-AB862)+'Fuel Sub Calcs-Deemed'!DJ862*((K862-AB862)/INDEX('Device Refrigerant Leakage'!$C$2:$C$42,MATCH('Fuel Sub Calcs-Deemed'!X862,'Device Refrigerant Leakage'!$B$2:$B$42,0))))</f>
        <v/>
      </c>
      <c r="DM862" s="56">
        <v>848</v>
      </c>
      <c r="DN862" s="67" t="e">
        <f t="shared" si="1010"/>
        <v>#N/A</v>
      </c>
      <c r="DO862" s="45" t="e">
        <f t="shared" si="1011"/>
        <v>#N/A</v>
      </c>
      <c r="DP862" s="67" t="e">
        <f t="shared" si="1012"/>
        <v>#N/A</v>
      </c>
      <c r="DQ862" s="45" t="e">
        <f t="shared" si="1013"/>
        <v>#N/A</v>
      </c>
      <c r="DR862" s="69" t="e">
        <f t="shared" si="1014"/>
        <v>#N/A</v>
      </c>
      <c r="DS862" s="34"/>
      <c r="DT862" s="67" t="e">
        <f>((BX862*CJ862)+IF($W862=MAT_AR,(BZ862*CL862),0))*(1+Reference!$E$50+Reference!$E$51)</f>
        <v>#N/A</v>
      </c>
      <c r="DU862" s="67">
        <f>((BY862*CK862)+IF($W862=MAT_AR,(CA862*CM862),0))*(1+Reference!$G$50+Reference!$G$51)</f>
        <v>0</v>
      </c>
      <c r="DV862" s="67" t="e">
        <f t="shared" si="1015"/>
        <v>#VALUE!</v>
      </c>
      <c r="DX862" s="56">
        <v>848</v>
      </c>
      <c r="DY862" s="67">
        <f t="shared" si="1016"/>
        <v>0</v>
      </c>
      <c r="DZ862" s="45" t="e">
        <f>VLOOKUP($R862,Dropdown!$C$3:$D$4,2,FALSE)</f>
        <v>#N/A</v>
      </c>
      <c r="EA862" s="68">
        <f t="shared" si="1017"/>
        <v>0</v>
      </c>
      <c r="EB862" s="68" t="str">
        <f t="shared" si="1018"/>
        <v>N/A</v>
      </c>
      <c r="EC862" s="68">
        <f t="shared" si="1019"/>
        <v>0</v>
      </c>
      <c r="ED862" s="68" t="str">
        <f t="shared" si="1057"/>
        <v>N/A</v>
      </c>
      <c r="EF862" s="56">
        <v>848</v>
      </c>
      <c r="EG862" s="46">
        <f t="shared" si="1020"/>
        <v>0</v>
      </c>
      <c r="EH862" s="68" t="e">
        <f t="shared" si="1021"/>
        <v>#N/A</v>
      </c>
      <c r="EI862" s="68" t="e">
        <f t="shared" si="1022"/>
        <v>#N/A</v>
      </c>
      <c r="EJ862" s="68" t="e">
        <f t="shared" si="1023"/>
        <v>#N/A</v>
      </c>
      <c r="EK862" s="68" t="e">
        <f t="shared" si="1024"/>
        <v>#N/A</v>
      </c>
      <c r="EL862" s="46">
        <f t="shared" si="1025"/>
        <v>0</v>
      </c>
      <c r="EM862" s="46">
        <f t="shared" si="1026"/>
        <v>0</v>
      </c>
    </row>
    <row r="863" spans="1:143">
      <c r="A863" s="89"/>
      <c r="B863" s="89"/>
      <c r="C863" s="89"/>
      <c r="D863" s="89"/>
      <c r="E863" s="89"/>
      <c r="F863" s="89"/>
      <c r="G863" s="34"/>
      <c r="H863" s="56">
        <f t="shared" si="1027"/>
        <v>849</v>
      </c>
      <c r="I863" s="165"/>
      <c r="J863" s="163"/>
      <c r="K863" s="163"/>
      <c r="L863" s="164"/>
      <c r="M863" s="155"/>
      <c r="N863" s="155"/>
      <c r="O863" s="144"/>
      <c r="P863" s="159" t="str">
        <f>IFERROR(IF(O863&lt;&gt;"User Specified",IF(O863&lt;&gt;"", INDEX('Refrigerant GWPs'!$G$2:$G$154,MATCH(O863,'Refrigerant GWPs'!$A$2:$A$154,0)),""),U863),0)</f>
        <v/>
      </c>
      <c r="Q863" s="155"/>
      <c r="R863" s="155"/>
      <c r="S863" s="144"/>
      <c r="T863" s="159" t="str">
        <f>IF(S863&lt;&gt;"User Specified",IF(AND(S863&lt;&gt;"User Specified",S863&lt;&gt;""), INDEX('Refrigerant GWPs'!$G$2:$G$154,MATCH(S863,'Refrigerant GWPs'!$A$2:$A$154,0)),""),V863)</f>
        <v/>
      </c>
      <c r="U863" s="144"/>
      <c r="V863" s="144"/>
      <c r="W863" s="155"/>
      <c r="X863" s="155"/>
      <c r="Y863" s="144"/>
      <c r="Z863" s="159" t="str">
        <f>IF(AND(Y863&lt;&gt;"User Specified",Y863&lt;&gt;""), INDEX('Refrigerant GWPs'!$G$2:$G$154,MATCH(Y863,'Refrigerant GWPs'!$A$2:$A$154,0)),"")</f>
        <v/>
      </c>
      <c r="AA863" s="155"/>
      <c r="AB863" s="156"/>
      <c r="AC863" s="66"/>
      <c r="AD863" s="66"/>
      <c r="AE863" s="66"/>
      <c r="AF863" s="66"/>
      <c r="AG863" s="66"/>
      <c r="AH863" s="66"/>
      <c r="AI863" s="34"/>
      <c r="AJ863" s="88">
        <f t="shared" si="990"/>
        <v>0</v>
      </c>
      <c r="AK863" s="88">
        <f t="shared" si="991"/>
        <v>0</v>
      </c>
      <c r="AL863" s="88">
        <v>0</v>
      </c>
      <c r="AM863" s="88">
        <v>0</v>
      </c>
      <c r="AN863" s="81" t="str">
        <f t="shared" si="1029"/>
        <v/>
      </c>
      <c r="AO863" s="88">
        <f t="shared" si="992"/>
        <v>0</v>
      </c>
      <c r="AP863" s="88">
        <f t="shared" si="993"/>
        <v>0</v>
      </c>
      <c r="AQ863" s="81" t="str">
        <f t="shared" si="994"/>
        <v/>
      </c>
      <c r="AS863" s="41" t="b">
        <f t="shared" si="995"/>
        <v>1</v>
      </c>
      <c r="AT863" s="38">
        <f t="shared" si="996"/>
        <v>0</v>
      </c>
      <c r="AU863" s="60">
        <f t="shared" si="997"/>
        <v>0</v>
      </c>
      <c r="AV863" s="41">
        <f t="shared" si="998"/>
        <v>0</v>
      </c>
      <c r="AW863" s="41" t="b">
        <f t="shared" si="999"/>
        <v>0</v>
      </c>
      <c r="AX863" t="str">
        <f t="shared" si="1000"/>
        <v>+00</v>
      </c>
      <c r="AY863" t="str">
        <f t="shared" si="1001"/>
        <v>+00</v>
      </c>
      <c r="BA863" s="47" t="b">
        <f t="shared" si="1030"/>
        <v>1</v>
      </c>
      <c r="BB863" s="42" t="b">
        <f t="shared" si="1031"/>
        <v>1</v>
      </c>
      <c r="BC863" s="42" t="b">
        <f t="shared" si="1032"/>
        <v>0</v>
      </c>
      <c r="BD863" s="42" t="b">
        <f t="shared" si="1033"/>
        <v>0</v>
      </c>
      <c r="BE863" s="70">
        <f t="shared" si="1034"/>
        <v>0</v>
      </c>
      <c r="BF863" s="70">
        <f t="shared" si="1035"/>
        <v>0</v>
      </c>
      <c r="BG863" s="34"/>
      <c r="BI863" s="47" t="b">
        <f t="shared" si="1036"/>
        <v>1</v>
      </c>
      <c r="BJ863" s="47" t="b">
        <f t="shared" si="1037"/>
        <v>1</v>
      </c>
      <c r="BK863" s="42" t="b">
        <f t="shared" si="1038"/>
        <v>0</v>
      </c>
      <c r="BL863" s="42" t="b">
        <f t="shared" si="1039"/>
        <v>0</v>
      </c>
      <c r="BM863" s="42">
        <f t="shared" si="1040"/>
        <v>0</v>
      </c>
      <c r="BN863" s="42">
        <f t="shared" si="1041"/>
        <v>0</v>
      </c>
      <c r="BP863" t="e">
        <f t="shared" si="1042"/>
        <v>#N/A</v>
      </c>
      <c r="BQ863" t="e">
        <f t="shared" si="1043"/>
        <v>#N/A</v>
      </c>
      <c r="BR863" t="e">
        <f t="shared" si="1044"/>
        <v>#N/A</v>
      </c>
      <c r="BT863" s="60">
        <f t="shared" si="1045"/>
        <v>0</v>
      </c>
      <c r="BU863" s="60">
        <f t="shared" si="1046"/>
        <v>0</v>
      </c>
      <c r="BV863" s="60">
        <f t="shared" si="1047"/>
        <v>0</v>
      </c>
      <c r="BW863" s="60">
        <f t="shared" si="1048"/>
        <v>0</v>
      </c>
      <c r="BX863" s="60">
        <f t="shared" si="1049"/>
        <v>0</v>
      </c>
      <c r="BY863" s="60">
        <f t="shared" si="1050"/>
        <v>0</v>
      </c>
      <c r="BZ863" s="60">
        <f t="shared" si="1051"/>
        <v>0</v>
      </c>
      <c r="CA863" s="60">
        <f t="shared" si="1052"/>
        <v>0</v>
      </c>
      <c r="CB863" s="60" t="e">
        <f t="shared" si="1002"/>
        <v>#N/A</v>
      </c>
      <c r="CC863" s="60">
        <f t="shared" si="1003"/>
        <v>100000</v>
      </c>
      <c r="CD863" s="60" t="e">
        <f t="shared" si="1004"/>
        <v>#N/A</v>
      </c>
      <c r="CE863" s="60">
        <f t="shared" si="1005"/>
        <v>100000</v>
      </c>
      <c r="CF863" s="83" t="e">
        <f t="shared" si="1053"/>
        <v>#N/A</v>
      </c>
      <c r="CG863" s="83">
        <f t="shared" si="1054"/>
        <v>0</v>
      </c>
      <c r="CH863" s="83" t="e">
        <f t="shared" si="1055"/>
        <v>#N/A</v>
      </c>
      <c r="CI863" s="83">
        <f t="shared" si="1056"/>
        <v>0</v>
      </c>
      <c r="CJ863" s="86" t="e">
        <f t="shared" si="1006"/>
        <v>#N/A</v>
      </c>
      <c r="CK863" s="82">
        <f t="shared" si="1007"/>
        <v>5.3070370403969858E-3</v>
      </c>
      <c r="CL863" s="82" t="e">
        <f t="shared" si="1008"/>
        <v>#N/A</v>
      </c>
      <c r="CM863" s="82">
        <f t="shared" si="1009"/>
        <v>5.3070370403969858E-3</v>
      </c>
      <c r="CO863" s="149" t="str">
        <f>IF($I863&lt;&gt;"",IF(O863="User Specified",U863,INDEX('Refrigerant GWPs'!$G$2:$G$156,MATCH(O863,'Refrigerant GWPs'!$A$2:$A$156,0))),"")</f>
        <v/>
      </c>
      <c r="CP863" s="138" t="str">
        <f>IF($I863&lt;&gt;"",INDEX('Device Refrigerant Leakage'!$E$2:$E$42,MATCH($M863,'Device Refrigerant Leakage'!$B$2:$B$42,0)),"")</f>
        <v/>
      </c>
      <c r="CQ863" s="138" t="str">
        <f>IF($I863&lt;&gt;"",INDEX('Device Refrigerant Leakage'!$F$2:$F$42,MATCH($M863,'Device Refrigerant Leakage'!$B$2:$B$42,0)),"")</f>
        <v/>
      </c>
      <c r="CR863" s="145" t="str">
        <f>IF($I863&lt;&gt;"",INDEX('Device Refrigerant Leakage'!$G$2:$G$42,MATCH($M863,'Device Refrigerant Leakage'!$B$2:$B$42,0)),"")</f>
        <v/>
      </c>
      <c r="CS863" s="145" t="str">
        <f>IF($I863&lt;&gt;"",INDEX('Device Refrigerant Leakage'!$D$2:$D$42,MATCH($M863,'Device Refrigerant Leakage'!$B$2:$B$42,0))*CP863/2204.62*CO863,"")</f>
        <v/>
      </c>
      <c r="CT863" s="145" t="str">
        <f>IF($I863&lt;&gt;"",J863*(INDEX('Device Refrigerant Leakage'!$D$2:$D$42,MATCH($M863,'Device Refrigerant Leakage'!$B$2:$B$42,0))-(INDEX('Device Refrigerant Leakage'!$D$2:$D$42,MATCH($M863,'Device Refrigerant Leakage'!$B$2:$B$42,0)))*CR863*CP863)*CQ863/2204.62*CO863,"")</f>
        <v/>
      </c>
      <c r="CU863" s="135" t="str">
        <f>IF($I863&lt;&gt;"",J863*IF(W863&lt;&gt;"AR",(CS863*K863)+CT863,(CS863*AB863)+CT863*(AB863/INDEX('Device Refrigerant Leakage'!$C$2:$C$42,MATCH($M863,'Device Refrigerant Leakage'!$B$2:$B$42,0)))),"")</f>
        <v/>
      </c>
      <c r="CW863" s="135" t="str">
        <f>IF($I863&lt;&gt;"",IF(S863="User Specified",V863,INDEX('Refrigerant GWPs'!$G$2:$G$156,MATCH(S863,'Refrigerant GWPs'!$A$2:$A$157,0))),"")</f>
        <v/>
      </c>
      <c r="CX863" s="138" t="str">
        <f>IF($I863&lt;&gt;"",INDEX('Device Refrigerant Leakage'!$E$2:$E$42,MATCH($Q863,'Device Refrigerant Leakage'!$B$2:$B$42,0)),"")</f>
        <v/>
      </c>
      <c r="CY863" s="138" t="str">
        <f>IF($I863&lt;&gt;"",INDEX('Device Refrigerant Leakage'!$F$2:$F$42,MATCH($Q863,'Device Refrigerant Leakage'!$B$2:$B$42,0)),"")</f>
        <v/>
      </c>
      <c r="CZ863" s="145" t="str">
        <f>IF($I863&lt;&gt;"",INDEX('Device Refrigerant Leakage'!$G$2:$G$42,MATCH($Q863,'Device Refrigerant Leakage'!$B$2:$B$42,0)),"")</f>
        <v/>
      </c>
      <c r="DA863" s="145" t="str">
        <f>IF($I863&lt;&gt;"",J863*INDEX('Device Refrigerant Leakage'!$D$2:$D$42,MATCH($Q863,'Device Refrigerant Leakage'!$B$2:$B$42,0))*CX863/2204.62*CW863,"")</f>
        <v/>
      </c>
      <c r="DB863" s="145" t="str">
        <f>IF($I863&lt;&gt;"",J863*(INDEX('Device Refrigerant Leakage'!$D$2:$D$42,MATCH($Q863,'Device Refrigerant Leakage'!$B$2:$B$42,0))-(INDEX('Device Refrigerant Leakage'!$D$2:$D$42,MATCH($Q863,'Device Refrigerant Leakage'!$B$2:$B$42,0)))*CZ863*CX863)*CY863/2204.62*CW863,"")</f>
        <v/>
      </c>
      <c r="DC863" s="135" t="str">
        <f t="shared" si="1028"/>
        <v/>
      </c>
      <c r="DE863" s="146" t="str">
        <f>IF(W863&lt;&gt;"AR","",IF(Y863="User Specified", AA863, INDEX('Refrigerant GWPs'!$G$2:$G$154,MATCH(Y863,'Refrigerant GWPs'!$A$2:$A$154,0))))</f>
        <v/>
      </c>
      <c r="DF863" s="146" t="str">
        <f>IF(W863&lt;&gt;"AR","",INDEX('Device Refrigerant Leakage'!$E$2:$E$42,MATCH(X863,'Device Refrigerant Leakage'!$B$2:$B$42,0)))</f>
        <v/>
      </c>
      <c r="DG863" s="146" t="str">
        <f>IF(W863&lt;&gt;"AR","",INDEX('Device Refrigerant Leakage'!$F$2:$F$42,MATCH(X863,'Device Refrigerant Leakage'!$B$2:$B$42,0)))</f>
        <v/>
      </c>
      <c r="DH863" s="146" t="str">
        <f>IF(W863&lt;&gt;"AR","",INDEX('Device Refrigerant Leakage'!$G$2:$G$42,MATCH(X863,'Device Refrigerant Leakage'!$B$2:$B$42,0)))</f>
        <v/>
      </c>
      <c r="DI863" s="146" t="str">
        <f>IF(W863&lt;&gt;"AR","",J863*INDEX('Device Refrigerant Leakage'!$D$2:$D$42,MATCH(X863,'Device Refrigerant Leakage'!$B$2:$B$42,0))*DF863/2204.62*DE863)</f>
        <v/>
      </c>
      <c r="DJ863" s="146" t="str">
        <f>IF(W863&lt;&gt;"AR","",J863*(INDEX('Device Refrigerant Leakage'!$D$2:$D$42,MATCH(X863,'Device Refrigerant Leakage'!$B$2:$B$42,0))-(INDEX('Device Refrigerant Leakage'!$D$2:$D$42,MATCH(X863,'Device Refrigerant Leakage'!$B$2:$B$42,0)))*DH863*DF863)*DG863/2204.62*DE863)</f>
        <v/>
      </c>
      <c r="DK863" s="146" t="str">
        <f>IF(W863&lt;&gt;"AR","",DI863*(K863-AB863)+'Fuel Sub Calcs-Deemed'!DJ863*((K863-AB863)/INDEX('Device Refrigerant Leakage'!$C$2:$C$42,MATCH('Fuel Sub Calcs-Deemed'!X863,'Device Refrigerant Leakage'!$B$2:$B$42,0))))</f>
        <v/>
      </c>
      <c r="DM863" s="56">
        <v>849</v>
      </c>
      <c r="DN863" s="67" t="e">
        <f t="shared" si="1010"/>
        <v>#N/A</v>
      </c>
      <c r="DO863" s="45" t="e">
        <f t="shared" si="1011"/>
        <v>#N/A</v>
      </c>
      <c r="DP863" s="67" t="e">
        <f t="shared" si="1012"/>
        <v>#N/A</v>
      </c>
      <c r="DQ863" s="45" t="e">
        <f t="shared" si="1013"/>
        <v>#N/A</v>
      </c>
      <c r="DR863" s="69" t="e">
        <f t="shared" si="1014"/>
        <v>#N/A</v>
      </c>
      <c r="DS863" s="34"/>
      <c r="DT863" s="67" t="e">
        <f>((BX863*CJ863)+IF($W863=MAT_AR,(BZ863*CL863),0))*(1+Reference!$E$50+Reference!$E$51)</f>
        <v>#N/A</v>
      </c>
      <c r="DU863" s="67">
        <f>((BY863*CK863)+IF($W863=MAT_AR,(CA863*CM863),0))*(1+Reference!$G$50+Reference!$G$51)</f>
        <v>0</v>
      </c>
      <c r="DV863" s="67" t="e">
        <f t="shared" si="1015"/>
        <v>#VALUE!</v>
      </c>
      <c r="DX863" s="56">
        <v>849</v>
      </c>
      <c r="DY863" s="67">
        <f t="shared" si="1016"/>
        <v>0</v>
      </c>
      <c r="DZ863" s="45" t="e">
        <f>VLOOKUP($R863,Dropdown!$C$3:$D$4,2,FALSE)</f>
        <v>#N/A</v>
      </c>
      <c r="EA863" s="68">
        <f t="shared" si="1017"/>
        <v>0</v>
      </c>
      <c r="EB863" s="68" t="str">
        <f t="shared" si="1018"/>
        <v>N/A</v>
      </c>
      <c r="EC863" s="68">
        <f t="shared" si="1019"/>
        <v>0</v>
      </c>
      <c r="ED863" s="68" t="str">
        <f t="shared" si="1057"/>
        <v>N/A</v>
      </c>
      <c r="EF863" s="56">
        <v>849</v>
      </c>
      <c r="EG863" s="46">
        <f t="shared" si="1020"/>
        <v>0</v>
      </c>
      <c r="EH863" s="68" t="e">
        <f t="shared" si="1021"/>
        <v>#N/A</v>
      </c>
      <c r="EI863" s="68" t="e">
        <f t="shared" si="1022"/>
        <v>#N/A</v>
      </c>
      <c r="EJ863" s="68" t="e">
        <f t="shared" si="1023"/>
        <v>#N/A</v>
      </c>
      <c r="EK863" s="68" t="e">
        <f t="shared" si="1024"/>
        <v>#N/A</v>
      </c>
      <c r="EL863" s="46">
        <f t="shared" si="1025"/>
        <v>0</v>
      </c>
      <c r="EM863" s="46">
        <f t="shared" si="1026"/>
        <v>0</v>
      </c>
    </row>
    <row r="864" spans="1:143">
      <c r="A864" s="89"/>
      <c r="B864" s="89"/>
      <c r="C864" s="89"/>
      <c r="D864" s="89"/>
      <c r="E864" s="89"/>
      <c r="F864" s="89"/>
      <c r="G864" s="34"/>
      <c r="H864" s="56">
        <f t="shared" si="1027"/>
        <v>850</v>
      </c>
      <c r="I864" s="165"/>
      <c r="J864" s="163"/>
      <c r="K864" s="163"/>
      <c r="L864" s="164"/>
      <c r="M864" s="155"/>
      <c r="N864" s="155"/>
      <c r="O864" s="144"/>
      <c r="P864" s="159" t="str">
        <f>IFERROR(IF(O864&lt;&gt;"User Specified",IF(O864&lt;&gt;"", INDEX('Refrigerant GWPs'!$G$2:$G$154,MATCH(O864,'Refrigerant GWPs'!$A$2:$A$154,0)),""),U864),0)</f>
        <v/>
      </c>
      <c r="Q864" s="155"/>
      <c r="R864" s="155"/>
      <c r="S864" s="144"/>
      <c r="T864" s="159" t="str">
        <f>IF(S864&lt;&gt;"User Specified",IF(AND(S864&lt;&gt;"User Specified",S864&lt;&gt;""), INDEX('Refrigerant GWPs'!$G$2:$G$154,MATCH(S864,'Refrigerant GWPs'!$A$2:$A$154,0)),""),V864)</f>
        <v/>
      </c>
      <c r="U864" s="144"/>
      <c r="V864" s="144"/>
      <c r="W864" s="155"/>
      <c r="X864" s="155"/>
      <c r="Y864" s="144"/>
      <c r="Z864" s="159" t="str">
        <f>IF(AND(Y864&lt;&gt;"User Specified",Y864&lt;&gt;""), INDEX('Refrigerant GWPs'!$G$2:$G$154,MATCH(Y864,'Refrigerant GWPs'!$A$2:$A$154,0)),"")</f>
        <v/>
      </c>
      <c r="AA864" s="155"/>
      <c r="AB864" s="156"/>
      <c r="AC864" s="66"/>
      <c r="AD864" s="66"/>
      <c r="AE864" s="66"/>
      <c r="AF864" s="66"/>
      <c r="AG864" s="66"/>
      <c r="AH864" s="66"/>
      <c r="AI864" s="34"/>
      <c r="AJ864" s="88">
        <f t="shared" si="990"/>
        <v>0</v>
      </c>
      <c r="AK864" s="88">
        <f t="shared" si="991"/>
        <v>0</v>
      </c>
      <c r="AL864" s="88">
        <v>0</v>
      </c>
      <c r="AM864" s="88">
        <v>0</v>
      </c>
      <c r="AN864" s="81" t="str">
        <f t="shared" si="1029"/>
        <v/>
      </c>
      <c r="AO864" s="88">
        <f t="shared" si="992"/>
        <v>0</v>
      </c>
      <c r="AP864" s="88">
        <f t="shared" si="993"/>
        <v>0</v>
      </c>
      <c r="AQ864" s="81" t="str">
        <f t="shared" si="994"/>
        <v/>
      </c>
      <c r="AS864" s="41" t="b">
        <f t="shared" si="995"/>
        <v>1</v>
      </c>
      <c r="AT864" s="38">
        <f t="shared" si="996"/>
        <v>0</v>
      </c>
      <c r="AU864" s="60">
        <f t="shared" si="997"/>
        <v>0</v>
      </c>
      <c r="AV864" s="41">
        <f t="shared" si="998"/>
        <v>0</v>
      </c>
      <c r="AW864" s="41" t="b">
        <f t="shared" si="999"/>
        <v>0</v>
      </c>
      <c r="AX864" t="str">
        <f t="shared" si="1000"/>
        <v>+00</v>
      </c>
      <c r="AY864" t="str">
        <f t="shared" si="1001"/>
        <v>+00</v>
      </c>
      <c r="BA864" s="47" t="b">
        <f t="shared" si="1030"/>
        <v>1</v>
      </c>
      <c r="BB864" s="42" t="b">
        <f t="shared" si="1031"/>
        <v>1</v>
      </c>
      <c r="BC864" s="42" t="b">
        <f t="shared" si="1032"/>
        <v>0</v>
      </c>
      <c r="BD864" s="42" t="b">
        <f t="shared" si="1033"/>
        <v>0</v>
      </c>
      <c r="BE864" s="70">
        <f t="shared" si="1034"/>
        <v>0</v>
      </c>
      <c r="BF864" s="70">
        <f t="shared" si="1035"/>
        <v>0</v>
      </c>
      <c r="BG864" s="34"/>
      <c r="BI864" s="47" t="b">
        <f t="shared" si="1036"/>
        <v>1</v>
      </c>
      <c r="BJ864" s="47" t="b">
        <f t="shared" si="1037"/>
        <v>1</v>
      </c>
      <c r="BK864" s="42" t="b">
        <f t="shared" si="1038"/>
        <v>0</v>
      </c>
      <c r="BL864" s="42" t="b">
        <f t="shared" si="1039"/>
        <v>0</v>
      </c>
      <c r="BM864" s="42">
        <f t="shared" si="1040"/>
        <v>0</v>
      </c>
      <c r="BN864" s="42">
        <f t="shared" si="1041"/>
        <v>0</v>
      </c>
      <c r="BP864" t="e">
        <f t="shared" si="1042"/>
        <v>#N/A</v>
      </c>
      <c r="BQ864" t="e">
        <f t="shared" si="1043"/>
        <v>#N/A</v>
      </c>
      <c r="BR864" t="e">
        <f t="shared" si="1044"/>
        <v>#N/A</v>
      </c>
      <c r="BT864" s="60">
        <f t="shared" si="1045"/>
        <v>0</v>
      </c>
      <c r="BU864" s="60">
        <f t="shared" si="1046"/>
        <v>0</v>
      </c>
      <c r="BV864" s="60">
        <f t="shared" si="1047"/>
        <v>0</v>
      </c>
      <c r="BW864" s="60">
        <f t="shared" si="1048"/>
        <v>0</v>
      </c>
      <c r="BX864" s="60">
        <f t="shared" si="1049"/>
        <v>0</v>
      </c>
      <c r="BY864" s="60">
        <f t="shared" si="1050"/>
        <v>0</v>
      </c>
      <c r="BZ864" s="60">
        <f t="shared" si="1051"/>
        <v>0</v>
      </c>
      <c r="CA864" s="60">
        <f t="shared" si="1052"/>
        <v>0</v>
      </c>
      <c r="CB864" s="60" t="e">
        <f t="shared" si="1002"/>
        <v>#N/A</v>
      </c>
      <c r="CC864" s="60">
        <f t="shared" si="1003"/>
        <v>100000</v>
      </c>
      <c r="CD864" s="60" t="e">
        <f t="shared" si="1004"/>
        <v>#N/A</v>
      </c>
      <c r="CE864" s="60">
        <f t="shared" si="1005"/>
        <v>100000</v>
      </c>
      <c r="CF864" s="83" t="e">
        <f t="shared" si="1053"/>
        <v>#N/A</v>
      </c>
      <c r="CG864" s="83">
        <f t="shared" si="1054"/>
        <v>0</v>
      </c>
      <c r="CH864" s="83" t="e">
        <f t="shared" si="1055"/>
        <v>#N/A</v>
      </c>
      <c r="CI864" s="83">
        <f t="shared" si="1056"/>
        <v>0</v>
      </c>
      <c r="CJ864" s="86" t="e">
        <f t="shared" si="1006"/>
        <v>#N/A</v>
      </c>
      <c r="CK864" s="82">
        <f t="shared" si="1007"/>
        <v>5.3070370403969858E-3</v>
      </c>
      <c r="CL864" s="82" t="e">
        <f t="shared" si="1008"/>
        <v>#N/A</v>
      </c>
      <c r="CM864" s="82">
        <f t="shared" si="1009"/>
        <v>5.3070370403969858E-3</v>
      </c>
      <c r="CO864" s="149" t="str">
        <f>IF($I864&lt;&gt;"",IF(O864="User Specified",U864,INDEX('Refrigerant GWPs'!$G$2:$G$156,MATCH(O864,'Refrigerant GWPs'!$A$2:$A$156,0))),"")</f>
        <v/>
      </c>
      <c r="CP864" s="138" t="str">
        <f>IF($I864&lt;&gt;"",INDEX('Device Refrigerant Leakage'!$E$2:$E$42,MATCH($M864,'Device Refrigerant Leakage'!$B$2:$B$42,0)),"")</f>
        <v/>
      </c>
      <c r="CQ864" s="138" t="str">
        <f>IF($I864&lt;&gt;"",INDEX('Device Refrigerant Leakage'!$F$2:$F$42,MATCH($M864,'Device Refrigerant Leakage'!$B$2:$B$42,0)),"")</f>
        <v/>
      </c>
      <c r="CR864" s="145" t="str">
        <f>IF($I864&lt;&gt;"",INDEX('Device Refrigerant Leakage'!$G$2:$G$42,MATCH($M864,'Device Refrigerant Leakage'!$B$2:$B$42,0)),"")</f>
        <v/>
      </c>
      <c r="CS864" s="145" t="str">
        <f>IF($I864&lt;&gt;"",INDEX('Device Refrigerant Leakage'!$D$2:$D$42,MATCH($M864,'Device Refrigerant Leakage'!$B$2:$B$42,0))*CP864/2204.62*CO864,"")</f>
        <v/>
      </c>
      <c r="CT864" s="145" t="str">
        <f>IF($I864&lt;&gt;"",J864*(INDEX('Device Refrigerant Leakage'!$D$2:$D$42,MATCH($M864,'Device Refrigerant Leakage'!$B$2:$B$42,0))-(INDEX('Device Refrigerant Leakage'!$D$2:$D$42,MATCH($M864,'Device Refrigerant Leakage'!$B$2:$B$42,0)))*CR864*CP864)*CQ864/2204.62*CO864,"")</f>
        <v/>
      </c>
      <c r="CU864" s="135" t="str">
        <f>IF($I864&lt;&gt;"",J864*IF(W864&lt;&gt;"AR",(CS864*K864)+CT864,(CS864*AB864)+CT864*(AB864/INDEX('Device Refrigerant Leakage'!$C$2:$C$42,MATCH($M864,'Device Refrigerant Leakage'!$B$2:$B$42,0)))),"")</f>
        <v/>
      </c>
      <c r="CW864" s="135" t="str">
        <f>IF($I864&lt;&gt;"",IF(S864="User Specified",V864,INDEX('Refrigerant GWPs'!$G$2:$G$156,MATCH(S864,'Refrigerant GWPs'!$A$2:$A$157,0))),"")</f>
        <v/>
      </c>
      <c r="CX864" s="138" t="str">
        <f>IF($I864&lt;&gt;"",INDEX('Device Refrigerant Leakage'!$E$2:$E$42,MATCH($Q864,'Device Refrigerant Leakage'!$B$2:$B$42,0)),"")</f>
        <v/>
      </c>
      <c r="CY864" s="138" t="str">
        <f>IF($I864&lt;&gt;"",INDEX('Device Refrigerant Leakage'!$F$2:$F$42,MATCH($Q864,'Device Refrigerant Leakage'!$B$2:$B$42,0)),"")</f>
        <v/>
      </c>
      <c r="CZ864" s="145" t="str">
        <f>IF($I864&lt;&gt;"",INDEX('Device Refrigerant Leakage'!$G$2:$G$42,MATCH($Q864,'Device Refrigerant Leakage'!$B$2:$B$42,0)),"")</f>
        <v/>
      </c>
      <c r="DA864" s="145" t="str">
        <f>IF($I864&lt;&gt;"",J864*INDEX('Device Refrigerant Leakage'!$D$2:$D$42,MATCH($Q864,'Device Refrigerant Leakage'!$B$2:$B$42,0))*CX864/2204.62*CW864,"")</f>
        <v/>
      </c>
      <c r="DB864" s="145" t="str">
        <f>IF($I864&lt;&gt;"",J864*(INDEX('Device Refrigerant Leakage'!$D$2:$D$42,MATCH($Q864,'Device Refrigerant Leakage'!$B$2:$B$42,0))-(INDEX('Device Refrigerant Leakage'!$D$2:$D$42,MATCH($Q864,'Device Refrigerant Leakage'!$B$2:$B$42,0)))*CZ864*CX864)*CY864/2204.62*CW864,"")</f>
        <v/>
      </c>
      <c r="DC864" s="135" t="str">
        <f t="shared" si="1028"/>
        <v/>
      </c>
      <c r="DE864" s="146" t="str">
        <f>IF(W864&lt;&gt;"AR","",IF(Y864="User Specified", AA864, INDEX('Refrigerant GWPs'!$G$2:$G$154,MATCH(Y864,'Refrigerant GWPs'!$A$2:$A$154,0))))</f>
        <v/>
      </c>
      <c r="DF864" s="146" t="str">
        <f>IF(W864&lt;&gt;"AR","",INDEX('Device Refrigerant Leakage'!$E$2:$E$42,MATCH(X864,'Device Refrigerant Leakage'!$B$2:$B$42,0)))</f>
        <v/>
      </c>
      <c r="DG864" s="146" t="str">
        <f>IF(W864&lt;&gt;"AR","",INDEX('Device Refrigerant Leakage'!$F$2:$F$42,MATCH(X864,'Device Refrigerant Leakage'!$B$2:$B$42,0)))</f>
        <v/>
      </c>
      <c r="DH864" s="146" t="str">
        <f>IF(W864&lt;&gt;"AR","",INDEX('Device Refrigerant Leakage'!$G$2:$G$42,MATCH(X864,'Device Refrigerant Leakage'!$B$2:$B$42,0)))</f>
        <v/>
      </c>
      <c r="DI864" s="146" t="str">
        <f>IF(W864&lt;&gt;"AR","",J864*INDEX('Device Refrigerant Leakage'!$D$2:$D$42,MATCH(X864,'Device Refrigerant Leakage'!$B$2:$B$42,0))*DF864/2204.62*DE864)</f>
        <v/>
      </c>
      <c r="DJ864" s="146" t="str">
        <f>IF(W864&lt;&gt;"AR","",J864*(INDEX('Device Refrigerant Leakage'!$D$2:$D$42,MATCH(X864,'Device Refrigerant Leakage'!$B$2:$B$42,0))-(INDEX('Device Refrigerant Leakage'!$D$2:$D$42,MATCH(X864,'Device Refrigerant Leakage'!$B$2:$B$42,0)))*DH864*DF864)*DG864/2204.62*DE864)</f>
        <v/>
      </c>
      <c r="DK864" s="146" t="str">
        <f>IF(W864&lt;&gt;"AR","",DI864*(K864-AB864)+'Fuel Sub Calcs-Deemed'!DJ864*((K864-AB864)/INDEX('Device Refrigerant Leakage'!$C$2:$C$42,MATCH('Fuel Sub Calcs-Deemed'!X864,'Device Refrigerant Leakage'!$B$2:$B$42,0))))</f>
        <v/>
      </c>
      <c r="DM864" s="56">
        <v>850</v>
      </c>
      <c r="DN864" s="67" t="e">
        <f t="shared" si="1010"/>
        <v>#N/A</v>
      </c>
      <c r="DO864" s="45" t="e">
        <f t="shared" si="1011"/>
        <v>#N/A</v>
      </c>
      <c r="DP864" s="67" t="e">
        <f t="shared" si="1012"/>
        <v>#N/A</v>
      </c>
      <c r="DQ864" s="45" t="e">
        <f t="shared" si="1013"/>
        <v>#N/A</v>
      </c>
      <c r="DR864" s="69" t="e">
        <f t="shared" si="1014"/>
        <v>#N/A</v>
      </c>
      <c r="DS864" s="34"/>
      <c r="DT864" s="67" t="e">
        <f>((BX864*CJ864)+IF($W864=MAT_AR,(BZ864*CL864),0))*(1+Reference!$E$50+Reference!$E$51)</f>
        <v>#N/A</v>
      </c>
      <c r="DU864" s="67">
        <f>((BY864*CK864)+IF($W864=MAT_AR,(CA864*CM864),0))*(1+Reference!$G$50+Reference!$G$51)</f>
        <v>0</v>
      </c>
      <c r="DV864" s="67" t="e">
        <f t="shared" si="1015"/>
        <v>#VALUE!</v>
      </c>
      <c r="DX864" s="56">
        <v>850</v>
      </c>
      <c r="DY864" s="67">
        <f t="shared" si="1016"/>
        <v>0</v>
      </c>
      <c r="DZ864" s="45" t="e">
        <f>VLOOKUP($R864,Dropdown!$C$3:$D$4,2,FALSE)</f>
        <v>#N/A</v>
      </c>
      <c r="EA864" s="68">
        <f t="shared" si="1017"/>
        <v>0</v>
      </c>
      <c r="EB864" s="68" t="str">
        <f t="shared" si="1018"/>
        <v>N/A</v>
      </c>
      <c r="EC864" s="68">
        <f t="shared" si="1019"/>
        <v>0</v>
      </c>
      <c r="ED864" s="68" t="str">
        <f t="shared" si="1057"/>
        <v>N/A</v>
      </c>
      <c r="EF864" s="56">
        <v>850</v>
      </c>
      <c r="EG864" s="46">
        <f t="shared" si="1020"/>
        <v>0</v>
      </c>
      <c r="EH864" s="68" t="e">
        <f t="shared" si="1021"/>
        <v>#N/A</v>
      </c>
      <c r="EI864" s="68" t="e">
        <f t="shared" si="1022"/>
        <v>#N/A</v>
      </c>
      <c r="EJ864" s="68" t="e">
        <f t="shared" si="1023"/>
        <v>#N/A</v>
      </c>
      <c r="EK864" s="68" t="e">
        <f t="shared" si="1024"/>
        <v>#N/A</v>
      </c>
      <c r="EL864" s="46">
        <f t="shared" si="1025"/>
        <v>0</v>
      </c>
      <c r="EM864" s="46">
        <f t="shared" si="1026"/>
        <v>0</v>
      </c>
    </row>
    <row r="865" spans="1:143">
      <c r="A865" s="89"/>
      <c r="B865" s="89"/>
      <c r="C865" s="89"/>
      <c r="D865" s="89"/>
      <c r="E865" s="89"/>
      <c r="F865" s="89"/>
      <c r="G865" s="34"/>
      <c r="H865" s="56">
        <f t="shared" si="1027"/>
        <v>851</v>
      </c>
      <c r="I865" s="165"/>
      <c r="J865" s="163"/>
      <c r="K865" s="163"/>
      <c r="L865" s="164"/>
      <c r="M865" s="155"/>
      <c r="N865" s="155"/>
      <c r="O865" s="144"/>
      <c r="P865" s="159" t="str">
        <f>IFERROR(IF(O865&lt;&gt;"User Specified",IF(O865&lt;&gt;"", INDEX('Refrigerant GWPs'!$G$2:$G$154,MATCH(O865,'Refrigerant GWPs'!$A$2:$A$154,0)),""),U865),0)</f>
        <v/>
      </c>
      <c r="Q865" s="155"/>
      <c r="R865" s="155"/>
      <c r="S865" s="144"/>
      <c r="T865" s="159" t="str">
        <f>IF(S865&lt;&gt;"User Specified",IF(AND(S865&lt;&gt;"User Specified",S865&lt;&gt;""), INDEX('Refrigerant GWPs'!$G$2:$G$154,MATCH(S865,'Refrigerant GWPs'!$A$2:$A$154,0)),""),V865)</f>
        <v/>
      </c>
      <c r="U865" s="144"/>
      <c r="V865" s="144"/>
      <c r="W865" s="155"/>
      <c r="X865" s="155"/>
      <c r="Y865" s="144"/>
      <c r="Z865" s="159" t="str">
        <f>IF(AND(Y865&lt;&gt;"User Specified",Y865&lt;&gt;""), INDEX('Refrigerant GWPs'!$G$2:$G$154,MATCH(Y865,'Refrigerant GWPs'!$A$2:$A$154,0)),"")</f>
        <v/>
      </c>
      <c r="AA865" s="155"/>
      <c r="AB865" s="156"/>
      <c r="AC865" s="66"/>
      <c r="AD865" s="66"/>
      <c r="AE865" s="66"/>
      <c r="AF865" s="66"/>
      <c r="AG865" s="66"/>
      <c r="AH865" s="66"/>
      <c r="AI865" s="34"/>
      <c r="AJ865" s="88">
        <f t="shared" si="990"/>
        <v>0</v>
      </c>
      <c r="AK865" s="88">
        <f t="shared" si="991"/>
        <v>0</v>
      </c>
      <c r="AL865" s="88">
        <v>0</v>
      </c>
      <c r="AM865" s="88">
        <v>0</v>
      </c>
      <c r="AN865" s="81" t="str">
        <f t="shared" si="1029"/>
        <v/>
      </c>
      <c r="AO865" s="88">
        <f t="shared" si="992"/>
        <v>0</v>
      </c>
      <c r="AP865" s="88">
        <f t="shared" si="993"/>
        <v>0</v>
      </c>
      <c r="AQ865" s="81" t="str">
        <f t="shared" si="994"/>
        <v/>
      </c>
      <c r="AS865" s="41" t="b">
        <f t="shared" si="995"/>
        <v>1</v>
      </c>
      <c r="AT865" s="38">
        <f t="shared" si="996"/>
        <v>0</v>
      </c>
      <c r="AU865" s="60">
        <f t="shared" si="997"/>
        <v>0</v>
      </c>
      <c r="AV865" s="41">
        <f t="shared" si="998"/>
        <v>0</v>
      </c>
      <c r="AW865" s="41" t="b">
        <f t="shared" si="999"/>
        <v>0</v>
      </c>
      <c r="AX865" t="str">
        <f t="shared" si="1000"/>
        <v>+00</v>
      </c>
      <c r="AY865" t="str">
        <f t="shared" si="1001"/>
        <v>+00</v>
      </c>
      <c r="BA865" s="47" t="b">
        <f t="shared" si="1030"/>
        <v>1</v>
      </c>
      <c r="BB865" s="42" t="b">
        <f t="shared" si="1031"/>
        <v>1</v>
      </c>
      <c r="BC865" s="42" t="b">
        <f t="shared" si="1032"/>
        <v>0</v>
      </c>
      <c r="BD865" s="42" t="b">
        <f t="shared" si="1033"/>
        <v>0</v>
      </c>
      <c r="BE865" s="70">
        <f t="shared" si="1034"/>
        <v>0</v>
      </c>
      <c r="BF865" s="70">
        <f t="shared" si="1035"/>
        <v>0</v>
      </c>
      <c r="BG865" s="34"/>
      <c r="BI865" s="47" t="b">
        <f t="shared" si="1036"/>
        <v>1</v>
      </c>
      <c r="BJ865" s="47" t="b">
        <f t="shared" si="1037"/>
        <v>1</v>
      </c>
      <c r="BK865" s="42" t="b">
        <f t="shared" si="1038"/>
        <v>0</v>
      </c>
      <c r="BL865" s="42" t="b">
        <f t="shared" si="1039"/>
        <v>0</v>
      </c>
      <c r="BM865" s="42">
        <f t="shared" si="1040"/>
        <v>0</v>
      </c>
      <c r="BN865" s="42">
        <f t="shared" si="1041"/>
        <v>0</v>
      </c>
      <c r="BP865" t="e">
        <f t="shared" si="1042"/>
        <v>#N/A</v>
      </c>
      <c r="BQ865" t="e">
        <f t="shared" si="1043"/>
        <v>#N/A</v>
      </c>
      <c r="BR865" t="e">
        <f t="shared" si="1044"/>
        <v>#N/A</v>
      </c>
      <c r="BT865" s="60">
        <f t="shared" si="1045"/>
        <v>0</v>
      </c>
      <c r="BU865" s="60">
        <f t="shared" si="1046"/>
        <v>0</v>
      </c>
      <c r="BV865" s="60">
        <f t="shared" si="1047"/>
        <v>0</v>
      </c>
      <c r="BW865" s="60">
        <f t="shared" si="1048"/>
        <v>0</v>
      </c>
      <c r="BX865" s="60">
        <f t="shared" si="1049"/>
        <v>0</v>
      </c>
      <c r="BY865" s="60">
        <f t="shared" si="1050"/>
        <v>0</v>
      </c>
      <c r="BZ865" s="60">
        <f t="shared" si="1051"/>
        <v>0</v>
      </c>
      <c r="CA865" s="60">
        <f t="shared" si="1052"/>
        <v>0</v>
      </c>
      <c r="CB865" s="60" t="e">
        <f t="shared" si="1002"/>
        <v>#N/A</v>
      </c>
      <c r="CC865" s="60">
        <f t="shared" si="1003"/>
        <v>100000</v>
      </c>
      <c r="CD865" s="60" t="e">
        <f t="shared" si="1004"/>
        <v>#N/A</v>
      </c>
      <c r="CE865" s="60">
        <f t="shared" si="1005"/>
        <v>100000</v>
      </c>
      <c r="CF865" s="83" t="e">
        <f t="shared" si="1053"/>
        <v>#N/A</v>
      </c>
      <c r="CG865" s="83">
        <f t="shared" si="1054"/>
        <v>0</v>
      </c>
      <c r="CH865" s="83" t="e">
        <f t="shared" si="1055"/>
        <v>#N/A</v>
      </c>
      <c r="CI865" s="83">
        <f t="shared" si="1056"/>
        <v>0</v>
      </c>
      <c r="CJ865" s="86" t="e">
        <f t="shared" si="1006"/>
        <v>#N/A</v>
      </c>
      <c r="CK865" s="82">
        <f t="shared" si="1007"/>
        <v>5.3070370403969858E-3</v>
      </c>
      <c r="CL865" s="82" t="e">
        <f t="shared" si="1008"/>
        <v>#N/A</v>
      </c>
      <c r="CM865" s="82">
        <f t="shared" si="1009"/>
        <v>5.3070370403969858E-3</v>
      </c>
      <c r="CO865" s="149" t="str">
        <f>IF($I865&lt;&gt;"",IF(O865="User Specified",U865,INDEX('Refrigerant GWPs'!$G$2:$G$156,MATCH(O865,'Refrigerant GWPs'!$A$2:$A$156,0))),"")</f>
        <v/>
      </c>
      <c r="CP865" s="138" t="str">
        <f>IF($I865&lt;&gt;"",INDEX('Device Refrigerant Leakage'!$E$2:$E$42,MATCH($M865,'Device Refrigerant Leakage'!$B$2:$B$42,0)),"")</f>
        <v/>
      </c>
      <c r="CQ865" s="138" t="str">
        <f>IF($I865&lt;&gt;"",INDEX('Device Refrigerant Leakage'!$F$2:$F$42,MATCH($M865,'Device Refrigerant Leakage'!$B$2:$B$42,0)),"")</f>
        <v/>
      </c>
      <c r="CR865" s="145" t="str">
        <f>IF($I865&lt;&gt;"",INDEX('Device Refrigerant Leakage'!$G$2:$G$42,MATCH($M865,'Device Refrigerant Leakage'!$B$2:$B$42,0)),"")</f>
        <v/>
      </c>
      <c r="CS865" s="145" t="str">
        <f>IF($I865&lt;&gt;"",INDEX('Device Refrigerant Leakage'!$D$2:$D$42,MATCH($M865,'Device Refrigerant Leakage'!$B$2:$B$42,0))*CP865/2204.62*CO865,"")</f>
        <v/>
      </c>
      <c r="CT865" s="145" t="str">
        <f>IF($I865&lt;&gt;"",J865*(INDEX('Device Refrigerant Leakage'!$D$2:$D$42,MATCH($M865,'Device Refrigerant Leakage'!$B$2:$B$42,0))-(INDEX('Device Refrigerant Leakage'!$D$2:$D$42,MATCH($M865,'Device Refrigerant Leakage'!$B$2:$B$42,0)))*CR865*CP865)*CQ865/2204.62*CO865,"")</f>
        <v/>
      </c>
      <c r="CU865" s="135" t="str">
        <f>IF($I865&lt;&gt;"",J865*IF(W865&lt;&gt;"AR",(CS865*K865)+CT865,(CS865*AB865)+CT865*(AB865/INDEX('Device Refrigerant Leakage'!$C$2:$C$42,MATCH($M865,'Device Refrigerant Leakage'!$B$2:$B$42,0)))),"")</f>
        <v/>
      </c>
      <c r="CW865" s="135" t="str">
        <f>IF($I865&lt;&gt;"",IF(S865="User Specified",V865,INDEX('Refrigerant GWPs'!$G$2:$G$156,MATCH(S865,'Refrigerant GWPs'!$A$2:$A$157,0))),"")</f>
        <v/>
      </c>
      <c r="CX865" s="138" t="str">
        <f>IF($I865&lt;&gt;"",INDEX('Device Refrigerant Leakage'!$E$2:$E$42,MATCH($Q865,'Device Refrigerant Leakage'!$B$2:$B$42,0)),"")</f>
        <v/>
      </c>
      <c r="CY865" s="138" t="str">
        <f>IF($I865&lt;&gt;"",INDEX('Device Refrigerant Leakage'!$F$2:$F$42,MATCH($Q865,'Device Refrigerant Leakage'!$B$2:$B$42,0)),"")</f>
        <v/>
      </c>
      <c r="CZ865" s="145" t="str">
        <f>IF($I865&lt;&gt;"",INDEX('Device Refrigerant Leakage'!$G$2:$G$42,MATCH($Q865,'Device Refrigerant Leakage'!$B$2:$B$42,0)),"")</f>
        <v/>
      </c>
      <c r="DA865" s="145" t="str">
        <f>IF($I865&lt;&gt;"",J865*INDEX('Device Refrigerant Leakage'!$D$2:$D$42,MATCH($Q865,'Device Refrigerant Leakage'!$B$2:$B$42,0))*CX865/2204.62*CW865,"")</f>
        <v/>
      </c>
      <c r="DB865" s="145" t="str">
        <f>IF($I865&lt;&gt;"",J865*(INDEX('Device Refrigerant Leakage'!$D$2:$D$42,MATCH($Q865,'Device Refrigerant Leakage'!$B$2:$B$42,0))-(INDEX('Device Refrigerant Leakage'!$D$2:$D$42,MATCH($Q865,'Device Refrigerant Leakage'!$B$2:$B$42,0)))*CZ865*CX865)*CY865/2204.62*CW865,"")</f>
        <v/>
      </c>
      <c r="DC865" s="135" t="str">
        <f t="shared" si="1028"/>
        <v/>
      </c>
      <c r="DE865" s="146" t="str">
        <f>IF(W865&lt;&gt;"AR","",IF(Y865="User Specified", AA865, INDEX('Refrigerant GWPs'!$G$2:$G$154,MATCH(Y865,'Refrigerant GWPs'!$A$2:$A$154,0))))</f>
        <v/>
      </c>
      <c r="DF865" s="146" t="str">
        <f>IF(W865&lt;&gt;"AR","",INDEX('Device Refrigerant Leakage'!$E$2:$E$42,MATCH(X865,'Device Refrigerant Leakage'!$B$2:$B$42,0)))</f>
        <v/>
      </c>
      <c r="DG865" s="146" t="str">
        <f>IF(W865&lt;&gt;"AR","",INDEX('Device Refrigerant Leakage'!$F$2:$F$42,MATCH(X865,'Device Refrigerant Leakage'!$B$2:$B$42,0)))</f>
        <v/>
      </c>
      <c r="DH865" s="146" t="str">
        <f>IF(W865&lt;&gt;"AR","",INDEX('Device Refrigerant Leakage'!$G$2:$G$42,MATCH(X865,'Device Refrigerant Leakage'!$B$2:$B$42,0)))</f>
        <v/>
      </c>
      <c r="DI865" s="146" t="str">
        <f>IF(W865&lt;&gt;"AR","",J865*INDEX('Device Refrigerant Leakage'!$D$2:$D$42,MATCH(X865,'Device Refrigerant Leakage'!$B$2:$B$42,0))*DF865/2204.62*DE865)</f>
        <v/>
      </c>
      <c r="DJ865" s="146" t="str">
        <f>IF(W865&lt;&gt;"AR","",J865*(INDEX('Device Refrigerant Leakage'!$D$2:$D$42,MATCH(X865,'Device Refrigerant Leakage'!$B$2:$B$42,0))-(INDEX('Device Refrigerant Leakage'!$D$2:$D$42,MATCH(X865,'Device Refrigerant Leakage'!$B$2:$B$42,0)))*DH865*DF865)*DG865/2204.62*DE865)</f>
        <v/>
      </c>
      <c r="DK865" s="146" t="str">
        <f>IF(W865&lt;&gt;"AR","",DI865*(K865-AB865)+'Fuel Sub Calcs-Deemed'!DJ865*((K865-AB865)/INDEX('Device Refrigerant Leakage'!$C$2:$C$42,MATCH('Fuel Sub Calcs-Deemed'!X865,'Device Refrigerant Leakage'!$B$2:$B$42,0))))</f>
        <v/>
      </c>
      <c r="DM865" s="56">
        <v>851</v>
      </c>
      <c r="DN865" s="67" t="e">
        <f t="shared" si="1010"/>
        <v>#N/A</v>
      </c>
      <c r="DO865" s="45" t="e">
        <f t="shared" si="1011"/>
        <v>#N/A</v>
      </c>
      <c r="DP865" s="67" t="e">
        <f t="shared" si="1012"/>
        <v>#N/A</v>
      </c>
      <c r="DQ865" s="45" t="e">
        <f t="shared" si="1013"/>
        <v>#N/A</v>
      </c>
      <c r="DR865" s="69" t="e">
        <f t="shared" si="1014"/>
        <v>#N/A</v>
      </c>
      <c r="DS865" s="34"/>
      <c r="DT865" s="67" t="e">
        <f>((BX865*CJ865)+IF($W865=MAT_AR,(BZ865*CL865),0))*(1+Reference!$E$50+Reference!$E$51)</f>
        <v>#N/A</v>
      </c>
      <c r="DU865" s="67">
        <f>((BY865*CK865)+IF($W865=MAT_AR,(CA865*CM865),0))*(1+Reference!$G$50+Reference!$G$51)</f>
        <v>0</v>
      </c>
      <c r="DV865" s="67" t="e">
        <f t="shared" si="1015"/>
        <v>#VALUE!</v>
      </c>
      <c r="DX865" s="56">
        <v>851</v>
      </c>
      <c r="DY865" s="67">
        <f t="shared" si="1016"/>
        <v>0</v>
      </c>
      <c r="DZ865" s="45" t="e">
        <f>VLOOKUP($R865,Dropdown!$C$3:$D$4,2,FALSE)</f>
        <v>#N/A</v>
      </c>
      <c r="EA865" s="68">
        <f t="shared" si="1017"/>
        <v>0</v>
      </c>
      <c r="EB865" s="68" t="str">
        <f t="shared" si="1018"/>
        <v>N/A</v>
      </c>
      <c r="EC865" s="68">
        <f t="shared" si="1019"/>
        <v>0</v>
      </c>
      <c r="ED865" s="68" t="str">
        <f t="shared" si="1057"/>
        <v>N/A</v>
      </c>
      <c r="EF865" s="56">
        <v>851</v>
      </c>
      <c r="EG865" s="46">
        <f t="shared" si="1020"/>
        <v>0</v>
      </c>
      <c r="EH865" s="68" t="e">
        <f t="shared" si="1021"/>
        <v>#N/A</v>
      </c>
      <c r="EI865" s="68" t="e">
        <f t="shared" si="1022"/>
        <v>#N/A</v>
      </c>
      <c r="EJ865" s="68" t="e">
        <f t="shared" si="1023"/>
        <v>#N/A</v>
      </c>
      <c r="EK865" s="68" t="e">
        <f t="shared" si="1024"/>
        <v>#N/A</v>
      </c>
      <c r="EL865" s="46">
        <f t="shared" si="1025"/>
        <v>0</v>
      </c>
      <c r="EM865" s="46">
        <f t="shared" si="1026"/>
        <v>0</v>
      </c>
    </row>
    <row r="866" spans="1:143">
      <c r="A866" s="89"/>
      <c r="B866" s="89"/>
      <c r="C866" s="89"/>
      <c r="D866" s="89"/>
      <c r="E866" s="89"/>
      <c r="F866" s="89"/>
      <c r="G866" s="34"/>
      <c r="H866" s="56">
        <f t="shared" si="1027"/>
        <v>852</v>
      </c>
      <c r="I866" s="165"/>
      <c r="J866" s="163"/>
      <c r="K866" s="163"/>
      <c r="L866" s="164"/>
      <c r="M866" s="155"/>
      <c r="N866" s="155"/>
      <c r="O866" s="144"/>
      <c r="P866" s="159" t="str">
        <f>IFERROR(IF(O866&lt;&gt;"User Specified",IF(O866&lt;&gt;"", INDEX('Refrigerant GWPs'!$G$2:$G$154,MATCH(O866,'Refrigerant GWPs'!$A$2:$A$154,0)),""),U866),0)</f>
        <v/>
      </c>
      <c r="Q866" s="155"/>
      <c r="R866" s="155"/>
      <c r="S866" s="144"/>
      <c r="T866" s="159" t="str">
        <f>IF(S866&lt;&gt;"User Specified",IF(AND(S866&lt;&gt;"User Specified",S866&lt;&gt;""), INDEX('Refrigerant GWPs'!$G$2:$G$154,MATCH(S866,'Refrigerant GWPs'!$A$2:$A$154,0)),""),V866)</f>
        <v/>
      </c>
      <c r="U866" s="144"/>
      <c r="V866" s="144"/>
      <c r="W866" s="155"/>
      <c r="X866" s="155"/>
      <c r="Y866" s="144"/>
      <c r="Z866" s="159" t="str">
        <f>IF(AND(Y866&lt;&gt;"User Specified",Y866&lt;&gt;""), INDEX('Refrigerant GWPs'!$G$2:$G$154,MATCH(Y866,'Refrigerant GWPs'!$A$2:$A$154,0)),"")</f>
        <v/>
      </c>
      <c r="AA866" s="155"/>
      <c r="AB866" s="156"/>
      <c r="AC866" s="66"/>
      <c r="AD866" s="66"/>
      <c r="AE866" s="66"/>
      <c r="AF866" s="66"/>
      <c r="AG866" s="66"/>
      <c r="AH866" s="66"/>
      <c r="AI866" s="34"/>
      <c r="AJ866" s="88">
        <f t="shared" si="990"/>
        <v>0</v>
      </c>
      <c r="AK866" s="88">
        <f t="shared" si="991"/>
        <v>0</v>
      </c>
      <c r="AL866" s="88">
        <v>0</v>
      </c>
      <c r="AM866" s="88">
        <v>0</v>
      </c>
      <c r="AN866" s="81" t="str">
        <f t="shared" si="1029"/>
        <v/>
      </c>
      <c r="AO866" s="88">
        <f t="shared" si="992"/>
        <v>0</v>
      </c>
      <c r="AP866" s="88">
        <f t="shared" si="993"/>
        <v>0</v>
      </c>
      <c r="AQ866" s="81" t="str">
        <f t="shared" si="994"/>
        <v/>
      </c>
      <c r="AS866" s="41" t="b">
        <f t="shared" si="995"/>
        <v>1</v>
      </c>
      <c r="AT866" s="38">
        <f t="shared" si="996"/>
        <v>0</v>
      </c>
      <c r="AU866" s="60">
        <f t="shared" si="997"/>
        <v>0</v>
      </c>
      <c r="AV866" s="41">
        <f t="shared" si="998"/>
        <v>0</v>
      </c>
      <c r="AW866" s="41" t="b">
        <f t="shared" si="999"/>
        <v>0</v>
      </c>
      <c r="AX866" t="str">
        <f t="shared" si="1000"/>
        <v>+00</v>
      </c>
      <c r="AY866" t="str">
        <f t="shared" si="1001"/>
        <v>+00</v>
      </c>
      <c r="BA866" s="47" t="b">
        <f t="shared" si="1030"/>
        <v>1</v>
      </c>
      <c r="BB866" s="42" t="b">
        <f t="shared" si="1031"/>
        <v>1</v>
      </c>
      <c r="BC866" s="42" t="b">
        <f t="shared" si="1032"/>
        <v>0</v>
      </c>
      <c r="BD866" s="42" t="b">
        <f t="shared" si="1033"/>
        <v>0</v>
      </c>
      <c r="BE866" s="70">
        <f t="shared" si="1034"/>
        <v>0</v>
      </c>
      <c r="BF866" s="70">
        <f t="shared" si="1035"/>
        <v>0</v>
      </c>
      <c r="BG866" s="34"/>
      <c r="BI866" s="47" t="b">
        <f t="shared" si="1036"/>
        <v>1</v>
      </c>
      <c r="BJ866" s="47" t="b">
        <f t="shared" si="1037"/>
        <v>1</v>
      </c>
      <c r="BK866" s="42" t="b">
        <f t="shared" si="1038"/>
        <v>0</v>
      </c>
      <c r="BL866" s="42" t="b">
        <f t="shared" si="1039"/>
        <v>0</v>
      </c>
      <c r="BM866" s="42">
        <f t="shared" si="1040"/>
        <v>0</v>
      </c>
      <c r="BN866" s="42">
        <f t="shared" si="1041"/>
        <v>0</v>
      </c>
      <c r="BP866" t="e">
        <f t="shared" si="1042"/>
        <v>#N/A</v>
      </c>
      <c r="BQ866" t="e">
        <f t="shared" si="1043"/>
        <v>#N/A</v>
      </c>
      <c r="BR866" t="e">
        <f t="shared" si="1044"/>
        <v>#N/A</v>
      </c>
      <c r="BT866" s="60">
        <f t="shared" si="1045"/>
        <v>0</v>
      </c>
      <c r="BU866" s="60">
        <f t="shared" si="1046"/>
        <v>0</v>
      </c>
      <c r="BV866" s="60">
        <f t="shared" si="1047"/>
        <v>0</v>
      </c>
      <c r="BW866" s="60">
        <f t="shared" si="1048"/>
        <v>0</v>
      </c>
      <c r="BX866" s="60">
        <f t="shared" si="1049"/>
        <v>0</v>
      </c>
      <c r="BY866" s="60">
        <f t="shared" si="1050"/>
        <v>0</v>
      </c>
      <c r="BZ866" s="60">
        <f t="shared" si="1051"/>
        <v>0</v>
      </c>
      <c r="CA866" s="60">
        <f t="shared" si="1052"/>
        <v>0</v>
      </c>
      <c r="CB866" s="60" t="e">
        <f t="shared" si="1002"/>
        <v>#N/A</v>
      </c>
      <c r="CC866" s="60">
        <f t="shared" si="1003"/>
        <v>100000</v>
      </c>
      <c r="CD866" s="60" t="e">
        <f t="shared" si="1004"/>
        <v>#N/A</v>
      </c>
      <c r="CE866" s="60">
        <f t="shared" si="1005"/>
        <v>100000</v>
      </c>
      <c r="CF866" s="83" t="e">
        <f t="shared" si="1053"/>
        <v>#N/A</v>
      </c>
      <c r="CG866" s="83">
        <f t="shared" si="1054"/>
        <v>0</v>
      </c>
      <c r="CH866" s="83" t="e">
        <f t="shared" si="1055"/>
        <v>#N/A</v>
      </c>
      <c r="CI866" s="83">
        <f t="shared" si="1056"/>
        <v>0</v>
      </c>
      <c r="CJ866" s="86" t="e">
        <f t="shared" si="1006"/>
        <v>#N/A</v>
      </c>
      <c r="CK866" s="82">
        <f t="shared" si="1007"/>
        <v>5.3070370403969858E-3</v>
      </c>
      <c r="CL866" s="82" t="e">
        <f t="shared" si="1008"/>
        <v>#N/A</v>
      </c>
      <c r="CM866" s="82">
        <f t="shared" si="1009"/>
        <v>5.3070370403969858E-3</v>
      </c>
      <c r="CO866" s="149" t="str">
        <f>IF($I866&lt;&gt;"",IF(O866="User Specified",U866,INDEX('Refrigerant GWPs'!$G$2:$G$156,MATCH(O866,'Refrigerant GWPs'!$A$2:$A$156,0))),"")</f>
        <v/>
      </c>
      <c r="CP866" s="138" t="str">
        <f>IF($I866&lt;&gt;"",INDEX('Device Refrigerant Leakage'!$E$2:$E$42,MATCH($M866,'Device Refrigerant Leakage'!$B$2:$B$42,0)),"")</f>
        <v/>
      </c>
      <c r="CQ866" s="138" t="str">
        <f>IF($I866&lt;&gt;"",INDEX('Device Refrigerant Leakage'!$F$2:$F$42,MATCH($M866,'Device Refrigerant Leakage'!$B$2:$B$42,0)),"")</f>
        <v/>
      </c>
      <c r="CR866" s="145" t="str">
        <f>IF($I866&lt;&gt;"",INDEX('Device Refrigerant Leakage'!$G$2:$G$42,MATCH($M866,'Device Refrigerant Leakage'!$B$2:$B$42,0)),"")</f>
        <v/>
      </c>
      <c r="CS866" s="145" t="str">
        <f>IF($I866&lt;&gt;"",INDEX('Device Refrigerant Leakage'!$D$2:$D$42,MATCH($M866,'Device Refrigerant Leakage'!$B$2:$B$42,0))*CP866/2204.62*CO866,"")</f>
        <v/>
      </c>
      <c r="CT866" s="145" t="str">
        <f>IF($I866&lt;&gt;"",J866*(INDEX('Device Refrigerant Leakage'!$D$2:$D$42,MATCH($M866,'Device Refrigerant Leakage'!$B$2:$B$42,0))-(INDEX('Device Refrigerant Leakage'!$D$2:$D$42,MATCH($M866,'Device Refrigerant Leakage'!$B$2:$B$42,0)))*CR866*CP866)*CQ866/2204.62*CO866,"")</f>
        <v/>
      </c>
      <c r="CU866" s="135" t="str">
        <f>IF($I866&lt;&gt;"",J866*IF(W866&lt;&gt;"AR",(CS866*K866)+CT866,(CS866*AB866)+CT866*(AB866/INDEX('Device Refrigerant Leakage'!$C$2:$C$42,MATCH($M866,'Device Refrigerant Leakage'!$B$2:$B$42,0)))),"")</f>
        <v/>
      </c>
      <c r="CW866" s="135" t="str">
        <f>IF($I866&lt;&gt;"",IF(S866="User Specified",V866,INDEX('Refrigerant GWPs'!$G$2:$G$156,MATCH(S866,'Refrigerant GWPs'!$A$2:$A$157,0))),"")</f>
        <v/>
      </c>
      <c r="CX866" s="138" t="str">
        <f>IF($I866&lt;&gt;"",INDEX('Device Refrigerant Leakage'!$E$2:$E$42,MATCH($Q866,'Device Refrigerant Leakage'!$B$2:$B$42,0)),"")</f>
        <v/>
      </c>
      <c r="CY866" s="138" t="str">
        <f>IF($I866&lt;&gt;"",INDEX('Device Refrigerant Leakage'!$F$2:$F$42,MATCH($Q866,'Device Refrigerant Leakage'!$B$2:$B$42,0)),"")</f>
        <v/>
      </c>
      <c r="CZ866" s="145" t="str">
        <f>IF($I866&lt;&gt;"",INDEX('Device Refrigerant Leakage'!$G$2:$G$42,MATCH($Q866,'Device Refrigerant Leakage'!$B$2:$B$42,0)),"")</f>
        <v/>
      </c>
      <c r="DA866" s="145" t="str">
        <f>IF($I866&lt;&gt;"",J866*INDEX('Device Refrigerant Leakage'!$D$2:$D$42,MATCH($Q866,'Device Refrigerant Leakage'!$B$2:$B$42,0))*CX866/2204.62*CW866,"")</f>
        <v/>
      </c>
      <c r="DB866" s="145" t="str">
        <f>IF($I866&lt;&gt;"",J866*(INDEX('Device Refrigerant Leakage'!$D$2:$D$42,MATCH($Q866,'Device Refrigerant Leakage'!$B$2:$B$42,0))-(INDEX('Device Refrigerant Leakage'!$D$2:$D$42,MATCH($Q866,'Device Refrigerant Leakage'!$B$2:$B$42,0)))*CZ866*CX866)*CY866/2204.62*CW866,"")</f>
        <v/>
      </c>
      <c r="DC866" s="135" t="str">
        <f t="shared" si="1028"/>
        <v/>
      </c>
      <c r="DE866" s="146" t="str">
        <f>IF(W866&lt;&gt;"AR","",IF(Y866="User Specified", AA866, INDEX('Refrigerant GWPs'!$G$2:$G$154,MATCH(Y866,'Refrigerant GWPs'!$A$2:$A$154,0))))</f>
        <v/>
      </c>
      <c r="DF866" s="146" t="str">
        <f>IF(W866&lt;&gt;"AR","",INDEX('Device Refrigerant Leakage'!$E$2:$E$42,MATCH(X866,'Device Refrigerant Leakage'!$B$2:$B$42,0)))</f>
        <v/>
      </c>
      <c r="DG866" s="146" t="str">
        <f>IF(W866&lt;&gt;"AR","",INDEX('Device Refrigerant Leakage'!$F$2:$F$42,MATCH(X866,'Device Refrigerant Leakage'!$B$2:$B$42,0)))</f>
        <v/>
      </c>
      <c r="DH866" s="146" t="str">
        <f>IF(W866&lt;&gt;"AR","",INDEX('Device Refrigerant Leakage'!$G$2:$G$42,MATCH(X866,'Device Refrigerant Leakage'!$B$2:$B$42,0)))</f>
        <v/>
      </c>
      <c r="DI866" s="146" t="str">
        <f>IF(W866&lt;&gt;"AR","",J866*INDEX('Device Refrigerant Leakage'!$D$2:$D$42,MATCH(X866,'Device Refrigerant Leakage'!$B$2:$B$42,0))*DF866/2204.62*DE866)</f>
        <v/>
      </c>
      <c r="DJ866" s="146" t="str">
        <f>IF(W866&lt;&gt;"AR","",J866*(INDEX('Device Refrigerant Leakage'!$D$2:$D$42,MATCH(X866,'Device Refrigerant Leakage'!$B$2:$B$42,0))-(INDEX('Device Refrigerant Leakage'!$D$2:$D$42,MATCH(X866,'Device Refrigerant Leakage'!$B$2:$B$42,0)))*DH866*DF866)*DG866/2204.62*DE866)</f>
        <v/>
      </c>
      <c r="DK866" s="146" t="str">
        <f>IF(W866&lt;&gt;"AR","",DI866*(K866-AB866)+'Fuel Sub Calcs-Deemed'!DJ866*((K866-AB866)/INDEX('Device Refrigerant Leakage'!$C$2:$C$42,MATCH('Fuel Sub Calcs-Deemed'!X866,'Device Refrigerant Leakage'!$B$2:$B$42,0))))</f>
        <v/>
      </c>
      <c r="DM866" s="56">
        <v>852</v>
      </c>
      <c r="DN866" s="67" t="e">
        <f t="shared" si="1010"/>
        <v>#N/A</v>
      </c>
      <c r="DO866" s="45" t="e">
        <f t="shared" si="1011"/>
        <v>#N/A</v>
      </c>
      <c r="DP866" s="67" t="e">
        <f t="shared" si="1012"/>
        <v>#N/A</v>
      </c>
      <c r="DQ866" s="45" t="e">
        <f t="shared" si="1013"/>
        <v>#N/A</v>
      </c>
      <c r="DR866" s="69" t="e">
        <f t="shared" si="1014"/>
        <v>#N/A</v>
      </c>
      <c r="DS866" s="34"/>
      <c r="DT866" s="67" t="e">
        <f>((BX866*CJ866)+IF($W866=MAT_AR,(BZ866*CL866),0))*(1+Reference!$E$50+Reference!$E$51)</f>
        <v>#N/A</v>
      </c>
      <c r="DU866" s="67">
        <f>((BY866*CK866)+IF($W866=MAT_AR,(CA866*CM866),0))*(1+Reference!$G$50+Reference!$G$51)</f>
        <v>0</v>
      </c>
      <c r="DV866" s="67" t="e">
        <f t="shared" si="1015"/>
        <v>#VALUE!</v>
      </c>
      <c r="DX866" s="56">
        <v>852</v>
      </c>
      <c r="DY866" s="67">
        <f t="shared" si="1016"/>
        <v>0</v>
      </c>
      <c r="DZ866" s="45" t="e">
        <f>VLOOKUP($R866,Dropdown!$C$3:$D$4,2,FALSE)</f>
        <v>#N/A</v>
      </c>
      <c r="EA866" s="68">
        <f t="shared" si="1017"/>
        <v>0</v>
      </c>
      <c r="EB866" s="68" t="str">
        <f t="shared" si="1018"/>
        <v>N/A</v>
      </c>
      <c r="EC866" s="68">
        <f t="shared" si="1019"/>
        <v>0</v>
      </c>
      <c r="ED866" s="68" t="str">
        <f t="shared" si="1057"/>
        <v>N/A</v>
      </c>
      <c r="EF866" s="56">
        <v>852</v>
      </c>
      <c r="EG866" s="46">
        <f t="shared" si="1020"/>
        <v>0</v>
      </c>
      <c r="EH866" s="68" t="e">
        <f t="shared" si="1021"/>
        <v>#N/A</v>
      </c>
      <c r="EI866" s="68" t="e">
        <f t="shared" si="1022"/>
        <v>#N/A</v>
      </c>
      <c r="EJ866" s="68" t="e">
        <f t="shared" si="1023"/>
        <v>#N/A</v>
      </c>
      <c r="EK866" s="68" t="e">
        <f t="shared" si="1024"/>
        <v>#N/A</v>
      </c>
      <c r="EL866" s="46">
        <f t="shared" si="1025"/>
        <v>0</v>
      </c>
      <c r="EM866" s="46">
        <f t="shared" si="1026"/>
        <v>0</v>
      </c>
    </row>
    <row r="867" spans="1:143">
      <c r="A867" s="89"/>
      <c r="B867" s="89"/>
      <c r="C867" s="89"/>
      <c r="D867" s="89"/>
      <c r="E867" s="89"/>
      <c r="F867" s="89"/>
      <c r="G867" s="34"/>
      <c r="H867" s="56">
        <f t="shared" si="1027"/>
        <v>853</v>
      </c>
      <c r="I867" s="165"/>
      <c r="J867" s="163"/>
      <c r="K867" s="163"/>
      <c r="L867" s="164"/>
      <c r="M867" s="155"/>
      <c r="N867" s="155"/>
      <c r="O867" s="144"/>
      <c r="P867" s="159" t="str">
        <f>IFERROR(IF(O867&lt;&gt;"User Specified",IF(O867&lt;&gt;"", INDEX('Refrigerant GWPs'!$G$2:$G$154,MATCH(O867,'Refrigerant GWPs'!$A$2:$A$154,0)),""),U867),0)</f>
        <v/>
      </c>
      <c r="Q867" s="155"/>
      <c r="R867" s="155"/>
      <c r="S867" s="144"/>
      <c r="T867" s="159" t="str">
        <f>IF(S867&lt;&gt;"User Specified",IF(AND(S867&lt;&gt;"User Specified",S867&lt;&gt;""), INDEX('Refrigerant GWPs'!$G$2:$G$154,MATCH(S867,'Refrigerant GWPs'!$A$2:$A$154,0)),""),V867)</f>
        <v/>
      </c>
      <c r="U867" s="144"/>
      <c r="V867" s="144"/>
      <c r="W867" s="155"/>
      <c r="X867" s="155"/>
      <c r="Y867" s="144"/>
      <c r="Z867" s="159" t="str">
        <f>IF(AND(Y867&lt;&gt;"User Specified",Y867&lt;&gt;""), INDEX('Refrigerant GWPs'!$G$2:$G$154,MATCH(Y867,'Refrigerant GWPs'!$A$2:$A$154,0)),"")</f>
        <v/>
      </c>
      <c r="AA867" s="155"/>
      <c r="AB867" s="156"/>
      <c r="AC867" s="66"/>
      <c r="AD867" s="66"/>
      <c r="AE867" s="66"/>
      <c r="AF867" s="66"/>
      <c r="AG867" s="66"/>
      <c r="AH867" s="66"/>
      <c r="AI867" s="34"/>
      <c r="AJ867" s="88">
        <f t="shared" si="990"/>
        <v>0</v>
      </c>
      <c r="AK867" s="88">
        <f t="shared" si="991"/>
        <v>0</v>
      </c>
      <c r="AL867" s="88">
        <v>0</v>
      </c>
      <c r="AM867" s="88">
        <v>0</v>
      </c>
      <c r="AN867" s="81" t="str">
        <f t="shared" si="1029"/>
        <v/>
      </c>
      <c r="AO867" s="88">
        <f t="shared" si="992"/>
        <v>0</v>
      </c>
      <c r="AP867" s="88">
        <f t="shared" si="993"/>
        <v>0</v>
      </c>
      <c r="AQ867" s="81" t="str">
        <f t="shared" si="994"/>
        <v/>
      </c>
      <c r="AS867" s="41" t="b">
        <f t="shared" si="995"/>
        <v>1</v>
      </c>
      <c r="AT867" s="38">
        <f t="shared" si="996"/>
        <v>0</v>
      </c>
      <c r="AU867" s="60">
        <f t="shared" si="997"/>
        <v>0</v>
      </c>
      <c r="AV867" s="41">
        <f t="shared" si="998"/>
        <v>0</v>
      </c>
      <c r="AW867" s="41" t="b">
        <f t="shared" si="999"/>
        <v>0</v>
      </c>
      <c r="AX867" t="str">
        <f t="shared" si="1000"/>
        <v>+00</v>
      </c>
      <c r="AY867" t="str">
        <f t="shared" si="1001"/>
        <v>+00</v>
      </c>
      <c r="BA867" s="47" t="b">
        <f t="shared" si="1030"/>
        <v>1</v>
      </c>
      <c r="BB867" s="42" t="b">
        <f t="shared" si="1031"/>
        <v>1</v>
      </c>
      <c r="BC867" s="42" t="b">
        <f t="shared" si="1032"/>
        <v>0</v>
      </c>
      <c r="BD867" s="42" t="b">
        <f t="shared" si="1033"/>
        <v>0</v>
      </c>
      <c r="BE867" s="70">
        <f t="shared" si="1034"/>
        <v>0</v>
      </c>
      <c r="BF867" s="70">
        <f t="shared" si="1035"/>
        <v>0</v>
      </c>
      <c r="BG867" s="34"/>
      <c r="BI867" s="47" t="b">
        <f t="shared" si="1036"/>
        <v>1</v>
      </c>
      <c r="BJ867" s="47" t="b">
        <f t="shared" si="1037"/>
        <v>1</v>
      </c>
      <c r="BK867" s="42" t="b">
        <f t="shared" si="1038"/>
        <v>0</v>
      </c>
      <c r="BL867" s="42" t="b">
        <f t="shared" si="1039"/>
        <v>0</v>
      </c>
      <c r="BM867" s="42">
        <f t="shared" si="1040"/>
        <v>0</v>
      </c>
      <c r="BN867" s="42">
        <f t="shared" si="1041"/>
        <v>0</v>
      </c>
      <c r="BP867" t="e">
        <f t="shared" si="1042"/>
        <v>#N/A</v>
      </c>
      <c r="BQ867" t="e">
        <f t="shared" si="1043"/>
        <v>#N/A</v>
      </c>
      <c r="BR867" t="e">
        <f t="shared" si="1044"/>
        <v>#N/A</v>
      </c>
      <c r="BT867" s="60">
        <f t="shared" si="1045"/>
        <v>0</v>
      </c>
      <c r="BU867" s="60">
        <f t="shared" si="1046"/>
        <v>0</v>
      </c>
      <c r="BV867" s="60">
        <f t="shared" si="1047"/>
        <v>0</v>
      </c>
      <c r="BW867" s="60">
        <f t="shared" si="1048"/>
        <v>0</v>
      </c>
      <c r="BX867" s="60">
        <f t="shared" si="1049"/>
        <v>0</v>
      </c>
      <c r="BY867" s="60">
        <f t="shared" si="1050"/>
        <v>0</v>
      </c>
      <c r="BZ867" s="60">
        <f t="shared" si="1051"/>
        <v>0</v>
      </c>
      <c r="CA867" s="60">
        <f t="shared" si="1052"/>
        <v>0</v>
      </c>
      <c r="CB867" s="60" t="e">
        <f t="shared" si="1002"/>
        <v>#N/A</v>
      </c>
      <c r="CC867" s="60">
        <f t="shared" si="1003"/>
        <v>100000</v>
      </c>
      <c r="CD867" s="60" t="e">
        <f t="shared" si="1004"/>
        <v>#N/A</v>
      </c>
      <c r="CE867" s="60">
        <f t="shared" si="1005"/>
        <v>100000</v>
      </c>
      <c r="CF867" s="83" t="e">
        <f t="shared" si="1053"/>
        <v>#N/A</v>
      </c>
      <c r="CG867" s="83">
        <f t="shared" si="1054"/>
        <v>0</v>
      </c>
      <c r="CH867" s="83" t="e">
        <f t="shared" si="1055"/>
        <v>#N/A</v>
      </c>
      <c r="CI867" s="83">
        <f t="shared" si="1056"/>
        <v>0</v>
      </c>
      <c r="CJ867" s="86" t="e">
        <f t="shared" si="1006"/>
        <v>#N/A</v>
      </c>
      <c r="CK867" s="82">
        <f t="shared" si="1007"/>
        <v>5.3070370403969858E-3</v>
      </c>
      <c r="CL867" s="82" t="e">
        <f t="shared" si="1008"/>
        <v>#N/A</v>
      </c>
      <c r="CM867" s="82">
        <f t="shared" si="1009"/>
        <v>5.3070370403969858E-3</v>
      </c>
      <c r="CO867" s="149" t="str">
        <f>IF($I867&lt;&gt;"",IF(O867="User Specified",U867,INDEX('Refrigerant GWPs'!$G$2:$G$156,MATCH(O867,'Refrigerant GWPs'!$A$2:$A$156,0))),"")</f>
        <v/>
      </c>
      <c r="CP867" s="138" t="str">
        <f>IF($I867&lt;&gt;"",INDEX('Device Refrigerant Leakage'!$E$2:$E$42,MATCH($M867,'Device Refrigerant Leakage'!$B$2:$B$42,0)),"")</f>
        <v/>
      </c>
      <c r="CQ867" s="138" t="str">
        <f>IF($I867&lt;&gt;"",INDEX('Device Refrigerant Leakage'!$F$2:$F$42,MATCH($M867,'Device Refrigerant Leakage'!$B$2:$B$42,0)),"")</f>
        <v/>
      </c>
      <c r="CR867" s="145" t="str">
        <f>IF($I867&lt;&gt;"",INDEX('Device Refrigerant Leakage'!$G$2:$G$42,MATCH($M867,'Device Refrigerant Leakage'!$B$2:$B$42,0)),"")</f>
        <v/>
      </c>
      <c r="CS867" s="145" t="str">
        <f>IF($I867&lt;&gt;"",INDEX('Device Refrigerant Leakage'!$D$2:$D$42,MATCH($M867,'Device Refrigerant Leakage'!$B$2:$B$42,0))*CP867/2204.62*CO867,"")</f>
        <v/>
      </c>
      <c r="CT867" s="145" t="str">
        <f>IF($I867&lt;&gt;"",J867*(INDEX('Device Refrigerant Leakage'!$D$2:$D$42,MATCH($M867,'Device Refrigerant Leakage'!$B$2:$B$42,0))-(INDEX('Device Refrigerant Leakage'!$D$2:$D$42,MATCH($M867,'Device Refrigerant Leakage'!$B$2:$B$42,0)))*CR867*CP867)*CQ867/2204.62*CO867,"")</f>
        <v/>
      </c>
      <c r="CU867" s="135" t="str">
        <f>IF($I867&lt;&gt;"",J867*IF(W867&lt;&gt;"AR",(CS867*K867)+CT867,(CS867*AB867)+CT867*(AB867/INDEX('Device Refrigerant Leakage'!$C$2:$C$42,MATCH($M867,'Device Refrigerant Leakage'!$B$2:$B$42,0)))),"")</f>
        <v/>
      </c>
      <c r="CW867" s="135" t="str">
        <f>IF($I867&lt;&gt;"",IF(S867="User Specified",V867,INDEX('Refrigerant GWPs'!$G$2:$G$156,MATCH(S867,'Refrigerant GWPs'!$A$2:$A$157,0))),"")</f>
        <v/>
      </c>
      <c r="CX867" s="138" t="str">
        <f>IF($I867&lt;&gt;"",INDEX('Device Refrigerant Leakage'!$E$2:$E$42,MATCH($Q867,'Device Refrigerant Leakage'!$B$2:$B$42,0)),"")</f>
        <v/>
      </c>
      <c r="CY867" s="138" t="str">
        <f>IF($I867&lt;&gt;"",INDEX('Device Refrigerant Leakage'!$F$2:$F$42,MATCH($Q867,'Device Refrigerant Leakage'!$B$2:$B$42,0)),"")</f>
        <v/>
      </c>
      <c r="CZ867" s="145" t="str">
        <f>IF($I867&lt;&gt;"",INDEX('Device Refrigerant Leakage'!$G$2:$G$42,MATCH($Q867,'Device Refrigerant Leakage'!$B$2:$B$42,0)),"")</f>
        <v/>
      </c>
      <c r="DA867" s="145" t="str">
        <f>IF($I867&lt;&gt;"",J867*INDEX('Device Refrigerant Leakage'!$D$2:$D$42,MATCH($Q867,'Device Refrigerant Leakage'!$B$2:$B$42,0))*CX867/2204.62*CW867,"")</f>
        <v/>
      </c>
      <c r="DB867" s="145" t="str">
        <f>IF($I867&lt;&gt;"",J867*(INDEX('Device Refrigerant Leakage'!$D$2:$D$42,MATCH($Q867,'Device Refrigerant Leakage'!$B$2:$B$42,0))-(INDEX('Device Refrigerant Leakage'!$D$2:$D$42,MATCH($Q867,'Device Refrigerant Leakage'!$B$2:$B$42,0)))*CZ867*CX867)*CY867/2204.62*CW867,"")</f>
        <v/>
      </c>
      <c r="DC867" s="135" t="str">
        <f t="shared" si="1028"/>
        <v/>
      </c>
      <c r="DE867" s="146" t="str">
        <f>IF(W867&lt;&gt;"AR","",IF(Y867="User Specified", AA867, INDEX('Refrigerant GWPs'!$G$2:$G$154,MATCH(Y867,'Refrigerant GWPs'!$A$2:$A$154,0))))</f>
        <v/>
      </c>
      <c r="DF867" s="146" t="str">
        <f>IF(W867&lt;&gt;"AR","",INDEX('Device Refrigerant Leakage'!$E$2:$E$42,MATCH(X867,'Device Refrigerant Leakage'!$B$2:$B$42,0)))</f>
        <v/>
      </c>
      <c r="DG867" s="146" t="str">
        <f>IF(W867&lt;&gt;"AR","",INDEX('Device Refrigerant Leakage'!$F$2:$F$42,MATCH(X867,'Device Refrigerant Leakage'!$B$2:$B$42,0)))</f>
        <v/>
      </c>
      <c r="DH867" s="146" t="str">
        <f>IF(W867&lt;&gt;"AR","",INDEX('Device Refrigerant Leakage'!$G$2:$G$42,MATCH(X867,'Device Refrigerant Leakage'!$B$2:$B$42,0)))</f>
        <v/>
      </c>
      <c r="DI867" s="146" t="str">
        <f>IF(W867&lt;&gt;"AR","",J867*INDEX('Device Refrigerant Leakage'!$D$2:$D$42,MATCH(X867,'Device Refrigerant Leakage'!$B$2:$B$42,0))*DF867/2204.62*DE867)</f>
        <v/>
      </c>
      <c r="DJ867" s="146" t="str">
        <f>IF(W867&lt;&gt;"AR","",J867*(INDEX('Device Refrigerant Leakage'!$D$2:$D$42,MATCH(X867,'Device Refrigerant Leakage'!$B$2:$B$42,0))-(INDEX('Device Refrigerant Leakage'!$D$2:$D$42,MATCH(X867,'Device Refrigerant Leakage'!$B$2:$B$42,0)))*DH867*DF867)*DG867/2204.62*DE867)</f>
        <v/>
      </c>
      <c r="DK867" s="146" t="str">
        <f>IF(W867&lt;&gt;"AR","",DI867*(K867-AB867)+'Fuel Sub Calcs-Deemed'!DJ867*((K867-AB867)/INDEX('Device Refrigerant Leakage'!$C$2:$C$42,MATCH('Fuel Sub Calcs-Deemed'!X867,'Device Refrigerant Leakage'!$B$2:$B$42,0))))</f>
        <v/>
      </c>
      <c r="DM867" s="56">
        <v>853</v>
      </c>
      <c r="DN867" s="67" t="e">
        <f t="shared" si="1010"/>
        <v>#N/A</v>
      </c>
      <c r="DO867" s="45" t="e">
        <f t="shared" si="1011"/>
        <v>#N/A</v>
      </c>
      <c r="DP867" s="67" t="e">
        <f t="shared" si="1012"/>
        <v>#N/A</v>
      </c>
      <c r="DQ867" s="45" t="e">
        <f t="shared" si="1013"/>
        <v>#N/A</v>
      </c>
      <c r="DR867" s="69" t="e">
        <f t="shared" si="1014"/>
        <v>#N/A</v>
      </c>
      <c r="DS867" s="34"/>
      <c r="DT867" s="67" t="e">
        <f>((BX867*CJ867)+IF($W867=MAT_AR,(BZ867*CL867),0))*(1+Reference!$E$50+Reference!$E$51)</f>
        <v>#N/A</v>
      </c>
      <c r="DU867" s="67">
        <f>((BY867*CK867)+IF($W867=MAT_AR,(CA867*CM867),0))*(1+Reference!$G$50+Reference!$G$51)</f>
        <v>0</v>
      </c>
      <c r="DV867" s="67" t="e">
        <f t="shared" si="1015"/>
        <v>#VALUE!</v>
      </c>
      <c r="DX867" s="56">
        <v>853</v>
      </c>
      <c r="DY867" s="67">
        <f t="shared" si="1016"/>
        <v>0</v>
      </c>
      <c r="DZ867" s="45" t="e">
        <f>VLOOKUP($R867,Dropdown!$C$3:$D$4,2,FALSE)</f>
        <v>#N/A</v>
      </c>
      <c r="EA867" s="68">
        <f t="shared" si="1017"/>
        <v>0</v>
      </c>
      <c r="EB867" s="68" t="str">
        <f t="shared" si="1018"/>
        <v>N/A</v>
      </c>
      <c r="EC867" s="68">
        <f t="shared" si="1019"/>
        <v>0</v>
      </c>
      <c r="ED867" s="68" t="str">
        <f t="shared" si="1057"/>
        <v>N/A</v>
      </c>
      <c r="EF867" s="56">
        <v>853</v>
      </c>
      <c r="EG867" s="46">
        <f t="shared" si="1020"/>
        <v>0</v>
      </c>
      <c r="EH867" s="68" t="e">
        <f t="shared" si="1021"/>
        <v>#N/A</v>
      </c>
      <c r="EI867" s="68" t="e">
        <f t="shared" si="1022"/>
        <v>#N/A</v>
      </c>
      <c r="EJ867" s="68" t="e">
        <f t="shared" si="1023"/>
        <v>#N/A</v>
      </c>
      <c r="EK867" s="68" t="e">
        <f t="shared" si="1024"/>
        <v>#N/A</v>
      </c>
      <c r="EL867" s="46">
        <f t="shared" si="1025"/>
        <v>0</v>
      </c>
      <c r="EM867" s="46">
        <f t="shared" si="1026"/>
        <v>0</v>
      </c>
    </row>
    <row r="868" spans="1:143">
      <c r="A868" s="89"/>
      <c r="B868" s="89"/>
      <c r="C868" s="89"/>
      <c r="D868" s="89"/>
      <c r="E868" s="89"/>
      <c r="F868" s="89"/>
      <c r="G868" s="34"/>
      <c r="H868" s="56">
        <f t="shared" si="1027"/>
        <v>854</v>
      </c>
      <c r="I868" s="165"/>
      <c r="J868" s="163"/>
      <c r="K868" s="163"/>
      <c r="L868" s="164"/>
      <c r="M868" s="155"/>
      <c r="N868" s="155"/>
      <c r="O868" s="144"/>
      <c r="P868" s="159" t="str">
        <f>IFERROR(IF(O868&lt;&gt;"User Specified",IF(O868&lt;&gt;"", INDEX('Refrigerant GWPs'!$G$2:$G$154,MATCH(O868,'Refrigerant GWPs'!$A$2:$A$154,0)),""),U868),0)</f>
        <v/>
      </c>
      <c r="Q868" s="155"/>
      <c r="R868" s="155"/>
      <c r="S868" s="144"/>
      <c r="T868" s="159" t="str">
        <f>IF(S868&lt;&gt;"User Specified",IF(AND(S868&lt;&gt;"User Specified",S868&lt;&gt;""), INDEX('Refrigerant GWPs'!$G$2:$G$154,MATCH(S868,'Refrigerant GWPs'!$A$2:$A$154,0)),""),V868)</f>
        <v/>
      </c>
      <c r="U868" s="144"/>
      <c r="V868" s="144"/>
      <c r="W868" s="155"/>
      <c r="X868" s="155"/>
      <c r="Y868" s="144"/>
      <c r="Z868" s="159" t="str">
        <f>IF(AND(Y868&lt;&gt;"User Specified",Y868&lt;&gt;""), INDEX('Refrigerant GWPs'!$G$2:$G$154,MATCH(Y868,'Refrigerant GWPs'!$A$2:$A$154,0)),"")</f>
        <v/>
      </c>
      <c r="AA868" s="155"/>
      <c r="AB868" s="156"/>
      <c r="AC868" s="66"/>
      <c r="AD868" s="66"/>
      <c r="AE868" s="66"/>
      <c r="AF868" s="66"/>
      <c r="AG868" s="66"/>
      <c r="AH868" s="66"/>
      <c r="AI868" s="34"/>
      <c r="AJ868" s="88">
        <f t="shared" si="990"/>
        <v>0</v>
      </c>
      <c r="AK868" s="88">
        <f t="shared" si="991"/>
        <v>0</v>
      </c>
      <c r="AL868" s="88">
        <v>0</v>
      </c>
      <c r="AM868" s="88">
        <v>0</v>
      </c>
      <c r="AN868" s="81" t="str">
        <f t="shared" si="1029"/>
        <v/>
      </c>
      <c r="AO868" s="88">
        <f t="shared" si="992"/>
        <v>0</v>
      </c>
      <c r="AP868" s="88">
        <f t="shared" si="993"/>
        <v>0</v>
      </c>
      <c r="AQ868" s="81" t="str">
        <f t="shared" si="994"/>
        <v/>
      </c>
      <c r="AS868" s="41" t="b">
        <f t="shared" si="995"/>
        <v>1</v>
      </c>
      <c r="AT868" s="38">
        <f t="shared" si="996"/>
        <v>0</v>
      </c>
      <c r="AU868" s="60">
        <f t="shared" si="997"/>
        <v>0</v>
      </c>
      <c r="AV868" s="41">
        <f t="shared" si="998"/>
        <v>0</v>
      </c>
      <c r="AW868" s="41" t="b">
        <f t="shared" si="999"/>
        <v>0</v>
      </c>
      <c r="AX868" t="str">
        <f t="shared" si="1000"/>
        <v>+00</v>
      </c>
      <c r="AY868" t="str">
        <f t="shared" si="1001"/>
        <v>+00</v>
      </c>
      <c r="BA868" s="47" t="b">
        <f t="shared" si="1030"/>
        <v>1</v>
      </c>
      <c r="BB868" s="42" t="b">
        <f t="shared" si="1031"/>
        <v>1</v>
      </c>
      <c r="BC868" s="42" t="b">
        <f t="shared" si="1032"/>
        <v>0</v>
      </c>
      <c r="BD868" s="42" t="b">
        <f t="shared" si="1033"/>
        <v>0</v>
      </c>
      <c r="BE868" s="70">
        <f t="shared" si="1034"/>
        <v>0</v>
      </c>
      <c r="BF868" s="70">
        <f t="shared" si="1035"/>
        <v>0</v>
      </c>
      <c r="BG868" s="34"/>
      <c r="BI868" s="47" t="b">
        <f t="shared" si="1036"/>
        <v>1</v>
      </c>
      <c r="BJ868" s="47" t="b">
        <f t="shared" si="1037"/>
        <v>1</v>
      </c>
      <c r="BK868" s="42" t="b">
        <f t="shared" si="1038"/>
        <v>0</v>
      </c>
      <c r="BL868" s="42" t="b">
        <f t="shared" si="1039"/>
        <v>0</v>
      </c>
      <c r="BM868" s="42">
        <f t="shared" si="1040"/>
        <v>0</v>
      </c>
      <c r="BN868" s="42">
        <f t="shared" si="1041"/>
        <v>0</v>
      </c>
      <c r="BP868" t="e">
        <f t="shared" si="1042"/>
        <v>#N/A</v>
      </c>
      <c r="BQ868" t="e">
        <f t="shared" si="1043"/>
        <v>#N/A</v>
      </c>
      <c r="BR868" t="e">
        <f t="shared" si="1044"/>
        <v>#N/A</v>
      </c>
      <c r="BT868" s="60">
        <f t="shared" si="1045"/>
        <v>0</v>
      </c>
      <c r="BU868" s="60">
        <f t="shared" si="1046"/>
        <v>0</v>
      </c>
      <c r="BV868" s="60">
        <f t="shared" si="1047"/>
        <v>0</v>
      </c>
      <c r="BW868" s="60">
        <f t="shared" si="1048"/>
        <v>0</v>
      </c>
      <c r="BX868" s="60">
        <f t="shared" si="1049"/>
        <v>0</v>
      </c>
      <c r="BY868" s="60">
        <f t="shared" si="1050"/>
        <v>0</v>
      </c>
      <c r="BZ868" s="60">
        <f t="shared" si="1051"/>
        <v>0</v>
      </c>
      <c r="CA868" s="60">
        <f t="shared" si="1052"/>
        <v>0</v>
      </c>
      <c r="CB868" s="60" t="e">
        <f t="shared" si="1002"/>
        <v>#N/A</v>
      </c>
      <c r="CC868" s="60">
        <f t="shared" si="1003"/>
        <v>100000</v>
      </c>
      <c r="CD868" s="60" t="e">
        <f t="shared" si="1004"/>
        <v>#N/A</v>
      </c>
      <c r="CE868" s="60">
        <f t="shared" si="1005"/>
        <v>100000</v>
      </c>
      <c r="CF868" s="83" t="e">
        <f t="shared" si="1053"/>
        <v>#N/A</v>
      </c>
      <c r="CG868" s="83">
        <f t="shared" si="1054"/>
        <v>0</v>
      </c>
      <c r="CH868" s="83" t="e">
        <f t="shared" si="1055"/>
        <v>#N/A</v>
      </c>
      <c r="CI868" s="83">
        <f t="shared" si="1056"/>
        <v>0</v>
      </c>
      <c r="CJ868" s="86" t="e">
        <f t="shared" si="1006"/>
        <v>#N/A</v>
      </c>
      <c r="CK868" s="82">
        <f t="shared" si="1007"/>
        <v>5.3070370403969858E-3</v>
      </c>
      <c r="CL868" s="82" t="e">
        <f t="shared" si="1008"/>
        <v>#N/A</v>
      </c>
      <c r="CM868" s="82">
        <f t="shared" si="1009"/>
        <v>5.3070370403969858E-3</v>
      </c>
      <c r="CO868" s="149" t="str">
        <f>IF($I868&lt;&gt;"",IF(O868="User Specified",U868,INDEX('Refrigerant GWPs'!$G$2:$G$156,MATCH(O868,'Refrigerant GWPs'!$A$2:$A$156,0))),"")</f>
        <v/>
      </c>
      <c r="CP868" s="138" t="str">
        <f>IF($I868&lt;&gt;"",INDEX('Device Refrigerant Leakage'!$E$2:$E$42,MATCH($M868,'Device Refrigerant Leakage'!$B$2:$B$42,0)),"")</f>
        <v/>
      </c>
      <c r="CQ868" s="138" t="str">
        <f>IF($I868&lt;&gt;"",INDEX('Device Refrigerant Leakage'!$F$2:$F$42,MATCH($M868,'Device Refrigerant Leakage'!$B$2:$B$42,0)),"")</f>
        <v/>
      </c>
      <c r="CR868" s="145" t="str">
        <f>IF($I868&lt;&gt;"",INDEX('Device Refrigerant Leakage'!$G$2:$G$42,MATCH($M868,'Device Refrigerant Leakage'!$B$2:$B$42,0)),"")</f>
        <v/>
      </c>
      <c r="CS868" s="145" t="str">
        <f>IF($I868&lt;&gt;"",INDEX('Device Refrigerant Leakage'!$D$2:$D$42,MATCH($M868,'Device Refrigerant Leakage'!$B$2:$B$42,0))*CP868/2204.62*CO868,"")</f>
        <v/>
      </c>
      <c r="CT868" s="145" t="str">
        <f>IF($I868&lt;&gt;"",J868*(INDEX('Device Refrigerant Leakage'!$D$2:$D$42,MATCH($M868,'Device Refrigerant Leakage'!$B$2:$B$42,0))-(INDEX('Device Refrigerant Leakage'!$D$2:$D$42,MATCH($M868,'Device Refrigerant Leakage'!$B$2:$B$42,0)))*CR868*CP868)*CQ868/2204.62*CO868,"")</f>
        <v/>
      </c>
      <c r="CU868" s="135" t="str">
        <f>IF($I868&lt;&gt;"",J868*IF(W868&lt;&gt;"AR",(CS868*K868)+CT868,(CS868*AB868)+CT868*(AB868/INDEX('Device Refrigerant Leakage'!$C$2:$C$42,MATCH($M868,'Device Refrigerant Leakage'!$B$2:$B$42,0)))),"")</f>
        <v/>
      </c>
      <c r="CW868" s="135" t="str">
        <f>IF($I868&lt;&gt;"",IF(S868="User Specified",V868,INDEX('Refrigerant GWPs'!$G$2:$G$156,MATCH(S868,'Refrigerant GWPs'!$A$2:$A$157,0))),"")</f>
        <v/>
      </c>
      <c r="CX868" s="138" t="str">
        <f>IF($I868&lt;&gt;"",INDEX('Device Refrigerant Leakage'!$E$2:$E$42,MATCH($Q868,'Device Refrigerant Leakage'!$B$2:$B$42,0)),"")</f>
        <v/>
      </c>
      <c r="CY868" s="138" t="str">
        <f>IF($I868&lt;&gt;"",INDEX('Device Refrigerant Leakage'!$F$2:$F$42,MATCH($Q868,'Device Refrigerant Leakage'!$B$2:$B$42,0)),"")</f>
        <v/>
      </c>
      <c r="CZ868" s="145" t="str">
        <f>IF($I868&lt;&gt;"",INDEX('Device Refrigerant Leakage'!$G$2:$G$42,MATCH($Q868,'Device Refrigerant Leakage'!$B$2:$B$42,0)),"")</f>
        <v/>
      </c>
      <c r="DA868" s="145" t="str">
        <f>IF($I868&lt;&gt;"",J868*INDEX('Device Refrigerant Leakage'!$D$2:$D$42,MATCH($Q868,'Device Refrigerant Leakage'!$B$2:$B$42,0))*CX868/2204.62*CW868,"")</f>
        <v/>
      </c>
      <c r="DB868" s="145" t="str">
        <f>IF($I868&lt;&gt;"",J868*(INDEX('Device Refrigerant Leakage'!$D$2:$D$42,MATCH($Q868,'Device Refrigerant Leakage'!$B$2:$B$42,0))-(INDEX('Device Refrigerant Leakage'!$D$2:$D$42,MATCH($Q868,'Device Refrigerant Leakage'!$B$2:$B$42,0)))*CZ868*CX868)*CY868/2204.62*CW868,"")</f>
        <v/>
      </c>
      <c r="DC868" s="135" t="str">
        <f t="shared" si="1028"/>
        <v/>
      </c>
      <c r="DE868" s="146" t="str">
        <f>IF(W868&lt;&gt;"AR","",IF(Y868="User Specified", AA868, INDEX('Refrigerant GWPs'!$G$2:$G$154,MATCH(Y868,'Refrigerant GWPs'!$A$2:$A$154,0))))</f>
        <v/>
      </c>
      <c r="DF868" s="146" t="str">
        <f>IF(W868&lt;&gt;"AR","",INDEX('Device Refrigerant Leakage'!$E$2:$E$42,MATCH(X868,'Device Refrigerant Leakage'!$B$2:$B$42,0)))</f>
        <v/>
      </c>
      <c r="DG868" s="146" t="str">
        <f>IF(W868&lt;&gt;"AR","",INDEX('Device Refrigerant Leakage'!$F$2:$F$42,MATCH(X868,'Device Refrigerant Leakage'!$B$2:$B$42,0)))</f>
        <v/>
      </c>
      <c r="DH868" s="146" t="str">
        <f>IF(W868&lt;&gt;"AR","",INDEX('Device Refrigerant Leakage'!$G$2:$G$42,MATCH(X868,'Device Refrigerant Leakage'!$B$2:$B$42,0)))</f>
        <v/>
      </c>
      <c r="DI868" s="146" t="str">
        <f>IF(W868&lt;&gt;"AR","",J868*INDEX('Device Refrigerant Leakage'!$D$2:$D$42,MATCH(X868,'Device Refrigerant Leakage'!$B$2:$B$42,0))*DF868/2204.62*DE868)</f>
        <v/>
      </c>
      <c r="DJ868" s="146" t="str">
        <f>IF(W868&lt;&gt;"AR","",J868*(INDEX('Device Refrigerant Leakage'!$D$2:$D$42,MATCH(X868,'Device Refrigerant Leakage'!$B$2:$B$42,0))-(INDEX('Device Refrigerant Leakage'!$D$2:$D$42,MATCH(X868,'Device Refrigerant Leakage'!$B$2:$B$42,0)))*DH868*DF868)*DG868/2204.62*DE868)</f>
        <v/>
      </c>
      <c r="DK868" s="146" t="str">
        <f>IF(W868&lt;&gt;"AR","",DI868*(K868-AB868)+'Fuel Sub Calcs-Deemed'!DJ868*((K868-AB868)/INDEX('Device Refrigerant Leakage'!$C$2:$C$42,MATCH('Fuel Sub Calcs-Deemed'!X868,'Device Refrigerant Leakage'!$B$2:$B$42,0))))</f>
        <v/>
      </c>
      <c r="DM868" s="56">
        <v>854</v>
      </c>
      <c r="DN868" s="67" t="e">
        <f t="shared" si="1010"/>
        <v>#N/A</v>
      </c>
      <c r="DO868" s="45" t="e">
        <f t="shared" si="1011"/>
        <v>#N/A</v>
      </c>
      <c r="DP868" s="67" t="e">
        <f t="shared" si="1012"/>
        <v>#N/A</v>
      </c>
      <c r="DQ868" s="45" t="e">
        <f t="shared" si="1013"/>
        <v>#N/A</v>
      </c>
      <c r="DR868" s="69" t="e">
        <f t="shared" si="1014"/>
        <v>#N/A</v>
      </c>
      <c r="DS868" s="34"/>
      <c r="DT868" s="67" t="e">
        <f>((BX868*CJ868)+IF($W868=MAT_AR,(BZ868*CL868),0))*(1+Reference!$E$50+Reference!$E$51)</f>
        <v>#N/A</v>
      </c>
      <c r="DU868" s="67">
        <f>((BY868*CK868)+IF($W868=MAT_AR,(CA868*CM868),0))*(1+Reference!$G$50+Reference!$G$51)</f>
        <v>0</v>
      </c>
      <c r="DV868" s="67" t="e">
        <f t="shared" si="1015"/>
        <v>#VALUE!</v>
      </c>
      <c r="DX868" s="56">
        <v>854</v>
      </c>
      <c r="DY868" s="67">
        <f t="shared" si="1016"/>
        <v>0</v>
      </c>
      <c r="DZ868" s="45" t="e">
        <f>VLOOKUP($R868,Dropdown!$C$3:$D$4,2,FALSE)</f>
        <v>#N/A</v>
      </c>
      <c r="EA868" s="68">
        <f t="shared" si="1017"/>
        <v>0</v>
      </c>
      <c r="EB868" s="68" t="str">
        <f t="shared" si="1018"/>
        <v>N/A</v>
      </c>
      <c r="EC868" s="68">
        <f t="shared" si="1019"/>
        <v>0</v>
      </c>
      <c r="ED868" s="68" t="str">
        <f t="shared" si="1057"/>
        <v>N/A</v>
      </c>
      <c r="EF868" s="56">
        <v>854</v>
      </c>
      <c r="EG868" s="46">
        <f t="shared" si="1020"/>
        <v>0</v>
      </c>
      <c r="EH868" s="68" t="e">
        <f t="shared" si="1021"/>
        <v>#N/A</v>
      </c>
      <c r="EI868" s="68" t="e">
        <f t="shared" si="1022"/>
        <v>#N/A</v>
      </c>
      <c r="EJ868" s="68" t="e">
        <f t="shared" si="1023"/>
        <v>#N/A</v>
      </c>
      <c r="EK868" s="68" t="e">
        <f t="shared" si="1024"/>
        <v>#N/A</v>
      </c>
      <c r="EL868" s="46">
        <f t="shared" si="1025"/>
        <v>0</v>
      </c>
      <c r="EM868" s="46">
        <f t="shared" si="1026"/>
        <v>0</v>
      </c>
    </row>
    <row r="869" spans="1:143">
      <c r="A869" s="89"/>
      <c r="B869" s="89"/>
      <c r="C869" s="89"/>
      <c r="D869" s="89"/>
      <c r="E869" s="89"/>
      <c r="F869" s="89"/>
      <c r="G869" s="34"/>
      <c r="H869" s="56">
        <f t="shared" si="1027"/>
        <v>855</v>
      </c>
      <c r="I869" s="165"/>
      <c r="J869" s="163"/>
      <c r="K869" s="163"/>
      <c r="L869" s="164"/>
      <c r="M869" s="155"/>
      <c r="N869" s="155"/>
      <c r="O869" s="144"/>
      <c r="P869" s="159" t="str">
        <f>IFERROR(IF(O869&lt;&gt;"User Specified",IF(O869&lt;&gt;"", INDEX('Refrigerant GWPs'!$G$2:$G$154,MATCH(O869,'Refrigerant GWPs'!$A$2:$A$154,0)),""),U869),0)</f>
        <v/>
      </c>
      <c r="Q869" s="155"/>
      <c r="R869" s="155"/>
      <c r="S869" s="144"/>
      <c r="T869" s="159" t="str">
        <f>IF(S869&lt;&gt;"User Specified",IF(AND(S869&lt;&gt;"User Specified",S869&lt;&gt;""), INDEX('Refrigerant GWPs'!$G$2:$G$154,MATCH(S869,'Refrigerant GWPs'!$A$2:$A$154,0)),""),V869)</f>
        <v/>
      </c>
      <c r="U869" s="144"/>
      <c r="V869" s="144"/>
      <c r="W869" s="155"/>
      <c r="X869" s="155"/>
      <c r="Y869" s="144"/>
      <c r="Z869" s="159" t="str">
        <f>IF(AND(Y869&lt;&gt;"User Specified",Y869&lt;&gt;""), INDEX('Refrigerant GWPs'!$G$2:$G$154,MATCH(Y869,'Refrigerant GWPs'!$A$2:$A$154,0)),"")</f>
        <v/>
      </c>
      <c r="AA869" s="155"/>
      <c r="AB869" s="156"/>
      <c r="AC869" s="66"/>
      <c r="AD869" s="66"/>
      <c r="AE869" s="66"/>
      <c r="AF869" s="66"/>
      <c r="AG869" s="66"/>
      <c r="AH869" s="66"/>
      <c r="AI869" s="34"/>
      <c r="AJ869" s="88">
        <f t="shared" si="990"/>
        <v>0</v>
      </c>
      <c r="AK869" s="88">
        <f t="shared" si="991"/>
        <v>0</v>
      </c>
      <c r="AL869" s="88">
        <v>0</v>
      </c>
      <c r="AM869" s="88">
        <v>0</v>
      </c>
      <c r="AN869" s="81" t="str">
        <f t="shared" si="1029"/>
        <v/>
      </c>
      <c r="AO869" s="88">
        <f t="shared" si="992"/>
        <v>0</v>
      </c>
      <c r="AP869" s="88">
        <f t="shared" si="993"/>
        <v>0</v>
      </c>
      <c r="AQ869" s="81" t="str">
        <f t="shared" si="994"/>
        <v/>
      </c>
      <c r="AS869" s="41" t="b">
        <f t="shared" si="995"/>
        <v>1</v>
      </c>
      <c r="AT869" s="38">
        <f t="shared" si="996"/>
        <v>0</v>
      </c>
      <c r="AU869" s="60">
        <f t="shared" si="997"/>
        <v>0</v>
      </c>
      <c r="AV869" s="41">
        <f t="shared" si="998"/>
        <v>0</v>
      </c>
      <c r="AW869" s="41" t="b">
        <f t="shared" si="999"/>
        <v>0</v>
      </c>
      <c r="AX869" t="str">
        <f t="shared" si="1000"/>
        <v>+00</v>
      </c>
      <c r="AY869" t="str">
        <f t="shared" si="1001"/>
        <v>+00</v>
      </c>
      <c r="BA869" s="47" t="b">
        <f t="shared" si="1030"/>
        <v>1</v>
      </c>
      <c r="BB869" s="42" t="b">
        <f t="shared" si="1031"/>
        <v>1</v>
      </c>
      <c r="BC869" s="42" t="b">
        <f t="shared" si="1032"/>
        <v>0</v>
      </c>
      <c r="BD869" s="42" t="b">
        <f t="shared" si="1033"/>
        <v>0</v>
      </c>
      <c r="BE869" s="70">
        <f t="shared" si="1034"/>
        <v>0</v>
      </c>
      <c r="BF869" s="70">
        <f t="shared" si="1035"/>
        <v>0</v>
      </c>
      <c r="BG869" s="34"/>
      <c r="BI869" s="47" t="b">
        <f t="shared" si="1036"/>
        <v>1</v>
      </c>
      <c r="BJ869" s="47" t="b">
        <f t="shared" si="1037"/>
        <v>1</v>
      </c>
      <c r="BK869" s="42" t="b">
        <f t="shared" si="1038"/>
        <v>0</v>
      </c>
      <c r="BL869" s="42" t="b">
        <f t="shared" si="1039"/>
        <v>0</v>
      </c>
      <c r="BM869" s="42">
        <f t="shared" si="1040"/>
        <v>0</v>
      </c>
      <c r="BN869" s="42">
        <f t="shared" si="1041"/>
        <v>0</v>
      </c>
      <c r="BP869" t="e">
        <f t="shared" si="1042"/>
        <v>#N/A</v>
      </c>
      <c r="BQ869" t="e">
        <f t="shared" si="1043"/>
        <v>#N/A</v>
      </c>
      <c r="BR869" t="e">
        <f t="shared" si="1044"/>
        <v>#N/A</v>
      </c>
      <c r="BT869" s="60">
        <f t="shared" si="1045"/>
        <v>0</v>
      </c>
      <c r="BU869" s="60">
        <f t="shared" si="1046"/>
        <v>0</v>
      </c>
      <c r="BV869" s="60">
        <f t="shared" si="1047"/>
        <v>0</v>
      </c>
      <c r="BW869" s="60">
        <f t="shared" si="1048"/>
        <v>0</v>
      </c>
      <c r="BX869" s="60">
        <f t="shared" si="1049"/>
        <v>0</v>
      </c>
      <c r="BY869" s="60">
        <f t="shared" si="1050"/>
        <v>0</v>
      </c>
      <c r="BZ869" s="60">
        <f t="shared" si="1051"/>
        <v>0</v>
      </c>
      <c r="CA869" s="60">
        <f t="shared" si="1052"/>
        <v>0</v>
      </c>
      <c r="CB869" s="60" t="e">
        <f t="shared" si="1002"/>
        <v>#N/A</v>
      </c>
      <c r="CC869" s="60">
        <f t="shared" si="1003"/>
        <v>100000</v>
      </c>
      <c r="CD869" s="60" t="e">
        <f t="shared" si="1004"/>
        <v>#N/A</v>
      </c>
      <c r="CE869" s="60">
        <f t="shared" si="1005"/>
        <v>100000</v>
      </c>
      <c r="CF869" s="83" t="e">
        <f t="shared" si="1053"/>
        <v>#N/A</v>
      </c>
      <c r="CG869" s="83">
        <f t="shared" si="1054"/>
        <v>0</v>
      </c>
      <c r="CH869" s="83" t="e">
        <f t="shared" si="1055"/>
        <v>#N/A</v>
      </c>
      <c r="CI869" s="83">
        <f t="shared" si="1056"/>
        <v>0</v>
      </c>
      <c r="CJ869" s="86" t="e">
        <f t="shared" si="1006"/>
        <v>#N/A</v>
      </c>
      <c r="CK869" s="82">
        <f t="shared" si="1007"/>
        <v>5.3070370403969858E-3</v>
      </c>
      <c r="CL869" s="82" t="e">
        <f t="shared" si="1008"/>
        <v>#N/A</v>
      </c>
      <c r="CM869" s="82">
        <f t="shared" si="1009"/>
        <v>5.3070370403969858E-3</v>
      </c>
      <c r="CO869" s="149" t="str">
        <f>IF($I869&lt;&gt;"",IF(O869="User Specified",U869,INDEX('Refrigerant GWPs'!$G$2:$G$156,MATCH(O869,'Refrigerant GWPs'!$A$2:$A$156,0))),"")</f>
        <v/>
      </c>
      <c r="CP869" s="138" t="str">
        <f>IF($I869&lt;&gt;"",INDEX('Device Refrigerant Leakage'!$E$2:$E$42,MATCH($M869,'Device Refrigerant Leakage'!$B$2:$B$42,0)),"")</f>
        <v/>
      </c>
      <c r="CQ869" s="138" t="str">
        <f>IF($I869&lt;&gt;"",INDEX('Device Refrigerant Leakage'!$F$2:$F$42,MATCH($M869,'Device Refrigerant Leakage'!$B$2:$B$42,0)),"")</f>
        <v/>
      </c>
      <c r="CR869" s="145" t="str">
        <f>IF($I869&lt;&gt;"",INDEX('Device Refrigerant Leakage'!$G$2:$G$42,MATCH($M869,'Device Refrigerant Leakage'!$B$2:$B$42,0)),"")</f>
        <v/>
      </c>
      <c r="CS869" s="145" t="str">
        <f>IF($I869&lt;&gt;"",INDEX('Device Refrigerant Leakage'!$D$2:$D$42,MATCH($M869,'Device Refrigerant Leakage'!$B$2:$B$42,0))*CP869/2204.62*CO869,"")</f>
        <v/>
      </c>
      <c r="CT869" s="145" t="str">
        <f>IF($I869&lt;&gt;"",J869*(INDEX('Device Refrigerant Leakage'!$D$2:$D$42,MATCH($M869,'Device Refrigerant Leakage'!$B$2:$B$42,0))-(INDEX('Device Refrigerant Leakage'!$D$2:$D$42,MATCH($M869,'Device Refrigerant Leakage'!$B$2:$B$42,0)))*CR869*CP869)*CQ869/2204.62*CO869,"")</f>
        <v/>
      </c>
      <c r="CU869" s="135" t="str">
        <f>IF($I869&lt;&gt;"",J869*IF(W869&lt;&gt;"AR",(CS869*K869)+CT869,(CS869*AB869)+CT869*(AB869/INDEX('Device Refrigerant Leakage'!$C$2:$C$42,MATCH($M869,'Device Refrigerant Leakage'!$B$2:$B$42,0)))),"")</f>
        <v/>
      </c>
      <c r="CW869" s="135" t="str">
        <f>IF($I869&lt;&gt;"",IF(S869="User Specified",V869,INDEX('Refrigerant GWPs'!$G$2:$G$156,MATCH(S869,'Refrigerant GWPs'!$A$2:$A$157,0))),"")</f>
        <v/>
      </c>
      <c r="CX869" s="138" t="str">
        <f>IF($I869&lt;&gt;"",INDEX('Device Refrigerant Leakage'!$E$2:$E$42,MATCH($Q869,'Device Refrigerant Leakage'!$B$2:$B$42,0)),"")</f>
        <v/>
      </c>
      <c r="CY869" s="138" t="str">
        <f>IF($I869&lt;&gt;"",INDEX('Device Refrigerant Leakage'!$F$2:$F$42,MATCH($Q869,'Device Refrigerant Leakage'!$B$2:$B$42,0)),"")</f>
        <v/>
      </c>
      <c r="CZ869" s="145" t="str">
        <f>IF($I869&lt;&gt;"",INDEX('Device Refrigerant Leakage'!$G$2:$G$42,MATCH($Q869,'Device Refrigerant Leakage'!$B$2:$B$42,0)),"")</f>
        <v/>
      </c>
      <c r="DA869" s="145" t="str">
        <f>IF($I869&lt;&gt;"",J869*INDEX('Device Refrigerant Leakage'!$D$2:$D$42,MATCH($Q869,'Device Refrigerant Leakage'!$B$2:$B$42,0))*CX869/2204.62*CW869,"")</f>
        <v/>
      </c>
      <c r="DB869" s="145" t="str">
        <f>IF($I869&lt;&gt;"",J869*(INDEX('Device Refrigerant Leakage'!$D$2:$D$42,MATCH($Q869,'Device Refrigerant Leakage'!$B$2:$B$42,0))-(INDEX('Device Refrigerant Leakage'!$D$2:$D$42,MATCH($Q869,'Device Refrigerant Leakage'!$B$2:$B$42,0)))*CZ869*CX869)*CY869/2204.62*CW869,"")</f>
        <v/>
      </c>
      <c r="DC869" s="135" t="str">
        <f t="shared" si="1028"/>
        <v/>
      </c>
      <c r="DE869" s="146" t="str">
        <f>IF(W869&lt;&gt;"AR","",IF(Y869="User Specified", AA869, INDEX('Refrigerant GWPs'!$G$2:$G$154,MATCH(Y869,'Refrigerant GWPs'!$A$2:$A$154,0))))</f>
        <v/>
      </c>
      <c r="DF869" s="146" t="str">
        <f>IF(W869&lt;&gt;"AR","",INDEX('Device Refrigerant Leakage'!$E$2:$E$42,MATCH(X869,'Device Refrigerant Leakage'!$B$2:$B$42,0)))</f>
        <v/>
      </c>
      <c r="DG869" s="146" t="str">
        <f>IF(W869&lt;&gt;"AR","",INDEX('Device Refrigerant Leakage'!$F$2:$F$42,MATCH(X869,'Device Refrigerant Leakage'!$B$2:$B$42,0)))</f>
        <v/>
      </c>
      <c r="DH869" s="146" t="str">
        <f>IF(W869&lt;&gt;"AR","",INDEX('Device Refrigerant Leakage'!$G$2:$G$42,MATCH(X869,'Device Refrigerant Leakage'!$B$2:$B$42,0)))</f>
        <v/>
      </c>
      <c r="DI869" s="146" t="str">
        <f>IF(W869&lt;&gt;"AR","",J869*INDEX('Device Refrigerant Leakage'!$D$2:$D$42,MATCH(X869,'Device Refrigerant Leakage'!$B$2:$B$42,0))*DF869/2204.62*DE869)</f>
        <v/>
      </c>
      <c r="DJ869" s="146" t="str">
        <f>IF(W869&lt;&gt;"AR","",J869*(INDEX('Device Refrigerant Leakage'!$D$2:$D$42,MATCH(X869,'Device Refrigerant Leakage'!$B$2:$B$42,0))-(INDEX('Device Refrigerant Leakage'!$D$2:$D$42,MATCH(X869,'Device Refrigerant Leakage'!$B$2:$B$42,0)))*DH869*DF869)*DG869/2204.62*DE869)</f>
        <v/>
      </c>
      <c r="DK869" s="146" t="str">
        <f>IF(W869&lt;&gt;"AR","",DI869*(K869-AB869)+'Fuel Sub Calcs-Deemed'!DJ869*((K869-AB869)/INDEX('Device Refrigerant Leakage'!$C$2:$C$42,MATCH('Fuel Sub Calcs-Deemed'!X869,'Device Refrigerant Leakage'!$B$2:$B$42,0))))</f>
        <v/>
      </c>
      <c r="DM869" s="56">
        <v>855</v>
      </c>
      <c r="DN869" s="67" t="e">
        <f t="shared" si="1010"/>
        <v>#N/A</v>
      </c>
      <c r="DO869" s="45" t="e">
        <f t="shared" si="1011"/>
        <v>#N/A</v>
      </c>
      <c r="DP869" s="67" t="e">
        <f t="shared" si="1012"/>
        <v>#N/A</v>
      </c>
      <c r="DQ869" s="45" t="e">
        <f t="shared" si="1013"/>
        <v>#N/A</v>
      </c>
      <c r="DR869" s="69" t="e">
        <f t="shared" si="1014"/>
        <v>#N/A</v>
      </c>
      <c r="DS869" s="34"/>
      <c r="DT869" s="67" t="e">
        <f>((BX869*CJ869)+IF($W869=MAT_AR,(BZ869*CL869),0))*(1+Reference!$E$50+Reference!$E$51)</f>
        <v>#N/A</v>
      </c>
      <c r="DU869" s="67">
        <f>((BY869*CK869)+IF($W869=MAT_AR,(CA869*CM869),0))*(1+Reference!$G$50+Reference!$G$51)</f>
        <v>0</v>
      </c>
      <c r="DV869" s="67" t="e">
        <f t="shared" si="1015"/>
        <v>#VALUE!</v>
      </c>
      <c r="DX869" s="56">
        <v>855</v>
      </c>
      <c r="DY869" s="67">
        <f t="shared" si="1016"/>
        <v>0</v>
      </c>
      <c r="DZ869" s="45" t="e">
        <f>VLOOKUP($R869,Dropdown!$C$3:$D$4,2,FALSE)</f>
        <v>#N/A</v>
      </c>
      <c r="EA869" s="68">
        <f t="shared" si="1017"/>
        <v>0</v>
      </c>
      <c r="EB869" s="68" t="str">
        <f t="shared" si="1018"/>
        <v>N/A</v>
      </c>
      <c r="EC869" s="68">
        <f t="shared" si="1019"/>
        <v>0</v>
      </c>
      <c r="ED869" s="68" t="str">
        <f t="shared" si="1057"/>
        <v>N/A</v>
      </c>
      <c r="EF869" s="56">
        <v>855</v>
      </c>
      <c r="EG869" s="46">
        <f t="shared" si="1020"/>
        <v>0</v>
      </c>
      <c r="EH869" s="68" t="e">
        <f t="shared" si="1021"/>
        <v>#N/A</v>
      </c>
      <c r="EI869" s="68" t="e">
        <f t="shared" si="1022"/>
        <v>#N/A</v>
      </c>
      <c r="EJ869" s="68" t="e">
        <f t="shared" si="1023"/>
        <v>#N/A</v>
      </c>
      <c r="EK869" s="68" t="e">
        <f t="shared" si="1024"/>
        <v>#N/A</v>
      </c>
      <c r="EL869" s="46">
        <f t="shared" si="1025"/>
        <v>0</v>
      </c>
      <c r="EM869" s="46">
        <f t="shared" si="1026"/>
        <v>0</v>
      </c>
    </row>
    <row r="870" spans="1:143">
      <c r="A870" s="89"/>
      <c r="B870" s="89"/>
      <c r="C870" s="89"/>
      <c r="D870" s="89"/>
      <c r="E870" s="89"/>
      <c r="F870" s="89"/>
      <c r="G870" s="34"/>
      <c r="H870" s="56">
        <f t="shared" si="1027"/>
        <v>856</v>
      </c>
      <c r="I870" s="165"/>
      <c r="J870" s="163"/>
      <c r="K870" s="163"/>
      <c r="L870" s="164"/>
      <c r="M870" s="155"/>
      <c r="N870" s="155"/>
      <c r="O870" s="144"/>
      <c r="P870" s="159" t="str">
        <f>IFERROR(IF(O870&lt;&gt;"User Specified",IF(O870&lt;&gt;"", INDEX('Refrigerant GWPs'!$G$2:$G$154,MATCH(O870,'Refrigerant GWPs'!$A$2:$A$154,0)),""),U870),0)</f>
        <v/>
      </c>
      <c r="Q870" s="155"/>
      <c r="R870" s="155"/>
      <c r="S870" s="144"/>
      <c r="T870" s="159" t="str">
        <f>IF(S870&lt;&gt;"User Specified",IF(AND(S870&lt;&gt;"User Specified",S870&lt;&gt;""), INDEX('Refrigerant GWPs'!$G$2:$G$154,MATCH(S870,'Refrigerant GWPs'!$A$2:$A$154,0)),""),V870)</f>
        <v/>
      </c>
      <c r="U870" s="144"/>
      <c r="V870" s="144"/>
      <c r="W870" s="155"/>
      <c r="X870" s="155"/>
      <c r="Y870" s="144"/>
      <c r="Z870" s="159" t="str">
        <f>IF(AND(Y870&lt;&gt;"User Specified",Y870&lt;&gt;""), INDEX('Refrigerant GWPs'!$G$2:$G$154,MATCH(Y870,'Refrigerant GWPs'!$A$2:$A$154,0)),"")</f>
        <v/>
      </c>
      <c r="AA870" s="155"/>
      <c r="AB870" s="156"/>
      <c r="AC870" s="66"/>
      <c r="AD870" s="66"/>
      <c r="AE870" s="66"/>
      <c r="AF870" s="66"/>
      <c r="AG870" s="66"/>
      <c r="AH870" s="66"/>
      <c r="AI870" s="34"/>
      <c r="AJ870" s="88">
        <f t="shared" si="990"/>
        <v>0</v>
      </c>
      <c r="AK870" s="88">
        <f t="shared" si="991"/>
        <v>0</v>
      </c>
      <c r="AL870" s="88">
        <v>0</v>
      </c>
      <c r="AM870" s="88">
        <v>0</v>
      </c>
      <c r="AN870" s="81" t="str">
        <f t="shared" si="1029"/>
        <v/>
      </c>
      <c r="AO870" s="88">
        <f t="shared" si="992"/>
        <v>0</v>
      </c>
      <c r="AP870" s="88">
        <f t="shared" si="993"/>
        <v>0</v>
      </c>
      <c r="AQ870" s="81" t="str">
        <f t="shared" si="994"/>
        <v/>
      </c>
      <c r="AS870" s="41" t="b">
        <f t="shared" si="995"/>
        <v>1</v>
      </c>
      <c r="AT870" s="38">
        <f t="shared" si="996"/>
        <v>0</v>
      </c>
      <c r="AU870" s="60">
        <f t="shared" si="997"/>
        <v>0</v>
      </c>
      <c r="AV870" s="41">
        <f t="shared" si="998"/>
        <v>0</v>
      </c>
      <c r="AW870" s="41" t="b">
        <f t="shared" si="999"/>
        <v>0</v>
      </c>
      <c r="AX870" t="str">
        <f t="shared" si="1000"/>
        <v>+00</v>
      </c>
      <c r="AY870" t="str">
        <f t="shared" si="1001"/>
        <v>+00</v>
      </c>
      <c r="BA870" s="47" t="b">
        <f t="shared" si="1030"/>
        <v>1</v>
      </c>
      <c r="BB870" s="42" t="b">
        <f t="shared" si="1031"/>
        <v>1</v>
      </c>
      <c r="BC870" s="42" t="b">
        <f t="shared" si="1032"/>
        <v>0</v>
      </c>
      <c r="BD870" s="42" t="b">
        <f t="shared" si="1033"/>
        <v>0</v>
      </c>
      <c r="BE870" s="70">
        <f t="shared" si="1034"/>
        <v>0</v>
      </c>
      <c r="BF870" s="70">
        <f t="shared" si="1035"/>
        <v>0</v>
      </c>
      <c r="BG870" s="34"/>
      <c r="BI870" s="47" t="b">
        <f t="shared" si="1036"/>
        <v>1</v>
      </c>
      <c r="BJ870" s="47" t="b">
        <f t="shared" si="1037"/>
        <v>1</v>
      </c>
      <c r="BK870" s="42" t="b">
        <f t="shared" si="1038"/>
        <v>0</v>
      </c>
      <c r="BL870" s="42" t="b">
        <f t="shared" si="1039"/>
        <v>0</v>
      </c>
      <c r="BM870" s="42">
        <f t="shared" si="1040"/>
        <v>0</v>
      </c>
      <c r="BN870" s="42">
        <f t="shared" si="1041"/>
        <v>0</v>
      </c>
      <c r="BP870" t="e">
        <f t="shared" si="1042"/>
        <v>#N/A</v>
      </c>
      <c r="BQ870" t="e">
        <f t="shared" si="1043"/>
        <v>#N/A</v>
      </c>
      <c r="BR870" t="e">
        <f t="shared" si="1044"/>
        <v>#N/A</v>
      </c>
      <c r="BT870" s="60">
        <f t="shared" si="1045"/>
        <v>0</v>
      </c>
      <c r="BU870" s="60">
        <f t="shared" si="1046"/>
        <v>0</v>
      </c>
      <c r="BV870" s="60">
        <f t="shared" si="1047"/>
        <v>0</v>
      </c>
      <c r="BW870" s="60">
        <f t="shared" si="1048"/>
        <v>0</v>
      </c>
      <c r="BX870" s="60">
        <f t="shared" si="1049"/>
        <v>0</v>
      </c>
      <c r="BY870" s="60">
        <f t="shared" si="1050"/>
        <v>0</v>
      </c>
      <c r="BZ870" s="60">
        <f t="shared" si="1051"/>
        <v>0</v>
      </c>
      <c r="CA870" s="60">
        <f t="shared" si="1052"/>
        <v>0</v>
      </c>
      <c r="CB870" s="60" t="e">
        <f t="shared" si="1002"/>
        <v>#N/A</v>
      </c>
      <c r="CC870" s="60">
        <f t="shared" si="1003"/>
        <v>100000</v>
      </c>
      <c r="CD870" s="60" t="e">
        <f t="shared" si="1004"/>
        <v>#N/A</v>
      </c>
      <c r="CE870" s="60">
        <f t="shared" si="1005"/>
        <v>100000</v>
      </c>
      <c r="CF870" s="83" t="e">
        <f t="shared" si="1053"/>
        <v>#N/A</v>
      </c>
      <c r="CG870" s="83">
        <f t="shared" si="1054"/>
        <v>0</v>
      </c>
      <c r="CH870" s="83" t="e">
        <f t="shared" si="1055"/>
        <v>#N/A</v>
      </c>
      <c r="CI870" s="83">
        <f t="shared" si="1056"/>
        <v>0</v>
      </c>
      <c r="CJ870" s="86" t="e">
        <f t="shared" si="1006"/>
        <v>#N/A</v>
      </c>
      <c r="CK870" s="82">
        <f t="shared" si="1007"/>
        <v>5.3070370403969858E-3</v>
      </c>
      <c r="CL870" s="82" t="e">
        <f t="shared" si="1008"/>
        <v>#N/A</v>
      </c>
      <c r="CM870" s="82">
        <f t="shared" si="1009"/>
        <v>5.3070370403969858E-3</v>
      </c>
      <c r="CO870" s="149" t="str">
        <f>IF($I870&lt;&gt;"",IF(O870="User Specified",U870,INDEX('Refrigerant GWPs'!$G$2:$G$156,MATCH(O870,'Refrigerant GWPs'!$A$2:$A$156,0))),"")</f>
        <v/>
      </c>
      <c r="CP870" s="138" t="str">
        <f>IF($I870&lt;&gt;"",INDEX('Device Refrigerant Leakage'!$E$2:$E$42,MATCH($M870,'Device Refrigerant Leakage'!$B$2:$B$42,0)),"")</f>
        <v/>
      </c>
      <c r="CQ870" s="138" t="str">
        <f>IF($I870&lt;&gt;"",INDEX('Device Refrigerant Leakage'!$F$2:$F$42,MATCH($M870,'Device Refrigerant Leakage'!$B$2:$B$42,0)),"")</f>
        <v/>
      </c>
      <c r="CR870" s="145" t="str">
        <f>IF($I870&lt;&gt;"",INDEX('Device Refrigerant Leakage'!$G$2:$G$42,MATCH($M870,'Device Refrigerant Leakage'!$B$2:$B$42,0)),"")</f>
        <v/>
      </c>
      <c r="CS870" s="145" t="str">
        <f>IF($I870&lt;&gt;"",INDEX('Device Refrigerant Leakage'!$D$2:$D$42,MATCH($M870,'Device Refrigerant Leakage'!$B$2:$B$42,0))*CP870/2204.62*CO870,"")</f>
        <v/>
      </c>
      <c r="CT870" s="145" t="str">
        <f>IF($I870&lt;&gt;"",J870*(INDEX('Device Refrigerant Leakage'!$D$2:$D$42,MATCH($M870,'Device Refrigerant Leakage'!$B$2:$B$42,0))-(INDEX('Device Refrigerant Leakage'!$D$2:$D$42,MATCH($M870,'Device Refrigerant Leakage'!$B$2:$B$42,0)))*CR870*CP870)*CQ870/2204.62*CO870,"")</f>
        <v/>
      </c>
      <c r="CU870" s="135" t="str">
        <f>IF($I870&lt;&gt;"",J870*IF(W870&lt;&gt;"AR",(CS870*K870)+CT870,(CS870*AB870)+CT870*(AB870/INDEX('Device Refrigerant Leakage'!$C$2:$C$42,MATCH($M870,'Device Refrigerant Leakage'!$B$2:$B$42,0)))),"")</f>
        <v/>
      </c>
      <c r="CW870" s="135" t="str">
        <f>IF($I870&lt;&gt;"",IF(S870="User Specified",V870,INDEX('Refrigerant GWPs'!$G$2:$G$156,MATCH(S870,'Refrigerant GWPs'!$A$2:$A$157,0))),"")</f>
        <v/>
      </c>
      <c r="CX870" s="138" t="str">
        <f>IF($I870&lt;&gt;"",INDEX('Device Refrigerant Leakage'!$E$2:$E$42,MATCH($Q870,'Device Refrigerant Leakage'!$B$2:$B$42,0)),"")</f>
        <v/>
      </c>
      <c r="CY870" s="138" t="str">
        <f>IF($I870&lt;&gt;"",INDEX('Device Refrigerant Leakage'!$F$2:$F$42,MATCH($Q870,'Device Refrigerant Leakage'!$B$2:$B$42,0)),"")</f>
        <v/>
      </c>
      <c r="CZ870" s="145" t="str">
        <f>IF($I870&lt;&gt;"",INDEX('Device Refrigerant Leakage'!$G$2:$G$42,MATCH($Q870,'Device Refrigerant Leakage'!$B$2:$B$42,0)),"")</f>
        <v/>
      </c>
      <c r="DA870" s="145" t="str">
        <f>IF($I870&lt;&gt;"",J870*INDEX('Device Refrigerant Leakage'!$D$2:$D$42,MATCH($Q870,'Device Refrigerant Leakage'!$B$2:$B$42,0))*CX870/2204.62*CW870,"")</f>
        <v/>
      </c>
      <c r="DB870" s="145" t="str">
        <f>IF($I870&lt;&gt;"",J870*(INDEX('Device Refrigerant Leakage'!$D$2:$D$42,MATCH($Q870,'Device Refrigerant Leakage'!$B$2:$B$42,0))-(INDEX('Device Refrigerant Leakage'!$D$2:$D$42,MATCH($Q870,'Device Refrigerant Leakage'!$B$2:$B$42,0)))*CZ870*CX870)*CY870/2204.62*CW870,"")</f>
        <v/>
      </c>
      <c r="DC870" s="135" t="str">
        <f t="shared" si="1028"/>
        <v/>
      </c>
      <c r="DE870" s="146" t="str">
        <f>IF(W870&lt;&gt;"AR","",IF(Y870="User Specified", AA870, INDEX('Refrigerant GWPs'!$G$2:$G$154,MATCH(Y870,'Refrigerant GWPs'!$A$2:$A$154,0))))</f>
        <v/>
      </c>
      <c r="DF870" s="146" t="str">
        <f>IF(W870&lt;&gt;"AR","",INDEX('Device Refrigerant Leakage'!$E$2:$E$42,MATCH(X870,'Device Refrigerant Leakage'!$B$2:$B$42,0)))</f>
        <v/>
      </c>
      <c r="DG870" s="146" t="str">
        <f>IF(W870&lt;&gt;"AR","",INDEX('Device Refrigerant Leakage'!$F$2:$F$42,MATCH(X870,'Device Refrigerant Leakage'!$B$2:$B$42,0)))</f>
        <v/>
      </c>
      <c r="DH870" s="146" t="str">
        <f>IF(W870&lt;&gt;"AR","",INDEX('Device Refrigerant Leakage'!$G$2:$G$42,MATCH(X870,'Device Refrigerant Leakage'!$B$2:$B$42,0)))</f>
        <v/>
      </c>
      <c r="DI870" s="146" t="str">
        <f>IF(W870&lt;&gt;"AR","",J870*INDEX('Device Refrigerant Leakage'!$D$2:$D$42,MATCH(X870,'Device Refrigerant Leakage'!$B$2:$B$42,0))*DF870/2204.62*DE870)</f>
        <v/>
      </c>
      <c r="DJ870" s="146" t="str">
        <f>IF(W870&lt;&gt;"AR","",J870*(INDEX('Device Refrigerant Leakage'!$D$2:$D$42,MATCH(X870,'Device Refrigerant Leakage'!$B$2:$B$42,0))-(INDEX('Device Refrigerant Leakage'!$D$2:$D$42,MATCH(X870,'Device Refrigerant Leakage'!$B$2:$B$42,0)))*DH870*DF870)*DG870/2204.62*DE870)</f>
        <v/>
      </c>
      <c r="DK870" s="146" t="str">
        <f>IF(W870&lt;&gt;"AR","",DI870*(K870-AB870)+'Fuel Sub Calcs-Deemed'!DJ870*((K870-AB870)/INDEX('Device Refrigerant Leakage'!$C$2:$C$42,MATCH('Fuel Sub Calcs-Deemed'!X870,'Device Refrigerant Leakage'!$B$2:$B$42,0))))</f>
        <v/>
      </c>
      <c r="DM870" s="56">
        <v>856</v>
      </c>
      <c r="DN870" s="67" t="e">
        <f t="shared" si="1010"/>
        <v>#N/A</v>
      </c>
      <c r="DO870" s="45" t="e">
        <f t="shared" si="1011"/>
        <v>#N/A</v>
      </c>
      <c r="DP870" s="67" t="e">
        <f t="shared" si="1012"/>
        <v>#N/A</v>
      </c>
      <c r="DQ870" s="45" t="e">
        <f t="shared" si="1013"/>
        <v>#N/A</v>
      </c>
      <c r="DR870" s="69" t="e">
        <f t="shared" si="1014"/>
        <v>#N/A</v>
      </c>
      <c r="DS870" s="34"/>
      <c r="DT870" s="67" t="e">
        <f>((BX870*CJ870)+IF($W870=MAT_AR,(BZ870*CL870),0))*(1+Reference!$E$50+Reference!$E$51)</f>
        <v>#N/A</v>
      </c>
      <c r="DU870" s="67">
        <f>((BY870*CK870)+IF($W870=MAT_AR,(CA870*CM870),0))*(1+Reference!$G$50+Reference!$G$51)</f>
        <v>0</v>
      </c>
      <c r="DV870" s="67" t="e">
        <f t="shared" si="1015"/>
        <v>#VALUE!</v>
      </c>
      <c r="DX870" s="56">
        <v>856</v>
      </c>
      <c r="DY870" s="67">
        <f t="shared" si="1016"/>
        <v>0</v>
      </c>
      <c r="DZ870" s="45" t="e">
        <f>VLOOKUP($R870,Dropdown!$C$3:$D$4,2,FALSE)</f>
        <v>#N/A</v>
      </c>
      <c r="EA870" s="68">
        <f t="shared" si="1017"/>
        <v>0</v>
      </c>
      <c r="EB870" s="68" t="str">
        <f t="shared" si="1018"/>
        <v>N/A</v>
      </c>
      <c r="EC870" s="68">
        <f t="shared" si="1019"/>
        <v>0</v>
      </c>
      <c r="ED870" s="68" t="str">
        <f t="shared" si="1057"/>
        <v>N/A</v>
      </c>
      <c r="EF870" s="56">
        <v>856</v>
      </c>
      <c r="EG870" s="46">
        <f t="shared" si="1020"/>
        <v>0</v>
      </c>
      <c r="EH870" s="68" t="e">
        <f t="shared" si="1021"/>
        <v>#N/A</v>
      </c>
      <c r="EI870" s="68" t="e">
        <f t="shared" si="1022"/>
        <v>#N/A</v>
      </c>
      <c r="EJ870" s="68" t="e">
        <f t="shared" si="1023"/>
        <v>#N/A</v>
      </c>
      <c r="EK870" s="68" t="e">
        <f t="shared" si="1024"/>
        <v>#N/A</v>
      </c>
      <c r="EL870" s="46">
        <f t="shared" si="1025"/>
        <v>0</v>
      </c>
      <c r="EM870" s="46">
        <f t="shared" si="1026"/>
        <v>0</v>
      </c>
    </row>
    <row r="871" spans="1:143">
      <c r="A871" s="89"/>
      <c r="B871" s="89"/>
      <c r="C871" s="89"/>
      <c r="D871" s="89"/>
      <c r="E871" s="89"/>
      <c r="F871" s="89"/>
      <c r="G871" s="34"/>
      <c r="H871" s="56">
        <f t="shared" si="1027"/>
        <v>857</v>
      </c>
      <c r="I871" s="165"/>
      <c r="J871" s="163"/>
      <c r="K871" s="163"/>
      <c r="L871" s="164"/>
      <c r="M871" s="155"/>
      <c r="N871" s="155"/>
      <c r="O871" s="144"/>
      <c r="P871" s="159" t="str">
        <f>IFERROR(IF(O871&lt;&gt;"User Specified",IF(O871&lt;&gt;"", INDEX('Refrigerant GWPs'!$G$2:$G$154,MATCH(O871,'Refrigerant GWPs'!$A$2:$A$154,0)),""),U871),0)</f>
        <v/>
      </c>
      <c r="Q871" s="155"/>
      <c r="R871" s="155"/>
      <c r="S871" s="144"/>
      <c r="T871" s="159" t="str">
        <f>IF(S871&lt;&gt;"User Specified",IF(AND(S871&lt;&gt;"User Specified",S871&lt;&gt;""), INDEX('Refrigerant GWPs'!$G$2:$G$154,MATCH(S871,'Refrigerant GWPs'!$A$2:$A$154,0)),""),V871)</f>
        <v/>
      </c>
      <c r="U871" s="144"/>
      <c r="V871" s="144"/>
      <c r="W871" s="155"/>
      <c r="X871" s="155"/>
      <c r="Y871" s="144"/>
      <c r="Z871" s="159" t="str">
        <f>IF(AND(Y871&lt;&gt;"User Specified",Y871&lt;&gt;""), INDEX('Refrigerant GWPs'!$G$2:$G$154,MATCH(Y871,'Refrigerant GWPs'!$A$2:$A$154,0)),"")</f>
        <v/>
      </c>
      <c r="AA871" s="155"/>
      <c r="AB871" s="156"/>
      <c r="AC871" s="66"/>
      <c r="AD871" s="66"/>
      <c r="AE871" s="66"/>
      <c r="AF871" s="66"/>
      <c r="AG871" s="66"/>
      <c r="AH871" s="66"/>
      <c r="AI871" s="34"/>
      <c r="AJ871" s="88">
        <f t="shared" si="990"/>
        <v>0</v>
      </c>
      <c r="AK871" s="88">
        <f t="shared" si="991"/>
        <v>0</v>
      </c>
      <c r="AL871" s="88">
        <v>0</v>
      </c>
      <c r="AM871" s="88">
        <v>0</v>
      </c>
      <c r="AN871" s="81" t="str">
        <f t="shared" si="1029"/>
        <v/>
      </c>
      <c r="AO871" s="88">
        <f t="shared" si="992"/>
        <v>0</v>
      </c>
      <c r="AP871" s="88">
        <f t="shared" si="993"/>
        <v>0</v>
      </c>
      <c r="AQ871" s="81" t="str">
        <f t="shared" si="994"/>
        <v/>
      </c>
      <c r="AS871" s="41" t="b">
        <f t="shared" si="995"/>
        <v>1</v>
      </c>
      <c r="AT871" s="38">
        <f t="shared" si="996"/>
        <v>0</v>
      </c>
      <c r="AU871" s="60">
        <f t="shared" si="997"/>
        <v>0</v>
      </c>
      <c r="AV871" s="41">
        <f t="shared" si="998"/>
        <v>0</v>
      </c>
      <c r="AW871" s="41" t="b">
        <f t="shared" si="999"/>
        <v>0</v>
      </c>
      <c r="AX871" t="str">
        <f t="shared" si="1000"/>
        <v>+00</v>
      </c>
      <c r="AY871" t="str">
        <f t="shared" si="1001"/>
        <v>+00</v>
      </c>
      <c r="BA871" s="47" t="b">
        <f t="shared" si="1030"/>
        <v>1</v>
      </c>
      <c r="BB871" s="42" t="b">
        <f t="shared" si="1031"/>
        <v>1</v>
      </c>
      <c r="BC871" s="42" t="b">
        <f t="shared" si="1032"/>
        <v>0</v>
      </c>
      <c r="BD871" s="42" t="b">
        <f t="shared" si="1033"/>
        <v>0</v>
      </c>
      <c r="BE871" s="70">
        <f t="shared" si="1034"/>
        <v>0</v>
      </c>
      <c r="BF871" s="70">
        <f t="shared" si="1035"/>
        <v>0</v>
      </c>
      <c r="BG871" s="34"/>
      <c r="BI871" s="47" t="b">
        <f t="shared" si="1036"/>
        <v>1</v>
      </c>
      <c r="BJ871" s="47" t="b">
        <f t="shared" si="1037"/>
        <v>1</v>
      </c>
      <c r="BK871" s="42" t="b">
        <f t="shared" si="1038"/>
        <v>0</v>
      </c>
      <c r="BL871" s="42" t="b">
        <f t="shared" si="1039"/>
        <v>0</v>
      </c>
      <c r="BM871" s="42">
        <f t="shared" si="1040"/>
        <v>0</v>
      </c>
      <c r="BN871" s="42">
        <f t="shared" si="1041"/>
        <v>0</v>
      </c>
      <c r="BP871" t="e">
        <f t="shared" si="1042"/>
        <v>#N/A</v>
      </c>
      <c r="BQ871" t="e">
        <f t="shared" si="1043"/>
        <v>#N/A</v>
      </c>
      <c r="BR871" t="e">
        <f t="shared" si="1044"/>
        <v>#N/A</v>
      </c>
      <c r="BT871" s="60">
        <f t="shared" si="1045"/>
        <v>0</v>
      </c>
      <c r="BU871" s="60">
        <f t="shared" si="1046"/>
        <v>0</v>
      </c>
      <c r="BV871" s="60">
        <f t="shared" si="1047"/>
        <v>0</v>
      </c>
      <c r="BW871" s="60">
        <f t="shared" si="1048"/>
        <v>0</v>
      </c>
      <c r="BX871" s="60">
        <f t="shared" si="1049"/>
        <v>0</v>
      </c>
      <c r="BY871" s="60">
        <f t="shared" si="1050"/>
        <v>0</v>
      </c>
      <c r="BZ871" s="60">
        <f t="shared" si="1051"/>
        <v>0</v>
      </c>
      <c r="CA871" s="60">
        <f t="shared" si="1052"/>
        <v>0</v>
      </c>
      <c r="CB871" s="60" t="e">
        <f t="shared" si="1002"/>
        <v>#N/A</v>
      </c>
      <c r="CC871" s="60">
        <f t="shared" si="1003"/>
        <v>100000</v>
      </c>
      <c r="CD871" s="60" t="e">
        <f t="shared" si="1004"/>
        <v>#N/A</v>
      </c>
      <c r="CE871" s="60">
        <f t="shared" si="1005"/>
        <v>100000</v>
      </c>
      <c r="CF871" s="83" t="e">
        <f t="shared" si="1053"/>
        <v>#N/A</v>
      </c>
      <c r="CG871" s="83">
        <f t="shared" si="1054"/>
        <v>0</v>
      </c>
      <c r="CH871" s="83" t="e">
        <f t="shared" si="1055"/>
        <v>#N/A</v>
      </c>
      <c r="CI871" s="83">
        <f t="shared" si="1056"/>
        <v>0</v>
      </c>
      <c r="CJ871" s="86" t="e">
        <f t="shared" si="1006"/>
        <v>#N/A</v>
      </c>
      <c r="CK871" s="82">
        <f t="shared" si="1007"/>
        <v>5.3070370403969858E-3</v>
      </c>
      <c r="CL871" s="82" t="e">
        <f t="shared" si="1008"/>
        <v>#N/A</v>
      </c>
      <c r="CM871" s="82">
        <f t="shared" si="1009"/>
        <v>5.3070370403969858E-3</v>
      </c>
      <c r="CO871" s="149" t="str">
        <f>IF($I871&lt;&gt;"",IF(O871="User Specified",U871,INDEX('Refrigerant GWPs'!$G$2:$G$156,MATCH(O871,'Refrigerant GWPs'!$A$2:$A$156,0))),"")</f>
        <v/>
      </c>
      <c r="CP871" s="138" t="str">
        <f>IF($I871&lt;&gt;"",INDEX('Device Refrigerant Leakage'!$E$2:$E$42,MATCH($M871,'Device Refrigerant Leakage'!$B$2:$B$42,0)),"")</f>
        <v/>
      </c>
      <c r="CQ871" s="138" t="str">
        <f>IF($I871&lt;&gt;"",INDEX('Device Refrigerant Leakage'!$F$2:$F$42,MATCH($M871,'Device Refrigerant Leakage'!$B$2:$B$42,0)),"")</f>
        <v/>
      </c>
      <c r="CR871" s="145" t="str">
        <f>IF($I871&lt;&gt;"",INDEX('Device Refrigerant Leakage'!$G$2:$G$42,MATCH($M871,'Device Refrigerant Leakage'!$B$2:$B$42,0)),"")</f>
        <v/>
      </c>
      <c r="CS871" s="145" t="str">
        <f>IF($I871&lt;&gt;"",INDEX('Device Refrigerant Leakage'!$D$2:$D$42,MATCH($M871,'Device Refrigerant Leakage'!$B$2:$B$42,0))*CP871/2204.62*CO871,"")</f>
        <v/>
      </c>
      <c r="CT871" s="145" t="str">
        <f>IF($I871&lt;&gt;"",J871*(INDEX('Device Refrigerant Leakage'!$D$2:$D$42,MATCH($M871,'Device Refrigerant Leakage'!$B$2:$B$42,0))-(INDEX('Device Refrigerant Leakage'!$D$2:$D$42,MATCH($M871,'Device Refrigerant Leakage'!$B$2:$B$42,0)))*CR871*CP871)*CQ871/2204.62*CO871,"")</f>
        <v/>
      </c>
      <c r="CU871" s="135" t="str">
        <f>IF($I871&lt;&gt;"",J871*IF(W871&lt;&gt;"AR",(CS871*K871)+CT871,(CS871*AB871)+CT871*(AB871/INDEX('Device Refrigerant Leakage'!$C$2:$C$42,MATCH($M871,'Device Refrigerant Leakage'!$B$2:$B$42,0)))),"")</f>
        <v/>
      </c>
      <c r="CW871" s="135" t="str">
        <f>IF($I871&lt;&gt;"",IF(S871="User Specified",V871,INDEX('Refrigerant GWPs'!$G$2:$G$156,MATCH(S871,'Refrigerant GWPs'!$A$2:$A$157,0))),"")</f>
        <v/>
      </c>
      <c r="CX871" s="138" t="str">
        <f>IF($I871&lt;&gt;"",INDEX('Device Refrigerant Leakage'!$E$2:$E$42,MATCH($Q871,'Device Refrigerant Leakage'!$B$2:$B$42,0)),"")</f>
        <v/>
      </c>
      <c r="CY871" s="138" t="str">
        <f>IF($I871&lt;&gt;"",INDEX('Device Refrigerant Leakage'!$F$2:$F$42,MATCH($Q871,'Device Refrigerant Leakage'!$B$2:$B$42,0)),"")</f>
        <v/>
      </c>
      <c r="CZ871" s="145" t="str">
        <f>IF($I871&lt;&gt;"",INDEX('Device Refrigerant Leakage'!$G$2:$G$42,MATCH($Q871,'Device Refrigerant Leakage'!$B$2:$B$42,0)),"")</f>
        <v/>
      </c>
      <c r="DA871" s="145" t="str">
        <f>IF($I871&lt;&gt;"",J871*INDEX('Device Refrigerant Leakage'!$D$2:$D$42,MATCH($Q871,'Device Refrigerant Leakage'!$B$2:$B$42,0))*CX871/2204.62*CW871,"")</f>
        <v/>
      </c>
      <c r="DB871" s="145" t="str">
        <f>IF($I871&lt;&gt;"",J871*(INDEX('Device Refrigerant Leakage'!$D$2:$D$42,MATCH($Q871,'Device Refrigerant Leakage'!$B$2:$B$42,0))-(INDEX('Device Refrigerant Leakage'!$D$2:$D$42,MATCH($Q871,'Device Refrigerant Leakage'!$B$2:$B$42,0)))*CZ871*CX871)*CY871/2204.62*CW871,"")</f>
        <v/>
      </c>
      <c r="DC871" s="135" t="str">
        <f t="shared" si="1028"/>
        <v/>
      </c>
      <c r="DE871" s="146" t="str">
        <f>IF(W871&lt;&gt;"AR","",IF(Y871="User Specified", AA871, INDEX('Refrigerant GWPs'!$G$2:$G$154,MATCH(Y871,'Refrigerant GWPs'!$A$2:$A$154,0))))</f>
        <v/>
      </c>
      <c r="DF871" s="146" t="str">
        <f>IF(W871&lt;&gt;"AR","",INDEX('Device Refrigerant Leakage'!$E$2:$E$42,MATCH(X871,'Device Refrigerant Leakage'!$B$2:$B$42,0)))</f>
        <v/>
      </c>
      <c r="DG871" s="146" t="str">
        <f>IF(W871&lt;&gt;"AR","",INDEX('Device Refrigerant Leakage'!$F$2:$F$42,MATCH(X871,'Device Refrigerant Leakage'!$B$2:$B$42,0)))</f>
        <v/>
      </c>
      <c r="DH871" s="146" t="str">
        <f>IF(W871&lt;&gt;"AR","",INDEX('Device Refrigerant Leakage'!$G$2:$G$42,MATCH(X871,'Device Refrigerant Leakage'!$B$2:$B$42,0)))</f>
        <v/>
      </c>
      <c r="DI871" s="146" t="str">
        <f>IF(W871&lt;&gt;"AR","",J871*INDEX('Device Refrigerant Leakage'!$D$2:$D$42,MATCH(X871,'Device Refrigerant Leakage'!$B$2:$B$42,0))*DF871/2204.62*DE871)</f>
        <v/>
      </c>
      <c r="DJ871" s="146" t="str">
        <f>IF(W871&lt;&gt;"AR","",J871*(INDEX('Device Refrigerant Leakage'!$D$2:$D$42,MATCH(X871,'Device Refrigerant Leakage'!$B$2:$B$42,0))-(INDEX('Device Refrigerant Leakage'!$D$2:$D$42,MATCH(X871,'Device Refrigerant Leakage'!$B$2:$B$42,0)))*DH871*DF871)*DG871/2204.62*DE871)</f>
        <v/>
      </c>
      <c r="DK871" s="146" t="str">
        <f>IF(W871&lt;&gt;"AR","",DI871*(K871-AB871)+'Fuel Sub Calcs-Deemed'!DJ871*((K871-AB871)/INDEX('Device Refrigerant Leakage'!$C$2:$C$42,MATCH('Fuel Sub Calcs-Deemed'!X871,'Device Refrigerant Leakage'!$B$2:$B$42,0))))</f>
        <v/>
      </c>
      <c r="DM871" s="56">
        <v>857</v>
      </c>
      <c r="DN871" s="67" t="e">
        <f t="shared" si="1010"/>
        <v>#N/A</v>
      </c>
      <c r="DO871" s="45" t="e">
        <f t="shared" si="1011"/>
        <v>#N/A</v>
      </c>
      <c r="DP871" s="67" t="e">
        <f t="shared" si="1012"/>
        <v>#N/A</v>
      </c>
      <c r="DQ871" s="45" t="e">
        <f t="shared" si="1013"/>
        <v>#N/A</v>
      </c>
      <c r="DR871" s="69" t="e">
        <f t="shared" si="1014"/>
        <v>#N/A</v>
      </c>
      <c r="DS871" s="34"/>
      <c r="DT871" s="67" t="e">
        <f>((BX871*CJ871)+IF($W871=MAT_AR,(BZ871*CL871),0))*(1+Reference!$E$50+Reference!$E$51)</f>
        <v>#N/A</v>
      </c>
      <c r="DU871" s="67">
        <f>((BY871*CK871)+IF($W871=MAT_AR,(CA871*CM871),0))*(1+Reference!$G$50+Reference!$G$51)</f>
        <v>0</v>
      </c>
      <c r="DV871" s="67" t="e">
        <f t="shared" si="1015"/>
        <v>#VALUE!</v>
      </c>
      <c r="DX871" s="56">
        <v>857</v>
      </c>
      <c r="DY871" s="67">
        <f t="shared" si="1016"/>
        <v>0</v>
      </c>
      <c r="DZ871" s="45" t="e">
        <f>VLOOKUP($R871,Dropdown!$C$3:$D$4,2,FALSE)</f>
        <v>#N/A</v>
      </c>
      <c r="EA871" s="68">
        <f t="shared" si="1017"/>
        <v>0</v>
      </c>
      <c r="EB871" s="68" t="str">
        <f t="shared" si="1018"/>
        <v>N/A</v>
      </c>
      <c r="EC871" s="68">
        <f t="shared" si="1019"/>
        <v>0</v>
      </c>
      <c r="ED871" s="68" t="str">
        <f t="shared" si="1057"/>
        <v>N/A</v>
      </c>
      <c r="EF871" s="56">
        <v>857</v>
      </c>
      <c r="EG871" s="46">
        <f t="shared" si="1020"/>
        <v>0</v>
      </c>
      <c r="EH871" s="68" t="e">
        <f t="shared" si="1021"/>
        <v>#N/A</v>
      </c>
      <c r="EI871" s="68" t="e">
        <f t="shared" si="1022"/>
        <v>#N/A</v>
      </c>
      <c r="EJ871" s="68" t="e">
        <f t="shared" si="1023"/>
        <v>#N/A</v>
      </c>
      <c r="EK871" s="68" t="e">
        <f t="shared" si="1024"/>
        <v>#N/A</v>
      </c>
      <c r="EL871" s="46">
        <f t="shared" si="1025"/>
        <v>0</v>
      </c>
      <c r="EM871" s="46">
        <f t="shared" si="1026"/>
        <v>0</v>
      </c>
    </row>
    <row r="872" spans="1:143">
      <c r="A872" s="89"/>
      <c r="B872" s="89"/>
      <c r="C872" s="89"/>
      <c r="D872" s="89"/>
      <c r="E872" s="89"/>
      <c r="F872" s="89"/>
      <c r="G872" s="34"/>
      <c r="H872" s="56">
        <f t="shared" si="1027"/>
        <v>858</v>
      </c>
      <c r="I872" s="165"/>
      <c r="J872" s="163"/>
      <c r="K872" s="163"/>
      <c r="L872" s="164"/>
      <c r="M872" s="155"/>
      <c r="N872" s="155"/>
      <c r="O872" s="144"/>
      <c r="P872" s="159" t="str">
        <f>IFERROR(IF(O872&lt;&gt;"User Specified",IF(O872&lt;&gt;"", INDEX('Refrigerant GWPs'!$G$2:$G$154,MATCH(O872,'Refrigerant GWPs'!$A$2:$A$154,0)),""),U872),0)</f>
        <v/>
      </c>
      <c r="Q872" s="155"/>
      <c r="R872" s="155"/>
      <c r="S872" s="144"/>
      <c r="T872" s="159" t="str">
        <f>IF(S872&lt;&gt;"User Specified",IF(AND(S872&lt;&gt;"User Specified",S872&lt;&gt;""), INDEX('Refrigerant GWPs'!$G$2:$G$154,MATCH(S872,'Refrigerant GWPs'!$A$2:$A$154,0)),""),V872)</f>
        <v/>
      </c>
      <c r="U872" s="144"/>
      <c r="V872" s="144"/>
      <c r="W872" s="155"/>
      <c r="X872" s="155"/>
      <c r="Y872" s="144"/>
      <c r="Z872" s="159" t="str">
        <f>IF(AND(Y872&lt;&gt;"User Specified",Y872&lt;&gt;""), INDEX('Refrigerant GWPs'!$G$2:$G$154,MATCH(Y872,'Refrigerant GWPs'!$A$2:$A$154,0)),"")</f>
        <v/>
      </c>
      <c r="AA872" s="155"/>
      <c r="AB872" s="156"/>
      <c r="AC872" s="66"/>
      <c r="AD872" s="66"/>
      <c r="AE872" s="66"/>
      <c r="AF872" s="66"/>
      <c r="AG872" s="66"/>
      <c r="AH872" s="66"/>
      <c r="AI872" s="34"/>
      <c r="AJ872" s="88">
        <f t="shared" si="990"/>
        <v>0</v>
      </c>
      <c r="AK872" s="88">
        <f t="shared" si="991"/>
        <v>0</v>
      </c>
      <c r="AL872" s="88">
        <v>0</v>
      </c>
      <c r="AM872" s="88">
        <v>0</v>
      </c>
      <c r="AN872" s="81" t="str">
        <f t="shared" si="1029"/>
        <v/>
      </c>
      <c r="AO872" s="88">
        <f t="shared" si="992"/>
        <v>0</v>
      </c>
      <c r="AP872" s="88">
        <f t="shared" si="993"/>
        <v>0</v>
      </c>
      <c r="AQ872" s="81" t="str">
        <f t="shared" si="994"/>
        <v/>
      </c>
      <c r="AS872" s="41" t="b">
        <f t="shared" si="995"/>
        <v>1</v>
      </c>
      <c r="AT872" s="38">
        <f t="shared" si="996"/>
        <v>0</v>
      </c>
      <c r="AU872" s="60">
        <f t="shared" si="997"/>
        <v>0</v>
      </c>
      <c r="AV872" s="41">
        <f t="shared" si="998"/>
        <v>0</v>
      </c>
      <c r="AW872" s="41" t="b">
        <f t="shared" si="999"/>
        <v>0</v>
      </c>
      <c r="AX872" t="str">
        <f t="shared" si="1000"/>
        <v>+00</v>
      </c>
      <c r="AY872" t="str">
        <f t="shared" si="1001"/>
        <v>+00</v>
      </c>
      <c r="BA872" s="47" t="b">
        <f t="shared" si="1030"/>
        <v>1</v>
      </c>
      <c r="BB872" s="42" t="b">
        <f t="shared" si="1031"/>
        <v>1</v>
      </c>
      <c r="BC872" s="42" t="b">
        <f t="shared" si="1032"/>
        <v>0</v>
      </c>
      <c r="BD872" s="42" t="b">
        <f t="shared" si="1033"/>
        <v>0</v>
      </c>
      <c r="BE872" s="70">
        <f t="shared" si="1034"/>
        <v>0</v>
      </c>
      <c r="BF872" s="70">
        <f t="shared" si="1035"/>
        <v>0</v>
      </c>
      <c r="BG872" s="34"/>
      <c r="BI872" s="47" t="b">
        <f t="shared" si="1036"/>
        <v>1</v>
      </c>
      <c r="BJ872" s="47" t="b">
        <f t="shared" si="1037"/>
        <v>1</v>
      </c>
      <c r="BK872" s="42" t="b">
        <f t="shared" si="1038"/>
        <v>0</v>
      </c>
      <c r="BL872" s="42" t="b">
        <f t="shared" si="1039"/>
        <v>0</v>
      </c>
      <c r="BM872" s="42">
        <f t="shared" si="1040"/>
        <v>0</v>
      </c>
      <c r="BN872" s="42">
        <f t="shared" si="1041"/>
        <v>0</v>
      </c>
      <c r="BP872" t="e">
        <f t="shared" si="1042"/>
        <v>#N/A</v>
      </c>
      <c r="BQ872" t="e">
        <f t="shared" si="1043"/>
        <v>#N/A</v>
      </c>
      <c r="BR872" t="e">
        <f t="shared" si="1044"/>
        <v>#N/A</v>
      </c>
      <c r="BT872" s="60">
        <f t="shared" si="1045"/>
        <v>0</v>
      </c>
      <c r="BU872" s="60">
        <f t="shared" si="1046"/>
        <v>0</v>
      </c>
      <c r="BV872" s="60">
        <f t="shared" si="1047"/>
        <v>0</v>
      </c>
      <c r="BW872" s="60">
        <f t="shared" si="1048"/>
        <v>0</v>
      </c>
      <c r="BX872" s="60">
        <f t="shared" si="1049"/>
        <v>0</v>
      </c>
      <c r="BY872" s="60">
        <f t="shared" si="1050"/>
        <v>0</v>
      </c>
      <c r="BZ872" s="60">
        <f t="shared" si="1051"/>
        <v>0</v>
      </c>
      <c r="CA872" s="60">
        <f t="shared" si="1052"/>
        <v>0</v>
      </c>
      <c r="CB872" s="60" t="e">
        <f t="shared" si="1002"/>
        <v>#N/A</v>
      </c>
      <c r="CC872" s="60">
        <f t="shared" si="1003"/>
        <v>100000</v>
      </c>
      <c r="CD872" s="60" t="e">
        <f t="shared" si="1004"/>
        <v>#N/A</v>
      </c>
      <c r="CE872" s="60">
        <f t="shared" si="1005"/>
        <v>100000</v>
      </c>
      <c r="CF872" s="83" t="e">
        <f t="shared" si="1053"/>
        <v>#N/A</v>
      </c>
      <c r="CG872" s="83">
        <f t="shared" si="1054"/>
        <v>0</v>
      </c>
      <c r="CH872" s="83" t="e">
        <f t="shared" si="1055"/>
        <v>#N/A</v>
      </c>
      <c r="CI872" s="83">
        <f t="shared" si="1056"/>
        <v>0</v>
      </c>
      <c r="CJ872" s="86" t="e">
        <f t="shared" si="1006"/>
        <v>#N/A</v>
      </c>
      <c r="CK872" s="82">
        <f t="shared" si="1007"/>
        <v>5.3070370403969858E-3</v>
      </c>
      <c r="CL872" s="82" t="e">
        <f t="shared" si="1008"/>
        <v>#N/A</v>
      </c>
      <c r="CM872" s="82">
        <f t="shared" si="1009"/>
        <v>5.3070370403969858E-3</v>
      </c>
      <c r="CO872" s="149" t="str">
        <f>IF($I872&lt;&gt;"",IF(O872="User Specified",U872,INDEX('Refrigerant GWPs'!$G$2:$G$156,MATCH(O872,'Refrigerant GWPs'!$A$2:$A$156,0))),"")</f>
        <v/>
      </c>
      <c r="CP872" s="138" t="str">
        <f>IF($I872&lt;&gt;"",INDEX('Device Refrigerant Leakage'!$E$2:$E$42,MATCH($M872,'Device Refrigerant Leakage'!$B$2:$B$42,0)),"")</f>
        <v/>
      </c>
      <c r="CQ872" s="138" t="str">
        <f>IF($I872&lt;&gt;"",INDEX('Device Refrigerant Leakage'!$F$2:$F$42,MATCH($M872,'Device Refrigerant Leakage'!$B$2:$B$42,0)),"")</f>
        <v/>
      </c>
      <c r="CR872" s="145" t="str">
        <f>IF($I872&lt;&gt;"",INDEX('Device Refrigerant Leakage'!$G$2:$G$42,MATCH($M872,'Device Refrigerant Leakage'!$B$2:$B$42,0)),"")</f>
        <v/>
      </c>
      <c r="CS872" s="145" t="str">
        <f>IF($I872&lt;&gt;"",INDEX('Device Refrigerant Leakage'!$D$2:$D$42,MATCH($M872,'Device Refrigerant Leakage'!$B$2:$B$42,0))*CP872/2204.62*CO872,"")</f>
        <v/>
      </c>
      <c r="CT872" s="145" t="str">
        <f>IF($I872&lt;&gt;"",J872*(INDEX('Device Refrigerant Leakage'!$D$2:$D$42,MATCH($M872,'Device Refrigerant Leakage'!$B$2:$B$42,0))-(INDEX('Device Refrigerant Leakage'!$D$2:$D$42,MATCH($M872,'Device Refrigerant Leakage'!$B$2:$B$42,0)))*CR872*CP872)*CQ872/2204.62*CO872,"")</f>
        <v/>
      </c>
      <c r="CU872" s="135" t="str">
        <f>IF($I872&lt;&gt;"",J872*IF(W872&lt;&gt;"AR",(CS872*K872)+CT872,(CS872*AB872)+CT872*(AB872/INDEX('Device Refrigerant Leakage'!$C$2:$C$42,MATCH($M872,'Device Refrigerant Leakage'!$B$2:$B$42,0)))),"")</f>
        <v/>
      </c>
      <c r="CW872" s="135" t="str">
        <f>IF($I872&lt;&gt;"",IF(S872="User Specified",V872,INDEX('Refrigerant GWPs'!$G$2:$G$156,MATCH(S872,'Refrigerant GWPs'!$A$2:$A$157,0))),"")</f>
        <v/>
      </c>
      <c r="CX872" s="138" t="str">
        <f>IF($I872&lt;&gt;"",INDEX('Device Refrigerant Leakage'!$E$2:$E$42,MATCH($Q872,'Device Refrigerant Leakage'!$B$2:$B$42,0)),"")</f>
        <v/>
      </c>
      <c r="CY872" s="138" t="str">
        <f>IF($I872&lt;&gt;"",INDEX('Device Refrigerant Leakage'!$F$2:$F$42,MATCH($Q872,'Device Refrigerant Leakage'!$B$2:$B$42,0)),"")</f>
        <v/>
      </c>
      <c r="CZ872" s="145" t="str">
        <f>IF($I872&lt;&gt;"",INDEX('Device Refrigerant Leakage'!$G$2:$G$42,MATCH($Q872,'Device Refrigerant Leakage'!$B$2:$B$42,0)),"")</f>
        <v/>
      </c>
      <c r="DA872" s="145" t="str">
        <f>IF($I872&lt;&gt;"",J872*INDEX('Device Refrigerant Leakage'!$D$2:$D$42,MATCH($Q872,'Device Refrigerant Leakage'!$B$2:$B$42,0))*CX872/2204.62*CW872,"")</f>
        <v/>
      </c>
      <c r="DB872" s="145" t="str">
        <f>IF($I872&lt;&gt;"",J872*(INDEX('Device Refrigerant Leakage'!$D$2:$D$42,MATCH($Q872,'Device Refrigerant Leakage'!$B$2:$B$42,0))-(INDEX('Device Refrigerant Leakage'!$D$2:$D$42,MATCH($Q872,'Device Refrigerant Leakage'!$B$2:$B$42,0)))*CZ872*CX872)*CY872/2204.62*CW872,"")</f>
        <v/>
      </c>
      <c r="DC872" s="135" t="str">
        <f t="shared" si="1028"/>
        <v/>
      </c>
      <c r="DE872" s="146" t="str">
        <f>IF(W872&lt;&gt;"AR","",IF(Y872="User Specified", AA872, INDEX('Refrigerant GWPs'!$G$2:$G$154,MATCH(Y872,'Refrigerant GWPs'!$A$2:$A$154,0))))</f>
        <v/>
      </c>
      <c r="DF872" s="146" t="str">
        <f>IF(W872&lt;&gt;"AR","",INDEX('Device Refrigerant Leakage'!$E$2:$E$42,MATCH(X872,'Device Refrigerant Leakage'!$B$2:$B$42,0)))</f>
        <v/>
      </c>
      <c r="DG872" s="146" t="str">
        <f>IF(W872&lt;&gt;"AR","",INDEX('Device Refrigerant Leakage'!$F$2:$F$42,MATCH(X872,'Device Refrigerant Leakage'!$B$2:$B$42,0)))</f>
        <v/>
      </c>
      <c r="DH872" s="146" t="str">
        <f>IF(W872&lt;&gt;"AR","",INDEX('Device Refrigerant Leakage'!$G$2:$G$42,MATCH(X872,'Device Refrigerant Leakage'!$B$2:$B$42,0)))</f>
        <v/>
      </c>
      <c r="DI872" s="146" t="str">
        <f>IF(W872&lt;&gt;"AR","",J872*INDEX('Device Refrigerant Leakage'!$D$2:$D$42,MATCH(X872,'Device Refrigerant Leakage'!$B$2:$B$42,0))*DF872/2204.62*DE872)</f>
        <v/>
      </c>
      <c r="DJ872" s="146" t="str">
        <f>IF(W872&lt;&gt;"AR","",J872*(INDEX('Device Refrigerant Leakage'!$D$2:$D$42,MATCH(X872,'Device Refrigerant Leakage'!$B$2:$B$42,0))-(INDEX('Device Refrigerant Leakage'!$D$2:$D$42,MATCH(X872,'Device Refrigerant Leakage'!$B$2:$B$42,0)))*DH872*DF872)*DG872/2204.62*DE872)</f>
        <v/>
      </c>
      <c r="DK872" s="146" t="str">
        <f>IF(W872&lt;&gt;"AR","",DI872*(K872-AB872)+'Fuel Sub Calcs-Deemed'!DJ872*((K872-AB872)/INDEX('Device Refrigerant Leakage'!$C$2:$C$42,MATCH('Fuel Sub Calcs-Deemed'!X872,'Device Refrigerant Leakage'!$B$2:$B$42,0))))</f>
        <v/>
      </c>
      <c r="DM872" s="56">
        <v>858</v>
      </c>
      <c r="DN872" s="67" t="e">
        <f t="shared" si="1010"/>
        <v>#N/A</v>
      </c>
      <c r="DO872" s="45" t="e">
        <f t="shared" si="1011"/>
        <v>#N/A</v>
      </c>
      <c r="DP872" s="67" t="e">
        <f t="shared" si="1012"/>
        <v>#N/A</v>
      </c>
      <c r="DQ872" s="45" t="e">
        <f t="shared" si="1013"/>
        <v>#N/A</v>
      </c>
      <c r="DR872" s="69" t="e">
        <f t="shared" si="1014"/>
        <v>#N/A</v>
      </c>
      <c r="DS872" s="34"/>
      <c r="DT872" s="67" t="e">
        <f>((BX872*CJ872)+IF($W872=MAT_AR,(BZ872*CL872),0))*(1+Reference!$E$50+Reference!$E$51)</f>
        <v>#N/A</v>
      </c>
      <c r="DU872" s="67">
        <f>((BY872*CK872)+IF($W872=MAT_AR,(CA872*CM872),0))*(1+Reference!$G$50+Reference!$G$51)</f>
        <v>0</v>
      </c>
      <c r="DV872" s="67" t="e">
        <f t="shared" si="1015"/>
        <v>#VALUE!</v>
      </c>
      <c r="DX872" s="56">
        <v>858</v>
      </c>
      <c r="DY872" s="67">
        <f t="shared" si="1016"/>
        <v>0</v>
      </c>
      <c r="DZ872" s="45" t="e">
        <f>VLOOKUP($R872,Dropdown!$C$3:$D$4,2,FALSE)</f>
        <v>#N/A</v>
      </c>
      <c r="EA872" s="68">
        <f t="shared" si="1017"/>
        <v>0</v>
      </c>
      <c r="EB872" s="68" t="str">
        <f t="shared" si="1018"/>
        <v>N/A</v>
      </c>
      <c r="EC872" s="68">
        <f t="shared" si="1019"/>
        <v>0</v>
      </c>
      <c r="ED872" s="68" t="str">
        <f t="shared" si="1057"/>
        <v>N/A</v>
      </c>
      <c r="EF872" s="56">
        <v>858</v>
      </c>
      <c r="EG872" s="46">
        <f t="shared" si="1020"/>
        <v>0</v>
      </c>
      <c r="EH872" s="68" t="e">
        <f t="shared" si="1021"/>
        <v>#N/A</v>
      </c>
      <c r="EI872" s="68" t="e">
        <f t="shared" si="1022"/>
        <v>#N/A</v>
      </c>
      <c r="EJ872" s="68" t="e">
        <f t="shared" si="1023"/>
        <v>#N/A</v>
      </c>
      <c r="EK872" s="68" t="e">
        <f t="shared" si="1024"/>
        <v>#N/A</v>
      </c>
      <c r="EL872" s="46">
        <f t="shared" si="1025"/>
        <v>0</v>
      </c>
      <c r="EM872" s="46">
        <f t="shared" si="1026"/>
        <v>0</v>
      </c>
    </row>
    <row r="873" spans="1:143">
      <c r="A873" s="89"/>
      <c r="B873" s="89"/>
      <c r="C873" s="89"/>
      <c r="D873" s="89"/>
      <c r="E873" s="89"/>
      <c r="F873" s="89"/>
      <c r="G873" s="34"/>
      <c r="H873" s="56">
        <f t="shared" si="1027"/>
        <v>859</v>
      </c>
      <c r="I873" s="165"/>
      <c r="J873" s="163"/>
      <c r="K873" s="163"/>
      <c r="L873" s="164"/>
      <c r="M873" s="155"/>
      <c r="N873" s="155"/>
      <c r="O873" s="144"/>
      <c r="P873" s="159" t="str">
        <f>IFERROR(IF(O873&lt;&gt;"User Specified",IF(O873&lt;&gt;"", INDEX('Refrigerant GWPs'!$G$2:$G$154,MATCH(O873,'Refrigerant GWPs'!$A$2:$A$154,0)),""),U873),0)</f>
        <v/>
      </c>
      <c r="Q873" s="155"/>
      <c r="R873" s="155"/>
      <c r="S873" s="144"/>
      <c r="T873" s="159" t="str">
        <f>IF(S873&lt;&gt;"User Specified",IF(AND(S873&lt;&gt;"User Specified",S873&lt;&gt;""), INDEX('Refrigerant GWPs'!$G$2:$G$154,MATCH(S873,'Refrigerant GWPs'!$A$2:$A$154,0)),""),V873)</f>
        <v/>
      </c>
      <c r="U873" s="144"/>
      <c r="V873" s="144"/>
      <c r="W873" s="155"/>
      <c r="X873" s="155"/>
      <c r="Y873" s="144"/>
      <c r="Z873" s="159" t="str">
        <f>IF(AND(Y873&lt;&gt;"User Specified",Y873&lt;&gt;""), INDEX('Refrigerant GWPs'!$G$2:$G$154,MATCH(Y873,'Refrigerant GWPs'!$A$2:$A$154,0)),"")</f>
        <v/>
      </c>
      <c r="AA873" s="155"/>
      <c r="AB873" s="156"/>
      <c r="AC873" s="66"/>
      <c r="AD873" s="66"/>
      <c r="AE873" s="66"/>
      <c r="AF873" s="66"/>
      <c r="AG873" s="66"/>
      <c r="AH873" s="66"/>
      <c r="AI873" s="34"/>
      <c r="AJ873" s="88">
        <f t="shared" si="990"/>
        <v>0</v>
      </c>
      <c r="AK873" s="88">
        <f t="shared" si="991"/>
        <v>0</v>
      </c>
      <c r="AL873" s="88">
        <v>0</v>
      </c>
      <c r="AM873" s="88">
        <v>0</v>
      </c>
      <c r="AN873" s="81" t="str">
        <f t="shared" si="1029"/>
        <v/>
      </c>
      <c r="AO873" s="88">
        <f t="shared" si="992"/>
        <v>0</v>
      </c>
      <c r="AP873" s="88">
        <f t="shared" si="993"/>
        <v>0</v>
      </c>
      <c r="AQ873" s="81" t="str">
        <f t="shared" si="994"/>
        <v/>
      </c>
      <c r="AS873" s="41" t="b">
        <f t="shared" si="995"/>
        <v>1</v>
      </c>
      <c r="AT873" s="38">
        <f t="shared" si="996"/>
        <v>0</v>
      </c>
      <c r="AU873" s="60">
        <f t="shared" si="997"/>
        <v>0</v>
      </c>
      <c r="AV873" s="41">
        <f t="shared" si="998"/>
        <v>0</v>
      </c>
      <c r="AW873" s="41" t="b">
        <f t="shared" si="999"/>
        <v>0</v>
      </c>
      <c r="AX873" t="str">
        <f t="shared" si="1000"/>
        <v>+00</v>
      </c>
      <c r="AY873" t="str">
        <f t="shared" si="1001"/>
        <v>+00</v>
      </c>
      <c r="BA873" s="47" t="b">
        <f t="shared" si="1030"/>
        <v>1</v>
      </c>
      <c r="BB873" s="42" t="b">
        <f t="shared" si="1031"/>
        <v>1</v>
      </c>
      <c r="BC873" s="42" t="b">
        <f t="shared" si="1032"/>
        <v>0</v>
      </c>
      <c r="BD873" s="42" t="b">
        <f t="shared" si="1033"/>
        <v>0</v>
      </c>
      <c r="BE873" s="70">
        <f t="shared" si="1034"/>
        <v>0</v>
      </c>
      <c r="BF873" s="70">
        <f t="shared" si="1035"/>
        <v>0</v>
      </c>
      <c r="BG873" s="34"/>
      <c r="BI873" s="47" t="b">
        <f t="shared" si="1036"/>
        <v>1</v>
      </c>
      <c r="BJ873" s="47" t="b">
        <f t="shared" si="1037"/>
        <v>1</v>
      </c>
      <c r="BK873" s="42" t="b">
        <f t="shared" si="1038"/>
        <v>0</v>
      </c>
      <c r="BL873" s="42" t="b">
        <f t="shared" si="1039"/>
        <v>0</v>
      </c>
      <c r="BM873" s="42">
        <f t="shared" si="1040"/>
        <v>0</v>
      </c>
      <c r="BN873" s="42">
        <f t="shared" si="1041"/>
        <v>0</v>
      </c>
      <c r="BP873" t="e">
        <f t="shared" si="1042"/>
        <v>#N/A</v>
      </c>
      <c r="BQ873" t="e">
        <f t="shared" si="1043"/>
        <v>#N/A</v>
      </c>
      <c r="BR873" t="e">
        <f t="shared" si="1044"/>
        <v>#N/A</v>
      </c>
      <c r="BT873" s="60">
        <f t="shared" si="1045"/>
        <v>0</v>
      </c>
      <c r="BU873" s="60">
        <f t="shared" si="1046"/>
        <v>0</v>
      </c>
      <c r="BV873" s="60">
        <f t="shared" si="1047"/>
        <v>0</v>
      </c>
      <c r="BW873" s="60">
        <f t="shared" si="1048"/>
        <v>0</v>
      </c>
      <c r="BX873" s="60">
        <f t="shared" si="1049"/>
        <v>0</v>
      </c>
      <c r="BY873" s="60">
        <f t="shared" si="1050"/>
        <v>0</v>
      </c>
      <c r="BZ873" s="60">
        <f t="shared" si="1051"/>
        <v>0</v>
      </c>
      <c r="CA873" s="60">
        <f t="shared" si="1052"/>
        <v>0</v>
      </c>
      <c r="CB873" s="60" t="e">
        <f t="shared" si="1002"/>
        <v>#N/A</v>
      </c>
      <c r="CC873" s="60">
        <f t="shared" si="1003"/>
        <v>100000</v>
      </c>
      <c r="CD873" s="60" t="e">
        <f t="shared" si="1004"/>
        <v>#N/A</v>
      </c>
      <c r="CE873" s="60">
        <f t="shared" si="1005"/>
        <v>100000</v>
      </c>
      <c r="CF873" s="83" t="e">
        <f t="shared" si="1053"/>
        <v>#N/A</v>
      </c>
      <c r="CG873" s="83">
        <f t="shared" si="1054"/>
        <v>0</v>
      </c>
      <c r="CH873" s="83" t="e">
        <f t="shared" si="1055"/>
        <v>#N/A</v>
      </c>
      <c r="CI873" s="83">
        <f t="shared" si="1056"/>
        <v>0</v>
      </c>
      <c r="CJ873" s="86" t="e">
        <f t="shared" si="1006"/>
        <v>#N/A</v>
      </c>
      <c r="CK873" s="82">
        <f t="shared" si="1007"/>
        <v>5.3070370403969858E-3</v>
      </c>
      <c r="CL873" s="82" t="e">
        <f t="shared" si="1008"/>
        <v>#N/A</v>
      </c>
      <c r="CM873" s="82">
        <f t="shared" si="1009"/>
        <v>5.3070370403969858E-3</v>
      </c>
      <c r="CO873" s="149" t="str">
        <f>IF($I873&lt;&gt;"",IF(O873="User Specified",U873,INDEX('Refrigerant GWPs'!$G$2:$G$156,MATCH(O873,'Refrigerant GWPs'!$A$2:$A$156,0))),"")</f>
        <v/>
      </c>
      <c r="CP873" s="138" t="str">
        <f>IF($I873&lt;&gt;"",INDEX('Device Refrigerant Leakage'!$E$2:$E$42,MATCH($M873,'Device Refrigerant Leakage'!$B$2:$B$42,0)),"")</f>
        <v/>
      </c>
      <c r="CQ873" s="138" t="str">
        <f>IF($I873&lt;&gt;"",INDEX('Device Refrigerant Leakage'!$F$2:$F$42,MATCH($M873,'Device Refrigerant Leakage'!$B$2:$B$42,0)),"")</f>
        <v/>
      </c>
      <c r="CR873" s="145" t="str">
        <f>IF($I873&lt;&gt;"",INDEX('Device Refrigerant Leakage'!$G$2:$G$42,MATCH($M873,'Device Refrigerant Leakage'!$B$2:$B$42,0)),"")</f>
        <v/>
      </c>
      <c r="CS873" s="145" t="str">
        <f>IF($I873&lt;&gt;"",INDEX('Device Refrigerant Leakage'!$D$2:$D$42,MATCH($M873,'Device Refrigerant Leakage'!$B$2:$B$42,0))*CP873/2204.62*CO873,"")</f>
        <v/>
      </c>
      <c r="CT873" s="145" t="str">
        <f>IF($I873&lt;&gt;"",J873*(INDEX('Device Refrigerant Leakage'!$D$2:$D$42,MATCH($M873,'Device Refrigerant Leakage'!$B$2:$B$42,0))-(INDEX('Device Refrigerant Leakage'!$D$2:$D$42,MATCH($M873,'Device Refrigerant Leakage'!$B$2:$B$42,0)))*CR873*CP873)*CQ873/2204.62*CO873,"")</f>
        <v/>
      </c>
      <c r="CU873" s="135" t="str">
        <f>IF($I873&lt;&gt;"",J873*IF(W873&lt;&gt;"AR",(CS873*K873)+CT873,(CS873*AB873)+CT873*(AB873/INDEX('Device Refrigerant Leakage'!$C$2:$C$42,MATCH($M873,'Device Refrigerant Leakage'!$B$2:$B$42,0)))),"")</f>
        <v/>
      </c>
      <c r="CW873" s="135" t="str">
        <f>IF($I873&lt;&gt;"",IF(S873="User Specified",V873,INDEX('Refrigerant GWPs'!$G$2:$G$156,MATCH(S873,'Refrigerant GWPs'!$A$2:$A$157,0))),"")</f>
        <v/>
      </c>
      <c r="CX873" s="138" t="str">
        <f>IF($I873&lt;&gt;"",INDEX('Device Refrigerant Leakage'!$E$2:$E$42,MATCH($Q873,'Device Refrigerant Leakage'!$B$2:$B$42,0)),"")</f>
        <v/>
      </c>
      <c r="CY873" s="138" t="str">
        <f>IF($I873&lt;&gt;"",INDEX('Device Refrigerant Leakage'!$F$2:$F$42,MATCH($Q873,'Device Refrigerant Leakage'!$B$2:$B$42,0)),"")</f>
        <v/>
      </c>
      <c r="CZ873" s="145" t="str">
        <f>IF($I873&lt;&gt;"",INDEX('Device Refrigerant Leakage'!$G$2:$G$42,MATCH($Q873,'Device Refrigerant Leakage'!$B$2:$B$42,0)),"")</f>
        <v/>
      </c>
      <c r="DA873" s="145" t="str">
        <f>IF($I873&lt;&gt;"",J873*INDEX('Device Refrigerant Leakage'!$D$2:$D$42,MATCH($Q873,'Device Refrigerant Leakage'!$B$2:$B$42,0))*CX873/2204.62*CW873,"")</f>
        <v/>
      </c>
      <c r="DB873" s="145" t="str">
        <f>IF($I873&lt;&gt;"",J873*(INDEX('Device Refrigerant Leakage'!$D$2:$D$42,MATCH($Q873,'Device Refrigerant Leakage'!$B$2:$B$42,0))-(INDEX('Device Refrigerant Leakage'!$D$2:$D$42,MATCH($Q873,'Device Refrigerant Leakage'!$B$2:$B$42,0)))*CZ873*CX873)*CY873/2204.62*CW873,"")</f>
        <v/>
      </c>
      <c r="DC873" s="135" t="str">
        <f t="shared" si="1028"/>
        <v/>
      </c>
      <c r="DE873" s="146" t="str">
        <f>IF(W873&lt;&gt;"AR","",IF(Y873="User Specified", AA873, INDEX('Refrigerant GWPs'!$G$2:$G$154,MATCH(Y873,'Refrigerant GWPs'!$A$2:$A$154,0))))</f>
        <v/>
      </c>
      <c r="DF873" s="146" t="str">
        <f>IF(W873&lt;&gt;"AR","",INDEX('Device Refrigerant Leakage'!$E$2:$E$42,MATCH(X873,'Device Refrigerant Leakage'!$B$2:$B$42,0)))</f>
        <v/>
      </c>
      <c r="DG873" s="146" t="str">
        <f>IF(W873&lt;&gt;"AR","",INDEX('Device Refrigerant Leakage'!$F$2:$F$42,MATCH(X873,'Device Refrigerant Leakage'!$B$2:$B$42,0)))</f>
        <v/>
      </c>
      <c r="DH873" s="146" t="str">
        <f>IF(W873&lt;&gt;"AR","",INDEX('Device Refrigerant Leakage'!$G$2:$G$42,MATCH(X873,'Device Refrigerant Leakage'!$B$2:$B$42,0)))</f>
        <v/>
      </c>
      <c r="DI873" s="146" t="str">
        <f>IF(W873&lt;&gt;"AR","",J873*INDEX('Device Refrigerant Leakage'!$D$2:$D$42,MATCH(X873,'Device Refrigerant Leakage'!$B$2:$B$42,0))*DF873/2204.62*DE873)</f>
        <v/>
      </c>
      <c r="DJ873" s="146" t="str">
        <f>IF(W873&lt;&gt;"AR","",J873*(INDEX('Device Refrigerant Leakage'!$D$2:$D$42,MATCH(X873,'Device Refrigerant Leakage'!$B$2:$B$42,0))-(INDEX('Device Refrigerant Leakage'!$D$2:$D$42,MATCH(X873,'Device Refrigerant Leakage'!$B$2:$B$42,0)))*DH873*DF873)*DG873/2204.62*DE873)</f>
        <v/>
      </c>
      <c r="DK873" s="146" t="str">
        <f>IF(W873&lt;&gt;"AR","",DI873*(K873-AB873)+'Fuel Sub Calcs-Deemed'!DJ873*((K873-AB873)/INDEX('Device Refrigerant Leakage'!$C$2:$C$42,MATCH('Fuel Sub Calcs-Deemed'!X873,'Device Refrigerant Leakage'!$B$2:$B$42,0))))</f>
        <v/>
      </c>
      <c r="DM873" s="56">
        <v>859</v>
      </c>
      <c r="DN873" s="67" t="e">
        <f t="shared" si="1010"/>
        <v>#N/A</v>
      </c>
      <c r="DO873" s="45" t="e">
        <f t="shared" si="1011"/>
        <v>#N/A</v>
      </c>
      <c r="DP873" s="67" t="e">
        <f t="shared" si="1012"/>
        <v>#N/A</v>
      </c>
      <c r="DQ873" s="45" t="e">
        <f t="shared" si="1013"/>
        <v>#N/A</v>
      </c>
      <c r="DR873" s="69" t="e">
        <f t="shared" si="1014"/>
        <v>#N/A</v>
      </c>
      <c r="DS873" s="34"/>
      <c r="DT873" s="67" t="e">
        <f>((BX873*CJ873)+IF($W873=MAT_AR,(BZ873*CL873),0))*(1+Reference!$E$50+Reference!$E$51)</f>
        <v>#N/A</v>
      </c>
      <c r="DU873" s="67">
        <f>((BY873*CK873)+IF($W873=MAT_AR,(CA873*CM873),0))*(1+Reference!$G$50+Reference!$G$51)</f>
        <v>0</v>
      </c>
      <c r="DV873" s="67" t="e">
        <f t="shared" si="1015"/>
        <v>#VALUE!</v>
      </c>
      <c r="DX873" s="56">
        <v>859</v>
      </c>
      <c r="DY873" s="67">
        <f t="shared" si="1016"/>
        <v>0</v>
      </c>
      <c r="DZ873" s="45" t="e">
        <f>VLOOKUP($R873,Dropdown!$C$3:$D$4,2,FALSE)</f>
        <v>#N/A</v>
      </c>
      <c r="EA873" s="68">
        <f t="shared" si="1017"/>
        <v>0</v>
      </c>
      <c r="EB873" s="68" t="str">
        <f t="shared" si="1018"/>
        <v>N/A</v>
      </c>
      <c r="EC873" s="68">
        <f t="shared" si="1019"/>
        <v>0</v>
      </c>
      <c r="ED873" s="68" t="str">
        <f t="shared" si="1057"/>
        <v>N/A</v>
      </c>
      <c r="EF873" s="56">
        <v>859</v>
      </c>
      <c r="EG873" s="46">
        <f t="shared" si="1020"/>
        <v>0</v>
      </c>
      <c r="EH873" s="68" t="e">
        <f t="shared" si="1021"/>
        <v>#N/A</v>
      </c>
      <c r="EI873" s="68" t="e">
        <f t="shared" si="1022"/>
        <v>#N/A</v>
      </c>
      <c r="EJ873" s="68" t="e">
        <f t="shared" si="1023"/>
        <v>#N/A</v>
      </c>
      <c r="EK873" s="68" t="e">
        <f t="shared" si="1024"/>
        <v>#N/A</v>
      </c>
      <c r="EL873" s="46">
        <f t="shared" si="1025"/>
        <v>0</v>
      </c>
      <c r="EM873" s="46">
        <f t="shared" si="1026"/>
        <v>0</v>
      </c>
    </row>
    <row r="874" spans="1:143">
      <c r="A874" s="89"/>
      <c r="B874" s="89"/>
      <c r="C874" s="89"/>
      <c r="D874" s="89"/>
      <c r="E874" s="89"/>
      <c r="F874" s="89"/>
      <c r="G874" s="34"/>
      <c r="H874" s="56">
        <f t="shared" si="1027"/>
        <v>860</v>
      </c>
      <c r="I874" s="165"/>
      <c r="J874" s="163"/>
      <c r="K874" s="163"/>
      <c r="L874" s="164"/>
      <c r="M874" s="155"/>
      <c r="N874" s="155"/>
      <c r="O874" s="144"/>
      <c r="P874" s="159" t="str">
        <f>IFERROR(IF(O874&lt;&gt;"User Specified",IF(O874&lt;&gt;"", INDEX('Refrigerant GWPs'!$G$2:$G$154,MATCH(O874,'Refrigerant GWPs'!$A$2:$A$154,0)),""),U874),0)</f>
        <v/>
      </c>
      <c r="Q874" s="155"/>
      <c r="R874" s="155"/>
      <c r="S874" s="144"/>
      <c r="T874" s="159" t="str">
        <f>IF(S874&lt;&gt;"User Specified",IF(AND(S874&lt;&gt;"User Specified",S874&lt;&gt;""), INDEX('Refrigerant GWPs'!$G$2:$G$154,MATCH(S874,'Refrigerant GWPs'!$A$2:$A$154,0)),""),V874)</f>
        <v/>
      </c>
      <c r="U874" s="144"/>
      <c r="V874" s="144"/>
      <c r="W874" s="155"/>
      <c r="X874" s="155"/>
      <c r="Y874" s="144"/>
      <c r="Z874" s="159" t="str">
        <f>IF(AND(Y874&lt;&gt;"User Specified",Y874&lt;&gt;""), INDEX('Refrigerant GWPs'!$G$2:$G$154,MATCH(Y874,'Refrigerant GWPs'!$A$2:$A$154,0)),"")</f>
        <v/>
      </c>
      <c r="AA874" s="155"/>
      <c r="AB874" s="156"/>
      <c r="AC874" s="66"/>
      <c r="AD874" s="66"/>
      <c r="AE874" s="66"/>
      <c r="AF874" s="66"/>
      <c r="AG874" s="66"/>
      <c r="AH874" s="66"/>
      <c r="AI874" s="34"/>
      <c r="AJ874" s="88">
        <f t="shared" si="990"/>
        <v>0</v>
      </c>
      <c r="AK874" s="88">
        <f t="shared" si="991"/>
        <v>0</v>
      </c>
      <c r="AL874" s="88">
        <v>0</v>
      </c>
      <c r="AM874" s="88">
        <v>0</v>
      </c>
      <c r="AN874" s="81" t="str">
        <f t="shared" si="1029"/>
        <v/>
      </c>
      <c r="AO874" s="88">
        <f t="shared" si="992"/>
        <v>0</v>
      </c>
      <c r="AP874" s="88">
        <f t="shared" si="993"/>
        <v>0</v>
      </c>
      <c r="AQ874" s="81" t="str">
        <f t="shared" si="994"/>
        <v/>
      </c>
      <c r="AS874" s="41" t="b">
        <f t="shared" si="995"/>
        <v>1</v>
      </c>
      <c r="AT874" s="38">
        <f t="shared" si="996"/>
        <v>0</v>
      </c>
      <c r="AU874" s="60">
        <f t="shared" si="997"/>
        <v>0</v>
      </c>
      <c r="AV874" s="41">
        <f t="shared" si="998"/>
        <v>0</v>
      </c>
      <c r="AW874" s="41" t="b">
        <f t="shared" si="999"/>
        <v>0</v>
      </c>
      <c r="AX874" t="str">
        <f t="shared" si="1000"/>
        <v>+00</v>
      </c>
      <c r="AY874" t="str">
        <f t="shared" si="1001"/>
        <v>+00</v>
      </c>
      <c r="BA874" s="47" t="b">
        <f t="shared" si="1030"/>
        <v>1</v>
      </c>
      <c r="BB874" s="42" t="b">
        <f t="shared" si="1031"/>
        <v>1</v>
      </c>
      <c r="BC874" s="42" t="b">
        <f t="shared" si="1032"/>
        <v>0</v>
      </c>
      <c r="BD874" s="42" t="b">
        <f t="shared" si="1033"/>
        <v>0</v>
      </c>
      <c r="BE874" s="70">
        <f t="shared" si="1034"/>
        <v>0</v>
      </c>
      <c r="BF874" s="70">
        <f t="shared" si="1035"/>
        <v>0</v>
      </c>
      <c r="BG874" s="34"/>
      <c r="BI874" s="47" t="b">
        <f t="shared" si="1036"/>
        <v>1</v>
      </c>
      <c r="BJ874" s="47" t="b">
        <f t="shared" si="1037"/>
        <v>1</v>
      </c>
      <c r="BK874" s="42" t="b">
        <f t="shared" si="1038"/>
        <v>0</v>
      </c>
      <c r="BL874" s="42" t="b">
        <f t="shared" si="1039"/>
        <v>0</v>
      </c>
      <c r="BM874" s="42">
        <f t="shared" si="1040"/>
        <v>0</v>
      </c>
      <c r="BN874" s="42">
        <f t="shared" si="1041"/>
        <v>0</v>
      </c>
      <c r="BP874" t="e">
        <f t="shared" si="1042"/>
        <v>#N/A</v>
      </c>
      <c r="BQ874" t="e">
        <f t="shared" si="1043"/>
        <v>#N/A</v>
      </c>
      <c r="BR874" t="e">
        <f t="shared" si="1044"/>
        <v>#N/A</v>
      </c>
      <c r="BT874" s="60">
        <f t="shared" si="1045"/>
        <v>0</v>
      </c>
      <c r="BU874" s="60">
        <f t="shared" si="1046"/>
        <v>0</v>
      </c>
      <c r="BV874" s="60">
        <f t="shared" si="1047"/>
        <v>0</v>
      </c>
      <c r="BW874" s="60">
        <f t="shared" si="1048"/>
        <v>0</v>
      </c>
      <c r="BX874" s="60">
        <f t="shared" si="1049"/>
        <v>0</v>
      </c>
      <c r="BY874" s="60">
        <f t="shared" si="1050"/>
        <v>0</v>
      </c>
      <c r="BZ874" s="60">
        <f t="shared" si="1051"/>
        <v>0</v>
      </c>
      <c r="CA874" s="60">
        <f t="shared" si="1052"/>
        <v>0</v>
      </c>
      <c r="CB874" s="60" t="e">
        <f t="shared" si="1002"/>
        <v>#N/A</v>
      </c>
      <c r="CC874" s="60">
        <f t="shared" si="1003"/>
        <v>100000</v>
      </c>
      <c r="CD874" s="60" t="e">
        <f t="shared" si="1004"/>
        <v>#N/A</v>
      </c>
      <c r="CE874" s="60">
        <f t="shared" si="1005"/>
        <v>100000</v>
      </c>
      <c r="CF874" s="83" t="e">
        <f t="shared" si="1053"/>
        <v>#N/A</v>
      </c>
      <c r="CG874" s="83">
        <f t="shared" si="1054"/>
        <v>0</v>
      </c>
      <c r="CH874" s="83" t="e">
        <f t="shared" si="1055"/>
        <v>#N/A</v>
      </c>
      <c r="CI874" s="83">
        <f t="shared" si="1056"/>
        <v>0</v>
      </c>
      <c r="CJ874" s="86" t="e">
        <f t="shared" si="1006"/>
        <v>#N/A</v>
      </c>
      <c r="CK874" s="82">
        <f t="shared" si="1007"/>
        <v>5.3070370403969858E-3</v>
      </c>
      <c r="CL874" s="82" t="e">
        <f t="shared" si="1008"/>
        <v>#N/A</v>
      </c>
      <c r="CM874" s="82">
        <f t="shared" si="1009"/>
        <v>5.3070370403969858E-3</v>
      </c>
      <c r="CO874" s="149" t="str">
        <f>IF($I874&lt;&gt;"",IF(O874="User Specified",U874,INDEX('Refrigerant GWPs'!$G$2:$G$156,MATCH(O874,'Refrigerant GWPs'!$A$2:$A$156,0))),"")</f>
        <v/>
      </c>
      <c r="CP874" s="138" t="str">
        <f>IF($I874&lt;&gt;"",INDEX('Device Refrigerant Leakage'!$E$2:$E$42,MATCH($M874,'Device Refrigerant Leakage'!$B$2:$B$42,0)),"")</f>
        <v/>
      </c>
      <c r="CQ874" s="138" t="str">
        <f>IF($I874&lt;&gt;"",INDEX('Device Refrigerant Leakage'!$F$2:$F$42,MATCH($M874,'Device Refrigerant Leakage'!$B$2:$B$42,0)),"")</f>
        <v/>
      </c>
      <c r="CR874" s="145" t="str">
        <f>IF($I874&lt;&gt;"",INDEX('Device Refrigerant Leakage'!$G$2:$G$42,MATCH($M874,'Device Refrigerant Leakage'!$B$2:$B$42,0)),"")</f>
        <v/>
      </c>
      <c r="CS874" s="145" t="str">
        <f>IF($I874&lt;&gt;"",INDEX('Device Refrigerant Leakage'!$D$2:$D$42,MATCH($M874,'Device Refrigerant Leakage'!$B$2:$B$42,0))*CP874/2204.62*CO874,"")</f>
        <v/>
      </c>
      <c r="CT874" s="145" t="str">
        <f>IF($I874&lt;&gt;"",J874*(INDEX('Device Refrigerant Leakage'!$D$2:$D$42,MATCH($M874,'Device Refrigerant Leakage'!$B$2:$B$42,0))-(INDEX('Device Refrigerant Leakage'!$D$2:$D$42,MATCH($M874,'Device Refrigerant Leakage'!$B$2:$B$42,0)))*CR874*CP874)*CQ874/2204.62*CO874,"")</f>
        <v/>
      </c>
      <c r="CU874" s="135" t="str">
        <f>IF($I874&lt;&gt;"",J874*IF(W874&lt;&gt;"AR",(CS874*K874)+CT874,(CS874*AB874)+CT874*(AB874/INDEX('Device Refrigerant Leakage'!$C$2:$C$42,MATCH($M874,'Device Refrigerant Leakage'!$B$2:$B$42,0)))),"")</f>
        <v/>
      </c>
      <c r="CW874" s="135" t="str">
        <f>IF($I874&lt;&gt;"",IF(S874="User Specified",V874,INDEX('Refrigerant GWPs'!$G$2:$G$156,MATCH(S874,'Refrigerant GWPs'!$A$2:$A$157,0))),"")</f>
        <v/>
      </c>
      <c r="CX874" s="138" t="str">
        <f>IF($I874&lt;&gt;"",INDEX('Device Refrigerant Leakage'!$E$2:$E$42,MATCH($Q874,'Device Refrigerant Leakage'!$B$2:$B$42,0)),"")</f>
        <v/>
      </c>
      <c r="CY874" s="138" t="str">
        <f>IF($I874&lt;&gt;"",INDEX('Device Refrigerant Leakage'!$F$2:$F$42,MATCH($Q874,'Device Refrigerant Leakage'!$B$2:$B$42,0)),"")</f>
        <v/>
      </c>
      <c r="CZ874" s="145" t="str">
        <f>IF($I874&lt;&gt;"",INDEX('Device Refrigerant Leakage'!$G$2:$G$42,MATCH($Q874,'Device Refrigerant Leakage'!$B$2:$B$42,0)),"")</f>
        <v/>
      </c>
      <c r="DA874" s="145" t="str">
        <f>IF($I874&lt;&gt;"",J874*INDEX('Device Refrigerant Leakage'!$D$2:$D$42,MATCH($Q874,'Device Refrigerant Leakage'!$B$2:$B$42,0))*CX874/2204.62*CW874,"")</f>
        <v/>
      </c>
      <c r="DB874" s="145" t="str">
        <f>IF($I874&lt;&gt;"",J874*(INDEX('Device Refrigerant Leakage'!$D$2:$D$42,MATCH($Q874,'Device Refrigerant Leakage'!$B$2:$B$42,0))-(INDEX('Device Refrigerant Leakage'!$D$2:$D$42,MATCH($Q874,'Device Refrigerant Leakage'!$B$2:$B$42,0)))*CZ874*CX874)*CY874/2204.62*CW874,"")</f>
        <v/>
      </c>
      <c r="DC874" s="135" t="str">
        <f t="shared" si="1028"/>
        <v/>
      </c>
      <c r="DE874" s="146" t="str">
        <f>IF(W874&lt;&gt;"AR","",IF(Y874="User Specified", AA874, INDEX('Refrigerant GWPs'!$G$2:$G$154,MATCH(Y874,'Refrigerant GWPs'!$A$2:$A$154,0))))</f>
        <v/>
      </c>
      <c r="DF874" s="146" t="str">
        <f>IF(W874&lt;&gt;"AR","",INDEX('Device Refrigerant Leakage'!$E$2:$E$42,MATCH(X874,'Device Refrigerant Leakage'!$B$2:$B$42,0)))</f>
        <v/>
      </c>
      <c r="DG874" s="146" t="str">
        <f>IF(W874&lt;&gt;"AR","",INDEX('Device Refrigerant Leakage'!$F$2:$F$42,MATCH(X874,'Device Refrigerant Leakage'!$B$2:$B$42,0)))</f>
        <v/>
      </c>
      <c r="DH874" s="146" t="str">
        <f>IF(W874&lt;&gt;"AR","",INDEX('Device Refrigerant Leakage'!$G$2:$G$42,MATCH(X874,'Device Refrigerant Leakage'!$B$2:$B$42,0)))</f>
        <v/>
      </c>
      <c r="DI874" s="146" t="str">
        <f>IF(W874&lt;&gt;"AR","",J874*INDEX('Device Refrigerant Leakage'!$D$2:$D$42,MATCH(X874,'Device Refrigerant Leakage'!$B$2:$B$42,0))*DF874/2204.62*DE874)</f>
        <v/>
      </c>
      <c r="DJ874" s="146" t="str">
        <f>IF(W874&lt;&gt;"AR","",J874*(INDEX('Device Refrigerant Leakage'!$D$2:$D$42,MATCH(X874,'Device Refrigerant Leakage'!$B$2:$B$42,0))-(INDEX('Device Refrigerant Leakage'!$D$2:$D$42,MATCH(X874,'Device Refrigerant Leakage'!$B$2:$B$42,0)))*DH874*DF874)*DG874/2204.62*DE874)</f>
        <v/>
      </c>
      <c r="DK874" s="146" t="str">
        <f>IF(W874&lt;&gt;"AR","",DI874*(K874-AB874)+'Fuel Sub Calcs-Deemed'!DJ874*((K874-AB874)/INDEX('Device Refrigerant Leakage'!$C$2:$C$42,MATCH('Fuel Sub Calcs-Deemed'!X874,'Device Refrigerant Leakage'!$B$2:$B$42,0))))</f>
        <v/>
      </c>
      <c r="DM874" s="56">
        <v>860</v>
      </c>
      <c r="DN874" s="67" t="e">
        <f t="shared" si="1010"/>
        <v>#N/A</v>
      </c>
      <c r="DO874" s="45" t="e">
        <f t="shared" si="1011"/>
        <v>#N/A</v>
      </c>
      <c r="DP874" s="67" t="e">
        <f t="shared" si="1012"/>
        <v>#N/A</v>
      </c>
      <c r="DQ874" s="45" t="e">
        <f t="shared" si="1013"/>
        <v>#N/A</v>
      </c>
      <c r="DR874" s="69" t="e">
        <f t="shared" si="1014"/>
        <v>#N/A</v>
      </c>
      <c r="DS874" s="34"/>
      <c r="DT874" s="67" t="e">
        <f>((BX874*CJ874)+IF($W874=MAT_AR,(BZ874*CL874),0))*(1+Reference!$E$50+Reference!$E$51)</f>
        <v>#N/A</v>
      </c>
      <c r="DU874" s="67">
        <f>((BY874*CK874)+IF($W874=MAT_AR,(CA874*CM874),0))*(1+Reference!$G$50+Reference!$G$51)</f>
        <v>0</v>
      </c>
      <c r="DV874" s="67" t="e">
        <f t="shared" si="1015"/>
        <v>#VALUE!</v>
      </c>
      <c r="DX874" s="56">
        <v>860</v>
      </c>
      <c r="DY874" s="67">
        <f t="shared" si="1016"/>
        <v>0</v>
      </c>
      <c r="DZ874" s="45" t="e">
        <f>VLOOKUP($R874,Dropdown!$C$3:$D$4,2,FALSE)</f>
        <v>#N/A</v>
      </c>
      <c r="EA874" s="68">
        <f t="shared" si="1017"/>
        <v>0</v>
      </c>
      <c r="EB874" s="68" t="str">
        <f t="shared" si="1018"/>
        <v>N/A</v>
      </c>
      <c r="EC874" s="68">
        <f t="shared" si="1019"/>
        <v>0</v>
      </c>
      <c r="ED874" s="68" t="str">
        <f t="shared" si="1057"/>
        <v>N/A</v>
      </c>
      <c r="EF874" s="56">
        <v>860</v>
      </c>
      <c r="EG874" s="46">
        <f t="shared" si="1020"/>
        <v>0</v>
      </c>
      <c r="EH874" s="68" t="e">
        <f t="shared" si="1021"/>
        <v>#N/A</v>
      </c>
      <c r="EI874" s="68" t="e">
        <f t="shared" si="1022"/>
        <v>#N/A</v>
      </c>
      <c r="EJ874" s="68" t="e">
        <f t="shared" si="1023"/>
        <v>#N/A</v>
      </c>
      <c r="EK874" s="68" t="e">
        <f t="shared" si="1024"/>
        <v>#N/A</v>
      </c>
      <c r="EL874" s="46">
        <f t="shared" si="1025"/>
        <v>0</v>
      </c>
      <c r="EM874" s="46">
        <f t="shared" si="1026"/>
        <v>0</v>
      </c>
    </row>
    <row r="875" spans="1:143">
      <c r="A875" s="89"/>
      <c r="B875" s="89"/>
      <c r="C875" s="89"/>
      <c r="D875" s="89"/>
      <c r="E875" s="89"/>
      <c r="F875" s="89"/>
      <c r="G875" s="34"/>
      <c r="H875" s="56">
        <f t="shared" si="1027"/>
        <v>861</v>
      </c>
      <c r="I875" s="165"/>
      <c r="J875" s="163"/>
      <c r="K875" s="163"/>
      <c r="L875" s="164"/>
      <c r="M875" s="155"/>
      <c r="N875" s="155"/>
      <c r="O875" s="144"/>
      <c r="P875" s="159" t="str">
        <f>IFERROR(IF(O875&lt;&gt;"User Specified",IF(O875&lt;&gt;"", INDEX('Refrigerant GWPs'!$G$2:$G$154,MATCH(O875,'Refrigerant GWPs'!$A$2:$A$154,0)),""),U875),0)</f>
        <v/>
      </c>
      <c r="Q875" s="155"/>
      <c r="R875" s="155"/>
      <c r="S875" s="144"/>
      <c r="T875" s="159" t="str">
        <f>IF(S875&lt;&gt;"User Specified",IF(AND(S875&lt;&gt;"User Specified",S875&lt;&gt;""), INDEX('Refrigerant GWPs'!$G$2:$G$154,MATCH(S875,'Refrigerant GWPs'!$A$2:$A$154,0)),""),V875)</f>
        <v/>
      </c>
      <c r="U875" s="144"/>
      <c r="V875" s="144"/>
      <c r="W875" s="155"/>
      <c r="X875" s="155"/>
      <c r="Y875" s="144"/>
      <c r="Z875" s="159" t="str">
        <f>IF(AND(Y875&lt;&gt;"User Specified",Y875&lt;&gt;""), INDEX('Refrigerant GWPs'!$G$2:$G$154,MATCH(Y875,'Refrigerant GWPs'!$A$2:$A$154,0)),"")</f>
        <v/>
      </c>
      <c r="AA875" s="155"/>
      <c r="AB875" s="156"/>
      <c r="AC875" s="66"/>
      <c r="AD875" s="66"/>
      <c r="AE875" s="66"/>
      <c r="AF875" s="66"/>
      <c r="AG875" s="66"/>
      <c r="AH875" s="66"/>
      <c r="AI875" s="34"/>
      <c r="AJ875" s="88">
        <f t="shared" si="990"/>
        <v>0</v>
      </c>
      <c r="AK875" s="88">
        <f t="shared" si="991"/>
        <v>0</v>
      </c>
      <c r="AL875" s="88">
        <v>0</v>
      </c>
      <c r="AM875" s="88">
        <v>0</v>
      </c>
      <c r="AN875" s="81" t="str">
        <f t="shared" si="1029"/>
        <v/>
      </c>
      <c r="AO875" s="88">
        <f t="shared" si="992"/>
        <v>0</v>
      </c>
      <c r="AP875" s="88">
        <f t="shared" si="993"/>
        <v>0</v>
      </c>
      <c r="AQ875" s="81" t="str">
        <f t="shared" si="994"/>
        <v/>
      </c>
      <c r="AS875" s="41" t="b">
        <f t="shared" si="995"/>
        <v>1</v>
      </c>
      <c r="AT875" s="38">
        <f t="shared" si="996"/>
        <v>0</v>
      </c>
      <c r="AU875" s="60">
        <f t="shared" si="997"/>
        <v>0</v>
      </c>
      <c r="AV875" s="41">
        <f t="shared" si="998"/>
        <v>0</v>
      </c>
      <c r="AW875" s="41" t="b">
        <f t="shared" si="999"/>
        <v>0</v>
      </c>
      <c r="AX875" t="str">
        <f t="shared" si="1000"/>
        <v>+00</v>
      </c>
      <c r="AY875" t="str">
        <f t="shared" si="1001"/>
        <v>+00</v>
      </c>
      <c r="BA875" s="47" t="b">
        <f t="shared" si="1030"/>
        <v>1</v>
      </c>
      <c r="BB875" s="42" t="b">
        <f t="shared" si="1031"/>
        <v>1</v>
      </c>
      <c r="BC875" s="42" t="b">
        <f t="shared" si="1032"/>
        <v>0</v>
      </c>
      <c r="BD875" s="42" t="b">
        <f t="shared" si="1033"/>
        <v>0</v>
      </c>
      <c r="BE875" s="70">
        <f t="shared" si="1034"/>
        <v>0</v>
      </c>
      <c r="BF875" s="70">
        <f t="shared" si="1035"/>
        <v>0</v>
      </c>
      <c r="BG875" s="34"/>
      <c r="BI875" s="47" t="b">
        <f t="shared" si="1036"/>
        <v>1</v>
      </c>
      <c r="BJ875" s="47" t="b">
        <f t="shared" si="1037"/>
        <v>1</v>
      </c>
      <c r="BK875" s="42" t="b">
        <f t="shared" si="1038"/>
        <v>0</v>
      </c>
      <c r="BL875" s="42" t="b">
        <f t="shared" si="1039"/>
        <v>0</v>
      </c>
      <c r="BM875" s="42">
        <f t="shared" si="1040"/>
        <v>0</v>
      </c>
      <c r="BN875" s="42">
        <f t="shared" si="1041"/>
        <v>0</v>
      </c>
      <c r="BP875" t="e">
        <f t="shared" si="1042"/>
        <v>#N/A</v>
      </c>
      <c r="BQ875" t="e">
        <f t="shared" si="1043"/>
        <v>#N/A</v>
      </c>
      <c r="BR875" t="e">
        <f t="shared" si="1044"/>
        <v>#N/A</v>
      </c>
      <c r="BT875" s="60">
        <f t="shared" si="1045"/>
        <v>0</v>
      </c>
      <c r="BU875" s="60">
        <f t="shared" si="1046"/>
        <v>0</v>
      </c>
      <c r="BV875" s="60">
        <f t="shared" si="1047"/>
        <v>0</v>
      </c>
      <c r="BW875" s="60">
        <f t="shared" si="1048"/>
        <v>0</v>
      </c>
      <c r="BX875" s="60">
        <f t="shared" si="1049"/>
        <v>0</v>
      </c>
      <c r="BY875" s="60">
        <f t="shared" si="1050"/>
        <v>0</v>
      </c>
      <c r="BZ875" s="60">
        <f t="shared" si="1051"/>
        <v>0</v>
      </c>
      <c r="CA875" s="60">
        <f t="shared" si="1052"/>
        <v>0</v>
      </c>
      <c r="CB875" s="60" t="e">
        <f t="shared" si="1002"/>
        <v>#N/A</v>
      </c>
      <c r="CC875" s="60">
        <f t="shared" si="1003"/>
        <v>100000</v>
      </c>
      <c r="CD875" s="60" t="e">
        <f t="shared" si="1004"/>
        <v>#N/A</v>
      </c>
      <c r="CE875" s="60">
        <f t="shared" si="1005"/>
        <v>100000</v>
      </c>
      <c r="CF875" s="83" t="e">
        <f t="shared" si="1053"/>
        <v>#N/A</v>
      </c>
      <c r="CG875" s="83">
        <f t="shared" si="1054"/>
        <v>0</v>
      </c>
      <c r="CH875" s="83" t="e">
        <f t="shared" si="1055"/>
        <v>#N/A</v>
      </c>
      <c r="CI875" s="83">
        <f t="shared" si="1056"/>
        <v>0</v>
      </c>
      <c r="CJ875" s="86" t="e">
        <f t="shared" si="1006"/>
        <v>#N/A</v>
      </c>
      <c r="CK875" s="82">
        <f t="shared" si="1007"/>
        <v>5.3070370403969858E-3</v>
      </c>
      <c r="CL875" s="82" t="e">
        <f t="shared" si="1008"/>
        <v>#N/A</v>
      </c>
      <c r="CM875" s="82">
        <f t="shared" si="1009"/>
        <v>5.3070370403969858E-3</v>
      </c>
      <c r="CO875" s="149" t="str">
        <f>IF($I875&lt;&gt;"",IF(O875="User Specified",U875,INDEX('Refrigerant GWPs'!$G$2:$G$156,MATCH(O875,'Refrigerant GWPs'!$A$2:$A$156,0))),"")</f>
        <v/>
      </c>
      <c r="CP875" s="138" t="str">
        <f>IF($I875&lt;&gt;"",INDEX('Device Refrigerant Leakage'!$E$2:$E$42,MATCH($M875,'Device Refrigerant Leakage'!$B$2:$B$42,0)),"")</f>
        <v/>
      </c>
      <c r="CQ875" s="138" t="str">
        <f>IF($I875&lt;&gt;"",INDEX('Device Refrigerant Leakage'!$F$2:$F$42,MATCH($M875,'Device Refrigerant Leakage'!$B$2:$B$42,0)),"")</f>
        <v/>
      </c>
      <c r="CR875" s="145" t="str">
        <f>IF($I875&lt;&gt;"",INDEX('Device Refrigerant Leakage'!$G$2:$G$42,MATCH($M875,'Device Refrigerant Leakage'!$B$2:$B$42,0)),"")</f>
        <v/>
      </c>
      <c r="CS875" s="145" t="str">
        <f>IF($I875&lt;&gt;"",INDEX('Device Refrigerant Leakage'!$D$2:$D$42,MATCH($M875,'Device Refrigerant Leakage'!$B$2:$B$42,0))*CP875/2204.62*CO875,"")</f>
        <v/>
      </c>
      <c r="CT875" s="145" t="str">
        <f>IF($I875&lt;&gt;"",J875*(INDEX('Device Refrigerant Leakage'!$D$2:$D$42,MATCH($M875,'Device Refrigerant Leakage'!$B$2:$B$42,0))-(INDEX('Device Refrigerant Leakage'!$D$2:$D$42,MATCH($M875,'Device Refrigerant Leakage'!$B$2:$B$42,0)))*CR875*CP875)*CQ875/2204.62*CO875,"")</f>
        <v/>
      </c>
      <c r="CU875" s="135" t="str">
        <f>IF($I875&lt;&gt;"",J875*IF(W875&lt;&gt;"AR",(CS875*K875)+CT875,(CS875*AB875)+CT875*(AB875/INDEX('Device Refrigerant Leakage'!$C$2:$C$42,MATCH($M875,'Device Refrigerant Leakage'!$B$2:$B$42,0)))),"")</f>
        <v/>
      </c>
      <c r="CW875" s="135" t="str">
        <f>IF($I875&lt;&gt;"",IF(S875="User Specified",V875,INDEX('Refrigerant GWPs'!$G$2:$G$156,MATCH(S875,'Refrigerant GWPs'!$A$2:$A$157,0))),"")</f>
        <v/>
      </c>
      <c r="CX875" s="138" t="str">
        <f>IF($I875&lt;&gt;"",INDEX('Device Refrigerant Leakage'!$E$2:$E$42,MATCH($Q875,'Device Refrigerant Leakage'!$B$2:$B$42,0)),"")</f>
        <v/>
      </c>
      <c r="CY875" s="138" t="str">
        <f>IF($I875&lt;&gt;"",INDEX('Device Refrigerant Leakage'!$F$2:$F$42,MATCH($Q875,'Device Refrigerant Leakage'!$B$2:$B$42,0)),"")</f>
        <v/>
      </c>
      <c r="CZ875" s="145" t="str">
        <f>IF($I875&lt;&gt;"",INDEX('Device Refrigerant Leakage'!$G$2:$G$42,MATCH($Q875,'Device Refrigerant Leakage'!$B$2:$B$42,0)),"")</f>
        <v/>
      </c>
      <c r="DA875" s="145" t="str">
        <f>IF($I875&lt;&gt;"",J875*INDEX('Device Refrigerant Leakage'!$D$2:$D$42,MATCH($Q875,'Device Refrigerant Leakage'!$B$2:$B$42,0))*CX875/2204.62*CW875,"")</f>
        <v/>
      </c>
      <c r="DB875" s="145" t="str">
        <f>IF($I875&lt;&gt;"",J875*(INDEX('Device Refrigerant Leakage'!$D$2:$D$42,MATCH($Q875,'Device Refrigerant Leakage'!$B$2:$B$42,0))-(INDEX('Device Refrigerant Leakage'!$D$2:$D$42,MATCH($Q875,'Device Refrigerant Leakage'!$B$2:$B$42,0)))*CZ875*CX875)*CY875/2204.62*CW875,"")</f>
        <v/>
      </c>
      <c r="DC875" s="135" t="str">
        <f t="shared" si="1028"/>
        <v/>
      </c>
      <c r="DE875" s="146" t="str">
        <f>IF(W875&lt;&gt;"AR","",IF(Y875="User Specified", AA875, INDEX('Refrigerant GWPs'!$G$2:$G$154,MATCH(Y875,'Refrigerant GWPs'!$A$2:$A$154,0))))</f>
        <v/>
      </c>
      <c r="DF875" s="146" t="str">
        <f>IF(W875&lt;&gt;"AR","",INDEX('Device Refrigerant Leakage'!$E$2:$E$42,MATCH(X875,'Device Refrigerant Leakage'!$B$2:$B$42,0)))</f>
        <v/>
      </c>
      <c r="DG875" s="146" t="str">
        <f>IF(W875&lt;&gt;"AR","",INDEX('Device Refrigerant Leakage'!$F$2:$F$42,MATCH(X875,'Device Refrigerant Leakage'!$B$2:$B$42,0)))</f>
        <v/>
      </c>
      <c r="DH875" s="146" t="str">
        <f>IF(W875&lt;&gt;"AR","",INDEX('Device Refrigerant Leakage'!$G$2:$G$42,MATCH(X875,'Device Refrigerant Leakage'!$B$2:$B$42,0)))</f>
        <v/>
      </c>
      <c r="DI875" s="146" t="str">
        <f>IF(W875&lt;&gt;"AR","",J875*INDEX('Device Refrigerant Leakage'!$D$2:$D$42,MATCH(X875,'Device Refrigerant Leakage'!$B$2:$B$42,0))*DF875/2204.62*DE875)</f>
        <v/>
      </c>
      <c r="DJ875" s="146" t="str">
        <f>IF(W875&lt;&gt;"AR","",J875*(INDEX('Device Refrigerant Leakage'!$D$2:$D$42,MATCH(X875,'Device Refrigerant Leakage'!$B$2:$B$42,0))-(INDEX('Device Refrigerant Leakage'!$D$2:$D$42,MATCH(X875,'Device Refrigerant Leakage'!$B$2:$B$42,0)))*DH875*DF875)*DG875/2204.62*DE875)</f>
        <v/>
      </c>
      <c r="DK875" s="146" t="str">
        <f>IF(W875&lt;&gt;"AR","",DI875*(K875-AB875)+'Fuel Sub Calcs-Deemed'!DJ875*((K875-AB875)/INDEX('Device Refrigerant Leakage'!$C$2:$C$42,MATCH('Fuel Sub Calcs-Deemed'!X875,'Device Refrigerant Leakage'!$B$2:$B$42,0))))</f>
        <v/>
      </c>
      <c r="DM875" s="56">
        <v>861</v>
      </c>
      <c r="DN875" s="67" t="e">
        <f t="shared" si="1010"/>
        <v>#N/A</v>
      </c>
      <c r="DO875" s="45" t="e">
        <f t="shared" si="1011"/>
        <v>#N/A</v>
      </c>
      <c r="DP875" s="67" t="e">
        <f t="shared" si="1012"/>
        <v>#N/A</v>
      </c>
      <c r="DQ875" s="45" t="e">
        <f t="shared" si="1013"/>
        <v>#N/A</v>
      </c>
      <c r="DR875" s="69" t="e">
        <f t="shared" si="1014"/>
        <v>#N/A</v>
      </c>
      <c r="DS875" s="34"/>
      <c r="DT875" s="67" t="e">
        <f>((BX875*CJ875)+IF($W875=MAT_AR,(BZ875*CL875),0))*(1+Reference!$E$50+Reference!$E$51)</f>
        <v>#N/A</v>
      </c>
      <c r="DU875" s="67">
        <f>((BY875*CK875)+IF($W875=MAT_AR,(CA875*CM875),0))*(1+Reference!$G$50+Reference!$G$51)</f>
        <v>0</v>
      </c>
      <c r="DV875" s="67" t="e">
        <f t="shared" si="1015"/>
        <v>#VALUE!</v>
      </c>
      <c r="DX875" s="56">
        <v>861</v>
      </c>
      <c r="DY875" s="67">
        <f t="shared" si="1016"/>
        <v>0</v>
      </c>
      <c r="DZ875" s="45" t="e">
        <f>VLOOKUP($R875,Dropdown!$C$3:$D$4,2,FALSE)</f>
        <v>#N/A</v>
      </c>
      <c r="EA875" s="68">
        <f t="shared" si="1017"/>
        <v>0</v>
      </c>
      <c r="EB875" s="68" t="str">
        <f t="shared" si="1018"/>
        <v>N/A</v>
      </c>
      <c r="EC875" s="68">
        <f t="shared" si="1019"/>
        <v>0</v>
      </c>
      <c r="ED875" s="68" t="str">
        <f t="shared" si="1057"/>
        <v>N/A</v>
      </c>
      <c r="EF875" s="56">
        <v>861</v>
      </c>
      <c r="EG875" s="46">
        <f t="shared" si="1020"/>
        <v>0</v>
      </c>
      <c r="EH875" s="68" t="e">
        <f t="shared" si="1021"/>
        <v>#N/A</v>
      </c>
      <c r="EI875" s="68" t="e">
        <f t="shared" si="1022"/>
        <v>#N/A</v>
      </c>
      <c r="EJ875" s="68" t="e">
        <f t="shared" si="1023"/>
        <v>#N/A</v>
      </c>
      <c r="EK875" s="68" t="e">
        <f t="shared" si="1024"/>
        <v>#N/A</v>
      </c>
      <c r="EL875" s="46">
        <f t="shared" si="1025"/>
        <v>0</v>
      </c>
      <c r="EM875" s="46">
        <f t="shared" si="1026"/>
        <v>0</v>
      </c>
    </row>
    <row r="876" spans="1:143">
      <c r="A876" s="89"/>
      <c r="B876" s="89"/>
      <c r="C876" s="89"/>
      <c r="D876" s="89"/>
      <c r="E876" s="89"/>
      <c r="F876" s="89"/>
      <c r="G876" s="34"/>
      <c r="H876" s="56">
        <f t="shared" si="1027"/>
        <v>862</v>
      </c>
      <c r="I876" s="165"/>
      <c r="J876" s="163"/>
      <c r="K876" s="163"/>
      <c r="L876" s="164"/>
      <c r="M876" s="155"/>
      <c r="N876" s="155"/>
      <c r="O876" s="144"/>
      <c r="P876" s="159" t="str">
        <f>IFERROR(IF(O876&lt;&gt;"User Specified",IF(O876&lt;&gt;"", INDEX('Refrigerant GWPs'!$G$2:$G$154,MATCH(O876,'Refrigerant GWPs'!$A$2:$A$154,0)),""),U876),0)</f>
        <v/>
      </c>
      <c r="Q876" s="155"/>
      <c r="R876" s="155"/>
      <c r="S876" s="144"/>
      <c r="T876" s="159" t="str">
        <f>IF(S876&lt;&gt;"User Specified",IF(AND(S876&lt;&gt;"User Specified",S876&lt;&gt;""), INDEX('Refrigerant GWPs'!$G$2:$G$154,MATCH(S876,'Refrigerant GWPs'!$A$2:$A$154,0)),""),V876)</f>
        <v/>
      </c>
      <c r="U876" s="144"/>
      <c r="V876" s="144"/>
      <c r="W876" s="155"/>
      <c r="X876" s="155"/>
      <c r="Y876" s="144"/>
      <c r="Z876" s="159" t="str">
        <f>IF(AND(Y876&lt;&gt;"User Specified",Y876&lt;&gt;""), INDEX('Refrigerant GWPs'!$G$2:$G$154,MATCH(Y876,'Refrigerant GWPs'!$A$2:$A$154,0)),"")</f>
        <v/>
      </c>
      <c r="AA876" s="155"/>
      <c r="AB876" s="156"/>
      <c r="AC876" s="66"/>
      <c r="AD876" s="66"/>
      <c r="AE876" s="66"/>
      <c r="AF876" s="66"/>
      <c r="AG876" s="66"/>
      <c r="AH876" s="66"/>
      <c r="AI876" s="34"/>
      <c r="AJ876" s="88">
        <f t="shared" si="990"/>
        <v>0</v>
      </c>
      <c r="AK876" s="88">
        <f t="shared" si="991"/>
        <v>0</v>
      </c>
      <c r="AL876" s="88">
        <v>0</v>
      </c>
      <c r="AM876" s="88">
        <v>0</v>
      </c>
      <c r="AN876" s="81" t="str">
        <f t="shared" si="1029"/>
        <v/>
      </c>
      <c r="AO876" s="88">
        <f t="shared" si="992"/>
        <v>0</v>
      </c>
      <c r="AP876" s="88">
        <f t="shared" si="993"/>
        <v>0</v>
      </c>
      <c r="AQ876" s="81" t="str">
        <f t="shared" si="994"/>
        <v/>
      </c>
      <c r="AS876" s="41" t="b">
        <f t="shared" si="995"/>
        <v>1</v>
      </c>
      <c r="AT876" s="38">
        <f t="shared" si="996"/>
        <v>0</v>
      </c>
      <c r="AU876" s="60">
        <f t="shared" si="997"/>
        <v>0</v>
      </c>
      <c r="AV876" s="41">
        <f t="shared" si="998"/>
        <v>0</v>
      </c>
      <c r="AW876" s="41" t="b">
        <f t="shared" si="999"/>
        <v>0</v>
      </c>
      <c r="AX876" t="str">
        <f t="shared" si="1000"/>
        <v>+00</v>
      </c>
      <c r="AY876" t="str">
        <f t="shared" si="1001"/>
        <v>+00</v>
      </c>
      <c r="BA876" s="47" t="b">
        <f t="shared" si="1030"/>
        <v>1</v>
      </c>
      <c r="BB876" s="42" t="b">
        <f t="shared" si="1031"/>
        <v>1</v>
      </c>
      <c r="BC876" s="42" t="b">
        <f t="shared" si="1032"/>
        <v>0</v>
      </c>
      <c r="BD876" s="42" t="b">
        <f t="shared" si="1033"/>
        <v>0</v>
      </c>
      <c r="BE876" s="70">
        <f t="shared" si="1034"/>
        <v>0</v>
      </c>
      <c r="BF876" s="70">
        <f t="shared" si="1035"/>
        <v>0</v>
      </c>
      <c r="BG876" s="34"/>
      <c r="BI876" s="47" t="b">
        <f t="shared" si="1036"/>
        <v>1</v>
      </c>
      <c r="BJ876" s="47" t="b">
        <f t="shared" si="1037"/>
        <v>1</v>
      </c>
      <c r="BK876" s="42" t="b">
        <f t="shared" si="1038"/>
        <v>0</v>
      </c>
      <c r="BL876" s="42" t="b">
        <f t="shared" si="1039"/>
        <v>0</v>
      </c>
      <c r="BM876" s="42">
        <f t="shared" si="1040"/>
        <v>0</v>
      </c>
      <c r="BN876" s="42">
        <f t="shared" si="1041"/>
        <v>0</v>
      </c>
      <c r="BP876" t="e">
        <f t="shared" si="1042"/>
        <v>#N/A</v>
      </c>
      <c r="BQ876" t="e">
        <f t="shared" si="1043"/>
        <v>#N/A</v>
      </c>
      <c r="BR876" t="e">
        <f t="shared" si="1044"/>
        <v>#N/A</v>
      </c>
      <c r="BT876" s="60">
        <f t="shared" si="1045"/>
        <v>0</v>
      </c>
      <c r="BU876" s="60">
        <f t="shared" si="1046"/>
        <v>0</v>
      </c>
      <c r="BV876" s="60">
        <f t="shared" si="1047"/>
        <v>0</v>
      </c>
      <c r="BW876" s="60">
        <f t="shared" si="1048"/>
        <v>0</v>
      </c>
      <c r="BX876" s="60">
        <f t="shared" si="1049"/>
        <v>0</v>
      </c>
      <c r="BY876" s="60">
        <f t="shared" si="1050"/>
        <v>0</v>
      </c>
      <c r="BZ876" s="60">
        <f t="shared" si="1051"/>
        <v>0</v>
      </c>
      <c r="CA876" s="60">
        <f t="shared" si="1052"/>
        <v>0</v>
      </c>
      <c r="CB876" s="60" t="e">
        <f t="shared" si="1002"/>
        <v>#N/A</v>
      </c>
      <c r="CC876" s="60">
        <f t="shared" si="1003"/>
        <v>100000</v>
      </c>
      <c r="CD876" s="60" t="e">
        <f t="shared" si="1004"/>
        <v>#N/A</v>
      </c>
      <c r="CE876" s="60">
        <f t="shared" si="1005"/>
        <v>100000</v>
      </c>
      <c r="CF876" s="83" t="e">
        <f t="shared" si="1053"/>
        <v>#N/A</v>
      </c>
      <c r="CG876" s="83">
        <f t="shared" si="1054"/>
        <v>0</v>
      </c>
      <c r="CH876" s="83" t="e">
        <f t="shared" si="1055"/>
        <v>#N/A</v>
      </c>
      <c r="CI876" s="83">
        <f t="shared" si="1056"/>
        <v>0</v>
      </c>
      <c r="CJ876" s="86" t="e">
        <f t="shared" si="1006"/>
        <v>#N/A</v>
      </c>
      <c r="CK876" s="82">
        <f t="shared" si="1007"/>
        <v>5.3070370403969858E-3</v>
      </c>
      <c r="CL876" s="82" t="e">
        <f t="shared" si="1008"/>
        <v>#N/A</v>
      </c>
      <c r="CM876" s="82">
        <f t="shared" si="1009"/>
        <v>5.3070370403969858E-3</v>
      </c>
      <c r="CO876" s="149" t="str">
        <f>IF($I876&lt;&gt;"",IF(O876="User Specified",U876,INDEX('Refrigerant GWPs'!$G$2:$G$156,MATCH(O876,'Refrigerant GWPs'!$A$2:$A$156,0))),"")</f>
        <v/>
      </c>
      <c r="CP876" s="138" t="str">
        <f>IF($I876&lt;&gt;"",INDEX('Device Refrigerant Leakage'!$E$2:$E$42,MATCH($M876,'Device Refrigerant Leakage'!$B$2:$B$42,0)),"")</f>
        <v/>
      </c>
      <c r="CQ876" s="138" t="str">
        <f>IF($I876&lt;&gt;"",INDEX('Device Refrigerant Leakage'!$F$2:$F$42,MATCH($M876,'Device Refrigerant Leakage'!$B$2:$B$42,0)),"")</f>
        <v/>
      </c>
      <c r="CR876" s="145" t="str">
        <f>IF($I876&lt;&gt;"",INDEX('Device Refrigerant Leakage'!$G$2:$G$42,MATCH($M876,'Device Refrigerant Leakage'!$B$2:$B$42,0)),"")</f>
        <v/>
      </c>
      <c r="CS876" s="145" t="str">
        <f>IF($I876&lt;&gt;"",INDEX('Device Refrigerant Leakage'!$D$2:$D$42,MATCH($M876,'Device Refrigerant Leakage'!$B$2:$B$42,0))*CP876/2204.62*CO876,"")</f>
        <v/>
      </c>
      <c r="CT876" s="145" t="str">
        <f>IF($I876&lt;&gt;"",J876*(INDEX('Device Refrigerant Leakage'!$D$2:$D$42,MATCH($M876,'Device Refrigerant Leakage'!$B$2:$B$42,0))-(INDEX('Device Refrigerant Leakage'!$D$2:$D$42,MATCH($M876,'Device Refrigerant Leakage'!$B$2:$B$42,0)))*CR876*CP876)*CQ876/2204.62*CO876,"")</f>
        <v/>
      </c>
      <c r="CU876" s="135" t="str">
        <f>IF($I876&lt;&gt;"",J876*IF(W876&lt;&gt;"AR",(CS876*K876)+CT876,(CS876*AB876)+CT876*(AB876/INDEX('Device Refrigerant Leakage'!$C$2:$C$42,MATCH($M876,'Device Refrigerant Leakage'!$B$2:$B$42,0)))),"")</f>
        <v/>
      </c>
      <c r="CW876" s="135" t="str">
        <f>IF($I876&lt;&gt;"",IF(S876="User Specified",V876,INDEX('Refrigerant GWPs'!$G$2:$G$156,MATCH(S876,'Refrigerant GWPs'!$A$2:$A$157,0))),"")</f>
        <v/>
      </c>
      <c r="CX876" s="138" t="str">
        <f>IF($I876&lt;&gt;"",INDEX('Device Refrigerant Leakage'!$E$2:$E$42,MATCH($Q876,'Device Refrigerant Leakage'!$B$2:$B$42,0)),"")</f>
        <v/>
      </c>
      <c r="CY876" s="138" t="str">
        <f>IF($I876&lt;&gt;"",INDEX('Device Refrigerant Leakage'!$F$2:$F$42,MATCH($Q876,'Device Refrigerant Leakage'!$B$2:$B$42,0)),"")</f>
        <v/>
      </c>
      <c r="CZ876" s="145" t="str">
        <f>IF($I876&lt;&gt;"",INDEX('Device Refrigerant Leakage'!$G$2:$G$42,MATCH($Q876,'Device Refrigerant Leakage'!$B$2:$B$42,0)),"")</f>
        <v/>
      </c>
      <c r="DA876" s="145" t="str">
        <f>IF($I876&lt;&gt;"",J876*INDEX('Device Refrigerant Leakage'!$D$2:$D$42,MATCH($Q876,'Device Refrigerant Leakage'!$B$2:$B$42,0))*CX876/2204.62*CW876,"")</f>
        <v/>
      </c>
      <c r="DB876" s="145" t="str">
        <f>IF($I876&lt;&gt;"",J876*(INDEX('Device Refrigerant Leakage'!$D$2:$D$42,MATCH($Q876,'Device Refrigerant Leakage'!$B$2:$B$42,0))-(INDEX('Device Refrigerant Leakage'!$D$2:$D$42,MATCH($Q876,'Device Refrigerant Leakage'!$B$2:$B$42,0)))*CZ876*CX876)*CY876/2204.62*CW876,"")</f>
        <v/>
      </c>
      <c r="DC876" s="135" t="str">
        <f t="shared" si="1028"/>
        <v/>
      </c>
      <c r="DE876" s="146" t="str">
        <f>IF(W876&lt;&gt;"AR","",IF(Y876="User Specified", AA876, INDEX('Refrigerant GWPs'!$G$2:$G$154,MATCH(Y876,'Refrigerant GWPs'!$A$2:$A$154,0))))</f>
        <v/>
      </c>
      <c r="DF876" s="146" t="str">
        <f>IF(W876&lt;&gt;"AR","",INDEX('Device Refrigerant Leakage'!$E$2:$E$42,MATCH(X876,'Device Refrigerant Leakage'!$B$2:$B$42,0)))</f>
        <v/>
      </c>
      <c r="DG876" s="146" t="str">
        <f>IF(W876&lt;&gt;"AR","",INDEX('Device Refrigerant Leakage'!$F$2:$F$42,MATCH(X876,'Device Refrigerant Leakage'!$B$2:$B$42,0)))</f>
        <v/>
      </c>
      <c r="DH876" s="146" t="str">
        <f>IF(W876&lt;&gt;"AR","",INDEX('Device Refrigerant Leakage'!$G$2:$G$42,MATCH(X876,'Device Refrigerant Leakage'!$B$2:$B$42,0)))</f>
        <v/>
      </c>
      <c r="DI876" s="146" t="str">
        <f>IF(W876&lt;&gt;"AR","",J876*INDEX('Device Refrigerant Leakage'!$D$2:$D$42,MATCH(X876,'Device Refrigerant Leakage'!$B$2:$B$42,0))*DF876/2204.62*DE876)</f>
        <v/>
      </c>
      <c r="DJ876" s="146" t="str">
        <f>IF(W876&lt;&gt;"AR","",J876*(INDEX('Device Refrigerant Leakage'!$D$2:$D$42,MATCH(X876,'Device Refrigerant Leakage'!$B$2:$B$42,0))-(INDEX('Device Refrigerant Leakage'!$D$2:$D$42,MATCH(X876,'Device Refrigerant Leakage'!$B$2:$B$42,0)))*DH876*DF876)*DG876/2204.62*DE876)</f>
        <v/>
      </c>
      <c r="DK876" s="146" t="str">
        <f>IF(W876&lt;&gt;"AR","",DI876*(K876-AB876)+'Fuel Sub Calcs-Deemed'!DJ876*((K876-AB876)/INDEX('Device Refrigerant Leakage'!$C$2:$C$42,MATCH('Fuel Sub Calcs-Deemed'!X876,'Device Refrigerant Leakage'!$B$2:$B$42,0))))</f>
        <v/>
      </c>
      <c r="DM876" s="56">
        <v>862</v>
      </c>
      <c r="DN876" s="67" t="e">
        <f t="shared" si="1010"/>
        <v>#N/A</v>
      </c>
      <c r="DO876" s="45" t="e">
        <f t="shared" si="1011"/>
        <v>#N/A</v>
      </c>
      <c r="DP876" s="67" t="e">
        <f t="shared" si="1012"/>
        <v>#N/A</v>
      </c>
      <c r="DQ876" s="45" t="e">
        <f t="shared" si="1013"/>
        <v>#N/A</v>
      </c>
      <c r="DR876" s="69" t="e">
        <f t="shared" si="1014"/>
        <v>#N/A</v>
      </c>
      <c r="DS876" s="34"/>
      <c r="DT876" s="67" t="e">
        <f>((BX876*CJ876)+IF($W876=MAT_AR,(BZ876*CL876),0))*(1+Reference!$E$50+Reference!$E$51)</f>
        <v>#N/A</v>
      </c>
      <c r="DU876" s="67">
        <f>((BY876*CK876)+IF($W876=MAT_AR,(CA876*CM876),0))*(1+Reference!$G$50+Reference!$G$51)</f>
        <v>0</v>
      </c>
      <c r="DV876" s="67" t="e">
        <f t="shared" si="1015"/>
        <v>#VALUE!</v>
      </c>
      <c r="DX876" s="56">
        <v>862</v>
      </c>
      <c r="DY876" s="67">
        <f t="shared" si="1016"/>
        <v>0</v>
      </c>
      <c r="DZ876" s="45" t="e">
        <f>VLOOKUP($R876,Dropdown!$C$3:$D$4,2,FALSE)</f>
        <v>#N/A</v>
      </c>
      <c r="EA876" s="68">
        <f t="shared" si="1017"/>
        <v>0</v>
      </c>
      <c r="EB876" s="68" t="str">
        <f t="shared" si="1018"/>
        <v>N/A</v>
      </c>
      <c r="EC876" s="68">
        <f t="shared" si="1019"/>
        <v>0</v>
      </c>
      <c r="ED876" s="68" t="str">
        <f t="shared" si="1057"/>
        <v>N/A</v>
      </c>
      <c r="EF876" s="56">
        <v>862</v>
      </c>
      <c r="EG876" s="46">
        <f t="shared" si="1020"/>
        <v>0</v>
      </c>
      <c r="EH876" s="68" t="e">
        <f t="shared" si="1021"/>
        <v>#N/A</v>
      </c>
      <c r="EI876" s="68" t="e">
        <f t="shared" si="1022"/>
        <v>#N/A</v>
      </c>
      <c r="EJ876" s="68" t="e">
        <f t="shared" si="1023"/>
        <v>#N/A</v>
      </c>
      <c r="EK876" s="68" t="e">
        <f t="shared" si="1024"/>
        <v>#N/A</v>
      </c>
      <c r="EL876" s="46">
        <f t="shared" si="1025"/>
        <v>0</v>
      </c>
      <c r="EM876" s="46">
        <f t="shared" si="1026"/>
        <v>0</v>
      </c>
    </row>
    <row r="877" spans="1:143">
      <c r="A877" s="89"/>
      <c r="B877" s="89"/>
      <c r="C877" s="89"/>
      <c r="D877" s="89"/>
      <c r="E877" s="89"/>
      <c r="F877" s="89"/>
      <c r="G877" s="34"/>
      <c r="H877" s="56">
        <f t="shared" si="1027"/>
        <v>863</v>
      </c>
      <c r="I877" s="165"/>
      <c r="J877" s="163"/>
      <c r="K877" s="163"/>
      <c r="L877" s="164"/>
      <c r="M877" s="155"/>
      <c r="N877" s="155"/>
      <c r="O877" s="144"/>
      <c r="P877" s="159" t="str">
        <f>IFERROR(IF(O877&lt;&gt;"User Specified",IF(O877&lt;&gt;"", INDEX('Refrigerant GWPs'!$G$2:$G$154,MATCH(O877,'Refrigerant GWPs'!$A$2:$A$154,0)),""),U877),0)</f>
        <v/>
      </c>
      <c r="Q877" s="155"/>
      <c r="R877" s="155"/>
      <c r="S877" s="144"/>
      <c r="T877" s="159" t="str">
        <f>IF(S877&lt;&gt;"User Specified",IF(AND(S877&lt;&gt;"User Specified",S877&lt;&gt;""), INDEX('Refrigerant GWPs'!$G$2:$G$154,MATCH(S877,'Refrigerant GWPs'!$A$2:$A$154,0)),""),V877)</f>
        <v/>
      </c>
      <c r="U877" s="144"/>
      <c r="V877" s="144"/>
      <c r="W877" s="155"/>
      <c r="X877" s="155"/>
      <c r="Y877" s="144"/>
      <c r="Z877" s="159" t="str">
        <f>IF(AND(Y877&lt;&gt;"User Specified",Y877&lt;&gt;""), INDEX('Refrigerant GWPs'!$G$2:$G$154,MATCH(Y877,'Refrigerant GWPs'!$A$2:$A$154,0)),"")</f>
        <v/>
      </c>
      <c r="AA877" s="155"/>
      <c r="AB877" s="156"/>
      <c r="AC877" s="66"/>
      <c r="AD877" s="66"/>
      <c r="AE877" s="66"/>
      <c r="AF877" s="66"/>
      <c r="AG877" s="66"/>
      <c r="AH877" s="66"/>
      <c r="AI877" s="34"/>
      <c r="AJ877" s="88">
        <f t="shared" si="990"/>
        <v>0</v>
      </c>
      <c r="AK877" s="88">
        <f t="shared" si="991"/>
        <v>0</v>
      </c>
      <c r="AL877" s="88">
        <v>0</v>
      </c>
      <c r="AM877" s="88">
        <v>0</v>
      </c>
      <c r="AN877" s="81" t="str">
        <f t="shared" si="1029"/>
        <v/>
      </c>
      <c r="AO877" s="88">
        <f t="shared" si="992"/>
        <v>0</v>
      </c>
      <c r="AP877" s="88">
        <f t="shared" si="993"/>
        <v>0</v>
      </c>
      <c r="AQ877" s="81" t="str">
        <f t="shared" si="994"/>
        <v/>
      </c>
      <c r="AS877" s="41" t="b">
        <f t="shared" si="995"/>
        <v>1</v>
      </c>
      <c r="AT877" s="38">
        <f t="shared" si="996"/>
        <v>0</v>
      </c>
      <c r="AU877" s="60">
        <f t="shared" si="997"/>
        <v>0</v>
      </c>
      <c r="AV877" s="41">
        <f t="shared" si="998"/>
        <v>0</v>
      </c>
      <c r="AW877" s="41" t="b">
        <f t="shared" si="999"/>
        <v>0</v>
      </c>
      <c r="AX877" t="str">
        <f t="shared" si="1000"/>
        <v>+00</v>
      </c>
      <c r="AY877" t="str">
        <f t="shared" si="1001"/>
        <v>+00</v>
      </c>
      <c r="BA877" s="47" t="b">
        <f t="shared" si="1030"/>
        <v>1</v>
      </c>
      <c r="BB877" s="42" t="b">
        <f t="shared" si="1031"/>
        <v>1</v>
      </c>
      <c r="BC877" s="42" t="b">
        <f t="shared" si="1032"/>
        <v>0</v>
      </c>
      <c r="BD877" s="42" t="b">
        <f t="shared" si="1033"/>
        <v>0</v>
      </c>
      <c r="BE877" s="70">
        <f t="shared" si="1034"/>
        <v>0</v>
      </c>
      <c r="BF877" s="70">
        <f t="shared" si="1035"/>
        <v>0</v>
      </c>
      <c r="BG877" s="34"/>
      <c r="BI877" s="47" t="b">
        <f t="shared" si="1036"/>
        <v>1</v>
      </c>
      <c r="BJ877" s="47" t="b">
        <f t="shared" si="1037"/>
        <v>1</v>
      </c>
      <c r="BK877" s="42" t="b">
        <f t="shared" si="1038"/>
        <v>0</v>
      </c>
      <c r="BL877" s="42" t="b">
        <f t="shared" si="1039"/>
        <v>0</v>
      </c>
      <c r="BM877" s="42">
        <f t="shared" si="1040"/>
        <v>0</v>
      </c>
      <c r="BN877" s="42">
        <f t="shared" si="1041"/>
        <v>0</v>
      </c>
      <c r="BP877" t="e">
        <f t="shared" si="1042"/>
        <v>#N/A</v>
      </c>
      <c r="BQ877" t="e">
        <f t="shared" si="1043"/>
        <v>#N/A</v>
      </c>
      <c r="BR877" t="e">
        <f t="shared" si="1044"/>
        <v>#N/A</v>
      </c>
      <c r="BT877" s="60">
        <f t="shared" si="1045"/>
        <v>0</v>
      </c>
      <c r="BU877" s="60">
        <f t="shared" si="1046"/>
        <v>0</v>
      </c>
      <c r="BV877" s="60">
        <f t="shared" si="1047"/>
        <v>0</v>
      </c>
      <c r="BW877" s="60">
        <f t="shared" si="1048"/>
        <v>0</v>
      </c>
      <c r="BX877" s="60">
        <f t="shared" si="1049"/>
        <v>0</v>
      </c>
      <c r="BY877" s="60">
        <f t="shared" si="1050"/>
        <v>0</v>
      </c>
      <c r="BZ877" s="60">
        <f t="shared" si="1051"/>
        <v>0</v>
      </c>
      <c r="CA877" s="60">
        <f t="shared" si="1052"/>
        <v>0</v>
      </c>
      <c r="CB877" s="60" t="e">
        <f t="shared" si="1002"/>
        <v>#N/A</v>
      </c>
      <c r="CC877" s="60">
        <f t="shared" si="1003"/>
        <v>100000</v>
      </c>
      <c r="CD877" s="60" t="e">
        <f t="shared" si="1004"/>
        <v>#N/A</v>
      </c>
      <c r="CE877" s="60">
        <f t="shared" si="1005"/>
        <v>100000</v>
      </c>
      <c r="CF877" s="83" t="e">
        <f t="shared" si="1053"/>
        <v>#N/A</v>
      </c>
      <c r="CG877" s="83">
        <f t="shared" si="1054"/>
        <v>0</v>
      </c>
      <c r="CH877" s="83" t="e">
        <f t="shared" si="1055"/>
        <v>#N/A</v>
      </c>
      <c r="CI877" s="83">
        <f t="shared" si="1056"/>
        <v>0</v>
      </c>
      <c r="CJ877" s="86" t="e">
        <f t="shared" si="1006"/>
        <v>#N/A</v>
      </c>
      <c r="CK877" s="82">
        <f t="shared" si="1007"/>
        <v>5.3070370403969858E-3</v>
      </c>
      <c r="CL877" s="82" t="e">
        <f t="shared" si="1008"/>
        <v>#N/A</v>
      </c>
      <c r="CM877" s="82">
        <f t="shared" si="1009"/>
        <v>5.3070370403969858E-3</v>
      </c>
      <c r="CO877" s="149" t="str">
        <f>IF($I877&lt;&gt;"",IF(O877="User Specified",U877,INDEX('Refrigerant GWPs'!$G$2:$G$156,MATCH(O877,'Refrigerant GWPs'!$A$2:$A$156,0))),"")</f>
        <v/>
      </c>
      <c r="CP877" s="138" t="str">
        <f>IF($I877&lt;&gt;"",INDEX('Device Refrigerant Leakage'!$E$2:$E$42,MATCH($M877,'Device Refrigerant Leakage'!$B$2:$B$42,0)),"")</f>
        <v/>
      </c>
      <c r="CQ877" s="138" t="str">
        <f>IF($I877&lt;&gt;"",INDEX('Device Refrigerant Leakage'!$F$2:$F$42,MATCH($M877,'Device Refrigerant Leakage'!$B$2:$B$42,0)),"")</f>
        <v/>
      </c>
      <c r="CR877" s="145" t="str">
        <f>IF($I877&lt;&gt;"",INDEX('Device Refrigerant Leakage'!$G$2:$G$42,MATCH($M877,'Device Refrigerant Leakage'!$B$2:$B$42,0)),"")</f>
        <v/>
      </c>
      <c r="CS877" s="145" t="str">
        <f>IF($I877&lt;&gt;"",INDEX('Device Refrigerant Leakage'!$D$2:$D$42,MATCH($M877,'Device Refrigerant Leakage'!$B$2:$B$42,0))*CP877/2204.62*CO877,"")</f>
        <v/>
      </c>
      <c r="CT877" s="145" t="str">
        <f>IF($I877&lt;&gt;"",J877*(INDEX('Device Refrigerant Leakage'!$D$2:$D$42,MATCH($M877,'Device Refrigerant Leakage'!$B$2:$B$42,0))-(INDEX('Device Refrigerant Leakage'!$D$2:$D$42,MATCH($M877,'Device Refrigerant Leakage'!$B$2:$B$42,0)))*CR877*CP877)*CQ877/2204.62*CO877,"")</f>
        <v/>
      </c>
      <c r="CU877" s="135" t="str">
        <f>IF($I877&lt;&gt;"",J877*IF(W877&lt;&gt;"AR",(CS877*K877)+CT877,(CS877*AB877)+CT877*(AB877/INDEX('Device Refrigerant Leakage'!$C$2:$C$42,MATCH($M877,'Device Refrigerant Leakage'!$B$2:$B$42,0)))),"")</f>
        <v/>
      </c>
      <c r="CW877" s="135" t="str">
        <f>IF($I877&lt;&gt;"",IF(S877="User Specified",V877,INDEX('Refrigerant GWPs'!$G$2:$G$156,MATCH(S877,'Refrigerant GWPs'!$A$2:$A$157,0))),"")</f>
        <v/>
      </c>
      <c r="CX877" s="138" t="str">
        <f>IF($I877&lt;&gt;"",INDEX('Device Refrigerant Leakage'!$E$2:$E$42,MATCH($Q877,'Device Refrigerant Leakage'!$B$2:$B$42,0)),"")</f>
        <v/>
      </c>
      <c r="CY877" s="138" t="str">
        <f>IF($I877&lt;&gt;"",INDEX('Device Refrigerant Leakage'!$F$2:$F$42,MATCH($Q877,'Device Refrigerant Leakage'!$B$2:$B$42,0)),"")</f>
        <v/>
      </c>
      <c r="CZ877" s="145" t="str">
        <f>IF($I877&lt;&gt;"",INDEX('Device Refrigerant Leakage'!$G$2:$G$42,MATCH($Q877,'Device Refrigerant Leakage'!$B$2:$B$42,0)),"")</f>
        <v/>
      </c>
      <c r="DA877" s="145" t="str">
        <f>IF($I877&lt;&gt;"",J877*INDEX('Device Refrigerant Leakage'!$D$2:$D$42,MATCH($Q877,'Device Refrigerant Leakage'!$B$2:$B$42,0))*CX877/2204.62*CW877,"")</f>
        <v/>
      </c>
      <c r="DB877" s="145" t="str">
        <f>IF($I877&lt;&gt;"",J877*(INDEX('Device Refrigerant Leakage'!$D$2:$D$42,MATCH($Q877,'Device Refrigerant Leakage'!$B$2:$B$42,0))-(INDEX('Device Refrigerant Leakage'!$D$2:$D$42,MATCH($Q877,'Device Refrigerant Leakage'!$B$2:$B$42,0)))*CZ877*CX877)*CY877/2204.62*CW877,"")</f>
        <v/>
      </c>
      <c r="DC877" s="135" t="str">
        <f t="shared" si="1028"/>
        <v/>
      </c>
      <c r="DE877" s="146" t="str">
        <f>IF(W877&lt;&gt;"AR","",IF(Y877="User Specified", AA877, INDEX('Refrigerant GWPs'!$G$2:$G$154,MATCH(Y877,'Refrigerant GWPs'!$A$2:$A$154,0))))</f>
        <v/>
      </c>
      <c r="DF877" s="146" t="str">
        <f>IF(W877&lt;&gt;"AR","",INDEX('Device Refrigerant Leakage'!$E$2:$E$42,MATCH(X877,'Device Refrigerant Leakage'!$B$2:$B$42,0)))</f>
        <v/>
      </c>
      <c r="DG877" s="146" t="str">
        <f>IF(W877&lt;&gt;"AR","",INDEX('Device Refrigerant Leakage'!$F$2:$F$42,MATCH(X877,'Device Refrigerant Leakage'!$B$2:$B$42,0)))</f>
        <v/>
      </c>
      <c r="DH877" s="146" t="str">
        <f>IF(W877&lt;&gt;"AR","",INDEX('Device Refrigerant Leakage'!$G$2:$G$42,MATCH(X877,'Device Refrigerant Leakage'!$B$2:$B$42,0)))</f>
        <v/>
      </c>
      <c r="DI877" s="146" t="str">
        <f>IF(W877&lt;&gt;"AR","",J877*INDEX('Device Refrigerant Leakage'!$D$2:$D$42,MATCH(X877,'Device Refrigerant Leakage'!$B$2:$B$42,0))*DF877/2204.62*DE877)</f>
        <v/>
      </c>
      <c r="DJ877" s="146" t="str">
        <f>IF(W877&lt;&gt;"AR","",J877*(INDEX('Device Refrigerant Leakage'!$D$2:$D$42,MATCH(X877,'Device Refrigerant Leakage'!$B$2:$B$42,0))-(INDEX('Device Refrigerant Leakage'!$D$2:$D$42,MATCH(X877,'Device Refrigerant Leakage'!$B$2:$B$42,0)))*DH877*DF877)*DG877/2204.62*DE877)</f>
        <v/>
      </c>
      <c r="DK877" s="146" t="str">
        <f>IF(W877&lt;&gt;"AR","",DI877*(K877-AB877)+'Fuel Sub Calcs-Deemed'!DJ877*((K877-AB877)/INDEX('Device Refrigerant Leakage'!$C$2:$C$42,MATCH('Fuel Sub Calcs-Deemed'!X877,'Device Refrigerant Leakage'!$B$2:$B$42,0))))</f>
        <v/>
      </c>
      <c r="DM877" s="56">
        <v>863</v>
      </c>
      <c r="DN877" s="67" t="e">
        <f t="shared" si="1010"/>
        <v>#N/A</v>
      </c>
      <c r="DO877" s="45" t="e">
        <f t="shared" si="1011"/>
        <v>#N/A</v>
      </c>
      <c r="DP877" s="67" t="e">
        <f t="shared" si="1012"/>
        <v>#N/A</v>
      </c>
      <c r="DQ877" s="45" t="e">
        <f t="shared" si="1013"/>
        <v>#N/A</v>
      </c>
      <c r="DR877" s="69" t="e">
        <f t="shared" si="1014"/>
        <v>#N/A</v>
      </c>
      <c r="DS877" s="34"/>
      <c r="DT877" s="67" t="e">
        <f>((BX877*CJ877)+IF($W877=MAT_AR,(BZ877*CL877),0))*(1+Reference!$E$50+Reference!$E$51)</f>
        <v>#N/A</v>
      </c>
      <c r="DU877" s="67">
        <f>((BY877*CK877)+IF($W877=MAT_AR,(CA877*CM877),0))*(1+Reference!$G$50+Reference!$G$51)</f>
        <v>0</v>
      </c>
      <c r="DV877" s="67" t="e">
        <f t="shared" si="1015"/>
        <v>#VALUE!</v>
      </c>
      <c r="DX877" s="56">
        <v>863</v>
      </c>
      <c r="DY877" s="67">
        <f t="shared" si="1016"/>
        <v>0</v>
      </c>
      <c r="DZ877" s="45" t="e">
        <f>VLOOKUP($R877,Dropdown!$C$3:$D$4,2,FALSE)</f>
        <v>#N/A</v>
      </c>
      <c r="EA877" s="68">
        <f t="shared" si="1017"/>
        <v>0</v>
      </c>
      <c r="EB877" s="68" t="str">
        <f t="shared" si="1018"/>
        <v>N/A</v>
      </c>
      <c r="EC877" s="68">
        <f t="shared" si="1019"/>
        <v>0</v>
      </c>
      <c r="ED877" s="68" t="str">
        <f t="shared" si="1057"/>
        <v>N/A</v>
      </c>
      <c r="EF877" s="56">
        <v>863</v>
      </c>
      <c r="EG877" s="46">
        <f t="shared" si="1020"/>
        <v>0</v>
      </c>
      <c r="EH877" s="68" t="e">
        <f t="shared" si="1021"/>
        <v>#N/A</v>
      </c>
      <c r="EI877" s="68" t="e">
        <f t="shared" si="1022"/>
        <v>#N/A</v>
      </c>
      <c r="EJ877" s="68" t="e">
        <f t="shared" si="1023"/>
        <v>#N/A</v>
      </c>
      <c r="EK877" s="68" t="e">
        <f t="shared" si="1024"/>
        <v>#N/A</v>
      </c>
      <c r="EL877" s="46">
        <f t="shared" si="1025"/>
        <v>0</v>
      </c>
      <c r="EM877" s="46">
        <f t="shared" si="1026"/>
        <v>0</v>
      </c>
    </row>
    <row r="878" spans="1:143">
      <c r="A878" s="89"/>
      <c r="B878" s="89"/>
      <c r="C878" s="89"/>
      <c r="D878" s="89"/>
      <c r="E878" s="89"/>
      <c r="F878" s="89"/>
      <c r="G878" s="34"/>
      <c r="H878" s="56">
        <f t="shared" si="1027"/>
        <v>864</v>
      </c>
      <c r="I878" s="165"/>
      <c r="J878" s="163"/>
      <c r="K878" s="163"/>
      <c r="L878" s="164"/>
      <c r="M878" s="155"/>
      <c r="N878" s="155"/>
      <c r="O878" s="144"/>
      <c r="P878" s="159" t="str">
        <f>IFERROR(IF(O878&lt;&gt;"User Specified",IF(O878&lt;&gt;"", INDEX('Refrigerant GWPs'!$G$2:$G$154,MATCH(O878,'Refrigerant GWPs'!$A$2:$A$154,0)),""),U878),0)</f>
        <v/>
      </c>
      <c r="Q878" s="155"/>
      <c r="R878" s="155"/>
      <c r="S878" s="144"/>
      <c r="T878" s="159" t="str">
        <f>IF(S878&lt;&gt;"User Specified",IF(AND(S878&lt;&gt;"User Specified",S878&lt;&gt;""), INDEX('Refrigerant GWPs'!$G$2:$G$154,MATCH(S878,'Refrigerant GWPs'!$A$2:$A$154,0)),""),V878)</f>
        <v/>
      </c>
      <c r="U878" s="144"/>
      <c r="V878" s="144"/>
      <c r="W878" s="155"/>
      <c r="X878" s="155"/>
      <c r="Y878" s="144"/>
      <c r="Z878" s="159" t="str">
        <f>IF(AND(Y878&lt;&gt;"User Specified",Y878&lt;&gt;""), INDEX('Refrigerant GWPs'!$G$2:$G$154,MATCH(Y878,'Refrigerant GWPs'!$A$2:$A$154,0)),"")</f>
        <v/>
      </c>
      <c r="AA878" s="155"/>
      <c r="AB878" s="156"/>
      <c r="AC878" s="66"/>
      <c r="AD878" s="66"/>
      <c r="AE878" s="66"/>
      <c r="AF878" s="66"/>
      <c r="AG878" s="66"/>
      <c r="AH878" s="66"/>
      <c r="AI878" s="34"/>
      <c r="AJ878" s="88">
        <f t="shared" si="990"/>
        <v>0</v>
      </c>
      <c r="AK878" s="88">
        <f t="shared" si="991"/>
        <v>0</v>
      </c>
      <c r="AL878" s="88">
        <v>0</v>
      </c>
      <c r="AM878" s="88">
        <v>0</v>
      </c>
      <c r="AN878" s="81" t="str">
        <f t="shared" si="1029"/>
        <v/>
      </c>
      <c r="AO878" s="88">
        <f t="shared" si="992"/>
        <v>0</v>
      </c>
      <c r="AP878" s="88">
        <f t="shared" si="993"/>
        <v>0</v>
      </c>
      <c r="AQ878" s="81" t="str">
        <f t="shared" si="994"/>
        <v/>
      </c>
      <c r="AS878" s="41" t="b">
        <f t="shared" si="995"/>
        <v>1</v>
      </c>
      <c r="AT878" s="38">
        <f t="shared" si="996"/>
        <v>0</v>
      </c>
      <c r="AU878" s="60">
        <f t="shared" si="997"/>
        <v>0</v>
      </c>
      <c r="AV878" s="41">
        <f t="shared" si="998"/>
        <v>0</v>
      </c>
      <c r="AW878" s="41" t="b">
        <f t="shared" si="999"/>
        <v>0</v>
      </c>
      <c r="AX878" t="str">
        <f t="shared" si="1000"/>
        <v>+00</v>
      </c>
      <c r="AY878" t="str">
        <f t="shared" si="1001"/>
        <v>+00</v>
      </c>
      <c r="BA878" s="47" t="b">
        <f t="shared" si="1030"/>
        <v>1</v>
      </c>
      <c r="BB878" s="42" t="b">
        <f t="shared" si="1031"/>
        <v>1</v>
      </c>
      <c r="BC878" s="42" t="b">
        <f t="shared" si="1032"/>
        <v>0</v>
      </c>
      <c r="BD878" s="42" t="b">
        <f t="shared" si="1033"/>
        <v>0</v>
      </c>
      <c r="BE878" s="70">
        <f t="shared" si="1034"/>
        <v>0</v>
      </c>
      <c r="BF878" s="70">
        <f t="shared" si="1035"/>
        <v>0</v>
      </c>
      <c r="BG878" s="34"/>
      <c r="BI878" s="47" t="b">
        <f t="shared" si="1036"/>
        <v>1</v>
      </c>
      <c r="BJ878" s="47" t="b">
        <f t="shared" si="1037"/>
        <v>1</v>
      </c>
      <c r="BK878" s="42" t="b">
        <f t="shared" si="1038"/>
        <v>0</v>
      </c>
      <c r="BL878" s="42" t="b">
        <f t="shared" si="1039"/>
        <v>0</v>
      </c>
      <c r="BM878" s="42">
        <f t="shared" si="1040"/>
        <v>0</v>
      </c>
      <c r="BN878" s="42">
        <f t="shared" si="1041"/>
        <v>0</v>
      </c>
      <c r="BP878" t="e">
        <f t="shared" si="1042"/>
        <v>#N/A</v>
      </c>
      <c r="BQ878" t="e">
        <f t="shared" si="1043"/>
        <v>#N/A</v>
      </c>
      <c r="BR878" t="e">
        <f t="shared" si="1044"/>
        <v>#N/A</v>
      </c>
      <c r="BT878" s="60">
        <f t="shared" si="1045"/>
        <v>0</v>
      </c>
      <c r="BU878" s="60">
        <f t="shared" si="1046"/>
        <v>0</v>
      </c>
      <c r="BV878" s="60">
        <f t="shared" si="1047"/>
        <v>0</v>
      </c>
      <c r="BW878" s="60">
        <f t="shared" si="1048"/>
        <v>0</v>
      </c>
      <c r="BX878" s="60">
        <f t="shared" si="1049"/>
        <v>0</v>
      </c>
      <c r="BY878" s="60">
        <f t="shared" si="1050"/>
        <v>0</v>
      </c>
      <c r="BZ878" s="60">
        <f t="shared" si="1051"/>
        <v>0</v>
      </c>
      <c r="CA878" s="60">
        <f t="shared" si="1052"/>
        <v>0</v>
      </c>
      <c r="CB878" s="60" t="e">
        <f t="shared" si="1002"/>
        <v>#N/A</v>
      </c>
      <c r="CC878" s="60">
        <f t="shared" si="1003"/>
        <v>100000</v>
      </c>
      <c r="CD878" s="60" t="e">
        <f t="shared" si="1004"/>
        <v>#N/A</v>
      </c>
      <c r="CE878" s="60">
        <f t="shared" si="1005"/>
        <v>100000</v>
      </c>
      <c r="CF878" s="83" t="e">
        <f t="shared" si="1053"/>
        <v>#N/A</v>
      </c>
      <c r="CG878" s="83">
        <f t="shared" si="1054"/>
        <v>0</v>
      </c>
      <c r="CH878" s="83" t="e">
        <f t="shared" si="1055"/>
        <v>#N/A</v>
      </c>
      <c r="CI878" s="83">
        <f t="shared" si="1056"/>
        <v>0</v>
      </c>
      <c r="CJ878" s="86" t="e">
        <f t="shared" si="1006"/>
        <v>#N/A</v>
      </c>
      <c r="CK878" s="82">
        <f t="shared" si="1007"/>
        <v>5.3070370403969858E-3</v>
      </c>
      <c r="CL878" s="82" t="e">
        <f t="shared" si="1008"/>
        <v>#N/A</v>
      </c>
      <c r="CM878" s="82">
        <f t="shared" si="1009"/>
        <v>5.3070370403969858E-3</v>
      </c>
      <c r="CO878" s="149" t="str">
        <f>IF($I878&lt;&gt;"",IF(O878="User Specified",U878,INDEX('Refrigerant GWPs'!$G$2:$G$156,MATCH(O878,'Refrigerant GWPs'!$A$2:$A$156,0))),"")</f>
        <v/>
      </c>
      <c r="CP878" s="138" t="str">
        <f>IF($I878&lt;&gt;"",INDEX('Device Refrigerant Leakage'!$E$2:$E$42,MATCH($M878,'Device Refrigerant Leakage'!$B$2:$B$42,0)),"")</f>
        <v/>
      </c>
      <c r="CQ878" s="138" t="str">
        <f>IF($I878&lt;&gt;"",INDEX('Device Refrigerant Leakage'!$F$2:$F$42,MATCH($M878,'Device Refrigerant Leakage'!$B$2:$B$42,0)),"")</f>
        <v/>
      </c>
      <c r="CR878" s="145" t="str">
        <f>IF($I878&lt;&gt;"",INDEX('Device Refrigerant Leakage'!$G$2:$G$42,MATCH($M878,'Device Refrigerant Leakage'!$B$2:$B$42,0)),"")</f>
        <v/>
      </c>
      <c r="CS878" s="145" t="str">
        <f>IF($I878&lt;&gt;"",INDEX('Device Refrigerant Leakage'!$D$2:$D$42,MATCH($M878,'Device Refrigerant Leakage'!$B$2:$B$42,0))*CP878/2204.62*CO878,"")</f>
        <v/>
      </c>
      <c r="CT878" s="145" t="str">
        <f>IF($I878&lt;&gt;"",J878*(INDEX('Device Refrigerant Leakage'!$D$2:$D$42,MATCH($M878,'Device Refrigerant Leakage'!$B$2:$B$42,0))-(INDEX('Device Refrigerant Leakage'!$D$2:$D$42,MATCH($M878,'Device Refrigerant Leakage'!$B$2:$B$42,0)))*CR878*CP878)*CQ878/2204.62*CO878,"")</f>
        <v/>
      </c>
      <c r="CU878" s="135" t="str">
        <f>IF($I878&lt;&gt;"",J878*IF(W878&lt;&gt;"AR",(CS878*K878)+CT878,(CS878*AB878)+CT878*(AB878/INDEX('Device Refrigerant Leakage'!$C$2:$C$42,MATCH($M878,'Device Refrigerant Leakage'!$B$2:$B$42,0)))),"")</f>
        <v/>
      </c>
      <c r="CW878" s="135" t="str">
        <f>IF($I878&lt;&gt;"",IF(S878="User Specified",V878,INDEX('Refrigerant GWPs'!$G$2:$G$156,MATCH(S878,'Refrigerant GWPs'!$A$2:$A$157,0))),"")</f>
        <v/>
      </c>
      <c r="CX878" s="138" t="str">
        <f>IF($I878&lt;&gt;"",INDEX('Device Refrigerant Leakage'!$E$2:$E$42,MATCH($Q878,'Device Refrigerant Leakage'!$B$2:$B$42,0)),"")</f>
        <v/>
      </c>
      <c r="CY878" s="138" t="str">
        <f>IF($I878&lt;&gt;"",INDEX('Device Refrigerant Leakage'!$F$2:$F$42,MATCH($Q878,'Device Refrigerant Leakage'!$B$2:$B$42,0)),"")</f>
        <v/>
      </c>
      <c r="CZ878" s="145" t="str">
        <f>IF($I878&lt;&gt;"",INDEX('Device Refrigerant Leakage'!$G$2:$G$42,MATCH($Q878,'Device Refrigerant Leakage'!$B$2:$B$42,0)),"")</f>
        <v/>
      </c>
      <c r="DA878" s="145" t="str">
        <f>IF($I878&lt;&gt;"",J878*INDEX('Device Refrigerant Leakage'!$D$2:$D$42,MATCH($Q878,'Device Refrigerant Leakage'!$B$2:$B$42,0))*CX878/2204.62*CW878,"")</f>
        <v/>
      </c>
      <c r="DB878" s="145" t="str">
        <f>IF($I878&lt;&gt;"",J878*(INDEX('Device Refrigerant Leakage'!$D$2:$D$42,MATCH($Q878,'Device Refrigerant Leakage'!$B$2:$B$42,0))-(INDEX('Device Refrigerant Leakage'!$D$2:$D$42,MATCH($Q878,'Device Refrigerant Leakage'!$B$2:$B$42,0)))*CZ878*CX878)*CY878/2204.62*CW878,"")</f>
        <v/>
      </c>
      <c r="DC878" s="135" t="str">
        <f t="shared" si="1028"/>
        <v/>
      </c>
      <c r="DE878" s="146" t="str">
        <f>IF(W878&lt;&gt;"AR","",IF(Y878="User Specified", AA878, INDEX('Refrigerant GWPs'!$G$2:$G$154,MATCH(Y878,'Refrigerant GWPs'!$A$2:$A$154,0))))</f>
        <v/>
      </c>
      <c r="DF878" s="146" t="str">
        <f>IF(W878&lt;&gt;"AR","",INDEX('Device Refrigerant Leakage'!$E$2:$E$42,MATCH(X878,'Device Refrigerant Leakage'!$B$2:$B$42,0)))</f>
        <v/>
      </c>
      <c r="DG878" s="146" t="str">
        <f>IF(W878&lt;&gt;"AR","",INDEX('Device Refrigerant Leakage'!$F$2:$F$42,MATCH(X878,'Device Refrigerant Leakage'!$B$2:$B$42,0)))</f>
        <v/>
      </c>
      <c r="DH878" s="146" t="str">
        <f>IF(W878&lt;&gt;"AR","",INDEX('Device Refrigerant Leakage'!$G$2:$G$42,MATCH(X878,'Device Refrigerant Leakage'!$B$2:$B$42,0)))</f>
        <v/>
      </c>
      <c r="DI878" s="146" t="str">
        <f>IF(W878&lt;&gt;"AR","",J878*INDEX('Device Refrigerant Leakage'!$D$2:$D$42,MATCH(X878,'Device Refrigerant Leakage'!$B$2:$B$42,0))*DF878/2204.62*DE878)</f>
        <v/>
      </c>
      <c r="DJ878" s="146" t="str">
        <f>IF(W878&lt;&gt;"AR","",J878*(INDEX('Device Refrigerant Leakage'!$D$2:$D$42,MATCH(X878,'Device Refrigerant Leakage'!$B$2:$B$42,0))-(INDEX('Device Refrigerant Leakage'!$D$2:$D$42,MATCH(X878,'Device Refrigerant Leakage'!$B$2:$B$42,0)))*DH878*DF878)*DG878/2204.62*DE878)</f>
        <v/>
      </c>
      <c r="DK878" s="146" t="str">
        <f>IF(W878&lt;&gt;"AR","",DI878*(K878-AB878)+'Fuel Sub Calcs-Deemed'!DJ878*((K878-AB878)/INDEX('Device Refrigerant Leakage'!$C$2:$C$42,MATCH('Fuel Sub Calcs-Deemed'!X878,'Device Refrigerant Leakage'!$B$2:$B$42,0))))</f>
        <v/>
      </c>
      <c r="DM878" s="56">
        <v>864</v>
      </c>
      <c r="DN878" s="67" t="e">
        <f t="shared" si="1010"/>
        <v>#N/A</v>
      </c>
      <c r="DO878" s="45" t="e">
        <f t="shared" si="1011"/>
        <v>#N/A</v>
      </c>
      <c r="DP878" s="67" t="e">
        <f t="shared" si="1012"/>
        <v>#N/A</v>
      </c>
      <c r="DQ878" s="45" t="e">
        <f t="shared" si="1013"/>
        <v>#N/A</v>
      </c>
      <c r="DR878" s="69" t="e">
        <f t="shared" si="1014"/>
        <v>#N/A</v>
      </c>
      <c r="DS878" s="34"/>
      <c r="DT878" s="67" t="e">
        <f>((BX878*CJ878)+IF($W878=MAT_AR,(BZ878*CL878),0))*(1+Reference!$E$50+Reference!$E$51)</f>
        <v>#N/A</v>
      </c>
      <c r="DU878" s="67">
        <f>((BY878*CK878)+IF($W878=MAT_AR,(CA878*CM878),0))*(1+Reference!$G$50+Reference!$G$51)</f>
        <v>0</v>
      </c>
      <c r="DV878" s="67" t="e">
        <f t="shared" si="1015"/>
        <v>#VALUE!</v>
      </c>
      <c r="DX878" s="56">
        <v>864</v>
      </c>
      <c r="DY878" s="67">
        <f t="shared" si="1016"/>
        <v>0</v>
      </c>
      <c r="DZ878" s="45" t="e">
        <f>VLOOKUP($R878,Dropdown!$C$3:$D$4,2,FALSE)</f>
        <v>#N/A</v>
      </c>
      <c r="EA878" s="68">
        <f t="shared" si="1017"/>
        <v>0</v>
      </c>
      <c r="EB878" s="68" t="str">
        <f t="shared" si="1018"/>
        <v>N/A</v>
      </c>
      <c r="EC878" s="68">
        <f t="shared" si="1019"/>
        <v>0</v>
      </c>
      <c r="ED878" s="68" t="str">
        <f t="shared" si="1057"/>
        <v>N/A</v>
      </c>
      <c r="EF878" s="56">
        <v>864</v>
      </c>
      <c r="EG878" s="46">
        <f t="shared" si="1020"/>
        <v>0</v>
      </c>
      <c r="EH878" s="68" t="e">
        <f t="shared" si="1021"/>
        <v>#N/A</v>
      </c>
      <c r="EI878" s="68" t="e">
        <f t="shared" si="1022"/>
        <v>#N/A</v>
      </c>
      <c r="EJ878" s="68" t="e">
        <f t="shared" si="1023"/>
        <v>#N/A</v>
      </c>
      <c r="EK878" s="68" t="e">
        <f t="shared" si="1024"/>
        <v>#N/A</v>
      </c>
      <c r="EL878" s="46">
        <f t="shared" si="1025"/>
        <v>0</v>
      </c>
      <c r="EM878" s="46">
        <f t="shared" si="1026"/>
        <v>0</v>
      </c>
    </row>
    <row r="879" spans="1:143">
      <c r="A879" s="89"/>
      <c r="B879" s="89"/>
      <c r="C879" s="89"/>
      <c r="D879" s="89"/>
      <c r="E879" s="89"/>
      <c r="F879" s="89"/>
      <c r="G879" s="34"/>
      <c r="H879" s="56">
        <f t="shared" si="1027"/>
        <v>865</v>
      </c>
      <c r="I879" s="165"/>
      <c r="J879" s="163"/>
      <c r="K879" s="163"/>
      <c r="L879" s="164"/>
      <c r="M879" s="155"/>
      <c r="N879" s="155"/>
      <c r="O879" s="144"/>
      <c r="P879" s="159" t="str">
        <f>IFERROR(IF(O879&lt;&gt;"User Specified",IF(O879&lt;&gt;"", INDEX('Refrigerant GWPs'!$G$2:$G$154,MATCH(O879,'Refrigerant GWPs'!$A$2:$A$154,0)),""),U879),0)</f>
        <v/>
      </c>
      <c r="Q879" s="155"/>
      <c r="R879" s="155"/>
      <c r="S879" s="144"/>
      <c r="T879" s="159" t="str">
        <f>IF(S879&lt;&gt;"User Specified",IF(AND(S879&lt;&gt;"User Specified",S879&lt;&gt;""), INDEX('Refrigerant GWPs'!$G$2:$G$154,MATCH(S879,'Refrigerant GWPs'!$A$2:$A$154,0)),""),V879)</f>
        <v/>
      </c>
      <c r="U879" s="144"/>
      <c r="V879" s="144"/>
      <c r="W879" s="155"/>
      <c r="X879" s="155"/>
      <c r="Y879" s="144"/>
      <c r="Z879" s="159" t="str">
        <f>IF(AND(Y879&lt;&gt;"User Specified",Y879&lt;&gt;""), INDEX('Refrigerant GWPs'!$G$2:$G$154,MATCH(Y879,'Refrigerant GWPs'!$A$2:$A$154,0)),"")</f>
        <v/>
      </c>
      <c r="AA879" s="155"/>
      <c r="AB879" s="156"/>
      <c r="AC879" s="66"/>
      <c r="AD879" s="66"/>
      <c r="AE879" s="66"/>
      <c r="AF879" s="66"/>
      <c r="AG879" s="66"/>
      <c r="AH879" s="66"/>
      <c r="AI879" s="34"/>
      <c r="AJ879" s="88">
        <f t="shared" si="990"/>
        <v>0</v>
      </c>
      <c r="AK879" s="88">
        <f t="shared" si="991"/>
        <v>0</v>
      </c>
      <c r="AL879" s="88">
        <v>0</v>
      </c>
      <c r="AM879" s="88">
        <v>0</v>
      </c>
      <c r="AN879" s="81" t="str">
        <f t="shared" si="1029"/>
        <v/>
      </c>
      <c r="AO879" s="88">
        <f t="shared" si="992"/>
        <v>0</v>
      </c>
      <c r="AP879" s="88">
        <f t="shared" si="993"/>
        <v>0</v>
      </c>
      <c r="AQ879" s="81" t="str">
        <f t="shared" si="994"/>
        <v/>
      </c>
      <c r="AS879" s="41" t="b">
        <f t="shared" si="995"/>
        <v>1</v>
      </c>
      <c r="AT879" s="38">
        <f t="shared" si="996"/>
        <v>0</v>
      </c>
      <c r="AU879" s="60">
        <f t="shared" si="997"/>
        <v>0</v>
      </c>
      <c r="AV879" s="41">
        <f t="shared" si="998"/>
        <v>0</v>
      </c>
      <c r="AW879" s="41" t="b">
        <f t="shared" si="999"/>
        <v>0</v>
      </c>
      <c r="AX879" t="str">
        <f t="shared" si="1000"/>
        <v>+00</v>
      </c>
      <c r="AY879" t="str">
        <f t="shared" si="1001"/>
        <v>+00</v>
      </c>
      <c r="BA879" s="47" t="b">
        <f t="shared" si="1030"/>
        <v>1</v>
      </c>
      <c r="BB879" s="42" t="b">
        <f t="shared" si="1031"/>
        <v>1</v>
      </c>
      <c r="BC879" s="42" t="b">
        <f t="shared" si="1032"/>
        <v>0</v>
      </c>
      <c r="BD879" s="42" t="b">
        <f t="shared" si="1033"/>
        <v>0</v>
      </c>
      <c r="BE879" s="70">
        <f t="shared" si="1034"/>
        <v>0</v>
      </c>
      <c r="BF879" s="70">
        <f t="shared" si="1035"/>
        <v>0</v>
      </c>
      <c r="BG879" s="34"/>
      <c r="BI879" s="47" t="b">
        <f t="shared" si="1036"/>
        <v>1</v>
      </c>
      <c r="BJ879" s="47" t="b">
        <f t="shared" si="1037"/>
        <v>1</v>
      </c>
      <c r="BK879" s="42" t="b">
        <f t="shared" si="1038"/>
        <v>0</v>
      </c>
      <c r="BL879" s="42" t="b">
        <f t="shared" si="1039"/>
        <v>0</v>
      </c>
      <c r="BM879" s="42">
        <f t="shared" si="1040"/>
        <v>0</v>
      </c>
      <c r="BN879" s="42">
        <f t="shared" si="1041"/>
        <v>0</v>
      </c>
      <c r="BP879" t="e">
        <f t="shared" si="1042"/>
        <v>#N/A</v>
      </c>
      <c r="BQ879" t="e">
        <f t="shared" si="1043"/>
        <v>#N/A</v>
      </c>
      <c r="BR879" t="e">
        <f t="shared" si="1044"/>
        <v>#N/A</v>
      </c>
      <c r="BT879" s="60">
        <f t="shared" si="1045"/>
        <v>0</v>
      </c>
      <c r="BU879" s="60">
        <f t="shared" si="1046"/>
        <v>0</v>
      </c>
      <c r="BV879" s="60">
        <f t="shared" si="1047"/>
        <v>0</v>
      </c>
      <c r="BW879" s="60">
        <f t="shared" si="1048"/>
        <v>0</v>
      </c>
      <c r="BX879" s="60">
        <f t="shared" si="1049"/>
        <v>0</v>
      </c>
      <c r="BY879" s="60">
        <f t="shared" si="1050"/>
        <v>0</v>
      </c>
      <c r="BZ879" s="60">
        <f t="shared" si="1051"/>
        <v>0</v>
      </c>
      <c r="CA879" s="60">
        <f t="shared" si="1052"/>
        <v>0</v>
      </c>
      <c r="CB879" s="60" t="e">
        <f t="shared" si="1002"/>
        <v>#N/A</v>
      </c>
      <c r="CC879" s="60">
        <f t="shared" si="1003"/>
        <v>100000</v>
      </c>
      <c r="CD879" s="60" t="e">
        <f t="shared" si="1004"/>
        <v>#N/A</v>
      </c>
      <c r="CE879" s="60">
        <f t="shared" si="1005"/>
        <v>100000</v>
      </c>
      <c r="CF879" s="83" t="e">
        <f t="shared" si="1053"/>
        <v>#N/A</v>
      </c>
      <c r="CG879" s="83">
        <f t="shared" si="1054"/>
        <v>0</v>
      </c>
      <c r="CH879" s="83" t="e">
        <f t="shared" si="1055"/>
        <v>#N/A</v>
      </c>
      <c r="CI879" s="83">
        <f t="shared" si="1056"/>
        <v>0</v>
      </c>
      <c r="CJ879" s="86" t="e">
        <f t="shared" si="1006"/>
        <v>#N/A</v>
      </c>
      <c r="CK879" s="82">
        <f t="shared" si="1007"/>
        <v>5.3070370403969858E-3</v>
      </c>
      <c r="CL879" s="82" t="e">
        <f t="shared" si="1008"/>
        <v>#N/A</v>
      </c>
      <c r="CM879" s="82">
        <f t="shared" si="1009"/>
        <v>5.3070370403969858E-3</v>
      </c>
      <c r="CO879" s="149" t="str">
        <f>IF($I879&lt;&gt;"",IF(O879="User Specified",U879,INDEX('Refrigerant GWPs'!$G$2:$G$156,MATCH(O879,'Refrigerant GWPs'!$A$2:$A$156,0))),"")</f>
        <v/>
      </c>
      <c r="CP879" s="138" t="str">
        <f>IF($I879&lt;&gt;"",INDEX('Device Refrigerant Leakage'!$E$2:$E$42,MATCH($M879,'Device Refrigerant Leakage'!$B$2:$B$42,0)),"")</f>
        <v/>
      </c>
      <c r="CQ879" s="138" t="str">
        <f>IF($I879&lt;&gt;"",INDEX('Device Refrigerant Leakage'!$F$2:$F$42,MATCH($M879,'Device Refrigerant Leakage'!$B$2:$B$42,0)),"")</f>
        <v/>
      </c>
      <c r="CR879" s="145" t="str">
        <f>IF($I879&lt;&gt;"",INDEX('Device Refrigerant Leakage'!$G$2:$G$42,MATCH($M879,'Device Refrigerant Leakage'!$B$2:$B$42,0)),"")</f>
        <v/>
      </c>
      <c r="CS879" s="145" t="str">
        <f>IF($I879&lt;&gt;"",INDEX('Device Refrigerant Leakage'!$D$2:$D$42,MATCH($M879,'Device Refrigerant Leakage'!$B$2:$B$42,0))*CP879/2204.62*CO879,"")</f>
        <v/>
      </c>
      <c r="CT879" s="145" t="str">
        <f>IF($I879&lt;&gt;"",J879*(INDEX('Device Refrigerant Leakage'!$D$2:$D$42,MATCH($M879,'Device Refrigerant Leakage'!$B$2:$B$42,0))-(INDEX('Device Refrigerant Leakage'!$D$2:$D$42,MATCH($M879,'Device Refrigerant Leakage'!$B$2:$B$42,0)))*CR879*CP879)*CQ879/2204.62*CO879,"")</f>
        <v/>
      </c>
      <c r="CU879" s="135" t="str">
        <f>IF($I879&lt;&gt;"",J879*IF(W879&lt;&gt;"AR",(CS879*K879)+CT879,(CS879*AB879)+CT879*(AB879/INDEX('Device Refrigerant Leakage'!$C$2:$C$42,MATCH($M879,'Device Refrigerant Leakage'!$B$2:$B$42,0)))),"")</f>
        <v/>
      </c>
      <c r="CW879" s="135" t="str">
        <f>IF($I879&lt;&gt;"",IF(S879="User Specified",V879,INDEX('Refrigerant GWPs'!$G$2:$G$156,MATCH(S879,'Refrigerant GWPs'!$A$2:$A$157,0))),"")</f>
        <v/>
      </c>
      <c r="CX879" s="138" t="str">
        <f>IF($I879&lt;&gt;"",INDEX('Device Refrigerant Leakage'!$E$2:$E$42,MATCH($Q879,'Device Refrigerant Leakage'!$B$2:$B$42,0)),"")</f>
        <v/>
      </c>
      <c r="CY879" s="138" t="str">
        <f>IF($I879&lt;&gt;"",INDEX('Device Refrigerant Leakage'!$F$2:$F$42,MATCH($Q879,'Device Refrigerant Leakage'!$B$2:$B$42,0)),"")</f>
        <v/>
      </c>
      <c r="CZ879" s="145" t="str">
        <f>IF($I879&lt;&gt;"",INDEX('Device Refrigerant Leakage'!$G$2:$G$42,MATCH($Q879,'Device Refrigerant Leakage'!$B$2:$B$42,0)),"")</f>
        <v/>
      </c>
      <c r="DA879" s="145" t="str">
        <f>IF($I879&lt;&gt;"",J879*INDEX('Device Refrigerant Leakage'!$D$2:$D$42,MATCH($Q879,'Device Refrigerant Leakage'!$B$2:$B$42,0))*CX879/2204.62*CW879,"")</f>
        <v/>
      </c>
      <c r="DB879" s="145" t="str">
        <f>IF($I879&lt;&gt;"",J879*(INDEX('Device Refrigerant Leakage'!$D$2:$D$42,MATCH($Q879,'Device Refrigerant Leakage'!$B$2:$B$42,0))-(INDEX('Device Refrigerant Leakage'!$D$2:$D$42,MATCH($Q879,'Device Refrigerant Leakage'!$B$2:$B$42,0)))*CZ879*CX879)*CY879/2204.62*CW879,"")</f>
        <v/>
      </c>
      <c r="DC879" s="135" t="str">
        <f t="shared" si="1028"/>
        <v/>
      </c>
      <c r="DE879" s="146" t="str">
        <f>IF(W879&lt;&gt;"AR","",IF(Y879="User Specified", AA879, INDEX('Refrigerant GWPs'!$G$2:$G$154,MATCH(Y879,'Refrigerant GWPs'!$A$2:$A$154,0))))</f>
        <v/>
      </c>
      <c r="DF879" s="146" t="str">
        <f>IF(W879&lt;&gt;"AR","",INDEX('Device Refrigerant Leakage'!$E$2:$E$42,MATCH(X879,'Device Refrigerant Leakage'!$B$2:$B$42,0)))</f>
        <v/>
      </c>
      <c r="DG879" s="146" t="str">
        <f>IF(W879&lt;&gt;"AR","",INDEX('Device Refrigerant Leakage'!$F$2:$F$42,MATCH(X879,'Device Refrigerant Leakage'!$B$2:$B$42,0)))</f>
        <v/>
      </c>
      <c r="DH879" s="146" t="str">
        <f>IF(W879&lt;&gt;"AR","",INDEX('Device Refrigerant Leakage'!$G$2:$G$42,MATCH(X879,'Device Refrigerant Leakage'!$B$2:$B$42,0)))</f>
        <v/>
      </c>
      <c r="DI879" s="146" t="str">
        <f>IF(W879&lt;&gt;"AR","",J879*INDEX('Device Refrigerant Leakage'!$D$2:$D$42,MATCH(X879,'Device Refrigerant Leakage'!$B$2:$B$42,0))*DF879/2204.62*DE879)</f>
        <v/>
      </c>
      <c r="DJ879" s="146" t="str">
        <f>IF(W879&lt;&gt;"AR","",J879*(INDEX('Device Refrigerant Leakage'!$D$2:$D$42,MATCH(X879,'Device Refrigerant Leakage'!$B$2:$B$42,0))-(INDEX('Device Refrigerant Leakage'!$D$2:$D$42,MATCH(X879,'Device Refrigerant Leakage'!$B$2:$B$42,0)))*DH879*DF879)*DG879/2204.62*DE879)</f>
        <v/>
      </c>
      <c r="DK879" s="146" t="str">
        <f>IF(W879&lt;&gt;"AR","",DI879*(K879-AB879)+'Fuel Sub Calcs-Deemed'!DJ879*((K879-AB879)/INDEX('Device Refrigerant Leakage'!$C$2:$C$42,MATCH('Fuel Sub Calcs-Deemed'!X879,'Device Refrigerant Leakage'!$B$2:$B$42,0))))</f>
        <v/>
      </c>
      <c r="DM879" s="56">
        <v>865</v>
      </c>
      <c r="DN879" s="67" t="e">
        <f t="shared" si="1010"/>
        <v>#N/A</v>
      </c>
      <c r="DO879" s="45" t="e">
        <f t="shared" si="1011"/>
        <v>#N/A</v>
      </c>
      <c r="DP879" s="67" t="e">
        <f t="shared" si="1012"/>
        <v>#N/A</v>
      </c>
      <c r="DQ879" s="45" t="e">
        <f t="shared" si="1013"/>
        <v>#N/A</v>
      </c>
      <c r="DR879" s="69" t="e">
        <f t="shared" si="1014"/>
        <v>#N/A</v>
      </c>
      <c r="DS879" s="34"/>
      <c r="DT879" s="67" t="e">
        <f>((BX879*CJ879)+IF($W879=MAT_AR,(BZ879*CL879),0))*(1+Reference!$E$50+Reference!$E$51)</f>
        <v>#N/A</v>
      </c>
      <c r="DU879" s="67">
        <f>((BY879*CK879)+IF($W879=MAT_AR,(CA879*CM879),0))*(1+Reference!$G$50+Reference!$G$51)</f>
        <v>0</v>
      </c>
      <c r="DV879" s="67" t="e">
        <f t="shared" si="1015"/>
        <v>#VALUE!</v>
      </c>
      <c r="DX879" s="56">
        <v>865</v>
      </c>
      <c r="DY879" s="67">
        <f t="shared" si="1016"/>
        <v>0</v>
      </c>
      <c r="DZ879" s="45" t="e">
        <f>VLOOKUP($R879,Dropdown!$C$3:$D$4,2,FALSE)</f>
        <v>#N/A</v>
      </c>
      <c r="EA879" s="68">
        <f t="shared" si="1017"/>
        <v>0</v>
      </c>
      <c r="EB879" s="68" t="str">
        <f t="shared" si="1018"/>
        <v>N/A</v>
      </c>
      <c r="EC879" s="68">
        <f t="shared" si="1019"/>
        <v>0</v>
      </c>
      <c r="ED879" s="68" t="str">
        <f t="shared" si="1057"/>
        <v>N/A</v>
      </c>
      <c r="EF879" s="56">
        <v>865</v>
      </c>
      <c r="EG879" s="46">
        <f t="shared" si="1020"/>
        <v>0</v>
      </c>
      <c r="EH879" s="68" t="e">
        <f t="shared" si="1021"/>
        <v>#N/A</v>
      </c>
      <c r="EI879" s="68" t="e">
        <f t="shared" si="1022"/>
        <v>#N/A</v>
      </c>
      <c r="EJ879" s="68" t="e">
        <f t="shared" si="1023"/>
        <v>#N/A</v>
      </c>
      <c r="EK879" s="68" t="e">
        <f t="shared" si="1024"/>
        <v>#N/A</v>
      </c>
      <c r="EL879" s="46">
        <f t="shared" si="1025"/>
        <v>0</v>
      </c>
      <c r="EM879" s="46">
        <f t="shared" si="1026"/>
        <v>0</v>
      </c>
    </row>
    <row r="880" spans="1:143">
      <c r="A880" s="89"/>
      <c r="B880" s="89"/>
      <c r="C880" s="89"/>
      <c r="D880" s="89"/>
      <c r="E880" s="89"/>
      <c r="F880" s="89"/>
      <c r="G880" s="34"/>
      <c r="H880" s="56">
        <f t="shared" si="1027"/>
        <v>866</v>
      </c>
      <c r="I880" s="165"/>
      <c r="J880" s="163"/>
      <c r="K880" s="163"/>
      <c r="L880" s="164"/>
      <c r="M880" s="155"/>
      <c r="N880" s="155"/>
      <c r="O880" s="144"/>
      <c r="P880" s="159" t="str">
        <f>IFERROR(IF(O880&lt;&gt;"User Specified",IF(O880&lt;&gt;"", INDEX('Refrigerant GWPs'!$G$2:$G$154,MATCH(O880,'Refrigerant GWPs'!$A$2:$A$154,0)),""),U880),0)</f>
        <v/>
      </c>
      <c r="Q880" s="155"/>
      <c r="R880" s="155"/>
      <c r="S880" s="144"/>
      <c r="T880" s="159" t="str">
        <f>IF(S880&lt;&gt;"User Specified",IF(AND(S880&lt;&gt;"User Specified",S880&lt;&gt;""), INDEX('Refrigerant GWPs'!$G$2:$G$154,MATCH(S880,'Refrigerant GWPs'!$A$2:$A$154,0)),""),V880)</f>
        <v/>
      </c>
      <c r="U880" s="144"/>
      <c r="V880" s="144"/>
      <c r="W880" s="155"/>
      <c r="X880" s="155"/>
      <c r="Y880" s="144"/>
      <c r="Z880" s="159" t="str">
        <f>IF(AND(Y880&lt;&gt;"User Specified",Y880&lt;&gt;""), INDEX('Refrigerant GWPs'!$G$2:$G$154,MATCH(Y880,'Refrigerant GWPs'!$A$2:$A$154,0)),"")</f>
        <v/>
      </c>
      <c r="AA880" s="155"/>
      <c r="AB880" s="156"/>
      <c r="AC880" s="66"/>
      <c r="AD880" s="66"/>
      <c r="AE880" s="66"/>
      <c r="AF880" s="66"/>
      <c r="AG880" s="66"/>
      <c r="AH880" s="66"/>
      <c r="AI880" s="34"/>
      <c r="AJ880" s="88">
        <f t="shared" si="990"/>
        <v>0</v>
      </c>
      <c r="AK880" s="88">
        <f t="shared" si="991"/>
        <v>0</v>
      </c>
      <c r="AL880" s="88">
        <v>0</v>
      </c>
      <c r="AM880" s="88">
        <v>0</v>
      </c>
      <c r="AN880" s="81" t="str">
        <f t="shared" si="1029"/>
        <v/>
      </c>
      <c r="AO880" s="88">
        <f t="shared" si="992"/>
        <v>0</v>
      </c>
      <c r="AP880" s="88">
        <f t="shared" si="993"/>
        <v>0</v>
      </c>
      <c r="AQ880" s="81" t="str">
        <f t="shared" si="994"/>
        <v/>
      </c>
      <c r="AS880" s="41" t="b">
        <f t="shared" si="995"/>
        <v>1</v>
      </c>
      <c r="AT880" s="38">
        <f t="shared" si="996"/>
        <v>0</v>
      </c>
      <c r="AU880" s="60">
        <f t="shared" si="997"/>
        <v>0</v>
      </c>
      <c r="AV880" s="41">
        <f t="shared" si="998"/>
        <v>0</v>
      </c>
      <c r="AW880" s="41" t="b">
        <f t="shared" si="999"/>
        <v>0</v>
      </c>
      <c r="AX880" t="str">
        <f t="shared" si="1000"/>
        <v>+00</v>
      </c>
      <c r="AY880" t="str">
        <f t="shared" si="1001"/>
        <v>+00</v>
      </c>
      <c r="BA880" s="47" t="b">
        <f t="shared" si="1030"/>
        <v>1</v>
      </c>
      <c r="BB880" s="42" t="b">
        <f t="shared" si="1031"/>
        <v>1</v>
      </c>
      <c r="BC880" s="42" t="b">
        <f t="shared" si="1032"/>
        <v>0</v>
      </c>
      <c r="BD880" s="42" t="b">
        <f t="shared" si="1033"/>
        <v>0</v>
      </c>
      <c r="BE880" s="70">
        <f t="shared" si="1034"/>
        <v>0</v>
      </c>
      <c r="BF880" s="70">
        <f t="shared" si="1035"/>
        <v>0</v>
      </c>
      <c r="BG880" s="34"/>
      <c r="BI880" s="47" t="b">
        <f t="shared" si="1036"/>
        <v>1</v>
      </c>
      <c r="BJ880" s="47" t="b">
        <f t="shared" si="1037"/>
        <v>1</v>
      </c>
      <c r="BK880" s="42" t="b">
        <f t="shared" si="1038"/>
        <v>0</v>
      </c>
      <c r="BL880" s="42" t="b">
        <f t="shared" si="1039"/>
        <v>0</v>
      </c>
      <c r="BM880" s="42">
        <f t="shared" si="1040"/>
        <v>0</v>
      </c>
      <c r="BN880" s="42">
        <f t="shared" si="1041"/>
        <v>0</v>
      </c>
      <c r="BP880" t="e">
        <f t="shared" si="1042"/>
        <v>#N/A</v>
      </c>
      <c r="BQ880" t="e">
        <f t="shared" si="1043"/>
        <v>#N/A</v>
      </c>
      <c r="BR880" t="e">
        <f t="shared" si="1044"/>
        <v>#N/A</v>
      </c>
      <c r="BT880" s="60">
        <f t="shared" si="1045"/>
        <v>0</v>
      </c>
      <c r="BU880" s="60">
        <f t="shared" si="1046"/>
        <v>0</v>
      </c>
      <c r="BV880" s="60">
        <f t="shared" si="1047"/>
        <v>0</v>
      </c>
      <c r="BW880" s="60">
        <f t="shared" si="1048"/>
        <v>0</v>
      </c>
      <c r="BX880" s="60">
        <f t="shared" si="1049"/>
        <v>0</v>
      </c>
      <c r="BY880" s="60">
        <f t="shared" si="1050"/>
        <v>0</v>
      </c>
      <c r="BZ880" s="60">
        <f t="shared" si="1051"/>
        <v>0</v>
      </c>
      <c r="CA880" s="60">
        <f t="shared" si="1052"/>
        <v>0</v>
      </c>
      <c r="CB880" s="60" t="e">
        <f t="shared" si="1002"/>
        <v>#N/A</v>
      </c>
      <c r="CC880" s="60">
        <f t="shared" si="1003"/>
        <v>100000</v>
      </c>
      <c r="CD880" s="60" t="e">
        <f t="shared" si="1004"/>
        <v>#N/A</v>
      </c>
      <c r="CE880" s="60">
        <f t="shared" si="1005"/>
        <v>100000</v>
      </c>
      <c r="CF880" s="83" t="e">
        <f t="shared" si="1053"/>
        <v>#N/A</v>
      </c>
      <c r="CG880" s="83">
        <f t="shared" si="1054"/>
        <v>0</v>
      </c>
      <c r="CH880" s="83" t="e">
        <f t="shared" si="1055"/>
        <v>#N/A</v>
      </c>
      <c r="CI880" s="83">
        <f t="shared" si="1056"/>
        <v>0</v>
      </c>
      <c r="CJ880" s="86" t="e">
        <f t="shared" si="1006"/>
        <v>#N/A</v>
      </c>
      <c r="CK880" s="82">
        <f t="shared" si="1007"/>
        <v>5.3070370403969858E-3</v>
      </c>
      <c r="CL880" s="82" t="e">
        <f t="shared" si="1008"/>
        <v>#N/A</v>
      </c>
      <c r="CM880" s="82">
        <f t="shared" si="1009"/>
        <v>5.3070370403969858E-3</v>
      </c>
      <c r="CO880" s="149" t="str">
        <f>IF($I880&lt;&gt;"",IF(O880="User Specified",U880,INDEX('Refrigerant GWPs'!$G$2:$G$156,MATCH(O880,'Refrigerant GWPs'!$A$2:$A$156,0))),"")</f>
        <v/>
      </c>
      <c r="CP880" s="138" t="str">
        <f>IF($I880&lt;&gt;"",INDEX('Device Refrigerant Leakage'!$E$2:$E$42,MATCH($M880,'Device Refrigerant Leakage'!$B$2:$B$42,0)),"")</f>
        <v/>
      </c>
      <c r="CQ880" s="138" t="str">
        <f>IF($I880&lt;&gt;"",INDEX('Device Refrigerant Leakage'!$F$2:$F$42,MATCH($M880,'Device Refrigerant Leakage'!$B$2:$B$42,0)),"")</f>
        <v/>
      </c>
      <c r="CR880" s="145" t="str">
        <f>IF($I880&lt;&gt;"",INDEX('Device Refrigerant Leakage'!$G$2:$G$42,MATCH($M880,'Device Refrigerant Leakage'!$B$2:$B$42,0)),"")</f>
        <v/>
      </c>
      <c r="CS880" s="145" t="str">
        <f>IF($I880&lt;&gt;"",INDEX('Device Refrigerant Leakage'!$D$2:$D$42,MATCH($M880,'Device Refrigerant Leakage'!$B$2:$B$42,0))*CP880/2204.62*CO880,"")</f>
        <v/>
      </c>
      <c r="CT880" s="145" t="str">
        <f>IF($I880&lt;&gt;"",J880*(INDEX('Device Refrigerant Leakage'!$D$2:$D$42,MATCH($M880,'Device Refrigerant Leakage'!$B$2:$B$42,0))-(INDEX('Device Refrigerant Leakage'!$D$2:$D$42,MATCH($M880,'Device Refrigerant Leakage'!$B$2:$B$42,0)))*CR880*CP880)*CQ880/2204.62*CO880,"")</f>
        <v/>
      </c>
      <c r="CU880" s="135" t="str">
        <f>IF($I880&lt;&gt;"",J880*IF(W880&lt;&gt;"AR",(CS880*K880)+CT880,(CS880*AB880)+CT880*(AB880/INDEX('Device Refrigerant Leakage'!$C$2:$C$42,MATCH($M880,'Device Refrigerant Leakage'!$B$2:$B$42,0)))),"")</f>
        <v/>
      </c>
      <c r="CW880" s="135" t="str">
        <f>IF($I880&lt;&gt;"",IF(S880="User Specified",V880,INDEX('Refrigerant GWPs'!$G$2:$G$156,MATCH(S880,'Refrigerant GWPs'!$A$2:$A$157,0))),"")</f>
        <v/>
      </c>
      <c r="CX880" s="138" t="str">
        <f>IF($I880&lt;&gt;"",INDEX('Device Refrigerant Leakage'!$E$2:$E$42,MATCH($Q880,'Device Refrigerant Leakage'!$B$2:$B$42,0)),"")</f>
        <v/>
      </c>
      <c r="CY880" s="138" t="str">
        <f>IF($I880&lt;&gt;"",INDEX('Device Refrigerant Leakage'!$F$2:$F$42,MATCH($Q880,'Device Refrigerant Leakage'!$B$2:$B$42,0)),"")</f>
        <v/>
      </c>
      <c r="CZ880" s="145" t="str">
        <f>IF($I880&lt;&gt;"",INDEX('Device Refrigerant Leakage'!$G$2:$G$42,MATCH($Q880,'Device Refrigerant Leakage'!$B$2:$B$42,0)),"")</f>
        <v/>
      </c>
      <c r="DA880" s="145" t="str">
        <f>IF($I880&lt;&gt;"",J880*INDEX('Device Refrigerant Leakage'!$D$2:$D$42,MATCH($Q880,'Device Refrigerant Leakage'!$B$2:$B$42,0))*CX880/2204.62*CW880,"")</f>
        <v/>
      </c>
      <c r="DB880" s="145" t="str">
        <f>IF($I880&lt;&gt;"",J880*(INDEX('Device Refrigerant Leakage'!$D$2:$D$42,MATCH($Q880,'Device Refrigerant Leakage'!$B$2:$B$42,0))-(INDEX('Device Refrigerant Leakage'!$D$2:$D$42,MATCH($Q880,'Device Refrigerant Leakage'!$B$2:$B$42,0)))*CZ880*CX880)*CY880/2204.62*CW880,"")</f>
        <v/>
      </c>
      <c r="DC880" s="135" t="str">
        <f t="shared" si="1028"/>
        <v/>
      </c>
      <c r="DE880" s="146" t="str">
        <f>IF(W880&lt;&gt;"AR","",IF(Y880="User Specified", AA880, INDEX('Refrigerant GWPs'!$G$2:$G$154,MATCH(Y880,'Refrigerant GWPs'!$A$2:$A$154,0))))</f>
        <v/>
      </c>
      <c r="DF880" s="146" t="str">
        <f>IF(W880&lt;&gt;"AR","",INDEX('Device Refrigerant Leakage'!$E$2:$E$42,MATCH(X880,'Device Refrigerant Leakage'!$B$2:$B$42,0)))</f>
        <v/>
      </c>
      <c r="DG880" s="146" t="str">
        <f>IF(W880&lt;&gt;"AR","",INDEX('Device Refrigerant Leakage'!$F$2:$F$42,MATCH(X880,'Device Refrigerant Leakage'!$B$2:$B$42,0)))</f>
        <v/>
      </c>
      <c r="DH880" s="146" t="str">
        <f>IF(W880&lt;&gt;"AR","",INDEX('Device Refrigerant Leakage'!$G$2:$G$42,MATCH(X880,'Device Refrigerant Leakage'!$B$2:$B$42,0)))</f>
        <v/>
      </c>
      <c r="DI880" s="146" t="str">
        <f>IF(W880&lt;&gt;"AR","",J880*INDEX('Device Refrigerant Leakage'!$D$2:$D$42,MATCH(X880,'Device Refrigerant Leakage'!$B$2:$B$42,0))*DF880/2204.62*DE880)</f>
        <v/>
      </c>
      <c r="DJ880" s="146" t="str">
        <f>IF(W880&lt;&gt;"AR","",J880*(INDEX('Device Refrigerant Leakage'!$D$2:$D$42,MATCH(X880,'Device Refrigerant Leakage'!$B$2:$B$42,0))-(INDEX('Device Refrigerant Leakage'!$D$2:$D$42,MATCH(X880,'Device Refrigerant Leakage'!$B$2:$B$42,0)))*DH880*DF880)*DG880/2204.62*DE880)</f>
        <v/>
      </c>
      <c r="DK880" s="146" t="str">
        <f>IF(W880&lt;&gt;"AR","",DI880*(K880-AB880)+'Fuel Sub Calcs-Deemed'!DJ880*((K880-AB880)/INDEX('Device Refrigerant Leakage'!$C$2:$C$42,MATCH('Fuel Sub Calcs-Deemed'!X880,'Device Refrigerant Leakage'!$B$2:$B$42,0))))</f>
        <v/>
      </c>
      <c r="DM880" s="56">
        <v>866</v>
      </c>
      <c r="DN880" s="67" t="e">
        <f t="shared" si="1010"/>
        <v>#N/A</v>
      </c>
      <c r="DO880" s="45" t="e">
        <f t="shared" si="1011"/>
        <v>#N/A</v>
      </c>
      <c r="DP880" s="67" t="e">
        <f t="shared" si="1012"/>
        <v>#N/A</v>
      </c>
      <c r="DQ880" s="45" t="e">
        <f t="shared" si="1013"/>
        <v>#N/A</v>
      </c>
      <c r="DR880" s="69" t="e">
        <f t="shared" si="1014"/>
        <v>#N/A</v>
      </c>
      <c r="DS880" s="34"/>
      <c r="DT880" s="67" t="e">
        <f>((BX880*CJ880)+IF($W880=MAT_AR,(BZ880*CL880),0))*(1+Reference!$E$50+Reference!$E$51)</f>
        <v>#N/A</v>
      </c>
      <c r="DU880" s="67">
        <f>((BY880*CK880)+IF($W880=MAT_AR,(CA880*CM880),0))*(1+Reference!$G$50+Reference!$G$51)</f>
        <v>0</v>
      </c>
      <c r="DV880" s="67" t="e">
        <f t="shared" si="1015"/>
        <v>#VALUE!</v>
      </c>
      <c r="DX880" s="56">
        <v>866</v>
      </c>
      <c r="DY880" s="67">
        <f t="shared" si="1016"/>
        <v>0</v>
      </c>
      <c r="DZ880" s="45" t="e">
        <f>VLOOKUP($R880,Dropdown!$C$3:$D$4,2,FALSE)</f>
        <v>#N/A</v>
      </c>
      <c r="EA880" s="68">
        <f t="shared" si="1017"/>
        <v>0</v>
      </c>
      <c r="EB880" s="68" t="str">
        <f t="shared" si="1018"/>
        <v>N/A</v>
      </c>
      <c r="EC880" s="68">
        <f t="shared" si="1019"/>
        <v>0</v>
      </c>
      <c r="ED880" s="68" t="str">
        <f t="shared" si="1057"/>
        <v>N/A</v>
      </c>
      <c r="EF880" s="56">
        <v>866</v>
      </c>
      <c r="EG880" s="46">
        <f t="shared" si="1020"/>
        <v>0</v>
      </c>
      <c r="EH880" s="68" t="e">
        <f t="shared" si="1021"/>
        <v>#N/A</v>
      </c>
      <c r="EI880" s="68" t="e">
        <f t="shared" si="1022"/>
        <v>#N/A</v>
      </c>
      <c r="EJ880" s="68" t="e">
        <f t="shared" si="1023"/>
        <v>#N/A</v>
      </c>
      <c r="EK880" s="68" t="e">
        <f t="shared" si="1024"/>
        <v>#N/A</v>
      </c>
      <c r="EL880" s="46">
        <f t="shared" si="1025"/>
        <v>0</v>
      </c>
      <c r="EM880" s="46">
        <f t="shared" si="1026"/>
        <v>0</v>
      </c>
    </row>
    <row r="881" spans="1:143">
      <c r="A881" s="89"/>
      <c r="B881" s="89"/>
      <c r="C881" s="89"/>
      <c r="D881" s="89"/>
      <c r="E881" s="89"/>
      <c r="F881" s="89"/>
      <c r="G881" s="34"/>
      <c r="H881" s="56">
        <f t="shared" si="1027"/>
        <v>867</v>
      </c>
      <c r="I881" s="165"/>
      <c r="J881" s="163"/>
      <c r="K881" s="163"/>
      <c r="L881" s="164"/>
      <c r="M881" s="155"/>
      <c r="N881" s="155"/>
      <c r="O881" s="144"/>
      <c r="P881" s="159" t="str">
        <f>IFERROR(IF(O881&lt;&gt;"User Specified",IF(O881&lt;&gt;"", INDEX('Refrigerant GWPs'!$G$2:$G$154,MATCH(O881,'Refrigerant GWPs'!$A$2:$A$154,0)),""),U881),0)</f>
        <v/>
      </c>
      <c r="Q881" s="155"/>
      <c r="R881" s="155"/>
      <c r="S881" s="144"/>
      <c r="T881" s="159" t="str">
        <f>IF(S881&lt;&gt;"User Specified",IF(AND(S881&lt;&gt;"User Specified",S881&lt;&gt;""), INDEX('Refrigerant GWPs'!$G$2:$G$154,MATCH(S881,'Refrigerant GWPs'!$A$2:$A$154,0)),""),V881)</f>
        <v/>
      </c>
      <c r="U881" s="144"/>
      <c r="V881" s="144"/>
      <c r="W881" s="155"/>
      <c r="X881" s="155"/>
      <c r="Y881" s="144"/>
      <c r="Z881" s="159" t="str">
        <f>IF(AND(Y881&lt;&gt;"User Specified",Y881&lt;&gt;""), INDEX('Refrigerant GWPs'!$G$2:$G$154,MATCH(Y881,'Refrigerant GWPs'!$A$2:$A$154,0)),"")</f>
        <v/>
      </c>
      <c r="AA881" s="155"/>
      <c r="AB881" s="156"/>
      <c r="AC881" s="66"/>
      <c r="AD881" s="66"/>
      <c r="AE881" s="66"/>
      <c r="AF881" s="66"/>
      <c r="AG881" s="66"/>
      <c r="AH881" s="66"/>
      <c r="AI881" s="34"/>
      <c r="AJ881" s="88">
        <f t="shared" si="990"/>
        <v>0</v>
      </c>
      <c r="AK881" s="88">
        <f t="shared" si="991"/>
        <v>0</v>
      </c>
      <c r="AL881" s="88">
        <v>0</v>
      </c>
      <c r="AM881" s="88">
        <v>0</v>
      </c>
      <c r="AN881" s="81" t="str">
        <f t="shared" si="1029"/>
        <v/>
      </c>
      <c r="AO881" s="88">
        <f t="shared" si="992"/>
        <v>0</v>
      </c>
      <c r="AP881" s="88">
        <f t="shared" si="993"/>
        <v>0</v>
      </c>
      <c r="AQ881" s="81" t="str">
        <f t="shared" si="994"/>
        <v/>
      </c>
      <c r="AS881" s="41" t="b">
        <f t="shared" si="995"/>
        <v>1</v>
      </c>
      <c r="AT881" s="38">
        <f t="shared" si="996"/>
        <v>0</v>
      </c>
      <c r="AU881" s="60">
        <f t="shared" si="997"/>
        <v>0</v>
      </c>
      <c r="AV881" s="41">
        <f t="shared" si="998"/>
        <v>0</v>
      </c>
      <c r="AW881" s="41" t="b">
        <f t="shared" si="999"/>
        <v>0</v>
      </c>
      <c r="AX881" t="str">
        <f t="shared" si="1000"/>
        <v>+00</v>
      </c>
      <c r="AY881" t="str">
        <f t="shared" si="1001"/>
        <v>+00</v>
      </c>
      <c r="BA881" s="47" t="b">
        <f t="shared" si="1030"/>
        <v>1</v>
      </c>
      <c r="BB881" s="42" t="b">
        <f t="shared" si="1031"/>
        <v>1</v>
      </c>
      <c r="BC881" s="42" t="b">
        <f t="shared" si="1032"/>
        <v>0</v>
      </c>
      <c r="BD881" s="42" t="b">
        <f t="shared" si="1033"/>
        <v>0</v>
      </c>
      <c r="BE881" s="70">
        <f t="shared" si="1034"/>
        <v>0</v>
      </c>
      <c r="BF881" s="70">
        <f t="shared" si="1035"/>
        <v>0</v>
      </c>
      <c r="BG881" s="34"/>
      <c r="BI881" s="47" t="b">
        <f t="shared" si="1036"/>
        <v>1</v>
      </c>
      <c r="BJ881" s="47" t="b">
        <f t="shared" si="1037"/>
        <v>1</v>
      </c>
      <c r="BK881" s="42" t="b">
        <f t="shared" si="1038"/>
        <v>0</v>
      </c>
      <c r="BL881" s="42" t="b">
        <f t="shared" si="1039"/>
        <v>0</v>
      </c>
      <c r="BM881" s="42">
        <f t="shared" si="1040"/>
        <v>0</v>
      </c>
      <c r="BN881" s="42">
        <f t="shared" si="1041"/>
        <v>0</v>
      </c>
      <c r="BP881" t="e">
        <f t="shared" si="1042"/>
        <v>#N/A</v>
      </c>
      <c r="BQ881" t="e">
        <f t="shared" si="1043"/>
        <v>#N/A</v>
      </c>
      <c r="BR881" t="e">
        <f t="shared" si="1044"/>
        <v>#N/A</v>
      </c>
      <c r="BT881" s="60">
        <f t="shared" si="1045"/>
        <v>0</v>
      </c>
      <c r="BU881" s="60">
        <f t="shared" si="1046"/>
        <v>0</v>
      </c>
      <c r="BV881" s="60">
        <f t="shared" si="1047"/>
        <v>0</v>
      </c>
      <c r="BW881" s="60">
        <f t="shared" si="1048"/>
        <v>0</v>
      </c>
      <c r="BX881" s="60">
        <f t="shared" si="1049"/>
        <v>0</v>
      </c>
      <c r="BY881" s="60">
        <f t="shared" si="1050"/>
        <v>0</v>
      </c>
      <c r="BZ881" s="60">
        <f t="shared" si="1051"/>
        <v>0</v>
      </c>
      <c r="CA881" s="60">
        <f t="shared" si="1052"/>
        <v>0</v>
      </c>
      <c r="CB881" s="60" t="e">
        <f t="shared" si="1002"/>
        <v>#N/A</v>
      </c>
      <c r="CC881" s="60">
        <f t="shared" si="1003"/>
        <v>100000</v>
      </c>
      <c r="CD881" s="60" t="e">
        <f t="shared" si="1004"/>
        <v>#N/A</v>
      </c>
      <c r="CE881" s="60">
        <f t="shared" si="1005"/>
        <v>100000</v>
      </c>
      <c r="CF881" s="83" t="e">
        <f t="shared" si="1053"/>
        <v>#N/A</v>
      </c>
      <c r="CG881" s="83">
        <f t="shared" si="1054"/>
        <v>0</v>
      </c>
      <c r="CH881" s="83" t="e">
        <f t="shared" si="1055"/>
        <v>#N/A</v>
      </c>
      <c r="CI881" s="83">
        <f t="shared" si="1056"/>
        <v>0</v>
      </c>
      <c r="CJ881" s="86" t="e">
        <f t="shared" si="1006"/>
        <v>#N/A</v>
      </c>
      <c r="CK881" s="82">
        <f t="shared" si="1007"/>
        <v>5.3070370403969858E-3</v>
      </c>
      <c r="CL881" s="82" t="e">
        <f t="shared" si="1008"/>
        <v>#N/A</v>
      </c>
      <c r="CM881" s="82">
        <f t="shared" si="1009"/>
        <v>5.3070370403969858E-3</v>
      </c>
      <c r="CO881" s="149" t="str">
        <f>IF($I881&lt;&gt;"",IF(O881="User Specified",U881,INDEX('Refrigerant GWPs'!$G$2:$G$156,MATCH(O881,'Refrigerant GWPs'!$A$2:$A$156,0))),"")</f>
        <v/>
      </c>
      <c r="CP881" s="138" t="str">
        <f>IF($I881&lt;&gt;"",INDEX('Device Refrigerant Leakage'!$E$2:$E$42,MATCH($M881,'Device Refrigerant Leakage'!$B$2:$B$42,0)),"")</f>
        <v/>
      </c>
      <c r="CQ881" s="138" t="str">
        <f>IF($I881&lt;&gt;"",INDEX('Device Refrigerant Leakage'!$F$2:$F$42,MATCH($M881,'Device Refrigerant Leakage'!$B$2:$B$42,0)),"")</f>
        <v/>
      </c>
      <c r="CR881" s="145" t="str">
        <f>IF($I881&lt;&gt;"",INDEX('Device Refrigerant Leakage'!$G$2:$G$42,MATCH($M881,'Device Refrigerant Leakage'!$B$2:$B$42,0)),"")</f>
        <v/>
      </c>
      <c r="CS881" s="145" t="str">
        <f>IF($I881&lt;&gt;"",INDEX('Device Refrigerant Leakage'!$D$2:$D$42,MATCH($M881,'Device Refrigerant Leakage'!$B$2:$B$42,0))*CP881/2204.62*CO881,"")</f>
        <v/>
      </c>
      <c r="CT881" s="145" t="str">
        <f>IF($I881&lt;&gt;"",J881*(INDEX('Device Refrigerant Leakage'!$D$2:$D$42,MATCH($M881,'Device Refrigerant Leakage'!$B$2:$B$42,0))-(INDEX('Device Refrigerant Leakage'!$D$2:$D$42,MATCH($M881,'Device Refrigerant Leakage'!$B$2:$B$42,0)))*CR881*CP881)*CQ881/2204.62*CO881,"")</f>
        <v/>
      </c>
      <c r="CU881" s="135" t="str">
        <f>IF($I881&lt;&gt;"",J881*IF(W881&lt;&gt;"AR",(CS881*K881)+CT881,(CS881*AB881)+CT881*(AB881/INDEX('Device Refrigerant Leakage'!$C$2:$C$42,MATCH($M881,'Device Refrigerant Leakage'!$B$2:$B$42,0)))),"")</f>
        <v/>
      </c>
      <c r="CW881" s="135" t="str">
        <f>IF($I881&lt;&gt;"",IF(S881="User Specified",V881,INDEX('Refrigerant GWPs'!$G$2:$G$156,MATCH(S881,'Refrigerant GWPs'!$A$2:$A$157,0))),"")</f>
        <v/>
      </c>
      <c r="CX881" s="138" t="str">
        <f>IF($I881&lt;&gt;"",INDEX('Device Refrigerant Leakage'!$E$2:$E$42,MATCH($Q881,'Device Refrigerant Leakage'!$B$2:$B$42,0)),"")</f>
        <v/>
      </c>
      <c r="CY881" s="138" t="str">
        <f>IF($I881&lt;&gt;"",INDEX('Device Refrigerant Leakage'!$F$2:$F$42,MATCH($Q881,'Device Refrigerant Leakage'!$B$2:$B$42,0)),"")</f>
        <v/>
      </c>
      <c r="CZ881" s="145" t="str">
        <f>IF($I881&lt;&gt;"",INDEX('Device Refrigerant Leakage'!$G$2:$G$42,MATCH($Q881,'Device Refrigerant Leakage'!$B$2:$B$42,0)),"")</f>
        <v/>
      </c>
      <c r="DA881" s="145" t="str">
        <f>IF($I881&lt;&gt;"",J881*INDEX('Device Refrigerant Leakage'!$D$2:$D$42,MATCH($Q881,'Device Refrigerant Leakage'!$B$2:$B$42,0))*CX881/2204.62*CW881,"")</f>
        <v/>
      </c>
      <c r="DB881" s="145" t="str">
        <f>IF($I881&lt;&gt;"",J881*(INDEX('Device Refrigerant Leakage'!$D$2:$D$42,MATCH($Q881,'Device Refrigerant Leakage'!$B$2:$B$42,0))-(INDEX('Device Refrigerant Leakage'!$D$2:$D$42,MATCH($Q881,'Device Refrigerant Leakage'!$B$2:$B$42,0)))*CZ881*CX881)*CY881/2204.62*CW881,"")</f>
        <v/>
      </c>
      <c r="DC881" s="135" t="str">
        <f t="shared" si="1028"/>
        <v/>
      </c>
      <c r="DE881" s="146" t="str">
        <f>IF(W881&lt;&gt;"AR","",IF(Y881="User Specified", AA881, INDEX('Refrigerant GWPs'!$G$2:$G$154,MATCH(Y881,'Refrigerant GWPs'!$A$2:$A$154,0))))</f>
        <v/>
      </c>
      <c r="DF881" s="146" t="str">
        <f>IF(W881&lt;&gt;"AR","",INDEX('Device Refrigerant Leakage'!$E$2:$E$42,MATCH(X881,'Device Refrigerant Leakage'!$B$2:$B$42,0)))</f>
        <v/>
      </c>
      <c r="DG881" s="146" t="str">
        <f>IF(W881&lt;&gt;"AR","",INDEX('Device Refrigerant Leakage'!$F$2:$F$42,MATCH(X881,'Device Refrigerant Leakage'!$B$2:$B$42,0)))</f>
        <v/>
      </c>
      <c r="DH881" s="146" t="str">
        <f>IF(W881&lt;&gt;"AR","",INDEX('Device Refrigerant Leakage'!$G$2:$G$42,MATCH(X881,'Device Refrigerant Leakage'!$B$2:$B$42,0)))</f>
        <v/>
      </c>
      <c r="DI881" s="146" t="str">
        <f>IF(W881&lt;&gt;"AR","",J881*INDEX('Device Refrigerant Leakage'!$D$2:$D$42,MATCH(X881,'Device Refrigerant Leakage'!$B$2:$B$42,0))*DF881/2204.62*DE881)</f>
        <v/>
      </c>
      <c r="DJ881" s="146" t="str">
        <f>IF(W881&lt;&gt;"AR","",J881*(INDEX('Device Refrigerant Leakage'!$D$2:$D$42,MATCH(X881,'Device Refrigerant Leakage'!$B$2:$B$42,0))-(INDEX('Device Refrigerant Leakage'!$D$2:$D$42,MATCH(X881,'Device Refrigerant Leakage'!$B$2:$B$42,0)))*DH881*DF881)*DG881/2204.62*DE881)</f>
        <v/>
      </c>
      <c r="DK881" s="146" t="str">
        <f>IF(W881&lt;&gt;"AR","",DI881*(K881-AB881)+'Fuel Sub Calcs-Deemed'!DJ881*((K881-AB881)/INDEX('Device Refrigerant Leakage'!$C$2:$C$42,MATCH('Fuel Sub Calcs-Deemed'!X881,'Device Refrigerant Leakage'!$B$2:$B$42,0))))</f>
        <v/>
      </c>
      <c r="DM881" s="56">
        <v>867</v>
      </c>
      <c r="DN881" s="67" t="e">
        <f t="shared" si="1010"/>
        <v>#N/A</v>
      </c>
      <c r="DO881" s="45" t="e">
        <f t="shared" si="1011"/>
        <v>#N/A</v>
      </c>
      <c r="DP881" s="67" t="e">
        <f t="shared" si="1012"/>
        <v>#N/A</v>
      </c>
      <c r="DQ881" s="45" t="e">
        <f t="shared" si="1013"/>
        <v>#N/A</v>
      </c>
      <c r="DR881" s="69" t="e">
        <f t="shared" si="1014"/>
        <v>#N/A</v>
      </c>
      <c r="DS881" s="34"/>
      <c r="DT881" s="67" t="e">
        <f>((BX881*CJ881)+IF($W881=MAT_AR,(BZ881*CL881),0))*(1+Reference!$E$50+Reference!$E$51)</f>
        <v>#N/A</v>
      </c>
      <c r="DU881" s="67">
        <f>((BY881*CK881)+IF($W881=MAT_AR,(CA881*CM881),0))*(1+Reference!$G$50+Reference!$G$51)</f>
        <v>0</v>
      </c>
      <c r="DV881" s="67" t="e">
        <f t="shared" si="1015"/>
        <v>#VALUE!</v>
      </c>
      <c r="DX881" s="56">
        <v>867</v>
      </c>
      <c r="DY881" s="67">
        <f t="shared" si="1016"/>
        <v>0</v>
      </c>
      <c r="DZ881" s="45" t="e">
        <f>VLOOKUP($R881,Dropdown!$C$3:$D$4,2,FALSE)</f>
        <v>#N/A</v>
      </c>
      <c r="EA881" s="68">
        <f t="shared" si="1017"/>
        <v>0</v>
      </c>
      <c r="EB881" s="68" t="str">
        <f t="shared" si="1018"/>
        <v>N/A</v>
      </c>
      <c r="EC881" s="68">
        <f t="shared" si="1019"/>
        <v>0</v>
      </c>
      <c r="ED881" s="68" t="str">
        <f t="shared" si="1057"/>
        <v>N/A</v>
      </c>
      <c r="EF881" s="56">
        <v>867</v>
      </c>
      <c r="EG881" s="46">
        <f t="shared" si="1020"/>
        <v>0</v>
      </c>
      <c r="EH881" s="68" t="e">
        <f t="shared" si="1021"/>
        <v>#N/A</v>
      </c>
      <c r="EI881" s="68" t="e">
        <f t="shared" si="1022"/>
        <v>#N/A</v>
      </c>
      <c r="EJ881" s="68" t="e">
        <f t="shared" si="1023"/>
        <v>#N/A</v>
      </c>
      <c r="EK881" s="68" t="e">
        <f t="shared" si="1024"/>
        <v>#N/A</v>
      </c>
      <c r="EL881" s="46">
        <f t="shared" si="1025"/>
        <v>0</v>
      </c>
      <c r="EM881" s="46">
        <f t="shared" si="1026"/>
        <v>0</v>
      </c>
    </row>
    <row r="882" spans="1:143">
      <c r="A882" s="89"/>
      <c r="B882" s="89"/>
      <c r="C882" s="89"/>
      <c r="D882" s="89"/>
      <c r="E882" s="89"/>
      <c r="F882" s="89"/>
      <c r="G882" s="34"/>
      <c r="H882" s="56">
        <f t="shared" si="1027"/>
        <v>868</v>
      </c>
      <c r="I882" s="165"/>
      <c r="J882" s="163"/>
      <c r="K882" s="163"/>
      <c r="L882" s="164"/>
      <c r="M882" s="155"/>
      <c r="N882" s="155"/>
      <c r="O882" s="144"/>
      <c r="P882" s="159" t="str">
        <f>IFERROR(IF(O882&lt;&gt;"User Specified",IF(O882&lt;&gt;"", INDEX('Refrigerant GWPs'!$G$2:$G$154,MATCH(O882,'Refrigerant GWPs'!$A$2:$A$154,0)),""),U882),0)</f>
        <v/>
      </c>
      <c r="Q882" s="155"/>
      <c r="R882" s="155"/>
      <c r="S882" s="144"/>
      <c r="T882" s="159" t="str">
        <f>IF(S882&lt;&gt;"User Specified",IF(AND(S882&lt;&gt;"User Specified",S882&lt;&gt;""), INDEX('Refrigerant GWPs'!$G$2:$G$154,MATCH(S882,'Refrigerant GWPs'!$A$2:$A$154,0)),""),V882)</f>
        <v/>
      </c>
      <c r="U882" s="144"/>
      <c r="V882" s="144"/>
      <c r="W882" s="155"/>
      <c r="X882" s="155"/>
      <c r="Y882" s="144"/>
      <c r="Z882" s="159" t="str">
        <f>IF(AND(Y882&lt;&gt;"User Specified",Y882&lt;&gt;""), INDEX('Refrigerant GWPs'!$G$2:$G$154,MATCH(Y882,'Refrigerant GWPs'!$A$2:$A$154,0)),"")</f>
        <v/>
      </c>
      <c r="AA882" s="155"/>
      <c r="AB882" s="156"/>
      <c r="AC882" s="66"/>
      <c r="AD882" s="66"/>
      <c r="AE882" s="66"/>
      <c r="AF882" s="66"/>
      <c r="AG882" s="66"/>
      <c r="AH882" s="66"/>
      <c r="AI882" s="34"/>
      <c r="AJ882" s="88">
        <f t="shared" si="990"/>
        <v>0</v>
      </c>
      <c r="AK882" s="88">
        <f t="shared" si="991"/>
        <v>0</v>
      </c>
      <c r="AL882" s="88">
        <v>0</v>
      </c>
      <c r="AM882" s="88">
        <v>0</v>
      </c>
      <c r="AN882" s="81" t="str">
        <f t="shared" si="1029"/>
        <v/>
      </c>
      <c r="AO882" s="88">
        <f t="shared" si="992"/>
        <v>0</v>
      </c>
      <c r="AP882" s="88">
        <f t="shared" si="993"/>
        <v>0</v>
      </c>
      <c r="AQ882" s="81" t="str">
        <f t="shared" si="994"/>
        <v/>
      </c>
      <c r="AS882" s="41" t="b">
        <f t="shared" si="995"/>
        <v>1</v>
      </c>
      <c r="AT882" s="38">
        <f t="shared" si="996"/>
        <v>0</v>
      </c>
      <c r="AU882" s="60">
        <f t="shared" si="997"/>
        <v>0</v>
      </c>
      <c r="AV882" s="41">
        <f t="shared" si="998"/>
        <v>0</v>
      </c>
      <c r="AW882" s="41" t="b">
        <f t="shared" si="999"/>
        <v>0</v>
      </c>
      <c r="AX882" t="str">
        <f t="shared" si="1000"/>
        <v>+00</v>
      </c>
      <c r="AY882" t="str">
        <f t="shared" si="1001"/>
        <v>+00</v>
      </c>
      <c r="BA882" s="47" t="b">
        <f t="shared" si="1030"/>
        <v>1</v>
      </c>
      <c r="BB882" s="42" t="b">
        <f t="shared" si="1031"/>
        <v>1</v>
      </c>
      <c r="BC882" s="42" t="b">
        <f t="shared" si="1032"/>
        <v>0</v>
      </c>
      <c r="BD882" s="42" t="b">
        <f t="shared" si="1033"/>
        <v>0</v>
      </c>
      <c r="BE882" s="70">
        <f t="shared" si="1034"/>
        <v>0</v>
      </c>
      <c r="BF882" s="70">
        <f t="shared" si="1035"/>
        <v>0</v>
      </c>
      <c r="BG882" s="34"/>
      <c r="BI882" s="47" t="b">
        <f t="shared" si="1036"/>
        <v>1</v>
      </c>
      <c r="BJ882" s="47" t="b">
        <f t="shared" si="1037"/>
        <v>1</v>
      </c>
      <c r="BK882" s="42" t="b">
        <f t="shared" si="1038"/>
        <v>0</v>
      </c>
      <c r="BL882" s="42" t="b">
        <f t="shared" si="1039"/>
        <v>0</v>
      </c>
      <c r="BM882" s="42">
        <f t="shared" si="1040"/>
        <v>0</v>
      </c>
      <c r="BN882" s="42">
        <f t="shared" si="1041"/>
        <v>0</v>
      </c>
      <c r="BP882" t="e">
        <f t="shared" si="1042"/>
        <v>#N/A</v>
      </c>
      <c r="BQ882" t="e">
        <f t="shared" si="1043"/>
        <v>#N/A</v>
      </c>
      <c r="BR882" t="e">
        <f t="shared" si="1044"/>
        <v>#N/A</v>
      </c>
      <c r="BT882" s="60">
        <f t="shared" si="1045"/>
        <v>0</v>
      </c>
      <c r="BU882" s="60">
        <f t="shared" si="1046"/>
        <v>0</v>
      </c>
      <c r="BV882" s="60">
        <f t="shared" si="1047"/>
        <v>0</v>
      </c>
      <c r="BW882" s="60">
        <f t="shared" si="1048"/>
        <v>0</v>
      </c>
      <c r="BX882" s="60">
        <f t="shared" si="1049"/>
        <v>0</v>
      </c>
      <c r="BY882" s="60">
        <f t="shared" si="1050"/>
        <v>0</v>
      </c>
      <c r="BZ882" s="60">
        <f t="shared" si="1051"/>
        <v>0</v>
      </c>
      <c r="CA882" s="60">
        <f t="shared" si="1052"/>
        <v>0</v>
      </c>
      <c r="CB882" s="60" t="e">
        <f t="shared" si="1002"/>
        <v>#N/A</v>
      </c>
      <c r="CC882" s="60">
        <f t="shared" si="1003"/>
        <v>100000</v>
      </c>
      <c r="CD882" s="60" t="e">
        <f t="shared" si="1004"/>
        <v>#N/A</v>
      </c>
      <c r="CE882" s="60">
        <f t="shared" si="1005"/>
        <v>100000</v>
      </c>
      <c r="CF882" s="83" t="e">
        <f t="shared" si="1053"/>
        <v>#N/A</v>
      </c>
      <c r="CG882" s="83">
        <f t="shared" si="1054"/>
        <v>0</v>
      </c>
      <c r="CH882" s="83" t="e">
        <f t="shared" si="1055"/>
        <v>#N/A</v>
      </c>
      <c r="CI882" s="83">
        <f t="shared" si="1056"/>
        <v>0</v>
      </c>
      <c r="CJ882" s="86" t="e">
        <f t="shared" si="1006"/>
        <v>#N/A</v>
      </c>
      <c r="CK882" s="82">
        <f t="shared" si="1007"/>
        <v>5.3070370403969858E-3</v>
      </c>
      <c r="CL882" s="82" t="e">
        <f t="shared" si="1008"/>
        <v>#N/A</v>
      </c>
      <c r="CM882" s="82">
        <f t="shared" si="1009"/>
        <v>5.3070370403969858E-3</v>
      </c>
      <c r="CO882" s="149" t="str">
        <f>IF($I882&lt;&gt;"",IF(O882="User Specified",U882,INDEX('Refrigerant GWPs'!$G$2:$G$156,MATCH(O882,'Refrigerant GWPs'!$A$2:$A$156,0))),"")</f>
        <v/>
      </c>
      <c r="CP882" s="138" t="str">
        <f>IF($I882&lt;&gt;"",INDEX('Device Refrigerant Leakage'!$E$2:$E$42,MATCH($M882,'Device Refrigerant Leakage'!$B$2:$B$42,0)),"")</f>
        <v/>
      </c>
      <c r="CQ882" s="138" t="str">
        <f>IF($I882&lt;&gt;"",INDEX('Device Refrigerant Leakage'!$F$2:$F$42,MATCH($M882,'Device Refrigerant Leakage'!$B$2:$B$42,0)),"")</f>
        <v/>
      </c>
      <c r="CR882" s="145" t="str">
        <f>IF($I882&lt;&gt;"",INDEX('Device Refrigerant Leakage'!$G$2:$G$42,MATCH($M882,'Device Refrigerant Leakage'!$B$2:$B$42,0)),"")</f>
        <v/>
      </c>
      <c r="CS882" s="145" t="str">
        <f>IF($I882&lt;&gt;"",INDEX('Device Refrigerant Leakage'!$D$2:$D$42,MATCH($M882,'Device Refrigerant Leakage'!$B$2:$B$42,0))*CP882/2204.62*CO882,"")</f>
        <v/>
      </c>
      <c r="CT882" s="145" t="str">
        <f>IF($I882&lt;&gt;"",J882*(INDEX('Device Refrigerant Leakage'!$D$2:$D$42,MATCH($M882,'Device Refrigerant Leakage'!$B$2:$B$42,0))-(INDEX('Device Refrigerant Leakage'!$D$2:$D$42,MATCH($M882,'Device Refrigerant Leakage'!$B$2:$B$42,0)))*CR882*CP882)*CQ882/2204.62*CO882,"")</f>
        <v/>
      </c>
      <c r="CU882" s="135" t="str">
        <f>IF($I882&lt;&gt;"",J882*IF(W882&lt;&gt;"AR",(CS882*K882)+CT882,(CS882*AB882)+CT882*(AB882/INDEX('Device Refrigerant Leakage'!$C$2:$C$42,MATCH($M882,'Device Refrigerant Leakage'!$B$2:$B$42,0)))),"")</f>
        <v/>
      </c>
      <c r="CW882" s="135" t="str">
        <f>IF($I882&lt;&gt;"",IF(S882="User Specified",V882,INDEX('Refrigerant GWPs'!$G$2:$G$156,MATCH(S882,'Refrigerant GWPs'!$A$2:$A$157,0))),"")</f>
        <v/>
      </c>
      <c r="CX882" s="138" t="str">
        <f>IF($I882&lt;&gt;"",INDEX('Device Refrigerant Leakage'!$E$2:$E$42,MATCH($Q882,'Device Refrigerant Leakage'!$B$2:$B$42,0)),"")</f>
        <v/>
      </c>
      <c r="CY882" s="138" t="str">
        <f>IF($I882&lt;&gt;"",INDEX('Device Refrigerant Leakage'!$F$2:$F$42,MATCH($Q882,'Device Refrigerant Leakage'!$B$2:$B$42,0)),"")</f>
        <v/>
      </c>
      <c r="CZ882" s="145" t="str">
        <f>IF($I882&lt;&gt;"",INDEX('Device Refrigerant Leakage'!$G$2:$G$42,MATCH($Q882,'Device Refrigerant Leakage'!$B$2:$B$42,0)),"")</f>
        <v/>
      </c>
      <c r="DA882" s="145" t="str">
        <f>IF($I882&lt;&gt;"",J882*INDEX('Device Refrigerant Leakage'!$D$2:$D$42,MATCH($Q882,'Device Refrigerant Leakage'!$B$2:$B$42,0))*CX882/2204.62*CW882,"")</f>
        <v/>
      </c>
      <c r="DB882" s="145" t="str">
        <f>IF($I882&lt;&gt;"",J882*(INDEX('Device Refrigerant Leakage'!$D$2:$D$42,MATCH($Q882,'Device Refrigerant Leakage'!$B$2:$B$42,0))-(INDEX('Device Refrigerant Leakage'!$D$2:$D$42,MATCH($Q882,'Device Refrigerant Leakage'!$B$2:$B$42,0)))*CZ882*CX882)*CY882/2204.62*CW882,"")</f>
        <v/>
      </c>
      <c r="DC882" s="135" t="str">
        <f t="shared" si="1028"/>
        <v/>
      </c>
      <c r="DE882" s="146" t="str">
        <f>IF(W882&lt;&gt;"AR","",IF(Y882="User Specified", AA882, INDEX('Refrigerant GWPs'!$G$2:$G$154,MATCH(Y882,'Refrigerant GWPs'!$A$2:$A$154,0))))</f>
        <v/>
      </c>
      <c r="DF882" s="146" t="str">
        <f>IF(W882&lt;&gt;"AR","",INDEX('Device Refrigerant Leakage'!$E$2:$E$42,MATCH(X882,'Device Refrigerant Leakage'!$B$2:$B$42,0)))</f>
        <v/>
      </c>
      <c r="DG882" s="146" t="str">
        <f>IF(W882&lt;&gt;"AR","",INDEX('Device Refrigerant Leakage'!$F$2:$F$42,MATCH(X882,'Device Refrigerant Leakage'!$B$2:$B$42,0)))</f>
        <v/>
      </c>
      <c r="DH882" s="146" t="str">
        <f>IF(W882&lt;&gt;"AR","",INDEX('Device Refrigerant Leakage'!$G$2:$G$42,MATCH(X882,'Device Refrigerant Leakage'!$B$2:$B$42,0)))</f>
        <v/>
      </c>
      <c r="DI882" s="146" t="str">
        <f>IF(W882&lt;&gt;"AR","",J882*INDEX('Device Refrigerant Leakage'!$D$2:$D$42,MATCH(X882,'Device Refrigerant Leakage'!$B$2:$B$42,0))*DF882/2204.62*DE882)</f>
        <v/>
      </c>
      <c r="DJ882" s="146" t="str">
        <f>IF(W882&lt;&gt;"AR","",J882*(INDEX('Device Refrigerant Leakage'!$D$2:$D$42,MATCH(X882,'Device Refrigerant Leakage'!$B$2:$B$42,0))-(INDEX('Device Refrigerant Leakage'!$D$2:$D$42,MATCH(X882,'Device Refrigerant Leakage'!$B$2:$B$42,0)))*DH882*DF882)*DG882/2204.62*DE882)</f>
        <v/>
      </c>
      <c r="DK882" s="146" t="str">
        <f>IF(W882&lt;&gt;"AR","",DI882*(K882-AB882)+'Fuel Sub Calcs-Deemed'!DJ882*((K882-AB882)/INDEX('Device Refrigerant Leakage'!$C$2:$C$42,MATCH('Fuel Sub Calcs-Deemed'!X882,'Device Refrigerant Leakage'!$B$2:$B$42,0))))</f>
        <v/>
      </c>
      <c r="DM882" s="56">
        <v>868</v>
      </c>
      <c r="DN882" s="67" t="e">
        <f t="shared" si="1010"/>
        <v>#N/A</v>
      </c>
      <c r="DO882" s="45" t="e">
        <f t="shared" si="1011"/>
        <v>#N/A</v>
      </c>
      <c r="DP882" s="67" t="e">
        <f t="shared" si="1012"/>
        <v>#N/A</v>
      </c>
      <c r="DQ882" s="45" t="e">
        <f t="shared" si="1013"/>
        <v>#N/A</v>
      </c>
      <c r="DR882" s="69" t="e">
        <f t="shared" si="1014"/>
        <v>#N/A</v>
      </c>
      <c r="DS882" s="34"/>
      <c r="DT882" s="67" t="e">
        <f>((BX882*CJ882)+IF($W882=MAT_AR,(BZ882*CL882),0))*(1+Reference!$E$50+Reference!$E$51)</f>
        <v>#N/A</v>
      </c>
      <c r="DU882" s="67">
        <f>((BY882*CK882)+IF($W882=MAT_AR,(CA882*CM882),0))*(1+Reference!$G$50+Reference!$G$51)</f>
        <v>0</v>
      </c>
      <c r="DV882" s="67" t="e">
        <f t="shared" si="1015"/>
        <v>#VALUE!</v>
      </c>
      <c r="DX882" s="56">
        <v>868</v>
      </c>
      <c r="DY882" s="67">
        <f t="shared" si="1016"/>
        <v>0</v>
      </c>
      <c r="DZ882" s="45" t="e">
        <f>VLOOKUP($R882,Dropdown!$C$3:$D$4,2,FALSE)</f>
        <v>#N/A</v>
      </c>
      <c r="EA882" s="68">
        <f t="shared" si="1017"/>
        <v>0</v>
      </c>
      <c r="EB882" s="68" t="str">
        <f t="shared" si="1018"/>
        <v>N/A</v>
      </c>
      <c r="EC882" s="68">
        <f t="shared" si="1019"/>
        <v>0</v>
      </c>
      <c r="ED882" s="68" t="str">
        <f t="shared" si="1057"/>
        <v>N/A</v>
      </c>
      <c r="EF882" s="56">
        <v>868</v>
      </c>
      <c r="EG882" s="46">
        <f t="shared" si="1020"/>
        <v>0</v>
      </c>
      <c r="EH882" s="68" t="e">
        <f t="shared" si="1021"/>
        <v>#N/A</v>
      </c>
      <c r="EI882" s="68" t="e">
        <f t="shared" si="1022"/>
        <v>#N/A</v>
      </c>
      <c r="EJ882" s="68" t="e">
        <f t="shared" si="1023"/>
        <v>#N/A</v>
      </c>
      <c r="EK882" s="68" t="e">
        <f t="shared" si="1024"/>
        <v>#N/A</v>
      </c>
      <c r="EL882" s="46">
        <f t="shared" si="1025"/>
        <v>0</v>
      </c>
      <c r="EM882" s="46">
        <f t="shared" si="1026"/>
        <v>0</v>
      </c>
    </row>
    <row r="883" spans="1:143">
      <c r="A883" s="89"/>
      <c r="B883" s="89"/>
      <c r="C883" s="89"/>
      <c r="D883" s="89"/>
      <c r="E883" s="89"/>
      <c r="F883" s="89"/>
      <c r="G883" s="34"/>
      <c r="H883" s="56">
        <f t="shared" si="1027"/>
        <v>869</v>
      </c>
      <c r="I883" s="165"/>
      <c r="J883" s="163"/>
      <c r="K883" s="163"/>
      <c r="L883" s="164"/>
      <c r="M883" s="155"/>
      <c r="N883" s="155"/>
      <c r="O883" s="144"/>
      <c r="P883" s="159" t="str">
        <f>IFERROR(IF(O883&lt;&gt;"User Specified",IF(O883&lt;&gt;"", INDEX('Refrigerant GWPs'!$G$2:$G$154,MATCH(O883,'Refrigerant GWPs'!$A$2:$A$154,0)),""),U883),0)</f>
        <v/>
      </c>
      <c r="Q883" s="155"/>
      <c r="R883" s="155"/>
      <c r="S883" s="144"/>
      <c r="T883" s="159" t="str">
        <f>IF(S883&lt;&gt;"User Specified",IF(AND(S883&lt;&gt;"User Specified",S883&lt;&gt;""), INDEX('Refrigerant GWPs'!$G$2:$G$154,MATCH(S883,'Refrigerant GWPs'!$A$2:$A$154,0)),""),V883)</f>
        <v/>
      </c>
      <c r="U883" s="144"/>
      <c r="V883" s="144"/>
      <c r="W883" s="155"/>
      <c r="X883" s="155"/>
      <c r="Y883" s="144"/>
      <c r="Z883" s="159" t="str">
        <f>IF(AND(Y883&lt;&gt;"User Specified",Y883&lt;&gt;""), INDEX('Refrigerant GWPs'!$G$2:$G$154,MATCH(Y883,'Refrigerant GWPs'!$A$2:$A$154,0)),"")</f>
        <v/>
      </c>
      <c r="AA883" s="155"/>
      <c r="AB883" s="156"/>
      <c r="AC883" s="66"/>
      <c r="AD883" s="66"/>
      <c r="AE883" s="66"/>
      <c r="AF883" s="66"/>
      <c r="AG883" s="66"/>
      <c r="AH883" s="66"/>
      <c r="AI883" s="34"/>
      <c r="AJ883" s="88">
        <f t="shared" si="990"/>
        <v>0</v>
      </c>
      <c r="AK883" s="88">
        <f t="shared" si="991"/>
        <v>0</v>
      </c>
      <c r="AL883" s="88">
        <v>0</v>
      </c>
      <c r="AM883" s="88">
        <v>0</v>
      </c>
      <c r="AN883" s="81" t="str">
        <f t="shared" si="1029"/>
        <v/>
      </c>
      <c r="AO883" s="88">
        <f t="shared" si="992"/>
        <v>0</v>
      </c>
      <c r="AP883" s="88">
        <f t="shared" si="993"/>
        <v>0</v>
      </c>
      <c r="AQ883" s="81" t="str">
        <f t="shared" si="994"/>
        <v/>
      </c>
      <c r="AS883" s="41" t="b">
        <f t="shared" si="995"/>
        <v>1</v>
      </c>
      <c r="AT883" s="38">
        <f t="shared" si="996"/>
        <v>0</v>
      </c>
      <c r="AU883" s="60">
        <f t="shared" si="997"/>
        <v>0</v>
      </c>
      <c r="AV883" s="41">
        <f t="shared" si="998"/>
        <v>0</v>
      </c>
      <c r="AW883" s="41" t="b">
        <f t="shared" si="999"/>
        <v>0</v>
      </c>
      <c r="AX883" t="str">
        <f t="shared" si="1000"/>
        <v>+00</v>
      </c>
      <c r="AY883" t="str">
        <f t="shared" si="1001"/>
        <v>+00</v>
      </c>
      <c r="BA883" s="47" t="b">
        <f t="shared" si="1030"/>
        <v>1</v>
      </c>
      <c r="BB883" s="42" t="b">
        <f t="shared" si="1031"/>
        <v>1</v>
      </c>
      <c r="BC883" s="42" t="b">
        <f t="shared" si="1032"/>
        <v>0</v>
      </c>
      <c r="BD883" s="42" t="b">
        <f t="shared" si="1033"/>
        <v>0</v>
      </c>
      <c r="BE883" s="70">
        <f t="shared" si="1034"/>
        <v>0</v>
      </c>
      <c r="BF883" s="70">
        <f t="shared" si="1035"/>
        <v>0</v>
      </c>
      <c r="BG883" s="34"/>
      <c r="BI883" s="47" t="b">
        <f t="shared" si="1036"/>
        <v>1</v>
      </c>
      <c r="BJ883" s="47" t="b">
        <f t="shared" si="1037"/>
        <v>1</v>
      </c>
      <c r="BK883" s="42" t="b">
        <f t="shared" si="1038"/>
        <v>0</v>
      </c>
      <c r="BL883" s="42" t="b">
        <f t="shared" si="1039"/>
        <v>0</v>
      </c>
      <c r="BM883" s="42">
        <f t="shared" si="1040"/>
        <v>0</v>
      </c>
      <c r="BN883" s="42">
        <f t="shared" si="1041"/>
        <v>0</v>
      </c>
      <c r="BP883" t="e">
        <f t="shared" si="1042"/>
        <v>#N/A</v>
      </c>
      <c r="BQ883" t="e">
        <f t="shared" si="1043"/>
        <v>#N/A</v>
      </c>
      <c r="BR883" t="e">
        <f t="shared" si="1044"/>
        <v>#N/A</v>
      </c>
      <c r="BT883" s="60">
        <f t="shared" si="1045"/>
        <v>0</v>
      </c>
      <c r="BU883" s="60">
        <f t="shared" si="1046"/>
        <v>0</v>
      </c>
      <c r="BV883" s="60">
        <f t="shared" si="1047"/>
        <v>0</v>
      </c>
      <c r="BW883" s="60">
        <f t="shared" si="1048"/>
        <v>0</v>
      </c>
      <c r="BX883" s="60">
        <f t="shared" si="1049"/>
        <v>0</v>
      </c>
      <c r="BY883" s="60">
        <f t="shared" si="1050"/>
        <v>0</v>
      </c>
      <c r="BZ883" s="60">
        <f t="shared" si="1051"/>
        <v>0</v>
      </c>
      <c r="CA883" s="60">
        <f t="shared" si="1052"/>
        <v>0</v>
      </c>
      <c r="CB883" s="60" t="e">
        <f t="shared" si="1002"/>
        <v>#N/A</v>
      </c>
      <c r="CC883" s="60">
        <f t="shared" si="1003"/>
        <v>100000</v>
      </c>
      <c r="CD883" s="60" t="e">
        <f t="shared" si="1004"/>
        <v>#N/A</v>
      </c>
      <c r="CE883" s="60">
        <f t="shared" si="1005"/>
        <v>100000</v>
      </c>
      <c r="CF883" s="83" t="e">
        <f t="shared" si="1053"/>
        <v>#N/A</v>
      </c>
      <c r="CG883" s="83">
        <f t="shared" si="1054"/>
        <v>0</v>
      </c>
      <c r="CH883" s="83" t="e">
        <f t="shared" si="1055"/>
        <v>#N/A</v>
      </c>
      <c r="CI883" s="83">
        <f t="shared" si="1056"/>
        <v>0</v>
      </c>
      <c r="CJ883" s="86" t="e">
        <f t="shared" si="1006"/>
        <v>#N/A</v>
      </c>
      <c r="CK883" s="82">
        <f t="shared" si="1007"/>
        <v>5.3070370403969858E-3</v>
      </c>
      <c r="CL883" s="82" t="e">
        <f t="shared" si="1008"/>
        <v>#N/A</v>
      </c>
      <c r="CM883" s="82">
        <f t="shared" si="1009"/>
        <v>5.3070370403969858E-3</v>
      </c>
      <c r="CO883" s="149" t="str">
        <f>IF($I883&lt;&gt;"",IF(O883="User Specified",U883,INDEX('Refrigerant GWPs'!$G$2:$G$156,MATCH(O883,'Refrigerant GWPs'!$A$2:$A$156,0))),"")</f>
        <v/>
      </c>
      <c r="CP883" s="138" t="str">
        <f>IF($I883&lt;&gt;"",INDEX('Device Refrigerant Leakage'!$E$2:$E$42,MATCH($M883,'Device Refrigerant Leakage'!$B$2:$B$42,0)),"")</f>
        <v/>
      </c>
      <c r="CQ883" s="138" t="str">
        <f>IF($I883&lt;&gt;"",INDEX('Device Refrigerant Leakage'!$F$2:$F$42,MATCH($M883,'Device Refrigerant Leakage'!$B$2:$B$42,0)),"")</f>
        <v/>
      </c>
      <c r="CR883" s="145" t="str">
        <f>IF($I883&lt;&gt;"",INDEX('Device Refrigerant Leakage'!$G$2:$G$42,MATCH($M883,'Device Refrigerant Leakage'!$B$2:$B$42,0)),"")</f>
        <v/>
      </c>
      <c r="CS883" s="145" t="str">
        <f>IF($I883&lt;&gt;"",INDEX('Device Refrigerant Leakage'!$D$2:$D$42,MATCH($M883,'Device Refrigerant Leakage'!$B$2:$B$42,0))*CP883/2204.62*CO883,"")</f>
        <v/>
      </c>
      <c r="CT883" s="145" t="str">
        <f>IF($I883&lt;&gt;"",J883*(INDEX('Device Refrigerant Leakage'!$D$2:$D$42,MATCH($M883,'Device Refrigerant Leakage'!$B$2:$B$42,0))-(INDEX('Device Refrigerant Leakage'!$D$2:$D$42,MATCH($M883,'Device Refrigerant Leakage'!$B$2:$B$42,0)))*CR883*CP883)*CQ883/2204.62*CO883,"")</f>
        <v/>
      </c>
      <c r="CU883" s="135" t="str">
        <f>IF($I883&lt;&gt;"",J883*IF(W883&lt;&gt;"AR",(CS883*K883)+CT883,(CS883*AB883)+CT883*(AB883/INDEX('Device Refrigerant Leakage'!$C$2:$C$42,MATCH($M883,'Device Refrigerant Leakage'!$B$2:$B$42,0)))),"")</f>
        <v/>
      </c>
      <c r="CW883" s="135" t="str">
        <f>IF($I883&lt;&gt;"",IF(S883="User Specified",V883,INDEX('Refrigerant GWPs'!$G$2:$G$156,MATCH(S883,'Refrigerant GWPs'!$A$2:$A$157,0))),"")</f>
        <v/>
      </c>
      <c r="CX883" s="138" t="str">
        <f>IF($I883&lt;&gt;"",INDEX('Device Refrigerant Leakage'!$E$2:$E$42,MATCH($Q883,'Device Refrigerant Leakage'!$B$2:$B$42,0)),"")</f>
        <v/>
      </c>
      <c r="CY883" s="138" t="str">
        <f>IF($I883&lt;&gt;"",INDEX('Device Refrigerant Leakage'!$F$2:$F$42,MATCH($Q883,'Device Refrigerant Leakage'!$B$2:$B$42,0)),"")</f>
        <v/>
      </c>
      <c r="CZ883" s="145" t="str">
        <f>IF($I883&lt;&gt;"",INDEX('Device Refrigerant Leakage'!$G$2:$G$42,MATCH($Q883,'Device Refrigerant Leakage'!$B$2:$B$42,0)),"")</f>
        <v/>
      </c>
      <c r="DA883" s="145" t="str">
        <f>IF($I883&lt;&gt;"",J883*INDEX('Device Refrigerant Leakage'!$D$2:$D$42,MATCH($Q883,'Device Refrigerant Leakage'!$B$2:$B$42,0))*CX883/2204.62*CW883,"")</f>
        <v/>
      </c>
      <c r="DB883" s="145" t="str">
        <f>IF($I883&lt;&gt;"",J883*(INDEX('Device Refrigerant Leakage'!$D$2:$D$42,MATCH($Q883,'Device Refrigerant Leakage'!$B$2:$B$42,0))-(INDEX('Device Refrigerant Leakage'!$D$2:$D$42,MATCH($Q883,'Device Refrigerant Leakage'!$B$2:$B$42,0)))*CZ883*CX883)*CY883/2204.62*CW883,"")</f>
        <v/>
      </c>
      <c r="DC883" s="135" t="str">
        <f t="shared" si="1028"/>
        <v/>
      </c>
      <c r="DE883" s="146" t="str">
        <f>IF(W883&lt;&gt;"AR","",IF(Y883="User Specified", AA883, INDEX('Refrigerant GWPs'!$G$2:$G$154,MATCH(Y883,'Refrigerant GWPs'!$A$2:$A$154,0))))</f>
        <v/>
      </c>
      <c r="DF883" s="146" t="str">
        <f>IF(W883&lt;&gt;"AR","",INDEX('Device Refrigerant Leakage'!$E$2:$E$42,MATCH(X883,'Device Refrigerant Leakage'!$B$2:$B$42,0)))</f>
        <v/>
      </c>
      <c r="DG883" s="146" t="str">
        <f>IF(W883&lt;&gt;"AR","",INDEX('Device Refrigerant Leakage'!$F$2:$F$42,MATCH(X883,'Device Refrigerant Leakage'!$B$2:$B$42,0)))</f>
        <v/>
      </c>
      <c r="DH883" s="146" t="str">
        <f>IF(W883&lt;&gt;"AR","",INDEX('Device Refrigerant Leakage'!$G$2:$G$42,MATCH(X883,'Device Refrigerant Leakage'!$B$2:$B$42,0)))</f>
        <v/>
      </c>
      <c r="DI883" s="146" t="str">
        <f>IF(W883&lt;&gt;"AR","",J883*INDEX('Device Refrigerant Leakage'!$D$2:$D$42,MATCH(X883,'Device Refrigerant Leakage'!$B$2:$B$42,0))*DF883/2204.62*DE883)</f>
        <v/>
      </c>
      <c r="DJ883" s="146" t="str">
        <f>IF(W883&lt;&gt;"AR","",J883*(INDEX('Device Refrigerant Leakage'!$D$2:$D$42,MATCH(X883,'Device Refrigerant Leakage'!$B$2:$B$42,0))-(INDEX('Device Refrigerant Leakage'!$D$2:$D$42,MATCH(X883,'Device Refrigerant Leakage'!$B$2:$B$42,0)))*DH883*DF883)*DG883/2204.62*DE883)</f>
        <v/>
      </c>
      <c r="DK883" s="146" t="str">
        <f>IF(W883&lt;&gt;"AR","",DI883*(K883-AB883)+'Fuel Sub Calcs-Deemed'!DJ883*((K883-AB883)/INDEX('Device Refrigerant Leakage'!$C$2:$C$42,MATCH('Fuel Sub Calcs-Deemed'!X883,'Device Refrigerant Leakage'!$B$2:$B$42,0))))</f>
        <v/>
      </c>
      <c r="DM883" s="56">
        <v>869</v>
      </c>
      <c r="DN883" s="67" t="e">
        <f t="shared" si="1010"/>
        <v>#N/A</v>
      </c>
      <c r="DO883" s="45" t="e">
        <f t="shared" si="1011"/>
        <v>#N/A</v>
      </c>
      <c r="DP883" s="67" t="e">
        <f t="shared" si="1012"/>
        <v>#N/A</v>
      </c>
      <c r="DQ883" s="45" t="e">
        <f t="shared" si="1013"/>
        <v>#N/A</v>
      </c>
      <c r="DR883" s="69" t="e">
        <f t="shared" si="1014"/>
        <v>#N/A</v>
      </c>
      <c r="DS883" s="34"/>
      <c r="DT883" s="67" t="e">
        <f>((BX883*CJ883)+IF($W883=MAT_AR,(BZ883*CL883),0))*(1+Reference!$E$50+Reference!$E$51)</f>
        <v>#N/A</v>
      </c>
      <c r="DU883" s="67">
        <f>((BY883*CK883)+IF($W883=MAT_AR,(CA883*CM883),0))*(1+Reference!$G$50+Reference!$G$51)</f>
        <v>0</v>
      </c>
      <c r="DV883" s="67" t="e">
        <f t="shared" si="1015"/>
        <v>#VALUE!</v>
      </c>
      <c r="DX883" s="56">
        <v>869</v>
      </c>
      <c r="DY883" s="67">
        <f t="shared" si="1016"/>
        <v>0</v>
      </c>
      <c r="DZ883" s="45" t="e">
        <f>VLOOKUP($R883,Dropdown!$C$3:$D$4,2,FALSE)</f>
        <v>#N/A</v>
      </c>
      <c r="EA883" s="68">
        <f t="shared" si="1017"/>
        <v>0</v>
      </c>
      <c r="EB883" s="68" t="str">
        <f t="shared" si="1018"/>
        <v>N/A</v>
      </c>
      <c r="EC883" s="68">
        <f t="shared" si="1019"/>
        <v>0</v>
      </c>
      <c r="ED883" s="68" t="str">
        <f t="shared" si="1057"/>
        <v>N/A</v>
      </c>
      <c r="EF883" s="56">
        <v>869</v>
      </c>
      <c r="EG883" s="46">
        <f t="shared" si="1020"/>
        <v>0</v>
      </c>
      <c r="EH883" s="68" t="e">
        <f t="shared" si="1021"/>
        <v>#N/A</v>
      </c>
      <c r="EI883" s="68" t="e">
        <f t="shared" si="1022"/>
        <v>#N/A</v>
      </c>
      <c r="EJ883" s="68" t="e">
        <f t="shared" si="1023"/>
        <v>#N/A</v>
      </c>
      <c r="EK883" s="68" t="e">
        <f t="shared" si="1024"/>
        <v>#N/A</v>
      </c>
      <c r="EL883" s="46">
        <f t="shared" si="1025"/>
        <v>0</v>
      </c>
      <c r="EM883" s="46">
        <f t="shared" si="1026"/>
        <v>0</v>
      </c>
    </row>
    <row r="884" spans="1:143">
      <c r="A884" s="89"/>
      <c r="B884" s="89"/>
      <c r="C884" s="89"/>
      <c r="D884" s="89"/>
      <c r="E884" s="89"/>
      <c r="F884" s="89"/>
      <c r="G884" s="34"/>
      <c r="H884" s="56">
        <f t="shared" si="1027"/>
        <v>870</v>
      </c>
      <c r="I884" s="165"/>
      <c r="J884" s="163"/>
      <c r="K884" s="163"/>
      <c r="L884" s="164"/>
      <c r="M884" s="155"/>
      <c r="N884" s="155"/>
      <c r="O884" s="144"/>
      <c r="P884" s="159" t="str">
        <f>IFERROR(IF(O884&lt;&gt;"User Specified",IF(O884&lt;&gt;"", INDEX('Refrigerant GWPs'!$G$2:$G$154,MATCH(O884,'Refrigerant GWPs'!$A$2:$A$154,0)),""),U884),0)</f>
        <v/>
      </c>
      <c r="Q884" s="155"/>
      <c r="R884" s="155"/>
      <c r="S884" s="144"/>
      <c r="T884" s="159" t="str">
        <f>IF(S884&lt;&gt;"User Specified",IF(AND(S884&lt;&gt;"User Specified",S884&lt;&gt;""), INDEX('Refrigerant GWPs'!$G$2:$G$154,MATCH(S884,'Refrigerant GWPs'!$A$2:$A$154,0)),""),V884)</f>
        <v/>
      </c>
      <c r="U884" s="144"/>
      <c r="V884" s="144"/>
      <c r="W884" s="155"/>
      <c r="X884" s="155"/>
      <c r="Y884" s="144"/>
      <c r="Z884" s="159" t="str">
        <f>IF(AND(Y884&lt;&gt;"User Specified",Y884&lt;&gt;""), INDEX('Refrigerant GWPs'!$G$2:$G$154,MATCH(Y884,'Refrigerant GWPs'!$A$2:$A$154,0)),"")</f>
        <v/>
      </c>
      <c r="AA884" s="155"/>
      <c r="AB884" s="156"/>
      <c r="AC884" s="66"/>
      <c r="AD884" s="66"/>
      <c r="AE884" s="66"/>
      <c r="AF884" s="66"/>
      <c r="AG884" s="66"/>
      <c r="AH884" s="66"/>
      <c r="AI884" s="34"/>
      <c r="AJ884" s="88">
        <f t="shared" si="990"/>
        <v>0</v>
      </c>
      <c r="AK884" s="88">
        <f t="shared" si="991"/>
        <v>0</v>
      </c>
      <c r="AL884" s="88">
        <v>0</v>
      </c>
      <c r="AM884" s="88">
        <v>0</v>
      </c>
      <c r="AN884" s="81" t="str">
        <f t="shared" si="1029"/>
        <v/>
      </c>
      <c r="AO884" s="88">
        <f t="shared" si="992"/>
        <v>0</v>
      </c>
      <c r="AP884" s="88">
        <f t="shared" si="993"/>
        <v>0</v>
      </c>
      <c r="AQ884" s="81" t="str">
        <f t="shared" si="994"/>
        <v/>
      </c>
      <c r="AS884" s="41" t="b">
        <f t="shared" si="995"/>
        <v>1</v>
      </c>
      <c r="AT884" s="38">
        <f t="shared" si="996"/>
        <v>0</v>
      </c>
      <c r="AU884" s="60">
        <f t="shared" si="997"/>
        <v>0</v>
      </c>
      <c r="AV884" s="41">
        <f t="shared" si="998"/>
        <v>0</v>
      </c>
      <c r="AW884" s="41" t="b">
        <f t="shared" si="999"/>
        <v>0</v>
      </c>
      <c r="AX884" t="str">
        <f t="shared" si="1000"/>
        <v>+00</v>
      </c>
      <c r="AY884" t="str">
        <f t="shared" si="1001"/>
        <v>+00</v>
      </c>
      <c r="BA884" s="47" t="b">
        <f t="shared" si="1030"/>
        <v>1</v>
      </c>
      <c r="BB884" s="42" t="b">
        <f t="shared" si="1031"/>
        <v>1</v>
      </c>
      <c r="BC884" s="42" t="b">
        <f t="shared" si="1032"/>
        <v>0</v>
      </c>
      <c r="BD884" s="42" t="b">
        <f t="shared" si="1033"/>
        <v>0</v>
      </c>
      <c r="BE884" s="70">
        <f t="shared" si="1034"/>
        <v>0</v>
      </c>
      <c r="BF884" s="70">
        <f t="shared" si="1035"/>
        <v>0</v>
      </c>
      <c r="BG884" s="34"/>
      <c r="BI884" s="47" t="b">
        <f t="shared" si="1036"/>
        <v>1</v>
      </c>
      <c r="BJ884" s="47" t="b">
        <f t="shared" si="1037"/>
        <v>1</v>
      </c>
      <c r="BK884" s="42" t="b">
        <f t="shared" si="1038"/>
        <v>0</v>
      </c>
      <c r="BL884" s="42" t="b">
        <f t="shared" si="1039"/>
        <v>0</v>
      </c>
      <c r="BM884" s="42">
        <f t="shared" si="1040"/>
        <v>0</v>
      </c>
      <c r="BN884" s="42">
        <f t="shared" si="1041"/>
        <v>0</v>
      </c>
      <c r="BP884" t="e">
        <f t="shared" si="1042"/>
        <v>#N/A</v>
      </c>
      <c r="BQ884" t="e">
        <f t="shared" si="1043"/>
        <v>#N/A</v>
      </c>
      <c r="BR884" t="e">
        <f t="shared" si="1044"/>
        <v>#N/A</v>
      </c>
      <c r="BT884" s="60">
        <f t="shared" si="1045"/>
        <v>0</v>
      </c>
      <c r="BU884" s="60">
        <f t="shared" si="1046"/>
        <v>0</v>
      </c>
      <c r="BV884" s="60">
        <f t="shared" si="1047"/>
        <v>0</v>
      </c>
      <c r="BW884" s="60">
        <f t="shared" si="1048"/>
        <v>0</v>
      </c>
      <c r="BX884" s="60">
        <f t="shared" si="1049"/>
        <v>0</v>
      </c>
      <c r="BY884" s="60">
        <f t="shared" si="1050"/>
        <v>0</v>
      </c>
      <c r="BZ884" s="60">
        <f t="shared" si="1051"/>
        <v>0</v>
      </c>
      <c r="CA884" s="60">
        <f t="shared" si="1052"/>
        <v>0</v>
      </c>
      <c r="CB884" s="60" t="e">
        <f t="shared" si="1002"/>
        <v>#N/A</v>
      </c>
      <c r="CC884" s="60">
        <f t="shared" si="1003"/>
        <v>100000</v>
      </c>
      <c r="CD884" s="60" t="e">
        <f t="shared" si="1004"/>
        <v>#N/A</v>
      </c>
      <c r="CE884" s="60">
        <f t="shared" si="1005"/>
        <v>100000</v>
      </c>
      <c r="CF884" s="83" t="e">
        <f t="shared" si="1053"/>
        <v>#N/A</v>
      </c>
      <c r="CG884" s="83">
        <f t="shared" si="1054"/>
        <v>0</v>
      </c>
      <c r="CH884" s="83" t="e">
        <f t="shared" si="1055"/>
        <v>#N/A</v>
      </c>
      <c r="CI884" s="83">
        <f t="shared" si="1056"/>
        <v>0</v>
      </c>
      <c r="CJ884" s="86" t="e">
        <f t="shared" si="1006"/>
        <v>#N/A</v>
      </c>
      <c r="CK884" s="82">
        <f t="shared" si="1007"/>
        <v>5.3070370403969858E-3</v>
      </c>
      <c r="CL884" s="82" t="e">
        <f t="shared" si="1008"/>
        <v>#N/A</v>
      </c>
      <c r="CM884" s="82">
        <f t="shared" si="1009"/>
        <v>5.3070370403969858E-3</v>
      </c>
      <c r="CO884" s="149" t="str">
        <f>IF($I884&lt;&gt;"",IF(O884="User Specified",U884,INDEX('Refrigerant GWPs'!$G$2:$G$156,MATCH(O884,'Refrigerant GWPs'!$A$2:$A$156,0))),"")</f>
        <v/>
      </c>
      <c r="CP884" s="138" t="str">
        <f>IF($I884&lt;&gt;"",INDEX('Device Refrigerant Leakage'!$E$2:$E$42,MATCH($M884,'Device Refrigerant Leakage'!$B$2:$B$42,0)),"")</f>
        <v/>
      </c>
      <c r="CQ884" s="138" t="str">
        <f>IF($I884&lt;&gt;"",INDEX('Device Refrigerant Leakage'!$F$2:$F$42,MATCH($M884,'Device Refrigerant Leakage'!$B$2:$B$42,0)),"")</f>
        <v/>
      </c>
      <c r="CR884" s="145" t="str">
        <f>IF($I884&lt;&gt;"",INDEX('Device Refrigerant Leakage'!$G$2:$G$42,MATCH($M884,'Device Refrigerant Leakage'!$B$2:$B$42,0)),"")</f>
        <v/>
      </c>
      <c r="CS884" s="145" t="str">
        <f>IF($I884&lt;&gt;"",INDEX('Device Refrigerant Leakage'!$D$2:$D$42,MATCH($M884,'Device Refrigerant Leakage'!$B$2:$B$42,0))*CP884/2204.62*CO884,"")</f>
        <v/>
      </c>
      <c r="CT884" s="145" t="str">
        <f>IF($I884&lt;&gt;"",J884*(INDEX('Device Refrigerant Leakage'!$D$2:$D$42,MATCH($M884,'Device Refrigerant Leakage'!$B$2:$B$42,0))-(INDEX('Device Refrigerant Leakage'!$D$2:$D$42,MATCH($M884,'Device Refrigerant Leakage'!$B$2:$B$42,0)))*CR884*CP884)*CQ884/2204.62*CO884,"")</f>
        <v/>
      </c>
      <c r="CU884" s="135" t="str">
        <f>IF($I884&lt;&gt;"",J884*IF(W884&lt;&gt;"AR",(CS884*K884)+CT884,(CS884*AB884)+CT884*(AB884/INDEX('Device Refrigerant Leakage'!$C$2:$C$42,MATCH($M884,'Device Refrigerant Leakage'!$B$2:$B$42,0)))),"")</f>
        <v/>
      </c>
      <c r="CW884" s="135" t="str">
        <f>IF($I884&lt;&gt;"",IF(S884="User Specified",V884,INDEX('Refrigerant GWPs'!$G$2:$G$156,MATCH(S884,'Refrigerant GWPs'!$A$2:$A$157,0))),"")</f>
        <v/>
      </c>
      <c r="CX884" s="138" t="str">
        <f>IF($I884&lt;&gt;"",INDEX('Device Refrigerant Leakage'!$E$2:$E$42,MATCH($Q884,'Device Refrigerant Leakage'!$B$2:$B$42,0)),"")</f>
        <v/>
      </c>
      <c r="CY884" s="138" t="str">
        <f>IF($I884&lt;&gt;"",INDEX('Device Refrigerant Leakage'!$F$2:$F$42,MATCH($Q884,'Device Refrigerant Leakage'!$B$2:$B$42,0)),"")</f>
        <v/>
      </c>
      <c r="CZ884" s="145" t="str">
        <f>IF($I884&lt;&gt;"",INDEX('Device Refrigerant Leakage'!$G$2:$G$42,MATCH($Q884,'Device Refrigerant Leakage'!$B$2:$B$42,0)),"")</f>
        <v/>
      </c>
      <c r="DA884" s="145" t="str">
        <f>IF($I884&lt;&gt;"",J884*INDEX('Device Refrigerant Leakage'!$D$2:$D$42,MATCH($Q884,'Device Refrigerant Leakage'!$B$2:$B$42,0))*CX884/2204.62*CW884,"")</f>
        <v/>
      </c>
      <c r="DB884" s="145" t="str">
        <f>IF($I884&lt;&gt;"",J884*(INDEX('Device Refrigerant Leakage'!$D$2:$D$42,MATCH($Q884,'Device Refrigerant Leakage'!$B$2:$B$42,0))-(INDEX('Device Refrigerant Leakage'!$D$2:$D$42,MATCH($Q884,'Device Refrigerant Leakage'!$B$2:$B$42,0)))*CZ884*CX884)*CY884/2204.62*CW884,"")</f>
        <v/>
      </c>
      <c r="DC884" s="135" t="str">
        <f t="shared" si="1028"/>
        <v/>
      </c>
      <c r="DE884" s="146" t="str">
        <f>IF(W884&lt;&gt;"AR","",IF(Y884="User Specified", AA884, INDEX('Refrigerant GWPs'!$G$2:$G$154,MATCH(Y884,'Refrigerant GWPs'!$A$2:$A$154,0))))</f>
        <v/>
      </c>
      <c r="DF884" s="146" t="str">
        <f>IF(W884&lt;&gt;"AR","",INDEX('Device Refrigerant Leakage'!$E$2:$E$42,MATCH(X884,'Device Refrigerant Leakage'!$B$2:$B$42,0)))</f>
        <v/>
      </c>
      <c r="DG884" s="146" t="str">
        <f>IF(W884&lt;&gt;"AR","",INDEX('Device Refrigerant Leakage'!$F$2:$F$42,MATCH(X884,'Device Refrigerant Leakage'!$B$2:$B$42,0)))</f>
        <v/>
      </c>
      <c r="DH884" s="146" t="str">
        <f>IF(W884&lt;&gt;"AR","",INDEX('Device Refrigerant Leakage'!$G$2:$G$42,MATCH(X884,'Device Refrigerant Leakage'!$B$2:$B$42,0)))</f>
        <v/>
      </c>
      <c r="DI884" s="146" t="str">
        <f>IF(W884&lt;&gt;"AR","",J884*INDEX('Device Refrigerant Leakage'!$D$2:$D$42,MATCH(X884,'Device Refrigerant Leakage'!$B$2:$B$42,0))*DF884/2204.62*DE884)</f>
        <v/>
      </c>
      <c r="DJ884" s="146" t="str">
        <f>IF(W884&lt;&gt;"AR","",J884*(INDEX('Device Refrigerant Leakage'!$D$2:$D$42,MATCH(X884,'Device Refrigerant Leakage'!$B$2:$B$42,0))-(INDEX('Device Refrigerant Leakage'!$D$2:$D$42,MATCH(X884,'Device Refrigerant Leakage'!$B$2:$B$42,0)))*DH884*DF884)*DG884/2204.62*DE884)</f>
        <v/>
      </c>
      <c r="DK884" s="146" t="str">
        <f>IF(W884&lt;&gt;"AR","",DI884*(K884-AB884)+'Fuel Sub Calcs-Deemed'!DJ884*((K884-AB884)/INDEX('Device Refrigerant Leakage'!$C$2:$C$42,MATCH('Fuel Sub Calcs-Deemed'!X884,'Device Refrigerant Leakage'!$B$2:$B$42,0))))</f>
        <v/>
      </c>
      <c r="DM884" s="56">
        <v>870</v>
      </c>
      <c r="DN884" s="67" t="e">
        <f t="shared" si="1010"/>
        <v>#N/A</v>
      </c>
      <c r="DO884" s="45" t="e">
        <f t="shared" si="1011"/>
        <v>#N/A</v>
      </c>
      <c r="DP884" s="67" t="e">
        <f t="shared" si="1012"/>
        <v>#N/A</v>
      </c>
      <c r="DQ884" s="45" t="e">
        <f t="shared" si="1013"/>
        <v>#N/A</v>
      </c>
      <c r="DR884" s="69" t="e">
        <f t="shared" si="1014"/>
        <v>#N/A</v>
      </c>
      <c r="DS884" s="34"/>
      <c r="DT884" s="67" t="e">
        <f>((BX884*CJ884)+IF($W884=MAT_AR,(BZ884*CL884),0))*(1+Reference!$E$50+Reference!$E$51)</f>
        <v>#N/A</v>
      </c>
      <c r="DU884" s="67">
        <f>((BY884*CK884)+IF($W884=MAT_AR,(CA884*CM884),0))*(1+Reference!$G$50+Reference!$G$51)</f>
        <v>0</v>
      </c>
      <c r="DV884" s="67" t="e">
        <f t="shared" si="1015"/>
        <v>#VALUE!</v>
      </c>
      <c r="DX884" s="56">
        <v>870</v>
      </c>
      <c r="DY884" s="67">
        <f t="shared" si="1016"/>
        <v>0</v>
      </c>
      <c r="DZ884" s="45" t="e">
        <f>VLOOKUP($R884,Dropdown!$C$3:$D$4,2,FALSE)</f>
        <v>#N/A</v>
      </c>
      <c r="EA884" s="68">
        <f t="shared" si="1017"/>
        <v>0</v>
      </c>
      <c r="EB884" s="68" t="str">
        <f t="shared" si="1018"/>
        <v>N/A</v>
      </c>
      <c r="EC884" s="68">
        <f t="shared" si="1019"/>
        <v>0</v>
      </c>
      <c r="ED884" s="68" t="str">
        <f t="shared" si="1057"/>
        <v>N/A</v>
      </c>
      <c r="EF884" s="56">
        <v>870</v>
      </c>
      <c r="EG884" s="46">
        <f t="shared" si="1020"/>
        <v>0</v>
      </c>
      <c r="EH884" s="68" t="e">
        <f t="shared" si="1021"/>
        <v>#N/A</v>
      </c>
      <c r="EI884" s="68" t="e">
        <f t="shared" si="1022"/>
        <v>#N/A</v>
      </c>
      <c r="EJ884" s="68" t="e">
        <f t="shared" si="1023"/>
        <v>#N/A</v>
      </c>
      <c r="EK884" s="68" t="e">
        <f t="shared" si="1024"/>
        <v>#N/A</v>
      </c>
      <c r="EL884" s="46">
        <f t="shared" si="1025"/>
        <v>0</v>
      </c>
      <c r="EM884" s="46">
        <f t="shared" si="1026"/>
        <v>0</v>
      </c>
    </row>
    <row r="885" spans="1:143">
      <c r="A885" s="89"/>
      <c r="B885" s="89"/>
      <c r="C885" s="89"/>
      <c r="D885" s="89"/>
      <c r="E885" s="89"/>
      <c r="F885" s="89"/>
      <c r="G885" s="34"/>
      <c r="H885" s="56">
        <f t="shared" si="1027"/>
        <v>871</v>
      </c>
      <c r="I885" s="165"/>
      <c r="J885" s="163"/>
      <c r="K885" s="163"/>
      <c r="L885" s="164"/>
      <c r="M885" s="155"/>
      <c r="N885" s="155"/>
      <c r="O885" s="144"/>
      <c r="P885" s="159" t="str">
        <f>IFERROR(IF(O885&lt;&gt;"User Specified",IF(O885&lt;&gt;"", INDEX('Refrigerant GWPs'!$G$2:$G$154,MATCH(O885,'Refrigerant GWPs'!$A$2:$A$154,0)),""),U885),0)</f>
        <v/>
      </c>
      <c r="Q885" s="155"/>
      <c r="R885" s="155"/>
      <c r="S885" s="144"/>
      <c r="T885" s="159" t="str">
        <f>IF(S885&lt;&gt;"User Specified",IF(AND(S885&lt;&gt;"User Specified",S885&lt;&gt;""), INDEX('Refrigerant GWPs'!$G$2:$G$154,MATCH(S885,'Refrigerant GWPs'!$A$2:$A$154,0)),""),V885)</f>
        <v/>
      </c>
      <c r="U885" s="144"/>
      <c r="V885" s="144"/>
      <c r="W885" s="155"/>
      <c r="X885" s="155"/>
      <c r="Y885" s="144"/>
      <c r="Z885" s="159" t="str">
        <f>IF(AND(Y885&lt;&gt;"User Specified",Y885&lt;&gt;""), INDEX('Refrigerant GWPs'!$G$2:$G$154,MATCH(Y885,'Refrigerant GWPs'!$A$2:$A$154,0)),"")</f>
        <v/>
      </c>
      <c r="AA885" s="155"/>
      <c r="AB885" s="156"/>
      <c r="AC885" s="66"/>
      <c r="AD885" s="66"/>
      <c r="AE885" s="66"/>
      <c r="AF885" s="66"/>
      <c r="AG885" s="66"/>
      <c r="AH885" s="66"/>
      <c r="AI885" s="34"/>
      <c r="AJ885" s="88">
        <f t="shared" si="990"/>
        <v>0</v>
      </c>
      <c r="AK885" s="88">
        <f t="shared" si="991"/>
        <v>0</v>
      </c>
      <c r="AL885" s="88">
        <v>0</v>
      </c>
      <c r="AM885" s="88">
        <v>0</v>
      </c>
      <c r="AN885" s="81" t="str">
        <f t="shared" si="1029"/>
        <v/>
      </c>
      <c r="AO885" s="88">
        <f t="shared" si="992"/>
        <v>0</v>
      </c>
      <c r="AP885" s="88">
        <f t="shared" si="993"/>
        <v>0</v>
      </c>
      <c r="AQ885" s="81" t="str">
        <f t="shared" si="994"/>
        <v/>
      </c>
      <c r="AS885" s="41" t="b">
        <f t="shared" si="995"/>
        <v>1</v>
      </c>
      <c r="AT885" s="38">
        <f t="shared" si="996"/>
        <v>0</v>
      </c>
      <c r="AU885" s="60">
        <f t="shared" si="997"/>
        <v>0</v>
      </c>
      <c r="AV885" s="41">
        <f t="shared" si="998"/>
        <v>0</v>
      </c>
      <c r="AW885" s="41" t="b">
        <f t="shared" si="999"/>
        <v>0</v>
      </c>
      <c r="AX885" t="str">
        <f t="shared" si="1000"/>
        <v>+00</v>
      </c>
      <c r="AY885" t="str">
        <f t="shared" si="1001"/>
        <v>+00</v>
      </c>
      <c r="BA885" s="47" t="b">
        <f t="shared" si="1030"/>
        <v>1</v>
      </c>
      <c r="BB885" s="42" t="b">
        <f t="shared" si="1031"/>
        <v>1</v>
      </c>
      <c r="BC885" s="42" t="b">
        <f t="shared" si="1032"/>
        <v>0</v>
      </c>
      <c r="BD885" s="42" t="b">
        <f t="shared" si="1033"/>
        <v>0</v>
      </c>
      <c r="BE885" s="70">
        <f t="shared" si="1034"/>
        <v>0</v>
      </c>
      <c r="BF885" s="70">
        <f t="shared" si="1035"/>
        <v>0</v>
      </c>
      <c r="BG885" s="34"/>
      <c r="BI885" s="47" t="b">
        <f t="shared" si="1036"/>
        <v>1</v>
      </c>
      <c r="BJ885" s="47" t="b">
        <f t="shared" si="1037"/>
        <v>1</v>
      </c>
      <c r="BK885" s="42" t="b">
        <f t="shared" si="1038"/>
        <v>0</v>
      </c>
      <c r="BL885" s="42" t="b">
        <f t="shared" si="1039"/>
        <v>0</v>
      </c>
      <c r="BM885" s="42">
        <f t="shared" si="1040"/>
        <v>0</v>
      </c>
      <c r="BN885" s="42">
        <f t="shared" si="1041"/>
        <v>0</v>
      </c>
      <c r="BP885" t="e">
        <f t="shared" si="1042"/>
        <v>#N/A</v>
      </c>
      <c r="BQ885" t="e">
        <f t="shared" si="1043"/>
        <v>#N/A</v>
      </c>
      <c r="BR885" t="e">
        <f t="shared" si="1044"/>
        <v>#N/A</v>
      </c>
      <c r="BT885" s="60">
        <f t="shared" si="1045"/>
        <v>0</v>
      </c>
      <c r="BU885" s="60">
        <f t="shared" si="1046"/>
        <v>0</v>
      </c>
      <c r="BV885" s="60">
        <f t="shared" si="1047"/>
        <v>0</v>
      </c>
      <c r="BW885" s="60">
        <f t="shared" si="1048"/>
        <v>0</v>
      </c>
      <c r="BX885" s="60">
        <f t="shared" si="1049"/>
        <v>0</v>
      </c>
      <c r="BY885" s="60">
        <f t="shared" si="1050"/>
        <v>0</v>
      </c>
      <c r="BZ885" s="60">
        <f t="shared" si="1051"/>
        <v>0</v>
      </c>
      <c r="CA885" s="60">
        <f t="shared" si="1052"/>
        <v>0</v>
      </c>
      <c r="CB885" s="60" t="e">
        <f t="shared" si="1002"/>
        <v>#N/A</v>
      </c>
      <c r="CC885" s="60">
        <f t="shared" si="1003"/>
        <v>100000</v>
      </c>
      <c r="CD885" s="60" t="e">
        <f t="shared" si="1004"/>
        <v>#N/A</v>
      </c>
      <c r="CE885" s="60">
        <f t="shared" si="1005"/>
        <v>100000</v>
      </c>
      <c r="CF885" s="83" t="e">
        <f t="shared" si="1053"/>
        <v>#N/A</v>
      </c>
      <c r="CG885" s="83">
        <f t="shared" si="1054"/>
        <v>0</v>
      </c>
      <c r="CH885" s="83" t="e">
        <f t="shared" si="1055"/>
        <v>#N/A</v>
      </c>
      <c r="CI885" s="83">
        <f t="shared" si="1056"/>
        <v>0</v>
      </c>
      <c r="CJ885" s="86" t="e">
        <f t="shared" si="1006"/>
        <v>#N/A</v>
      </c>
      <c r="CK885" s="82">
        <f t="shared" si="1007"/>
        <v>5.3070370403969858E-3</v>
      </c>
      <c r="CL885" s="82" t="e">
        <f t="shared" si="1008"/>
        <v>#N/A</v>
      </c>
      <c r="CM885" s="82">
        <f t="shared" si="1009"/>
        <v>5.3070370403969858E-3</v>
      </c>
      <c r="CO885" s="149" t="str">
        <f>IF($I885&lt;&gt;"",IF(O885="User Specified",U885,INDEX('Refrigerant GWPs'!$G$2:$G$156,MATCH(O885,'Refrigerant GWPs'!$A$2:$A$156,0))),"")</f>
        <v/>
      </c>
      <c r="CP885" s="138" t="str">
        <f>IF($I885&lt;&gt;"",INDEX('Device Refrigerant Leakage'!$E$2:$E$42,MATCH($M885,'Device Refrigerant Leakage'!$B$2:$B$42,0)),"")</f>
        <v/>
      </c>
      <c r="CQ885" s="138" t="str">
        <f>IF($I885&lt;&gt;"",INDEX('Device Refrigerant Leakage'!$F$2:$F$42,MATCH($M885,'Device Refrigerant Leakage'!$B$2:$B$42,0)),"")</f>
        <v/>
      </c>
      <c r="CR885" s="145" t="str">
        <f>IF($I885&lt;&gt;"",INDEX('Device Refrigerant Leakage'!$G$2:$G$42,MATCH($M885,'Device Refrigerant Leakage'!$B$2:$B$42,0)),"")</f>
        <v/>
      </c>
      <c r="CS885" s="145" t="str">
        <f>IF($I885&lt;&gt;"",INDEX('Device Refrigerant Leakage'!$D$2:$D$42,MATCH($M885,'Device Refrigerant Leakage'!$B$2:$B$42,0))*CP885/2204.62*CO885,"")</f>
        <v/>
      </c>
      <c r="CT885" s="145" t="str">
        <f>IF($I885&lt;&gt;"",J885*(INDEX('Device Refrigerant Leakage'!$D$2:$D$42,MATCH($M885,'Device Refrigerant Leakage'!$B$2:$B$42,0))-(INDEX('Device Refrigerant Leakage'!$D$2:$D$42,MATCH($M885,'Device Refrigerant Leakage'!$B$2:$B$42,0)))*CR885*CP885)*CQ885/2204.62*CO885,"")</f>
        <v/>
      </c>
      <c r="CU885" s="135" t="str">
        <f>IF($I885&lt;&gt;"",J885*IF(W885&lt;&gt;"AR",(CS885*K885)+CT885,(CS885*AB885)+CT885*(AB885/INDEX('Device Refrigerant Leakage'!$C$2:$C$42,MATCH($M885,'Device Refrigerant Leakage'!$B$2:$B$42,0)))),"")</f>
        <v/>
      </c>
      <c r="CW885" s="135" t="str">
        <f>IF($I885&lt;&gt;"",IF(S885="User Specified",V885,INDEX('Refrigerant GWPs'!$G$2:$G$156,MATCH(S885,'Refrigerant GWPs'!$A$2:$A$157,0))),"")</f>
        <v/>
      </c>
      <c r="CX885" s="138" t="str">
        <f>IF($I885&lt;&gt;"",INDEX('Device Refrigerant Leakage'!$E$2:$E$42,MATCH($Q885,'Device Refrigerant Leakage'!$B$2:$B$42,0)),"")</f>
        <v/>
      </c>
      <c r="CY885" s="138" t="str">
        <f>IF($I885&lt;&gt;"",INDEX('Device Refrigerant Leakage'!$F$2:$F$42,MATCH($Q885,'Device Refrigerant Leakage'!$B$2:$B$42,0)),"")</f>
        <v/>
      </c>
      <c r="CZ885" s="145" t="str">
        <f>IF($I885&lt;&gt;"",INDEX('Device Refrigerant Leakage'!$G$2:$G$42,MATCH($Q885,'Device Refrigerant Leakage'!$B$2:$B$42,0)),"")</f>
        <v/>
      </c>
      <c r="DA885" s="145" t="str">
        <f>IF($I885&lt;&gt;"",J885*INDEX('Device Refrigerant Leakage'!$D$2:$D$42,MATCH($Q885,'Device Refrigerant Leakage'!$B$2:$B$42,0))*CX885/2204.62*CW885,"")</f>
        <v/>
      </c>
      <c r="DB885" s="145" t="str">
        <f>IF($I885&lt;&gt;"",J885*(INDEX('Device Refrigerant Leakage'!$D$2:$D$42,MATCH($Q885,'Device Refrigerant Leakage'!$B$2:$B$42,0))-(INDEX('Device Refrigerant Leakage'!$D$2:$D$42,MATCH($Q885,'Device Refrigerant Leakage'!$B$2:$B$42,0)))*CZ885*CX885)*CY885/2204.62*CW885,"")</f>
        <v/>
      </c>
      <c r="DC885" s="135" t="str">
        <f t="shared" si="1028"/>
        <v/>
      </c>
      <c r="DE885" s="146" t="str">
        <f>IF(W885&lt;&gt;"AR","",IF(Y885="User Specified", AA885, INDEX('Refrigerant GWPs'!$G$2:$G$154,MATCH(Y885,'Refrigerant GWPs'!$A$2:$A$154,0))))</f>
        <v/>
      </c>
      <c r="DF885" s="146" t="str">
        <f>IF(W885&lt;&gt;"AR","",INDEX('Device Refrigerant Leakage'!$E$2:$E$42,MATCH(X885,'Device Refrigerant Leakage'!$B$2:$B$42,0)))</f>
        <v/>
      </c>
      <c r="DG885" s="146" t="str">
        <f>IF(W885&lt;&gt;"AR","",INDEX('Device Refrigerant Leakage'!$F$2:$F$42,MATCH(X885,'Device Refrigerant Leakage'!$B$2:$B$42,0)))</f>
        <v/>
      </c>
      <c r="DH885" s="146" t="str">
        <f>IF(W885&lt;&gt;"AR","",INDEX('Device Refrigerant Leakage'!$G$2:$G$42,MATCH(X885,'Device Refrigerant Leakage'!$B$2:$B$42,0)))</f>
        <v/>
      </c>
      <c r="DI885" s="146" t="str">
        <f>IF(W885&lt;&gt;"AR","",J885*INDEX('Device Refrigerant Leakage'!$D$2:$D$42,MATCH(X885,'Device Refrigerant Leakage'!$B$2:$B$42,0))*DF885/2204.62*DE885)</f>
        <v/>
      </c>
      <c r="DJ885" s="146" t="str">
        <f>IF(W885&lt;&gt;"AR","",J885*(INDEX('Device Refrigerant Leakage'!$D$2:$D$42,MATCH(X885,'Device Refrigerant Leakage'!$B$2:$B$42,0))-(INDEX('Device Refrigerant Leakage'!$D$2:$D$42,MATCH(X885,'Device Refrigerant Leakage'!$B$2:$B$42,0)))*DH885*DF885)*DG885/2204.62*DE885)</f>
        <v/>
      </c>
      <c r="DK885" s="146" t="str">
        <f>IF(W885&lt;&gt;"AR","",DI885*(K885-AB885)+'Fuel Sub Calcs-Deemed'!DJ885*((K885-AB885)/INDEX('Device Refrigerant Leakage'!$C$2:$C$42,MATCH('Fuel Sub Calcs-Deemed'!X885,'Device Refrigerant Leakage'!$B$2:$B$42,0))))</f>
        <v/>
      </c>
      <c r="DM885" s="56">
        <v>871</v>
      </c>
      <c r="DN885" s="67" t="e">
        <f t="shared" si="1010"/>
        <v>#N/A</v>
      </c>
      <c r="DO885" s="45" t="e">
        <f t="shared" si="1011"/>
        <v>#N/A</v>
      </c>
      <c r="DP885" s="67" t="e">
        <f t="shared" si="1012"/>
        <v>#N/A</v>
      </c>
      <c r="DQ885" s="45" t="e">
        <f t="shared" si="1013"/>
        <v>#N/A</v>
      </c>
      <c r="DR885" s="69" t="e">
        <f t="shared" si="1014"/>
        <v>#N/A</v>
      </c>
      <c r="DS885" s="34"/>
      <c r="DT885" s="67" t="e">
        <f>((BX885*CJ885)+IF($W885=MAT_AR,(BZ885*CL885),0))*(1+Reference!$E$50+Reference!$E$51)</f>
        <v>#N/A</v>
      </c>
      <c r="DU885" s="67">
        <f>((BY885*CK885)+IF($W885=MAT_AR,(CA885*CM885),0))*(1+Reference!$G$50+Reference!$G$51)</f>
        <v>0</v>
      </c>
      <c r="DV885" s="67" t="e">
        <f t="shared" si="1015"/>
        <v>#VALUE!</v>
      </c>
      <c r="DX885" s="56">
        <v>871</v>
      </c>
      <c r="DY885" s="67">
        <f t="shared" si="1016"/>
        <v>0</v>
      </c>
      <c r="DZ885" s="45" t="e">
        <f>VLOOKUP($R885,Dropdown!$C$3:$D$4,2,FALSE)</f>
        <v>#N/A</v>
      </c>
      <c r="EA885" s="68">
        <f t="shared" si="1017"/>
        <v>0</v>
      </c>
      <c r="EB885" s="68" t="str">
        <f t="shared" si="1018"/>
        <v>N/A</v>
      </c>
      <c r="EC885" s="68">
        <f t="shared" si="1019"/>
        <v>0</v>
      </c>
      <c r="ED885" s="68" t="str">
        <f t="shared" si="1057"/>
        <v>N/A</v>
      </c>
      <c r="EF885" s="56">
        <v>871</v>
      </c>
      <c r="EG885" s="46">
        <f t="shared" si="1020"/>
        <v>0</v>
      </c>
      <c r="EH885" s="68" t="e">
        <f t="shared" si="1021"/>
        <v>#N/A</v>
      </c>
      <c r="EI885" s="68" t="e">
        <f t="shared" si="1022"/>
        <v>#N/A</v>
      </c>
      <c r="EJ885" s="68" t="e">
        <f t="shared" si="1023"/>
        <v>#N/A</v>
      </c>
      <c r="EK885" s="68" t="e">
        <f t="shared" si="1024"/>
        <v>#N/A</v>
      </c>
      <c r="EL885" s="46">
        <f t="shared" si="1025"/>
        <v>0</v>
      </c>
      <c r="EM885" s="46">
        <f t="shared" si="1026"/>
        <v>0</v>
      </c>
    </row>
    <row r="886" spans="1:143">
      <c r="A886" s="89"/>
      <c r="B886" s="89"/>
      <c r="C886" s="89"/>
      <c r="D886" s="89"/>
      <c r="E886" s="89"/>
      <c r="F886" s="89"/>
      <c r="G886" s="34"/>
      <c r="H886" s="56">
        <f t="shared" si="1027"/>
        <v>872</v>
      </c>
      <c r="I886" s="165"/>
      <c r="J886" s="163"/>
      <c r="K886" s="163"/>
      <c r="L886" s="164"/>
      <c r="M886" s="155"/>
      <c r="N886" s="155"/>
      <c r="O886" s="144"/>
      <c r="P886" s="159" t="str">
        <f>IFERROR(IF(O886&lt;&gt;"User Specified",IF(O886&lt;&gt;"", INDEX('Refrigerant GWPs'!$G$2:$G$154,MATCH(O886,'Refrigerant GWPs'!$A$2:$A$154,0)),""),U886),0)</f>
        <v/>
      </c>
      <c r="Q886" s="155"/>
      <c r="R886" s="155"/>
      <c r="S886" s="144"/>
      <c r="T886" s="159" t="str">
        <f>IF(S886&lt;&gt;"User Specified",IF(AND(S886&lt;&gt;"User Specified",S886&lt;&gt;""), INDEX('Refrigerant GWPs'!$G$2:$G$154,MATCH(S886,'Refrigerant GWPs'!$A$2:$A$154,0)),""),V886)</f>
        <v/>
      </c>
      <c r="U886" s="144"/>
      <c r="V886" s="144"/>
      <c r="W886" s="155"/>
      <c r="X886" s="155"/>
      <c r="Y886" s="144"/>
      <c r="Z886" s="159" t="str">
        <f>IF(AND(Y886&lt;&gt;"User Specified",Y886&lt;&gt;""), INDEX('Refrigerant GWPs'!$G$2:$G$154,MATCH(Y886,'Refrigerant GWPs'!$A$2:$A$154,0)),"")</f>
        <v/>
      </c>
      <c r="AA886" s="155"/>
      <c r="AB886" s="156"/>
      <c r="AC886" s="66"/>
      <c r="AD886" s="66"/>
      <c r="AE886" s="66"/>
      <c r="AF886" s="66"/>
      <c r="AG886" s="66"/>
      <c r="AH886" s="66"/>
      <c r="AI886" s="34"/>
      <c r="AJ886" s="88">
        <f t="shared" si="990"/>
        <v>0</v>
      </c>
      <c r="AK886" s="88">
        <f t="shared" si="991"/>
        <v>0</v>
      </c>
      <c r="AL886" s="88">
        <v>0</v>
      </c>
      <c r="AM886" s="88">
        <v>0</v>
      </c>
      <c r="AN886" s="81" t="str">
        <f t="shared" si="1029"/>
        <v/>
      </c>
      <c r="AO886" s="88">
        <f t="shared" si="992"/>
        <v>0</v>
      </c>
      <c r="AP886" s="88">
        <f t="shared" si="993"/>
        <v>0</v>
      </c>
      <c r="AQ886" s="81" t="str">
        <f t="shared" si="994"/>
        <v/>
      </c>
      <c r="AS886" s="41" t="b">
        <f t="shared" si="995"/>
        <v>1</v>
      </c>
      <c r="AT886" s="38">
        <f t="shared" si="996"/>
        <v>0</v>
      </c>
      <c r="AU886" s="60">
        <f t="shared" si="997"/>
        <v>0</v>
      </c>
      <c r="AV886" s="41">
        <f t="shared" si="998"/>
        <v>0</v>
      </c>
      <c r="AW886" s="41" t="b">
        <f t="shared" si="999"/>
        <v>0</v>
      </c>
      <c r="AX886" t="str">
        <f t="shared" si="1000"/>
        <v>+00</v>
      </c>
      <c r="AY886" t="str">
        <f t="shared" si="1001"/>
        <v>+00</v>
      </c>
      <c r="BA886" s="47" t="b">
        <f t="shared" si="1030"/>
        <v>1</v>
      </c>
      <c r="BB886" s="42" t="b">
        <f t="shared" si="1031"/>
        <v>1</v>
      </c>
      <c r="BC886" s="42" t="b">
        <f t="shared" si="1032"/>
        <v>0</v>
      </c>
      <c r="BD886" s="42" t="b">
        <f t="shared" si="1033"/>
        <v>0</v>
      </c>
      <c r="BE886" s="70">
        <f t="shared" si="1034"/>
        <v>0</v>
      </c>
      <c r="BF886" s="70">
        <f t="shared" si="1035"/>
        <v>0</v>
      </c>
      <c r="BG886" s="34"/>
      <c r="BI886" s="47" t="b">
        <f t="shared" si="1036"/>
        <v>1</v>
      </c>
      <c r="BJ886" s="47" t="b">
        <f t="shared" si="1037"/>
        <v>1</v>
      </c>
      <c r="BK886" s="42" t="b">
        <f t="shared" si="1038"/>
        <v>0</v>
      </c>
      <c r="BL886" s="42" t="b">
        <f t="shared" si="1039"/>
        <v>0</v>
      </c>
      <c r="BM886" s="42">
        <f t="shared" si="1040"/>
        <v>0</v>
      </c>
      <c r="BN886" s="42">
        <f t="shared" si="1041"/>
        <v>0</v>
      </c>
      <c r="BP886" t="e">
        <f t="shared" si="1042"/>
        <v>#N/A</v>
      </c>
      <c r="BQ886" t="e">
        <f t="shared" si="1043"/>
        <v>#N/A</v>
      </c>
      <c r="BR886" t="e">
        <f t="shared" si="1044"/>
        <v>#N/A</v>
      </c>
      <c r="BT886" s="60">
        <f t="shared" si="1045"/>
        <v>0</v>
      </c>
      <c r="BU886" s="60">
        <f t="shared" si="1046"/>
        <v>0</v>
      </c>
      <c r="BV886" s="60">
        <f t="shared" si="1047"/>
        <v>0</v>
      </c>
      <c r="BW886" s="60">
        <f t="shared" si="1048"/>
        <v>0</v>
      </c>
      <c r="BX886" s="60">
        <f t="shared" si="1049"/>
        <v>0</v>
      </c>
      <c r="BY886" s="60">
        <f t="shared" si="1050"/>
        <v>0</v>
      </c>
      <c r="BZ886" s="60">
        <f t="shared" si="1051"/>
        <v>0</v>
      </c>
      <c r="CA886" s="60">
        <f t="shared" si="1052"/>
        <v>0</v>
      </c>
      <c r="CB886" s="60" t="e">
        <f t="shared" si="1002"/>
        <v>#N/A</v>
      </c>
      <c r="CC886" s="60">
        <f t="shared" si="1003"/>
        <v>100000</v>
      </c>
      <c r="CD886" s="60" t="e">
        <f t="shared" si="1004"/>
        <v>#N/A</v>
      </c>
      <c r="CE886" s="60">
        <f t="shared" si="1005"/>
        <v>100000</v>
      </c>
      <c r="CF886" s="83" t="e">
        <f t="shared" si="1053"/>
        <v>#N/A</v>
      </c>
      <c r="CG886" s="83">
        <f t="shared" si="1054"/>
        <v>0</v>
      </c>
      <c r="CH886" s="83" t="e">
        <f t="shared" si="1055"/>
        <v>#N/A</v>
      </c>
      <c r="CI886" s="83">
        <f t="shared" si="1056"/>
        <v>0</v>
      </c>
      <c r="CJ886" s="86" t="e">
        <f t="shared" si="1006"/>
        <v>#N/A</v>
      </c>
      <c r="CK886" s="82">
        <f t="shared" si="1007"/>
        <v>5.3070370403969858E-3</v>
      </c>
      <c r="CL886" s="82" t="e">
        <f t="shared" si="1008"/>
        <v>#N/A</v>
      </c>
      <c r="CM886" s="82">
        <f t="shared" si="1009"/>
        <v>5.3070370403969858E-3</v>
      </c>
      <c r="CO886" s="149" t="str">
        <f>IF($I886&lt;&gt;"",IF(O886="User Specified",U886,INDEX('Refrigerant GWPs'!$G$2:$G$156,MATCH(O886,'Refrigerant GWPs'!$A$2:$A$156,0))),"")</f>
        <v/>
      </c>
      <c r="CP886" s="138" t="str">
        <f>IF($I886&lt;&gt;"",INDEX('Device Refrigerant Leakage'!$E$2:$E$42,MATCH($M886,'Device Refrigerant Leakage'!$B$2:$B$42,0)),"")</f>
        <v/>
      </c>
      <c r="CQ886" s="138" t="str">
        <f>IF($I886&lt;&gt;"",INDEX('Device Refrigerant Leakage'!$F$2:$F$42,MATCH($M886,'Device Refrigerant Leakage'!$B$2:$B$42,0)),"")</f>
        <v/>
      </c>
      <c r="CR886" s="145" t="str">
        <f>IF($I886&lt;&gt;"",INDEX('Device Refrigerant Leakage'!$G$2:$G$42,MATCH($M886,'Device Refrigerant Leakage'!$B$2:$B$42,0)),"")</f>
        <v/>
      </c>
      <c r="CS886" s="145" t="str">
        <f>IF($I886&lt;&gt;"",INDEX('Device Refrigerant Leakage'!$D$2:$D$42,MATCH($M886,'Device Refrigerant Leakage'!$B$2:$B$42,0))*CP886/2204.62*CO886,"")</f>
        <v/>
      </c>
      <c r="CT886" s="145" t="str">
        <f>IF($I886&lt;&gt;"",J886*(INDEX('Device Refrigerant Leakage'!$D$2:$D$42,MATCH($M886,'Device Refrigerant Leakage'!$B$2:$B$42,0))-(INDEX('Device Refrigerant Leakage'!$D$2:$D$42,MATCH($M886,'Device Refrigerant Leakage'!$B$2:$B$42,0)))*CR886*CP886)*CQ886/2204.62*CO886,"")</f>
        <v/>
      </c>
      <c r="CU886" s="135" t="str">
        <f>IF($I886&lt;&gt;"",J886*IF(W886&lt;&gt;"AR",(CS886*K886)+CT886,(CS886*AB886)+CT886*(AB886/INDEX('Device Refrigerant Leakage'!$C$2:$C$42,MATCH($M886,'Device Refrigerant Leakage'!$B$2:$B$42,0)))),"")</f>
        <v/>
      </c>
      <c r="CW886" s="135" t="str">
        <f>IF($I886&lt;&gt;"",IF(S886="User Specified",V886,INDEX('Refrigerant GWPs'!$G$2:$G$156,MATCH(S886,'Refrigerant GWPs'!$A$2:$A$157,0))),"")</f>
        <v/>
      </c>
      <c r="CX886" s="138" t="str">
        <f>IF($I886&lt;&gt;"",INDEX('Device Refrigerant Leakage'!$E$2:$E$42,MATCH($Q886,'Device Refrigerant Leakage'!$B$2:$B$42,0)),"")</f>
        <v/>
      </c>
      <c r="CY886" s="138" t="str">
        <f>IF($I886&lt;&gt;"",INDEX('Device Refrigerant Leakage'!$F$2:$F$42,MATCH($Q886,'Device Refrigerant Leakage'!$B$2:$B$42,0)),"")</f>
        <v/>
      </c>
      <c r="CZ886" s="145" t="str">
        <f>IF($I886&lt;&gt;"",INDEX('Device Refrigerant Leakage'!$G$2:$G$42,MATCH($Q886,'Device Refrigerant Leakage'!$B$2:$B$42,0)),"")</f>
        <v/>
      </c>
      <c r="DA886" s="145" t="str">
        <f>IF($I886&lt;&gt;"",J886*INDEX('Device Refrigerant Leakage'!$D$2:$D$42,MATCH($Q886,'Device Refrigerant Leakage'!$B$2:$B$42,0))*CX886/2204.62*CW886,"")</f>
        <v/>
      </c>
      <c r="DB886" s="145" t="str">
        <f>IF($I886&lt;&gt;"",J886*(INDEX('Device Refrigerant Leakage'!$D$2:$D$42,MATCH($Q886,'Device Refrigerant Leakage'!$B$2:$B$42,0))-(INDEX('Device Refrigerant Leakage'!$D$2:$D$42,MATCH($Q886,'Device Refrigerant Leakage'!$B$2:$B$42,0)))*CZ886*CX886)*CY886/2204.62*CW886,"")</f>
        <v/>
      </c>
      <c r="DC886" s="135" t="str">
        <f t="shared" si="1028"/>
        <v/>
      </c>
      <c r="DE886" s="146" t="str">
        <f>IF(W886&lt;&gt;"AR","",IF(Y886="User Specified", AA886, INDEX('Refrigerant GWPs'!$G$2:$G$154,MATCH(Y886,'Refrigerant GWPs'!$A$2:$A$154,0))))</f>
        <v/>
      </c>
      <c r="DF886" s="146" t="str">
        <f>IF(W886&lt;&gt;"AR","",INDEX('Device Refrigerant Leakage'!$E$2:$E$42,MATCH(X886,'Device Refrigerant Leakage'!$B$2:$B$42,0)))</f>
        <v/>
      </c>
      <c r="DG886" s="146" t="str">
        <f>IF(W886&lt;&gt;"AR","",INDEX('Device Refrigerant Leakage'!$F$2:$F$42,MATCH(X886,'Device Refrigerant Leakage'!$B$2:$B$42,0)))</f>
        <v/>
      </c>
      <c r="DH886" s="146" t="str">
        <f>IF(W886&lt;&gt;"AR","",INDEX('Device Refrigerant Leakage'!$G$2:$G$42,MATCH(X886,'Device Refrigerant Leakage'!$B$2:$B$42,0)))</f>
        <v/>
      </c>
      <c r="DI886" s="146" t="str">
        <f>IF(W886&lt;&gt;"AR","",J886*INDEX('Device Refrigerant Leakage'!$D$2:$D$42,MATCH(X886,'Device Refrigerant Leakage'!$B$2:$B$42,0))*DF886/2204.62*DE886)</f>
        <v/>
      </c>
      <c r="DJ886" s="146" t="str">
        <f>IF(W886&lt;&gt;"AR","",J886*(INDEX('Device Refrigerant Leakage'!$D$2:$D$42,MATCH(X886,'Device Refrigerant Leakage'!$B$2:$B$42,0))-(INDEX('Device Refrigerant Leakage'!$D$2:$D$42,MATCH(X886,'Device Refrigerant Leakage'!$B$2:$B$42,0)))*DH886*DF886)*DG886/2204.62*DE886)</f>
        <v/>
      </c>
      <c r="DK886" s="146" t="str">
        <f>IF(W886&lt;&gt;"AR","",DI886*(K886-AB886)+'Fuel Sub Calcs-Deemed'!DJ886*((K886-AB886)/INDEX('Device Refrigerant Leakage'!$C$2:$C$42,MATCH('Fuel Sub Calcs-Deemed'!X886,'Device Refrigerant Leakage'!$B$2:$B$42,0))))</f>
        <v/>
      </c>
      <c r="DM886" s="56">
        <v>872</v>
      </c>
      <c r="DN886" s="67" t="e">
        <f t="shared" si="1010"/>
        <v>#N/A</v>
      </c>
      <c r="DO886" s="45" t="e">
        <f t="shared" si="1011"/>
        <v>#N/A</v>
      </c>
      <c r="DP886" s="67" t="e">
        <f t="shared" si="1012"/>
        <v>#N/A</v>
      </c>
      <c r="DQ886" s="45" t="e">
        <f t="shared" si="1013"/>
        <v>#N/A</v>
      </c>
      <c r="DR886" s="69" t="e">
        <f t="shared" si="1014"/>
        <v>#N/A</v>
      </c>
      <c r="DS886" s="34"/>
      <c r="DT886" s="67" t="e">
        <f>((BX886*CJ886)+IF($W886=MAT_AR,(BZ886*CL886),0))*(1+Reference!$E$50+Reference!$E$51)</f>
        <v>#N/A</v>
      </c>
      <c r="DU886" s="67">
        <f>((BY886*CK886)+IF($W886=MAT_AR,(CA886*CM886),0))*(1+Reference!$G$50+Reference!$G$51)</f>
        <v>0</v>
      </c>
      <c r="DV886" s="67" t="e">
        <f t="shared" si="1015"/>
        <v>#VALUE!</v>
      </c>
      <c r="DX886" s="56">
        <v>872</v>
      </c>
      <c r="DY886" s="67">
        <f t="shared" si="1016"/>
        <v>0</v>
      </c>
      <c r="DZ886" s="45" t="e">
        <f>VLOOKUP($R886,Dropdown!$C$3:$D$4,2,FALSE)</f>
        <v>#N/A</v>
      </c>
      <c r="EA886" s="68">
        <f t="shared" si="1017"/>
        <v>0</v>
      </c>
      <c r="EB886" s="68" t="str">
        <f t="shared" si="1018"/>
        <v>N/A</v>
      </c>
      <c r="EC886" s="68">
        <f t="shared" si="1019"/>
        <v>0</v>
      </c>
      <c r="ED886" s="68" t="str">
        <f t="shared" si="1057"/>
        <v>N/A</v>
      </c>
      <c r="EF886" s="56">
        <v>872</v>
      </c>
      <c r="EG886" s="46">
        <f t="shared" si="1020"/>
        <v>0</v>
      </c>
      <c r="EH886" s="68" t="e">
        <f t="shared" si="1021"/>
        <v>#N/A</v>
      </c>
      <c r="EI886" s="68" t="e">
        <f t="shared" si="1022"/>
        <v>#N/A</v>
      </c>
      <c r="EJ886" s="68" t="e">
        <f t="shared" si="1023"/>
        <v>#N/A</v>
      </c>
      <c r="EK886" s="68" t="e">
        <f t="shared" si="1024"/>
        <v>#N/A</v>
      </c>
      <c r="EL886" s="46">
        <f t="shared" si="1025"/>
        <v>0</v>
      </c>
      <c r="EM886" s="46">
        <f t="shared" si="1026"/>
        <v>0</v>
      </c>
    </row>
    <row r="887" spans="1:143">
      <c r="A887" s="89"/>
      <c r="B887" s="89"/>
      <c r="C887" s="89"/>
      <c r="D887" s="89"/>
      <c r="E887" s="89"/>
      <c r="F887" s="89"/>
      <c r="G887" s="34"/>
      <c r="H887" s="56">
        <f t="shared" si="1027"/>
        <v>873</v>
      </c>
      <c r="I887" s="165"/>
      <c r="J887" s="163"/>
      <c r="K887" s="163"/>
      <c r="L887" s="164"/>
      <c r="M887" s="155"/>
      <c r="N887" s="155"/>
      <c r="O887" s="144"/>
      <c r="P887" s="159" t="str">
        <f>IFERROR(IF(O887&lt;&gt;"User Specified",IF(O887&lt;&gt;"", INDEX('Refrigerant GWPs'!$G$2:$G$154,MATCH(O887,'Refrigerant GWPs'!$A$2:$A$154,0)),""),U887),0)</f>
        <v/>
      </c>
      <c r="Q887" s="155"/>
      <c r="R887" s="155"/>
      <c r="S887" s="144"/>
      <c r="T887" s="159" t="str">
        <f>IF(S887&lt;&gt;"User Specified",IF(AND(S887&lt;&gt;"User Specified",S887&lt;&gt;""), INDEX('Refrigerant GWPs'!$G$2:$G$154,MATCH(S887,'Refrigerant GWPs'!$A$2:$A$154,0)),""),V887)</f>
        <v/>
      </c>
      <c r="U887" s="144"/>
      <c r="V887" s="144"/>
      <c r="W887" s="155"/>
      <c r="X887" s="155"/>
      <c r="Y887" s="144"/>
      <c r="Z887" s="159" t="str">
        <f>IF(AND(Y887&lt;&gt;"User Specified",Y887&lt;&gt;""), INDEX('Refrigerant GWPs'!$G$2:$G$154,MATCH(Y887,'Refrigerant GWPs'!$A$2:$A$154,0)),"")</f>
        <v/>
      </c>
      <c r="AA887" s="155"/>
      <c r="AB887" s="156"/>
      <c r="AC887" s="66"/>
      <c r="AD887" s="66"/>
      <c r="AE887" s="66"/>
      <c r="AF887" s="66"/>
      <c r="AG887" s="66"/>
      <c r="AH887" s="66"/>
      <c r="AI887" s="34"/>
      <c r="AJ887" s="88">
        <f t="shared" si="990"/>
        <v>0</v>
      </c>
      <c r="AK887" s="88">
        <f t="shared" si="991"/>
        <v>0</v>
      </c>
      <c r="AL887" s="88">
        <v>0</v>
      </c>
      <c r="AM887" s="88">
        <v>0</v>
      </c>
      <c r="AN887" s="81" t="str">
        <f t="shared" si="1029"/>
        <v/>
      </c>
      <c r="AO887" s="88">
        <f t="shared" si="992"/>
        <v>0</v>
      </c>
      <c r="AP887" s="88">
        <f t="shared" si="993"/>
        <v>0</v>
      </c>
      <c r="AQ887" s="81" t="str">
        <f t="shared" si="994"/>
        <v/>
      </c>
      <c r="AS887" s="41" t="b">
        <f t="shared" si="995"/>
        <v>1</v>
      </c>
      <c r="AT887" s="38">
        <f t="shared" si="996"/>
        <v>0</v>
      </c>
      <c r="AU887" s="60">
        <f t="shared" si="997"/>
        <v>0</v>
      </c>
      <c r="AV887" s="41">
        <f t="shared" si="998"/>
        <v>0</v>
      </c>
      <c r="AW887" s="41" t="b">
        <f t="shared" si="999"/>
        <v>0</v>
      </c>
      <c r="AX887" t="str">
        <f t="shared" si="1000"/>
        <v>+00</v>
      </c>
      <c r="AY887" t="str">
        <f t="shared" si="1001"/>
        <v>+00</v>
      </c>
      <c r="BA887" s="47" t="b">
        <f t="shared" si="1030"/>
        <v>1</v>
      </c>
      <c r="BB887" s="42" t="b">
        <f t="shared" si="1031"/>
        <v>1</v>
      </c>
      <c r="BC887" s="42" t="b">
        <f t="shared" si="1032"/>
        <v>0</v>
      </c>
      <c r="BD887" s="42" t="b">
        <f t="shared" si="1033"/>
        <v>0</v>
      </c>
      <c r="BE887" s="70">
        <f t="shared" si="1034"/>
        <v>0</v>
      </c>
      <c r="BF887" s="70">
        <f t="shared" si="1035"/>
        <v>0</v>
      </c>
      <c r="BG887" s="34"/>
      <c r="BI887" s="47" t="b">
        <f t="shared" si="1036"/>
        <v>1</v>
      </c>
      <c r="BJ887" s="47" t="b">
        <f t="shared" si="1037"/>
        <v>1</v>
      </c>
      <c r="BK887" s="42" t="b">
        <f t="shared" si="1038"/>
        <v>0</v>
      </c>
      <c r="BL887" s="42" t="b">
        <f t="shared" si="1039"/>
        <v>0</v>
      </c>
      <c r="BM887" s="42">
        <f t="shared" si="1040"/>
        <v>0</v>
      </c>
      <c r="BN887" s="42">
        <f t="shared" si="1041"/>
        <v>0</v>
      </c>
      <c r="BP887" t="e">
        <f t="shared" si="1042"/>
        <v>#N/A</v>
      </c>
      <c r="BQ887" t="e">
        <f t="shared" si="1043"/>
        <v>#N/A</v>
      </c>
      <c r="BR887" t="e">
        <f t="shared" si="1044"/>
        <v>#N/A</v>
      </c>
      <c r="BT887" s="60">
        <f t="shared" si="1045"/>
        <v>0</v>
      </c>
      <c r="BU887" s="60">
        <f t="shared" si="1046"/>
        <v>0</v>
      </c>
      <c r="BV887" s="60">
        <f t="shared" si="1047"/>
        <v>0</v>
      </c>
      <c r="BW887" s="60">
        <f t="shared" si="1048"/>
        <v>0</v>
      </c>
      <c r="BX887" s="60">
        <f t="shared" si="1049"/>
        <v>0</v>
      </c>
      <c r="BY887" s="60">
        <f t="shared" si="1050"/>
        <v>0</v>
      </c>
      <c r="BZ887" s="60">
        <f t="shared" si="1051"/>
        <v>0</v>
      </c>
      <c r="CA887" s="60">
        <f t="shared" si="1052"/>
        <v>0</v>
      </c>
      <c r="CB887" s="60" t="e">
        <f t="shared" si="1002"/>
        <v>#N/A</v>
      </c>
      <c r="CC887" s="60">
        <f t="shared" si="1003"/>
        <v>100000</v>
      </c>
      <c r="CD887" s="60" t="e">
        <f t="shared" si="1004"/>
        <v>#N/A</v>
      </c>
      <c r="CE887" s="60">
        <f t="shared" si="1005"/>
        <v>100000</v>
      </c>
      <c r="CF887" s="83" t="e">
        <f t="shared" si="1053"/>
        <v>#N/A</v>
      </c>
      <c r="CG887" s="83">
        <f t="shared" si="1054"/>
        <v>0</v>
      </c>
      <c r="CH887" s="83" t="e">
        <f t="shared" si="1055"/>
        <v>#N/A</v>
      </c>
      <c r="CI887" s="83">
        <f t="shared" si="1056"/>
        <v>0</v>
      </c>
      <c r="CJ887" s="86" t="e">
        <f t="shared" si="1006"/>
        <v>#N/A</v>
      </c>
      <c r="CK887" s="82">
        <f t="shared" si="1007"/>
        <v>5.3070370403969858E-3</v>
      </c>
      <c r="CL887" s="82" t="e">
        <f t="shared" si="1008"/>
        <v>#N/A</v>
      </c>
      <c r="CM887" s="82">
        <f t="shared" si="1009"/>
        <v>5.3070370403969858E-3</v>
      </c>
      <c r="CO887" s="149" t="str">
        <f>IF($I887&lt;&gt;"",IF(O887="User Specified",U887,INDEX('Refrigerant GWPs'!$G$2:$G$156,MATCH(O887,'Refrigerant GWPs'!$A$2:$A$156,0))),"")</f>
        <v/>
      </c>
      <c r="CP887" s="138" t="str">
        <f>IF($I887&lt;&gt;"",INDEX('Device Refrigerant Leakage'!$E$2:$E$42,MATCH($M887,'Device Refrigerant Leakage'!$B$2:$B$42,0)),"")</f>
        <v/>
      </c>
      <c r="CQ887" s="138" t="str">
        <f>IF($I887&lt;&gt;"",INDEX('Device Refrigerant Leakage'!$F$2:$F$42,MATCH($M887,'Device Refrigerant Leakage'!$B$2:$B$42,0)),"")</f>
        <v/>
      </c>
      <c r="CR887" s="145" t="str">
        <f>IF($I887&lt;&gt;"",INDEX('Device Refrigerant Leakage'!$G$2:$G$42,MATCH($M887,'Device Refrigerant Leakage'!$B$2:$B$42,0)),"")</f>
        <v/>
      </c>
      <c r="CS887" s="145" t="str">
        <f>IF($I887&lt;&gt;"",INDEX('Device Refrigerant Leakage'!$D$2:$D$42,MATCH($M887,'Device Refrigerant Leakage'!$B$2:$B$42,0))*CP887/2204.62*CO887,"")</f>
        <v/>
      </c>
      <c r="CT887" s="145" t="str">
        <f>IF($I887&lt;&gt;"",J887*(INDEX('Device Refrigerant Leakage'!$D$2:$D$42,MATCH($M887,'Device Refrigerant Leakage'!$B$2:$B$42,0))-(INDEX('Device Refrigerant Leakage'!$D$2:$D$42,MATCH($M887,'Device Refrigerant Leakage'!$B$2:$B$42,0)))*CR887*CP887)*CQ887/2204.62*CO887,"")</f>
        <v/>
      </c>
      <c r="CU887" s="135" t="str">
        <f>IF($I887&lt;&gt;"",J887*IF(W887&lt;&gt;"AR",(CS887*K887)+CT887,(CS887*AB887)+CT887*(AB887/INDEX('Device Refrigerant Leakage'!$C$2:$C$42,MATCH($M887,'Device Refrigerant Leakage'!$B$2:$B$42,0)))),"")</f>
        <v/>
      </c>
      <c r="CW887" s="135" t="str">
        <f>IF($I887&lt;&gt;"",IF(S887="User Specified",V887,INDEX('Refrigerant GWPs'!$G$2:$G$156,MATCH(S887,'Refrigerant GWPs'!$A$2:$A$157,0))),"")</f>
        <v/>
      </c>
      <c r="CX887" s="138" t="str">
        <f>IF($I887&lt;&gt;"",INDEX('Device Refrigerant Leakage'!$E$2:$E$42,MATCH($Q887,'Device Refrigerant Leakage'!$B$2:$B$42,0)),"")</f>
        <v/>
      </c>
      <c r="CY887" s="138" t="str">
        <f>IF($I887&lt;&gt;"",INDEX('Device Refrigerant Leakage'!$F$2:$F$42,MATCH($Q887,'Device Refrigerant Leakage'!$B$2:$B$42,0)),"")</f>
        <v/>
      </c>
      <c r="CZ887" s="145" t="str">
        <f>IF($I887&lt;&gt;"",INDEX('Device Refrigerant Leakage'!$G$2:$G$42,MATCH($Q887,'Device Refrigerant Leakage'!$B$2:$B$42,0)),"")</f>
        <v/>
      </c>
      <c r="DA887" s="145" t="str">
        <f>IF($I887&lt;&gt;"",J887*INDEX('Device Refrigerant Leakage'!$D$2:$D$42,MATCH($Q887,'Device Refrigerant Leakage'!$B$2:$B$42,0))*CX887/2204.62*CW887,"")</f>
        <v/>
      </c>
      <c r="DB887" s="145" t="str">
        <f>IF($I887&lt;&gt;"",J887*(INDEX('Device Refrigerant Leakage'!$D$2:$D$42,MATCH($Q887,'Device Refrigerant Leakage'!$B$2:$B$42,0))-(INDEX('Device Refrigerant Leakage'!$D$2:$D$42,MATCH($Q887,'Device Refrigerant Leakage'!$B$2:$B$42,0)))*CZ887*CX887)*CY887/2204.62*CW887,"")</f>
        <v/>
      </c>
      <c r="DC887" s="135" t="str">
        <f t="shared" si="1028"/>
        <v/>
      </c>
      <c r="DE887" s="146" t="str">
        <f>IF(W887&lt;&gt;"AR","",IF(Y887="User Specified", AA887, INDEX('Refrigerant GWPs'!$G$2:$G$154,MATCH(Y887,'Refrigerant GWPs'!$A$2:$A$154,0))))</f>
        <v/>
      </c>
      <c r="DF887" s="146" t="str">
        <f>IF(W887&lt;&gt;"AR","",INDEX('Device Refrigerant Leakage'!$E$2:$E$42,MATCH(X887,'Device Refrigerant Leakage'!$B$2:$B$42,0)))</f>
        <v/>
      </c>
      <c r="DG887" s="146" t="str">
        <f>IF(W887&lt;&gt;"AR","",INDEX('Device Refrigerant Leakage'!$F$2:$F$42,MATCH(X887,'Device Refrigerant Leakage'!$B$2:$B$42,0)))</f>
        <v/>
      </c>
      <c r="DH887" s="146" t="str">
        <f>IF(W887&lt;&gt;"AR","",INDEX('Device Refrigerant Leakage'!$G$2:$G$42,MATCH(X887,'Device Refrigerant Leakage'!$B$2:$B$42,0)))</f>
        <v/>
      </c>
      <c r="DI887" s="146" t="str">
        <f>IF(W887&lt;&gt;"AR","",J887*INDEX('Device Refrigerant Leakage'!$D$2:$D$42,MATCH(X887,'Device Refrigerant Leakage'!$B$2:$B$42,0))*DF887/2204.62*DE887)</f>
        <v/>
      </c>
      <c r="DJ887" s="146" t="str">
        <f>IF(W887&lt;&gt;"AR","",J887*(INDEX('Device Refrigerant Leakage'!$D$2:$D$42,MATCH(X887,'Device Refrigerant Leakage'!$B$2:$B$42,0))-(INDEX('Device Refrigerant Leakage'!$D$2:$D$42,MATCH(X887,'Device Refrigerant Leakage'!$B$2:$B$42,0)))*DH887*DF887)*DG887/2204.62*DE887)</f>
        <v/>
      </c>
      <c r="DK887" s="146" t="str">
        <f>IF(W887&lt;&gt;"AR","",DI887*(K887-AB887)+'Fuel Sub Calcs-Deemed'!DJ887*((K887-AB887)/INDEX('Device Refrigerant Leakage'!$C$2:$C$42,MATCH('Fuel Sub Calcs-Deemed'!X887,'Device Refrigerant Leakage'!$B$2:$B$42,0))))</f>
        <v/>
      </c>
      <c r="DM887" s="56">
        <v>873</v>
      </c>
      <c r="DN887" s="67" t="e">
        <f t="shared" si="1010"/>
        <v>#N/A</v>
      </c>
      <c r="DO887" s="45" t="e">
        <f t="shared" si="1011"/>
        <v>#N/A</v>
      </c>
      <c r="DP887" s="67" t="e">
        <f t="shared" si="1012"/>
        <v>#N/A</v>
      </c>
      <c r="DQ887" s="45" t="e">
        <f t="shared" si="1013"/>
        <v>#N/A</v>
      </c>
      <c r="DR887" s="69" t="e">
        <f t="shared" si="1014"/>
        <v>#N/A</v>
      </c>
      <c r="DS887" s="34"/>
      <c r="DT887" s="67" t="e">
        <f>((BX887*CJ887)+IF($W887=MAT_AR,(BZ887*CL887),0))*(1+Reference!$E$50+Reference!$E$51)</f>
        <v>#N/A</v>
      </c>
      <c r="DU887" s="67">
        <f>((BY887*CK887)+IF($W887=MAT_AR,(CA887*CM887),0))*(1+Reference!$G$50+Reference!$G$51)</f>
        <v>0</v>
      </c>
      <c r="DV887" s="67" t="e">
        <f t="shared" si="1015"/>
        <v>#VALUE!</v>
      </c>
      <c r="DX887" s="56">
        <v>873</v>
      </c>
      <c r="DY887" s="67">
        <f t="shared" si="1016"/>
        <v>0</v>
      </c>
      <c r="DZ887" s="45" t="e">
        <f>VLOOKUP($R887,Dropdown!$C$3:$D$4,2,FALSE)</f>
        <v>#N/A</v>
      </c>
      <c r="EA887" s="68">
        <f t="shared" si="1017"/>
        <v>0</v>
      </c>
      <c r="EB887" s="68" t="str">
        <f t="shared" si="1018"/>
        <v>N/A</v>
      </c>
      <c r="EC887" s="68">
        <f t="shared" si="1019"/>
        <v>0</v>
      </c>
      <c r="ED887" s="68" t="str">
        <f t="shared" si="1057"/>
        <v>N/A</v>
      </c>
      <c r="EF887" s="56">
        <v>873</v>
      </c>
      <c r="EG887" s="46">
        <f t="shared" si="1020"/>
        <v>0</v>
      </c>
      <c r="EH887" s="68" t="e">
        <f t="shared" si="1021"/>
        <v>#N/A</v>
      </c>
      <c r="EI887" s="68" t="e">
        <f t="shared" si="1022"/>
        <v>#N/A</v>
      </c>
      <c r="EJ887" s="68" t="e">
        <f t="shared" si="1023"/>
        <v>#N/A</v>
      </c>
      <c r="EK887" s="68" t="e">
        <f t="shared" si="1024"/>
        <v>#N/A</v>
      </c>
      <c r="EL887" s="46">
        <f t="shared" si="1025"/>
        <v>0</v>
      </c>
      <c r="EM887" s="46">
        <f t="shared" si="1026"/>
        <v>0</v>
      </c>
    </row>
    <row r="888" spans="1:143">
      <c r="A888" s="89"/>
      <c r="B888" s="89"/>
      <c r="C888" s="89"/>
      <c r="D888" s="89"/>
      <c r="E888" s="89"/>
      <c r="F888" s="89"/>
      <c r="G888" s="34"/>
      <c r="H888" s="56">
        <f t="shared" si="1027"/>
        <v>874</v>
      </c>
      <c r="I888" s="165"/>
      <c r="J888" s="163"/>
      <c r="K888" s="163"/>
      <c r="L888" s="164"/>
      <c r="M888" s="155"/>
      <c r="N888" s="155"/>
      <c r="O888" s="144"/>
      <c r="P888" s="159" t="str">
        <f>IFERROR(IF(O888&lt;&gt;"User Specified",IF(O888&lt;&gt;"", INDEX('Refrigerant GWPs'!$G$2:$G$154,MATCH(O888,'Refrigerant GWPs'!$A$2:$A$154,0)),""),U888),0)</f>
        <v/>
      </c>
      <c r="Q888" s="155"/>
      <c r="R888" s="155"/>
      <c r="S888" s="144"/>
      <c r="T888" s="159" t="str">
        <f>IF(S888&lt;&gt;"User Specified",IF(AND(S888&lt;&gt;"User Specified",S888&lt;&gt;""), INDEX('Refrigerant GWPs'!$G$2:$G$154,MATCH(S888,'Refrigerant GWPs'!$A$2:$A$154,0)),""),V888)</f>
        <v/>
      </c>
      <c r="U888" s="144"/>
      <c r="V888" s="144"/>
      <c r="W888" s="155"/>
      <c r="X888" s="155"/>
      <c r="Y888" s="144"/>
      <c r="Z888" s="159" t="str">
        <f>IF(AND(Y888&lt;&gt;"User Specified",Y888&lt;&gt;""), INDEX('Refrigerant GWPs'!$G$2:$G$154,MATCH(Y888,'Refrigerant GWPs'!$A$2:$A$154,0)),"")</f>
        <v/>
      </c>
      <c r="AA888" s="155"/>
      <c r="AB888" s="156"/>
      <c r="AC888" s="66"/>
      <c r="AD888" s="66"/>
      <c r="AE888" s="66"/>
      <c r="AF888" s="66"/>
      <c r="AG888" s="66"/>
      <c r="AH888" s="66"/>
      <c r="AI888" s="34"/>
      <c r="AJ888" s="88">
        <f t="shared" si="990"/>
        <v>0</v>
      </c>
      <c r="AK888" s="88">
        <f t="shared" si="991"/>
        <v>0</v>
      </c>
      <c r="AL888" s="88">
        <v>0</v>
      </c>
      <c r="AM888" s="88">
        <v>0</v>
      </c>
      <c r="AN888" s="81" t="str">
        <f t="shared" si="1029"/>
        <v/>
      </c>
      <c r="AO888" s="88">
        <f t="shared" si="992"/>
        <v>0</v>
      </c>
      <c r="AP888" s="88">
        <f t="shared" si="993"/>
        <v>0</v>
      </c>
      <c r="AQ888" s="81" t="str">
        <f t="shared" si="994"/>
        <v/>
      </c>
      <c r="AS888" s="41" t="b">
        <f t="shared" si="995"/>
        <v>1</v>
      </c>
      <c r="AT888" s="38">
        <f t="shared" si="996"/>
        <v>0</v>
      </c>
      <c r="AU888" s="60">
        <f t="shared" si="997"/>
        <v>0</v>
      </c>
      <c r="AV888" s="41">
        <f t="shared" si="998"/>
        <v>0</v>
      </c>
      <c r="AW888" s="41" t="b">
        <f t="shared" si="999"/>
        <v>0</v>
      </c>
      <c r="AX888" t="str">
        <f t="shared" si="1000"/>
        <v>+00</v>
      </c>
      <c r="AY888" t="str">
        <f t="shared" si="1001"/>
        <v>+00</v>
      </c>
      <c r="BA888" s="47" t="b">
        <f t="shared" si="1030"/>
        <v>1</v>
      </c>
      <c r="BB888" s="42" t="b">
        <f t="shared" si="1031"/>
        <v>1</v>
      </c>
      <c r="BC888" s="42" t="b">
        <f t="shared" si="1032"/>
        <v>0</v>
      </c>
      <c r="BD888" s="42" t="b">
        <f t="shared" si="1033"/>
        <v>0</v>
      </c>
      <c r="BE888" s="70">
        <f t="shared" si="1034"/>
        <v>0</v>
      </c>
      <c r="BF888" s="70">
        <f t="shared" si="1035"/>
        <v>0</v>
      </c>
      <c r="BG888" s="34"/>
      <c r="BI888" s="47" t="b">
        <f t="shared" si="1036"/>
        <v>1</v>
      </c>
      <c r="BJ888" s="47" t="b">
        <f t="shared" si="1037"/>
        <v>1</v>
      </c>
      <c r="BK888" s="42" t="b">
        <f t="shared" si="1038"/>
        <v>0</v>
      </c>
      <c r="BL888" s="42" t="b">
        <f t="shared" si="1039"/>
        <v>0</v>
      </c>
      <c r="BM888" s="42">
        <f t="shared" si="1040"/>
        <v>0</v>
      </c>
      <c r="BN888" s="42">
        <f t="shared" si="1041"/>
        <v>0</v>
      </c>
      <c r="BP888" t="e">
        <f t="shared" si="1042"/>
        <v>#N/A</v>
      </c>
      <c r="BQ888" t="e">
        <f t="shared" si="1043"/>
        <v>#N/A</v>
      </c>
      <c r="BR888" t="e">
        <f t="shared" si="1044"/>
        <v>#N/A</v>
      </c>
      <c r="BT888" s="60">
        <f t="shared" si="1045"/>
        <v>0</v>
      </c>
      <c r="BU888" s="60">
        <f t="shared" si="1046"/>
        <v>0</v>
      </c>
      <c r="BV888" s="60">
        <f t="shared" si="1047"/>
        <v>0</v>
      </c>
      <c r="BW888" s="60">
        <f t="shared" si="1048"/>
        <v>0</v>
      </c>
      <c r="BX888" s="60">
        <f t="shared" si="1049"/>
        <v>0</v>
      </c>
      <c r="BY888" s="60">
        <f t="shared" si="1050"/>
        <v>0</v>
      </c>
      <c r="BZ888" s="60">
        <f t="shared" si="1051"/>
        <v>0</v>
      </c>
      <c r="CA888" s="60">
        <f t="shared" si="1052"/>
        <v>0</v>
      </c>
      <c r="CB888" s="60" t="e">
        <f t="shared" si="1002"/>
        <v>#N/A</v>
      </c>
      <c r="CC888" s="60">
        <f t="shared" si="1003"/>
        <v>100000</v>
      </c>
      <c r="CD888" s="60" t="e">
        <f t="shared" si="1004"/>
        <v>#N/A</v>
      </c>
      <c r="CE888" s="60">
        <f t="shared" si="1005"/>
        <v>100000</v>
      </c>
      <c r="CF888" s="83" t="e">
        <f t="shared" si="1053"/>
        <v>#N/A</v>
      </c>
      <c r="CG888" s="83">
        <f t="shared" si="1054"/>
        <v>0</v>
      </c>
      <c r="CH888" s="83" t="e">
        <f t="shared" si="1055"/>
        <v>#N/A</v>
      </c>
      <c r="CI888" s="83">
        <f t="shared" si="1056"/>
        <v>0</v>
      </c>
      <c r="CJ888" s="86" t="e">
        <f t="shared" si="1006"/>
        <v>#N/A</v>
      </c>
      <c r="CK888" s="82">
        <f t="shared" si="1007"/>
        <v>5.3070370403969858E-3</v>
      </c>
      <c r="CL888" s="82" t="e">
        <f t="shared" si="1008"/>
        <v>#N/A</v>
      </c>
      <c r="CM888" s="82">
        <f t="shared" si="1009"/>
        <v>5.3070370403969858E-3</v>
      </c>
      <c r="CO888" s="149" t="str">
        <f>IF($I888&lt;&gt;"",IF(O888="User Specified",U888,INDEX('Refrigerant GWPs'!$G$2:$G$156,MATCH(O888,'Refrigerant GWPs'!$A$2:$A$156,0))),"")</f>
        <v/>
      </c>
      <c r="CP888" s="138" t="str">
        <f>IF($I888&lt;&gt;"",INDEX('Device Refrigerant Leakage'!$E$2:$E$42,MATCH($M888,'Device Refrigerant Leakage'!$B$2:$B$42,0)),"")</f>
        <v/>
      </c>
      <c r="CQ888" s="138" t="str">
        <f>IF($I888&lt;&gt;"",INDEX('Device Refrigerant Leakage'!$F$2:$F$42,MATCH($M888,'Device Refrigerant Leakage'!$B$2:$B$42,0)),"")</f>
        <v/>
      </c>
      <c r="CR888" s="145" t="str">
        <f>IF($I888&lt;&gt;"",INDEX('Device Refrigerant Leakage'!$G$2:$G$42,MATCH($M888,'Device Refrigerant Leakage'!$B$2:$B$42,0)),"")</f>
        <v/>
      </c>
      <c r="CS888" s="145" t="str">
        <f>IF($I888&lt;&gt;"",INDEX('Device Refrigerant Leakage'!$D$2:$D$42,MATCH($M888,'Device Refrigerant Leakage'!$B$2:$B$42,0))*CP888/2204.62*CO888,"")</f>
        <v/>
      </c>
      <c r="CT888" s="145" t="str">
        <f>IF($I888&lt;&gt;"",J888*(INDEX('Device Refrigerant Leakage'!$D$2:$D$42,MATCH($M888,'Device Refrigerant Leakage'!$B$2:$B$42,0))-(INDEX('Device Refrigerant Leakage'!$D$2:$D$42,MATCH($M888,'Device Refrigerant Leakage'!$B$2:$B$42,0)))*CR888*CP888)*CQ888/2204.62*CO888,"")</f>
        <v/>
      </c>
      <c r="CU888" s="135" t="str">
        <f>IF($I888&lt;&gt;"",J888*IF(W888&lt;&gt;"AR",(CS888*K888)+CT888,(CS888*AB888)+CT888*(AB888/INDEX('Device Refrigerant Leakage'!$C$2:$C$42,MATCH($M888,'Device Refrigerant Leakage'!$B$2:$B$42,0)))),"")</f>
        <v/>
      </c>
      <c r="CW888" s="135" t="str">
        <f>IF($I888&lt;&gt;"",IF(S888="User Specified",V888,INDEX('Refrigerant GWPs'!$G$2:$G$156,MATCH(S888,'Refrigerant GWPs'!$A$2:$A$157,0))),"")</f>
        <v/>
      </c>
      <c r="CX888" s="138" t="str">
        <f>IF($I888&lt;&gt;"",INDEX('Device Refrigerant Leakage'!$E$2:$E$42,MATCH($Q888,'Device Refrigerant Leakage'!$B$2:$B$42,0)),"")</f>
        <v/>
      </c>
      <c r="CY888" s="138" t="str">
        <f>IF($I888&lt;&gt;"",INDEX('Device Refrigerant Leakage'!$F$2:$F$42,MATCH($Q888,'Device Refrigerant Leakage'!$B$2:$B$42,0)),"")</f>
        <v/>
      </c>
      <c r="CZ888" s="145" t="str">
        <f>IF($I888&lt;&gt;"",INDEX('Device Refrigerant Leakage'!$G$2:$G$42,MATCH($Q888,'Device Refrigerant Leakage'!$B$2:$B$42,0)),"")</f>
        <v/>
      </c>
      <c r="DA888" s="145" t="str">
        <f>IF($I888&lt;&gt;"",J888*INDEX('Device Refrigerant Leakage'!$D$2:$D$42,MATCH($Q888,'Device Refrigerant Leakage'!$B$2:$B$42,0))*CX888/2204.62*CW888,"")</f>
        <v/>
      </c>
      <c r="DB888" s="145" t="str">
        <f>IF($I888&lt;&gt;"",J888*(INDEX('Device Refrigerant Leakage'!$D$2:$D$42,MATCH($Q888,'Device Refrigerant Leakage'!$B$2:$B$42,0))-(INDEX('Device Refrigerant Leakage'!$D$2:$D$42,MATCH($Q888,'Device Refrigerant Leakage'!$B$2:$B$42,0)))*CZ888*CX888)*CY888/2204.62*CW888,"")</f>
        <v/>
      </c>
      <c r="DC888" s="135" t="str">
        <f t="shared" si="1028"/>
        <v/>
      </c>
      <c r="DE888" s="146" t="str">
        <f>IF(W888&lt;&gt;"AR","",IF(Y888="User Specified", AA888, INDEX('Refrigerant GWPs'!$G$2:$G$154,MATCH(Y888,'Refrigerant GWPs'!$A$2:$A$154,0))))</f>
        <v/>
      </c>
      <c r="DF888" s="146" t="str">
        <f>IF(W888&lt;&gt;"AR","",INDEX('Device Refrigerant Leakage'!$E$2:$E$42,MATCH(X888,'Device Refrigerant Leakage'!$B$2:$B$42,0)))</f>
        <v/>
      </c>
      <c r="DG888" s="146" t="str">
        <f>IF(W888&lt;&gt;"AR","",INDEX('Device Refrigerant Leakage'!$F$2:$F$42,MATCH(X888,'Device Refrigerant Leakage'!$B$2:$B$42,0)))</f>
        <v/>
      </c>
      <c r="DH888" s="146" t="str">
        <f>IF(W888&lt;&gt;"AR","",INDEX('Device Refrigerant Leakage'!$G$2:$G$42,MATCH(X888,'Device Refrigerant Leakage'!$B$2:$B$42,0)))</f>
        <v/>
      </c>
      <c r="DI888" s="146" t="str">
        <f>IF(W888&lt;&gt;"AR","",J888*INDEX('Device Refrigerant Leakage'!$D$2:$D$42,MATCH(X888,'Device Refrigerant Leakage'!$B$2:$B$42,0))*DF888/2204.62*DE888)</f>
        <v/>
      </c>
      <c r="DJ888" s="146" t="str">
        <f>IF(W888&lt;&gt;"AR","",J888*(INDEX('Device Refrigerant Leakage'!$D$2:$D$42,MATCH(X888,'Device Refrigerant Leakage'!$B$2:$B$42,0))-(INDEX('Device Refrigerant Leakage'!$D$2:$D$42,MATCH(X888,'Device Refrigerant Leakage'!$B$2:$B$42,0)))*DH888*DF888)*DG888/2204.62*DE888)</f>
        <v/>
      </c>
      <c r="DK888" s="146" t="str">
        <f>IF(W888&lt;&gt;"AR","",DI888*(K888-AB888)+'Fuel Sub Calcs-Deemed'!DJ888*((K888-AB888)/INDEX('Device Refrigerant Leakage'!$C$2:$C$42,MATCH('Fuel Sub Calcs-Deemed'!X888,'Device Refrigerant Leakage'!$B$2:$B$42,0))))</f>
        <v/>
      </c>
      <c r="DM888" s="56">
        <v>874</v>
      </c>
      <c r="DN888" s="67" t="e">
        <f t="shared" si="1010"/>
        <v>#N/A</v>
      </c>
      <c r="DO888" s="45" t="e">
        <f t="shared" si="1011"/>
        <v>#N/A</v>
      </c>
      <c r="DP888" s="67" t="e">
        <f t="shared" si="1012"/>
        <v>#N/A</v>
      </c>
      <c r="DQ888" s="45" t="e">
        <f t="shared" si="1013"/>
        <v>#N/A</v>
      </c>
      <c r="DR888" s="69" t="e">
        <f t="shared" si="1014"/>
        <v>#N/A</v>
      </c>
      <c r="DS888" s="34"/>
      <c r="DT888" s="67" t="e">
        <f>((BX888*CJ888)+IF($W888=MAT_AR,(BZ888*CL888),0))*(1+Reference!$E$50+Reference!$E$51)</f>
        <v>#N/A</v>
      </c>
      <c r="DU888" s="67">
        <f>((BY888*CK888)+IF($W888=MAT_AR,(CA888*CM888),0))*(1+Reference!$G$50+Reference!$G$51)</f>
        <v>0</v>
      </c>
      <c r="DV888" s="67" t="e">
        <f t="shared" si="1015"/>
        <v>#VALUE!</v>
      </c>
      <c r="DX888" s="56">
        <v>874</v>
      </c>
      <c r="DY888" s="67">
        <f t="shared" si="1016"/>
        <v>0</v>
      </c>
      <c r="DZ888" s="45" t="e">
        <f>VLOOKUP($R888,Dropdown!$C$3:$D$4,2,FALSE)</f>
        <v>#N/A</v>
      </c>
      <c r="EA888" s="68">
        <f t="shared" si="1017"/>
        <v>0</v>
      </c>
      <c r="EB888" s="68" t="str">
        <f t="shared" si="1018"/>
        <v>N/A</v>
      </c>
      <c r="EC888" s="68">
        <f t="shared" si="1019"/>
        <v>0</v>
      </c>
      <c r="ED888" s="68" t="str">
        <f t="shared" si="1057"/>
        <v>N/A</v>
      </c>
      <c r="EF888" s="56">
        <v>874</v>
      </c>
      <c r="EG888" s="46">
        <f t="shared" si="1020"/>
        <v>0</v>
      </c>
      <c r="EH888" s="68" t="e">
        <f t="shared" si="1021"/>
        <v>#N/A</v>
      </c>
      <c r="EI888" s="68" t="e">
        <f t="shared" si="1022"/>
        <v>#N/A</v>
      </c>
      <c r="EJ888" s="68" t="e">
        <f t="shared" si="1023"/>
        <v>#N/A</v>
      </c>
      <c r="EK888" s="68" t="e">
        <f t="shared" si="1024"/>
        <v>#N/A</v>
      </c>
      <c r="EL888" s="46">
        <f t="shared" si="1025"/>
        <v>0</v>
      </c>
      <c r="EM888" s="46">
        <f t="shared" si="1026"/>
        <v>0</v>
      </c>
    </row>
    <row r="889" spans="1:143">
      <c r="A889" s="89"/>
      <c r="B889" s="89"/>
      <c r="C889" s="89"/>
      <c r="D889" s="89"/>
      <c r="E889" s="89"/>
      <c r="F889" s="89"/>
      <c r="G889" s="34"/>
      <c r="H889" s="56">
        <f t="shared" si="1027"/>
        <v>875</v>
      </c>
      <c r="I889" s="165"/>
      <c r="J889" s="163"/>
      <c r="K889" s="163"/>
      <c r="L889" s="164"/>
      <c r="M889" s="155"/>
      <c r="N889" s="155"/>
      <c r="O889" s="144"/>
      <c r="P889" s="159" t="str">
        <f>IFERROR(IF(O889&lt;&gt;"User Specified",IF(O889&lt;&gt;"", INDEX('Refrigerant GWPs'!$G$2:$G$154,MATCH(O889,'Refrigerant GWPs'!$A$2:$A$154,0)),""),U889),0)</f>
        <v/>
      </c>
      <c r="Q889" s="155"/>
      <c r="R889" s="155"/>
      <c r="S889" s="144"/>
      <c r="T889" s="159" t="str">
        <f>IF(S889&lt;&gt;"User Specified",IF(AND(S889&lt;&gt;"User Specified",S889&lt;&gt;""), INDEX('Refrigerant GWPs'!$G$2:$G$154,MATCH(S889,'Refrigerant GWPs'!$A$2:$A$154,0)),""),V889)</f>
        <v/>
      </c>
      <c r="U889" s="144"/>
      <c r="V889" s="144"/>
      <c r="W889" s="155"/>
      <c r="X889" s="155"/>
      <c r="Y889" s="144"/>
      <c r="Z889" s="159" t="str">
        <f>IF(AND(Y889&lt;&gt;"User Specified",Y889&lt;&gt;""), INDEX('Refrigerant GWPs'!$G$2:$G$154,MATCH(Y889,'Refrigerant GWPs'!$A$2:$A$154,0)),"")</f>
        <v/>
      </c>
      <c r="AA889" s="155"/>
      <c r="AB889" s="156"/>
      <c r="AC889" s="66"/>
      <c r="AD889" s="66"/>
      <c r="AE889" s="66"/>
      <c r="AF889" s="66"/>
      <c r="AG889" s="66"/>
      <c r="AH889" s="66"/>
      <c r="AI889" s="34"/>
      <c r="AJ889" s="88">
        <f t="shared" si="990"/>
        <v>0</v>
      </c>
      <c r="AK889" s="88">
        <f t="shared" si="991"/>
        <v>0</v>
      </c>
      <c r="AL889" s="88">
        <v>0</v>
      </c>
      <c r="AM889" s="88">
        <v>0</v>
      </c>
      <c r="AN889" s="81" t="str">
        <f t="shared" si="1029"/>
        <v/>
      </c>
      <c r="AO889" s="88">
        <f t="shared" si="992"/>
        <v>0</v>
      </c>
      <c r="AP889" s="88">
        <f t="shared" si="993"/>
        <v>0</v>
      </c>
      <c r="AQ889" s="81" t="str">
        <f t="shared" si="994"/>
        <v/>
      </c>
      <c r="AS889" s="41" t="b">
        <f t="shared" si="995"/>
        <v>1</v>
      </c>
      <c r="AT889" s="38">
        <f t="shared" si="996"/>
        <v>0</v>
      </c>
      <c r="AU889" s="60">
        <f t="shared" si="997"/>
        <v>0</v>
      </c>
      <c r="AV889" s="41">
        <f t="shared" si="998"/>
        <v>0</v>
      </c>
      <c r="AW889" s="41" t="b">
        <f t="shared" si="999"/>
        <v>0</v>
      </c>
      <c r="AX889" t="str">
        <f t="shared" si="1000"/>
        <v>+00</v>
      </c>
      <c r="AY889" t="str">
        <f t="shared" si="1001"/>
        <v>+00</v>
      </c>
      <c r="BA889" s="47" t="b">
        <f t="shared" si="1030"/>
        <v>1</v>
      </c>
      <c r="BB889" s="42" t="b">
        <f t="shared" si="1031"/>
        <v>1</v>
      </c>
      <c r="BC889" s="42" t="b">
        <f t="shared" si="1032"/>
        <v>0</v>
      </c>
      <c r="BD889" s="42" t="b">
        <f t="shared" si="1033"/>
        <v>0</v>
      </c>
      <c r="BE889" s="70">
        <f t="shared" si="1034"/>
        <v>0</v>
      </c>
      <c r="BF889" s="70">
        <f t="shared" si="1035"/>
        <v>0</v>
      </c>
      <c r="BG889" s="34"/>
      <c r="BI889" s="47" t="b">
        <f t="shared" si="1036"/>
        <v>1</v>
      </c>
      <c r="BJ889" s="47" t="b">
        <f t="shared" si="1037"/>
        <v>1</v>
      </c>
      <c r="BK889" s="42" t="b">
        <f t="shared" si="1038"/>
        <v>0</v>
      </c>
      <c r="BL889" s="42" t="b">
        <f t="shared" si="1039"/>
        <v>0</v>
      </c>
      <c r="BM889" s="42">
        <f t="shared" si="1040"/>
        <v>0</v>
      </c>
      <c r="BN889" s="42">
        <f t="shared" si="1041"/>
        <v>0</v>
      </c>
      <c r="BP889" t="e">
        <f t="shared" si="1042"/>
        <v>#N/A</v>
      </c>
      <c r="BQ889" t="e">
        <f t="shared" si="1043"/>
        <v>#N/A</v>
      </c>
      <c r="BR889" t="e">
        <f t="shared" si="1044"/>
        <v>#N/A</v>
      </c>
      <c r="BT889" s="60">
        <f t="shared" si="1045"/>
        <v>0</v>
      </c>
      <c r="BU889" s="60">
        <f t="shared" si="1046"/>
        <v>0</v>
      </c>
      <c r="BV889" s="60">
        <f t="shared" si="1047"/>
        <v>0</v>
      </c>
      <c r="BW889" s="60">
        <f t="shared" si="1048"/>
        <v>0</v>
      </c>
      <c r="BX889" s="60">
        <f t="shared" si="1049"/>
        <v>0</v>
      </c>
      <c r="BY889" s="60">
        <f t="shared" si="1050"/>
        <v>0</v>
      </c>
      <c r="BZ889" s="60">
        <f t="shared" si="1051"/>
        <v>0</v>
      </c>
      <c r="CA889" s="60">
        <f t="shared" si="1052"/>
        <v>0</v>
      </c>
      <c r="CB889" s="60" t="e">
        <f t="shared" si="1002"/>
        <v>#N/A</v>
      </c>
      <c r="CC889" s="60">
        <f t="shared" si="1003"/>
        <v>100000</v>
      </c>
      <c r="CD889" s="60" t="e">
        <f t="shared" si="1004"/>
        <v>#N/A</v>
      </c>
      <c r="CE889" s="60">
        <f t="shared" si="1005"/>
        <v>100000</v>
      </c>
      <c r="CF889" s="83" t="e">
        <f t="shared" si="1053"/>
        <v>#N/A</v>
      </c>
      <c r="CG889" s="83">
        <f t="shared" si="1054"/>
        <v>0</v>
      </c>
      <c r="CH889" s="83" t="e">
        <f t="shared" si="1055"/>
        <v>#N/A</v>
      </c>
      <c r="CI889" s="83">
        <f t="shared" si="1056"/>
        <v>0</v>
      </c>
      <c r="CJ889" s="86" t="e">
        <f t="shared" si="1006"/>
        <v>#N/A</v>
      </c>
      <c r="CK889" s="82">
        <f t="shared" si="1007"/>
        <v>5.3070370403969858E-3</v>
      </c>
      <c r="CL889" s="82" t="e">
        <f t="shared" si="1008"/>
        <v>#N/A</v>
      </c>
      <c r="CM889" s="82">
        <f t="shared" si="1009"/>
        <v>5.3070370403969858E-3</v>
      </c>
      <c r="CO889" s="149" t="str">
        <f>IF($I889&lt;&gt;"",IF(O889="User Specified",U889,INDEX('Refrigerant GWPs'!$G$2:$G$156,MATCH(O889,'Refrigerant GWPs'!$A$2:$A$156,0))),"")</f>
        <v/>
      </c>
      <c r="CP889" s="138" t="str">
        <f>IF($I889&lt;&gt;"",INDEX('Device Refrigerant Leakage'!$E$2:$E$42,MATCH($M889,'Device Refrigerant Leakage'!$B$2:$B$42,0)),"")</f>
        <v/>
      </c>
      <c r="CQ889" s="138" t="str">
        <f>IF($I889&lt;&gt;"",INDEX('Device Refrigerant Leakage'!$F$2:$F$42,MATCH($M889,'Device Refrigerant Leakage'!$B$2:$B$42,0)),"")</f>
        <v/>
      </c>
      <c r="CR889" s="145" t="str">
        <f>IF($I889&lt;&gt;"",INDEX('Device Refrigerant Leakage'!$G$2:$G$42,MATCH($M889,'Device Refrigerant Leakage'!$B$2:$B$42,0)),"")</f>
        <v/>
      </c>
      <c r="CS889" s="145" t="str">
        <f>IF($I889&lt;&gt;"",INDEX('Device Refrigerant Leakage'!$D$2:$D$42,MATCH($M889,'Device Refrigerant Leakage'!$B$2:$B$42,0))*CP889/2204.62*CO889,"")</f>
        <v/>
      </c>
      <c r="CT889" s="145" t="str">
        <f>IF($I889&lt;&gt;"",J889*(INDEX('Device Refrigerant Leakage'!$D$2:$D$42,MATCH($M889,'Device Refrigerant Leakage'!$B$2:$B$42,0))-(INDEX('Device Refrigerant Leakage'!$D$2:$D$42,MATCH($M889,'Device Refrigerant Leakage'!$B$2:$B$42,0)))*CR889*CP889)*CQ889/2204.62*CO889,"")</f>
        <v/>
      </c>
      <c r="CU889" s="135" t="str">
        <f>IF($I889&lt;&gt;"",J889*IF(W889&lt;&gt;"AR",(CS889*K889)+CT889,(CS889*AB889)+CT889*(AB889/INDEX('Device Refrigerant Leakage'!$C$2:$C$42,MATCH($M889,'Device Refrigerant Leakage'!$B$2:$B$42,0)))),"")</f>
        <v/>
      </c>
      <c r="CW889" s="135" t="str">
        <f>IF($I889&lt;&gt;"",IF(S889="User Specified",V889,INDEX('Refrigerant GWPs'!$G$2:$G$156,MATCH(S889,'Refrigerant GWPs'!$A$2:$A$157,0))),"")</f>
        <v/>
      </c>
      <c r="CX889" s="138" t="str">
        <f>IF($I889&lt;&gt;"",INDEX('Device Refrigerant Leakage'!$E$2:$E$42,MATCH($Q889,'Device Refrigerant Leakage'!$B$2:$B$42,0)),"")</f>
        <v/>
      </c>
      <c r="CY889" s="138" t="str">
        <f>IF($I889&lt;&gt;"",INDEX('Device Refrigerant Leakage'!$F$2:$F$42,MATCH($Q889,'Device Refrigerant Leakage'!$B$2:$B$42,0)),"")</f>
        <v/>
      </c>
      <c r="CZ889" s="145" t="str">
        <f>IF($I889&lt;&gt;"",INDEX('Device Refrigerant Leakage'!$G$2:$G$42,MATCH($Q889,'Device Refrigerant Leakage'!$B$2:$B$42,0)),"")</f>
        <v/>
      </c>
      <c r="DA889" s="145" t="str">
        <f>IF($I889&lt;&gt;"",J889*INDEX('Device Refrigerant Leakage'!$D$2:$D$42,MATCH($Q889,'Device Refrigerant Leakage'!$B$2:$B$42,0))*CX889/2204.62*CW889,"")</f>
        <v/>
      </c>
      <c r="DB889" s="145" t="str">
        <f>IF($I889&lt;&gt;"",J889*(INDEX('Device Refrigerant Leakage'!$D$2:$D$42,MATCH($Q889,'Device Refrigerant Leakage'!$B$2:$B$42,0))-(INDEX('Device Refrigerant Leakage'!$D$2:$D$42,MATCH($Q889,'Device Refrigerant Leakage'!$B$2:$B$42,0)))*CZ889*CX889)*CY889/2204.62*CW889,"")</f>
        <v/>
      </c>
      <c r="DC889" s="135" t="str">
        <f t="shared" si="1028"/>
        <v/>
      </c>
      <c r="DE889" s="146" t="str">
        <f>IF(W889&lt;&gt;"AR","",IF(Y889="User Specified", AA889, INDEX('Refrigerant GWPs'!$G$2:$G$154,MATCH(Y889,'Refrigerant GWPs'!$A$2:$A$154,0))))</f>
        <v/>
      </c>
      <c r="DF889" s="146" t="str">
        <f>IF(W889&lt;&gt;"AR","",INDEX('Device Refrigerant Leakage'!$E$2:$E$42,MATCH(X889,'Device Refrigerant Leakage'!$B$2:$B$42,0)))</f>
        <v/>
      </c>
      <c r="DG889" s="146" t="str">
        <f>IF(W889&lt;&gt;"AR","",INDEX('Device Refrigerant Leakage'!$F$2:$F$42,MATCH(X889,'Device Refrigerant Leakage'!$B$2:$B$42,0)))</f>
        <v/>
      </c>
      <c r="DH889" s="146" t="str">
        <f>IF(W889&lt;&gt;"AR","",INDEX('Device Refrigerant Leakage'!$G$2:$G$42,MATCH(X889,'Device Refrigerant Leakage'!$B$2:$B$42,0)))</f>
        <v/>
      </c>
      <c r="DI889" s="146" t="str">
        <f>IF(W889&lt;&gt;"AR","",J889*INDEX('Device Refrigerant Leakage'!$D$2:$D$42,MATCH(X889,'Device Refrigerant Leakage'!$B$2:$B$42,0))*DF889/2204.62*DE889)</f>
        <v/>
      </c>
      <c r="DJ889" s="146" t="str">
        <f>IF(W889&lt;&gt;"AR","",J889*(INDEX('Device Refrigerant Leakage'!$D$2:$D$42,MATCH(X889,'Device Refrigerant Leakage'!$B$2:$B$42,0))-(INDEX('Device Refrigerant Leakage'!$D$2:$D$42,MATCH(X889,'Device Refrigerant Leakage'!$B$2:$B$42,0)))*DH889*DF889)*DG889/2204.62*DE889)</f>
        <v/>
      </c>
      <c r="DK889" s="146" t="str">
        <f>IF(W889&lt;&gt;"AR","",DI889*(K889-AB889)+'Fuel Sub Calcs-Deemed'!DJ889*((K889-AB889)/INDEX('Device Refrigerant Leakage'!$C$2:$C$42,MATCH('Fuel Sub Calcs-Deemed'!X889,'Device Refrigerant Leakage'!$B$2:$B$42,0))))</f>
        <v/>
      </c>
      <c r="DM889" s="56">
        <v>875</v>
      </c>
      <c r="DN889" s="67" t="e">
        <f t="shared" si="1010"/>
        <v>#N/A</v>
      </c>
      <c r="DO889" s="45" t="e">
        <f t="shared" si="1011"/>
        <v>#N/A</v>
      </c>
      <c r="DP889" s="67" t="e">
        <f t="shared" si="1012"/>
        <v>#N/A</v>
      </c>
      <c r="DQ889" s="45" t="e">
        <f t="shared" si="1013"/>
        <v>#N/A</v>
      </c>
      <c r="DR889" s="69" t="e">
        <f t="shared" si="1014"/>
        <v>#N/A</v>
      </c>
      <c r="DS889" s="34"/>
      <c r="DT889" s="67" t="e">
        <f>((BX889*CJ889)+IF($W889=MAT_AR,(BZ889*CL889),0))*(1+Reference!$E$50+Reference!$E$51)</f>
        <v>#N/A</v>
      </c>
      <c r="DU889" s="67">
        <f>((BY889*CK889)+IF($W889=MAT_AR,(CA889*CM889),0))*(1+Reference!$G$50+Reference!$G$51)</f>
        <v>0</v>
      </c>
      <c r="DV889" s="67" t="e">
        <f t="shared" si="1015"/>
        <v>#VALUE!</v>
      </c>
      <c r="DX889" s="56">
        <v>875</v>
      </c>
      <c r="DY889" s="67">
        <f t="shared" si="1016"/>
        <v>0</v>
      </c>
      <c r="DZ889" s="45" t="e">
        <f>VLOOKUP($R889,Dropdown!$C$3:$D$4,2,FALSE)</f>
        <v>#N/A</v>
      </c>
      <c r="EA889" s="68">
        <f t="shared" si="1017"/>
        <v>0</v>
      </c>
      <c r="EB889" s="68" t="str">
        <f t="shared" si="1018"/>
        <v>N/A</v>
      </c>
      <c r="EC889" s="68">
        <f t="shared" si="1019"/>
        <v>0</v>
      </c>
      <c r="ED889" s="68" t="str">
        <f t="shared" si="1057"/>
        <v>N/A</v>
      </c>
      <c r="EF889" s="56">
        <v>875</v>
      </c>
      <c r="EG889" s="46">
        <f t="shared" si="1020"/>
        <v>0</v>
      </c>
      <c r="EH889" s="68" t="e">
        <f t="shared" si="1021"/>
        <v>#N/A</v>
      </c>
      <c r="EI889" s="68" t="e">
        <f t="shared" si="1022"/>
        <v>#N/A</v>
      </c>
      <c r="EJ889" s="68" t="e">
        <f t="shared" si="1023"/>
        <v>#N/A</v>
      </c>
      <c r="EK889" s="68" t="e">
        <f t="shared" si="1024"/>
        <v>#N/A</v>
      </c>
      <c r="EL889" s="46">
        <f t="shared" si="1025"/>
        <v>0</v>
      </c>
      <c r="EM889" s="46">
        <f t="shared" si="1026"/>
        <v>0</v>
      </c>
    </row>
    <row r="890" spans="1:143">
      <c r="A890" s="89"/>
      <c r="B890" s="89"/>
      <c r="C890" s="89"/>
      <c r="D890" s="89"/>
      <c r="E890" s="89"/>
      <c r="F890" s="89"/>
      <c r="G890" s="34"/>
      <c r="H890" s="56">
        <f t="shared" si="1027"/>
        <v>876</v>
      </c>
      <c r="I890" s="165"/>
      <c r="J890" s="163"/>
      <c r="K890" s="163"/>
      <c r="L890" s="164"/>
      <c r="M890" s="155"/>
      <c r="N890" s="155"/>
      <c r="O890" s="144"/>
      <c r="P890" s="159" t="str">
        <f>IFERROR(IF(O890&lt;&gt;"User Specified",IF(O890&lt;&gt;"", INDEX('Refrigerant GWPs'!$G$2:$G$154,MATCH(O890,'Refrigerant GWPs'!$A$2:$A$154,0)),""),U890),0)</f>
        <v/>
      </c>
      <c r="Q890" s="155"/>
      <c r="R890" s="155"/>
      <c r="S890" s="144"/>
      <c r="T890" s="159" t="str">
        <f>IF(S890&lt;&gt;"User Specified",IF(AND(S890&lt;&gt;"User Specified",S890&lt;&gt;""), INDEX('Refrigerant GWPs'!$G$2:$G$154,MATCH(S890,'Refrigerant GWPs'!$A$2:$A$154,0)),""),V890)</f>
        <v/>
      </c>
      <c r="U890" s="144"/>
      <c r="V890" s="144"/>
      <c r="W890" s="155"/>
      <c r="X890" s="155"/>
      <c r="Y890" s="144"/>
      <c r="Z890" s="159" t="str">
        <f>IF(AND(Y890&lt;&gt;"User Specified",Y890&lt;&gt;""), INDEX('Refrigerant GWPs'!$G$2:$G$154,MATCH(Y890,'Refrigerant GWPs'!$A$2:$A$154,0)),"")</f>
        <v/>
      </c>
      <c r="AA890" s="155"/>
      <c r="AB890" s="156"/>
      <c r="AC890" s="66"/>
      <c r="AD890" s="66"/>
      <c r="AE890" s="66"/>
      <c r="AF890" s="66"/>
      <c r="AG890" s="66"/>
      <c r="AH890" s="66"/>
      <c r="AI890" s="34"/>
      <c r="AJ890" s="88">
        <f t="shared" si="990"/>
        <v>0</v>
      </c>
      <c r="AK890" s="88">
        <f t="shared" si="991"/>
        <v>0</v>
      </c>
      <c r="AL890" s="88">
        <v>0</v>
      </c>
      <c r="AM890" s="88">
        <v>0</v>
      </c>
      <c r="AN890" s="81" t="str">
        <f t="shared" si="1029"/>
        <v/>
      </c>
      <c r="AO890" s="88">
        <f t="shared" si="992"/>
        <v>0</v>
      </c>
      <c r="AP890" s="88">
        <f t="shared" si="993"/>
        <v>0</v>
      </c>
      <c r="AQ890" s="81" t="str">
        <f t="shared" si="994"/>
        <v/>
      </c>
      <c r="AS890" s="41" t="b">
        <f t="shared" si="995"/>
        <v>1</v>
      </c>
      <c r="AT890" s="38">
        <f t="shared" si="996"/>
        <v>0</v>
      </c>
      <c r="AU890" s="60">
        <f t="shared" si="997"/>
        <v>0</v>
      </c>
      <c r="AV890" s="41">
        <f t="shared" si="998"/>
        <v>0</v>
      </c>
      <c r="AW890" s="41" t="b">
        <f t="shared" si="999"/>
        <v>0</v>
      </c>
      <c r="AX890" t="str">
        <f t="shared" si="1000"/>
        <v>+00</v>
      </c>
      <c r="AY890" t="str">
        <f t="shared" si="1001"/>
        <v>+00</v>
      </c>
      <c r="BA890" s="47" t="b">
        <f t="shared" si="1030"/>
        <v>1</v>
      </c>
      <c r="BB890" s="42" t="b">
        <f t="shared" si="1031"/>
        <v>1</v>
      </c>
      <c r="BC890" s="42" t="b">
        <f t="shared" si="1032"/>
        <v>0</v>
      </c>
      <c r="BD890" s="42" t="b">
        <f t="shared" si="1033"/>
        <v>0</v>
      </c>
      <c r="BE890" s="70">
        <f t="shared" si="1034"/>
        <v>0</v>
      </c>
      <c r="BF890" s="70">
        <f t="shared" si="1035"/>
        <v>0</v>
      </c>
      <c r="BG890" s="34"/>
      <c r="BI890" s="47" t="b">
        <f t="shared" si="1036"/>
        <v>1</v>
      </c>
      <c r="BJ890" s="47" t="b">
        <f t="shared" si="1037"/>
        <v>1</v>
      </c>
      <c r="BK890" s="42" t="b">
        <f t="shared" si="1038"/>
        <v>0</v>
      </c>
      <c r="BL890" s="42" t="b">
        <f t="shared" si="1039"/>
        <v>0</v>
      </c>
      <c r="BM890" s="42">
        <f t="shared" si="1040"/>
        <v>0</v>
      </c>
      <c r="BN890" s="42">
        <f t="shared" si="1041"/>
        <v>0</v>
      </c>
      <c r="BP890" t="e">
        <f t="shared" si="1042"/>
        <v>#N/A</v>
      </c>
      <c r="BQ890" t="e">
        <f t="shared" si="1043"/>
        <v>#N/A</v>
      </c>
      <c r="BR890" t="e">
        <f t="shared" si="1044"/>
        <v>#N/A</v>
      </c>
      <c r="BT890" s="60">
        <f t="shared" si="1045"/>
        <v>0</v>
      </c>
      <c r="BU890" s="60">
        <f t="shared" si="1046"/>
        <v>0</v>
      </c>
      <c r="BV890" s="60">
        <f t="shared" si="1047"/>
        <v>0</v>
      </c>
      <c r="BW890" s="60">
        <f t="shared" si="1048"/>
        <v>0</v>
      </c>
      <c r="BX890" s="60">
        <f t="shared" si="1049"/>
        <v>0</v>
      </c>
      <c r="BY890" s="60">
        <f t="shared" si="1050"/>
        <v>0</v>
      </c>
      <c r="BZ890" s="60">
        <f t="shared" si="1051"/>
        <v>0</v>
      </c>
      <c r="CA890" s="60">
        <f t="shared" si="1052"/>
        <v>0</v>
      </c>
      <c r="CB890" s="60" t="e">
        <f t="shared" si="1002"/>
        <v>#N/A</v>
      </c>
      <c r="CC890" s="60">
        <f t="shared" si="1003"/>
        <v>100000</v>
      </c>
      <c r="CD890" s="60" t="e">
        <f t="shared" si="1004"/>
        <v>#N/A</v>
      </c>
      <c r="CE890" s="60">
        <f t="shared" si="1005"/>
        <v>100000</v>
      </c>
      <c r="CF890" s="83" t="e">
        <f t="shared" si="1053"/>
        <v>#N/A</v>
      </c>
      <c r="CG890" s="83">
        <f t="shared" si="1054"/>
        <v>0</v>
      </c>
      <c r="CH890" s="83" t="e">
        <f t="shared" si="1055"/>
        <v>#N/A</v>
      </c>
      <c r="CI890" s="83">
        <f t="shared" si="1056"/>
        <v>0</v>
      </c>
      <c r="CJ890" s="86" t="e">
        <f t="shared" si="1006"/>
        <v>#N/A</v>
      </c>
      <c r="CK890" s="82">
        <f t="shared" si="1007"/>
        <v>5.3070370403969858E-3</v>
      </c>
      <c r="CL890" s="82" t="e">
        <f t="shared" si="1008"/>
        <v>#N/A</v>
      </c>
      <c r="CM890" s="82">
        <f t="shared" si="1009"/>
        <v>5.3070370403969858E-3</v>
      </c>
      <c r="CO890" s="149" t="str">
        <f>IF($I890&lt;&gt;"",IF(O890="User Specified",U890,INDEX('Refrigerant GWPs'!$G$2:$G$156,MATCH(O890,'Refrigerant GWPs'!$A$2:$A$156,0))),"")</f>
        <v/>
      </c>
      <c r="CP890" s="138" t="str">
        <f>IF($I890&lt;&gt;"",INDEX('Device Refrigerant Leakage'!$E$2:$E$42,MATCH($M890,'Device Refrigerant Leakage'!$B$2:$B$42,0)),"")</f>
        <v/>
      </c>
      <c r="CQ890" s="138" t="str">
        <f>IF($I890&lt;&gt;"",INDEX('Device Refrigerant Leakage'!$F$2:$F$42,MATCH($M890,'Device Refrigerant Leakage'!$B$2:$B$42,0)),"")</f>
        <v/>
      </c>
      <c r="CR890" s="145" t="str">
        <f>IF($I890&lt;&gt;"",INDEX('Device Refrigerant Leakage'!$G$2:$G$42,MATCH($M890,'Device Refrigerant Leakage'!$B$2:$B$42,0)),"")</f>
        <v/>
      </c>
      <c r="CS890" s="145" t="str">
        <f>IF($I890&lt;&gt;"",INDEX('Device Refrigerant Leakage'!$D$2:$D$42,MATCH($M890,'Device Refrigerant Leakage'!$B$2:$B$42,0))*CP890/2204.62*CO890,"")</f>
        <v/>
      </c>
      <c r="CT890" s="145" t="str">
        <f>IF($I890&lt;&gt;"",J890*(INDEX('Device Refrigerant Leakage'!$D$2:$D$42,MATCH($M890,'Device Refrigerant Leakage'!$B$2:$B$42,0))-(INDEX('Device Refrigerant Leakage'!$D$2:$D$42,MATCH($M890,'Device Refrigerant Leakage'!$B$2:$B$42,0)))*CR890*CP890)*CQ890/2204.62*CO890,"")</f>
        <v/>
      </c>
      <c r="CU890" s="135" t="str">
        <f>IF($I890&lt;&gt;"",J890*IF(W890&lt;&gt;"AR",(CS890*K890)+CT890,(CS890*AB890)+CT890*(AB890/INDEX('Device Refrigerant Leakage'!$C$2:$C$42,MATCH($M890,'Device Refrigerant Leakage'!$B$2:$B$42,0)))),"")</f>
        <v/>
      </c>
      <c r="CW890" s="135" t="str">
        <f>IF($I890&lt;&gt;"",IF(S890="User Specified",V890,INDEX('Refrigerant GWPs'!$G$2:$G$156,MATCH(S890,'Refrigerant GWPs'!$A$2:$A$157,0))),"")</f>
        <v/>
      </c>
      <c r="CX890" s="138" t="str">
        <f>IF($I890&lt;&gt;"",INDEX('Device Refrigerant Leakage'!$E$2:$E$42,MATCH($Q890,'Device Refrigerant Leakage'!$B$2:$B$42,0)),"")</f>
        <v/>
      </c>
      <c r="CY890" s="138" t="str">
        <f>IF($I890&lt;&gt;"",INDEX('Device Refrigerant Leakage'!$F$2:$F$42,MATCH($Q890,'Device Refrigerant Leakage'!$B$2:$B$42,0)),"")</f>
        <v/>
      </c>
      <c r="CZ890" s="145" t="str">
        <f>IF($I890&lt;&gt;"",INDEX('Device Refrigerant Leakage'!$G$2:$G$42,MATCH($Q890,'Device Refrigerant Leakage'!$B$2:$B$42,0)),"")</f>
        <v/>
      </c>
      <c r="DA890" s="145" t="str">
        <f>IF($I890&lt;&gt;"",J890*INDEX('Device Refrigerant Leakage'!$D$2:$D$42,MATCH($Q890,'Device Refrigerant Leakage'!$B$2:$B$42,0))*CX890/2204.62*CW890,"")</f>
        <v/>
      </c>
      <c r="DB890" s="145" t="str">
        <f>IF($I890&lt;&gt;"",J890*(INDEX('Device Refrigerant Leakage'!$D$2:$D$42,MATCH($Q890,'Device Refrigerant Leakage'!$B$2:$B$42,0))-(INDEX('Device Refrigerant Leakage'!$D$2:$D$42,MATCH($Q890,'Device Refrigerant Leakage'!$B$2:$B$42,0)))*CZ890*CX890)*CY890/2204.62*CW890,"")</f>
        <v/>
      </c>
      <c r="DC890" s="135" t="str">
        <f t="shared" si="1028"/>
        <v/>
      </c>
      <c r="DE890" s="146" t="str">
        <f>IF(W890&lt;&gt;"AR","",IF(Y890="User Specified", AA890, INDEX('Refrigerant GWPs'!$G$2:$G$154,MATCH(Y890,'Refrigerant GWPs'!$A$2:$A$154,0))))</f>
        <v/>
      </c>
      <c r="DF890" s="146" t="str">
        <f>IF(W890&lt;&gt;"AR","",INDEX('Device Refrigerant Leakage'!$E$2:$E$42,MATCH(X890,'Device Refrigerant Leakage'!$B$2:$B$42,0)))</f>
        <v/>
      </c>
      <c r="DG890" s="146" t="str">
        <f>IF(W890&lt;&gt;"AR","",INDEX('Device Refrigerant Leakage'!$F$2:$F$42,MATCH(X890,'Device Refrigerant Leakage'!$B$2:$B$42,0)))</f>
        <v/>
      </c>
      <c r="DH890" s="146" t="str">
        <f>IF(W890&lt;&gt;"AR","",INDEX('Device Refrigerant Leakage'!$G$2:$G$42,MATCH(X890,'Device Refrigerant Leakage'!$B$2:$B$42,0)))</f>
        <v/>
      </c>
      <c r="DI890" s="146" t="str">
        <f>IF(W890&lt;&gt;"AR","",J890*INDEX('Device Refrigerant Leakage'!$D$2:$D$42,MATCH(X890,'Device Refrigerant Leakage'!$B$2:$B$42,0))*DF890/2204.62*DE890)</f>
        <v/>
      </c>
      <c r="DJ890" s="146" t="str">
        <f>IF(W890&lt;&gt;"AR","",J890*(INDEX('Device Refrigerant Leakage'!$D$2:$D$42,MATCH(X890,'Device Refrigerant Leakage'!$B$2:$B$42,0))-(INDEX('Device Refrigerant Leakage'!$D$2:$D$42,MATCH(X890,'Device Refrigerant Leakage'!$B$2:$B$42,0)))*DH890*DF890)*DG890/2204.62*DE890)</f>
        <v/>
      </c>
      <c r="DK890" s="146" t="str">
        <f>IF(W890&lt;&gt;"AR","",DI890*(K890-AB890)+'Fuel Sub Calcs-Deemed'!DJ890*((K890-AB890)/INDEX('Device Refrigerant Leakage'!$C$2:$C$42,MATCH('Fuel Sub Calcs-Deemed'!X890,'Device Refrigerant Leakage'!$B$2:$B$42,0))))</f>
        <v/>
      </c>
      <c r="DM890" s="56">
        <v>876</v>
      </c>
      <c r="DN890" s="67" t="e">
        <f t="shared" si="1010"/>
        <v>#N/A</v>
      </c>
      <c r="DO890" s="45" t="e">
        <f t="shared" si="1011"/>
        <v>#N/A</v>
      </c>
      <c r="DP890" s="67" t="e">
        <f t="shared" si="1012"/>
        <v>#N/A</v>
      </c>
      <c r="DQ890" s="45" t="e">
        <f t="shared" si="1013"/>
        <v>#N/A</v>
      </c>
      <c r="DR890" s="69" t="e">
        <f t="shared" si="1014"/>
        <v>#N/A</v>
      </c>
      <c r="DS890" s="34"/>
      <c r="DT890" s="67" t="e">
        <f>((BX890*CJ890)+IF($W890=MAT_AR,(BZ890*CL890),0))*(1+Reference!$E$50+Reference!$E$51)</f>
        <v>#N/A</v>
      </c>
      <c r="DU890" s="67">
        <f>((BY890*CK890)+IF($W890=MAT_AR,(CA890*CM890),0))*(1+Reference!$G$50+Reference!$G$51)</f>
        <v>0</v>
      </c>
      <c r="DV890" s="67" t="e">
        <f t="shared" si="1015"/>
        <v>#VALUE!</v>
      </c>
      <c r="DX890" s="56">
        <v>876</v>
      </c>
      <c r="DY890" s="67">
        <f t="shared" si="1016"/>
        <v>0</v>
      </c>
      <c r="DZ890" s="45" t="e">
        <f>VLOOKUP($R890,Dropdown!$C$3:$D$4,2,FALSE)</f>
        <v>#N/A</v>
      </c>
      <c r="EA890" s="68">
        <f t="shared" si="1017"/>
        <v>0</v>
      </c>
      <c r="EB890" s="68" t="str">
        <f t="shared" si="1018"/>
        <v>N/A</v>
      </c>
      <c r="EC890" s="68">
        <f t="shared" si="1019"/>
        <v>0</v>
      </c>
      <c r="ED890" s="68" t="str">
        <f t="shared" si="1057"/>
        <v>N/A</v>
      </c>
      <c r="EF890" s="56">
        <v>876</v>
      </c>
      <c r="EG890" s="46">
        <f t="shared" si="1020"/>
        <v>0</v>
      </c>
      <c r="EH890" s="68" t="e">
        <f t="shared" si="1021"/>
        <v>#N/A</v>
      </c>
      <c r="EI890" s="68" t="e">
        <f t="shared" si="1022"/>
        <v>#N/A</v>
      </c>
      <c r="EJ890" s="68" t="e">
        <f t="shared" si="1023"/>
        <v>#N/A</v>
      </c>
      <c r="EK890" s="68" t="e">
        <f t="shared" si="1024"/>
        <v>#N/A</v>
      </c>
      <c r="EL890" s="46">
        <f t="shared" si="1025"/>
        <v>0</v>
      </c>
      <c r="EM890" s="46">
        <f t="shared" si="1026"/>
        <v>0</v>
      </c>
    </row>
    <row r="891" spans="1:143">
      <c r="A891" s="89"/>
      <c r="B891" s="89"/>
      <c r="C891" s="89"/>
      <c r="D891" s="89"/>
      <c r="E891" s="89"/>
      <c r="F891" s="89"/>
      <c r="G891" s="34"/>
      <c r="H891" s="56">
        <f t="shared" si="1027"/>
        <v>877</v>
      </c>
      <c r="I891" s="165"/>
      <c r="J891" s="163"/>
      <c r="K891" s="163"/>
      <c r="L891" s="164"/>
      <c r="M891" s="155"/>
      <c r="N891" s="155"/>
      <c r="O891" s="144"/>
      <c r="P891" s="159" t="str">
        <f>IFERROR(IF(O891&lt;&gt;"User Specified",IF(O891&lt;&gt;"", INDEX('Refrigerant GWPs'!$G$2:$G$154,MATCH(O891,'Refrigerant GWPs'!$A$2:$A$154,0)),""),U891),0)</f>
        <v/>
      </c>
      <c r="Q891" s="155"/>
      <c r="R891" s="155"/>
      <c r="S891" s="144"/>
      <c r="T891" s="159" t="str">
        <f>IF(S891&lt;&gt;"User Specified",IF(AND(S891&lt;&gt;"User Specified",S891&lt;&gt;""), INDEX('Refrigerant GWPs'!$G$2:$G$154,MATCH(S891,'Refrigerant GWPs'!$A$2:$A$154,0)),""),V891)</f>
        <v/>
      </c>
      <c r="U891" s="144"/>
      <c r="V891" s="144"/>
      <c r="W891" s="155"/>
      <c r="X891" s="155"/>
      <c r="Y891" s="144"/>
      <c r="Z891" s="159" t="str">
        <f>IF(AND(Y891&lt;&gt;"User Specified",Y891&lt;&gt;""), INDEX('Refrigerant GWPs'!$G$2:$G$154,MATCH(Y891,'Refrigerant GWPs'!$A$2:$A$154,0)),"")</f>
        <v/>
      </c>
      <c r="AA891" s="155"/>
      <c r="AB891" s="156"/>
      <c r="AC891" s="66"/>
      <c r="AD891" s="66"/>
      <c r="AE891" s="66"/>
      <c r="AF891" s="66"/>
      <c r="AG891" s="66"/>
      <c r="AH891" s="66"/>
      <c r="AI891" s="34"/>
      <c r="AJ891" s="88">
        <f t="shared" si="990"/>
        <v>0</v>
      </c>
      <c r="AK891" s="88">
        <f t="shared" si="991"/>
        <v>0</v>
      </c>
      <c r="AL891" s="88">
        <v>0</v>
      </c>
      <c r="AM891" s="88">
        <v>0</v>
      </c>
      <c r="AN891" s="81" t="str">
        <f t="shared" si="1029"/>
        <v/>
      </c>
      <c r="AO891" s="88">
        <f t="shared" si="992"/>
        <v>0</v>
      </c>
      <c r="AP891" s="88">
        <f t="shared" si="993"/>
        <v>0</v>
      </c>
      <c r="AQ891" s="81" t="str">
        <f t="shared" si="994"/>
        <v/>
      </c>
      <c r="AS891" s="41" t="b">
        <f t="shared" si="995"/>
        <v>1</v>
      </c>
      <c r="AT891" s="38">
        <f t="shared" si="996"/>
        <v>0</v>
      </c>
      <c r="AU891" s="60">
        <f t="shared" si="997"/>
        <v>0</v>
      </c>
      <c r="AV891" s="41">
        <f t="shared" si="998"/>
        <v>0</v>
      </c>
      <c r="AW891" s="41" t="b">
        <f t="shared" si="999"/>
        <v>0</v>
      </c>
      <c r="AX891" t="str">
        <f t="shared" si="1000"/>
        <v>+00</v>
      </c>
      <c r="AY891" t="str">
        <f t="shared" si="1001"/>
        <v>+00</v>
      </c>
      <c r="BA891" s="47" t="b">
        <f t="shared" si="1030"/>
        <v>1</v>
      </c>
      <c r="BB891" s="42" t="b">
        <f t="shared" si="1031"/>
        <v>1</v>
      </c>
      <c r="BC891" s="42" t="b">
        <f t="shared" si="1032"/>
        <v>0</v>
      </c>
      <c r="BD891" s="42" t="b">
        <f t="shared" si="1033"/>
        <v>0</v>
      </c>
      <c r="BE891" s="70">
        <f t="shared" si="1034"/>
        <v>0</v>
      </c>
      <c r="BF891" s="70">
        <f t="shared" si="1035"/>
        <v>0</v>
      </c>
      <c r="BG891" s="34"/>
      <c r="BI891" s="47" t="b">
        <f t="shared" si="1036"/>
        <v>1</v>
      </c>
      <c r="BJ891" s="47" t="b">
        <f t="shared" si="1037"/>
        <v>1</v>
      </c>
      <c r="BK891" s="42" t="b">
        <f t="shared" si="1038"/>
        <v>0</v>
      </c>
      <c r="BL891" s="42" t="b">
        <f t="shared" si="1039"/>
        <v>0</v>
      </c>
      <c r="BM891" s="42">
        <f t="shared" si="1040"/>
        <v>0</v>
      </c>
      <c r="BN891" s="42">
        <f t="shared" si="1041"/>
        <v>0</v>
      </c>
      <c r="BP891" t="e">
        <f t="shared" si="1042"/>
        <v>#N/A</v>
      </c>
      <c r="BQ891" t="e">
        <f t="shared" si="1043"/>
        <v>#N/A</v>
      </c>
      <c r="BR891" t="e">
        <f t="shared" si="1044"/>
        <v>#N/A</v>
      </c>
      <c r="BT891" s="60">
        <f t="shared" si="1045"/>
        <v>0</v>
      </c>
      <c r="BU891" s="60">
        <f t="shared" si="1046"/>
        <v>0</v>
      </c>
      <c r="BV891" s="60">
        <f t="shared" si="1047"/>
        <v>0</v>
      </c>
      <c r="BW891" s="60">
        <f t="shared" si="1048"/>
        <v>0</v>
      </c>
      <c r="BX891" s="60">
        <f t="shared" si="1049"/>
        <v>0</v>
      </c>
      <c r="BY891" s="60">
        <f t="shared" si="1050"/>
        <v>0</v>
      </c>
      <c r="BZ891" s="60">
        <f t="shared" si="1051"/>
        <v>0</v>
      </c>
      <c r="CA891" s="60">
        <f t="shared" si="1052"/>
        <v>0</v>
      </c>
      <c r="CB891" s="60" t="e">
        <f t="shared" si="1002"/>
        <v>#N/A</v>
      </c>
      <c r="CC891" s="60">
        <f t="shared" si="1003"/>
        <v>100000</v>
      </c>
      <c r="CD891" s="60" t="e">
        <f t="shared" si="1004"/>
        <v>#N/A</v>
      </c>
      <c r="CE891" s="60">
        <f t="shared" si="1005"/>
        <v>100000</v>
      </c>
      <c r="CF891" s="83" t="e">
        <f t="shared" si="1053"/>
        <v>#N/A</v>
      </c>
      <c r="CG891" s="83">
        <f t="shared" si="1054"/>
        <v>0</v>
      </c>
      <c r="CH891" s="83" t="e">
        <f t="shared" si="1055"/>
        <v>#N/A</v>
      </c>
      <c r="CI891" s="83">
        <f t="shared" si="1056"/>
        <v>0</v>
      </c>
      <c r="CJ891" s="86" t="e">
        <f t="shared" si="1006"/>
        <v>#N/A</v>
      </c>
      <c r="CK891" s="82">
        <f t="shared" si="1007"/>
        <v>5.3070370403969858E-3</v>
      </c>
      <c r="CL891" s="82" t="e">
        <f t="shared" si="1008"/>
        <v>#N/A</v>
      </c>
      <c r="CM891" s="82">
        <f t="shared" si="1009"/>
        <v>5.3070370403969858E-3</v>
      </c>
      <c r="CO891" s="149" t="str">
        <f>IF($I891&lt;&gt;"",IF(O891="User Specified",U891,INDEX('Refrigerant GWPs'!$G$2:$G$156,MATCH(O891,'Refrigerant GWPs'!$A$2:$A$156,0))),"")</f>
        <v/>
      </c>
      <c r="CP891" s="138" t="str">
        <f>IF($I891&lt;&gt;"",INDEX('Device Refrigerant Leakage'!$E$2:$E$42,MATCH($M891,'Device Refrigerant Leakage'!$B$2:$B$42,0)),"")</f>
        <v/>
      </c>
      <c r="CQ891" s="138" t="str">
        <f>IF($I891&lt;&gt;"",INDEX('Device Refrigerant Leakage'!$F$2:$F$42,MATCH($M891,'Device Refrigerant Leakage'!$B$2:$B$42,0)),"")</f>
        <v/>
      </c>
      <c r="CR891" s="145" t="str">
        <f>IF($I891&lt;&gt;"",INDEX('Device Refrigerant Leakage'!$G$2:$G$42,MATCH($M891,'Device Refrigerant Leakage'!$B$2:$B$42,0)),"")</f>
        <v/>
      </c>
      <c r="CS891" s="145" t="str">
        <f>IF($I891&lt;&gt;"",INDEX('Device Refrigerant Leakage'!$D$2:$D$42,MATCH($M891,'Device Refrigerant Leakage'!$B$2:$B$42,0))*CP891/2204.62*CO891,"")</f>
        <v/>
      </c>
      <c r="CT891" s="145" t="str">
        <f>IF($I891&lt;&gt;"",J891*(INDEX('Device Refrigerant Leakage'!$D$2:$D$42,MATCH($M891,'Device Refrigerant Leakage'!$B$2:$B$42,0))-(INDEX('Device Refrigerant Leakage'!$D$2:$D$42,MATCH($M891,'Device Refrigerant Leakage'!$B$2:$B$42,0)))*CR891*CP891)*CQ891/2204.62*CO891,"")</f>
        <v/>
      </c>
      <c r="CU891" s="135" t="str">
        <f>IF($I891&lt;&gt;"",J891*IF(W891&lt;&gt;"AR",(CS891*K891)+CT891,(CS891*AB891)+CT891*(AB891/INDEX('Device Refrigerant Leakage'!$C$2:$C$42,MATCH($M891,'Device Refrigerant Leakage'!$B$2:$B$42,0)))),"")</f>
        <v/>
      </c>
      <c r="CW891" s="135" t="str">
        <f>IF($I891&lt;&gt;"",IF(S891="User Specified",V891,INDEX('Refrigerant GWPs'!$G$2:$G$156,MATCH(S891,'Refrigerant GWPs'!$A$2:$A$157,0))),"")</f>
        <v/>
      </c>
      <c r="CX891" s="138" t="str">
        <f>IF($I891&lt;&gt;"",INDEX('Device Refrigerant Leakage'!$E$2:$E$42,MATCH($Q891,'Device Refrigerant Leakage'!$B$2:$B$42,0)),"")</f>
        <v/>
      </c>
      <c r="CY891" s="138" t="str">
        <f>IF($I891&lt;&gt;"",INDEX('Device Refrigerant Leakage'!$F$2:$F$42,MATCH($Q891,'Device Refrigerant Leakage'!$B$2:$B$42,0)),"")</f>
        <v/>
      </c>
      <c r="CZ891" s="145" t="str">
        <f>IF($I891&lt;&gt;"",INDEX('Device Refrigerant Leakage'!$G$2:$G$42,MATCH($Q891,'Device Refrigerant Leakage'!$B$2:$B$42,0)),"")</f>
        <v/>
      </c>
      <c r="DA891" s="145" t="str">
        <f>IF($I891&lt;&gt;"",J891*INDEX('Device Refrigerant Leakage'!$D$2:$D$42,MATCH($Q891,'Device Refrigerant Leakage'!$B$2:$B$42,0))*CX891/2204.62*CW891,"")</f>
        <v/>
      </c>
      <c r="DB891" s="145" t="str">
        <f>IF($I891&lt;&gt;"",J891*(INDEX('Device Refrigerant Leakage'!$D$2:$D$42,MATCH($Q891,'Device Refrigerant Leakage'!$B$2:$B$42,0))-(INDEX('Device Refrigerant Leakage'!$D$2:$D$42,MATCH($Q891,'Device Refrigerant Leakage'!$B$2:$B$42,0)))*CZ891*CX891)*CY891/2204.62*CW891,"")</f>
        <v/>
      </c>
      <c r="DC891" s="135" t="str">
        <f t="shared" si="1028"/>
        <v/>
      </c>
      <c r="DE891" s="146" t="str">
        <f>IF(W891&lt;&gt;"AR","",IF(Y891="User Specified", AA891, INDEX('Refrigerant GWPs'!$G$2:$G$154,MATCH(Y891,'Refrigerant GWPs'!$A$2:$A$154,0))))</f>
        <v/>
      </c>
      <c r="DF891" s="146" t="str">
        <f>IF(W891&lt;&gt;"AR","",INDEX('Device Refrigerant Leakage'!$E$2:$E$42,MATCH(X891,'Device Refrigerant Leakage'!$B$2:$B$42,0)))</f>
        <v/>
      </c>
      <c r="DG891" s="146" t="str">
        <f>IF(W891&lt;&gt;"AR","",INDEX('Device Refrigerant Leakage'!$F$2:$F$42,MATCH(X891,'Device Refrigerant Leakage'!$B$2:$B$42,0)))</f>
        <v/>
      </c>
      <c r="DH891" s="146" t="str">
        <f>IF(W891&lt;&gt;"AR","",INDEX('Device Refrigerant Leakage'!$G$2:$G$42,MATCH(X891,'Device Refrigerant Leakage'!$B$2:$B$42,0)))</f>
        <v/>
      </c>
      <c r="DI891" s="146" t="str">
        <f>IF(W891&lt;&gt;"AR","",J891*INDEX('Device Refrigerant Leakage'!$D$2:$D$42,MATCH(X891,'Device Refrigerant Leakage'!$B$2:$B$42,0))*DF891/2204.62*DE891)</f>
        <v/>
      </c>
      <c r="DJ891" s="146" t="str">
        <f>IF(W891&lt;&gt;"AR","",J891*(INDEX('Device Refrigerant Leakage'!$D$2:$D$42,MATCH(X891,'Device Refrigerant Leakage'!$B$2:$B$42,0))-(INDEX('Device Refrigerant Leakage'!$D$2:$D$42,MATCH(X891,'Device Refrigerant Leakage'!$B$2:$B$42,0)))*DH891*DF891)*DG891/2204.62*DE891)</f>
        <v/>
      </c>
      <c r="DK891" s="146" t="str">
        <f>IF(W891&lt;&gt;"AR","",DI891*(K891-AB891)+'Fuel Sub Calcs-Deemed'!DJ891*((K891-AB891)/INDEX('Device Refrigerant Leakage'!$C$2:$C$42,MATCH('Fuel Sub Calcs-Deemed'!X891,'Device Refrigerant Leakage'!$B$2:$B$42,0))))</f>
        <v/>
      </c>
      <c r="DM891" s="56">
        <v>877</v>
      </c>
      <c r="DN891" s="67" t="e">
        <f t="shared" si="1010"/>
        <v>#N/A</v>
      </c>
      <c r="DO891" s="45" t="e">
        <f t="shared" si="1011"/>
        <v>#N/A</v>
      </c>
      <c r="DP891" s="67" t="e">
        <f t="shared" si="1012"/>
        <v>#N/A</v>
      </c>
      <c r="DQ891" s="45" t="e">
        <f t="shared" si="1013"/>
        <v>#N/A</v>
      </c>
      <c r="DR891" s="69" t="e">
        <f t="shared" si="1014"/>
        <v>#N/A</v>
      </c>
      <c r="DS891" s="34"/>
      <c r="DT891" s="67" t="e">
        <f>((BX891*CJ891)+IF($W891=MAT_AR,(BZ891*CL891),0))*(1+Reference!$E$50+Reference!$E$51)</f>
        <v>#N/A</v>
      </c>
      <c r="DU891" s="67">
        <f>((BY891*CK891)+IF($W891=MAT_AR,(CA891*CM891),0))*(1+Reference!$G$50+Reference!$G$51)</f>
        <v>0</v>
      </c>
      <c r="DV891" s="67" t="e">
        <f t="shared" si="1015"/>
        <v>#VALUE!</v>
      </c>
      <c r="DX891" s="56">
        <v>877</v>
      </c>
      <c r="DY891" s="67">
        <f t="shared" si="1016"/>
        <v>0</v>
      </c>
      <c r="DZ891" s="45" t="e">
        <f>VLOOKUP($R891,Dropdown!$C$3:$D$4,2,FALSE)</f>
        <v>#N/A</v>
      </c>
      <c r="EA891" s="68">
        <f t="shared" si="1017"/>
        <v>0</v>
      </c>
      <c r="EB891" s="68" t="str">
        <f t="shared" si="1018"/>
        <v>N/A</v>
      </c>
      <c r="EC891" s="68">
        <f t="shared" si="1019"/>
        <v>0</v>
      </c>
      <c r="ED891" s="68" t="str">
        <f t="shared" si="1057"/>
        <v>N/A</v>
      </c>
      <c r="EF891" s="56">
        <v>877</v>
      </c>
      <c r="EG891" s="46">
        <f t="shared" si="1020"/>
        <v>0</v>
      </c>
      <c r="EH891" s="68" t="e">
        <f t="shared" si="1021"/>
        <v>#N/A</v>
      </c>
      <c r="EI891" s="68" t="e">
        <f t="shared" si="1022"/>
        <v>#N/A</v>
      </c>
      <c r="EJ891" s="68" t="e">
        <f t="shared" si="1023"/>
        <v>#N/A</v>
      </c>
      <c r="EK891" s="68" t="e">
        <f t="shared" si="1024"/>
        <v>#N/A</v>
      </c>
      <c r="EL891" s="46">
        <f t="shared" si="1025"/>
        <v>0</v>
      </c>
      <c r="EM891" s="46">
        <f t="shared" si="1026"/>
        <v>0</v>
      </c>
    </row>
    <row r="892" spans="1:143">
      <c r="A892" s="89"/>
      <c r="B892" s="89"/>
      <c r="C892" s="89"/>
      <c r="D892" s="89"/>
      <c r="E892" s="89"/>
      <c r="F892" s="89"/>
      <c r="G892" s="34"/>
      <c r="H892" s="56">
        <f t="shared" si="1027"/>
        <v>878</v>
      </c>
      <c r="I892" s="165"/>
      <c r="J892" s="163"/>
      <c r="K892" s="163"/>
      <c r="L892" s="164"/>
      <c r="M892" s="155"/>
      <c r="N892" s="155"/>
      <c r="O892" s="144"/>
      <c r="P892" s="159" t="str">
        <f>IFERROR(IF(O892&lt;&gt;"User Specified",IF(O892&lt;&gt;"", INDEX('Refrigerant GWPs'!$G$2:$G$154,MATCH(O892,'Refrigerant GWPs'!$A$2:$A$154,0)),""),U892),0)</f>
        <v/>
      </c>
      <c r="Q892" s="155"/>
      <c r="R892" s="155"/>
      <c r="S892" s="144"/>
      <c r="T892" s="159" t="str">
        <f>IF(S892&lt;&gt;"User Specified",IF(AND(S892&lt;&gt;"User Specified",S892&lt;&gt;""), INDEX('Refrigerant GWPs'!$G$2:$G$154,MATCH(S892,'Refrigerant GWPs'!$A$2:$A$154,0)),""),V892)</f>
        <v/>
      </c>
      <c r="U892" s="144"/>
      <c r="V892" s="144"/>
      <c r="W892" s="155"/>
      <c r="X892" s="155"/>
      <c r="Y892" s="144"/>
      <c r="Z892" s="159" t="str">
        <f>IF(AND(Y892&lt;&gt;"User Specified",Y892&lt;&gt;""), INDEX('Refrigerant GWPs'!$G$2:$G$154,MATCH(Y892,'Refrigerant GWPs'!$A$2:$A$154,0)),"")</f>
        <v/>
      </c>
      <c r="AA892" s="155"/>
      <c r="AB892" s="156"/>
      <c r="AC892" s="66"/>
      <c r="AD892" s="66"/>
      <c r="AE892" s="66"/>
      <c r="AF892" s="66"/>
      <c r="AG892" s="66"/>
      <c r="AH892" s="66"/>
      <c r="AI892" s="34"/>
      <c r="AJ892" s="88">
        <f t="shared" si="990"/>
        <v>0</v>
      </c>
      <c r="AK892" s="88">
        <f t="shared" si="991"/>
        <v>0</v>
      </c>
      <c r="AL892" s="88">
        <v>0</v>
      </c>
      <c r="AM892" s="88">
        <v>0</v>
      </c>
      <c r="AN892" s="81" t="str">
        <f t="shared" si="1029"/>
        <v/>
      </c>
      <c r="AO892" s="88">
        <f t="shared" si="992"/>
        <v>0</v>
      </c>
      <c r="AP892" s="88">
        <f t="shared" si="993"/>
        <v>0</v>
      </c>
      <c r="AQ892" s="81" t="str">
        <f t="shared" si="994"/>
        <v/>
      </c>
      <c r="AS892" s="41" t="b">
        <f t="shared" si="995"/>
        <v>1</v>
      </c>
      <c r="AT892" s="38">
        <f t="shared" si="996"/>
        <v>0</v>
      </c>
      <c r="AU892" s="60">
        <f t="shared" si="997"/>
        <v>0</v>
      </c>
      <c r="AV892" s="41">
        <f t="shared" si="998"/>
        <v>0</v>
      </c>
      <c r="AW892" s="41" t="b">
        <f t="shared" si="999"/>
        <v>0</v>
      </c>
      <c r="AX892" t="str">
        <f t="shared" si="1000"/>
        <v>+00</v>
      </c>
      <c r="AY892" t="str">
        <f t="shared" si="1001"/>
        <v>+00</v>
      </c>
      <c r="BA892" s="47" t="b">
        <f t="shared" si="1030"/>
        <v>1</v>
      </c>
      <c r="BB892" s="42" t="b">
        <f t="shared" si="1031"/>
        <v>1</v>
      </c>
      <c r="BC892" s="42" t="b">
        <f t="shared" si="1032"/>
        <v>0</v>
      </c>
      <c r="BD892" s="42" t="b">
        <f t="shared" si="1033"/>
        <v>0</v>
      </c>
      <c r="BE892" s="70">
        <f t="shared" si="1034"/>
        <v>0</v>
      </c>
      <c r="BF892" s="70">
        <f t="shared" si="1035"/>
        <v>0</v>
      </c>
      <c r="BG892" s="34"/>
      <c r="BI892" s="47" t="b">
        <f t="shared" si="1036"/>
        <v>1</v>
      </c>
      <c r="BJ892" s="47" t="b">
        <f t="shared" si="1037"/>
        <v>1</v>
      </c>
      <c r="BK892" s="42" t="b">
        <f t="shared" si="1038"/>
        <v>0</v>
      </c>
      <c r="BL892" s="42" t="b">
        <f t="shared" si="1039"/>
        <v>0</v>
      </c>
      <c r="BM892" s="42">
        <f t="shared" si="1040"/>
        <v>0</v>
      </c>
      <c r="BN892" s="42">
        <f t="shared" si="1041"/>
        <v>0</v>
      </c>
      <c r="BP892" t="e">
        <f t="shared" si="1042"/>
        <v>#N/A</v>
      </c>
      <c r="BQ892" t="e">
        <f t="shared" si="1043"/>
        <v>#N/A</v>
      </c>
      <c r="BR892" t="e">
        <f t="shared" si="1044"/>
        <v>#N/A</v>
      </c>
      <c r="BT892" s="60">
        <f t="shared" si="1045"/>
        <v>0</v>
      </c>
      <c r="BU892" s="60">
        <f t="shared" si="1046"/>
        <v>0</v>
      </c>
      <c r="BV892" s="60">
        <f t="shared" si="1047"/>
        <v>0</v>
      </c>
      <c r="BW892" s="60">
        <f t="shared" si="1048"/>
        <v>0</v>
      </c>
      <c r="BX892" s="60">
        <f t="shared" si="1049"/>
        <v>0</v>
      </c>
      <c r="BY892" s="60">
        <f t="shared" si="1050"/>
        <v>0</v>
      </c>
      <c r="BZ892" s="60">
        <f t="shared" si="1051"/>
        <v>0</v>
      </c>
      <c r="CA892" s="60">
        <f t="shared" si="1052"/>
        <v>0</v>
      </c>
      <c r="CB892" s="60" t="e">
        <f t="shared" si="1002"/>
        <v>#N/A</v>
      </c>
      <c r="CC892" s="60">
        <f t="shared" si="1003"/>
        <v>100000</v>
      </c>
      <c r="CD892" s="60" t="e">
        <f t="shared" si="1004"/>
        <v>#N/A</v>
      </c>
      <c r="CE892" s="60">
        <f t="shared" si="1005"/>
        <v>100000</v>
      </c>
      <c r="CF892" s="83" t="e">
        <f t="shared" si="1053"/>
        <v>#N/A</v>
      </c>
      <c r="CG892" s="83">
        <f t="shared" si="1054"/>
        <v>0</v>
      </c>
      <c r="CH892" s="83" t="e">
        <f t="shared" si="1055"/>
        <v>#N/A</v>
      </c>
      <c r="CI892" s="83">
        <f t="shared" si="1056"/>
        <v>0</v>
      </c>
      <c r="CJ892" s="86" t="e">
        <f t="shared" si="1006"/>
        <v>#N/A</v>
      </c>
      <c r="CK892" s="82">
        <f t="shared" si="1007"/>
        <v>5.3070370403969858E-3</v>
      </c>
      <c r="CL892" s="82" t="e">
        <f t="shared" si="1008"/>
        <v>#N/A</v>
      </c>
      <c r="CM892" s="82">
        <f t="shared" si="1009"/>
        <v>5.3070370403969858E-3</v>
      </c>
      <c r="CO892" s="149" t="str">
        <f>IF($I892&lt;&gt;"",IF(O892="User Specified",U892,INDEX('Refrigerant GWPs'!$G$2:$G$156,MATCH(O892,'Refrigerant GWPs'!$A$2:$A$156,0))),"")</f>
        <v/>
      </c>
      <c r="CP892" s="138" t="str">
        <f>IF($I892&lt;&gt;"",INDEX('Device Refrigerant Leakage'!$E$2:$E$42,MATCH($M892,'Device Refrigerant Leakage'!$B$2:$B$42,0)),"")</f>
        <v/>
      </c>
      <c r="CQ892" s="138" t="str">
        <f>IF($I892&lt;&gt;"",INDEX('Device Refrigerant Leakage'!$F$2:$F$42,MATCH($M892,'Device Refrigerant Leakage'!$B$2:$B$42,0)),"")</f>
        <v/>
      </c>
      <c r="CR892" s="145" t="str">
        <f>IF($I892&lt;&gt;"",INDEX('Device Refrigerant Leakage'!$G$2:$G$42,MATCH($M892,'Device Refrigerant Leakage'!$B$2:$B$42,0)),"")</f>
        <v/>
      </c>
      <c r="CS892" s="145" t="str">
        <f>IF($I892&lt;&gt;"",INDEX('Device Refrigerant Leakage'!$D$2:$D$42,MATCH($M892,'Device Refrigerant Leakage'!$B$2:$B$42,0))*CP892/2204.62*CO892,"")</f>
        <v/>
      </c>
      <c r="CT892" s="145" t="str">
        <f>IF($I892&lt;&gt;"",J892*(INDEX('Device Refrigerant Leakage'!$D$2:$D$42,MATCH($M892,'Device Refrigerant Leakage'!$B$2:$B$42,0))-(INDEX('Device Refrigerant Leakage'!$D$2:$D$42,MATCH($M892,'Device Refrigerant Leakage'!$B$2:$B$42,0)))*CR892*CP892)*CQ892/2204.62*CO892,"")</f>
        <v/>
      </c>
      <c r="CU892" s="135" t="str">
        <f>IF($I892&lt;&gt;"",J892*IF(W892&lt;&gt;"AR",(CS892*K892)+CT892,(CS892*AB892)+CT892*(AB892/INDEX('Device Refrigerant Leakage'!$C$2:$C$42,MATCH($M892,'Device Refrigerant Leakage'!$B$2:$B$42,0)))),"")</f>
        <v/>
      </c>
      <c r="CW892" s="135" t="str">
        <f>IF($I892&lt;&gt;"",IF(S892="User Specified",V892,INDEX('Refrigerant GWPs'!$G$2:$G$156,MATCH(S892,'Refrigerant GWPs'!$A$2:$A$157,0))),"")</f>
        <v/>
      </c>
      <c r="CX892" s="138" t="str">
        <f>IF($I892&lt;&gt;"",INDEX('Device Refrigerant Leakage'!$E$2:$E$42,MATCH($Q892,'Device Refrigerant Leakage'!$B$2:$B$42,0)),"")</f>
        <v/>
      </c>
      <c r="CY892" s="138" t="str">
        <f>IF($I892&lt;&gt;"",INDEX('Device Refrigerant Leakage'!$F$2:$F$42,MATCH($Q892,'Device Refrigerant Leakage'!$B$2:$B$42,0)),"")</f>
        <v/>
      </c>
      <c r="CZ892" s="145" t="str">
        <f>IF($I892&lt;&gt;"",INDEX('Device Refrigerant Leakage'!$G$2:$G$42,MATCH($Q892,'Device Refrigerant Leakage'!$B$2:$B$42,0)),"")</f>
        <v/>
      </c>
      <c r="DA892" s="145" t="str">
        <f>IF($I892&lt;&gt;"",J892*INDEX('Device Refrigerant Leakage'!$D$2:$D$42,MATCH($Q892,'Device Refrigerant Leakage'!$B$2:$B$42,0))*CX892/2204.62*CW892,"")</f>
        <v/>
      </c>
      <c r="DB892" s="145" t="str">
        <f>IF($I892&lt;&gt;"",J892*(INDEX('Device Refrigerant Leakage'!$D$2:$D$42,MATCH($Q892,'Device Refrigerant Leakage'!$B$2:$B$42,0))-(INDEX('Device Refrigerant Leakage'!$D$2:$D$42,MATCH($Q892,'Device Refrigerant Leakage'!$B$2:$B$42,0)))*CZ892*CX892)*CY892/2204.62*CW892,"")</f>
        <v/>
      </c>
      <c r="DC892" s="135" t="str">
        <f t="shared" si="1028"/>
        <v/>
      </c>
      <c r="DE892" s="146" t="str">
        <f>IF(W892&lt;&gt;"AR","",IF(Y892="User Specified", AA892, INDEX('Refrigerant GWPs'!$G$2:$G$154,MATCH(Y892,'Refrigerant GWPs'!$A$2:$A$154,0))))</f>
        <v/>
      </c>
      <c r="DF892" s="146" t="str">
        <f>IF(W892&lt;&gt;"AR","",INDEX('Device Refrigerant Leakage'!$E$2:$E$42,MATCH(X892,'Device Refrigerant Leakage'!$B$2:$B$42,0)))</f>
        <v/>
      </c>
      <c r="DG892" s="146" t="str">
        <f>IF(W892&lt;&gt;"AR","",INDEX('Device Refrigerant Leakage'!$F$2:$F$42,MATCH(X892,'Device Refrigerant Leakage'!$B$2:$B$42,0)))</f>
        <v/>
      </c>
      <c r="DH892" s="146" t="str">
        <f>IF(W892&lt;&gt;"AR","",INDEX('Device Refrigerant Leakage'!$G$2:$G$42,MATCH(X892,'Device Refrigerant Leakage'!$B$2:$B$42,0)))</f>
        <v/>
      </c>
      <c r="DI892" s="146" t="str">
        <f>IF(W892&lt;&gt;"AR","",J892*INDEX('Device Refrigerant Leakage'!$D$2:$D$42,MATCH(X892,'Device Refrigerant Leakage'!$B$2:$B$42,0))*DF892/2204.62*DE892)</f>
        <v/>
      </c>
      <c r="DJ892" s="146" t="str">
        <f>IF(W892&lt;&gt;"AR","",J892*(INDEX('Device Refrigerant Leakage'!$D$2:$D$42,MATCH(X892,'Device Refrigerant Leakage'!$B$2:$B$42,0))-(INDEX('Device Refrigerant Leakage'!$D$2:$D$42,MATCH(X892,'Device Refrigerant Leakage'!$B$2:$B$42,0)))*DH892*DF892)*DG892/2204.62*DE892)</f>
        <v/>
      </c>
      <c r="DK892" s="146" t="str">
        <f>IF(W892&lt;&gt;"AR","",DI892*(K892-AB892)+'Fuel Sub Calcs-Deemed'!DJ892*((K892-AB892)/INDEX('Device Refrigerant Leakage'!$C$2:$C$42,MATCH('Fuel Sub Calcs-Deemed'!X892,'Device Refrigerant Leakage'!$B$2:$B$42,0))))</f>
        <v/>
      </c>
      <c r="DM892" s="56">
        <v>878</v>
      </c>
      <c r="DN892" s="67" t="e">
        <f t="shared" si="1010"/>
        <v>#N/A</v>
      </c>
      <c r="DO892" s="45" t="e">
        <f t="shared" si="1011"/>
        <v>#N/A</v>
      </c>
      <c r="DP892" s="67" t="e">
        <f t="shared" si="1012"/>
        <v>#N/A</v>
      </c>
      <c r="DQ892" s="45" t="e">
        <f t="shared" si="1013"/>
        <v>#N/A</v>
      </c>
      <c r="DR892" s="69" t="e">
        <f t="shared" si="1014"/>
        <v>#N/A</v>
      </c>
      <c r="DS892" s="34"/>
      <c r="DT892" s="67" t="e">
        <f>((BX892*CJ892)+IF($W892=MAT_AR,(BZ892*CL892),0))*(1+Reference!$E$50+Reference!$E$51)</f>
        <v>#N/A</v>
      </c>
      <c r="DU892" s="67">
        <f>((BY892*CK892)+IF($W892=MAT_AR,(CA892*CM892),0))*(1+Reference!$G$50+Reference!$G$51)</f>
        <v>0</v>
      </c>
      <c r="DV892" s="67" t="e">
        <f t="shared" si="1015"/>
        <v>#VALUE!</v>
      </c>
      <c r="DX892" s="56">
        <v>878</v>
      </c>
      <c r="DY892" s="67">
        <f t="shared" si="1016"/>
        <v>0</v>
      </c>
      <c r="DZ892" s="45" t="e">
        <f>VLOOKUP($R892,Dropdown!$C$3:$D$4,2,FALSE)</f>
        <v>#N/A</v>
      </c>
      <c r="EA892" s="68">
        <f t="shared" si="1017"/>
        <v>0</v>
      </c>
      <c r="EB892" s="68" t="str">
        <f t="shared" si="1018"/>
        <v>N/A</v>
      </c>
      <c r="EC892" s="68">
        <f t="shared" si="1019"/>
        <v>0</v>
      </c>
      <c r="ED892" s="68" t="str">
        <f t="shared" si="1057"/>
        <v>N/A</v>
      </c>
      <c r="EF892" s="56">
        <v>878</v>
      </c>
      <c r="EG892" s="46">
        <f t="shared" si="1020"/>
        <v>0</v>
      </c>
      <c r="EH892" s="68" t="e">
        <f t="shared" si="1021"/>
        <v>#N/A</v>
      </c>
      <c r="EI892" s="68" t="e">
        <f t="shared" si="1022"/>
        <v>#N/A</v>
      </c>
      <c r="EJ892" s="68" t="e">
        <f t="shared" si="1023"/>
        <v>#N/A</v>
      </c>
      <c r="EK892" s="68" t="e">
        <f t="shared" si="1024"/>
        <v>#N/A</v>
      </c>
      <c r="EL892" s="46">
        <f t="shared" si="1025"/>
        <v>0</v>
      </c>
      <c r="EM892" s="46">
        <f t="shared" si="1026"/>
        <v>0</v>
      </c>
    </row>
    <row r="893" spans="1:143">
      <c r="A893" s="89"/>
      <c r="B893" s="89"/>
      <c r="C893" s="89"/>
      <c r="D893" s="89"/>
      <c r="E893" s="89"/>
      <c r="F893" s="89"/>
      <c r="G893" s="34"/>
      <c r="H893" s="56">
        <f t="shared" si="1027"/>
        <v>879</v>
      </c>
      <c r="I893" s="165"/>
      <c r="J893" s="163"/>
      <c r="K893" s="163"/>
      <c r="L893" s="164"/>
      <c r="M893" s="155"/>
      <c r="N893" s="155"/>
      <c r="O893" s="144"/>
      <c r="P893" s="159" t="str">
        <f>IFERROR(IF(O893&lt;&gt;"User Specified",IF(O893&lt;&gt;"", INDEX('Refrigerant GWPs'!$G$2:$G$154,MATCH(O893,'Refrigerant GWPs'!$A$2:$A$154,0)),""),U893),0)</f>
        <v/>
      </c>
      <c r="Q893" s="155"/>
      <c r="R893" s="155"/>
      <c r="S893" s="144"/>
      <c r="T893" s="159" t="str">
        <f>IF(S893&lt;&gt;"User Specified",IF(AND(S893&lt;&gt;"User Specified",S893&lt;&gt;""), INDEX('Refrigerant GWPs'!$G$2:$G$154,MATCH(S893,'Refrigerant GWPs'!$A$2:$A$154,0)),""),V893)</f>
        <v/>
      </c>
      <c r="U893" s="144"/>
      <c r="V893" s="144"/>
      <c r="W893" s="155"/>
      <c r="X893" s="155"/>
      <c r="Y893" s="144"/>
      <c r="Z893" s="159" t="str">
        <f>IF(AND(Y893&lt;&gt;"User Specified",Y893&lt;&gt;""), INDEX('Refrigerant GWPs'!$G$2:$G$154,MATCH(Y893,'Refrigerant GWPs'!$A$2:$A$154,0)),"")</f>
        <v/>
      </c>
      <c r="AA893" s="155"/>
      <c r="AB893" s="156"/>
      <c r="AC893" s="66"/>
      <c r="AD893" s="66"/>
      <c r="AE893" s="66"/>
      <c r="AF893" s="66"/>
      <c r="AG893" s="66"/>
      <c r="AH893" s="66"/>
      <c r="AI893" s="34"/>
      <c r="AJ893" s="88">
        <f t="shared" si="990"/>
        <v>0</v>
      </c>
      <c r="AK893" s="88">
        <f t="shared" si="991"/>
        <v>0</v>
      </c>
      <c r="AL893" s="88">
        <v>0</v>
      </c>
      <c r="AM893" s="88">
        <v>0</v>
      </c>
      <c r="AN893" s="81" t="str">
        <f t="shared" si="1029"/>
        <v/>
      </c>
      <c r="AO893" s="88">
        <f t="shared" si="992"/>
        <v>0</v>
      </c>
      <c r="AP893" s="88">
        <f t="shared" si="993"/>
        <v>0</v>
      </c>
      <c r="AQ893" s="81" t="str">
        <f t="shared" si="994"/>
        <v/>
      </c>
      <c r="AS893" s="41" t="b">
        <f t="shared" si="995"/>
        <v>1</v>
      </c>
      <c r="AT893" s="38">
        <f t="shared" si="996"/>
        <v>0</v>
      </c>
      <c r="AU893" s="60">
        <f t="shared" si="997"/>
        <v>0</v>
      </c>
      <c r="AV893" s="41">
        <f t="shared" si="998"/>
        <v>0</v>
      </c>
      <c r="AW893" s="41" t="b">
        <f t="shared" si="999"/>
        <v>0</v>
      </c>
      <c r="AX893" t="str">
        <f t="shared" si="1000"/>
        <v>+00</v>
      </c>
      <c r="AY893" t="str">
        <f t="shared" si="1001"/>
        <v>+00</v>
      </c>
      <c r="BA893" s="47" t="b">
        <f t="shared" si="1030"/>
        <v>1</v>
      </c>
      <c r="BB893" s="42" t="b">
        <f t="shared" si="1031"/>
        <v>1</v>
      </c>
      <c r="BC893" s="42" t="b">
        <f t="shared" si="1032"/>
        <v>0</v>
      </c>
      <c r="BD893" s="42" t="b">
        <f t="shared" si="1033"/>
        <v>0</v>
      </c>
      <c r="BE893" s="70">
        <f t="shared" si="1034"/>
        <v>0</v>
      </c>
      <c r="BF893" s="70">
        <f t="shared" si="1035"/>
        <v>0</v>
      </c>
      <c r="BG893" s="34"/>
      <c r="BI893" s="47" t="b">
        <f t="shared" si="1036"/>
        <v>1</v>
      </c>
      <c r="BJ893" s="47" t="b">
        <f t="shared" si="1037"/>
        <v>1</v>
      </c>
      <c r="BK893" s="42" t="b">
        <f t="shared" si="1038"/>
        <v>0</v>
      </c>
      <c r="BL893" s="42" t="b">
        <f t="shared" si="1039"/>
        <v>0</v>
      </c>
      <c r="BM893" s="42">
        <f t="shared" si="1040"/>
        <v>0</v>
      </c>
      <c r="BN893" s="42">
        <f t="shared" si="1041"/>
        <v>0</v>
      </c>
      <c r="BP893" t="e">
        <f t="shared" si="1042"/>
        <v>#N/A</v>
      </c>
      <c r="BQ893" t="e">
        <f t="shared" si="1043"/>
        <v>#N/A</v>
      </c>
      <c r="BR893" t="e">
        <f t="shared" si="1044"/>
        <v>#N/A</v>
      </c>
      <c r="BT893" s="60">
        <f t="shared" si="1045"/>
        <v>0</v>
      </c>
      <c r="BU893" s="60">
        <f t="shared" si="1046"/>
        <v>0</v>
      </c>
      <c r="BV893" s="60">
        <f t="shared" si="1047"/>
        <v>0</v>
      </c>
      <c r="BW893" s="60">
        <f t="shared" si="1048"/>
        <v>0</v>
      </c>
      <c r="BX893" s="60">
        <f t="shared" si="1049"/>
        <v>0</v>
      </c>
      <c r="BY893" s="60">
        <f t="shared" si="1050"/>
        <v>0</v>
      </c>
      <c r="BZ893" s="60">
        <f t="shared" si="1051"/>
        <v>0</v>
      </c>
      <c r="CA893" s="60">
        <f t="shared" si="1052"/>
        <v>0</v>
      </c>
      <c r="CB893" s="60" t="e">
        <f t="shared" si="1002"/>
        <v>#N/A</v>
      </c>
      <c r="CC893" s="60">
        <f t="shared" si="1003"/>
        <v>100000</v>
      </c>
      <c r="CD893" s="60" t="e">
        <f t="shared" si="1004"/>
        <v>#N/A</v>
      </c>
      <c r="CE893" s="60">
        <f t="shared" si="1005"/>
        <v>100000</v>
      </c>
      <c r="CF893" s="83" t="e">
        <f t="shared" si="1053"/>
        <v>#N/A</v>
      </c>
      <c r="CG893" s="83">
        <f t="shared" si="1054"/>
        <v>0</v>
      </c>
      <c r="CH893" s="83" t="e">
        <f t="shared" si="1055"/>
        <v>#N/A</v>
      </c>
      <c r="CI893" s="83">
        <f t="shared" si="1056"/>
        <v>0</v>
      </c>
      <c r="CJ893" s="86" t="e">
        <f t="shared" si="1006"/>
        <v>#N/A</v>
      </c>
      <c r="CK893" s="82">
        <f t="shared" si="1007"/>
        <v>5.3070370403969858E-3</v>
      </c>
      <c r="CL893" s="82" t="e">
        <f t="shared" si="1008"/>
        <v>#N/A</v>
      </c>
      <c r="CM893" s="82">
        <f t="shared" si="1009"/>
        <v>5.3070370403969858E-3</v>
      </c>
      <c r="CO893" s="149" t="str">
        <f>IF($I893&lt;&gt;"",IF(O893="User Specified",U893,INDEX('Refrigerant GWPs'!$G$2:$G$156,MATCH(O893,'Refrigerant GWPs'!$A$2:$A$156,0))),"")</f>
        <v/>
      </c>
      <c r="CP893" s="138" t="str">
        <f>IF($I893&lt;&gt;"",INDEX('Device Refrigerant Leakage'!$E$2:$E$42,MATCH($M893,'Device Refrigerant Leakage'!$B$2:$B$42,0)),"")</f>
        <v/>
      </c>
      <c r="CQ893" s="138" t="str">
        <f>IF($I893&lt;&gt;"",INDEX('Device Refrigerant Leakage'!$F$2:$F$42,MATCH($M893,'Device Refrigerant Leakage'!$B$2:$B$42,0)),"")</f>
        <v/>
      </c>
      <c r="CR893" s="145" t="str">
        <f>IF($I893&lt;&gt;"",INDEX('Device Refrigerant Leakage'!$G$2:$G$42,MATCH($M893,'Device Refrigerant Leakage'!$B$2:$B$42,0)),"")</f>
        <v/>
      </c>
      <c r="CS893" s="145" t="str">
        <f>IF($I893&lt;&gt;"",INDEX('Device Refrigerant Leakage'!$D$2:$D$42,MATCH($M893,'Device Refrigerant Leakage'!$B$2:$B$42,0))*CP893/2204.62*CO893,"")</f>
        <v/>
      </c>
      <c r="CT893" s="145" t="str">
        <f>IF($I893&lt;&gt;"",J893*(INDEX('Device Refrigerant Leakage'!$D$2:$D$42,MATCH($M893,'Device Refrigerant Leakage'!$B$2:$B$42,0))-(INDEX('Device Refrigerant Leakage'!$D$2:$D$42,MATCH($M893,'Device Refrigerant Leakage'!$B$2:$B$42,0)))*CR893*CP893)*CQ893/2204.62*CO893,"")</f>
        <v/>
      </c>
      <c r="CU893" s="135" t="str">
        <f>IF($I893&lt;&gt;"",J893*IF(W893&lt;&gt;"AR",(CS893*K893)+CT893,(CS893*AB893)+CT893*(AB893/INDEX('Device Refrigerant Leakage'!$C$2:$C$42,MATCH($M893,'Device Refrigerant Leakage'!$B$2:$B$42,0)))),"")</f>
        <v/>
      </c>
      <c r="CW893" s="135" t="str">
        <f>IF($I893&lt;&gt;"",IF(S893="User Specified",V893,INDEX('Refrigerant GWPs'!$G$2:$G$156,MATCH(S893,'Refrigerant GWPs'!$A$2:$A$157,0))),"")</f>
        <v/>
      </c>
      <c r="CX893" s="138" t="str">
        <f>IF($I893&lt;&gt;"",INDEX('Device Refrigerant Leakage'!$E$2:$E$42,MATCH($Q893,'Device Refrigerant Leakage'!$B$2:$B$42,0)),"")</f>
        <v/>
      </c>
      <c r="CY893" s="138" t="str">
        <f>IF($I893&lt;&gt;"",INDEX('Device Refrigerant Leakage'!$F$2:$F$42,MATCH($Q893,'Device Refrigerant Leakage'!$B$2:$B$42,0)),"")</f>
        <v/>
      </c>
      <c r="CZ893" s="145" t="str">
        <f>IF($I893&lt;&gt;"",INDEX('Device Refrigerant Leakage'!$G$2:$G$42,MATCH($Q893,'Device Refrigerant Leakage'!$B$2:$B$42,0)),"")</f>
        <v/>
      </c>
      <c r="DA893" s="145" t="str">
        <f>IF($I893&lt;&gt;"",J893*INDEX('Device Refrigerant Leakage'!$D$2:$D$42,MATCH($Q893,'Device Refrigerant Leakage'!$B$2:$B$42,0))*CX893/2204.62*CW893,"")</f>
        <v/>
      </c>
      <c r="DB893" s="145" t="str">
        <f>IF($I893&lt;&gt;"",J893*(INDEX('Device Refrigerant Leakage'!$D$2:$D$42,MATCH($Q893,'Device Refrigerant Leakage'!$B$2:$B$42,0))-(INDEX('Device Refrigerant Leakage'!$D$2:$D$42,MATCH($Q893,'Device Refrigerant Leakage'!$B$2:$B$42,0)))*CZ893*CX893)*CY893/2204.62*CW893,"")</f>
        <v/>
      </c>
      <c r="DC893" s="135" t="str">
        <f t="shared" si="1028"/>
        <v/>
      </c>
      <c r="DE893" s="146" t="str">
        <f>IF(W893&lt;&gt;"AR","",IF(Y893="User Specified", AA893, INDEX('Refrigerant GWPs'!$G$2:$G$154,MATCH(Y893,'Refrigerant GWPs'!$A$2:$A$154,0))))</f>
        <v/>
      </c>
      <c r="DF893" s="146" t="str">
        <f>IF(W893&lt;&gt;"AR","",INDEX('Device Refrigerant Leakage'!$E$2:$E$42,MATCH(X893,'Device Refrigerant Leakage'!$B$2:$B$42,0)))</f>
        <v/>
      </c>
      <c r="DG893" s="146" t="str">
        <f>IF(W893&lt;&gt;"AR","",INDEX('Device Refrigerant Leakage'!$F$2:$F$42,MATCH(X893,'Device Refrigerant Leakage'!$B$2:$B$42,0)))</f>
        <v/>
      </c>
      <c r="DH893" s="146" t="str">
        <f>IF(W893&lt;&gt;"AR","",INDEX('Device Refrigerant Leakage'!$G$2:$G$42,MATCH(X893,'Device Refrigerant Leakage'!$B$2:$B$42,0)))</f>
        <v/>
      </c>
      <c r="DI893" s="146" t="str">
        <f>IF(W893&lt;&gt;"AR","",J893*INDEX('Device Refrigerant Leakage'!$D$2:$D$42,MATCH(X893,'Device Refrigerant Leakage'!$B$2:$B$42,0))*DF893/2204.62*DE893)</f>
        <v/>
      </c>
      <c r="DJ893" s="146" t="str">
        <f>IF(W893&lt;&gt;"AR","",J893*(INDEX('Device Refrigerant Leakage'!$D$2:$D$42,MATCH(X893,'Device Refrigerant Leakage'!$B$2:$B$42,0))-(INDEX('Device Refrigerant Leakage'!$D$2:$D$42,MATCH(X893,'Device Refrigerant Leakage'!$B$2:$B$42,0)))*DH893*DF893)*DG893/2204.62*DE893)</f>
        <v/>
      </c>
      <c r="DK893" s="146" t="str">
        <f>IF(W893&lt;&gt;"AR","",DI893*(K893-AB893)+'Fuel Sub Calcs-Deemed'!DJ893*((K893-AB893)/INDEX('Device Refrigerant Leakage'!$C$2:$C$42,MATCH('Fuel Sub Calcs-Deemed'!X893,'Device Refrigerant Leakage'!$B$2:$B$42,0))))</f>
        <v/>
      </c>
      <c r="DM893" s="56">
        <v>879</v>
      </c>
      <c r="DN893" s="67" t="e">
        <f t="shared" si="1010"/>
        <v>#N/A</v>
      </c>
      <c r="DO893" s="45" t="e">
        <f t="shared" si="1011"/>
        <v>#N/A</v>
      </c>
      <c r="DP893" s="67" t="e">
        <f t="shared" si="1012"/>
        <v>#N/A</v>
      </c>
      <c r="DQ893" s="45" t="e">
        <f t="shared" si="1013"/>
        <v>#N/A</v>
      </c>
      <c r="DR893" s="69" t="e">
        <f t="shared" si="1014"/>
        <v>#N/A</v>
      </c>
      <c r="DS893" s="34"/>
      <c r="DT893" s="67" t="e">
        <f>((BX893*CJ893)+IF($W893=MAT_AR,(BZ893*CL893),0))*(1+Reference!$E$50+Reference!$E$51)</f>
        <v>#N/A</v>
      </c>
      <c r="DU893" s="67">
        <f>((BY893*CK893)+IF($W893=MAT_AR,(CA893*CM893),0))*(1+Reference!$G$50+Reference!$G$51)</f>
        <v>0</v>
      </c>
      <c r="DV893" s="67" t="e">
        <f t="shared" si="1015"/>
        <v>#VALUE!</v>
      </c>
      <c r="DX893" s="56">
        <v>879</v>
      </c>
      <c r="DY893" s="67">
        <f t="shared" si="1016"/>
        <v>0</v>
      </c>
      <c r="DZ893" s="45" t="e">
        <f>VLOOKUP($R893,Dropdown!$C$3:$D$4,2,FALSE)</f>
        <v>#N/A</v>
      </c>
      <c r="EA893" s="68">
        <f t="shared" si="1017"/>
        <v>0</v>
      </c>
      <c r="EB893" s="68" t="str">
        <f t="shared" si="1018"/>
        <v>N/A</v>
      </c>
      <c r="EC893" s="68">
        <f t="shared" si="1019"/>
        <v>0</v>
      </c>
      <c r="ED893" s="68" t="str">
        <f t="shared" si="1057"/>
        <v>N/A</v>
      </c>
      <c r="EF893" s="56">
        <v>879</v>
      </c>
      <c r="EG893" s="46">
        <f t="shared" si="1020"/>
        <v>0</v>
      </c>
      <c r="EH893" s="68" t="e">
        <f t="shared" si="1021"/>
        <v>#N/A</v>
      </c>
      <c r="EI893" s="68" t="e">
        <f t="shared" si="1022"/>
        <v>#N/A</v>
      </c>
      <c r="EJ893" s="68" t="e">
        <f t="shared" si="1023"/>
        <v>#N/A</v>
      </c>
      <c r="EK893" s="68" t="e">
        <f t="shared" si="1024"/>
        <v>#N/A</v>
      </c>
      <c r="EL893" s="46">
        <f t="shared" si="1025"/>
        <v>0</v>
      </c>
      <c r="EM893" s="46">
        <f t="shared" si="1026"/>
        <v>0</v>
      </c>
    </row>
    <row r="894" spans="1:143">
      <c r="A894" s="89"/>
      <c r="B894" s="89"/>
      <c r="C894" s="89"/>
      <c r="D894" s="89"/>
      <c r="E894" s="89"/>
      <c r="F894" s="89"/>
      <c r="G894" s="34"/>
      <c r="H894" s="56">
        <f t="shared" si="1027"/>
        <v>880</v>
      </c>
      <c r="I894" s="165"/>
      <c r="J894" s="163"/>
      <c r="K894" s="163"/>
      <c r="L894" s="164"/>
      <c r="M894" s="155"/>
      <c r="N894" s="155"/>
      <c r="O894" s="144"/>
      <c r="P894" s="159" t="str">
        <f>IFERROR(IF(O894&lt;&gt;"User Specified",IF(O894&lt;&gt;"", INDEX('Refrigerant GWPs'!$G$2:$G$154,MATCH(O894,'Refrigerant GWPs'!$A$2:$A$154,0)),""),U894),0)</f>
        <v/>
      </c>
      <c r="Q894" s="155"/>
      <c r="R894" s="155"/>
      <c r="S894" s="144"/>
      <c r="T894" s="159" t="str">
        <f>IF(S894&lt;&gt;"User Specified",IF(AND(S894&lt;&gt;"User Specified",S894&lt;&gt;""), INDEX('Refrigerant GWPs'!$G$2:$G$154,MATCH(S894,'Refrigerant GWPs'!$A$2:$A$154,0)),""),V894)</f>
        <v/>
      </c>
      <c r="U894" s="144"/>
      <c r="V894" s="144"/>
      <c r="W894" s="155"/>
      <c r="X894" s="155"/>
      <c r="Y894" s="144"/>
      <c r="Z894" s="159" t="str">
        <f>IF(AND(Y894&lt;&gt;"User Specified",Y894&lt;&gt;""), INDEX('Refrigerant GWPs'!$G$2:$G$154,MATCH(Y894,'Refrigerant GWPs'!$A$2:$A$154,0)),"")</f>
        <v/>
      </c>
      <c r="AA894" s="155"/>
      <c r="AB894" s="156"/>
      <c r="AC894" s="66"/>
      <c r="AD894" s="66"/>
      <c r="AE894" s="66"/>
      <c r="AF894" s="66"/>
      <c r="AG894" s="66"/>
      <c r="AH894" s="66"/>
      <c r="AI894" s="34"/>
      <c r="AJ894" s="88">
        <f t="shared" si="990"/>
        <v>0</v>
      </c>
      <c r="AK894" s="88">
        <f t="shared" si="991"/>
        <v>0</v>
      </c>
      <c r="AL894" s="88">
        <v>0</v>
      </c>
      <c r="AM894" s="88">
        <v>0</v>
      </c>
      <c r="AN894" s="81" t="str">
        <f t="shared" si="1029"/>
        <v/>
      </c>
      <c r="AO894" s="88">
        <f t="shared" si="992"/>
        <v>0</v>
      </c>
      <c r="AP894" s="88">
        <f t="shared" si="993"/>
        <v>0</v>
      </c>
      <c r="AQ894" s="81" t="str">
        <f t="shared" si="994"/>
        <v/>
      </c>
      <c r="AS894" s="41" t="b">
        <f t="shared" si="995"/>
        <v>1</v>
      </c>
      <c r="AT894" s="38">
        <f t="shared" si="996"/>
        <v>0</v>
      </c>
      <c r="AU894" s="60">
        <f t="shared" si="997"/>
        <v>0</v>
      </c>
      <c r="AV894" s="41">
        <f t="shared" si="998"/>
        <v>0</v>
      </c>
      <c r="AW894" s="41" t="b">
        <f t="shared" si="999"/>
        <v>0</v>
      </c>
      <c r="AX894" t="str">
        <f t="shared" si="1000"/>
        <v>+00</v>
      </c>
      <c r="AY894" t="str">
        <f t="shared" si="1001"/>
        <v>+00</v>
      </c>
      <c r="BA894" s="47" t="b">
        <f t="shared" si="1030"/>
        <v>1</v>
      </c>
      <c r="BB894" s="42" t="b">
        <f t="shared" si="1031"/>
        <v>1</v>
      </c>
      <c r="BC894" s="42" t="b">
        <f t="shared" si="1032"/>
        <v>0</v>
      </c>
      <c r="BD894" s="42" t="b">
        <f t="shared" si="1033"/>
        <v>0</v>
      </c>
      <c r="BE894" s="70">
        <f t="shared" si="1034"/>
        <v>0</v>
      </c>
      <c r="BF894" s="70">
        <f t="shared" si="1035"/>
        <v>0</v>
      </c>
      <c r="BG894" s="34"/>
      <c r="BI894" s="47" t="b">
        <f t="shared" si="1036"/>
        <v>1</v>
      </c>
      <c r="BJ894" s="47" t="b">
        <f t="shared" si="1037"/>
        <v>1</v>
      </c>
      <c r="BK894" s="42" t="b">
        <f t="shared" si="1038"/>
        <v>0</v>
      </c>
      <c r="BL894" s="42" t="b">
        <f t="shared" si="1039"/>
        <v>0</v>
      </c>
      <c r="BM894" s="42">
        <f t="shared" si="1040"/>
        <v>0</v>
      </c>
      <c r="BN894" s="42">
        <f t="shared" si="1041"/>
        <v>0</v>
      </c>
      <c r="BP894" t="e">
        <f t="shared" si="1042"/>
        <v>#N/A</v>
      </c>
      <c r="BQ894" t="e">
        <f t="shared" si="1043"/>
        <v>#N/A</v>
      </c>
      <c r="BR894" t="e">
        <f t="shared" si="1044"/>
        <v>#N/A</v>
      </c>
      <c r="BT894" s="60">
        <f t="shared" si="1045"/>
        <v>0</v>
      </c>
      <c r="BU894" s="60">
        <f t="shared" si="1046"/>
        <v>0</v>
      </c>
      <c r="BV894" s="60">
        <f t="shared" si="1047"/>
        <v>0</v>
      </c>
      <c r="BW894" s="60">
        <f t="shared" si="1048"/>
        <v>0</v>
      </c>
      <c r="BX894" s="60">
        <f t="shared" si="1049"/>
        <v>0</v>
      </c>
      <c r="BY894" s="60">
        <f t="shared" si="1050"/>
        <v>0</v>
      </c>
      <c r="BZ894" s="60">
        <f t="shared" si="1051"/>
        <v>0</v>
      </c>
      <c r="CA894" s="60">
        <f t="shared" si="1052"/>
        <v>0</v>
      </c>
      <c r="CB894" s="60" t="e">
        <f t="shared" si="1002"/>
        <v>#N/A</v>
      </c>
      <c r="CC894" s="60">
        <f t="shared" si="1003"/>
        <v>100000</v>
      </c>
      <c r="CD894" s="60" t="e">
        <f t="shared" si="1004"/>
        <v>#N/A</v>
      </c>
      <c r="CE894" s="60">
        <f t="shared" si="1005"/>
        <v>100000</v>
      </c>
      <c r="CF894" s="83" t="e">
        <f t="shared" si="1053"/>
        <v>#N/A</v>
      </c>
      <c r="CG894" s="83">
        <f t="shared" si="1054"/>
        <v>0</v>
      </c>
      <c r="CH894" s="83" t="e">
        <f t="shared" si="1055"/>
        <v>#N/A</v>
      </c>
      <c r="CI894" s="83">
        <f t="shared" si="1056"/>
        <v>0</v>
      </c>
      <c r="CJ894" s="86" t="e">
        <f t="shared" si="1006"/>
        <v>#N/A</v>
      </c>
      <c r="CK894" s="82">
        <f t="shared" si="1007"/>
        <v>5.3070370403969858E-3</v>
      </c>
      <c r="CL894" s="82" t="e">
        <f t="shared" si="1008"/>
        <v>#N/A</v>
      </c>
      <c r="CM894" s="82">
        <f t="shared" si="1009"/>
        <v>5.3070370403969858E-3</v>
      </c>
      <c r="CO894" s="149" t="str">
        <f>IF($I894&lt;&gt;"",IF(O894="User Specified",U894,INDEX('Refrigerant GWPs'!$G$2:$G$156,MATCH(O894,'Refrigerant GWPs'!$A$2:$A$156,0))),"")</f>
        <v/>
      </c>
      <c r="CP894" s="138" t="str">
        <f>IF($I894&lt;&gt;"",INDEX('Device Refrigerant Leakage'!$E$2:$E$42,MATCH($M894,'Device Refrigerant Leakage'!$B$2:$B$42,0)),"")</f>
        <v/>
      </c>
      <c r="CQ894" s="138" t="str">
        <f>IF($I894&lt;&gt;"",INDEX('Device Refrigerant Leakage'!$F$2:$F$42,MATCH($M894,'Device Refrigerant Leakage'!$B$2:$B$42,0)),"")</f>
        <v/>
      </c>
      <c r="CR894" s="145" t="str">
        <f>IF($I894&lt;&gt;"",INDEX('Device Refrigerant Leakage'!$G$2:$G$42,MATCH($M894,'Device Refrigerant Leakage'!$B$2:$B$42,0)),"")</f>
        <v/>
      </c>
      <c r="CS894" s="145" t="str">
        <f>IF($I894&lt;&gt;"",INDEX('Device Refrigerant Leakage'!$D$2:$D$42,MATCH($M894,'Device Refrigerant Leakage'!$B$2:$B$42,0))*CP894/2204.62*CO894,"")</f>
        <v/>
      </c>
      <c r="CT894" s="145" t="str">
        <f>IF($I894&lt;&gt;"",J894*(INDEX('Device Refrigerant Leakage'!$D$2:$D$42,MATCH($M894,'Device Refrigerant Leakage'!$B$2:$B$42,0))-(INDEX('Device Refrigerant Leakage'!$D$2:$D$42,MATCH($M894,'Device Refrigerant Leakage'!$B$2:$B$42,0)))*CR894*CP894)*CQ894/2204.62*CO894,"")</f>
        <v/>
      </c>
      <c r="CU894" s="135" t="str">
        <f>IF($I894&lt;&gt;"",J894*IF(W894&lt;&gt;"AR",(CS894*K894)+CT894,(CS894*AB894)+CT894*(AB894/INDEX('Device Refrigerant Leakage'!$C$2:$C$42,MATCH($M894,'Device Refrigerant Leakage'!$B$2:$B$42,0)))),"")</f>
        <v/>
      </c>
      <c r="CW894" s="135" t="str">
        <f>IF($I894&lt;&gt;"",IF(S894="User Specified",V894,INDEX('Refrigerant GWPs'!$G$2:$G$156,MATCH(S894,'Refrigerant GWPs'!$A$2:$A$157,0))),"")</f>
        <v/>
      </c>
      <c r="CX894" s="138" t="str">
        <f>IF($I894&lt;&gt;"",INDEX('Device Refrigerant Leakage'!$E$2:$E$42,MATCH($Q894,'Device Refrigerant Leakage'!$B$2:$B$42,0)),"")</f>
        <v/>
      </c>
      <c r="CY894" s="138" t="str">
        <f>IF($I894&lt;&gt;"",INDEX('Device Refrigerant Leakage'!$F$2:$F$42,MATCH($Q894,'Device Refrigerant Leakage'!$B$2:$B$42,0)),"")</f>
        <v/>
      </c>
      <c r="CZ894" s="145" t="str">
        <f>IF($I894&lt;&gt;"",INDEX('Device Refrigerant Leakage'!$G$2:$G$42,MATCH($Q894,'Device Refrigerant Leakage'!$B$2:$B$42,0)),"")</f>
        <v/>
      </c>
      <c r="DA894" s="145" t="str">
        <f>IF($I894&lt;&gt;"",J894*INDEX('Device Refrigerant Leakage'!$D$2:$D$42,MATCH($Q894,'Device Refrigerant Leakage'!$B$2:$B$42,0))*CX894/2204.62*CW894,"")</f>
        <v/>
      </c>
      <c r="DB894" s="145" t="str">
        <f>IF($I894&lt;&gt;"",J894*(INDEX('Device Refrigerant Leakage'!$D$2:$D$42,MATCH($Q894,'Device Refrigerant Leakage'!$B$2:$B$42,0))-(INDEX('Device Refrigerant Leakage'!$D$2:$D$42,MATCH($Q894,'Device Refrigerant Leakage'!$B$2:$B$42,0)))*CZ894*CX894)*CY894/2204.62*CW894,"")</f>
        <v/>
      </c>
      <c r="DC894" s="135" t="str">
        <f t="shared" si="1028"/>
        <v/>
      </c>
      <c r="DE894" s="146" t="str">
        <f>IF(W894&lt;&gt;"AR","",IF(Y894="User Specified", AA894, INDEX('Refrigerant GWPs'!$G$2:$G$154,MATCH(Y894,'Refrigerant GWPs'!$A$2:$A$154,0))))</f>
        <v/>
      </c>
      <c r="DF894" s="146" t="str">
        <f>IF(W894&lt;&gt;"AR","",INDEX('Device Refrigerant Leakage'!$E$2:$E$42,MATCH(X894,'Device Refrigerant Leakage'!$B$2:$B$42,0)))</f>
        <v/>
      </c>
      <c r="DG894" s="146" t="str">
        <f>IF(W894&lt;&gt;"AR","",INDEX('Device Refrigerant Leakage'!$F$2:$F$42,MATCH(X894,'Device Refrigerant Leakage'!$B$2:$B$42,0)))</f>
        <v/>
      </c>
      <c r="DH894" s="146" t="str">
        <f>IF(W894&lt;&gt;"AR","",INDEX('Device Refrigerant Leakage'!$G$2:$G$42,MATCH(X894,'Device Refrigerant Leakage'!$B$2:$B$42,0)))</f>
        <v/>
      </c>
      <c r="DI894" s="146" t="str">
        <f>IF(W894&lt;&gt;"AR","",J894*INDEX('Device Refrigerant Leakage'!$D$2:$D$42,MATCH(X894,'Device Refrigerant Leakage'!$B$2:$B$42,0))*DF894/2204.62*DE894)</f>
        <v/>
      </c>
      <c r="DJ894" s="146" t="str">
        <f>IF(W894&lt;&gt;"AR","",J894*(INDEX('Device Refrigerant Leakage'!$D$2:$D$42,MATCH(X894,'Device Refrigerant Leakage'!$B$2:$B$42,0))-(INDEX('Device Refrigerant Leakage'!$D$2:$D$42,MATCH(X894,'Device Refrigerant Leakage'!$B$2:$B$42,0)))*DH894*DF894)*DG894/2204.62*DE894)</f>
        <v/>
      </c>
      <c r="DK894" s="146" t="str">
        <f>IF(W894&lt;&gt;"AR","",DI894*(K894-AB894)+'Fuel Sub Calcs-Deemed'!DJ894*((K894-AB894)/INDEX('Device Refrigerant Leakage'!$C$2:$C$42,MATCH('Fuel Sub Calcs-Deemed'!X894,'Device Refrigerant Leakage'!$B$2:$B$42,0))))</f>
        <v/>
      </c>
      <c r="DM894" s="56">
        <v>880</v>
      </c>
      <c r="DN894" s="67" t="e">
        <f t="shared" si="1010"/>
        <v>#N/A</v>
      </c>
      <c r="DO894" s="45" t="e">
        <f t="shared" si="1011"/>
        <v>#N/A</v>
      </c>
      <c r="DP894" s="67" t="e">
        <f t="shared" si="1012"/>
        <v>#N/A</v>
      </c>
      <c r="DQ894" s="45" t="e">
        <f t="shared" si="1013"/>
        <v>#N/A</v>
      </c>
      <c r="DR894" s="69" t="e">
        <f t="shared" si="1014"/>
        <v>#N/A</v>
      </c>
      <c r="DS894" s="34"/>
      <c r="DT894" s="67" t="e">
        <f>((BX894*CJ894)+IF($W894=MAT_AR,(BZ894*CL894),0))*(1+Reference!$E$50+Reference!$E$51)</f>
        <v>#N/A</v>
      </c>
      <c r="DU894" s="67">
        <f>((BY894*CK894)+IF($W894=MAT_AR,(CA894*CM894),0))*(1+Reference!$G$50+Reference!$G$51)</f>
        <v>0</v>
      </c>
      <c r="DV894" s="67" t="e">
        <f t="shared" si="1015"/>
        <v>#VALUE!</v>
      </c>
      <c r="DX894" s="56">
        <v>880</v>
      </c>
      <c r="DY894" s="67">
        <f t="shared" si="1016"/>
        <v>0</v>
      </c>
      <c r="DZ894" s="45" t="e">
        <f>VLOOKUP($R894,Dropdown!$C$3:$D$4,2,FALSE)</f>
        <v>#N/A</v>
      </c>
      <c r="EA894" s="68">
        <f t="shared" si="1017"/>
        <v>0</v>
      </c>
      <c r="EB894" s="68" t="str">
        <f t="shared" si="1018"/>
        <v>N/A</v>
      </c>
      <c r="EC894" s="68">
        <f t="shared" si="1019"/>
        <v>0</v>
      </c>
      <c r="ED894" s="68" t="str">
        <f t="shared" si="1057"/>
        <v>N/A</v>
      </c>
      <c r="EF894" s="56">
        <v>880</v>
      </c>
      <c r="EG894" s="46">
        <f t="shared" si="1020"/>
        <v>0</v>
      </c>
      <c r="EH894" s="68" t="e">
        <f t="shared" si="1021"/>
        <v>#N/A</v>
      </c>
      <c r="EI894" s="68" t="e">
        <f t="shared" si="1022"/>
        <v>#N/A</v>
      </c>
      <c r="EJ894" s="68" t="e">
        <f t="shared" si="1023"/>
        <v>#N/A</v>
      </c>
      <c r="EK894" s="68" t="e">
        <f t="shared" si="1024"/>
        <v>#N/A</v>
      </c>
      <c r="EL894" s="46">
        <f t="shared" si="1025"/>
        <v>0</v>
      </c>
      <c r="EM894" s="46">
        <f t="shared" si="1026"/>
        <v>0</v>
      </c>
    </row>
    <row r="895" spans="1:143">
      <c r="A895" s="89"/>
      <c r="B895" s="89"/>
      <c r="C895" s="89"/>
      <c r="D895" s="89"/>
      <c r="E895" s="89"/>
      <c r="F895" s="89"/>
      <c r="G895" s="34"/>
      <c r="H895" s="56">
        <f t="shared" si="1027"/>
        <v>881</v>
      </c>
      <c r="I895" s="165"/>
      <c r="J895" s="163"/>
      <c r="K895" s="163"/>
      <c r="L895" s="164"/>
      <c r="M895" s="155"/>
      <c r="N895" s="155"/>
      <c r="O895" s="144"/>
      <c r="P895" s="159" t="str">
        <f>IFERROR(IF(O895&lt;&gt;"User Specified",IF(O895&lt;&gt;"", INDEX('Refrigerant GWPs'!$G$2:$G$154,MATCH(O895,'Refrigerant GWPs'!$A$2:$A$154,0)),""),U895),0)</f>
        <v/>
      </c>
      <c r="Q895" s="155"/>
      <c r="R895" s="155"/>
      <c r="S895" s="144"/>
      <c r="T895" s="159" t="str">
        <f>IF(S895&lt;&gt;"User Specified",IF(AND(S895&lt;&gt;"User Specified",S895&lt;&gt;""), INDEX('Refrigerant GWPs'!$G$2:$G$154,MATCH(S895,'Refrigerant GWPs'!$A$2:$A$154,0)),""),V895)</f>
        <v/>
      </c>
      <c r="U895" s="144"/>
      <c r="V895" s="144"/>
      <c r="W895" s="155"/>
      <c r="X895" s="155"/>
      <c r="Y895" s="144"/>
      <c r="Z895" s="159" t="str">
        <f>IF(AND(Y895&lt;&gt;"User Specified",Y895&lt;&gt;""), INDEX('Refrigerant GWPs'!$G$2:$G$154,MATCH(Y895,'Refrigerant GWPs'!$A$2:$A$154,0)),"")</f>
        <v/>
      </c>
      <c r="AA895" s="155"/>
      <c r="AB895" s="156"/>
      <c r="AC895" s="66"/>
      <c r="AD895" s="66"/>
      <c r="AE895" s="66"/>
      <c r="AF895" s="66"/>
      <c r="AG895" s="66"/>
      <c r="AH895" s="66"/>
      <c r="AI895" s="34"/>
      <c r="AJ895" s="88">
        <f t="shared" si="990"/>
        <v>0</v>
      </c>
      <c r="AK895" s="88">
        <f t="shared" si="991"/>
        <v>0</v>
      </c>
      <c r="AL895" s="88">
        <v>0</v>
      </c>
      <c r="AM895" s="88">
        <v>0</v>
      </c>
      <c r="AN895" s="81" t="str">
        <f t="shared" si="1029"/>
        <v/>
      </c>
      <c r="AO895" s="88">
        <f t="shared" si="992"/>
        <v>0</v>
      </c>
      <c r="AP895" s="88">
        <f t="shared" si="993"/>
        <v>0</v>
      </c>
      <c r="AQ895" s="81" t="str">
        <f t="shared" si="994"/>
        <v/>
      </c>
      <c r="AS895" s="41" t="b">
        <f t="shared" si="995"/>
        <v>1</v>
      </c>
      <c r="AT895" s="38">
        <f t="shared" si="996"/>
        <v>0</v>
      </c>
      <c r="AU895" s="60">
        <f t="shared" si="997"/>
        <v>0</v>
      </c>
      <c r="AV895" s="41">
        <f t="shared" si="998"/>
        <v>0</v>
      </c>
      <c r="AW895" s="41" t="b">
        <f t="shared" si="999"/>
        <v>0</v>
      </c>
      <c r="AX895" t="str">
        <f t="shared" si="1000"/>
        <v>+00</v>
      </c>
      <c r="AY895" t="str">
        <f t="shared" si="1001"/>
        <v>+00</v>
      </c>
      <c r="BA895" s="47" t="b">
        <f t="shared" si="1030"/>
        <v>1</v>
      </c>
      <c r="BB895" s="42" t="b">
        <f t="shared" si="1031"/>
        <v>1</v>
      </c>
      <c r="BC895" s="42" t="b">
        <f t="shared" si="1032"/>
        <v>0</v>
      </c>
      <c r="BD895" s="42" t="b">
        <f t="shared" si="1033"/>
        <v>0</v>
      </c>
      <c r="BE895" s="70">
        <f t="shared" si="1034"/>
        <v>0</v>
      </c>
      <c r="BF895" s="70">
        <f t="shared" si="1035"/>
        <v>0</v>
      </c>
      <c r="BG895" s="34"/>
      <c r="BI895" s="47" t="b">
        <f t="shared" si="1036"/>
        <v>1</v>
      </c>
      <c r="BJ895" s="47" t="b">
        <f t="shared" si="1037"/>
        <v>1</v>
      </c>
      <c r="BK895" s="42" t="b">
        <f t="shared" si="1038"/>
        <v>0</v>
      </c>
      <c r="BL895" s="42" t="b">
        <f t="shared" si="1039"/>
        <v>0</v>
      </c>
      <c r="BM895" s="42">
        <f t="shared" si="1040"/>
        <v>0</v>
      </c>
      <c r="BN895" s="42">
        <f t="shared" si="1041"/>
        <v>0</v>
      </c>
      <c r="BP895" t="e">
        <f t="shared" si="1042"/>
        <v>#N/A</v>
      </c>
      <c r="BQ895" t="e">
        <f t="shared" si="1043"/>
        <v>#N/A</v>
      </c>
      <c r="BR895" t="e">
        <f t="shared" si="1044"/>
        <v>#N/A</v>
      </c>
      <c r="BT895" s="60">
        <f t="shared" si="1045"/>
        <v>0</v>
      </c>
      <c r="BU895" s="60">
        <f t="shared" si="1046"/>
        <v>0</v>
      </c>
      <c r="BV895" s="60">
        <f t="shared" si="1047"/>
        <v>0</v>
      </c>
      <c r="BW895" s="60">
        <f t="shared" si="1048"/>
        <v>0</v>
      </c>
      <c r="BX895" s="60">
        <f t="shared" si="1049"/>
        <v>0</v>
      </c>
      <c r="BY895" s="60">
        <f t="shared" si="1050"/>
        <v>0</v>
      </c>
      <c r="BZ895" s="60">
        <f t="shared" si="1051"/>
        <v>0</v>
      </c>
      <c r="CA895" s="60">
        <f t="shared" si="1052"/>
        <v>0</v>
      </c>
      <c r="CB895" s="60" t="e">
        <f t="shared" si="1002"/>
        <v>#N/A</v>
      </c>
      <c r="CC895" s="60">
        <f t="shared" si="1003"/>
        <v>100000</v>
      </c>
      <c r="CD895" s="60" t="e">
        <f t="shared" si="1004"/>
        <v>#N/A</v>
      </c>
      <c r="CE895" s="60">
        <f t="shared" si="1005"/>
        <v>100000</v>
      </c>
      <c r="CF895" s="83" t="e">
        <f t="shared" si="1053"/>
        <v>#N/A</v>
      </c>
      <c r="CG895" s="83">
        <f t="shared" si="1054"/>
        <v>0</v>
      </c>
      <c r="CH895" s="83" t="e">
        <f t="shared" si="1055"/>
        <v>#N/A</v>
      </c>
      <c r="CI895" s="83">
        <f t="shared" si="1056"/>
        <v>0</v>
      </c>
      <c r="CJ895" s="86" t="e">
        <f t="shared" si="1006"/>
        <v>#N/A</v>
      </c>
      <c r="CK895" s="82">
        <f t="shared" si="1007"/>
        <v>5.3070370403969858E-3</v>
      </c>
      <c r="CL895" s="82" t="e">
        <f t="shared" si="1008"/>
        <v>#N/A</v>
      </c>
      <c r="CM895" s="82">
        <f t="shared" si="1009"/>
        <v>5.3070370403969858E-3</v>
      </c>
      <c r="CO895" s="149" t="str">
        <f>IF($I895&lt;&gt;"",IF(O895="User Specified",U895,INDEX('Refrigerant GWPs'!$G$2:$G$156,MATCH(O895,'Refrigerant GWPs'!$A$2:$A$156,0))),"")</f>
        <v/>
      </c>
      <c r="CP895" s="138" t="str">
        <f>IF($I895&lt;&gt;"",INDEX('Device Refrigerant Leakage'!$E$2:$E$42,MATCH($M895,'Device Refrigerant Leakage'!$B$2:$B$42,0)),"")</f>
        <v/>
      </c>
      <c r="CQ895" s="138" t="str">
        <f>IF($I895&lt;&gt;"",INDEX('Device Refrigerant Leakage'!$F$2:$F$42,MATCH($M895,'Device Refrigerant Leakage'!$B$2:$B$42,0)),"")</f>
        <v/>
      </c>
      <c r="CR895" s="145" t="str">
        <f>IF($I895&lt;&gt;"",INDEX('Device Refrigerant Leakage'!$G$2:$G$42,MATCH($M895,'Device Refrigerant Leakage'!$B$2:$B$42,0)),"")</f>
        <v/>
      </c>
      <c r="CS895" s="145" t="str">
        <f>IF($I895&lt;&gt;"",INDEX('Device Refrigerant Leakage'!$D$2:$D$42,MATCH($M895,'Device Refrigerant Leakage'!$B$2:$B$42,0))*CP895/2204.62*CO895,"")</f>
        <v/>
      </c>
      <c r="CT895" s="145" t="str">
        <f>IF($I895&lt;&gt;"",J895*(INDEX('Device Refrigerant Leakage'!$D$2:$D$42,MATCH($M895,'Device Refrigerant Leakage'!$B$2:$B$42,0))-(INDEX('Device Refrigerant Leakage'!$D$2:$D$42,MATCH($M895,'Device Refrigerant Leakage'!$B$2:$B$42,0)))*CR895*CP895)*CQ895/2204.62*CO895,"")</f>
        <v/>
      </c>
      <c r="CU895" s="135" t="str">
        <f>IF($I895&lt;&gt;"",J895*IF(W895&lt;&gt;"AR",(CS895*K895)+CT895,(CS895*AB895)+CT895*(AB895/INDEX('Device Refrigerant Leakage'!$C$2:$C$42,MATCH($M895,'Device Refrigerant Leakage'!$B$2:$B$42,0)))),"")</f>
        <v/>
      </c>
      <c r="CW895" s="135" t="str">
        <f>IF($I895&lt;&gt;"",IF(S895="User Specified",V895,INDEX('Refrigerant GWPs'!$G$2:$G$156,MATCH(S895,'Refrigerant GWPs'!$A$2:$A$157,0))),"")</f>
        <v/>
      </c>
      <c r="CX895" s="138" t="str">
        <f>IF($I895&lt;&gt;"",INDEX('Device Refrigerant Leakage'!$E$2:$E$42,MATCH($Q895,'Device Refrigerant Leakage'!$B$2:$B$42,0)),"")</f>
        <v/>
      </c>
      <c r="CY895" s="138" t="str">
        <f>IF($I895&lt;&gt;"",INDEX('Device Refrigerant Leakage'!$F$2:$F$42,MATCH($Q895,'Device Refrigerant Leakage'!$B$2:$B$42,0)),"")</f>
        <v/>
      </c>
      <c r="CZ895" s="145" t="str">
        <f>IF($I895&lt;&gt;"",INDEX('Device Refrigerant Leakage'!$G$2:$G$42,MATCH($Q895,'Device Refrigerant Leakage'!$B$2:$B$42,0)),"")</f>
        <v/>
      </c>
      <c r="DA895" s="145" t="str">
        <f>IF($I895&lt;&gt;"",J895*INDEX('Device Refrigerant Leakage'!$D$2:$D$42,MATCH($Q895,'Device Refrigerant Leakage'!$B$2:$B$42,0))*CX895/2204.62*CW895,"")</f>
        <v/>
      </c>
      <c r="DB895" s="145" t="str">
        <f>IF($I895&lt;&gt;"",J895*(INDEX('Device Refrigerant Leakage'!$D$2:$D$42,MATCH($Q895,'Device Refrigerant Leakage'!$B$2:$B$42,0))-(INDEX('Device Refrigerant Leakage'!$D$2:$D$42,MATCH($Q895,'Device Refrigerant Leakage'!$B$2:$B$42,0)))*CZ895*CX895)*CY895/2204.62*CW895,"")</f>
        <v/>
      </c>
      <c r="DC895" s="135" t="str">
        <f t="shared" si="1028"/>
        <v/>
      </c>
      <c r="DE895" s="146" t="str">
        <f>IF(W895&lt;&gt;"AR","",IF(Y895="User Specified", AA895, INDEX('Refrigerant GWPs'!$G$2:$G$154,MATCH(Y895,'Refrigerant GWPs'!$A$2:$A$154,0))))</f>
        <v/>
      </c>
      <c r="DF895" s="146" t="str">
        <f>IF(W895&lt;&gt;"AR","",INDEX('Device Refrigerant Leakage'!$E$2:$E$42,MATCH(X895,'Device Refrigerant Leakage'!$B$2:$B$42,0)))</f>
        <v/>
      </c>
      <c r="DG895" s="146" t="str">
        <f>IF(W895&lt;&gt;"AR","",INDEX('Device Refrigerant Leakage'!$F$2:$F$42,MATCH(X895,'Device Refrigerant Leakage'!$B$2:$B$42,0)))</f>
        <v/>
      </c>
      <c r="DH895" s="146" t="str">
        <f>IF(W895&lt;&gt;"AR","",INDEX('Device Refrigerant Leakage'!$G$2:$G$42,MATCH(X895,'Device Refrigerant Leakage'!$B$2:$B$42,0)))</f>
        <v/>
      </c>
      <c r="DI895" s="146" t="str">
        <f>IF(W895&lt;&gt;"AR","",J895*INDEX('Device Refrigerant Leakage'!$D$2:$D$42,MATCH(X895,'Device Refrigerant Leakage'!$B$2:$B$42,0))*DF895/2204.62*DE895)</f>
        <v/>
      </c>
      <c r="DJ895" s="146" t="str">
        <f>IF(W895&lt;&gt;"AR","",J895*(INDEX('Device Refrigerant Leakage'!$D$2:$D$42,MATCH(X895,'Device Refrigerant Leakage'!$B$2:$B$42,0))-(INDEX('Device Refrigerant Leakage'!$D$2:$D$42,MATCH(X895,'Device Refrigerant Leakage'!$B$2:$B$42,0)))*DH895*DF895)*DG895/2204.62*DE895)</f>
        <v/>
      </c>
      <c r="DK895" s="146" t="str">
        <f>IF(W895&lt;&gt;"AR","",DI895*(K895-AB895)+'Fuel Sub Calcs-Deemed'!DJ895*((K895-AB895)/INDEX('Device Refrigerant Leakage'!$C$2:$C$42,MATCH('Fuel Sub Calcs-Deemed'!X895,'Device Refrigerant Leakage'!$B$2:$B$42,0))))</f>
        <v/>
      </c>
      <c r="DM895" s="56">
        <v>881</v>
      </c>
      <c r="DN895" s="67" t="e">
        <f t="shared" si="1010"/>
        <v>#N/A</v>
      </c>
      <c r="DO895" s="45" t="e">
        <f t="shared" si="1011"/>
        <v>#N/A</v>
      </c>
      <c r="DP895" s="67" t="e">
        <f t="shared" si="1012"/>
        <v>#N/A</v>
      </c>
      <c r="DQ895" s="45" t="e">
        <f t="shared" si="1013"/>
        <v>#N/A</v>
      </c>
      <c r="DR895" s="69" t="e">
        <f t="shared" si="1014"/>
        <v>#N/A</v>
      </c>
      <c r="DS895" s="34"/>
      <c r="DT895" s="67" t="e">
        <f>((BX895*CJ895)+IF($W895=MAT_AR,(BZ895*CL895),0))*(1+Reference!$E$50+Reference!$E$51)</f>
        <v>#N/A</v>
      </c>
      <c r="DU895" s="67">
        <f>((BY895*CK895)+IF($W895=MAT_AR,(CA895*CM895),0))*(1+Reference!$G$50+Reference!$G$51)</f>
        <v>0</v>
      </c>
      <c r="DV895" s="67" t="e">
        <f t="shared" si="1015"/>
        <v>#VALUE!</v>
      </c>
      <c r="DX895" s="56">
        <v>881</v>
      </c>
      <c r="DY895" s="67">
        <f t="shared" si="1016"/>
        <v>0</v>
      </c>
      <c r="DZ895" s="45" t="e">
        <f>VLOOKUP($R895,Dropdown!$C$3:$D$4,2,FALSE)</f>
        <v>#N/A</v>
      </c>
      <c r="EA895" s="68">
        <f t="shared" si="1017"/>
        <v>0</v>
      </c>
      <c r="EB895" s="68" t="str">
        <f t="shared" si="1018"/>
        <v>N/A</v>
      </c>
      <c r="EC895" s="68">
        <f t="shared" si="1019"/>
        <v>0</v>
      </c>
      <c r="ED895" s="68" t="str">
        <f t="shared" si="1057"/>
        <v>N/A</v>
      </c>
      <c r="EF895" s="56">
        <v>881</v>
      </c>
      <c r="EG895" s="46">
        <f t="shared" si="1020"/>
        <v>0</v>
      </c>
      <c r="EH895" s="68" t="e">
        <f t="shared" si="1021"/>
        <v>#N/A</v>
      </c>
      <c r="EI895" s="68" t="e">
        <f t="shared" si="1022"/>
        <v>#N/A</v>
      </c>
      <c r="EJ895" s="68" t="e">
        <f t="shared" si="1023"/>
        <v>#N/A</v>
      </c>
      <c r="EK895" s="68" t="e">
        <f t="shared" si="1024"/>
        <v>#N/A</v>
      </c>
      <c r="EL895" s="46">
        <f t="shared" si="1025"/>
        <v>0</v>
      </c>
      <c r="EM895" s="46">
        <f t="shared" si="1026"/>
        <v>0</v>
      </c>
    </row>
    <row r="896" spans="1:143">
      <c r="A896" s="89"/>
      <c r="B896" s="89"/>
      <c r="C896" s="89"/>
      <c r="D896" s="89"/>
      <c r="E896" s="89"/>
      <c r="F896" s="89"/>
      <c r="G896" s="34"/>
      <c r="H896" s="56">
        <f t="shared" si="1027"/>
        <v>882</v>
      </c>
      <c r="I896" s="165"/>
      <c r="J896" s="163"/>
      <c r="K896" s="163"/>
      <c r="L896" s="164"/>
      <c r="M896" s="155"/>
      <c r="N896" s="155"/>
      <c r="O896" s="144"/>
      <c r="P896" s="159" t="str">
        <f>IFERROR(IF(O896&lt;&gt;"User Specified",IF(O896&lt;&gt;"", INDEX('Refrigerant GWPs'!$G$2:$G$154,MATCH(O896,'Refrigerant GWPs'!$A$2:$A$154,0)),""),U896),0)</f>
        <v/>
      </c>
      <c r="Q896" s="155"/>
      <c r="R896" s="155"/>
      <c r="S896" s="144"/>
      <c r="T896" s="159" t="str">
        <f>IF(S896&lt;&gt;"User Specified",IF(AND(S896&lt;&gt;"User Specified",S896&lt;&gt;""), INDEX('Refrigerant GWPs'!$G$2:$G$154,MATCH(S896,'Refrigerant GWPs'!$A$2:$A$154,0)),""),V896)</f>
        <v/>
      </c>
      <c r="U896" s="144"/>
      <c r="V896" s="144"/>
      <c r="W896" s="155"/>
      <c r="X896" s="155"/>
      <c r="Y896" s="144"/>
      <c r="Z896" s="159" t="str">
        <f>IF(AND(Y896&lt;&gt;"User Specified",Y896&lt;&gt;""), INDEX('Refrigerant GWPs'!$G$2:$G$154,MATCH(Y896,'Refrigerant GWPs'!$A$2:$A$154,0)),"")</f>
        <v/>
      </c>
      <c r="AA896" s="155"/>
      <c r="AB896" s="156"/>
      <c r="AC896" s="66"/>
      <c r="AD896" s="66"/>
      <c r="AE896" s="66"/>
      <c r="AF896" s="66"/>
      <c r="AG896" s="66"/>
      <c r="AH896" s="66"/>
      <c r="AI896" s="34"/>
      <c r="AJ896" s="88">
        <f t="shared" si="990"/>
        <v>0</v>
      </c>
      <c r="AK896" s="88">
        <f t="shared" si="991"/>
        <v>0</v>
      </c>
      <c r="AL896" s="88">
        <v>0</v>
      </c>
      <c r="AM896" s="88">
        <v>0</v>
      </c>
      <c r="AN896" s="81" t="str">
        <f t="shared" si="1029"/>
        <v/>
      </c>
      <c r="AO896" s="88">
        <f t="shared" si="992"/>
        <v>0</v>
      </c>
      <c r="AP896" s="88">
        <f t="shared" si="993"/>
        <v>0</v>
      </c>
      <c r="AQ896" s="81" t="str">
        <f t="shared" si="994"/>
        <v/>
      </c>
      <c r="AS896" s="41" t="b">
        <f t="shared" si="995"/>
        <v>1</v>
      </c>
      <c r="AT896" s="38">
        <f t="shared" si="996"/>
        <v>0</v>
      </c>
      <c r="AU896" s="60">
        <f t="shared" si="997"/>
        <v>0</v>
      </c>
      <c r="AV896" s="41">
        <f t="shared" si="998"/>
        <v>0</v>
      </c>
      <c r="AW896" s="41" t="b">
        <f t="shared" si="999"/>
        <v>0</v>
      </c>
      <c r="AX896" t="str">
        <f t="shared" si="1000"/>
        <v>+00</v>
      </c>
      <c r="AY896" t="str">
        <f t="shared" si="1001"/>
        <v>+00</v>
      </c>
      <c r="BA896" s="47" t="b">
        <f t="shared" si="1030"/>
        <v>1</v>
      </c>
      <c r="BB896" s="42" t="b">
        <f t="shared" si="1031"/>
        <v>1</v>
      </c>
      <c r="BC896" s="42" t="b">
        <f t="shared" si="1032"/>
        <v>0</v>
      </c>
      <c r="BD896" s="42" t="b">
        <f t="shared" si="1033"/>
        <v>0</v>
      </c>
      <c r="BE896" s="70">
        <f t="shared" si="1034"/>
        <v>0</v>
      </c>
      <c r="BF896" s="70">
        <f t="shared" si="1035"/>
        <v>0</v>
      </c>
      <c r="BG896" s="34"/>
      <c r="BI896" s="47" t="b">
        <f t="shared" si="1036"/>
        <v>1</v>
      </c>
      <c r="BJ896" s="47" t="b">
        <f t="shared" si="1037"/>
        <v>1</v>
      </c>
      <c r="BK896" s="42" t="b">
        <f t="shared" si="1038"/>
        <v>0</v>
      </c>
      <c r="BL896" s="42" t="b">
        <f t="shared" si="1039"/>
        <v>0</v>
      </c>
      <c r="BM896" s="42">
        <f t="shared" si="1040"/>
        <v>0</v>
      </c>
      <c r="BN896" s="42">
        <f t="shared" si="1041"/>
        <v>0</v>
      </c>
      <c r="BP896" t="e">
        <f t="shared" si="1042"/>
        <v>#N/A</v>
      </c>
      <c r="BQ896" t="e">
        <f t="shared" si="1043"/>
        <v>#N/A</v>
      </c>
      <c r="BR896" t="e">
        <f t="shared" si="1044"/>
        <v>#N/A</v>
      </c>
      <c r="BT896" s="60">
        <f t="shared" si="1045"/>
        <v>0</v>
      </c>
      <c r="BU896" s="60">
        <f t="shared" si="1046"/>
        <v>0</v>
      </c>
      <c r="BV896" s="60">
        <f t="shared" si="1047"/>
        <v>0</v>
      </c>
      <c r="BW896" s="60">
        <f t="shared" si="1048"/>
        <v>0</v>
      </c>
      <c r="BX896" s="60">
        <f t="shared" si="1049"/>
        <v>0</v>
      </c>
      <c r="BY896" s="60">
        <f t="shared" si="1050"/>
        <v>0</v>
      </c>
      <c r="BZ896" s="60">
        <f t="shared" si="1051"/>
        <v>0</v>
      </c>
      <c r="CA896" s="60">
        <f t="shared" si="1052"/>
        <v>0</v>
      </c>
      <c r="CB896" s="60" t="e">
        <f t="shared" si="1002"/>
        <v>#N/A</v>
      </c>
      <c r="CC896" s="60">
        <f t="shared" si="1003"/>
        <v>100000</v>
      </c>
      <c r="CD896" s="60" t="e">
        <f t="shared" si="1004"/>
        <v>#N/A</v>
      </c>
      <c r="CE896" s="60">
        <f t="shared" si="1005"/>
        <v>100000</v>
      </c>
      <c r="CF896" s="83" t="e">
        <f t="shared" si="1053"/>
        <v>#N/A</v>
      </c>
      <c r="CG896" s="83">
        <f t="shared" si="1054"/>
        <v>0</v>
      </c>
      <c r="CH896" s="83" t="e">
        <f t="shared" si="1055"/>
        <v>#N/A</v>
      </c>
      <c r="CI896" s="83">
        <f t="shared" si="1056"/>
        <v>0</v>
      </c>
      <c r="CJ896" s="86" t="e">
        <f t="shared" si="1006"/>
        <v>#N/A</v>
      </c>
      <c r="CK896" s="82">
        <f t="shared" si="1007"/>
        <v>5.3070370403969858E-3</v>
      </c>
      <c r="CL896" s="82" t="e">
        <f t="shared" si="1008"/>
        <v>#N/A</v>
      </c>
      <c r="CM896" s="82">
        <f t="shared" si="1009"/>
        <v>5.3070370403969858E-3</v>
      </c>
      <c r="CO896" s="149" t="str">
        <f>IF($I896&lt;&gt;"",IF(O896="User Specified",U896,INDEX('Refrigerant GWPs'!$G$2:$G$156,MATCH(O896,'Refrigerant GWPs'!$A$2:$A$156,0))),"")</f>
        <v/>
      </c>
      <c r="CP896" s="138" t="str">
        <f>IF($I896&lt;&gt;"",INDEX('Device Refrigerant Leakage'!$E$2:$E$42,MATCH($M896,'Device Refrigerant Leakage'!$B$2:$B$42,0)),"")</f>
        <v/>
      </c>
      <c r="CQ896" s="138" t="str">
        <f>IF($I896&lt;&gt;"",INDEX('Device Refrigerant Leakage'!$F$2:$F$42,MATCH($M896,'Device Refrigerant Leakage'!$B$2:$B$42,0)),"")</f>
        <v/>
      </c>
      <c r="CR896" s="145" t="str">
        <f>IF($I896&lt;&gt;"",INDEX('Device Refrigerant Leakage'!$G$2:$G$42,MATCH($M896,'Device Refrigerant Leakage'!$B$2:$B$42,0)),"")</f>
        <v/>
      </c>
      <c r="CS896" s="145" t="str">
        <f>IF($I896&lt;&gt;"",INDEX('Device Refrigerant Leakage'!$D$2:$D$42,MATCH($M896,'Device Refrigerant Leakage'!$B$2:$B$42,0))*CP896/2204.62*CO896,"")</f>
        <v/>
      </c>
      <c r="CT896" s="145" t="str">
        <f>IF($I896&lt;&gt;"",J896*(INDEX('Device Refrigerant Leakage'!$D$2:$D$42,MATCH($M896,'Device Refrigerant Leakage'!$B$2:$B$42,0))-(INDEX('Device Refrigerant Leakage'!$D$2:$D$42,MATCH($M896,'Device Refrigerant Leakage'!$B$2:$B$42,0)))*CR896*CP896)*CQ896/2204.62*CO896,"")</f>
        <v/>
      </c>
      <c r="CU896" s="135" t="str">
        <f>IF($I896&lt;&gt;"",J896*IF(W896&lt;&gt;"AR",(CS896*K896)+CT896,(CS896*AB896)+CT896*(AB896/INDEX('Device Refrigerant Leakage'!$C$2:$C$42,MATCH($M896,'Device Refrigerant Leakage'!$B$2:$B$42,0)))),"")</f>
        <v/>
      </c>
      <c r="CW896" s="135" t="str">
        <f>IF($I896&lt;&gt;"",IF(S896="User Specified",V896,INDEX('Refrigerant GWPs'!$G$2:$G$156,MATCH(S896,'Refrigerant GWPs'!$A$2:$A$157,0))),"")</f>
        <v/>
      </c>
      <c r="CX896" s="138" t="str">
        <f>IF($I896&lt;&gt;"",INDEX('Device Refrigerant Leakage'!$E$2:$E$42,MATCH($Q896,'Device Refrigerant Leakage'!$B$2:$B$42,0)),"")</f>
        <v/>
      </c>
      <c r="CY896" s="138" t="str">
        <f>IF($I896&lt;&gt;"",INDEX('Device Refrigerant Leakage'!$F$2:$F$42,MATCH($Q896,'Device Refrigerant Leakage'!$B$2:$B$42,0)),"")</f>
        <v/>
      </c>
      <c r="CZ896" s="145" t="str">
        <f>IF($I896&lt;&gt;"",INDEX('Device Refrigerant Leakage'!$G$2:$G$42,MATCH($Q896,'Device Refrigerant Leakage'!$B$2:$B$42,0)),"")</f>
        <v/>
      </c>
      <c r="DA896" s="145" t="str">
        <f>IF($I896&lt;&gt;"",J896*INDEX('Device Refrigerant Leakage'!$D$2:$D$42,MATCH($Q896,'Device Refrigerant Leakage'!$B$2:$B$42,0))*CX896/2204.62*CW896,"")</f>
        <v/>
      </c>
      <c r="DB896" s="145" t="str">
        <f>IF($I896&lt;&gt;"",J896*(INDEX('Device Refrigerant Leakage'!$D$2:$D$42,MATCH($Q896,'Device Refrigerant Leakage'!$B$2:$B$42,0))-(INDEX('Device Refrigerant Leakage'!$D$2:$D$42,MATCH($Q896,'Device Refrigerant Leakage'!$B$2:$B$42,0)))*CZ896*CX896)*CY896/2204.62*CW896,"")</f>
        <v/>
      </c>
      <c r="DC896" s="135" t="str">
        <f t="shared" si="1028"/>
        <v/>
      </c>
      <c r="DE896" s="146" t="str">
        <f>IF(W896&lt;&gt;"AR","",IF(Y896="User Specified", AA896, INDEX('Refrigerant GWPs'!$G$2:$G$154,MATCH(Y896,'Refrigerant GWPs'!$A$2:$A$154,0))))</f>
        <v/>
      </c>
      <c r="DF896" s="146" t="str">
        <f>IF(W896&lt;&gt;"AR","",INDEX('Device Refrigerant Leakage'!$E$2:$E$42,MATCH(X896,'Device Refrigerant Leakage'!$B$2:$B$42,0)))</f>
        <v/>
      </c>
      <c r="DG896" s="146" t="str">
        <f>IF(W896&lt;&gt;"AR","",INDEX('Device Refrigerant Leakage'!$F$2:$F$42,MATCH(X896,'Device Refrigerant Leakage'!$B$2:$B$42,0)))</f>
        <v/>
      </c>
      <c r="DH896" s="146" t="str">
        <f>IF(W896&lt;&gt;"AR","",INDEX('Device Refrigerant Leakage'!$G$2:$G$42,MATCH(X896,'Device Refrigerant Leakage'!$B$2:$B$42,0)))</f>
        <v/>
      </c>
      <c r="DI896" s="146" t="str">
        <f>IF(W896&lt;&gt;"AR","",J896*INDEX('Device Refrigerant Leakage'!$D$2:$D$42,MATCH(X896,'Device Refrigerant Leakage'!$B$2:$B$42,0))*DF896/2204.62*DE896)</f>
        <v/>
      </c>
      <c r="DJ896" s="146" t="str">
        <f>IF(W896&lt;&gt;"AR","",J896*(INDEX('Device Refrigerant Leakage'!$D$2:$D$42,MATCH(X896,'Device Refrigerant Leakage'!$B$2:$B$42,0))-(INDEX('Device Refrigerant Leakage'!$D$2:$D$42,MATCH(X896,'Device Refrigerant Leakage'!$B$2:$B$42,0)))*DH896*DF896)*DG896/2204.62*DE896)</f>
        <v/>
      </c>
      <c r="DK896" s="146" t="str">
        <f>IF(W896&lt;&gt;"AR","",DI896*(K896-AB896)+'Fuel Sub Calcs-Deemed'!DJ896*((K896-AB896)/INDEX('Device Refrigerant Leakage'!$C$2:$C$42,MATCH('Fuel Sub Calcs-Deemed'!X896,'Device Refrigerant Leakage'!$B$2:$B$42,0))))</f>
        <v/>
      </c>
      <c r="DM896" s="56">
        <v>882</v>
      </c>
      <c r="DN896" s="67" t="e">
        <f t="shared" si="1010"/>
        <v>#N/A</v>
      </c>
      <c r="DO896" s="45" t="e">
        <f t="shared" si="1011"/>
        <v>#N/A</v>
      </c>
      <c r="DP896" s="67" t="e">
        <f t="shared" si="1012"/>
        <v>#N/A</v>
      </c>
      <c r="DQ896" s="45" t="e">
        <f t="shared" si="1013"/>
        <v>#N/A</v>
      </c>
      <c r="DR896" s="69" t="e">
        <f t="shared" si="1014"/>
        <v>#N/A</v>
      </c>
      <c r="DS896" s="34"/>
      <c r="DT896" s="67" t="e">
        <f>((BX896*CJ896)+IF($W896=MAT_AR,(BZ896*CL896),0))*(1+Reference!$E$50+Reference!$E$51)</f>
        <v>#N/A</v>
      </c>
      <c r="DU896" s="67">
        <f>((BY896*CK896)+IF($W896=MAT_AR,(CA896*CM896),0))*(1+Reference!$G$50+Reference!$G$51)</f>
        <v>0</v>
      </c>
      <c r="DV896" s="67" t="e">
        <f t="shared" si="1015"/>
        <v>#VALUE!</v>
      </c>
      <c r="DX896" s="56">
        <v>882</v>
      </c>
      <c r="DY896" s="67">
        <f t="shared" si="1016"/>
        <v>0</v>
      </c>
      <c r="DZ896" s="45" t="e">
        <f>VLOOKUP($R896,Dropdown!$C$3:$D$4,2,FALSE)</f>
        <v>#N/A</v>
      </c>
      <c r="EA896" s="68">
        <f t="shared" si="1017"/>
        <v>0</v>
      </c>
      <c r="EB896" s="68" t="str">
        <f t="shared" si="1018"/>
        <v>N/A</v>
      </c>
      <c r="EC896" s="68">
        <f t="shared" si="1019"/>
        <v>0</v>
      </c>
      <c r="ED896" s="68" t="str">
        <f t="shared" si="1057"/>
        <v>N/A</v>
      </c>
      <c r="EF896" s="56">
        <v>882</v>
      </c>
      <c r="EG896" s="46">
        <f t="shared" si="1020"/>
        <v>0</v>
      </c>
      <c r="EH896" s="68" t="e">
        <f t="shared" si="1021"/>
        <v>#N/A</v>
      </c>
      <c r="EI896" s="68" t="e">
        <f t="shared" si="1022"/>
        <v>#N/A</v>
      </c>
      <c r="EJ896" s="68" t="e">
        <f t="shared" si="1023"/>
        <v>#N/A</v>
      </c>
      <c r="EK896" s="68" t="e">
        <f t="shared" si="1024"/>
        <v>#N/A</v>
      </c>
      <c r="EL896" s="46">
        <f t="shared" si="1025"/>
        <v>0</v>
      </c>
      <c r="EM896" s="46">
        <f t="shared" si="1026"/>
        <v>0</v>
      </c>
    </row>
    <row r="897" spans="1:143">
      <c r="A897" s="89"/>
      <c r="B897" s="89"/>
      <c r="C897" s="89"/>
      <c r="D897" s="89"/>
      <c r="E897" s="89"/>
      <c r="F897" s="89"/>
      <c r="G897" s="34"/>
      <c r="H897" s="56">
        <f t="shared" si="1027"/>
        <v>883</v>
      </c>
      <c r="I897" s="165"/>
      <c r="J897" s="163"/>
      <c r="K897" s="163"/>
      <c r="L897" s="164"/>
      <c r="M897" s="155"/>
      <c r="N897" s="155"/>
      <c r="O897" s="144"/>
      <c r="P897" s="159" t="str">
        <f>IFERROR(IF(O897&lt;&gt;"User Specified",IF(O897&lt;&gt;"", INDEX('Refrigerant GWPs'!$G$2:$G$154,MATCH(O897,'Refrigerant GWPs'!$A$2:$A$154,0)),""),U897),0)</f>
        <v/>
      </c>
      <c r="Q897" s="155"/>
      <c r="R897" s="155"/>
      <c r="S897" s="144"/>
      <c r="T897" s="159" t="str">
        <f>IF(S897&lt;&gt;"User Specified",IF(AND(S897&lt;&gt;"User Specified",S897&lt;&gt;""), INDEX('Refrigerant GWPs'!$G$2:$G$154,MATCH(S897,'Refrigerant GWPs'!$A$2:$A$154,0)),""),V897)</f>
        <v/>
      </c>
      <c r="U897" s="144"/>
      <c r="V897" s="144"/>
      <c r="W897" s="155"/>
      <c r="X897" s="155"/>
      <c r="Y897" s="144"/>
      <c r="Z897" s="159" t="str">
        <f>IF(AND(Y897&lt;&gt;"User Specified",Y897&lt;&gt;""), INDEX('Refrigerant GWPs'!$G$2:$G$154,MATCH(Y897,'Refrigerant GWPs'!$A$2:$A$154,0)),"")</f>
        <v/>
      </c>
      <c r="AA897" s="155"/>
      <c r="AB897" s="156"/>
      <c r="AC897" s="66"/>
      <c r="AD897" s="66"/>
      <c r="AE897" s="66"/>
      <c r="AF897" s="66"/>
      <c r="AG897" s="66"/>
      <c r="AH897" s="66"/>
      <c r="AI897" s="34"/>
      <c r="AJ897" s="88">
        <f t="shared" si="990"/>
        <v>0</v>
      </c>
      <c r="AK897" s="88">
        <f t="shared" si="991"/>
        <v>0</v>
      </c>
      <c r="AL897" s="88">
        <v>0</v>
      </c>
      <c r="AM897" s="88">
        <v>0</v>
      </c>
      <c r="AN897" s="81" t="str">
        <f t="shared" si="1029"/>
        <v/>
      </c>
      <c r="AO897" s="88">
        <f t="shared" si="992"/>
        <v>0</v>
      </c>
      <c r="AP897" s="88">
        <f t="shared" si="993"/>
        <v>0</v>
      </c>
      <c r="AQ897" s="81" t="str">
        <f t="shared" si="994"/>
        <v/>
      </c>
      <c r="AS897" s="41" t="b">
        <f t="shared" si="995"/>
        <v>1</v>
      </c>
      <c r="AT897" s="38">
        <f t="shared" si="996"/>
        <v>0</v>
      </c>
      <c r="AU897" s="60">
        <f t="shared" si="997"/>
        <v>0</v>
      </c>
      <c r="AV897" s="41">
        <f t="shared" si="998"/>
        <v>0</v>
      </c>
      <c r="AW897" s="41" t="b">
        <f t="shared" si="999"/>
        <v>0</v>
      </c>
      <c r="AX897" t="str">
        <f t="shared" si="1000"/>
        <v>+00</v>
      </c>
      <c r="AY897" t="str">
        <f t="shared" si="1001"/>
        <v>+00</v>
      </c>
      <c r="BA897" s="47" t="b">
        <f t="shared" si="1030"/>
        <v>1</v>
      </c>
      <c r="BB897" s="42" t="b">
        <f t="shared" si="1031"/>
        <v>1</v>
      </c>
      <c r="BC897" s="42" t="b">
        <f t="shared" si="1032"/>
        <v>0</v>
      </c>
      <c r="BD897" s="42" t="b">
        <f t="shared" si="1033"/>
        <v>0</v>
      </c>
      <c r="BE897" s="70">
        <f t="shared" si="1034"/>
        <v>0</v>
      </c>
      <c r="BF897" s="70">
        <f t="shared" si="1035"/>
        <v>0</v>
      </c>
      <c r="BG897" s="34"/>
      <c r="BI897" s="47" t="b">
        <f t="shared" si="1036"/>
        <v>1</v>
      </c>
      <c r="BJ897" s="47" t="b">
        <f t="shared" si="1037"/>
        <v>1</v>
      </c>
      <c r="BK897" s="42" t="b">
        <f t="shared" si="1038"/>
        <v>0</v>
      </c>
      <c r="BL897" s="42" t="b">
        <f t="shared" si="1039"/>
        <v>0</v>
      </c>
      <c r="BM897" s="42">
        <f t="shared" si="1040"/>
        <v>0</v>
      </c>
      <c r="BN897" s="42">
        <f t="shared" si="1041"/>
        <v>0</v>
      </c>
      <c r="BP897" t="e">
        <f t="shared" si="1042"/>
        <v>#N/A</v>
      </c>
      <c r="BQ897" t="e">
        <f t="shared" si="1043"/>
        <v>#N/A</v>
      </c>
      <c r="BR897" t="e">
        <f t="shared" si="1044"/>
        <v>#N/A</v>
      </c>
      <c r="BT897" s="60">
        <f t="shared" si="1045"/>
        <v>0</v>
      </c>
      <c r="BU897" s="60">
        <f t="shared" si="1046"/>
        <v>0</v>
      </c>
      <c r="BV897" s="60">
        <f t="shared" si="1047"/>
        <v>0</v>
      </c>
      <c r="BW897" s="60">
        <f t="shared" si="1048"/>
        <v>0</v>
      </c>
      <c r="BX897" s="60">
        <f t="shared" si="1049"/>
        <v>0</v>
      </c>
      <c r="BY897" s="60">
        <f t="shared" si="1050"/>
        <v>0</v>
      </c>
      <c r="BZ897" s="60">
        <f t="shared" si="1051"/>
        <v>0</v>
      </c>
      <c r="CA897" s="60">
        <f t="shared" si="1052"/>
        <v>0</v>
      </c>
      <c r="CB897" s="60" t="e">
        <f t="shared" si="1002"/>
        <v>#N/A</v>
      </c>
      <c r="CC897" s="60">
        <f t="shared" si="1003"/>
        <v>100000</v>
      </c>
      <c r="CD897" s="60" t="e">
        <f t="shared" si="1004"/>
        <v>#N/A</v>
      </c>
      <c r="CE897" s="60">
        <f t="shared" si="1005"/>
        <v>100000</v>
      </c>
      <c r="CF897" s="83" t="e">
        <f t="shared" si="1053"/>
        <v>#N/A</v>
      </c>
      <c r="CG897" s="83">
        <f t="shared" si="1054"/>
        <v>0</v>
      </c>
      <c r="CH897" s="83" t="e">
        <f t="shared" si="1055"/>
        <v>#N/A</v>
      </c>
      <c r="CI897" s="83">
        <f t="shared" si="1056"/>
        <v>0</v>
      </c>
      <c r="CJ897" s="86" t="e">
        <f t="shared" si="1006"/>
        <v>#N/A</v>
      </c>
      <c r="CK897" s="82">
        <f t="shared" si="1007"/>
        <v>5.3070370403969858E-3</v>
      </c>
      <c r="CL897" s="82" t="e">
        <f t="shared" si="1008"/>
        <v>#N/A</v>
      </c>
      <c r="CM897" s="82">
        <f t="shared" si="1009"/>
        <v>5.3070370403969858E-3</v>
      </c>
      <c r="CO897" s="149" t="str">
        <f>IF($I897&lt;&gt;"",IF(O897="User Specified",U897,INDEX('Refrigerant GWPs'!$G$2:$G$156,MATCH(O897,'Refrigerant GWPs'!$A$2:$A$156,0))),"")</f>
        <v/>
      </c>
      <c r="CP897" s="138" t="str">
        <f>IF($I897&lt;&gt;"",INDEX('Device Refrigerant Leakage'!$E$2:$E$42,MATCH($M897,'Device Refrigerant Leakage'!$B$2:$B$42,0)),"")</f>
        <v/>
      </c>
      <c r="CQ897" s="138" t="str">
        <f>IF($I897&lt;&gt;"",INDEX('Device Refrigerant Leakage'!$F$2:$F$42,MATCH($M897,'Device Refrigerant Leakage'!$B$2:$B$42,0)),"")</f>
        <v/>
      </c>
      <c r="CR897" s="145" t="str">
        <f>IF($I897&lt;&gt;"",INDEX('Device Refrigerant Leakage'!$G$2:$G$42,MATCH($M897,'Device Refrigerant Leakage'!$B$2:$B$42,0)),"")</f>
        <v/>
      </c>
      <c r="CS897" s="145" t="str">
        <f>IF($I897&lt;&gt;"",INDEX('Device Refrigerant Leakage'!$D$2:$D$42,MATCH($M897,'Device Refrigerant Leakage'!$B$2:$B$42,0))*CP897/2204.62*CO897,"")</f>
        <v/>
      </c>
      <c r="CT897" s="145" t="str">
        <f>IF($I897&lt;&gt;"",J897*(INDEX('Device Refrigerant Leakage'!$D$2:$D$42,MATCH($M897,'Device Refrigerant Leakage'!$B$2:$B$42,0))-(INDEX('Device Refrigerant Leakage'!$D$2:$D$42,MATCH($M897,'Device Refrigerant Leakage'!$B$2:$B$42,0)))*CR897*CP897)*CQ897/2204.62*CO897,"")</f>
        <v/>
      </c>
      <c r="CU897" s="135" t="str">
        <f>IF($I897&lt;&gt;"",J897*IF(W897&lt;&gt;"AR",(CS897*K897)+CT897,(CS897*AB897)+CT897*(AB897/INDEX('Device Refrigerant Leakage'!$C$2:$C$42,MATCH($M897,'Device Refrigerant Leakage'!$B$2:$B$42,0)))),"")</f>
        <v/>
      </c>
      <c r="CW897" s="135" t="str">
        <f>IF($I897&lt;&gt;"",IF(S897="User Specified",V897,INDEX('Refrigerant GWPs'!$G$2:$G$156,MATCH(S897,'Refrigerant GWPs'!$A$2:$A$157,0))),"")</f>
        <v/>
      </c>
      <c r="CX897" s="138" t="str">
        <f>IF($I897&lt;&gt;"",INDEX('Device Refrigerant Leakage'!$E$2:$E$42,MATCH($Q897,'Device Refrigerant Leakage'!$B$2:$B$42,0)),"")</f>
        <v/>
      </c>
      <c r="CY897" s="138" t="str">
        <f>IF($I897&lt;&gt;"",INDEX('Device Refrigerant Leakage'!$F$2:$F$42,MATCH($Q897,'Device Refrigerant Leakage'!$B$2:$B$42,0)),"")</f>
        <v/>
      </c>
      <c r="CZ897" s="145" t="str">
        <f>IF($I897&lt;&gt;"",INDEX('Device Refrigerant Leakage'!$G$2:$G$42,MATCH($Q897,'Device Refrigerant Leakage'!$B$2:$B$42,0)),"")</f>
        <v/>
      </c>
      <c r="DA897" s="145" t="str">
        <f>IF($I897&lt;&gt;"",J897*INDEX('Device Refrigerant Leakage'!$D$2:$D$42,MATCH($Q897,'Device Refrigerant Leakage'!$B$2:$B$42,0))*CX897/2204.62*CW897,"")</f>
        <v/>
      </c>
      <c r="DB897" s="145" t="str">
        <f>IF($I897&lt;&gt;"",J897*(INDEX('Device Refrigerant Leakage'!$D$2:$D$42,MATCH($Q897,'Device Refrigerant Leakage'!$B$2:$B$42,0))-(INDEX('Device Refrigerant Leakage'!$D$2:$D$42,MATCH($Q897,'Device Refrigerant Leakage'!$B$2:$B$42,0)))*CZ897*CX897)*CY897/2204.62*CW897,"")</f>
        <v/>
      </c>
      <c r="DC897" s="135" t="str">
        <f t="shared" si="1028"/>
        <v/>
      </c>
      <c r="DE897" s="146" t="str">
        <f>IF(W897&lt;&gt;"AR","",IF(Y897="User Specified", AA897, INDEX('Refrigerant GWPs'!$G$2:$G$154,MATCH(Y897,'Refrigerant GWPs'!$A$2:$A$154,0))))</f>
        <v/>
      </c>
      <c r="DF897" s="146" t="str">
        <f>IF(W897&lt;&gt;"AR","",INDEX('Device Refrigerant Leakage'!$E$2:$E$42,MATCH(X897,'Device Refrigerant Leakage'!$B$2:$B$42,0)))</f>
        <v/>
      </c>
      <c r="DG897" s="146" t="str">
        <f>IF(W897&lt;&gt;"AR","",INDEX('Device Refrigerant Leakage'!$F$2:$F$42,MATCH(X897,'Device Refrigerant Leakage'!$B$2:$B$42,0)))</f>
        <v/>
      </c>
      <c r="DH897" s="146" t="str">
        <f>IF(W897&lt;&gt;"AR","",INDEX('Device Refrigerant Leakage'!$G$2:$G$42,MATCH(X897,'Device Refrigerant Leakage'!$B$2:$B$42,0)))</f>
        <v/>
      </c>
      <c r="DI897" s="146" t="str">
        <f>IF(W897&lt;&gt;"AR","",J897*INDEX('Device Refrigerant Leakage'!$D$2:$D$42,MATCH(X897,'Device Refrigerant Leakage'!$B$2:$B$42,0))*DF897/2204.62*DE897)</f>
        <v/>
      </c>
      <c r="DJ897" s="146" t="str">
        <f>IF(W897&lt;&gt;"AR","",J897*(INDEX('Device Refrigerant Leakage'!$D$2:$D$42,MATCH(X897,'Device Refrigerant Leakage'!$B$2:$B$42,0))-(INDEX('Device Refrigerant Leakage'!$D$2:$D$42,MATCH(X897,'Device Refrigerant Leakage'!$B$2:$B$42,0)))*DH897*DF897)*DG897/2204.62*DE897)</f>
        <v/>
      </c>
      <c r="DK897" s="146" t="str">
        <f>IF(W897&lt;&gt;"AR","",DI897*(K897-AB897)+'Fuel Sub Calcs-Deemed'!DJ897*((K897-AB897)/INDEX('Device Refrigerant Leakage'!$C$2:$C$42,MATCH('Fuel Sub Calcs-Deemed'!X897,'Device Refrigerant Leakage'!$B$2:$B$42,0))))</f>
        <v/>
      </c>
      <c r="DM897" s="56">
        <v>883</v>
      </c>
      <c r="DN897" s="67" t="e">
        <f t="shared" si="1010"/>
        <v>#N/A</v>
      </c>
      <c r="DO897" s="45" t="e">
        <f t="shared" si="1011"/>
        <v>#N/A</v>
      </c>
      <c r="DP897" s="67" t="e">
        <f t="shared" si="1012"/>
        <v>#N/A</v>
      </c>
      <c r="DQ897" s="45" t="e">
        <f t="shared" si="1013"/>
        <v>#N/A</v>
      </c>
      <c r="DR897" s="69" t="e">
        <f t="shared" si="1014"/>
        <v>#N/A</v>
      </c>
      <c r="DS897" s="34"/>
      <c r="DT897" s="67" t="e">
        <f>((BX897*CJ897)+IF($W897=MAT_AR,(BZ897*CL897),0))*(1+Reference!$E$50+Reference!$E$51)</f>
        <v>#N/A</v>
      </c>
      <c r="DU897" s="67">
        <f>((BY897*CK897)+IF($W897=MAT_AR,(CA897*CM897),0))*(1+Reference!$G$50+Reference!$G$51)</f>
        <v>0</v>
      </c>
      <c r="DV897" s="67" t="e">
        <f t="shared" si="1015"/>
        <v>#VALUE!</v>
      </c>
      <c r="DX897" s="56">
        <v>883</v>
      </c>
      <c r="DY897" s="67">
        <f t="shared" si="1016"/>
        <v>0</v>
      </c>
      <c r="DZ897" s="45" t="e">
        <f>VLOOKUP($R897,Dropdown!$C$3:$D$4,2,FALSE)</f>
        <v>#N/A</v>
      </c>
      <c r="EA897" s="68">
        <f t="shared" si="1017"/>
        <v>0</v>
      </c>
      <c r="EB897" s="68" t="str">
        <f t="shared" si="1018"/>
        <v>N/A</v>
      </c>
      <c r="EC897" s="68">
        <f t="shared" si="1019"/>
        <v>0</v>
      </c>
      <c r="ED897" s="68" t="str">
        <f t="shared" si="1057"/>
        <v>N/A</v>
      </c>
      <c r="EF897" s="56">
        <v>883</v>
      </c>
      <c r="EG897" s="46">
        <f t="shared" si="1020"/>
        <v>0</v>
      </c>
      <c r="EH897" s="68" t="e">
        <f t="shared" si="1021"/>
        <v>#N/A</v>
      </c>
      <c r="EI897" s="68" t="e">
        <f t="shared" si="1022"/>
        <v>#N/A</v>
      </c>
      <c r="EJ897" s="68" t="e">
        <f t="shared" si="1023"/>
        <v>#N/A</v>
      </c>
      <c r="EK897" s="68" t="e">
        <f t="shared" si="1024"/>
        <v>#N/A</v>
      </c>
      <c r="EL897" s="46">
        <f t="shared" si="1025"/>
        <v>0</v>
      </c>
      <c r="EM897" s="46">
        <f t="shared" si="1026"/>
        <v>0</v>
      </c>
    </row>
    <row r="898" spans="1:143">
      <c r="A898" s="89"/>
      <c r="B898" s="89"/>
      <c r="C898" s="89"/>
      <c r="D898" s="89"/>
      <c r="E898" s="89"/>
      <c r="F898" s="89"/>
      <c r="G898" s="34"/>
      <c r="H898" s="56">
        <f t="shared" si="1027"/>
        <v>884</v>
      </c>
      <c r="I898" s="165"/>
      <c r="J898" s="163"/>
      <c r="K898" s="163"/>
      <c r="L898" s="164"/>
      <c r="M898" s="155"/>
      <c r="N898" s="155"/>
      <c r="O898" s="144"/>
      <c r="P898" s="159" t="str">
        <f>IFERROR(IF(O898&lt;&gt;"User Specified",IF(O898&lt;&gt;"", INDEX('Refrigerant GWPs'!$G$2:$G$154,MATCH(O898,'Refrigerant GWPs'!$A$2:$A$154,0)),""),U898),0)</f>
        <v/>
      </c>
      <c r="Q898" s="155"/>
      <c r="R898" s="155"/>
      <c r="S898" s="144"/>
      <c r="T898" s="159" t="str">
        <f>IF(S898&lt;&gt;"User Specified",IF(AND(S898&lt;&gt;"User Specified",S898&lt;&gt;""), INDEX('Refrigerant GWPs'!$G$2:$G$154,MATCH(S898,'Refrigerant GWPs'!$A$2:$A$154,0)),""),V898)</f>
        <v/>
      </c>
      <c r="U898" s="144"/>
      <c r="V898" s="144"/>
      <c r="W898" s="155"/>
      <c r="X898" s="155"/>
      <c r="Y898" s="144"/>
      <c r="Z898" s="159" t="str">
        <f>IF(AND(Y898&lt;&gt;"User Specified",Y898&lt;&gt;""), INDEX('Refrigerant GWPs'!$G$2:$G$154,MATCH(Y898,'Refrigerant GWPs'!$A$2:$A$154,0)),"")</f>
        <v/>
      </c>
      <c r="AA898" s="155"/>
      <c r="AB898" s="156"/>
      <c r="AC898" s="66"/>
      <c r="AD898" s="66"/>
      <c r="AE898" s="66"/>
      <c r="AF898" s="66"/>
      <c r="AG898" s="66"/>
      <c r="AH898" s="66"/>
      <c r="AI898" s="34"/>
      <c r="AJ898" s="88">
        <f t="shared" si="990"/>
        <v>0</v>
      </c>
      <c r="AK898" s="88">
        <f t="shared" si="991"/>
        <v>0</v>
      </c>
      <c r="AL898" s="88">
        <v>0</v>
      </c>
      <c r="AM898" s="88">
        <v>0</v>
      </c>
      <c r="AN898" s="81" t="str">
        <f t="shared" si="1029"/>
        <v/>
      </c>
      <c r="AO898" s="88">
        <f t="shared" si="992"/>
        <v>0</v>
      </c>
      <c r="AP898" s="88">
        <f t="shared" si="993"/>
        <v>0</v>
      </c>
      <c r="AQ898" s="81" t="str">
        <f t="shared" si="994"/>
        <v/>
      </c>
      <c r="AS898" s="41" t="b">
        <f t="shared" si="995"/>
        <v>1</v>
      </c>
      <c r="AT898" s="38">
        <f t="shared" si="996"/>
        <v>0</v>
      </c>
      <c r="AU898" s="60">
        <f t="shared" si="997"/>
        <v>0</v>
      </c>
      <c r="AV898" s="41">
        <f t="shared" si="998"/>
        <v>0</v>
      </c>
      <c r="AW898" s="41" t="b">
        <f t="shared" si="999"/>
        <v>0</v>
      </c>
      <c r="AX898" t="str">
        <f t="shared" si="1000"/>
        <v>+00</v>
      </c>
      <c r="AY898" t="str">
        <f t="shared" si="1001"/>
        <v>+00</v>
      </c>
      <c r="BA898" s="47" t="b">
        <f t="shared" si="1030"/>
        <v>1</v>
      </c>
      <c r="BB898" s="42" t="b">
        <f t="shared" si="1031"/>
        <v>1</v>
      </c>
      <c r="BC898" s="42" t="b">
        <f t="shared" si="1032"/>
        <v>0</v>
      </c>
      <c r="BD898" s="42" t="b">
        <f t="shared" si="1033"/>
        <v>0</v>
      </c>
      <c r="BE898" s="70">
        <f t="shared" si="1034"/>
        <v>0</v>
      </c>
      <c r="BF898" s="70">
        <f t="shared" si="1035"/>
        <v>0</v>
      </c>
      <c r="BG898" s="34"/>
      <c r="BI898" s="47" t="b">
        <f t="shared" si="1036"/>
        <v>1</v>
      </c>
      <c r="BJ898" s="47" t="b">
        <f t="shared" si="1037"/>
        <v>1</v>
      </c>
      <c r="BK898" s="42" t="b">
        <f t="shared" si="1038"/>
        <v>0</v>
      </c>
      <c r="BL898" s="42" t="b">
        <f t="shared" si="1039"/>
        <v>0</v>
      </c>
      <c r="BM898" s="42">
        <f t="shared" si="1040"/>
        <v>0</v>
      </c>
      <c r="BN898" s="42">
        <f t="shared" si="1041"/>
        <v>0</v>
      </c>
      <c r="BP898" t="e">
        <f t="shared" si="1042"/>
        <v>#N/A</v>
      </c>
      <c r="BQ898" t="e">
        <f t="shared" si="1043"/>
        <v>#N/A</v>
      </c>
      <c r="BR898" t="e">
        <f t="shared" si="1044"/>
        <v>#N/A</v>
      </c>
      <c r="BT898" s="60">
        <f t="shared" si="1045"/>
        <v>0</v>
      </c>
      <c r="BU898" s="60">
        <f t="shared" si="1046"/>
        <v>0</v>
      </c>
      <c r="BV898" s="60">
        <f t="shared" si="1047"/>
        <v>0</v>
      </c>
      <c r="BW898" s="60">
        <f t="shared" si="1048"/>
        <v>0</v>
      </c>
      <c r="BX898" s="60">
        <f t="shared" si="1049"/>
        <v>0</v>
      </c>
      <c r="BY898" s="60">
        <f t="shared" si="1050"/>
        <v>0</v>
      </c>
      <c r="BZ898" s="60">
        <f t="shared" si="1051"/>
        <v>0</v>
      </c>
      <c r="CA898" s="60">
        <f t="shared" si="1052"/>
        <v>0</v>
      </c>
      <c r="CB898" s="60" t="e">
        <f t="shared" si="1002"/>
        <v>#N/A</v>
      </c>
      <c r="CC898" s="60">
        <f t="shared" si="1003"/>
        <v>100000</v>
      </c>
      <c r="CD898" s="60" t="e">
        <f t="shared" si="1004"/>
        <v>#N/A</v>
      </c>
      <c r="CE898" s="60">
        <f t="shared" si="1005"/>
        <v>100000</v>
      </c>
      <c r="CF898" s="83" t="e">
        <f t="shared" si="1053"/>
        <v>#N/A</v>
      </c>
      <c r="CG898" s="83">
        <f t="shared" si="1054"/>
        <v>0</v>
      </c>
      <c r="CH898" s="83" t="e">
        <f t="shared" si="1055"/>
        <v>#N/A</v>
      </c>
      <c r="CI898" s="83">
        <f t="shared" si="1056"/>
        <v>0</v>
      </c>
      <c r="CJ898" s="86" t="e">
        <f t="shared" si="1006"/>
        <v>#N/A</v>
      </c>
      <c r="CK898" s="82">
        <f t="shared" si="1007"/>
        <v>5.3070370403969858E-3</v>
      </c>
      <c r="CL898" s="82" t="e">
        <f t="shared" si="1008"/>
        <v>#N/A</v>
      </c>
      <c r="CM898" s="82">
        <f t="shared" si="1009"/>
        <v>5.3070370403969858E-3</v>
      </c>
      <c r="CO898" s="149" t="str">
        <f>IF($I898&lt;&gt;"",IF(O898="User Specified",U898,INDEX('Refrigerant GWPs'!$G$2:$G$156,MATCH(O898,'Refrigerant GWPs'!$A$2:$A$156,0))),"")</f>
        <v/>
      </c>
      <c r="CP898" s="138" t="str">
        <f>IF($I898&lt;&gt;"",INDEX('Device Refrigerant Leakage'!$E$2:$E$42,MATCH($M898,'Device Refrigerant Leakage'!$B$2:$B$42,0)),"")</f>
        <v/>
      </c>
      <c r="CQ898" s="138" t="str">
        <f>IF($I898&lt;&gt;"",INDEX('Device Refrigerant Leakage'!$F$2:$F$42,MATCH($M898,'Device Refrigerant Leakage'!$B$2:$B$42,0)),"")</f>
        <v/>
      </c>
      <c r="CR898" s="145" t="str">
        <f>IF($I898&lt;&gt;"",INDEX('Device Refrigerant Leakage'!$G$2:$G$42,MATCH($M898,'Device Refrigerant Leakage'!$B$2:$B$42,0)),"")</f>
        <v/>
      </c>
      <c r="CS898" s="145" t="str">
        <f>IF($I898&lt;&gt;"",INDEX('Device Refrigerant Leakage'!$D$2:$D$42,MATCH($M898,'Device Refrigerant Leakage'!$B$2:$B$42,0))*CP898/2204.62*CO898,"")</f>
        <v/>
      </c>
      <c r="CT898" s="145" t="str">
        <f>IF($I898&lt;&gt;"",J898*(INDEX('Device Refrigerant Leakage'!$D$2:$D$42,MATCH($M898,'Device Refrigerant Leakage'!$B$2:$B$42,0))-(INDEX('Device Refrigerant Leakage'!$D$2:$D$42,MATCH($M898,'Device Refrigerant Leakage'!$B$2:$B$42,0)))*CR898*CP898)*CQ898/2204.62*CO898,"")</f>
        <v/>
      </c>
      <c r="CU898" s="135" t="str">
        <f>IF($I898&lt;&gt;"",J898*IF(W898&lt;&gt;"AR",(CS898*K898)+CT898,(CS898*AB898)+CT898*(AB898/INDEX('Device Refrigerant Leakage'!$C$2:$C$42,MATCH($M898,'Device Refrigerant Leakage'!$B$2:$B$42,0)))),"")</f>
        <v/>
      </c>
      <c r="CW898" s="135" t="str">
        <f>IF($I898&lt;&gt;"",IF(S898="User Specified",V898,INDEX('Refrigerant GWPs'!$G$2:$G$156,MATCH(S898,'Refrigerant GWPs'!$A$2:$A$157,0))),"")</f>
        <v/>
      </c>
      <c r="CX898" s="138" t="str">
        <f>IF($I898&lt;&gt;"",INDEX('Device Refrigerant Leakage'!$E$2:$E$42,MATCH($Q898,'Device Refrigerant Leakage'!$B$2:$B$42,0)),"")</f>
        <v/>
      </c>
      <c r="CY898" s="138" t="str">
        <f>IF($I898&lt;&gt;"",INDEX('Device Refrigerant Leakage'!$F$2:$F$42,MATCH($Q898,'Device Refrigerant Leakage'!$B$2:$B$42,0)),"")</f>
        <v/>
      </c>
      <c r="CZ898" s="145" t="str">
        <f>IF($I898&lt;&gt;"",INDEX('Device Refrigerant Leakage'!$G$2:$G$42,MATCH($Q898,'Device Refrigerant Leakage'!$B$2:$B$42,0)),"")</f>
        <v/>
      </c>
      <c r="DA898" s="145" t="str">
        <f>IF($I898&lt;&gt;"",J898*INDEX('Device Refrigerant Leakage'!$D$2:$D$42,MATCH($Q898,'Device Refrigerant Leakage'!$B$2:$B$42,0))*CX898/2204.62*CW898,"")</f>
        <v/>
      </c>
      <c r="DB898" s="145" t="str">
        <f>IF($I898&lt;&gt;"",J898*(INDEX('Device Refrigerant Leakage'!$D$2:$D$42,MATCH($Q898,'Device Refrigerant Leakage'!$B$2:$B$42,0))-(INDEX('Device Refrigerant Leakage'!$D$2:$D$42,MATCH($Q898,'Device Refrigerant Leakage'!$B$2:$B$42,0)))*CZ898*CX898)*CY898/2204.62*CW898,"")</f>
        <v/>
      </c>
      <c r="DC898" s="135" t="str">
        <f t="shared" si="1028"/>
        <v/>
      </c>
      <c r="DE898" s="146" t="str">
        <f>IF(W898&lt;&gt;"AR","",IF(Y898="User Specified", AA898, INDEX('Refrigerant GWPs'!$G$2:$G$154,MATCH(Y898,'Refrigerant GWPs'!$A$2:$A$154,0))))</f>
        <v/>
      </c>
      <c r="DF898" s="146" t="str">
        <f>IF(W898&lt;&gt;"AR","",INDEX('Device Refrigerant Leakage'!$E$2:$E$42,MATCH(X898,'Device Refrigerant Leakage'!$B$2:$B$42,0)))</f>
        <v/>
      </c>
      <c r="DG898" s="146" t="str">
        <f>IF(W898&lt;&gt;"AR","",INDEX('Device Refrigerant Leakage'!$F$2:$F$42,MATCH(X898,'Device Refrigerant Leakage'!$B$2:$B$42,0)))</f>
        <v/>
      </c>
      <c r="DH898" s="146" t="str">
        <f>IF(W898&lt;&gt;"AR","",INDEX('Device Refrigerant Leakage'!$G$2:$G$42,MATCH(X898,'Device Refrigerant Leakage'!$B$2:$B$42,0)))</f>
        <v/>
      </c>
      <c r="DI898" s="146" t="str">
        <f>IF(W898&lt;&gt;"AR","",J898*INDEX('Device Refrigerant Leakage'!$D$2:$D$42,MATCH(X898,'Device Refrigerant Leakage'!$B$2:$B$42,0))*DF898/2204.62*DE898)</f>
        <v/>
      </c>
      <c r="DJ898" s="146" t="str">
        <f>IF(W898&lt;&gt;"AR","",J898*(INDEX('Device Refrigerant Leakage'!$D$2:$D$42,MATCH(X898,'Device Refrigerant Leakage'!$B$2:$B$42,0))-(INDEX('Device Refrigerant Leakage'!$D$2:$D$42,MATCH(X898,'Device Refrigerant Leakage'!$B$2:$B$42,0)))*DH898*DF898)*DG898/2204.62*DE898)</f>
        <v/>
      </c>
      <c r="DK898" s="146" t="str">
        <f>IF(W898&lt;&gt;"AR","",DI898*(K898-AB898)+'Fuel Sub Calcs-Deemed'!DJ898*((K898-AB898)/INDEX('Device Refrigerant Leakage'!$C$2:$C$42,MATCH('Fuel Sub Calcs-Deemed'!X898,'Device Refrigerant Leakage'!$B$2:$B$42,0))))</f>
        <v/>
      </c>
      <c r="DM898" s="56">
        <v>884</v>
      </c>
      <c r="DN898" s="67" t="e">
        <f t="shared" si="1010"/>
        <v>#N/A</v>
      </c>
      <c r="DO898" s="45" t="e">
        <f t="shared" si="1011"/>
        <v>#N/A</v>
      </c>
      <c r="DP898" s="67" t="e">
        <f t="shared" si="1012"/>
        <v>#N/A</v>
      </c>
      <c r="DQ898" s="45" t="e">
        <f t="shared" si="1013"/>
        <v>#N/A</v>
      </c>
      <c r="DR898" s="69" t="e">
        <f t="shared" si="1014"/>
        <v>#N/A</v>
      </c>
      <c r="DS898" s="34"/>
      <c r="DT898" s="67" t="e">
        <f>((BX898*CJ898)+IF($W898=MAT_AR,(BZ898*CL898),0))*(1+Reference!$E$50+Reference!$E$51)</f>
        <v>#N/A</v>
      </c>
      <c r="DU898" s="67">
        <f>((BY898*CK898)+IF($W898=MAT_AR,(CA898*CM898),0))*(1+Reference!$G$50+Reference!$G$51)</f>
        <v>0</v>
      </c>
      <c r="DV898" s="67" t="e">
        <f t="shared" si="1015"/>
        <v>#VALUE!</v>
      </c>
      <c r="DX898" s="56">
        <v>884</v>
      </c>
      <c r="DY898" s="67">
        <f t="shared" si="1016"/>
        <v>0</v>
      </c>
      <c r="DZ898" s="45" t="e">
        <f>VLOOKUP($R898,Dropdown!$C$3:$D$4,2,FALSE)</f>
        <v>#N/A</v>
      </c>
      <c r="EA898" s="68">
        <f t="shared" si="1017"/>
        <v>0</v>
      </c>
      <c r="EB898" s="68" t="str">
        <f t="shared" si="1018"/>
        <v>N/A</v>
      </c>
      <c r="EC898" s="68">
        <f t="shared" si="1019"/>
        <v>0</v>
      </c>
      <c r="ED898" s="68" t="str">
        <f t="shared" si="1057"/>
        <v>N/A</v>
      </c>
      <c r="EF898" s="56">
        <v>884</v>
      </c>
      <c r="EG898" s="46">
        <f t="shared" si="1020"/>
        <v>0</v>
      </c>
      <c r="EH898" s="68" t="e">
        <f t="shared" si="1021"/>
        <v>#N/A</v>
      </c>
      <c r="EI898" s="68" t="e">
        <f t="shared" si="1022"/>
        <v>#N/A</v>
      </c>
      <c r="EJ898" s="68" t="e">
        <f t="shared" si="1023"/>
        <v>#N/A</v>
      </c>
      <c r="EK898" s="68" t="e">
        <f t="shared" si="1024"/>
        <v>#N/A</v>
      </c>
      <c r="EL898" s="46">
        <f t="shared" si="1025"/>
        <v>0</v>
      </c>
      <c r="EM898" s="46">
        <f t="shared" si="1026"/>
        <v>0</v>
      </c>
    </row>
    <row r="899" spans="1:143">
      <c r="A899" s="89"/>
      <c r="B899" s="89"/>
      <c r="C899" s="89"/>
      <c r="D899" s="89"/>
      <c r="E899" s="89"/>
      <c r="F899" s="89"/>
      <c r="G899" s="34"/>
      <c r="H899" s="56">
        <f t="shared" si="1027"/>
        <v>885</v>
      </c>
      <c r="I899" s="165"/>
      <c r="J899" s="163"/>
      <c r="K899" s="163"/>
      <c r="L899" s="164"/>
      <c r="M899" s="155"/>
      <c r="N899" s="155"/>
      <c r="O899" s="144"/>
      <c r="P899" s="159" t="str">
        <f>IFERROR(IF(O899&lt;&gt;"User Specified",IF(O899&lt;&gt;"", INDEX('Refrigerant GWPs'!$G$2:$G$154,MATCH(O899,'Refrigerant GWPs'!$A$2:$A$154,0)),""),U899),0)</f>
        <v/>
      </c>
      <c r="Q899" s="155"/>
      <c r="R899" s="155"/>
      <c r="S899" s="144"/>
      <c r="T899" s="159" t="str">
        <f>IF(S899&lt;&gt;"User Specified",IF(AND(S899&lt;&gt;"User Specified",S899&lt;&gt;""), INDEX('Refrigerant GWPs'!$G$2:$G$154,MATCH(S899,'Refrigerant GWPs'!$A$2:$A$154,0)),""),V899)</f>
        <v/>
      </c>
      <c r="U899" s="144"/>
      <c r="V899" s="144"/>
      <c r="W899" s="155"/>
      <c r="X899" s="155"/>
      <c r="Y899" s="144"/>
      <c r="Z899" s="159" t="str">
        <f>IF(AND(Y899&lt;&gt;"User Specified",Y899&lt;&gt;""), INDEX('Refrigerant GWPs'!$G$2:$G$154,MATCH(Y899,'Refrigerant GWPs'!$A$2:$A$154,0)),"")</f>
        <v/>
      </c>
      <c r="AA899" s="155"/>
      <c r="AB899" s="156"/>
      <c r="AC899" s="66"/>
      <c r="AD899" s="66"/>
      <c r="AE899" s="66"/>
      <c r="AF899" s="66"/>
      <c r="AG899" s="66"/>
      <c r="AH899" s="66"/>
      <c r="AI899" s="34"/>
      <c r="AJ899" s="88">
        <f t="shared" si="990"/>
        <v>0</v>
      </c>
      <c r="AK899" s="88">
        <f t="shared" si="991"/>
        <v>0</v>
      </c>
      <c r="AL899" s="88">
        <v>0</v>
      </c>
      <c r="AM899" s="88">
        <v>0</v>
      </c>
      <c r="AN899" s="81" t="str">
        <f t="shared" si="1029"/>
        <v/>
      </c>
      <c r="AO899" s="88">
        <f t="shared" si="992"/>
        <v>0</v>
      </c>
      <c r="AP899" s="88">
        <f t="shared" si="993"/>
        <v>0</v>
      </c>
      <c r="AQ899" s="81" t="str">
        <f t="shared" si="994"/>
        <v/>
      </c>
      <c r="AS899" s="41" t="b">
        <f t="shared" si="995"/>
        <v>1</v>
      </c>
      <c r="AT899" s="38">
        <f t="shared" si="996"/>
        <v>0</v>
      </c>
      <c r="AU899" s="60">
        <f t="shared" si="997"/>
        <v>0</v>
      </c>
      <c r="AV899" s="41">
        <f t="shared" si="998"/>
        <v>0</v>
      </c>
      <c r="AW899" s="41" t="b">
        <f t="shared" si="999"/>
        <v>0</v>
      </c>
      <c r="AX899" t="str">
        <f t="shared" si="1000"/>
        <v>+00</v>
      </c>
      <c r="AY899" t="str">
        <f t="shared" si="1001"/>
        <v>+00</v>
      </c>
      <c r="BA899" s="47" t="b">
        <f t="shared" si="1030"/>
        <v>1</v>
      </c>
      <c r="BB899" s="42" t="b">
        <f t="shared" si="1031"/>
        <v>1</v>
      </c>
      <c r="BC899" s="42" t="b">
        <f t="shared" si="1032"/>
        <v>0</v>
      </c>
      <c r="BD899" s="42" t="b">
        <f t="shared" si="1033"/>
        <v>0</v>
      </c>
      <c r="BE899" s="70">
        <f t="shared" si="1034"/>
        <v>0</v>
      </c>
      <c r="BF899" s="70">
        <f t="shared" si="1035"/>
        <v>0</v>
      </c>
      <c r="BG899" s="34"/>
      <c r="BI899" s="47" t="b">
        <f t="shared" si="1036"/>
        <v>1</v>
      </c>
      <c r="BJ899" s="47" t="b">
        <f t="shared" si="1037"/>
        <v>1</v>
      </c>
      <c r="BK899" s="42" t="b">
        <f t="shared" si="1038"/>
        <v>0</v>
      </c>
      <c r="BL899" s="42" t="b">
        <f t="shared" si="1039"/>
        <v>0</v>
      </c>
      <c r="BM899" s="42">
        <f t="shared" si="1040"/>
        <v>0</v>
      </c>
      <c r="BN899" s="42">
        <f t="shared" si="1041"/>
        <v>0</v>
      </c>
      <c r="BP899" t="e">
        <f t="shared" si="1042"/>
        <v>#N/A</v>
      </c>
      <c r="BQ899" t="e">
        <f t="shared" si="1043"/>
        <v>#N/A</v>
      </c>
      <c r="BR899" t="e">
        <f t="shared" si="1044"/>
        <v>#N/A</v>
      </c>
      <c r="BT899" s="60">
        <f t="shared" si="1045"/>
        <v>0</v>
      </c>
      <c r="BU899" s="60">
        <f t="shared" si="1046"/>
        <v>0</v>
      </c>
      <c r="BV899" s="60">
        <f t="shared" si="1047"/>
        <v>0</v>
      </c>
      <c r="BW899" s="60">
        <f t="shared" si="1048"/>
        <v>0</v>
      </c>
      <c r="BX899" s="60">
        <f t="shared" si="1049"/>
        <v>0</v>
      </c>
      <c r="BY899" s="60">
        <f t="shared" si="1050"/>
        <v>0</v>
      </c>
      <c r="BZ899" s="60">
        <f t="shared" si="1051"/>
        <v>0</v>
      </c>
      <c r="CA899" s="60">
        <f t="shared" si="1052"/>
        <v>0</v>
      </c>
      <c r="CB899" s="60" t="e">
        <f t="shared" si="1002"/>
        <v>#N/A</v>
      </c>
      <c r="CC899" s="60">
        <f t="shared" si="1003"/>
        <v>100000</v>
      </c>
      <c r="CD899" s="60" t="e">
        <f t="shared" si="1004"/>
        <v>#N/A</v>
      </c>
      <c r="CE899" s="60">
        <f t="shared" si="1005"/>
        <v>100000</v>
      </c>
      <c r="CF899" s="83" t="e">
        <f t="shared" si="1053"/>
        <v>#N/A</v>
      </c>
      <c r="CG899" s="83">
        <f t="shared" si="1054"/>
        <v>0</v>
      </c>
      <c r="CH899" s="83" t="e">
        <f t="shared" si="1055"/>
        <v>#N/A</v>
      </c>
      <c r="CI899" s="83">
        <f t="shared" si="1056"/>
        <v>0</v>
      </c>
      <c r="CJ899" s="86" t="e">
        <f t="shared" si="1006"/>
        <v>#N/A</v>
      </c>
      <c r="CK899" s="82">
        <f t="shared" si="1007"/>
        <v>5.3070370403969858E-3</v>
      </c>
      <c r="CL899" s="82" t="e">
        <f t="shared" si="1008"/>
        <v>#N/A</v>
      </c>
      <c r="CM899" s="82">
        <f t="shared" si="1009"/>
        <v>5.3070370403969858E-3</v>
      </c>
      <c r="CO899" s="149" t="str">
        <f>IF($I899&lt;&gt;"",IF(O899="User Specified",U899,INDEX('Refrigerant GWPs'!$G$2:$G$156,MATCH(O899,'Refrigerant GWPs'!$A$2:$A$156,0))),"")</f>
        <v/>
      </c>
      <c r="CP899" s="138" t="str">
        <f>IF($I899&lt;&gt;"",INDEX('Device Refrigerant Leakage'!$E$2:$E$42,MATCH($M899,'Device Refrigerant Leakage'!$B$2:$B$42,0)),"")</f>
        <v/>
      </c>
      <c r="CQ899" s="138" t="str">
        <f>IF($I899&lt;&gt;"",INDEX('Device Refrigerant Leakage'!$F$2:$F$42,MATCH($M899,'Device Refrigerant Leakage'!$B$2:$B$42,0)),"")</f>
        <v/>
      </c>
      <c r="CR899" s="145" t="str">
        <f>IF($I899&lt;&gt;"",INDEX('Device Refrigerant Leakage'!$G$2:$G$42,MATCH($M899,'Device Refrigerant Leakage'!$B$2:$B$42,0)),"")</f>
        <v/>
      </c>
      <c r="CS899" s="145" t="str">
        <f>IF($I899&lt;&gt;"",INDEX('Device Refrigerant Leakage'!$D$2:$D$42,MATCH($M899,'Device Refrigerant Leakage'!$B$2:$B$42,0))*CP899/2204.62*CO899,"")</f>
        <v/>
      </c>
      <c r="CT899" s="145" t="str">
        <f>IF($I899&lt;&gt;"",J899*(INDEX('Device Refrigerant Leakage'!$D$2:$D$42,MATCH($M899,'Device Refrigerant Leakage'!$B$2:$B$42,0))-(INDEX('Device Refrigerant Leakage'!$D$2:$D$42,MATCH($M899,'Device Refrigerant Leakage'!$B$2:$B$42,0)))*CR899*CP899)*CQ899/2204.62*CO899,"")</f>
        <v/>
      </c>
      <c r="CU899" s="135" t="str">
        <f>IF($I899&lt;&gt;"",J899*IF(W899&lt;&gt;"AR",(CS899*K899)+CT899,(CS899*AB899)+CT899*(AB899/INDEX('Device Refrigerant Leakage'!$C$2:$C$42,MATCH($M899,'Device Refrigerant Leakage'!$B$2:$B$42,0)))),"")</f>
        <v/>
      </c>
      <c r="CW899" s="135" t="str">
        <f>IF($I899&lt;&gt;"",IF(S899="User Specified",V899,INDEX('Refrigerant GWPs'!$G$2:$G$156,MATCH(S899,'Refrigerant GWPs'!$A$2:$A$157,0))),"")</f>
        <v/>
      </c>
      <c r="CX899" s="138" t="str">
        <f>IF($I899&lt;&gt;"",INDEX('Device Refrigerant Leakage'!$E$2:$E$42,MATCH($Q899,'Device Refrigerant Leakage'!$B$2:$B$42,0)),"")</f>
        <v/>
      </c>
      <c r="CY899" s="138" t="str">
        <f>IF($I899&lt;&gt;"",INDEX('Device Refrigerant Leakage'!$F$2:$F$42,MATCH($Q899,'Device Refrigerant Leakage'!$B$2:$B$42,0)),"")</f>
        <v/>
      </c>
      <c r="CZ899" s="145" t="str">
        <f>IF($I899&lt;&gt;"",INDEX('Device Refrigerant Leakage'!$G$2:$G$42,MATCH($Q899,'Device Refrigerant Leakage'!$B$2:$B$42,0)),"")</f>
        <v/>
      </c>
      <c r="DA899" s="145" t="str">
        <f>IF($I899&lt;&gt;"",J899*INDEX('Device Refrigerant Leakage'!$D$2:$D$42,MATCH($Q899,'Device Refrigerant Leakage'!$B$2:$B$42,0))*CX899/2204.62*CW899,"")</f>
        <v/>
      </c>
      <c r="DB899" s="145" t="str">
        <f>IF($I899&lt;&gt;"",J899*(INDEX('Device Refrigerant Leakage'!$D$2:$D$42,MATCH($Q899,'Device Refrigerant Leakage'!$B$2:$B$42,0))-(INDEX('Device Refrigerant Leakage'!$D$2:$D$42,MATCH($Q899,'Device Refrigerant Leakage'!$B$2:$B$42,0)))*CZ899*CX899)*CY899/2204.62*CW899,"")</f>
        <v/>
      </c>
      <c r="DC899" s="135" t="str">
        <f t="shared" si="1028"/>
        <v/>
      </c>
      <c r="DE899" s="146" t="str">
        <f>IF(W899&lt;&gt;"AR","",IF(Y899="User Specified", AA899, INDEX('Refrigerant GWPs'!$G$2:$G$154,MATCH(Y899,'Refrigerant GWPs'!$A$2:$A$154,0))))</f>
        <v/>
      </c>
      <c r="DF899" s="146" t="str">
        <f>IF(W899&lt;&gt;"AR","",INDEX('Device Refrigerant Leakage'!$E$2:$E$42,MATCH(X899,'Device Refrigerant Leakage'!$B$2:$B$42,0)))</f>
        <v/>
      </c>
      <c r="DG899" s="146" t="str">
        <f>IF(W899&lt;&gt;"AR","",INDEX('Device Refrigerant Leakage'!$F$2:$F$42,MATCH(X899,'Device Refrigerant Leakage'!$B$2:$B$42,0)))</f>
        <v/>
      </c>
      <c r="DH899" s="146" t="str">
        <f>IF(W899&lt;&gt;"AR","",INDEX('Device Refrigerant Leakage'!$G$2:$G$42,MATCH(X899,'Device Refrigerant Leakage'!$B$2:$B$42,0)))</f>
        <v/>
      </c>
      <c r="DI899" s="146" t="str">
        <f>IF(W899&lt;&gt;"AR","",J899*INDEX('Device Refrigerant Leakage'!$D$2:$D$42,MATCH(X899,'Device Refrigerant Leakage'!$B$2:$B$42,0))*DF899/2204.62*DE899)</f>
        <v/>
      </c>
      <c r="DJ899" s="146" t="str">
        <f>IF(W899&lt;&gt;"AR","",J899*(INDEX('Device Refrigerant Leakage'!$D$2:$D$42,MATCH(X899,'Device Refrigerant Leakage'!$B$2:$B$42,0))-(INDEX('Device Refrigerant Leakage'!$D$2:$D$42,MATCH(X899,'Device Refrigerant Leakage'!$B$2:$B$42,0)))*DH899*DF899)*DG899/2204.62*DE899)</f>
        <v/>
      </c>
      <c r="DK899" s="146" t="str">
        <f>IF(W899&lt;&gt;"AR","",DI899*(K899-AB899)+'Fuel Sub Calcs-Deemed'!DJ899*((K899-AB899)/INDEX('Device Refrigerant Leakage'!$C$2:$C$42,MATCH('Fuel Sub Calcs-Deemed'!X899,'Device Refrigerant Leakage'!$B$2:$B$42,0))))</f>
        <v/>
      </c>
      <c r="DM899" s="56">
        <v>885</v>
      </c>
      <c r="DN899" s="67" t="e">
        <f t="shared" si="1010"/>
        <v>#N/A</v>
      </c>
      <c r="DO899" s="45" t="e">
        <f t="shared" si="1011"/>
        <v>#N/A</v>
      </c>
      <c r="DP899" s="67" t="e">
        <f t="shared" si="1012"/>
        <v>#N/A</v>
      </c>
      <c r="DQ899" s="45" t="e">
        <f t="shared" si="1013"/>
        <v>#N/A</v>
      </c>
      <c r="DR899" s="69" t="e">
        <f t="shared" si="1014"/>
        <v>#N/A</v>
      </c>
      <c r="DS899" s="34"/>
      <c r="DT899" s="67" t="e">
        <f>((BX899*CJ899)+IF($W899=MAT_AR,(BZ899*CL899),0))*(1+Reference!$E$50+Reference!$E$51)</f>
        <v>#N/A</v>
      </c>
      <c r="DU899" s="67">
        <f>((BY899*CK899)+IF($W899=MAT_AR,(CA899*CM899),0))*(1+Reference!$G$50+Reference!$G$51)</f>
        <v>0</v>
      </c>
      <c r="DV899" s="67" t="e">
        <f t="shared" si="1015"/>
        <v>#VALUE!</v>
      </c>
      <c r="DX899" s="56">
        <v>885</v>
      </c>
      <c r="DY899" s="67">
        <f t="shared" si="1016"/>
        <v>0</v>
      </c>
      <c r="DZ899" s="45" t="e">
        <f>VLOOKUP($R899,Dropdown!$C$3:$D$4,2,FALSE)</f>
        <v>#N/A</v>
      </c>
      <c r="EA899" s="68">
        <f t="shared" si="1017"/>
        <v>0</v>
      </c>
      <c r="EB899" s="68" t="str">
        <f t="shared" si="1018"/>
        <v>N/A</v>
      </c>
      <c r="EC899" s="68">
        <f t="shared" si="1019"/>
        <v>0</v>
      </c>
      <c r="ED899" s="68" t="str">
        <f t="shared" si="1057"/>
        <v>N/A</v>
      </c>
      <c r="EF899" s="56">
        <v>885</v>
      </c>
      <c r="EG899" s="46">
        <f t="shared" si="1020"/>
        <v>0</v>
      </c>
      <c r="EH899" s="68" t="e">
        <f t="shared" si="1021"/>
        <v>#N/A</v>
      </c>
      <c r="EI899" s="68" t="e">
        <f t="shared" si="1022"/>
        <v>#N/A</v>
      </c>
      <c r="EJ899" s="68" t="e">
        <f t="shared" si="1023"/>
        <v>#N/A</v>
      </c>
      <c r="EK899" s="68" t="e">
        <f t="shared" si="1024"/>
        <v>#N/A</v>
      </c>
      <c r="EL899" s="46">
        <f t="shared" si="1025"/>
        <v>0</v>
      </c>
      <c r="EM899" s="46">
        <f t="shared" si="1026"/>
        <v>0</v>
      </c>
    </row>
    <row r="900" spans="1:143">
      <c r="A900" s="89"/>
      <c r="B900" s="89"/>
      <c r="C900" s="89"/>
      <c r="D900" s="89"/>
      <c r="E900" s="89"/>
      <c r="F900" s="89"/>
      <c r="G900" s="34"/>
      <c r="H900" s="56">
        <f t="shared" si="1027"/>
        <v>886</v>
      </c>
      <c r="I900" s="165"/>
      <c r="J900" s="163"/>
      <c r="K900" s="163"/>
      <c r="L900" s="164"/>
      <c r="M900" s="155"/>
      <c r="N900" s="155"/>
      <c r="O900" s="144"/>
      <c r="P900" s="159" t="str">
        <f>IFERROR(IF(O900&lt;&gt;"User Specified",IF(O900&lt;&gt;"", INDEX('Refrigerant GWPs'!$G$2:$G$154,MATCH(O900,'Refrigerant GWPs'!$A$2:$A$154,0)),""),U900),0)</f>
        <v/>
      </c>
      <c r="Q900" s="155"/>
      <c r="R900" s="155"/>
      <c r="S900" s="144"/>
      <c r="T900" s="159" t="str">
        <f>IF(S900&lt;&gt;"User Specified",IF(AND(S900&lt;&gt;"User Specified",S900&lt;&gt;""), INDEX('Refrigerant GWPs'!$G$2:$G$154,MATCH(S900,'Refrigerant GWPs'!$A$2:$A$154,0)),""),V900)</f>
        <v/>
      </c>
      <c r="U900" s="144"/>
      <c r="V900" s="144"/>
      <c r="W900" s="155"/>
      <c r="X900" s="155"/>
      <c r="Y900" s="144"/>
      <c r="Z900" s="159" t="str">
        <f>IF(AND(Y900&lt;&gt;"User Specified",Y900&lt;&gt;""), INDEX('Refrigerant GWPs'!$G$2:$G$154,MATCH(Y900,'Refrigerant GWPs'!$A$2:$A$154,0)),"")</f>
        <v/>
      </c>
      <c r="AA900" s="155"/>
      <c r="AB900" s="156"/>
      <c r="AC900" s="66"/>
      <c r="AD900" s="66"/>
      <c r="AE900" s="66"/>
      <c r="AF900" s="66"/>
      <c r="AG900" s="66"/>
      <c r="AH900" s="66"/>
      <c r="AI900" s="34"/>
      <c r="AJ900" s="88">
        <f t="shared" si="990"/>
        <v>0</v>
      </c>
      <c r="AK900" s="88">
        <f t="shared" si="991"/>
        <v>0</v>
      </c>
      <c r="AL900" s="88">
        <v>0</v>
      </c>
      <c r="AM900" s="88">
        <v>0</v>
      </c>
      <c r="AN900" s="81" t="str">
        <f t="shared" si="1029"/>
        <v/>
      </c>
      <c r="AO900" s="88">
        <f t="shared" si="992"/>
        <v>0</v>
      </c>
      <c r="AP900" s="88">
        <f t="shared" si="993"/>
        <v>0</v>
      </c>
      <c r="AQ900" s="81" t="str">
        <f t="shared" si="994"/>
        <v/>
      </c>
      <c r="AS900" s="41" t="b">
        <f t="shared" si="995"/>
        <v>1</v>
      </c>
      <c r="AT900" s="38">
        <f t="shared" si="996"/>
        <v>0</v>
      </c>
      <c r="AU900" s="60">
        <f t="shared" si="997"/>
        <v>0</v>
      </c>
      <c r="AV900" s="41">
        <f t="shared" si="998"/>
        <v>0</v>
      </c>
      <c r="AW900" s="41" t="b">
        <f t="shared" si="999"/>
        <v>0</v>
      </c>
      <c r="AX900" t="str">
        <f t="shared" si="1000"/>
        <v>+00</v>
      </c>
      <c r="AY900" t="str">
        <f t="shared" si="1001"/>
        <v>+00</v>
      </c>
      <c r="BA900" s="47" t="b">
        <f t="shared" si="1030"/>
        <v>1</v>
      </c>
      <c r="BB900" s="42" t="b">
        <f t="shared" si="1031"/>
        <v>1</v>
      </c>
      <c r="BC900" s="42" t="b">
        <f t="shared" si="1032"/>
        <v>0</v>
      </c>
      <c r="BD900" s="42" t="b">
        <f t="shared" si="1033"/>
        <v>0</v>
      </c>
      <c r="BE900" s="70">
        <f t="shared" si="1034"/>
        <v>0</v>
      </c>
      <c r="BF900" s="70">
        <f t="shared" si="1035"/>
        <v>0</v>
      </c>
      <c r="BG900" s="34"/>
      <c r="BI900" s="47" t="b">
        <f t="shared" si="1036"/>
        <v>1</v>
      </c>
      <c r="BJ900" s="47" t="b">
        <f t="shared" si="1037"/>
        <v>1</v>
      </c>
      <c r="BK900" s="42" t="b">
        <f t="shared" si="1038"/>
        <v>0</v>
      </c>
      <c r="BL900" s="42" t="b">
        <f t="shared" si="1039"/>
        <v>0</v>
      </c>
      <c r="BM900" s="42">
        <f t="shared" si="1040"/>
        <v>0</v>
      </c>
      <c r="BN900" s="42">
        <f t="shared" si="1041"/>
        <v>0</v>
      </c>
      <c r="BP900" t="e">
        <f t="shared" si="1042"/>
        <v>#N/A</v>
      </c>
      <c r="BQ900" t="e">
        <f t="shared" si="1043"/>
        <v>#N/A</v>
      </c>
      <c r="BR900" t="e">
        <f t="shared" si="1044"/>
        <v>#N/A</v>
      </c>
      <c r="BT900" s="60">
        <f t="shared" si="1045"/>
        <v>0</v>
      </c>
      <c r="BU900" s="60">
        <f t="shared" si="1046"/>
        <v>0</v>
      </c>
      <c r="BV900" s="60">
        <f t="shared" si="1047"/>
        <v>0</v>
      </c>
      <c r="BW900" s="60">
        <f t="shared" si="1048"/>
        <v>0</v>
      </c>
      <c r="BX900" s="60">
        <f t="shared" si="1049"/>
        <v>0</v>
      </c>
      <c r="BY900" s="60">
        <f t="shared" si="1050"/>
        <v>0</v>
      </c>
      <c r="BZ900" s="60">
        <f t="shared" si="1051"/>
        <v>0</v>
      </c>
      <c r="CA900" s="60">
        <f t="shared" si="1052"/>
        <v>0</v>
      </c>
      <c r="CB900" s="60" t="e">
        <f t="shared" si="1002"/>
        <v>#N/A</v>
      </c>
      <c r="CC900" s="60">
        <f t="shared" si="1003"/>
        <v>100000</v>
      </c>
      <c r="CD900" s="60" t="e">
        <f t="shared" si="1004"/>
        <v>#N/A</v>
      </c>
      <c r="CE900" s="60">
        <f t="shared" si="1005"/>
        <v>100000</v>
      </c>
      <c r="CF900" s="83" t="e">
        <f t="shared" si="1053"/>
        <v>#N/A</v>
      </c>
      <c r="CG900" s="83">
        <f t="shared" si="1054"/>
        <v>0</v>
      </c>
      <c r="CH900" s="83" t="e">
        <f t="shared" si="1055"/>
        <v>#N/A</v>
      </c>
      <c r="CI900" s="83">
        <f t="shared" si="1056"/>
        <v>0</v>
      </c>
      <c r="CJ900" s="86" t="e">
        <f t="shared" si="1006"/>
        <v>#N/A</v>
      </c>
      <c r="CK900" s="82">
        <f t="shared" si="1007"/>
        <v>5.3070370403969858E-3</v>
      </c>
      <c r="CL900" s="82" t="e">
        <f t="shared" si="1008"/>
        <v>#N/A</v>
      </c>
      <c r="CM900" s="82">
        <f t="shared" si="1009"/>
        <v>5.3070370403969858E-3</v>
      </c>
      <c r="CO900" s="149" t="str">
        <f>IF($I900&lt;&gt;"",IF(O900="User Specified",U900,INDEX('Refrigerant GWPs'!$G$2:$G$156,MATCH(O900,'Refrigerant GWPs'!$A$2:$A$156,0))),"")</f>
        <v/>
      </c>
      <c r="CP900" s="138" t="str">
        <f>IF($I900&lt;&gt;"",INDEX('Device Refrigerant Leakage'!$E$2:$E$42,MATCH($M900,'Device Refrigerant Leakage'!$B$2:$B$42,0)),"")</f>
        <v/>
      </c>
      <c r="CQ900" s="138" t="str">
        <f>IF($I900&lt;&gt;"",INDEX('Device Refrigerant Leakage'!$F$2:$F$42,MATCH($M900,'Device Refrigerant Leakage'!$B$2:$B$42,0)),"")</f>
        <v/>
      </c>
      <c r="CR900" s="145" t="str">
        <f>IF($I900&lt;&gt;"",INDEX('Device Refrigerant Leakage'!$G$2:$G$42,MATCH($M900,'Device Refrigerant Leakage'!$B$2:$B$42,0)),"")</f>
        <v/>
      </c>
      <c r="CS900" s="145" t="str">
        <f>IF($I900&lt;&gt;"",INDEX('Device Refrigerant Leakage'!$D$2:$D$42,MATCH($M900,'Device Refrigerant Leakage'!$B$2:$B$42,0))*CP900/2204.62*CO900,"")</f>
        <v/>
      </c>
      <c r="CT900" s="145" t="str">
        <f>IF($I900&lt;&gt;"",J900*(INDEX('Device Refrigerant Leakage'!$D$2:$D$42,MATCH($M900,'Device Refrigerant Leakage'!$B$2:$B$42,0))-(INDEX('Device Refrigerant Leakage'!$D$2:$D$42,MATCH($M900,'Device Refrigerant Leakage'!$B$2:$B$42,0)))*CR900*CP900)*CQ900/2204.62*CO900,"")</f>
        <v/>
      </c>
      <c r="CU900" s="135" t="str">
        <f>IF($I900&lt;&gt;"",J900*IF(W900&lt;&gt;"AR",(CS900*K900)+CT900,(CS900*AB900)+CT900*(AB900/INDEX('Device Refrigerant Leakage'!$C$2:$C$42,MATCH($M900,'Device Refrigerant Leakage'!$B$2:$B$42,0)))),"")</f>
        <v/>
      </c>
      <c r="CW900" s="135" t="str">
        <f>IF($I900&lt;&gt;"",IF(S900="User Specified",V900,INDEX('Refrigerant GWPs'!$G$2:$G$156,MATCH(S900,'Refrigerant GWPs'!$A$2:$A$157,0))),"")</f>
        <v/>
      </c>
      <c r="CX900" s="138" t="str">
        <f>IF($I900&lt;&gt;"",INDEX('Device Refrigerant Leakage'!$E$2:$E$42,MATCH($Q900,'Device Refrigerant Leakage'!$B$2:$B$42,0)),"")</f>
        <v/>
      </c>
      <c r="CY900" s="138" t="str">
        <f>IF($I900&lt;&gt;"",INDEX('Device Refrigerant Leakage'!$F$2:$F$42,MATCH($Q900,'Device Refrigerant Leakage'!$B$2:$B$42,0)),"")</f>
        <v/>
      </c>
      <c r="CZ900" s="145" t="str">
        <f>IF($I900&lt;&gt;"",INDEX('Device Refrigerant Leakage'!$G$2:$G$42,MATCH($Q900,'Device Refrigerant Leakage'!$B$2:$B$42,0)),"")</f>
        <v/>
      </c>
      <c r="DA900" s="145" t="str">
        <f>IF($I900&lt;&gt;"",J900*INDEX('Device Refrigerant Leakage'!$D$2:$D$42,MATCH($Q900,'Device Refrigerant Leakage'!$B$2:$B$42,0))*CX900/2204.62*CW900,"")</f>
        <v/>
      </c>
      <c r="DB900" s="145" t="str">
        <f>IF($I900&lt;&gt;"",J900*(INDEX('Device Refrigerant Leakage'!$D$2:$D$42,MATCH($Q900,'Device Refrigerant Leakage'!$B$2:$B$42,0))-(INDEX('Device Refrigerant Leakage'!$D$2:$D$42,MATCH($Q900,'Device Refrigerant Leakage'!$B$2:$B$42,0)))*CZ900*CX900)*CY900/2204.62*CW900,"")</f>
        <v/>
      </c>
      <c r="DC900" s="135" t="str">
        <f t="shared" si="1028"/>
        <v/>
      </c>
      <c r="DE900" s="146" t="str">
        <f>IF(W900&lt;&gt;"AR","",IF(Y900="User Specified", AA900, INDEX('Refrigerant GWPs'!$G$2:$G$154,MATCH(Y900,'Refrigerant GWPs'!$A$2:$A$154,0))))</f>
        <v/>
      </c>
      <c r="DF900" s="146" t="str">
        <f>IF(W900&lt;&gt;"AR","",INDEX('Device Refrigerant Leakage'!$E$2:$E$42,MATCH(X900,'Device Refrigerant Leakage'!$B$2:$B$42,0)))</f>
        <v/>
      </c>
      <c r="DG900" s="146" t="str">
        <f>IF(W900&lt;&gt;"AR","",INDEX('Device Refrigerant Leakage'!$F$2:$F$42,MATCH(X900,'Device Refrigerant Leakage'!$B$2:$B$42,0)))</f>
        <v/>
      </c>
      <c r="DH900" s="146" t="str">
        <f>IF(W900&lt;&gt;"AR","",INDEX('Device Refrigerant Leakage'!$G$2:$G$42,MATCH(X900,'Device Refrigerant Leakage'!$B$2:$B$42,0)))</f>
        <v/>
      </c>
      <c r="DI900" s="146" t="str">
        <f>IF(W900&lt;&gt;"AR","",J900*INDEX('Device Refrigerant Leakage'!$D$2:$D$42,MATCH(X900,'Device Refrigerant Leakage'!$B$2:$B$42,0))*DF900/2204.62*DE900)</f>
        <v/>
      </c>
      <c r="DJ900" s="146" t="str">
        <f>IF(W900&lt;&gt;"AR","",J900*(INDEX('Device Refrigerant Leakage'!$D$2:$D$42,MATCH(X900,'Device Refrigerant Leakage'!$B$2:$B$42,0))-(INDEX('Device Refrigerant Leakage'!$D$2:$D$42,MATCH(X900,'Device Refrigerant Leakage'!$B$2:$B$42,0)))*DH900*DF900)*DG900/2204.62*DE900)</f>
        <v/>
      </c>
      <c r="DK900" s="146" t="str">
        <f>IF(W900&lt;&gt;"AR","",DI900*(K900-AB900)+'Fuel Sub Calcs-Deemed'!DJ900*((K900-AB900)/INDEX('Device Refrigerant Leakage'!$C$2:$C$42,MATCH('Fuel Sub Calcs-Deemed'!X900,'Device Refrigerant Leakage'!$B$2:$B$42,0))))</f>
        <v/>
      </c>
      <c r="DM900" s="56">
        <v>886</v>
      </c>
      <c r="DN900" s="67" t="e">
        <f t="shared" si="1010"/>
        <v>#N/A</v>
      </c>
      <c r="DO900" s="45" t="e">
        <f t="shared" si="1011"/>
        <v>#N/A</v>
      </c>
      <c r="DP900" s="67" t="e">
        <f t="shared" si="1012"/>
        <v>#N/A</v>
      </c>
      <c r="DQ900" s="45" t="e">
        <f t="shared" si="1013"/>
        <v>#N/A</v>
      </c>
      <c r="DR900" s="69" t="e">
        <f t="shared" si="1014"/>
        <v>#N/A</v>
      </c>
      <c r="DS900" s="34"/>
      <c r="DT900" s="67" t="e">
        <f>((BX900*CJ900)+IF($W900=MAT_AR,(BZ900*CL900),0))*(1+Reference!$E$50+Reference!$E$51)</f>
        <v>#N/A</v>
      </c>
      <c r="DU900" s="67">
        <f>((BY900*CK900)+IF($W900=MAT_AR,(CA900*CM900),0))*(1+Reference!$G$50+Reference!$G$51)</f>
        <v>0</v>
      </c>
      <c r="DV900" s="67" t="e">
        <f t="shared" si="1015"/>
        <v>#VALUE!</v>
      </c>
      <c r="DX900" s="56">
        <v>886</v>
      </c>
      <c r="DY900" s="67">
        <f t="shared" si="1016"/>
        <v>0</v>
      </c>
      <c r="DZ900" s="45" t="e">
        <f>VLOOKUP($R900,Dropdown!$C$3:$D$4,2,FALSE)</f>
        <v>#N/A</v>
      </c>
      <c r="EA900" s="68">
        <f t="shared" si="1017"/>
        <v>0</v>
      </c>
      <c r="EB900" s="68" t="str">
        <f t="shared" si="1018"/>
        <v>N/A</v>
      </c>
      <c r="EC900" s="68">
        <f t="shared" si="1019"/>
        <v>0</v>
      </c>
      <c r="ED900" s="68" t="str">
        <f t="shared" si="1057"/>
        <v>N/A</v>
      </c>
      <c r="EF900" s="56">
        <v>886</v>
      </c>
      <c r="EG900" s="46">
        <f t="shared" si="1020"/>
        <v>0</v>
      </c>
      <c r="EH900" s="68" t="e">
        <f t="shared" si="1021"/>
        <v>#N/A</v>
      </c>
      <c r="EI900" s="68" t="e">
        <f t="shared" si="1022"/>
        <v>#N/A</v>
      </c>
      <c r="EJ900" s="68" t="e">
        <f t="shared" si="1023"/>
        <v>#N/A</v>
      </c>
      <c r="EK900" s="68" t="e">
        <f t="shared" si="1024"/>
        <v>#N/A</v>
      </c>
      <c r="EL900" s="46">
        <f t="shared" si="1025"/>
        <v>0</v>
      </c>
      <c r="EM900" s="46">
        <f t="shared" si="1026"/>
        <v>0</v>
      </c>
    </row>
    <row r="901" spans="1:143">
      <c r="A901" s="89"/>
      <c r="B901" s="89"/>
      <c r="C901" s="89"/>
      <c r="D901" s="89"/>
      <c r="E901" s="89"/>
      <c r="F901" s="89"/>
      <c r="G901" s="34"/>
      <c r="H901" s="56">
        <f t="shared" si="1027"/>
        <v>887</v>
      </c>
      <c r="I901" s="165"/>
      <c r="J901" s="163"/>
      <c r="K901" s="163"/>
      <c r="L901" s="164"/>
      <c r="M901" s="155"/>
      <c r="N901" s="155"/>
      <c r="O901" s="144"/>
      <c r="P901" s="159" t="str">
        <f>IFERROR(IF(O901&lt;&gt;"User Specified",IF(O901&lt;&gt;"", INDEX('Refrigerant GWPs'!$G$2:$G$154,MATCH(O901,'Refrigerant GWPs'!$A$2:$A$154,0)),""),U901),0)</f>
        <v/>
      </c>
      <c r="Q901" s="155"/>
      <c r="R901" s="155"/>
      <c r="S901" s="144"/>
      <c r="T901" s="159" t="str">
        <f>IF(S901&lt;&gt;"User Specified",IF(AND(S901&lt;&gt;"User Specified",S901&lt;&gt;""), INDEX('Refrigerant GWPs'!$G$2:$G$154,MATCH(S901,'Refrigerant GWPs'!$A$2:$A$154,0)),""),V901)</f>
        <v/>
      </c>
      <c r="U901" s="144"/>
      <c r="V901" s="144"/>
      <c r="W901" s="155"/>
      <c r="X901" s="155"/>
      <c r="Y901" s="144"/>
      <c r="Z901" s="159" t="str">
        <f>IF(AND(Y901&lt;&gt;"User Specified",Y901&lt;&gt;""), INDEX('Refrigerant GWPs'!$G$2:$G$154,MATCH(Y901,'Refrigerant GWPs'!$A$2:$A$154,0)),"")</f>
        <v/>
      </c>
      <c r="AA901" s="155"/>
      <c r="AB901" s="156"/>
      <c r="AC901" s="66"/>
      <c r="AD901" s="66"/>
      <c r="AE901" s="66"/>
      <c r="AF901" s="66"/>
      <c r="AG901" s="66"/>
      <c r="AH901" s="66"/>
      <c r="AI901" s="34"/>
      <c r="AJ901" s="88">
        <f t="shared" si="990"/>
        <v>0</v>
      </c>
      <c r="AK901" s="88">
        <f t="shared" si="991"/>
        <v>0</v>
      </c>
      <c r="AL901" s="88">
        <v>0</v>
      </c>
      <c r="AM901" s="88">
        <v>0</v>
      </c>
      <c r="AN901" s="81" t="str">
        <f t="shared" si="1029"/>
        <v/>
      </c>
      <c r="AO901" s="88">
        <f t="shared" si="992"/>
        <v>0</v>
      </c>
      <c r="AP901" s="88">
        <f t="shared" si="993"/>
        <v>0</v>
      </c>
      <c r="AQ901" s="81" t="str">
        <f t="shared" si="994"/>
        <v/>
      </c>
      <c r="AS901" s="41" t="b">
        <f t="shared" si="995"/>
        <v>1</v>
      </c>
      <c r="AT901" s="38">
        <f t="shared" si="996"/>
        <v>0</v>
      </c>
      <c r="AU901" s="60">
        <f t="shared" si="997"/>
        <v>0</v>
      </c>
      <c r="AV901" s="41">
        <f t="shared" si="998"/>
        <v>0</v>
      </c>
      <c r="AW901" s="41" t="b">
        <f t="shared" si="999"/>
        <v>0</v>
      </c>
      <c r="AX901" t="str">
        <f t="shared" si="1000"/>
        <v>+00</v>
      </c>
      <c r="AY901" t="str">
        <f t="shared" si="1001"/>
        <v>+00</v>
      </c>
      <c r="BA901" s="47" t="b">
        <f t="shared" si="1030"/>
        <v>1</v>
      </c>
      <c r="BB901" s="42" t="b">
        <f t="shared" si="1031"/>
        <v>1</v>
      </c>
      <c r="BC901" s="42" t="b">
        <f t="shared" si="1032"/>
        <v>0</v>
      </c>
      <c r="BD901" s="42" t="b">
        <f t="shared" si="1033"/>
        <v>0</v>
      </c>
      <c r="BE901" s="70">
        <f t="shared" si="1034"/>
        <v>0</v>
      </c>
      <c r="BF901" s="70">
        <f t="shared" si="1035"/>
        <v>0</v>
      </c>
      <c r="BG901" s="34"/>
      <c r="BI901" s="47" t="b">
        <f t="shared" si="1036"/>
        <v>1</v>
      </c>
      <c r="BJ901" s="47" t="b">
        <f t="shared" si="1037"/>
        <v>1</v>
      </c>
      <c r="BK901" s="42" t="b">
        <f t="shared" si="1038"/>
        <v>0</v>
      </c>
      <c r="BL901" s="42" t="b">
        <f t="shared" si="1039"/>
        <v>0</v>
      </c>
      <c r="BM901" s="42">
        <f t="shared" si="1040"/>
        <v>0</v>
      </c>
      <c r="BN901" s="42">
        <f t="shared" si="1041"/>
        <v>0</v>
      </c>
      <c r="BP901" t="e">
        <f t="shared" si="1042"/>
        <v>#N/A</v>
      </c>
      <c r="BQ901" t="e">
        <f t="shared" si="1043"/>
        <v>#N/A</v>
      </c>
      <c r="BR901" t="e">
        <f t="shared" si="1044"/>
        <v>#N/A</v>
      </c>
      <c r="BT901" s="60">
        <f t="shared" si="1045"/>
        <v>0</v>
      </c>
      <c r="BU901" s="60">
        <f t="shared" si="1046"/>
        <v>0</v>
      </c>
      <c r="BV901" s="60">
        <f t="shared" si="1047"/>
        <v>0</v>
      </c>
      <c r="BW901" s="60">
        <f t="shared" si="1048"/>
        <v>0</v>
      </c>
      <c r="BX901" s="60">
        <f t="shared" si="1049"/>
        <v>0</v>
      </c>
      <c r="BY901" s="60">
        <f t="shared" si="1050"/>
        <v>0</v>
      </c>
      <c r="BZ901" s="60">
        <f t="shared" si="1051"/>
        <v>0</v>
      </c>
      <c r="CA901" s="60">
        <f t="shared" si="1052"/>
        <v>0</v>
      </c>
      <c r="CB901" s="60" t="e">
        <f t="shared" si="1002"/>
        <v>#N/A</v>
      </c>
      <c r="CC901" s="60">
        <f t="shared" si="1003"/>
        <v>100000</v>
      </c>
      <c r="CD901" s="60" t="e">
        <f t="shared" si="1004"/>
        <v>#N/A</v>
      </c>
      <c r="CE901" s="60">
        <f t="shared" si="1005"/>
        <v>100000</v>
      </c>
      <c r="CF901" s="83" t="e">
        <f t="shared" si="1053"/>
        <v>#N/A</v>
      </c>
      <c r="CG901" s="83">
        <f t="shared" si="1054"/>
        <v>0</v>
      </c>
      <c r="CH901" s="83" t="e">
        <f t="shared" si="1055"/>
        <v>#N/A</v>
      </c>
      <c r="CI901" s="83">
        <f t="shared" si="1056"/>
        <v>0</v>
      </c>
      <c r="CJ901" s="86" t="e">
        <f t="shared" si="1006"/>
        <v>#N/A</v>
      </c>
      <c r="CK901" s="82">
        <f t="shared" si="1007"/>
        <v>5.3070370403969858E-3</v>
      </c>
      <c r="CL901" s="82" t="e">
        <f t="shared" si="1008"/>
        <v>#N/A</v>
      </c>
      <c r="CM901" s="82">
        <f t="shared" si="1009"/>
        <v>5.3070370403969858E-3</v>
      </c>
      <c r="CO901" s="149" t="str">
        <f>IF($I901&lt;&gt;"",IF(O901="User Specified",U901,INDEX('Refrigerant GWPs'!$G$2:$G$156,MATCH(O901,'Refrigerant GWPs'!$A$2:$A$156,0))),"")</f>
        <v/>
      </c>
      <c r="CP901" s="138" t="str">
        <f>IF($I901&lt;&gt;"",INDEX('Device Refrigerant Leakage'!$E$2:$E$42,MATCH($M901,'Device Refrigerant Leakage'!$B$2:$B$42,0)),"")</f>
        <v/>
      </c>
      <c r="CQ901" s="138" t="str">
        <f>IF($I901&lt;&gt;"",INDEX('Device Refrigerant Leakage'!$F$2:$F$42,MATCH($M901,'Device Refrigerant Leakage'!$B$2:$B$42,0)),"")</f>
        <v/>
      </c>
      <c r="CR901" s="145" t="str">
        <f>IF($I901&lt;&gt;"",INDEX('Device Refrigerant Leakage'!$G$2:$G$42,MATCH($M901,'Device Refrigerant Leakage'!$B$2:$B$42,0)),"")</f>
        <v/>
      </c>
      <c r="CS901" s="145" t="str">
        <f>IF($I901&lt;&gt;"",INDEX('Device Refrigerant Leakage'!$D$2:$D$42,MATCH($M901,'Device Refrigerant Leakage'!$B$2:$B$42,0))*CP901/2204.62*CO901,"")</f>
        <v/>
      </c>
      <c r="CT901" s="145" t="str">
        <f>IF($I901&lt;&gt;"",J901*(INDEX('Device Refrigerant Leakage'!$D$2:$D$42,MATCH($M901,'Device Refrigerant Leakage'!$B$2:$B$42,0))-(INDEX('Device Refrigerant Leakage'!$D$2:$D$42,MATCH($M901,'Device Refrigerant Leakage'!$B$2:$B$42,0)))*CR901*CP901)*CQ901/2204.62*CO901,"")</f>
        <v/>
      </c>
      <c r="CU901" s="135" t="str">
        <f>IF($I901&lt;&gt;"",J901*IF(W901&lt;&gt;"AR",(CS901*K901)+CT901,(CS901*AB901)+CT901*(AB901/INDEX('Device Refrigerant Leakage'!$C$2:$C$42,MATCH($M901,'Device Refrigerant Leakage'!$B$2:$B$42,0)))),"")</f>
        <v/>
      </c>
      <c r="CW901" s="135" t="str">
        <f>IF($I901&lt;&gt;"",IF(S901="User Specified",V901,INDEX('Refrigerant GWPs'!$G$2:$G$156,MATCH(S901,'Refrigerant GWPs'!$A$2:$A$157,0))),"")</f>
        <v/>
      </c>
      <c r="CX901" s="138" t="str">
        <f>IF($I901&lt;&gt;"",INDEX('Device Refrigerant Leakage'!$E$2:$E$42,MATCH($Q901,'Device Refrigerant Leakage'!$B$2:$B$42,0)),"")</f>
        <v/>
      </c>
      <c r="CY901" s="138" t="str">
        <f>IF($I901&lt;&gt;"",INDEX('Device Refrigerant Leakage'!$F$2:$F$42,MATCH($Q901,'Device Refrigerant Leakage'!$B$2:$B$42,0)),"")</f>
        <v/>
      </c>
      <c r="CZ901" s="145" t="str">
        <f>IF($I901&lt;&gt;"",INDEX('Device Refrigerant Leakage'!$G$2:$G$42,MATCH($Q901,'Device Refrigerant Leakage'!$B$2:$B$42,0)),"")</f>
        <v/>
      </c>
      <c r="DA901" s="145" t="str">
        <f>IF($I901&lt;&gt;"",J901*INDEX('Device Refrigerant Leakage'!$D$2:$D$42,MATCH($Q901,'Device Refrigerant Leakage'!$B$2:$B$42,0))*CX901/2204.62*CW901,"")</f>
        <v/>
      </c>
      <c r="DB901" s="145" t="str">
        <f>IF($I901&lt;&gt;"",J901*(INDEX('Device Refrigerant Leakage'!$D$2:$D$42,MATCH($Q901,'Device Refrigerant Leakage'!$B$2:$B$42,0))-(INDEX('Device Refrigerant Leakage'!$D$2:$D$42,MATCH($Q901,'Device Refrigerant Leakage'!$B$2:$B$42,0)))*CZ901*CX901)*CY901/2204.62*CW901,"")</f>
        <v/>
      </c>
      <c r="DC901" s="135" t="str">
        <f t="shared" si="1028"/>
        <v/>
      </c>
      <c r="DE901" s="146" t="str">
        <f>IF(W901&lt;&gt;"AR","",IF(Y901="User Specified", AA901, INDEX('Refrigerant GWPs'!$G$2:$G$154,MATCH(Y901,'Refrigerant GWPs'!$A$2:$A$154,0))))</f>
        <v/>
      </c>
      <c r="DF901" s="146" t="str">
        <f>IF(W901&lt;&gt;"AR","",INDEX('Device Refrigerant Leakage'!$E$2:$E$42,MATCH(X901,'Device Refrigerant Leakage'!$B$2:$B$42,0)))</f>
        <v/>
      </c>
      <c r="DG901" s="146" t="str">
        <f>IF(W901&lt;&gt;"AR","",INDEX('Device Refrigerant Leakage'!$F$2:$F$42,MATCH(X901,'Device Refrigerant Leakage'!$B$2:$B$42,0)))</f>
        <v/>
      </c>
      <c r="DH901" s="146" t="str">
        <f>IF(W901&lt;&gt;"AR","",INDEX('Device Refrigerant Leakage'!$G$2:$G$42,MATCH(X901,'Device Refrigerant Leakage'!$B$2:$B$42,0)))</f>
        <v/>
      </c>
      <c r="DI901" s="146" t="str">
        <f>IF(W901&lt;&gt;"AR","",J901*INDEX('Device Refrigerant Leakage'!$D$2:$D$42,MATCH(X901,'Device Refrigerant Leakage'!$B$2:$B$42,0))*DF901/2204.62*DE901)</f>
        <v/>
      </c>
      <c r="DJ901" s="146" t="str">
        <f>IF(W901&lt;&gt;"AR","",J901*(INDEX('Device Refrigerant Leakage'!$D$2:$D$42,MATCH(X901,'Device Refrigerant Leakage'!$B$2:$B$42,0))-(INDEX('Device Refrigerant Leakage'!$D$2:$D$42,MATCH(X901,'Device Refrigerant Leakage'!$B$2:$B$42,0)))*DH901*DF901)*DG901/2204.62*DE901)</f>
        <v/>
      </c>
      <c r="DK901" s="146" t="str">
        <f>IF(W901&lt;&gt;"AR","",DI901*(K901-AB901)+'Fuel Sub Calcs-Deemed'!DJ901*((K901-AB901)/INDEX('Device Refrigerant Leakage'!$C$2:$C$42,MATCH('Fuel Sub Calcs-Deemed'!X901,'Device Refrigerant Leakage'!$B$2:$B$42,0))))</f>
        <v/>
      </c>
      <c r="DM901" s="56">
        <v>887</v>
      </c>
      <c r="DN901" s="67" t="e">
        <f t="shared" si="1010"/>
        <v>#N/A</v>
      </c>
      <c r="DO901" s="45" t="e">
        <f t="shared" si="1011"/>
        <v>#N/A</v>
      </c>
      <c r="DP901" s="67" t="e">
        <f t="shared" si="1012"/>
        <v>#N/A</v>
      </c>
      <c r="DQ901" s="45" t="e">
        <f t="shared" si="1013"/>
        <v>#N/A</v>
      </c>
      <c r="DR901" s="69" t="e">
        <f t="shared" si="1014"/>
        <v>#N/A</v>
      </c>
      <c r="DS901" s="34"/>
      <c r="DT901" s="67" t="e">
        <f>((BX901*CJ901)+IF($W901=MAT_AR,(BZ901*CL901),0))*(1+Reference!$E$50+Reference!$E$51)</f>
        <v>#N/A</v>
      </c>
      <c r="DU901" s="67">
        <f>((BY901*CK901)+IF($W901=MAT_AR,(CA901*CM901),0))*(1+Reference!$G$50+Reference!$G$51)</f>
        <v>0</v>
      </c>
      <c r="DV901" s="67" t="e">
        <f t="shared" si="1015"/>
        <v>#VALUE!</v>
      </c>
      <c r="DX901" s="56">
        <v>887</v>
      </c>
      <c r="DY901" s="67">
        <f t="shared" si="1016"/>
        <v>0</v>
      </c>
      <c r="DZ901" s="45" t="e">
        <f>VLOOKUP($R901,Dropdown!$C$3:$D$4,2,FALSE)</f>
        <v>#N/A</v>
      </c>
      <c r="EA901" s="68">
        <f t="shared" si="1017"/>
        <v>0</v>
      </c>
      <c r="EB901" s="68" t="str">
        <f t="shared" si="1018"/>
        <v>N/A</v>
      </c>
      <c r="EC901" s="68">
        <f t="shared" si="1019"/>
        <v>0</v>
      </c>
      <c r="ED901" s="68" t="str">
        <f t="shared" si="1057"/>
        <v>N/A</v>
      </c>
      <c r="EF901" s="56">
        <v>887</v>
      </c>
      <c r="EG901" s="46">
        <f t="shared" si="1020"/>
        <v>0</v>
      </c>
      <c r="EH901" s="68" t="e">
        <f t="shared" si="1021"/>
        <v>#N/A</v>
      </c>
      <c r="EI901" s="68" t="e">
        <f t="shared" si="1022"/>
        <v>#N/A</v>
      </c>
      <c r="EJ901" s="68" t="e">
        <f t="shared" si="1023"/>
        <v>#N/A</v>
      </c>
      <c r="EK901" s="68" t="e">
        <f t="shared" si="1024"/>
        <v>#N/A</v>
      </c>
      <c r="EL901" s="46">
        <f t="shared" si="1025"/>
        <v>0</v>
      </c>
      <c r="EM901" s="46">
        <f t="shared" si="1026"/>
        <v>0</v>
      </c>
    </row>
    <row r="902" spans="1:143">
      <c r="A902" s="89"/>
      <c r="B902" s="89"/>
      <c r="C902" s="89"/>
      <c r="D902" s="89"/>
      <c r="E902" s="89"/>
      <c r="F902" s="89"/>
      <c r="G902" s="34"/>
      <c r="H902" s="56">
        <f t="shared" si="1027"/>
        <v>888</v>
      </c>
      <c r="I902" s="165"/>
      <c r="J902" s="163"/>
      <c r="K902" s="163"/>
      <c r="L902" s="164"/>
      <c r="M902" s="155"/>
      <c r="N902" s="155"/>
      <c r="O902" s="144"/>
      <c r="P902" s="159" t="str">
        <f>IFERROR(IF(O902&lt;&gt;"User Specified",IF(O902&lt;&gt;"", INDEX('Refrigerant GWPs'!$G$2:$G$154,MATCH(O902,'Refrigerant GWPs'!$A$2:$A$154,0)),""),U902),0)</f>
        <v/>
      </c>
      <c r="Q902" s="155"/>
      <c r="R902" s="155"/>
      <c r="S902" s="144"/>
      <c r="T902" s="159" t="str">
        <f>IF(S902&lt;&gt;"User Specified",IF(AND(S902&lt;&gt;"User Specified",S902&lt;&gt;""), INDEX('Refrigerant GWPs'!$G$2:$G$154,MATCH(S902,'Refrigerant GWPs'!$A$2:$A$154,0)),""),V902)</f>
        <v/>
      </c>
      <c r="U902" s="144"/>
      <c r="V902" s="144"/>
      <c r="W902" s="155"/>
      <c r="X902" s="155"/>
      <c r="Y902" s="144"/>
      <c r="Z902" s="159" t="str">
        <f>IF(AND(Y902&lt;&gt;"User Specified",Y902&lt;&gt;""), INDEX('Refrigerant GWPs'!$G$2:$G$154,MATCH(Y902,'Refrigerant GWPs'!$A$2:$A$154,0)),"")</f>
        <v/>
      </c>
      <c r="AA902" s="155"/>
      <c r="AB902" s="156"/>
      <c r="AC902" s="66"/>
      <c r="AD902" s="66"/>
      <c r="AE902" s="66"/>
      <c r="AF902" s="66"/>
      <c r="AG902" s="66"/>
      <c r="AH902" s="66"/>
      <c r="AI902" s="34"/>
      <c r="AJ902" s="88">
        <f t="shared" si="990"/>
        <v>0</v>
      </c>
      <c r="AK902" s="88">
        <f t="shared" si="991"/>
        <v>0</v>
      </c>
      <c r="AL902" s="88">
        <v>0</v>
      </c>
      <c r="AM902" s="88">
        <v>0</v>
      </c>
      <c r="AN902" s="81" t="str">
        <f t="shared" si="1029"/>
        <v/>
      </c>
      <c r="AO902" s="88">
        <f t="shared" si="992"/>
        <v>0</v>
      </c>
      <c r="AP902" s="88">
        <f t="shared" si="993"/>
        <v>0</v>
      </c>
      <c r="AQ902" s="81" t="str">
        <f t="shared" si="994"/>
        <v/>
      </c>
      <c r="AS902" s="41" t="b">
        <f t="shared" si="995"/>
        <v>1</v>
      </c>
      <c r="AT902" s="38">
        <f t="shared" si="996"/>
        <v>0</v>
      </c>
      <c r="AU902" s="60">
        <f t="shared" si="997"/>
        <v>0</v>
      </c>
      <c r="AV902" s="41">
        <f t="shared" si="998"/>
        <v>0</v>
      </c>
      <c r="AW902" s="41" t="b">
        <f t="shared" si="999"/>
        <v>0</v>
      </c>
      <c r="AX902" t="str">
        <f t="shared" si="1000"/>
        <v>+00</v>
      </c>
      <c r="AY902" t="str">
        <f t="shared" si="1001"/>
        <v>+00</v>
      </c>
      <c r="BA902" s="47" t="b">
        <f t="shared" si="1030"/>
        <v>1</v>
      </c>
      <c r="BB902" s="42" t="b">
        <f t="shared" si="1031"/>
        <v>1</v>
      </c>
      <c r="BC902" s="42" t="b">
        <f t="shared" si="1032"/>
        <v>0</v>
      </c>
      <c r="BD902" s="42" t="b">
        <f t="shared" si="1033"/>
        <v>0</v>
      </c>
      <c r="BE902" s="70">
        <f t="shared" si="1034"/>
        <v>0</v>
      </c>
      <c r="BF902" s="70">
        <f t="shared" si="1035"/>
        <v>0</v>
      </c>
      <c r="BG902" s="34"/>
      <c r="BI902" s="47" t="b">
        <f t="shared" si="1036"/>
        <v>1</v>
      </c>
      <c r="BJ902" s="47" t="b">
        <f t="shared" si="1037"/>
        <v>1</v>
      </c>
      <c r="BK902" s="42" t="b">
        <f t="shared" si="1038"/>
        <v>0</v>
      </c>
      <c r="BL902" s="42" t="b">
        <f t="shared" si="1039"/>
        <v>0</v>
      </c>
      <c r="BM902" s="42">
        <f t="shared" si="1040"/>
        <v>0</v>
      </c>
      <c r="BN902" s="42">
        <f t="shared" si="1041"/>
        <v>0</v>
      </c>
      <c r="BP902" t="e">
        <f t="shared" si="1042"/>
        <v>#N/A</v>
      </c>
      <c r="BQ902" t="e">
        <f t="shared" si="1043"/>
        <v>#N/A</v>
      </c>
      <c r="BR902" t="e">
        <f t="shared" si="1044"/>
        <v>#N/A</v>
      </c>
      <c r="BT902" s="60">
        <f t="shared" si="1045"/>
        <v>0</v>
      </c>
      <c r="BU902" s="60">
        <f t="shared" si="1046"/>
        <v>0</v>
      </c>
      <c r="BV902" s="60">
        <f t="shared" si="1047"/>
        <v>0</v>
      </c>
      <c r="BW902" s="60">
        <f t="shared" si="1048"/>
        <v>0</v>
      </c>
      <c r="BX902" s="60">
        <f t="shared" si="1049"/>
        <v>0</v>
      </c>
      <c r="BY902" s="60">
        <f t="shared" si="1050"/>
        <v>0</v>
      </c>
      <c r="BZ902" s="60">
        <f t="shared" si="1051"/>
        <v>0</v>
      </c>
      <c r="CA902" s="60">
        <f t="shared" si="1052"/>
        <v>0</v>
      </c>
      <c r="CB902" s="60" t="e">
        <f t="shared" si="1002"/>
        <v>#N/A</v>
      </c>
      <c r="CC902" s="60">
        <f t="shared" si="1003"/>
        <v>100000</v>
      </c>
      <c r="CD902" s="60" t="e">
        <f t="shared" si="1004"/>
        <v>#N/A</v>
      </c>
      <c r="CE902" s="60">
        <f t="shared" si="1005"/>
        <v>100000</v>
      </c>
      <c r="CF902" s="83" t="e">
        <f t="shared" si="1053"/>
        <v>#N/A</v>
      </c>
      <c r="CG902" s="83">
        <f t="shared" si="1054"/>
        <v>0</v>
      </c>
      <c r="CH902" s="83" t="e">
        <f t="shared" si="1055"/>
        <v>#N/A</v>
      </c>
      <c r="CI902" s="83">
        <f t="shared" si="1056"/>
        <v>0</v>
      </c>
      <c r="CJ902" s="86" t="e">
        <f t="shared" si="1006"/>
        <v>#N/A</v>
      </c>
      <c r="CK902" s="82">
        <f t="shared" si="1007"/>
        <v>5.3070370403969858E-3</v>
      </c>
      <c r="CL902" s="82" t="e">
        <f t="shared" si="1008"/>
        <v>#N/A</v>
      </c>
      <c r="CM902" s="82">
        <f t="shared" si="1009"/>
        <v>5.3070370403969858E-3</v>
      </c>
      <c r="CO902" s="149" t="str">
        <f>IF($I902&lt;&gt;"",IF(O902="User Specified",U902,INDEX('Refrigerant GWPs'!$G$2:$G$156,MATCH(O902,'Refrigerant GWPs'!$A$2:$A$156,0))),"")</f>
        <v/>
      </c>
      <c r="CP902" s="138" t="str">
        <f>IF($I902&lt;&gt;"",INDEX('Device Refrigerant Leakage'!$E$2:$E$42,MATCH($M902,'Device Refrigerant Leakage'!$B$2:$B$42,0)),"")</f>
        <v/>
      </c>
      <c r="CQ902" s="138" t="str">
        <f>IF($I902&lt;&gt;"",INDEX('Device Refrigerant Leakage'!$F$2:$F$42,MATCH($M902,'Device Refrigerant Leakage'!$B$2:$B$42,0)),"")</f>
        <v/>
      </c>
      <c r="CR902" s="145" t="str">
        <f>IF($I902&lt;&gt;"",INDEX('Device Refrigerant Leakage'!$G$2:$G$42,MATCH($M902,'Device Refrigerant Leakage'!$B$2:$B$42,0)),"")</f>
        <v/>
      </c>
      <c r="CS902" s="145" t="str">
        <f>IF($I902&lt;&gt;"",INDEX('Device Refrigerant Leakage'!$D$2:$D$42,MATCH($M902,'Device Refrigerant Leakage'!$B$2:$B$42,0))*CP902/2204.62*CO902,"")</f>
        <v/>
      </c>
      <c r="CT902" s="145" t="str">
        <f>IF($I902&lt;&gt;"",J902*(INDEX('Device Refrigerant Leakage'!$D$2:$D$42,MATCH($M902,'Device Refrigerant Leakage'!$B$2:$B$42,0))-(INDEX('Device Refrigerant Leakage'!$D$2:$D$42,MATCH($M902,'Device Refrigerant Leakage'!$B$2:$B$42,0)))*CR902*CP902)*CQ902/2204.62*CO902,"")</f>
        <v/>
      </c>
      <c r="CU902" s="135" t="str">
        <f>IF($I902&lt;&gt;"",J902*IF(W902&lt;&gt;"AR",(CS902*K902)+CT902,(CS902*AB902)+CT902*(AB902/INDEX('Device Refrigerant Leakage'!$C$2:$C$42,MATCH($M902,'Device Refrigerant Leakage'!$B$2:$B$42,0)))),"")</f>
        <v/>
      </c>
      <c r="CW902" s="135" t="str">
        <f>IF($I902&lt;&gt;"",IF(S902="User Specified",V902,INDEX('Refrigerant GWPs'!$G$2:$G$156,MATCH(S902,'Refrigerant GWPs'!$A$2:$A$157,0))),"")</f>
        <v/>
      </c>
      <c r="CX902" s="138" t="str">
        <f>IF($I902&lt;&gt;"",INDEX('Device Refrigerant Leakage'!$E$2:$E$42,MATCH($Q902,'Device Refrigerant Leakage'!$B$2:$B$42,0)),"")</f>
        <v/>
      </c>
      <c r="CY902" s="138" t="str">
        <f>IF($I902&lt;&gt;"",INDEX('Device Refrigerant Leakage'!$F$2:$F$42,MATCH($Q902,'Device Refrigerant Leakage'!$B$2:$B$42,0)),"")</f>
        <v/>
      </c>
      <c r="CZ902" s="145" t="str">
        <f>IF($I902&lt;&gt;"",INDEX('Device Refrigerant Leakage'!$G$2:$G$42,MATCH($Q902,'Device Refrigerant Leakage'!$B$2:$B$42,0)),"")</f>
        <v/>
      </c>
      <c r="DA902" s="145" t="str">
        <f>IF($I902&lt;&gt;"",J902*INDEX('Device Refrigerant Leakage'!$D$2:$D$42,MATCH($Q902,'Device Refrigerant Leakage'!$B$2:$B$42,0))*CX902/2204.62*CW902,"")</f>
        <v/>
      </c>
      <c r="DB902" s="145" t="str">
        <f>IF($I902&lt;&gt;"",J902*(INDEX('Device Refrigerant Leakage'!$D$2:$D$42,MATCH($Q902,'Device Refrigerant Leakage'!$B$2:$B$42,0))-(INDEX('Device Refrigerant Leakage'!$D$2:$D$42,MATCH($Q902,'Device Refrigerant Leakage'!$B$2:$B$42,0)))*CZ902*CX902)*CY902/2204.62*CW902,"")</f>
        <v/>
      </c>
      <c r="DC902" s="135" t="str">
        <f t="shared" si="1028"/>
        <v/>
      </c>
      <c r="DE902" s="146" t="str">
        <f>IF(W902&lt;&gt;"AR","",IF(Y902="User Specified", AA902, INDEX('Refrigerant GWPs'!$G$2:$G$154,MATCH(Y902,'Refrigerant GWPs'!$A$2:$A$154,0))))</f>
        <v/>
      </c>
      <c r="DF902" s="146" t="str">
        <f>IF(W902&lt;&gt;"AR","",INDEX('Device Refrigerant Leakage'!$E$2:$E$42,MATCH(X902,'Device Refrigerant Leakage'!$B$2:$B$42,0)))</f>
        <v/>
      </c>
      <c r="DG902" s="146" t="str">
        <f>IF(W902&lt;&gt;"AR","",INDEX('Device Refrigerant Leakage'!$F$2:$F$42,MATCH(X902,'Device Refrigerant Leakage'!$B$2:$B$42,0)))</f>
        <v/>
      </c>
      <c r="DH902" s="146" t="str">
        <f>IF(W902&lt;&gt;"AR","",INDEX('Device Refrigerant Leakage'!$G$2:$G$42,MATCH(X902,'Device Refrigerant Leakage'!$B$2:$B$42,0)))</f>
        <v/>
      </c>
      <c r="DI902" s="146" t="str">
        <f>IF(W902&lt;&gt;"AR","",J902*INDEX('Device Refrigerant Leakage'!$D$2:$D$42,MATCH(X902,'Device Refrigerant Leakage'!$B$2:$B$42,0))*DF902/2204.62*DE902)</f>
        <v/>
      </c>
      <c r="DJ902" s="146" t="str">
        <f>IF(W902&lt;&gt;"AR","",J902*(INDEX('Device Refrigerant Leakage'!$D$2:$D$42,MATCH(X902,'Device Refrigerant Leakage'!$B$2:$B$42,0))-(INDEX('Device Refrigerant Leakage'!$D$2:$D$42,MATCH(X902,'Device Refrigerant Leakage'!$B$2:$B$42,0)))*DH902*DF902)*DG902/2204.62*DE902)</f>
        <v/>
      </c>
      <c r="DK902" s="146" t="str">
        <f>IF(W902&lt;&gt;"AR","",DI902*(K902-AB902)+'Fuel Sub Calcs-Deemed'!DJ902*((K902-AB902)/INDEX('Device Refrigerant Leakage'!$C$2:$C$42,MATCH('Fuel Sub Calcs-Deemed'!X902,'Device Refrigerant Leakage'!$B$2:$B$42,0))))</f>
        <v/>
      </c>
      <c r="DM902" s="56">
        <v>888</v>
      </c>
      <c r="DN902" s="67" t="e">
        <f t="shared" si="1010"/>
        <v>#N/A</v>
      </c>
      <c r="DO902" s="45" t="e">
        <f t="shared" si="1011"/>
        <v>#N/A</v>
      </c>
      <c r="DP902" s="67" t="e">
        <f t="shared" si="1012"/>
        <v>#N/A</v>
      </c>
      <c r="DQ902" s="45" t="e">
        <f t="shared" si="1013"/>
        <v>#N/A</v>
      </c>
      <c r="DR902" s="69" t="e">
        <f t="shared" si="1014"/>
        <v>#N/A</v>
      </c>
      <c r="DS902" s="34"/>
      <c r="DT902" s="67" t="e">
        <f>((BX902*CJ902)+IF($W902=MAT_AR,(BZ902*CL902),0))*(1+Reference!$E$50+Reference!$E$51)</f>
        <v>#N/A</v>
      </c>
      <c r="DU902" s="67">
        <f>((BY902*CK902)+IF($W902=MAT_AR,(CA902*CM902),0))*(1+Reference!$G$50+Reference!$G$51)</f>
        <v>0</v>
      </c>
      <c r="DV902" s="67" t="e">
        <f t="shared" si="1015"/>
        <v>#VALUE!</v>
      </c>
      <c r="DX902" s="56">
        <v>888</v>
      </c>
      <c r="DY902" s="67">
        <f t="shared" si="1016"/>
        <v>0</v>
      </c>
      <c r="DZ902" s="45" t="e">
        <f>VLOOKUP($R902,Dropdown!$C$3:$D$4,2,FALSE)</f>
        <v>#N/A</v>
      </c>
      <c r="EA902" s="68">
        <f t="shared" si="1017"/>
        <v>0</v>
      </c>
      <c r="EB902" s="68" t="str">
        <f t="shared" si="1018"/>
        <v>N/A</v>
      </c>
      <c r="EC902" s="68">
        <f t="shared" si="1019"/>
        <v>0</v>
      </c>
      <c r="ED902" s="68" t="str">
        <f t="shared" si="1057"/>
        <v>N/A</v>
      </c>
      <c r="EF902" s="56">
        <v>888</v>
      </c>
      <c r="EG902" s="46">
        <f t="shared" si="1020"/>
        <v>0</v>
      </c>
      <c r="EH902" s="68" t="e">
        <f t="shared" si="1021"/>
        <v>#N/A</v>
      </c>
      <c r="EI902" s="68" t="e">
        <f t="shared" si="1022"/>
        <v>#N/A</v>
      </c>
      <c r="EJ902" s="68" t="e">
        <f t="shared" si="1023"/>
        <v>#N/A</v>
      </c>
      <c r="EK902" s="68" t="e">
        <f t="shared" si="1024"/>
        <v>#N/A</v>
      </c>
      <c r="EL902" s="46">
        <f t="shared" si="1025"/>
        <v>0</v>
      </c>
      <c r="EM902" s="46">
        <f t="shared" si="1026"/>
        <v>0</v>
      </c>
    </row>
    <row r="903" spans="1:143">
      <c r="A903" s="89"/>
      <c r="B903" s="89"/>
      <c r="C903" s="89"/>
      <c r="D903" s="89"/>
      <c r="E903" s="89"/>
      <c r="F903" s="89"/>
      <c r="G903" s="34"/>
      <c r="H903" s="56">
        <f t="shared" si="1027"/>
        <v>889</v>
      </c>
      <c r="I903" s="165"/>
      <c r="J903" s="163"/>
      <c r="K903" s="163"/>
      <c r="L903" s="164"/>
      <c r="M903" s="155"/>
      <c r="N903" s="155"/>
      <c r="O903" s="144"/>
      <c r="P903" s="159" t="str">
        <f>IFERROR(IF(O903&lt;&gt;"User Specified",IF(O903&lt;&gt;"", INDEX('Refrigerant GWPs'!$G$2:$G$154,MATCH(O903,'Refrigerant GWPs'!$A$2:$A$154,0)),""),U903),0)</f>
        <v/>
      </c>
      <c r="Q903" s="155"/>
      <c r="R903" s="155"/>
      <c r="S903" s="144"/>
      <c r="T903" s="159" t="str">
        <f>IF(S903&lt;&gt;"User Specified",IF(AND(S903&lt;&gt;"User Specified",S903&lt;&gt;""), INDEX('Refrigerant GWPs'!$G$2:$G$154,MATCH(S903,'Refrigerant GWPs'!$A$2:$A$154,0)),""),V903)</f>
        <v/>
      </c>
      <c r="U903" s="144"/>
      <c r="V903" s="144"/>
      <c r="W903" s="155"/>
      <c r="X903" s="155"/>
      <c r="Y903" s="144"/>
      <c r="Z903" s="159" t="str">
        <f>IF(AND(Y903&lt;&gt;"User Specified",Y903&lt;&gt;""), INDEX('Refrigerant GWPs'!$G$2:$G$154,MATCH(Y903,'Refrigerant GWPs'!$A$2:$A$154,0)),"")</f>
        <v/>
      </c>
      <c r="AA903" s="155"/>
      <c r="AB903" s="156"/>
      <c r="AC903" s="66"/>
      <c r="AD903" s="66"/>
      <c r="AE903" s="66"/>
      <c r="AF903" s="66"/>
      <c r="AG903" s="66"/>
      <c r="AH903" s="66"/>
      <c r="AI903" s="34"/>
      <c r="AJ903" s="88">
        <f t="shared" si="990"/>
        <v>0</v>
      </c>
      <c r="AK903" s="88">
        <f t="shared" si="991"/>
        <v>0</v>
      </c>
      <c r="AL903" s="88">
        <v>0</v>
      </c>
      <c r="AM903" s="88">
        <v>0</v>
      </c>
      <c r="AN903" s="81" t="str">
        <f t="shared" si="1029"/>
        <v/>
      </c>
      <c r="AO903" s="88">
        <f t="shared" si="992"/>
        <v>0</v>
      </c>
      <c r="AP903" s="88">
        <f t="shared" si="993"/>
        <v>0</v>
      </c>
      <c r="AQ903" s="81" t="str">
        <f t="shared" si="994"/>
        <v/>
      </c>
      <c r="AS903" s="41" t="b">
        <f t="shared" si="995"/>
        <v>1</v>
      </c>
      <c r="AT903" s="38">
        <f t="shared" si="996"/>
        <v>0</v>
      </c>
      <c r="AU903" s="60">
        <f t="shared" si="997"/>
        <v>0</v>
      </c>
      <c r="AV903" s="41">
        <f t="shared" si="998"/>
        <v>0</v>
      </c>
      <c r="AW903" s="41" t="b">
        <f t="shared" si="999"/>
        <v>0</v>
      </c>
      <c r="AX903" t="str">
        <f t="shared" si="1000"/>
        <v>+00</v>
      </c>
      <c r="AY903" t="str">
        <f t="shared" si="1001"/>
        <v>+00</v>
      </c>
      <c r="BA903" s="47" t="b">
        <f t="shared" si="1030"/>
        <v>1</v>
      </c>
      <c r="BB903" s="42" t="b">
        <f t="shared" si="1031"/>
        <v>1</v>
      </c>
      <c r="BC903" s="42" t="b">
        <f t="shared" si="1032"/>
        <v>0</v>
      </c>
      <c r="BD903" s="42" t="b">
        <f t="shared" si="1033"/>
        <v>0</v>
      </c>
      <c r="BE903" s="70">
        <f t="shared" si="1034"/>
        <v>0</v>
      </c>
      <c r="BF903" s="70">
        <f t="shared" si="1035"/>
        <v>0</v>
      </c>
      <c r="BG903" s="34"/>
      <c r="BI903" s="47" t="b">
        <f t="shared" si="1036"/>
        <v>1</v>
      </c>
      <c r="BJ903" s="47" t="b">
        <f t="shared" si="1037"/>
        <v>1</v>
      </c>
      <c r="BK903" s="42" t="b">
        <f t="shared" si="1038"/>
        <v>0</v>
      </c>
      <c r="BL903" s="42" t="b">
        <f t="shared" si="1039"/>
        <v>0</v>
      </c>
      <c r="BM903" s="42">
        <f t="shared" si="1040"/>
        <v>0</v>
      </c>
      <c r="BN903" s="42">
        <f t="shared" si="1041"/>
        <v>0</v>
      </c>
      <c r="BP903" t="e">
        <f t="shared" si="1042"/>
        <v>#N/A</v>
      </c>
      <c r="BQ903" t="e">
        <f t="shared" si="1043"/>
        <v>#N/A</v>
      </c>
      <c r="BR903" t="e">
        <f t="shared" si="1044"/>
        <v>#N/A</v>
      </c>
      <c r="BT903" s="60">
        <f t="shared" si="1045"/>
        <v>0</v>
      </c>
      <c r="BU903" s="60">
        <f t="shared" si="1046"/>
        <v>0</v>
      </c>
      <c r="BV903" s="60">
        <f t="shared" si="1047"/>
        <v>0</v>
      </c>
      <c r="BW903" s="60">
        <f t="shared" si="1048"/>
        <v>0</v>
      </c>
      <c r="BX903" s="60">
        <f t="shared" si="1049"/>
        <v>0</v>
      </c>
      <c r="BY903" s="60">
        <f t="shared" si="1050"/>
        <v>0</v>
      </c>
      <c r="BZ903" s="60">
        <f t="shared" si="1051"/>
        <v>0</v>
      </c>
      <c r="CA903" s="60">
        <f t="shared" si="1052"/>
        <v>0</v>
      </c>
      <c r="CB903" s="60" t="e">
        <f t="shared" si="1002"/>
        <v>#N/A</v>
      </c>
      <c r="CC903" s="60">
        <f t="shared" si="1003"/>
        <v>100000</v>
      </c>
      <c r="CD903" s="60" t="e">
        <f t="shared" si="1004"/>
        <v>#N/A</v>
      </c>
      <c r="CE903" s="60">
        <f t="shared" si="1005"/>
        <v>100000</v>
      </c>
      <c r="CF903" s="83" t="e">
        <f t="shared" si="1053"/>
        <v>#N/A</v>
      </c>
      <c r="CG903" s="83">
        <f t="shared" si="1054"/>
        <v>0</v>
      </c>
      <c r="CH903" s="83" t="e">
        <f t="shared" si="1055"/>
        <v>#N/A</v>
      </c>
      <c r="CI903" s="83">
        <f t="shared" si="1056"/>
        <v>0</v>
      </c>
      <c r="CJ903" s="86" t="e">
        <f t="shared" si="1006"/>
        <v>#N/A</v>
      </c>
      <c r="CK903" s="82">
        <f t="shared" si="1007"/>
        <v>5.3070370403969858E-3</v>
      </c>
      <c r="CL903" s="82" t="e">
        <f t="shared" si="1008"/>
        <v>#N/A</v>
      </c>
      <c r="CM903" s="82">
        <f t="shared" si="1009"/>
        <v>5.3070370403969858E-3</v>
      </c>
      <c r="CO903" s="149" t="str">
        <f>IF($I903&lt;&gt;"",IF(O903="User Specified",U903,INDEX('Refrigerant GWPs'!$G$2:$G$156,MATCH(O903,'Refrigerant GWPs'!$A$2:$A$156,0))),"")</f>
        <v/>
      </c>
      <c r="CP903" s="138" t="str">
        <f>IF($I903&lt;&gt;"",INDEX('Device Refrigerant Leakage'!$E$2:$E$42,MATCH($M903,'Device Refrigerant Leakage'!$B$2:$B$42,0)),"")</f>
        <v/>
      </c>
      <c r="CQ903" s="138" t="str">
        <f>IF($I903&lt;&gt;"",INDEX('Device Refrigerant Leakage'!$F$2:$F$42,MATCH($M903,'Device Refrigerant Leakage'!$B$2:$B$42,0)),"")</f>
        <v/>
      </c>
      <c r="CR903" s="145" t="str">
        <f>IF($I903&lt;&gt;"",INDEX('Device Refrigerant Leakage'!$G$2:$G$42,MATCH($M903,'Device Refrigerant Leakage'!$B$2:$B$42,0)),"")</f>
        <v/>
      </c>
      <c r="CS903" s="145" t="str">
        <f>IF($I903&lt;&gt;"",INDEX('Device Refrigerant Leakage'!$D$2:$D$42,MATCH($M903,'Device Refrigerant Leakage'!$B$2:$B$42,0))*CP903/2204.62*CO903,"")</f>
        <v/>
      </c>
      <c r="CT903" s="145" t="str">
        <f>IF($I903&lt;&gt;"",J903*(INDEX('Device Refrigerant Leakage'!$D$2:$D$42,MATCH($M903,'Device Refrigerant Leakage'!$B$2:$B$42,0))-(INDEX('Device Refrigerant Leakage'!$D$2:$D$42,MATCH($M903,'Device Refrigerant Leakage'!$B$2:$B$42,0)))*CR903*CP903)*CQ903/2204.62*CO903,"")</f>
        <v/>
      </c>
      <c r="CU903" s="135" t="str">
        <f>IF($I903&lt;&gt;"",J903*IF(W903&lt;&gt;"AR",(CS903*K903)+CT903,(CS903*AB903)+CT903*(AB903/INDEX('Device Refrigerant Leakage'!$C$2:$C$42,MATCH($M903,'Device Refrigerant Leakage'!$B$2:$B$42,0)))),"")</f>
        <v/>
      </c>
      <c r="CW903" s="135" t="str">
        <f>IF($I903&lt;&gt;"",IF(S903="User Specified",V903,INDEX('Refrigerant GWPs'!$G$2:$G$156,MATCH(S903,'Refrigerant GWPs'!$A$2:$A$157,0))),"")</f>
        <v/>
      </c>
      <c r="CX903" s="138" t="str">
        <f>IF($I903&lt;&gt;"",INDEX('Device Refrigerant Leakage'!$E$2:$E$42,MATCH($Q903,'Device Refrigerant Leakage'!$B$2:$B$42,0)),"")</f>
        <v/>
      </c>
      <c r="CY903" s="138" t="str">
        <f>IF($I903&lt;&gt;"",INDEX('Device Refrigerant Leakage'!$F$2:$F$42,MATCH($Q903,'Device Refrigerant Leakage'!$B$2:$B$42,0)),"")</f>
        <v/>
      </c>
      <c r="CZ903" s="145" t="str">
        <f>IF($I903&lt;&gt;"",INDEX('Device Refrigerant Leakage'!$G$2:$G$42,MATCH($Q903,'Device Refrigerant Leakage'!$B$2:$B$42,0)),"")</f>
        <v/>
      </c>
      <c r="DA903" s="145" t="str">
        <f>IF($I903&lt;&gt;"",J903*INDEX('Device Refrigerant Leakage'!$D$2:$D$42,MATCH($Q903,'Device Refrigerant Leakage'!$B$2:$B$42,0))*CX903/2204.62*CW903,"")</f>
        <v/>
      </c>
      <c r="DB903" s="145" t="str">
        <f>IF($I903&lt;&gt;"",J903*(INDEX('Device Refrigerant Leakage'!$D$2:$D$42,MATCH($Q903,'Device Refrigerant Leakage'!$B$2:$B$42,0))-(INDEX('Device Refrigerant Leakage'!$D$2:$D$42,MATCH($Q903,'Device Refrigerant Leakage'!$B$2:$B$42,0)))*CZ903*CX903)*CY903/2204.62*CW903,"")</f>
        <v/>
      </c>
      <c r="DC903" s="135" t="str">
        <f t="shared" si="1028"/>
        <v/>
      </c>
      <c r="DE903" s="146" t="str">
        <f>IF(W903&lt;&gt;"AR","",IF(Y903="User Specified", AA903, INDEX('Refrigerant GWPs'!$G$2:$G$154,MATCH(Y903,'Refrigerant GWPs'!$A$2:$A$154,0))))</f>
        <v/>
      </c>
      <c r="DF903" s="146" t="str">
        <f>IF(W903&lt;&gt;"AR","",INDEX('Device Refrigerant Leakage'!$E$2:$E$42,MATCH(X903,'Device Refrigerant Leakage'!$B$2:$B$42,0)))</f>
        <v/>
      </c>
      <c r="DG903" s="146" t="str">
        <f>IF(W903&lt;&gt;"AR","",INDEX('Device Refrigerant Leakage'!$F$2:$F$42,MATCH(X903,'Device Refrigerant Leakage'!$B$2:$B$42,0)))</f>
        <v/>
      </c>
      <c r="DH903" s="146" t="str">
        <f>IF(W903&lt;&gt;"AR","",INDEX('Device Refrigerant Leakage'!$G$2:$G$42,MATCH(X903,'Device Refrigerant Leakage'!$B$2:$B$42,0)))</f>
        <v/>
      </c>
      <c r="DI903" s="146" t="str">
        <f>IF(W903&lt;&gt;"AR","",J903*INDEX('Device Refrigerant Leakage'!$D$2:$D$42,MATCH(X903,'Device Refrigerant Leakage'!$B$2:$B$42,0))*DF903/2204.62*DE903)</f>
        <v/>
      </c>
      <c r="DJ903" s="146" t="str">
        <f>IF(W903&lt;&gt;"AR","",J903*(INDEX('Device Refrigerant Leakage'!$D$2:$D$42,MATCH(X903,'Device Refrigerant Leakage'!$B$2:$B$42,0))-(INDEX('Device Refrigerant Leakage'!$D$2:$D$42,MATCH(X903,'Device Refrigerant Leakage'!$B$2:$B$42,0)))*DH903*DF903)*DG903/2204.62*DE903)</f>
        <v/>
      </c>
      <c r="DK903" s="146" t="str">
        <f>IF(W903&lt;&gt;"AR","",DI903*(K903-AB903)+'Fuel Sub Calcs-Deemed'!DJ903*((K903-AB903)/INDEX('Device Refrigerant Leakage'!$C$2:$C$42,MATCH('Fuel Sub Calcs-Deemed'!X903,'Device Refrigerant Leakage'!$B$2:$B$42,0))))</f>
        <v/>
      </c>
      <c r="DM903" s="56">
        <v>889</v>
      </c>
      <c r="DN903" s="67" t="e">
        <f t="shared" si="1010"/>
        <v>#N/A</v>
      </c>
      <c r="DO903" s="45" t="e">
        <f t="shared" si="1011"/>
        <v>#N/A</v>
      </c>
      <c r="DP903" s="67" t="e">
        <f t="shared" si="1012"/>
        <v>#N/A</v>
      </c>
      <c r="DQ903" s="45" t="e">
        <f t="shared" si="1013"/>
        <v>#N/A</v>
      </c>
      <c r="DR903" s="69" t="e">
        <f t="shared" si="1014"/>
        <v>#N/A</v>
      </c>
      <c r="DS903" s="34"/>
      <c r="DT903" s="67" t="e">
        <f>((BX903*CJ903)+IF($W903=MAT_AR,(BZ903*CL903),0))*(1+Reference!$E$50+Reference!$E$51)</f>
        <v>#N/A</v>
      </c>
      <c r="DU903" s="67">
        <f>((BY903*CK903)+IF($W903=MAT_AR,(CA903*CM903),0))*(1+Reference!$G$50+Reference!$G$51)</f>
        <v>0</v>
      </c>
      <c r="DV903" s="67" t="e">
        <f t="shared" si="1015"/>
        <v>#VALUE!</v>
      </c>
      <c r="DX903" s="56">
        <v>889</v>
      </c>
      <c r="DY903" s="67">
        <f t="shared" si="1016"/>
        <v>0</v>
      </c>
      <c r="DZ903" s="45" t="e">
        <f>VLOOKUP($R903,Dropdown!$C$3:$D$4,2,FALSE)</f>
        <v>#N/A</v>
      </c>
      <c r="EA903" s="68">
        <f t="shared" si="1017"/>
        <v>0</v>
      </c>
      <c r="EB903" s="68" t="str">
        <f t="shared" si="1018"/>
        <v>N/A</v>
      </c>
      <c r="EC903" s="68">
        <f t="shared" si="1019"/>
        <v>0</v>
      </c>
      <c r="ED903" s="68" t="str">
        <f t="shared" si="1057"/>
        <v>N/A</v>
      </c>
      <c r="EF903" s="56">
        <v>889</v>
      </c>
      <c r="EG903" s="46">
        <f t="shared" si="1020"/>
        <v>0</v>
      </c>
      <c r="EH903" s="68" t="e">
        <f t="shared" si="1021"/>
        <v>#N/A</v>
      </c>
      <c r="EI903" s="68" t="e">
        <f t="shared" si="1022"/>
        <v>#N/A</v>
      </c>
      <c r="EJ903" s="68" t="e">
        <f t="shared" si="1023"/>
        <v>#N/A</v>
      </c>
      <c r="EK903" s="68" t="e">
        <f t="shared" si="1024"/>
        <v>#N/A</v>
      </c>
      <c r="EL903" s="46">
        <f t="shared" si="1025"/>
        <v>0</v>
      </c>
      <c r="EM903" s="46">
        <f t="shared" si="1026"/>
        <v>0</v>
      </c>
    </row>
    <row r="904" spans="1:143">
      <c r="A904" s="89"/>
      <c r="B904" s="89"/>
      <c r="C904" s="89"/>
      <c r="D904" s="89"/>
      <c r="E904" s="89"/>
      <c r="F904" s="89"/>
      <c r="G904" s="34"/>
      <c r="H904" s="56">
        <f t="shared" si="1027"/>
        <v>890</v>
      </c>
      <c r="I904" s="165"/>
      <c r="J904" s="163"/>
      <c r="K904" s="163"/>
      <c r="L904" s="164"/>
      <c r="M904" s="155"/>
      <c r="N904" s="155"/>
      <c r="O904" s="144"/>
      <c r="P904" s="159" t="str">
        <f>IFERROR(IF(O904&lt;&gt;"User Specified",IF(O904&lt;&gt;"", INDEX('Refrigerant GWPs'!$G$2:$G$154,MATCH(O904,'Refrigerant GWPs'!$A$2:$A$154,0)),""),U904),0)</f>
        <v/>
      </c>
      <c r="Q904" s="155"/>
      <c r="R904" s="155"/>
      <c r="S904" s="144"/>
      <c r="T904" s="159" t="str">
        <f>IF(S904&lt;&gt;"User Specified",IF(AND(S904&lt;&gt;"User Specified",S904&lt;&gt;""), INDEX('Refrigerant GWPs'!$G$2:$G$154,MATCH(S904,'Refrigerant GWPs'!$A$2:$A$154,0)),""),V904)</f>
        <v/>
      </c>
      <c r="U904" s="144"/>
      <c r="V904" s="144"/>
      <c r="W904" s="155"/>
      <c r="X904" s="155"/>
      <c r="Y904" s="144"/>
      <c r="Z904" s="159" t="str">
        <f>IF(AND(Y904&lt;&gt;"User Specified",Y904&lt;&gt;""), INDEX('Refrigerant GWPs'!$G$2:$G$154,MATCH(Y904,'Refrigerant GWPs'!$A$2:$A$154,0)),"")</f>
        <v/>
      </c>
      <c r="AA904" s="155"/>
      <c r="AB904" s="156"/>
      <c r="AC904" s="66"/>
      <c r="AD904" s="66"/>
      <c r="AE904" s="66"/>
      <c r="AF904" s="66"/>
      <c r="AG904" s="66"/>
      <c r="AH904" s="66"/>
      <c r="AI904" s="34"/>
      <c r="AJ904" s="88">
        <f t="shared" si="990"/>
        <v>0</v>
      </c>
      <c r="AK904" s="88">
        <f t="shared" si="991"/>
        <v>0</v>
      </c>
      <c r="AL904" s="88">
        <v>0</v>
      </c>
      <c r="AM904" s="88">
        <v>0</v>
      </c>
      <c r="AN904" s="81" t="str">
        <f t="shared" si="1029"/>
        <v/>
      </c>
      <c r="AO904" s="88">
        <f t="shared" si="992"/>
        <v>0</v>
      </c>
      <c r="AP904" s="88">
        <f t="shared" si="993"/>
        <v>0</v>
      </c>
      <c r="AQ904" s="81" t="str">
        <f t="shared" si="994"/>
        <v/>
      </c>
      <c r="AS904" s="41" t="b">
        <f t="shared" si="995"/>
        <v>1</v>
      </c>
      <c r="AT904" s="38">
        <f t="shared" si="996"/>
        <v>0</v>
      </c>
      <c r="AU904" s="60">
        <f t="shared" si="997"/>
        <v>0</v>
      </c>
      <c r="AV904" s="41">
        <f t="shared" si="998"/>
        <v>0</v>
      </c>
      <c r="AW904" s="41" t="b">
        <f t="shared" si="999"/>
        <v>0</v>
      </c>
      <c r="AX904" t="str">
        <f t="shared" si="1000"/>
        <v>+00</v>
      </c>
      <c r="AY904" t="str">
        <f t="shared" si="1001"/>
        <v>+00</v>
      </c>
      <c r="BA904" s="47" t="b">
        <f t="shared" si="1030"/>
        <v>1</v>
      </c>
      <c r="BB904" s="42" t="b">
        <f t="shared" si="1031"/>
        <v>1</v>
      </c>
      <c r="BC904" s="42" t="b">
        <f t="shared" si="1032"/>
        <v>0</v>
      </c>
      <c r="BD904" s="42" t="b">
        <f t="shared" si="1033"/>
        <v>0</v>
      </c>
      <c r="BE904" s="70">
        <f t="shared" si="1034"/>
        <v>0</v>
      </c>
      <c r="BF904" s="70">
        <f t="shared" si="1035"/>
        <v>0</v>
      </c>
      <c r="BG904" s="34"/>
      <c r="BI904" s="47" t="b">
        <f t="shared" si="1036"/>
        <v>1</v>
      </c>
      <c r="BJ904" s="47" t="b">
        <f t="shared" si="1037"/>
        <v>1</v>
      </c>
      <c r="BK904" s="42" t="b">
        <f t="shared" si="1038"/>
        <v>0</v>
      </c>
      <c r="BL904" s="42" t="b">
        <f t="shared" si="1039"/>
        <v>0</v>
      </c>
      <c r="BM904" s="42">
        <f t="shared" si="1040"/>
        <v>0</v>
      </c>
      <c r="BN904" s="42">
        <f t="shared" si="1041"/>
        <v>0</v>
      </c>
      <c r="BP904" t="e">
        <f t="shared" si="1042"/>
        <v>#N/A</v>
      </c>
      <c r="BQ904" t="e">
        <f t="shared" si="1043"/>
        <v>#N/A</v>
      </c>
      <c r="BR904" t="e">
        <f t="shared" si="1044"/>
        <v>#N/A</v>
      </c>
      <c r="BT904" s="60">
        <f t="shared" si="1045"/>
        <v>0</v>
      </c>
      <c r="BU904" s="60">
        <f t="shared" si="1046"/>
        <v>0</v>
      </c>
      <c r="BV904" s="60">
        <f t="shared" si="1047"/>
        <v>0</v>
      </c>
      <c r="BW904" s="60">
        <f t="shared" si="1048"/>
        <v>0</v>
      </c>
      <c r="BX904" s="60">
        <f t="shared" si="1049"/>
        <v>0</v>
      </c>
      <c r="BY904" s="60">
        <f t="shared" si="1050"/>
        <v>0</v>
      </c>
      <c r="BZ904" s="60">
        <f t="shared" si="1051"/>
        <v>0</v>
      </c>
      <c r="CA904" s="60">
        <f t="shared" si="1052"/>
        <v>0</v>
      </c>
      <c r="CB904" s="60" t="e">
        <f t="shared" si="1002"/>
        <v>#N/A</v>
      </c>
      <c r="CC904" s="60">
        <f t="shared" si="1003"/>
        <v>100000</v>
      </c>
      <c r="CD904" s="60" t="e">
        <f t="shared" si="1004"/>
        <v>#N/A</v>
      </c>
      <c r="CE904" s="60">
        <f t="shared" si="1005"/>
        <v>100000</v>
      </c>
      <c r="CF904" s="83" t="e">
        <f t="shared" si="1053"/>
        <v>#N/A</v>
      </c>
      <c r="CG904" s="83">
        <f t="shared" si="1054"/>
        <v>0</v>
      </c>
      <c r="CH904" s="83" t="e">
        <f t="shared" si="1055"/>
        <v>#N/A</v>
      </c>
      <c r="CI904" s="83">
        <f t="shared" si="1056"/>
        <v>0</v>
      </c>
      <c r="CJ904" s="86" t="e">
        <f t="shared" si="1006"/>
        <v>#N/A</v>
      </c>
      <c r="CK904" s="82">
        <f t="shared" si="1007"/>
        <v>5.3070370403969858E-3</v>
      </c>
      <c r="CL904" s="82" t="e">
        <f t="shared" si="1008"/>
        <v>#N/A</v>
      </c>
      <c r="CM904" s="82">
        <f t="shared" si="1009"/>
        <v>5.3070370403969858E-3</v>
      </c>
      <c r="CO904" s="149" t="str">
        <f>IF($I904&lt;&gt;"",IF(O904="User Specified",U904,INDEX('Refrigerant GWPs'!$G$2:$G$156,MATCH(O904,'Refrigerant GWPs'!$A$2:$A$156,0))),"")</f>
        <v/>
      </c>
      <c r="CP904" s="138" t="str">
        <f>IF($I904&lt;&gt;"",INDEX('Device Refrigerant Leakage'!$E$2:$E$42,MATCH($M904,'Device Refrigerant Leakage'!$B$2:$B$42,0)),"")</f>
        <v/>
      </c>
      <c r="CQ904" s="138" t="str">
        <f>IF($I904&lt;&gt;"",INDEX('Device Refrigerant Leakage'!$F$2:$F$42,MATCH($M904,'Device Refrigerant Leakage'!$B$2:$B$42,0)),"")</f>
        <v/>
      </c>
      <c r="CR904" s="145" t="str">
        <f>IF($I904&lt;&gt;"",INDEX('Device Refrigerant Leakage'!$G$2:$G$42,MATCH($M904,'Device Refrigerant Leakage'!$B$2:$B$42,0)),"")</f>
        <v/>
      </c>
      <c r="CS904" s="145" t="str">
        <f>IF($I904&lt;&gt;"",INDEX('Device Refrigerant Leakage'!$D$2:$D$42,MATCH($M904,'Device Refrigerant Leakage'!$B$2:$B$42,0))*CP904/2204.62*CO904,"")</f>
        <v/>
      </c>
      <c r="CT904" s="145" t="str">
        <f>IF($I904&lt;&gt;"",J904*(INDEX('Device Refrigerant Leakage'!$D$2:$D$42,MATCH($M904,'Device Refrigerant Leakage'!$B$2:$B$42,0))-(INDEX('Device Refrigerant Leakage'!$D$2:$D$42,MATCH($M904,'Device Refrigerant Leakage'!$B$2:$B$42,0)))*CR904*CP904)*CQ904/2204.62*CO904,"")</f>
        <v/>
      </c>
      <c r="CU904" s="135" t="str">
        <f>IF($I904&lt;&gt;"",J904*IF(W904&lt;&gt;"AR",(CS904*K904)+CT904,(CS904*AB904)+CT904*(AB904/INDEX('Device Refrigerant Leakage'!$C$2:$C$42,MATCH($M904,'Device Refrigerant Leakage'!$B$2:$B$42,0)))),"")</f>
        <v/>
      </c>
      <c r="CW904" s="135" t="str">
        <f>IF($I904&lt;&gt;"",IF(S904="User Specified",V904,INDEX('Refrigerant GWPs'!$G$2:$G$156,MATCH(S904,'Refrigerant GWPs'!$A$2:$A$157,0))),"")</f>
        <v/>
      </c>
      <c r="CX904" s="138" t="str">
        <f>IF($I904&lt;&gt;"",INDEX('Device Refrigerant Leakage'!$E$2:$E$42,MATCH($Q904,'Device Refrigerant Leakage'!$B$2:$B$42,0)),"")</f>
        <v/>
      </c>
      <c r="CY904" s="138" t="str">
        <f>IF($I904&lt;&gt;"",INDEX('Device Refrigerant Leakage'!$F$2:$F$42,MATCH($Q904,'Device Refrigerant Leakage'!$B$2:$B$42,0)),"")</f>
        <v/>
      </c>
      <c r="CZ904" s="145" t="str">
        <f>IF($I904&lt;&gt;"",INDEX('Device Refrigerant Leakage'!$G$2:$G$42,MATCH($Q904,'Device Refrigerant Leakage'!$B$2:$B$42,0)),"")</f>
        <v/>
      </c>
      <c r="DA904" s="145" t="str">
        <f>IF($I904&lt;&gt;"",J904*INDEX('Device Refrigerant Leakage'!$D$2:$D$42,MATCH($Q904,'Device Refrigerant Leakage'!$B$2:$B$42,0))*CX904/2204.62*CW904,"")</f>
        <v/>
      </c>
      <c r="DB904" s="145" t="str">
        <f>IF($I904&lt;&gt;"",J904*(INDEX('Device Refrigerant Leakage'!$D$2:$D$42,MATCH($Q904,'Device Refrigerant Leakage'!$B$2:$B$42,0))-(INDEX('Device Refrigerant Leakage'!$D$2:$D$42,MATCH($Q904,'Device Refrigerant Leakage'!$B$2:$B$42,0)))*CZ904*CX904)*CY904/2204.62*CW904,"")</f>
        <v/>
      </c>
      <c r="DC904" s="135" t="str">
        <f t="shared" si="1028"/>
        <v/>
      </c>
      <c r="DE904" s="146" t="str">
        <f>IF(W904&lt;&gt;"AR","",IF(Y904="User Specified", AA904, INDEX('Refrigerant GWPs'!$G$2:$G$154,MATCH(Y904,'Refrigerant GWPs'!$A$2:$A$154,0))))</f>
        <v/>
      </c>
      <c r="DF904" s="146" t="str">
        <f>IF(W904&lt;&gt;"AR","",INDEX('Device Refrigerant Leakage'!$E$2:$E$42,MATCH(X904,'Device Refrigerant Leakage'!$B$2:$B$42,0)))</f>
        <v/>
      </c>
      <c r="DG904" s="146" t="str">
        <f>IF(W904&lt;&gt;"AR","",INDEX('Device Refrigerant Leakage'!$F$2:$F$42,MATCH(X904,'Device Refrigerant Leakage'!$B$2:$B$42,0)))</f>
        <v/>
      </c>
      <c r="DH904" s="146" t="str">
        <f>IF(W904&lt;&gt;"AR","",INDEX('Device Refrigerant Leakage'!$G$2:$G$42,MATCH(X904,'Device Refrigerant Leakage'!$B$2:$B$42,0)))</f>
        <v/>
      </c>
      <c r="DI904" s="146" t="str">
        <f>IF(W904&lt;&gt;"AR","",J904*INDEX('Device Refrigerant Leakage'!$D$2:$D$42,MATCH(X904,'Device Refrigerant Leakage'!$B$2:$B$42,0))*DF904/2204.62*DE904)</f>
        <v/>
      </c>
      <c r="DJ904" s="146" t="str">
        <f>IF(W904&lt;&gt;"AR","",J904*(INDEX('Device Refrigerant Leakage'!$D$2:$D$42,MATCH(X904,'Device Refrigerant Leakage'!$B$2:$B$42,0))-(INDEX('Device Refrigerant Leakage'!$D$2:$D$42,MATCH(X904,'Device Refrigerant Leakage'!$B$2:$B$42,0)))*DH904*DF904)*DG904/2204.62*DE904)</f>
        <v/>
      </c>
      <c r="DK904" s="146" t="str">
        <f>IF(W904&lt;&gt;"AR","",DI904*(K904-AB904)+'Fuel Sub Calcs-Deemed'!DJ904*((K904-AB904)/INDEX('Device Refrigerant Leakage'!$C$2:$C$42,MATCH('Fuel Sub Calcs-Deemed'!X904,'Device Refrigerant Leakage'!$B$2:$B$42,0))))</f>
        <v/>
      </c>
      <c r="DM904" s="56">
        <v>890</v>
      </c>
      <c r="DN904" s="67" t="e">
        <f t="shared" si="1010"/>
        <v>#N/A</v>
      </c>
      <c r="DO904" s="45" t="e">
        <f t="shared" si="1011"/>
        <v>#N/A</v>
      </c>
      <c r="DP904" s="67" t="e">
        <f t="shared" si="1012"/>
        <v>#N/A</v>
      </c>
      <c r="DQ904" s="45" t="e">
        <f t="shared" si="1013"/>
        <v>#N/A</v>
      </c>
      <c r="DR904" s="69" t="e">
        <f t="shared" si="1014"/>
        <v>#N/A</v>
      </c>
      <c r="DS904" s="34"/>
      <c r="DT904" s="67" t="e">
        <f>((BX904*CJ904)+IF($W904=MAT_AR,(BZ904*CL904),0))*(1+Reference!$E$50+Reference!$E$51)</f>
        <v>#N/A</v>
      </c>
      <c r="DU904" s="67">
        <f>((BY904*CK904)+IF($W904=MAT_AR,(CA904*CM904),0))*(1+Reference!$G$50+Reference!$G$51)</f>
        <v>0</v>
      </c>
      <c r="DV904" s="67" t="e">
        <f t="shared" si="1015"/>
        <v>#VALUE!</v>
      </c>
      <c r="DX904" s="56">
        <v>890</v>
      </c>
      <c r="DY904" s="67">
        <f t="shared" si="1016"/>
        <v>0</v>
      </c>
      <c r="DZ904" s="45" t="e">
        <f>VLOOKUP($R904,Dropdown!$C$3:$D$4,2,FALSE)</f>
        <v>#N/A</v>
      </c>
      <c r="EA904" s="68">
        <f t="shared" si="1017"/>
        <v>0</v>
      </c>
      <c r="EB904" s="68" t="str">
        <f t="shared" si="1018"/>
        <v>N/A</v>
      </c>
      <c r="EC904" s="68">
        <f t="shared" si="1019"/>
        <v>0</v>
      </c>
      <c r="ED904" s="68" t="str">
        <f t="shared" si="1057"/>
        <v>N/A</v>
      </c>
      <c r="EF904" s="56">
        <v>890</v>
      </c>
      <c r="EG904" s="46">
        <f t="shared" si="1020"/>
        <v>0</v>
      </c>
      <c r="EH904" s="68" t="e">
        <f t="shared" si="1021"/>
        <v>#N/A</v>
      </c>
      <c r="EI904" s="68" t="e">
        <f t="shared" si="1022"/>
        <v>#N/A</v>
      </c>
      <c r="EJ904" s="68" t="e">
        <f t="shared" si="1023"/>
        <v>#N/A</v>
      </c>
      <c r="EK904" s="68" t="e">
        <f t="shared" si="1024"/>
        <v>#N/A</v>
      </c>
      <c r="EL904" s="46">
        <f t="shared" si="1025"/>
        <v>0</v>
      </c>
      <c r="EM904" s="46">
        <f t="shared" si="1026"/>
        <v>0</v>
      </c>
    </row>
    <row r="905" spans="1:143">
      <c r="A905" s="89"/>
      <c r="B905" s="89"/>
      <c r="C905" s="89"/>
      <c r="D905" s="89"/>
      <c r="E905" s="89"/>
      <c r="F905" s="89"/>
      <c r="G905" s="34"/>
      <c r="H905" s="56">
        <f t="shared" si="1027"/>
        <v>891</v>
      </c>
      <c r="I905" s="165"/>
      <c r="J905" s="163"/>
      <c r="K905" s="163"/>
      <c r="L905" s="164"/>
      <c r="M905" s="155"/>
      <c r="N905" s="155"/>
      <c r="O905" s="144"/>
      <c r="P905" s="159" t="str">
        <f>IFERROR(IF(O905&lt;&gt;"User Specified",IF(O905&lt;&gt;"", INDEX('Refrigerant GWPs'!$G$2:$G$154,MATCH(O905,'Refrigerant GWPs'!$A$2:$A$154,0)),""),U905),0)</f>
        <v/>
      </c>
      <c r="Q905" s="155"/>
      <c r="R905" s="155"/>
      <c r="S905" s="144"/>
      <c r="T905" s="159" t="str">
        <f>IF(S905&lt;&gt;"User Specified",IF(AND(S905&lt;&gt;"User Specified",S905&lt;&gt;""), INDEX('Refrigerant GWPs'!$G$2:$G$154,MATCH(S905,'Refrigerant GWPs'!$A$2:$A$154,0)),""),V905)</f>
        <v/>
      </c>
      <c r="U905" s="144"/>
      <c r="V905" s="144"/>
      <c r="W905" s="155"/>
      <c r="X905" s="155"/>
      <c r="Y905" s="144"/>
      <c r="Z905" s="159" t="str">
        <f>IF(AND(Y905&lt;&gt;"User Specified",Y905&lt;&gt;""), INDEX('Refrigerant GWPs'!$G$2:$G$154,MATCH(Y905,'Refrigerant GWPs'!$A$2:$A$154,0)),"")</f>
        <v/>
      </c>
      <c r="AA905" s="155"/>
      <c r="AB905" s="156"/>
      <c r="AC905" s="66"/>
      <c r="AD905" s="66"/>
      <c r="AE905" s="66"/>
      <c r="AF905" s="66"/>
      <c r="AG905" s="66"/>
      <c r="AH905" s="66"/>
      <c r="AI905" s="34"/>
      <c r="AJ905" s="88">
        <f t="shared" si="990"/>
        <v>0</v>
      </c>
      <c r="AK905" s="88">
        <f t="shared" si="991"/>
        <v>0</v>
      </c>
      <c r="AL905" s="88">
        <v>0</v>
      </c>
      <c r="AM905" s="88">
        <v>0</v>
      </c>
      <c r="AN905" s="81" t="str">
        <f t="shared" si="1029"/>
        <v/>
      </c>
      <c r="AO905" s="88">
        <f t="shared" si="992"/>
        <v>0</v>
      </c>
      <c r="AP905" s="88">
        <f t="shared" si="993"/>
        <v>0</v>
      </c>
      <c r="AQ905" s="81" t="str">
        <f t="shared" si="994"/>
        <v/>
      </c>
      <c r="AS905" s="41" t="b">
        <f t="shared" si="995"/>
        <v>1</v>
      </c>
      <c r="AT905" s="38">
        <f t="shared" si="996"/>
        <v>0</v>
      </c>
      <c r="AU905" s="60">
        <f t="shared" si="997"/>
        <v>0</v>
      </c>
      <c r="AV905" s="41">
        <f t="shared" si="998"/>
        <v>0</v>
      </c>
      <c r="AW905" s="41" t="b">
        <f t="shared" si="999"/>
        <v>0</v>
      </c>
      <c r="AX905" t="str">
        <f t="shared" si="1000"/>
        <v>+00</v>
      </c>
      <c r="AY905" t="str">
        <f t="shared" si="1001"/>
        <v>+00</v>
      </c>
      <c r="BA905" s="47" t="b">
        <f t="shared" si="1030"/>
        <v>1</v>
      </c>
      <c r="BB905" s="42" t="b">
        <f t="shared" si="1031"/>
        <v>1</v>
      </c>
      <c r="BC905" s="42" t="b">
        <f t="shared" si="1032"/>
        <v>0</v>
      </c>
      <c r="BD905" s="42" t="b">
        <f t="shared" si="1033"/>
        <v>0</v>
      </c>
      <c r="BE905" s="70">
        <f t="shared" si="1034"/>
        <v>0</v>
      </c>
      <c r="BF905" s="70">
        <f t="shared" si="1035"/>
        <v>0</v>
      </c>
      <c r="BG905" s="34"/>
      <c r="BI905" s="47" t="b">
        <f t="shared" si="1036"/>
        <v>1</v>
      </c>
      <c r="BJ905" s="47" t="b">
        <f t="shared" si="1037"/>
        <v>1</v>
      </c>
      <c r="BK905" s="42" t="b">
        <f t="shared" si="1038"/>
        <v>0</v>
      </c>
      <c r="BL905" s="42" t="b">
        <f t="shared" si="1039"/>
        <v>0</v>
      </c>
      <c r="BM905" s="42">
        <f t="shared" si="1040"/>
        <v>0</v>
      </c>
      <c r="BN905" s="42">
        <f t="shared" si="1041"/>
        <v>0</v>
      </c>
      <c r="BP905" t="e">
        <f t="shared" si="1042"/>
        <v>#N/A</v>
      </c>
      <c r="BQ905" t="e">
        <f t="shared" si="1043"/>
        <v>#N/A</v>
      </c>
      <c r="BR905" t="e">
        <f t="shared" si="1044"/>
        <v>#N/A</v>
      </c>
      <c r="BT905" s="60">
        <f t="shared" si="1045"/>
        <v>0</v>
      </c>
      <c r="BU905" s="60">
        <f t="shared" si="1046"/>
        <v>0</v>
      </c>
      <c r="BV905" s="60">
        <f t="shared" si="1047"/>
        <v>0</v>
      </c>
      <c r="BW905" s="60">
        <f t="shared" si="1048"/>
        <v>0</v>
      </c>
      <c r="BX905" s="60">
        <f t="shared" si="1049"/>
        <v>0</v>
      </c>
      <c r="BY905" s="60">
        <f t="shared" si="1050"/>
        <v>0</v>
      </c>
      <c r="BZ905" s="60">
        <f t="shared" si="1051"/>
        <v>0</v>
      </c>
      <c r="CA905" s="60">
        <f t="shared" si="1052"/>
        <v>0</v>
      </c>
      <c r="CB905" s="60" t="e">
        <f t="shared" si="1002"/>
        <v>#N/A</v>
      </c>
      <c r="CC905" s="60">
        <f t="shared" si="1003"/>
        <v>100000</v>
      </c>
      <c r="CD905" s="60" t="e">
        <f t="shared" si="1004"/>
        <v>#N/A</v>
      </c>
      <c r="CE905" s="60">
        <f t="shared" si="1005"/>
        <v>100000</v>
      </c>
      <c r="CF905" s="83" t="e">
        <f t="shared" si="1053"/>
        <v>#N/A</v>
      </c>
      <c r="CG905" s="83">
        <f t="shared" si="1054"/>
        <v>0</v>
      </c>
      <c r="CH905" s="83" t="e">
        <f t="shared" si="1055"/>
        <v>#N/A</v>
      </c>
      <c r="CI905" s="83">
        <f t="shared" si="1056"/>
        <v>0</v>
      </c>
      <c r="CJ905" s="86" t="e">
        <f t="shared" si="1006"/>
        <v>#N/A</v>
      </c>
      <c r="CK905" s="82">
        <f t="shared" si="1007"/>
        <v>5.3070370403969858E-3</v>
      </c>
      <c r="CL905" s="82" t="e">
        <f t="shared" si="1008"/>
        <v>#N/A</v>
      </c>
      <c r="CM905" s="82">
        <f t="shared" si="1009"/>
        <v>5.3070370403969858E-3</v>
      </c>
      <c r="CO905" s="149" t="str">
        <f>IF($I905&lt;&gt;"",IF(O905="User Specified",U905,INDEX('Refrigerant GWPs'!$G$2:$G$156,MATCH(O905,'Refrigerant GWPs'!$A$2:$A$156,0))),"")</f>
        <v/>
      </c>
      <c r="CP905" s="138" t="str">
        <f>IF($I905&lt;&gt;"",INDEX('Device Refrigerant Leakage'!$E$2:$E$42,MATCH($M905,'Device Refrigerant Leakage'!$B$2:$B$42,0)),"")</f>
        <v/>
      </c>
      <c r="CQ905" s="138" t="str">
        <f>IF($I905&lt;&gt;"",INDEX('Device Refrigerant Leakage'!$F$2:$F$42,MATCH($M905,'Device Refrigerant Leakage'!$B$2:$B$42,0)),"")</f>
        <v/>
      </c>
      <c r="CR905" s="145" t="str">
        <f>IF($I905&lt;&gt;"",INDEX('Device Refrigerant Leakage'!$G$2:$G$42,MATCH($M905,'Device Refrigerant Leakage'!$B$2:$B$42,0)),"")</f>
        <v/>
      </c>
      <c r="CS905" s="145" t="str">
        <f>IF($I905&lt;&gt;"",INDEX('Device Refrigerant Leakage'!$D$2:$D$42,MATCH($M905,'Device Refrigerant Leakage'!$B$2:$B$42,0))*CP905/2204.62*CO905,"")</f>
        <v/>
      </c>
      <c r="CT905" s="145" t="str">
        <f>IF($I905&lt;&gt;"",J905*(INDEX('Device Refrigerant Leakage'!$D$2:$D$42,MATCH($M905,'Device Refrigerant Leakage'!$B$2:$B$42,0))-(INDEX('Device Refrigerant Leakage'!$D$2:$D$42,MATCH($M905,'Device Refrigerant Leakage'!$B$2:$B$42,0)))*CR905*CP905)*CQ905/2204.62*CO905,"")</f>
        <v/>
      </c>
      <c r="CU905" s="135" t="str">
        <f>IF($I905&lt;&gt;"",J905*IF(W905&lt;&gt;"AR",(CS905*K905)+CT905,(CS905*AB905)+CT905*(AB905/INDEX('Device Refrigerant Leakage'!$C$2:$C$42,MATCH($M905,'Device Refrigerant Leakage'!$B$2:$B$42,0)))),"")</f>
        <v/>
      </c>
      <c r="CW905" s="135" t="str">
        <f>IF($I905&lt;&gt;"",IF(S905="User Specified",V905,INDEX('Refrigerant GWPs'!$G$2:$G$156,MATCH(S905,'Refrigerant GWPs'!$A$2:$A$157,0))),"")</f>
        <v/>
      </c>
      <c r="CX905" s="138" t="str">
        <f>IF($I905&lt;&gt;"",INDEX('Device Refrigerant Leakage'!$E$2:$E$42,MATCH($Q905,'Device Refrigerant Leakage'!$B$2:$B$42,0)),"")</f>
        <v/>
      </c>
      <c r="CY905" s="138" t="str">
        <f>IF($I905&lt;&gt;"",INDEX('Device Refrigerant Leakage'!$F$2:$F$42,MATCH($Q905,'Device Refrigerant Leakage'!$B$2:$B$42,0)),"")</f>
        <v/>
      </c>
      <c r="CZ905" s="145" t="str">
        <f>IF($I905&lt;&gt;"",INDEX('Device Refrigerant Leakage'!$G$2:$G$42,MATCH($Q905,'Device Refrigerant Leakage'!$B$2:$B$42,0)),"")</f>
        <v/>
      </c>
      <c r="DA905" s="145" t="str">
        <f>IF($I905&lt;&gt;"",J905*INDEX('Device Refrigerant Leakage'!$D$2:$D$42,MATCH($Q905,'Device Refrigerant Leakage'!$B$2:$B$42,0))*CX905/2204.62*CW905,"")</f>
        <v/>
      </c>
      <c r="DB905" s="145" t="str">
        <f>IF($I905&lt;&gt;"",J905*(INDEX('Device Refrigerant Leakage'!$D$2:$D$42,MATCH($Q905,'Device Refrigerant Leakage'!$B$2:$B$42,0))-(INDEX('Device Refrigerant Leakage'!$D$2:$D$42,MATCH($Q905,'Device Refrigerant Leakage'!$B$2:$B$42,0)))*CZ905*CX905)*CY905/2204.62*CW905,"")</f>
        <v/>
      </c>
      <c r="DC905" s="135" t="str">
        <f t="shared" si="1028"/>
        <v/>
      </c>
      <c r="DE905" s="146" t="str">
        <f>IF(W905&lt;&gt;"AR","",IF(Y905="User Specified", AA905, INDEX('Refrigerant GWPs'!$G$2:$G$154,MATCH(Y905,'Refrigerant GWPs'!$A$2:$A$154,0))))</f>
        <v/>
      </c>
      <c r="DF905" s="146" t="str">
        <f>IF(W905&lt;&gt;"AR","",INDEX('Device Refrigerant Leakage'!$E$2:$E$42,MATCH(X905,'Device Refrigerant Leakage'!$B$2:$B$42,0)))</f>
        <v/>
      </c>
      <c r="DG905" s="146" t="str">
        <f>IF(W905&lt;&gt;"AR","",INDEX('Device Refrigerant Leakage'!$F$2:$F$42,MATCH(X905,'Device Refrigerant Leakage'!$B$2:$B$42,0)))</f>
        <v/>
      </c>
      <c r="DH905" s="146" t="str">
        <f>IF(W905&lt;&gt;"AR","",INDEX('Device Refrigerant Leakage'!$G$2:$G$42,MATCH(X905,'Device Refrigerant Leakage'!$B$2:$B$42,0)))</f>
        <v/>
      </c>
      <c r="DI905" s="146" t="str">
        <f>IF(W905&lt;&gt;"AR","",J905*INDEX('Device Refrigerant Leakage'!$D$2:$D$42,MATCH(X905,'Device Refrigerant Leakage'!$B$2:$B$42,0))*DF905/2204.62*DE905)</f>
        <v/>
      </c>
      <c r="DJ905" s="146" t="str">
        <f>IF(W905&lt;&gt;"AR","",J905*(INDEX('Device Refrigerant Leakage'!$D$2:$D$42,MATCH(X905,'Device Refrigerant Leakage'!$B$2:$B$42,0))-(INDEX('Device Refrigerant Leakage'!$D$2:$D$42,MATCH(X905,'Device Refrigerant Leakage'!$B$2:$B$42,0)))*DH905*DF905)*DG905/2204.62*DE905)</f>
        <v/>
      </c>
      <c r="DK905" s="146" t="str">
        <f>IF(W905&lt;&gt;"AR","",DI905*(K905-AB905)+'Fuel Sub Calcs-Deemed'!DJ905*((K905-AB905)/INDEX('Device Refrigerant Leakage'!$C$2:$C$42,MATCH('Fuel Sub Calcs-Deemed'!X905,'Device Refrigerant Leakage'!$B$2:$B$42,0))))</f>
        <v/>
      </c>
      <c r="DM905" s="56">
        <v>891</v>
      </c>
      <c r="DN905" s="67" t="e">
        <f t="shared" si="1010"/>
        <v>#N/A</v>
      </c>
      <c r="DO905" s="45" t="e">
        <f t="shared" si="1011"/>
        <v>#N/A</v>
      </c>
      <c r="DP905" s="67" t="e">
        <f t="shared" si="1012"/>
        <v>#N/A</v>
      </c>
      <c r="DQ905" s="45" t="e">
        <f t="shared" si="1013"/>
        <v>#N/A</v>
      </c>
      <c r="DR905" s="69" t="e">
        <f t="shared" si="1014"/>
        <v>#N/A</v>
      </c>
      <c r="DS905" s="34"/>
      <c r="DT905" s="67" t="e">
        <f>((BX905*CJ905)+IF($W905=MAT_AR,(BZ905*CL905),0))*(1+Reference!$E$50+Reference!$E$51)</f>
        <v>#N/A</v>
      </c>
      <c r="DU905" s="67">
        <f>((BY905*CK905)+IF($W905=MAT_AR,(CA905*CM905),0))*(1+Reference!$G$50+Reference!$G$51)</f>
        <v>0</v>
      </c>
      <c r="DV905" s="67" t="e">
        <f t="shared" si="1015"/>
        <v>#VALUE!</v>
      </c>
      <c r="DX905" s="56">
        <v>891</v>
      </c>
      <c r="DY905" s="67">
        <f t="shared" si="1016"/>
        <v>0</v>
      </c>
      <c r="DZ905" s="45" t="e">
        <f>VLOOKUP($R905,Dropdown!$C$3:$D$4,2,FALSE)</f>
        <v>#N/A</v>
      </c>
      <c r="EA905" s="68">
        <f t="shared" si="1017"/>
        <v>0</v>
      </c>
      <c r="EB905" s="68" t="str">
        <f t="shared" si="1018"/>
        <v>N/A</v>
      </c>
      <c r="EC905" s="68">
        <f t="shared" si="1019"/>
        <v>0</v>
      </c>
      <c r="ED905" s="68" t="str">
        <f t="shared" si="1057"/>
        <v>N/A</v>
      </c>
      <c r="EF905" s="56">
        <v>891</v>
      </c>
      <c r="EG905" s="46">
        <f t="shared" si="1020"/>
        <v>0</v>
      </c>
      <c r="EH905" s="68" t="e">
        <f t="shared" si="1021"/>
        <v>#N/A</v>
      </c>
      <c r="EI905" s="68" t="e">
        <f t="shared" si="1022"/>
        <v>#N/A</v>
      </c>
      <c r="EJ905" s="68" t="e">
        <f t="shared" si="1023"/>
        <v>#N/A</v>
      </c>
      <c r="EK905" s="68" t="e">
        <f t="shared" si="1024"/>
        <v>#N/A</v>
      </c>
      <c r="EL905" s="46">
        <f t="shared" si="1025"/>
        <v>0</v>
      </c>
      <c r="EM905" s="46">
        <f t="shared" si="1026"/>
        <v>0</v>
      </c>
    </row>
    <row r="906" spans="1:143">
      <c r="A906" s="89"/>
      <c r="B906" s="89"/>
      <c r="C906" s="89"/>
      <c r="D906" s="89"/>
      <c r="E906" s="89"/>
      <c r="F906" s="89"/>
      <c r="G906" s="34"/>
      <c r="H906" s="56">
        <f t="shared" si="1027"/>
        <v>892</v>
      </c>
      <c r="I906" s="165"/>
      <c r="J906" s="163"/>
      <c r="K906" s="163"/>
      <c r="L906" s="164"/>
      <c r="M906" s="155"/>
      <c r="N906" s="155"/>
      <c r="O906" s="144"/>
      <c r="P906" s="159" t="str">
        <f>IFERROR(IF(O906&lt;&gt;"User Specified",IF(O906&lt;&gt;"", INDEX('Refrigerant GWPs'!$G$2:$G$154,MATCH(O906,'Refrigerant GWPs'!$A$2:$A$154,0)),""),U906),0)</f>
        <v/>
      </c>
      <c r="Q906" s="155"/>
      <c r="R906" s="155"/>
      <c r="S906" s="144"/>
      <c r="T906" s="159" t="str">
        <f>IF(S906&lt;&gt;"User Specified",IF(AND(S906&lt;&gt;"User Specified",S906&lt;&gt;""), INDEX('Refrigerant GWPs'!$G$2:$G$154,MATCH(S906,'Refrigerant GWPs'!$A$2:$A$154,0)),""),V906)</f>
        <v/>
      </c>
      <c r="U906" s="144"/>
      <c r="V906" s="144"/>
      <c r="W906" s="155"/>
      <c r="X906" s="155"/>
      <c r="Y906" s="144"/>
      <c r="Z906" s="159" t="str">
        <f>IF(AND(Y906&lt;&gt;"User Specified",Y906&lt;&gt;""), INDEX('Refrigerant GWPs'!$G$2:$G$154,MATCH(Y906,'Refrigerant GWPs'!$A$2:$A$154,0)),"")</f>
        <v/>
      </c>
      <c r="AA906" s="155"/>
      <c r="AB906" s="156"/>
      <c r="AC906" s="66"/>
      <c r="AD906" s="66"/>
      <c r="AE906" s="66"/>
      <c r="AF906" s="66"/>
      <c r="AG906" s="66"/>
      <c r="AH906" s="66"/>
      <c r="AI906" s="34"/>
      <c r="AJ906" s="88">
        <f t="shared" si="990"/>
        <v>0</v>
      </c>
      <c r="AK906" s="88">
        <f t="shared" si="991"/>
        <v>0</v>
      </c>
      <c r="AL906" s="88">
        <v>0</v>
      </c>
      <c r="AM906" s="88">
        <v>0</v>
      </c>
      <c r="AN906" s="81" t="str">
        <f t="shared" si="1029"/>
        <v/>
      </c>
      <c r="AO906" s="88">
        <f t="shared" si="992"/>
        <v>0</v>
      </c>
      <c r="AP906" s="88">
        <f t="shared" si="993"/>
        <v>0</v>
      </c>
      <c r="AQ906" s="81" t="str">
        <f t="shared" si="994"/>
        <v/>
      </c>
      <c r="AS906" s="41" t="b">
        <f t="shared" si="995"/>
        <v>1</v>
      </c>
      <c r="AT906" s="38">
        <f t="shared" si="996"/>
        <v>0</v>
      </c>
      <c r="AU906" s="60">
        <f t="shared" si="997"/>
        <v>0</v>
      </c>
      <c r="AV906" s="41">
        <f t="shared" si="998"/>
        <v>0</v>
      </c>
      <c r="AW906" s="41" t="b">
        <f t="shared" si="999"/>
        <v>0</v>
      </c>
      <c r="AX906" t="str">
        <f t="shared" si="1000"/>
        <v>+00</v>
      </c>
      <c r="AY906" t="str">
        <f t="shared" si="1001"/>
        <v>+00</v>
      </c>
      <c r="BA906" s="47" t="b">
        <f t="shared" si="1030"/>
        <v>1</v>
      </c>
      <c r="BB906" s="42" t="b">
        <f t="shared" si="1031"/>
        <v>1</v>
      </c>
      <c r="BC906" s="42" t="b">
        <f t="shared" si="1032"/>
        <v>0</v>
      </c>
      <c r="BD906" s="42" t="b">
        <f t="shared" si="1033"/>
        <v>0</v>
      </c>
      <c r="BE906" s="70">
        <f t="shared" si="1034"/>
        <v>0</v>
      </c>
      <c r="BF906" s="70">
        <f t="shared" si="1035"/>
        <v>0</v>
      </c>
      <c r="BG906" s="34"/>
      <c r="BI906" s="47" t="b">
        <f t="shared" si="1036"/>
        <v>1</v>
      </c>
      <c r="BJ906" s="47" t="b">
        <f t="shared" si="1037"/>
        <v>1</v>
      </c>
      <c r="BK906" s="42" t="b">
        <f t="shared" si="1038"/>
        <v>0</v>
      </c>
      <c r="BL906" s="42" t="b">
        <f t="shared" si="1039"/>
        <v>0</v>
      </c>
      <c r="BM906" s="42">
        <f t="shared" si="1040"/>
        <v>0</v>
      </c>
      <c r="BN906" s="42">
        <f t="shared" si="1041"/>
        <v>0</v>
      </c>
      <c r="BP906" t="e">
        <f t="shared" si="1042"/>
        <v>#N/A</v>
      </c>
      <c r="BQ906" t="e">
        <f t="shared" si="1043"/>
        <v>#N/A</v>
      </c>
      <c r="BR906" t="e">
        <f t="shared" si="1044"/>
        <v>#N/A</v>
      </c>
      <c r="BT906" s="60">
        <f t="shared" si="1045"/>
        <v>0</v>
      </c>
      <c r="BU906" s="60">
        <f t="shared" si="1046"/>
        <v>0</v>
      </c>
      <c r="BV906" s="60">
        <f t="shared" si="1047"/>
        <v>0</v>
      </c>
      <c r="BW906" s="60">
        <f t="shared" si="1048"/>
        <v>0</v>
      </c>
      <c r="BX906" s="60">
        <f t="shared" si="1049"/>
        <v>0</v>
      </c>
      <c r="BY906" s="60">
        <f t="shared" si="1050"/>
        <v>0</v>
      </c>
      <c r="BZ906" s="60">
        <f t="shared" si="1051"/>
        <v>0</v>
      </c>
      <c r="CA906" s="60">
        <f t="shared" si="1052"/>
        <v>0</v>
      </c>
      <c r="CB906" s="60" t="e">
        <f t="shared" si="1002"/>
        <v>#N/A</v>
      </c>
      <c r="CC906" s="60">
        <f t="shared" si="1003"/>
        <v>100000</v>
      </c>
      <c r="CD906" s="60" t="e">
        <f t="shared" si="1004"/>
        <v>#N/A</v>
      </c>
      <c r="CE906" s="60">
        <f t="shared" si="1005"/>
        <v>100000</v>
      </c>
      <c r="CF906" s="83" t="e">
        <f t="shared" si="1053"/>
        <v>#N/A</v>
      </c>
      <c r="CG906" s="83">
        <f t="shared" si="1054"/>
        <v>0</v>
      </c>
      <c r="CH906" s="83" t="e">
        <f t="shared" si="1055"/>
        <v>#N/A</v>
      </c>
      <c r="CI906" s="83">
        <f t="shared" si="1056"/>
        <v>0</v>
      </c>
      <c r="CJ906" s="86" t="e">
        <f t="shared" si="1006"/>
        <v>#N/A</v>
      </c>
      <c r="CK906" s="82">
        <f t="shared" si="1007"/>
        <v>5.3070370403969858E-3</v>
      </c>
      <c r="CL906" s="82" t="e">
        <f t="shared" si="1008"/>
        <v>#N/A</v>
      </c>
      <c r="CM906" s="82">
        <f t="shared" si="1009"/>
        <v>5.3070370403969858E-3</v>
      </c>
      <c r="CO906" s="149" t="str">
        <f>IF($I906&lt;&gt;"",IF(O906="User Specified",U906,INDEX('Refrigerant GWPs'!$G$2:$G$156,MATCH(O906,'Refrigerant GWPs'!$A$2:$A$156,0))),"")</f>
        <v/>
      </c>
      <c r="CP906" s="138" t="str">
        <f>IF($I906&lt;&gt;"",INDEX('Device Refrigerant Leakage'!$E$2:$E$42,MATCH($M906,'Device Refrigerant Leakage'!$B$2:$B$42,0)),"")</f>
        <v/>
      </c>
      <c r="CQ906" s="138" t="str">
        <f>IF($I906&lt;&gt;"",INDEX('Device Refrigerant Leakage'!$F$2:$F$42,MATCH($M906,'Device Refrigerant Leakage'!$B$2:$B$42,0)),"")</f>
        <v/>
      </c>
      <c r="CR906" s="145" t="str">
        <f>IF($I906&lt;&gt;"",INDEX('Device Refrigerant Leakage'!$G$2:$G$42,MATCH($M906,'Device Refrigerant Leakage'!$B$2:$B$42,0)),"")</f>
        <v/>
      </c>
      <c r="CS906" s="145" t="str">
        <f>IF($I906&lt;&gt;"",INDEX('Device Refrigerant Leakage'!$D$2:$D$42,MATCH($M906,'Device Refrigerant Leakage'!$B$2:$B$42,0))*CP906/2204.62*CO906,"")</f>
        <v/>
      </c>
      <c r="CT906" s="145" t="str">
        <f>IF($I906&lt;&gt;"",J906*(INDEX('Device Refrigerant Leakage'!$D$2:$D$42,MATCH($M906,'Device Refrigerant Leakage'!$B$2:$B$42,0))-(INDEX('Device Refrigerant Leakage'!$D$2:$D$42,MATCH($M906,'Device Refrigerant Leakage'!$B$2:$B$42,0)))*CR906*CP906)*CQ906/2204.62*CO906,"")</f>
        <v/>
      </c>
      <c r="CU906" s="135" t="str">
        <f>IF($I906&lt;&gt;"",J906*IF(W906&lt;&gt;"AR",(CS906*K906)+CT906,(CS906*AB906)+CT906*(AB906/INDEX('Device Refrigerant Leakage'!$C$2:$C$42,MATCH($M906,'Device Refrigerant Leakage'!$B$2:$B$42,0)))),"")</f>
        <v/>
      </c>
      <c r="CW906" s="135" t="str">
        <f>IF($I906&lt;&gt;"",IF(S906="User Specified",V906,INDEX('Refrigerant GWPs'!$G$2:$G$156,MATCH(S906,'Refrigerant GWPs'!$A$2:$A$157,0))),"")</f>
        <v/>
      </c>
      <c r="CX906" s="138" t="str">
        <f>IF($I906&lt;&gt;"",INDEX('Device Refrigerant Leakage'!$E$2:$E$42,MATCH($Q906,'Device Refrigerant Leakage'!$B$2:$B$42,0)),"")</f>
        <v/>
      </c>
      <c r="CY906" s="138" t="str">
        <f>IF($I906&lt;&gt;"",INDEX('Device Refrigerant Leakage'!$F$2:$F$42,MATCH($Q906,'Device Refrigerant Leakage'!$B$2:$B$42,0)),"")</f>
        <v/>
      </c>
      <c r="CZ906" s="145" t="str">
        <f>IF($I906&lt;&gt;"",INDEX('Device Refrigerant Leakage'!$G$2:$G$42,MATCH($Q906,'Device Refrigerant Leakage'!$B$2:$B$42,0)),"")</f>
        <v/>
      </c>
      <c r="DA906" s="145" t="str">
        <f>IF($I906&lt;&gt;"",J906*INDEX('Device Refrigerant Leakage'!$D$2:$D$42,MATCH($Q906,'Device Refrigerant Leakage'!$B$2:$B$42,0))*CX906/2204.62*CW906,"")</f>
        <v/>
      </c>
      <c r="DB906" s="145" t="str">
        <f>IF($I906&lt;&gt;"",J906*(INDEX('Device Refrigerant Leakage'!$D$2:$D$42,MATCH($Q906,'Device Refrigerant Leakage'!$B$2:$B$42,0))-(INDEX('Device Refrigerant Leakage'!$D$2:$D$42,MATCH($Q906,'Device Refrigerant Leakage'!$B$2:$B$42,0)))*CZ906*CX906)*CY906/2204.62*CW906,"")</f>
        <v/>
      </c>
      <c r="DC906" s="135" t="str">
        <f t="shared" si="1028"/>
        <v/>
      </c>
      <c r="DE906" s="146" t="str">
        <f>IF(W906&lt;&gt;"AR","",IF(Y906="User Specified", AA906, INDEX('Refrigerant GWPs'!$G$2:$G$154,MATCH(Y906,'Refrigerant GWPs'!$A$2:$A$154,0))))</f>
        <v/>
      </c>
      <c r="DF906" s="146" t="str">
        <f>IF(W906&lt;&gt;"AR","",INDEX('Device Refrigerant Leakage'!$E$2:$E$42,MATCH(X906,'Device Refrigerant Leakage'!$B$2:$B$42,0)))</f>
        <v/>
      </c>
      <c r="DG906" s="146" t="str">
        <f>IF(W906&lt;&gt;"AR","",INDEX('Device Refrigerant Leakage'!$F$2:$F$42,MATCH(X906,'Device Refrigerant Leakage'!$B$2:$B$42,0)))</f>
        <v/>
      </c>
      <c r="DH906" s="146" t="str">
        <f>IF(W906&lt;&gt;"AR","",INDEX('Device Refrigerant Leakage'!$G$2:$G$42,MATCH(X906,'Device Refrigerant Leakage'!$B$2:$B$42,0)))</f>
        <v/>
      </c>
      <c r="DI906" s="146" t="str">
        <f>IF(W906&lt;&gt;"AR","",J906*INDEX('Device Refrigerant Leakage'!$D$2:$D$42,MATCH(X906,'Device Refrigerant Leakage'!$B$2:$B$42,0))*DF906/2204.62*DE906)</f>
        <v/>
      </c>
      <c r="DJ906" s="146" t="str">
        <f>IF(W906&lt;&gt;"AR","",J906*(INDEX('Device Refrigerant Leakage'!$D$2:$D$42,MATCH(X906,'Device Refrigerant Leakage'!$B$2:$B$42,0))-(INDEX('Device Refrigerant Leakage'!$D$2:$D$42,MATCH(X906,'Device Refrigerant Leakage'!$B$2:$B$42,0)))*DH906*DF906)*DG906/2204.62*DE906)</f>
        <v/>
      </c>
      <c r="DK906" s="146" t="str">
        <f>IF(W906&lt;&gt;"AR","",DI906*(K906-AB906)+'Fuel Sub Calcs-Deemed'!DJ906*((K906-AB906)/INDEX('Device Refrigerant Leakage'!$C$2:$C$42,MATCH('Fuel Sub Calcs-Deemed'!X906,'Device Refrigerant Leakage'!$B$2:$B$42,0))))</f>
        <v/>
      </c>
      <c r="DM906" s="56">
        <v>892</v>
      </c>
      <c r="DN906" s="67" t="e">
        <f t="shared" si="1010"/>
        <v>#N/A</v>
      </c>
      <c r="DO906" s="45" t="e">
        <f t="shared" si="1011"/>
        <v>#N/A</v>
      </c>
      <c r="DP906" s="67" t="e">
        <f t="shared" si="1012"/>
        <v>#N/A</v>
      </c>
      <c r="DQ906" s="45" t="e">
        <f t="shared" si="1013"/>
        <v>#N/A</v>
      </c>
      <c r="DR906" s="69" t="e">
        <f t="shared" si="1014"/>
        <v>#N/A</v>
      </c>
      <c r="DS906" s="34"/>
      <c r="DT906" s="67" t="e">
        <f>((BX906*CJ906)+IF($W906=MAT_AR,(BZ906*CL906),0))*(1+Reference!$E$50+Reference!$E$51)</f>
        <v>#N/A</v>
      </c>
      <c r="DU906" s="67">
        <f>((BY906*CK906)+IF($W906=MAT_AR,(CA906*CM906),0))*(1+Reference!$G$50+Reference!$G$51)</f>
        <v>0</v>
      </c>
      <c r="DV906" s="67" t="e">
        <f t="shared" si="1015"/>
        <v>#VALUE!</v>
      </c>
      <c r="DX906" s="56">
        <v>892</v>
      </c>
      <c r="DY906" s="67">
        <f t="shared" si="1016"/>
        <v>0</v>
      </c>
      <c r="DZ906" s="45" t="e">
        <f>VLOOKUP($R906,Dropdown!$C$3:$D$4,2,FALSE)</f>
        <v>#N/A</v>
      </c>
      <c r="EA906" s="68">
        <f t="shared" si="1017"/>
        <v>0</v>
      </c>
      <c r="EB906" s="68" t="str">
        <f t="shared" si="1018"/>
        <v>N/A</v>
      </c>
      <c r="EC906" s="68">
        <f t="shared" si="1019"/>
        <v>0</v>
      </c>
      <c r="ED906" s="68" t="str">
        <f t="shared" si="1057"/>
        <v>N/A</v>
      </c>
      <c r="EF906" s="56">
        <v>892</v>
      </c>
      <c r="EG906" s="46">
        <f t="shared" si="1020"/>
        <v>0</v>
      </c>
      <c r="EH906" s="68" t="e">
        <f t="shared" si="1021"/>
        <v>#N/A</v>
      </c>
      <c r="EI906" s="68" t="e">
        <f t="shared" si="1022"/>
        <v>#N/A</v>
      </c>
      <c r="EJ906" s="68" t="e">
        <f t="shared" si="1023"/>
        <v>#N/A</v>
      </c>
      <c r="EK906" s="68" t="e">
        <f t="shared" si="1024"/>
        <v>#N/A</v>
      </c>
      <c r="EL906" s="46">
        <f t="shared" si="1025"/>
        <v>0</v>
      </c>
      <c r="EM906" s="46">
        <f t="shared" si="1026"/>
        <v>0</v>
      </c>
    </row>
    <row r="907" spans="1:143">
      <c r="A907" s="89"/>
      <c r="B907" s="89"/>
      <c r="C907" s="89"/>
      <c r="D907" s="89"/>
      <c r="E907" s="89"/>
      <c r="F907" s="89"/>
      <c r="G907" s="34"/>
      <c r="H907" s="56">
        <f t="shared" si="1027"/>
        <v>893</v>
      </c>
      <c r="I907" s="165"/>
      <c r="J907" s="163"/>
      <c r="K907" s="163"/>
      <c r="L907" s="164"/>
      <c r="M907" s="155"/>
      <c r="N907" s="155"/>
      <c r="O907" s="144"/>
      <c r="P907" s="159" t="str">
        <f>IFERROR(IF(O907&lt;&gt;"User Specified",IF(O907&lt;&gt;"", INDEX('Refrigerant GWPs'!$G$2:$G$154,MATCH(O907,'Refrigerant GWPs'!$A$2:$A$154,0)),""),U907),0)</f>
        <v/>
      </c>
      <c r="Q907" s="155"/>
      <c r="R907" s="155"/>
      <c r="S907" s="144"/>
      <c r="T907" s="159" t="str">
        <f>IF(S907&lt;&gt;"User Specified",IF(AND(S907&lt;&gt;"User Specified",S907&lt;&gt;""), INDEX('Refrigerant GWPs'!$G$2:$G$154,MATCH(S907,'Refrigerant GWPs'!$A$2:$A$154,0)),""),V907)</f>
        <v/>
      </c>
      <c r="U907" s="144"/>
      <c r="V907" s="144"/>
      <c r="W907" s="155"/>
      <c r="X907" s="155"/>
      <c r="Y907" s="144"/>
      <c r="Z907" s="159" t="str">
        <f>IF(AND(Y907&lt;&gt;"User Specified",Y907&lt;&gt;""), INDEX('Refrigerant GWPs'!$G$2:$G$154,MATCH(Y907,'Refrigerant GWPs'!$A$2:$A$154,0)),"")</f>
        <v/>
      </c>
      <c r="AA907" s="155"/>
      <c r="AB907" s="156"/>
      <c r="AC907" s="66"/>
      <c r="AD907" s="66"/>
      <c r="AE907" s="66"/>
      <c r="AF907" s="66"/>
      <c r="AG907" s="66"/>
      <c r="AH907" s="66"/>
      <c r="AI907" s="34"/>
      <c r="AJ907" s="88">
        <f t="shared" si="990"/>
        <v>0</v>
      </c>
      <c r="AK907" s="88">
        <f t="shared" si="991"/>
        <v>0</v>
      </c>
      <c r="AL907" s="88">
        <v>0</v>
      </c>
      <c r="AM907" s="88">
        <v>0</v>
      </c>
      <c r="AN907" s="81" t="str">
        <f t="shared" si="1029"/>
        <v/>
      </c>
      <c r="AO907" s="88">
        <f t="shared" si="992"/>
        <v>0</v>
      </c>
      <c r="AP907" s="88">
        <f t="shared" si="993"/>
        <v>0</v>
      </c>
      <c r="AQ907" s="81" t="str">
        <f t="shared" si="994"/>
        <v/>
      </c>
      <c r="AS907" s="41" t="b">
        <f t="shared" si="995"/>
        <v>1</v>
      </c>
      <c r="AT907" s="38">
        <f t="shared" si="996"/>
        <v>0</v>
      </c>
      <c r="AU907" s="60">
        <f t="shared" si="997"/>
        <v>0</v>
      </c>
      <c r="AV907" s="41">
        <f t="shared" si="998"/>
        <v>0</v>
      </c>
      <c r="AW907" s="41" t="b">
        <f t="shared" si="999"/>
        <v>0</v>
      </c>
      <c r="AX907" t="str">
        <f t="shared" si="1000"/>
        <v>+00</v>
      </c>
      <c r="AY907" t="str">
        <f t="shared" si="1001"/>
        <v>+00</v>
      </c>
      <c r="BA907" s="47" t="b">
        <f t="shared" si="1030"/>
        <v>1</v>
      </c>
      <c r="BB907" s="42" t="b">
        <f t="shared" si="1031"/>
        <v>1</v>
      </c>
      <c r="BC907" s="42" t="b">
        <f t="shared" si="1032"/>
        <v>0</v>
      </c>
      <c r="BD907" s="42" t="b">
        <f t="shared" si="1033"/>
        <v>0</v>
      </c>
      <c r="BE907" s="70">
        <f t="shared" si="1034"/>
        <v>0</v>
      </c>
      <c r="BF907" s="70">
        <f t="shared" si="1035"/>
        <v>0</v>
      </c>
      <c r="BG907" s="34"/>
      <c r="BI907" s="47" t="b">
        <f t="shared" si="1036"/>
        <v>1</v>
      </c>
      <c r="BJ907" s="47" t="b">
        <f t="shared" si="1037"/>
        <v>1</v>
      </c>
      <c r="BK907" s="42" t="b">
        <f t="shared" si="1038"/>
        <v>0</v>
      </c>
      <c r="BL907" s="42" t="b">
        <f t="shared" si="1039"/>
        <v>0</v>
      </c>
      <c r="BM907" s="42">
        <f t="shared" si="1040"/>
        <v>0</v>
      </c>
      <c r="BN907" s="42">
        <f t="shared" si="1041"/>
        <v>0</v>
      </c>
      <c r="BP907" t="e">
        <f t="shared" si="1042"/>
        <v>#N/A</v>
      </c>
      <c r="BQ907" t="e">
        <f t="shared" si="1043"/>
        <v>#N/A</v>
      </c>
      <c r="BR907" t="e">
        <f t="shared" si="1044"/>
        <v>#N/A</v>
      </c>
      <c r="BT907" s="60">
        <f t="shared" si="1045"/>
        <v>0</v>
      </c>
      <c r="BU907" s="60">
        <f t="shared" si="1046"/>
        <v>0</v>
      </c>
      <c r="BV907" s="60">
        <f t="shared" si="1047"/>
        <v>0</v>
      </c>
      <c r="BW907" s="60">
        <f t="shared" si="1048"/>
        <v>0</v>
      </c>
      <c r="BX907" s="60">
        <f t="shared" si="1049"/>
        <v>0</v>
      </c>
      <c r="BY907" s="60">
        <f t="shared" si="1050"/>
        <v>0</v>
      </c>
      <c r="BZ907" s="60">
        <f t="shared" si="1051"/>
        <v>0</v>
      </c>
      <c r="CA907" s="60">
        <f t="shared" si="1052"/>
        <v>0</v>
      </c>
      <c r="CB907" s="60" t="e">
        <f t="shared" si="1002"/>
        <v>#N/A</v>
      </c>
      <c r="CC907" s="60">
        <f t="shared" si="1003"/>
        <v>100000</v>
      </c>
      <c r="CD907" s="60" t="e">
        <f t="shared" si="1004"/>
        <v>#N/A</v>
      </c>
      <c r="CE907" s="60">
        <f t="shared" si="1005"/>
        <v>100000</v>
      </c>
      <c r="CF907" s="83" t="e">
        <f t="shared" si="1053"/>
        <v>#N/A</v>
      </c>
      <c r="CG907" s="83">
        <f t="shared" si="1054"/>
        <v>0</v>
      </c>
      <c r="CH907" s="83" t="e">
        <f t="shared" si="1055"/>
        <v>#N/A</v>
      </c>
      <c r="CI907" s="83">
        <f t="shared" si="1056"/>
        <v>0</v>
      </c>
      <c r="CJ907" s="86" t="e">
        <f t="shared" si="1006"/>
        <v>#N/A</v>
      </c>
      <c r="CK907" s="82">
        <f t="shared" si="1007"/>
        <v>5.3070370403969858E-3</v>
      </c>
      <c r="CL907" s="82" t="e">
        <f t="shared" si="1008"/>
        <v>#N/A</v>
      </c>
      <c r="CM907" s="82">
        <f t="shared" si="1009"/>
        <v>5.3070370403969858E-3</v>
      </c>
      <c r="CO907" s="149" t="str">
        <f>IF($I907&lt;&gt;"",IF(O907="User Specified",U907,INDEX('Refrigerant GWPs'!$G$2:$G$156,MATCH(O907,'Refrigerant GWPs'!$A$2:$A$156,0))),"")</f>
        <v/>
      </c>
      <c r="CP907" s="138" t="str">
        <f>IF($I907&lt;&gt;"",INDEX('Device Refrigerant Leakage'!$E$2:$E$42,MATCH($M907,'Device Refrigerant Leakage'!$B$2:$B$42,0)),"")</f>
        <v/>
      </c>
      <c r="CQ907" s="138" t="str">
        <f>IF($I907&lt;&gt;"",INDEX('Device Refrigerant Leakage'!$F$2:$F$42,MATCH($M907,'Device Refrigerant Leakage'!$B$2:$B$42,0)),"")</f>
        <v/>
      </c>
      <c r="CR907" s="145" t="str">
        <f>IF($I907&lt;&gt;"",INDEX('Device Refrigerant Leakage'!$G$2:$G$42,MATCH($M907,'Device Refrigerant Leakage'!$B$2:$B$42,0)),"")</f>
        <v/>
      </c>
      <c r="CS907" s="145" t="str">
        <f>IF($I907&lt;&gt;"",INDEX('Device Refrigerant Leakage'!$D$2:$D$42,MATCH($M907,'Device Refrigerant Leakage'!$B$2:$B$42,0))*CP907/2204.62*CO907,"")</f>
        <v/>
      </c>
      <c r="CT907" s="145" t="str">
        <f>IF($I907&lt;&gt;"",J907*(INDEX('Device Refrigerant Leakage'!$D$2:$D$42,MATCH($M907,'Device Refrigerant Leakage'!$B$2:$B$42,0))-(INDEX('Device Refrigerant Leakage'!$D$2:$D$42,MATCH($M907,'Device Refrigerant Leakage'!$B$2:$B$42,0)))*CR907*CP907)*CQ907/2204.62*CO907,"")</f>
        <v/>
      </c>
      <c r="CU907" s="135" t="str">
        <f>IF($I907&lt;&gt;"",J907*IF(W907&lt;&gt;"AR",(CS907*K907)+CT907,(CS907*AB907)+CT907*(AB907/INDEX('Device Refrigerant Leakage'!$C$2:$C$42,MATCH($M907,'Device Refrigerant Leakage'!$B$2:$B$42,0)))),"")</f>
        <v/>
      </c>
      <c r="CW907" s="135" t="str">
        <f>IF($I907&lt;&gt;"",IF(S907="User Specified",V907,INDEX('Refrigerant GWPs'!$G$2:$G$156,MATCH(S907,'Refrigerant GWPs'!$A$2:$A$157,0))),"")</f>
        <v/>
      </c>
      <c r="CX907" s="138" t="str">
        <f>IF($I907&lt;&gt;"",INDEX('Device Refrigerant Leakage'!$E$2:$E$42,MATCH($Q907,'Device Refrigerant Leakage'!$B$2:$B$42,0)),"")</f>
        <v/>
      </c>
      <c r="CY907" s="138" t="str">
        <f>IF($I907&lt;&gt;"",INDEX('Device Refrigerant Leakage'!$F$2:$F$42,MATCH($Q907,'Device Refrigerant Leakage'!$B$2:$B$42,0)),"")</f>
        <v/>
      </c>
      <c r="CZ907" s="145" t="str">
        <f>IF($I907&lt;&gt;"",INDEX('Device Refrigerant Leakage'!$G$2:$G$42,MATCH($Q907,'Device Refrigerant Leakage'!$B$2:$B$42,0)),"")</f>
        <v/>
      </c>
      <c r="DA907" s="145" t="str">
        <f>IF($I907&lt;&gt;"",J907*INDEX('Device Refrigerant Leakage'!$D$2:$D$42,MATCH($Q907,'Device Refrigerant Leakage'!$B$2:$B$42,0))*CX907/2204.62*CW907,"")</f>
        <v/>
      </c>
      <c r="DB907" s="145" t="str">
        <f>IF($I907&lt;&gt;"",J907*(INDEX('Device Refrigerant Leakage'!$D$2:$D$42,MATCH($Q907,'Device Refrigerant Leakage'!$B$2:$B$42,0))-(INDEX('Device Refrigerant Leakage'!$D$2:$D$42,MATCH($Q907,'Device Refrigerant Leakage'!$B$2:$B$42,0)))*CZ907*CX907)*CY907/2204.62*CW907,"")</f>
        <v/>
      </c>
      <c r="DC907" s="135" t="str">
        <f t="shared" si="1028"/>
        <v/>
      </c>
      <c r="DE907" s="146" t="str">
        <f>IF(W907&lt;&gt;"AR","",IF(Y907="User Specified", AA907, INDEX('Refrigerant GWPs'!$G$2:$G$154,MATCH(Y907,'Refrigerant GWPs'!$A$2:$A$154,0))))</f>
        <v/>
      </c>
      <c r="DF907" s="146" t="str">
        <f>IF(W907&lt;&gt;"AR","",INDEX('Device Refrigerant Leakage'!$E$2:$E$42,MATCH(X907,'Device Refrigerant Leakage'!$B$2:$B$42,0)))</f>
        <v/>
      </c>
      <c r="DG907" s="146" t="str">
        <f>IF(W907&lt;&gt;"AR","",INDEX('Device Refrigerant Leakage'!$F$2:$F$42,MATCH(X907,'Device Refrigerant Leakage'!$B$2:$B$42,0)))</f>
        <v/>
      </c>
      <c r="DH907" s="146" t="str">
        <f>IF(W907&lt;&gt;"AR","",INDEX('Device Refrigerant Leakage'!$G$2:$G$42,MATCH(X907,'Device Refrigerant Leakage'!$B$2:$B$42,0)))</f>
        <v/>
      </c>
      <c r="DI907" s="146" t="str">
        <f>IF(W907&lt;&gt;"AR","",J907*INDEX('Device Refrigerant Leakage'!$D$2:$D$42,MATCH(X907,'Device Refrigerant Leakage'!$B$2:$B$42,0))*DF907/2204.62*DE907)</f>
        <v/>
      </c>
      <c r="DJ907" s="146" t="str">
        <f>IF(W907&lt;&gt;"AR","",J907*(INDEX('Device Refrigerant Leakage'!$D$2:$D$42,MATCH(X907,'Device Refrigerant Leakage'!$B$2:$B$42,0))-(INDEX('Device Refrigerant Leakage'!$D$2:$D$42,MATCH(X907,'Device Refrigerant Leakage'!$B$2:$B$42,0)))*DH907*DF907)*DG907/2204.62*DE907)</f>
        <v/>
      </c>
      <c r="DK907" s="146" t="str">
        <f>IF(W907&lt;&gt;"AR","",DI907*(K907-AB907)+'Fuel Sub Calcs-Deemed'!DJ907*((K907-AB907)/INDEX('Device Refrigerant Leakage'!$C$2:$C$42,MATCH('Fuel Sub Calcs-Deemed'!X907,'Device Refrigerant Leakage'!$B$2:$B$42,0))))</f>
        <v/>
      </c>
      <c r="DM907" s="56">
        <v>893</v>
      </c>
      <c r="DN907" s="67" t="e">
        <f t="shared" si="1010"/>
        <v>#N/A</v>
      </c>
      <c r="DO907" s="45" t="e">
        <f t="shared" si="1011"/>
        <v>#N/A</v>
      </c>
      <c r="DP907" s="67" t="e">
        <f t="shared" si="1012"/>
        <v>#N/A</v>
      </c>
      <c r="DQ907" s="45" t="e">
        <f t="shared" si="1013"/>
        <v>#N/A</v>
      </c>
      <c r="DR907" s="69" t="e">
        <f t="shared" si="1014"/>
        <v>#N/A</v>
      </c>
      <c r="DS907" s="34"/>
      <c r="DT907" s="67" t="e">
        <f>((BX907*CJ907)+IF($W907=MAT_AR,(BZ907*CL907),0))*(1+Reference!$E$50+Reference!$E$51)</f>
        <v>#N/A</v>
      </c>
      <c r="DU907" s="67">
        <f>((BY907*CK907)+IF($W907=MAT_AR,(CA907*CM907),0))*(1+Reference!$G$50+Reference!$G$51)</f>
        <v>0</v>
      </c>
      <c r="DV907" s="67" t="e">
        <f t="shared" si="1015"/>
        <v>#VALUE!</v>
      </c>
      <c r="DX907" s="56">
        <v>893</v>
      </c>
      <c r="DY907" s="67">
        <f t="shared" si="1016"/>
        <v>0</v>
      </c>
      <c r="DZ907" s="45" t="e">
        <f>VLOOKUP($R907,Dropdown!$C$3:$D$4,2,FALSE)</f>
        <v>#N/A</v>
      </c>
      <c r="EA907" s="68">
        <f t="shared" si="1017"/>
        <v>0</v>
      </c>
      <c r="EB907" s="68" t="str">
        <f t="shared" si="1018"/>
        <v>N/A</v>
      </c>
      <c r="EC907" s="68">
        <f t="shared" si="1019"/>
        <v>0</v>
      </c>
      <c r="ED907" s="68" t="str">
        <f t="shared" si="1057"/>
        <v>N/A</v>
      </c>
      <c r="EF907" s="56">
        <v>893</v>
      </c>
      <c r="EG907" s="46">
        <f t="shared" si="1020"/>
        <v>0</v>
      </c>
      <c r="EH907" s="68" t="e">
        <f t="shared" si="1021"/>
        <v>#N/A</v>
      </c>
      <c r="EI907" s="68" t="e">
        <f t="shared" si="1022"/>
        <v>#N/A</v>
      </c>
      <c r="EJ907" s="68" t="e">
        <f t="shared" si="1023"/>
        <v>#N/A</v>
      </c>
      <c r="EK907" s="68" t="e">
        <f t="shared" si="1024"/>
        <v>#N/A</v>
      </c>
      <c r="EL907" s="46">
        <f t="shared" si="1025"/>
        <v>0</v>
      </c>
      <c r="EM907" s="46">
        <f t="shared" si="1026"/>
        <v>0</v>
      </c>
    </row>
    <row r="908" spans="1:143">
      <c r="A908" s="89"/>
      <c r="B908" s="89"/>
      <c r="C908" s="89"/>
      <c r="D908" s="89"/>
      <c r="E908" s="89"/>
      <c r="F908" s="89"/>
      <c r="G908" s="34"/>
      <c r="H908" s="56">
        <f t="shared" si="1027"/>
        <v>894</v>
      </c>
      <c r="I908" s="165"/>
      <c r="J908" s="163"/>
      <c r="K908" s="163"/>
      <c r="L908" s="164"/>
      <c r="M908" s="155"/>
      <c r="N908" s="155"/>
      <c r="O908" s="144"/>
      <c r="P908" s="159" t="str">
        <f>IFERROR(IF(O908&lt;&gt;"User Specified",IF(O908&lt;&gt;"", INDEX('Refrigerant GWPs'!$G$2:$G$154,MATCH(O908,'Refrigerant GWPs'!$A$2:$A$154,0)),""),U908),0)</f>
        <v/>
      </c>
      <c r="Q908" s="155"/>
      <c r="R908" s="155"/>
      <c r="S908" s="144"/>
      <c r="T908" s="159" t="str">
        <f>IF(S908&lt;&gt;"User Specified",IF(AND(S908&lt;&gt;"User Specified",S908&lt;&gt;""), INDEX('Refrigerant GWPs'!$G$2:$G$154,MATCH(S908,'Refrigerant GWPs'!$A$2:$A$154,0)),""),V908)</f>
        <v/>
      </c>
      <c r="U908" s="144"/>
      <c r="V908" s="144"/>
      <c r="W908" s="155"/>
      <c r="X908" s="155"/>
      <c r="Y908" s="144"/>
      <c r="Z908" s="159" t="str">
        <f>IF(AND(Y908&lt;&gt;"User Specified",Y908&lt;&gt;""), INDEX('Refrigerant GWPs'!$G$2:$G$154,MATCH(Y908,'Refrigerant GWPs'!$A$2:$A$154,0)),"")</f>
        <v/>
      </c>
      <c r="AA908" s="155"/>
      <c r="AB908" s="156"/>
      <c r="AC908" s="66"/>
      <c r="AD908" s="66"/>
      <c r="AE908" s="66"/>
      <c r="AF908" s="66"/>
      <c r="AG908" s="66"/>
      <c r="AH908" s="66"/>
      <c r="AI908" s="34"/>
      <c r="AJ908" s="88">
        <f t="shared" si="990"/>
        <v>0</v>
      </c>
      <c r="AK908" s="88">
        <f t="shared" si="991"/>
        <v>0</v>
      </c>
      <c r="AL908" s="88">
        <v>0</v>
      </c>
      <c r="AM908" s="88">
        <v>0</v>
      </c>
      <c r="AN908" s="81" t="str">
        <f t="shared" si="1029"/>
        <v/>
      </c>
      <c r="AO908" s="88">
        <f t="shared" si="992"/>
        <v>0</v>
      </c>
      <c r="AP908" s="88">
        <f t="shared" si="993"/>
        <v>0</v>
      </c>
      <c r="AQ908" s="81" t="str">
        <f t="shared" si="994"/>
        <v/>
      </c>
      <c r="AS908" s="41" t="b">
        <f t="shared" si="995"/>
        <v>1</v>
      </c>
      <c r="AT908" s="38">
        <f t="shared" si="996"/>
        <v>0</v>
      </c>
      <c r="AU908" s="60">
        <f t="shared" si="997"/>
        <v>0</v>
      </c>
      <c r="AV908" s="41">
        <f t="shared" si="998"/>
        <v>0</v>
      </c>
      <c r="AW908" s="41" t="b">
        <f t="shared" si="999"/>
        <v>0</v>
      </c>
      <c r="AX908" t="str">
        <f t="shared" si="1000"/>
        <v>+00</v>
      </c>
      <c r="AY908" t="str">
        <f t="shared" si="1001"/>
        <v>+00</v>
      </c>
      <c r="BA908" s="47" t="b">
        <f t="shared" si="1030"/>
        <v>1</v>
      </c>
      <c r="BB908" s="42" t="b">
        <f t="shared" si="1031"/>
        <v>1</v>
      </c>
      <c r="BC908" s="42" t="b">
        <f t="shared" si="1032"/>
        <v>0</v>
      </c>
      <c r="BD908" s="42" t="b">
        <f t="shared" si="1033"/>
        <v>0</v>
      </c>
      <c r="BE908" s="70">
        <f t="shared" si="1034"/>
        <v>0</v>
      </c>
      <c r="BF908" s="70">
        <f t="shared" si="1035"/>
        <v>0</v>
      </c>
      <c r="BG908" s="34"/>
      <c r="BI908" s="47" t="b">
        <f t="shared" si="1036"/>
        <v>1</v>
      </c>
      <c r="BJ908" s="47" t="b">
        <f t="shared" si="1037"/>
        <v>1</v>
      </c>
      <c r="BK908" s="42" t="b">
        <f t="shared" si="1038"/>
        <v>0</v>
      </c>
      <c r="BL908" s="42" t="b">
        <f t="shared" si="1039"/>
        <v>0</v>
      </c>
      <c r="BM908" s="42">
        <f t="shared" si="1040"/>
        <v>0</v>
      </c>
      <c r="BN908" s="42">
        <f t="shared" si="1041"/>
        <v>0</v>
      </c>
      <c r="BP908" t="e">
        <f t="shared" si="1042"/>
        <v>#N/A</v>
      </c>
      <c r="BQ908" t="e">
        <f t="shared" si="1043"/>
        <v>#N/A</v>
      </c>
      <c r="BR908" t="e">
        <f t="shared" si="1044"/>
        <v>#N/A</v>
      </c>
      <c r="BT908" s="60">
        <f t="shared" si="1045"/>
        <v>0</v>
      </c>
      <c r="BU908" s="60">
        <f t="shared" si="1046"/>
        <v>0</v>
      </c>
      <c r="BV908" s="60">
        <f t="shared" si="1047"/>
        <v>0</v>
      </c>
      <c r="BW908" s="60">
        <f t="shared" si="1048"/>
        <v>0</v>
      </c>
      <c r="BX908" s="60">
        <f t="shared" si="1049"/>
        <v>0</v>
      </c>
      <c r="BY908" s="60">
        <f t="shared" si="1050"/>
        <v>0</v>
      </c>
      <c r="BZ908" s="60">
        <f t="shared" si="1051"/>
        <v>0</v>
      </c>
      <c r="CA908" s="60">
        <f t="shared" si="1052"/>
        <v>0</v>
      </c>
      <c r="CB908" s="60" t="e">
        <f t="shared" si="1002"/>
        <v>#N/A</v>
      </c>
      <c r="CC908" s="60">
        <f t="shared" si="1003"/>
        <v>100000</v>
      </c>
      <c r="CD908" s="60" t="e">
        <f t="shared" si="1004"/>
        <v>#N/A</v>
      </c>
      <c r="CE908" s="60">
        <f t="shared" si="1005"/>
        <v>100000</v>
      </c>
      <c r="CF908" s="83" t="e">
        <f t="shared" si="1053"/>
        <v>#N/A</v>
      </c>
      <c r="CG908" s="83">
        <f t="shared" si="1054"/>
        <v>0</v>
      </c>
      <c r="CH908" s="83" t="e">
        <f t="shared" si="1055"/>
        <v>#N/A</v>
      </c>
      <c r="CI908" s="83">
        <f t="shared" si="1056"/>
        <v>0</v>
      </c>
      <c r="CJ908" s="86" t="e">
        <f t="shared" si="1006"/>
        <v>#N/A</v>
      </c>
      <c r="CK908" s="82">
        <f t="shared" si="1007"/>
        <v>5.3070370403969858E-3</v>
      </c>
      <c r="CL908" s="82" t="e">
        <f t="shared" si="1008"/>
        <v>#N/A</v>
      </c>
      <c r="CM908" s="82">
        <f t="shared" si="1009"/>
        <v>5.3070370403969858E-3</v>
      </c>
      <c r="CO908" s="149" t="str">
        <f>IF($I908&lt;&gt;"",IF(O908="User Specified",U908,INDEX('Refrigerant GWPs'!$G$2:$G$156,MATCH(O908,'Refrigerant GWPs'!$A$2:$A$156,0))),"")</f>
        <v/>
      </c>
      <c r="CP908" s="138" t="str">
        <f>IF($I908&lt;&gt;"",INDEX('Device Refrigerant Leakage'!$E$2:$E$42,MATCH($M908,'Device Refrigerant Leakage'!$B$2:$B$42,0)),"")</f>
        <v/>
      </c>
      <c r="CQ908" s="138" t="str">
        <f>IF($I908&lt;&gt;"",INDEX('Device Refrigerant Leakage'!$F$2:$F$42,MATCH($M908,'Device Refrigerant Leakage'!$B$2:$B$42,0)),"")</f>
        <v/>
      </c>
      <c r="CR908" s="145" t="str">
        <f>IF($I908&lt;&gt;"",INDEX('Device Refrigerant Leakage'!$G$2:$G$42,MATCH($M908,'Device Refrigerant Leakage'!$B$2:$B$42,0)),"")</f>
        <v/>
      </c>
      <c r="CS908" s="145" t="str">
        <f>IF($I908&lt;&gt;"",INDEX('Device Refrigerant Leakage'!$D$2:$D$42,MATCH($M908,'Device Refrigerant Leakage'!$B$2:$B$42,0))*CP908/2204.62*CO908,"")</f>
        <v/>
      </c>
      <c r="CT908" s="145" t="str">
        <f>IF($I908&lt;&gt;"",J908*(INDEX('Device Refrigerant Leakage'!$D$2:$D$42,MATCH($M908,'Device Refrigerant Leakage'!$B$2:$B$42,0))-(INDEX('Device Refrigerant Leakage'!$D$2:$D$42,MATCH($M908,'Device Refrigerant Leakage'!$B$2:$B$42,0)))*CR908*CP908)*CQ908/2204.62*CO908,"")</f>
        <v/>
      </c>
      <c r="CU908" s="135" t="str">
        <f>IF($I908&lt;&gt;"",J908*IF(W908&lt;&gt;"AR",(CS908*K908)+CT908,(CS908*AB908)+CT908*(AB908/INDEX('Device Refrigerant Leakage'!$C$2:$C$42,MATCH($M908,'Device Refrigerant Leakage'!$B$2:$B$42,0)))),"")</f>
        <v/>
      </c>
      <c r="CW908" s="135" t="str">
        <f>IF($I908&lt;&gt;"",IF(S908="User Specified",V908,INDEX('Refrigerant GWPs'!$G$2:$G$156,MATCH(S908,'Refrigerant GWPs'!$A$2:$A$157,0))),"")</f>
        <v/>
      </c>
      <c r="CX908" s="138" t="str">
        <f>IF($I908&lt;&gt;"",INDEX('Device Refrigerant Leakage'!$E$2:$E$42,MATCH($Q908,'Device Refrigerant Leakage'!$B$2:$B$42,0)),"")</f>
        <v/>
      </c>
      <c r="CY908" s="138" t="str">
        <f>IF($I908&lt;&gt;"",INDEX('Device Refrigerant Leakage'!$F$2:$F$42,MATCH($Q908,'Device Refrigerant Leakage'!$B$2:$B$42,0)),"")</f>
        <v/>
      </c>
      <c r="CZ908" s="145" t="str">
        <f>IF($I908&lt;&gt;"",INDEX('Device Refrigerant Leakage'!$G$2:$G$42,MATCH($Q908,'Device Refrigerant Leakage'!$B$2:$B$42,0)),"")</f>
        <v/>
      </c>
      <c r="DA908" s="145" t="str">
        <f>IF($I908&lt;&gt;"",J908*INDEX('Device Refrigerant Leakage'!$D$2:$D$42,MATCH($Q908,'Device Refrigerant Leakage'!$B$2:$B$42,0))*CX908/2204.62*CW908,"")</f>
        <v/>
      </c>
      <c r="DB908" s="145" t="str">
        <f>IF($I908&lt;&gt;"",J908*(INDEX('Device Refrigerant Leakage'!$D$2:$D$42,MATCH($Q908,'Device Refrigerant Leakage'!$B$2:$B$42,0))-(INDEX('Device Refrigerant Leakage'!$D$2:$D$42,MATCH($Q908,'Device Refrigerant Leakage'!$B$2:$B$42,0)))*CZ908*CX908)*CY908/2204.62*CW908,"")</f>
        <v/>
      </c>
      <c r="DC908" s="135" t="str">
        <f t="shared" si="1028"/>
        <v/>
      </c>
      <c r="DE908" s="146" t="str">
        <f>IF(W908&lt;&gt;"AR","",IF(Y908="User Specified", AA908, INDEX('Refrigerant GWPs'!$G$2:$G$154,MATCH(Y908,'Refrigerant GWPs'!$A$2:$A$154,0))))</f>
        <v/>
      </c>
      <c r="DF908" s="146" t="str">
        <f>IF(W908&lt;&gt;"AR","",INDEX('Device Refrigerant Leakage'!$E$2:$E$42,MATCH(X908,'Device Refrigerant Leakage'!$B$2:$B$42,0)))</f>
        <v/>
      </c>
      <c r="DG908" s="146" t="str">
        <f>IF(W908&lt;&gt;"AR","",INDEX('Device Refrigerant Leakage'!$F$2:$F$42,MATCH(X908,'Device Refrigerant Leakage'!$B$2:$B$42,0)))</f>
        <v/>
      </c>
      <c r="DH908" s="146" t="str">
        <f>IF(W908&lt;&gt;"AR","",INDEX('Device Refrigerant Leakage'!$G$2:$G$42,MATCH(X908,'Device Refrigerant Leakage'!$B$2:$B$42,0)))</f>
        <v/>
      </c>
      <c r="DI908" s="146" t="str">
        <f>IF(W908&lt;&gt;"AR","",J908*INDEX('Device Refrigerant Leakage'!$D$2:$D$42,MATCH(X908,'Device Refrigerant Leakage'!$B$2:$B$42,0))*DF908/2204.62*DE908)</f>
        <v/>
      </c>
      <c r="DJ908" s="146" t="str">
        <f>IF(W908&lt;&gt;"AR","",J908*(INDEX('Device Refrigerant Leakage'!$D$2:$D$42,MATCH(X908,'Device Refrigerant Leakage'!$B$2:$B$42,0))-(INDEX('Device Refrigerant Leakage'!$D$2:$D$42,MATCH(X908,'Device Refrigerant Leakage'!$B$2:$B$42,0)))*DH908*DF908)*DG908/2204.62*DE908)</f>
        <v/>
      </c>
      <c r="DK908" s="146" t="str">
        <f>IF(W908&lt;&gt;"AR","",DI908*(K908-AB908)+'Fuel Sub Calcs-Deemed'!DJ908*((K908-AB908)/INDEX('Device Refrigerant Leakage'!$C$2:$C$42,MATCH('Fuel Sub Calcs-Deemed'!X908,'Device Refrigerant Leakage'!$B$2:$B$42,0))))</f>
        <v/>
      </c>
      <c r="DM908" s="56">
        <v>894</v>
      </c>
      <c r="DN908" s="67" t="e">
        <f t="shared" si="1010"/>
        <v>#N/A</v>
      </c>
      <c r="DO908" s="45" t="e">
        <f t="shared" si="1011"/>
        <v>#N/A</v>
      </c>
      <c r="DP908" s="67" t="e">
        <f t="shared" si="1012"/>
        <v>#N/A</v>
      </c>
      <c r="DQ908" s="45" t="e">
        <f t="shared" si="1013"/>
        <v>#N/A</v>
      </c>
      <c r="DR908" s="69" t="e">
        <f t="shared" si="1014"/>
        <v>#N/A</v>
      </c>
      <c r="DS908" s="34"/>
      <c r="DT908" s="67" t="e">
        <f>((BX908*CJ908)+IF($W908=MAT_AR,(BZ908*CL908),0))*(1+Reference!$E$50+Reference!$E$51)</f>
        <v>#N/A</v>
      </c>
      <c r="DU908" s="67">
        <f>((BY908*CK908)+IF($W908=MAT_AR,(CA908*CM908),0))*(1+Reference!$G$50+Reference!$G$51)</f>
        <v>0</v>
      </c>
      <c r="DV908" s="67" t="e">
        <f t="shared" si="1015"/>
        <v>#VALUE!</v>
      </c>
      <c r="DX908" s="56">
        <v>894</v>
      </c>
      <c r="DY908" s="67">
        <f t="shared" si="1016"/>
        <v>0</v>
      </c>
      <c r="DZ908" s="45" t="e">
        <f>VLOOKUP($R908,Dropdown!$C$3:$D$4,2,FALSE)</f>
        <v>#N/A</v>
      </c>
      <c r="EA908" s="68">
        <f t="shared" si="1017"/>
        <v>0</v>
      </c>
      <c r="EB908" s="68" t="str">
        <f t="shared" si="1018"/>
        <v>N/A</v>
      </c>
      <c r="EC908" s="68">
        <f t="shared" si="1019"/>
        <v>0</v>
      </c>
      <c r="ED908" s="68" t="str">
        <f t="shared" si="1057"/>
        <v>N/A</v>
      </c>
      <c r="EF908" s="56">
        <v>894</v>
      </c>
      <c r="EG908" s="46">
        <f t="shared" si="1020"/>
        <v>0</v>
      </c>
      <c r="EH908" s="68" t="e">
        <f t="shared" si="1021"/>
        <v>#N/A</v>
      </c>
      <c r="EI908" s="68" t="e">
        <f t="shared" si="1022"/>
        <v>#N/A</v>
      </c>
      <c r="EJ908" s="68" t="e">
        <f t="shared" si="1023"/>
        <v>#N/A</v>
      </c>
      <c r="EK908" s="68" t="e">
        <f t="shared" si="1024"/>
        <v>#N/A</v>
      </c>
      <c r="EL908" s="46">
        <f t="shared" si="1025"/>
        <v>0</v>
      </c>
      <c r="EM908" s="46">
        <f t="shared" si="1026"/>
        <v>0</v>
      </c>
    </row>
    <row r="909" spans="1:143">
      <c r="A909" s="89"/>
      <c r="B909" s="89"/>
      <c r="C909" s="89"/>
      <c r="D909" s="89"/>
      <c r="E909" s="89"/>
      <c r="F909" s="89"/>
      <c r="G909" s="34"/>
      <c r="H909" s="56">
        <f t="shared" si="1027"/>
        <v>895</v>
      </c>
      <c r="I909" s="165"/>
      <c r="J909" s="163"/>
      <c r="K909" s="163"/>
      <c r="L909" s="164"/>
      <c r="M909" s="155"/>
      <c r="N909" s="155"/>
      <c r="O909" s="144"/>
      <c r="P909" s="159" t="str">
        <f>IFERROR(IF(O909&lt;&gt;"User Specified",IF(O909&lt;&gt;"", INDEX('Refrigerant GWPs'!$G$2:$G$154,MATCH(O909,'Refrigerant GWPs'!$A$2:$A$154,0)),""),U909),0)</f>
        <v/>
      </c>
      <c r="Q909" s="155"/>
      <c r="R909" s="155"/>
      <c r="S909" s="144"/>
      <c r="T909" s="159" t="str">
        <f>IF(S909&lt;&gt;"User Specified",IF(AND(S909&lt;&gt;"User Specified",S909&lt;&gt;""), INDEX('Refrigerant GWPs'!$G$2:$G$154,MATCH(S909,'Refrigerant GWPs'!$A$2:$A$154,0)),""),V909)</f>
        <v/>
      </c>
      <c r="U909" s="144"/>
      <c r="V909" s="144"/>
      <c r="W909" s="155"/>
      <c r="X909" s="155"/>
      <c r="Y909" s="144"/>
      <c r="Z909" s="159" t="str">
        <f>IF(AND(Y909&lt;&gt;"User Specified",Y909&lt;&gt;""), INDEX('Refrigerant GWPs'!$G$2:$G$154,MATCH(Y909,'Refrigerant GWPs'!$A$2:$A$154,0)),"")</f>
        <v/>
      </c>
      <c r="AA909" s="155"/>
      <c r="AB909" s="156"/>
      <c r="AC909" s="66"/>
      <c r="AD909" s="66"/>
      <c r="AE909" s="66"/>
      <c r="AF909" s="66"/>
      <c r="AG909" s="66"/>
      <c r="AH909" s="66"/>
      <c r="AI909" s="34"/>
      <c r="AJ909" s="88">
        <f t="shared" si="990"/>
        <v>0</v>
      </c>
      <c r="AK909" s="88">
        <f t="shared" si="991"/>
        <v>0</v>
      </c>
      <c r="AL909" s="88">
        <v>0</v>
      </c>
      <c r="AM909" s="88">
        <v>0</v>
      </c>
      <c r="AN909" s="81" t="str">
        <f t="shared" si="1029"/>
        <v/>
      </c>
      <c r="AO909" s="88">
        <f t="shared" si="992"/>
        <v>0</v>
      </c>
      <c r="AP909" s="88">
        <f t="shared" si="993"/>
        <v>0</v>
      </c>
      <c r="AQ909" s="81" t="str">
        <f t="shared" si="994"/>
        <v/>
      </c>
      <c r="AS909" s="41" t="b">
        <f t="shared" si="995"/>
        <v>1</v>
      </c>
      <c r="AT909" s="38">
        <f t="shared" si="996"/>
        <v>0</v>
      </c>
      <c r="AU909" s="60">
        <f t="shared" si="997"/>
        <v>0</v>
      </c>
      <c r="AV909" s="41">
        <f t="shared" si="998"/>
        <v>0</v>
      </c>
      <c r="AW909" s="41" t="b">
        <f t="shared" si="999"/>
        <v>0</v>
      </c>
      <c r="AX909" t="str">
        <f t="shared" si="1000"/>
        <v>+00</v>
      </c>
      <c r="AY909" t="str">
        <f t="shared" si="1001"/>
        <v>+00</v>
      </c>
      <c r="BA909" s="47" t="b">
        <f t="shared" si="1030"/>
        <v>1</v>
      </c>
      <c r="BB909" s="42" t="b">
        <f t="shared" si="1031"/>
        <v>1</v>
      </c>
      <c r="BC909" s="42" t="b">
        <f t="shared" si="1032"/>
        <v>0</v>
      </c>
      <c r="BD909" s="42" t="b">
        <f t="shared" si="1033"/>
        <v>0</v>
      </c>
      <c r="BE909" s="70">
        <f t="shared" si="1034"/>
        <v>0</v>
      </c>
      <c r="BF909" s="70">
        <f t="shared" si="1035"/>
        <v>0</v>
      </c>
      <c r="BG909" s="34"/>
      <c r="BI909" s="47" t="b">
        <f t="shared" si="1036"/>
        <v>1</v>
      </c>
      <c r="BJ909" s="47" t="b">
        <f t="shared" si="1037"/>
        <v>1</v>
      </c>
      <c r="BK909" s="42" t="b">
        <f t="shared" si="1038"/>
        <v>0</v>
      </c>
      <c r="BL909" s="42" t="b">
        <f t="shared" si="1039"/>
        <v>0</v>
      </c>
      <c r="BM909" s="42">
        <f t="shared" si="1040"/>
        <v>0</v>
      </c>
      <c r="BN909" s="42">
        <f t="shared" si="1041"/>
        <v>0</v>
      </c>
      <c r="BP909" t="e">
        <f t="shared" si="1042"/>
        <v>#N/A</v>
      </c>
      <c r="BQ909" t="e">
        <f t="shared" si="1043"/>
        <v>#N/A</v>
      </c>
      <c r="BR909" t="e">
        <f t="shared" si="1044"/>
        <v>#N/A</v>
      </c>
      <c r="BT909" s="60">
        <f t="shared" si="1045"/>
        <v>0</v>
      </c>
      <c r="BU909" s="60">
        <f t="shared" si="1046"/>
        <v>0</v>
      </c>
      <c r="BV909" s="60">
        <f t="shared" si="1047"/>
        <v>0</v>
      </c>
      <c r="BW909" s="60">
        <f t="shared" si="1048"/>
        <v>0</v>
      </c>
      <c r="BX909" s="60">
        <f t="shared" si="1049"/>
        <v>0</v>
      </c>
      <c r="BY909" s="60">
        <f t="shared" si="1050"/>
        <v>0</v>
      </c>
      <c r="BZ909" s="60">
        <f t="shared" si="1051"/>
        <v>0</v>
      </c>
      <c r="CA909" s="60">
        <f t="shared" si="1052"/>
        <v>0</v>
      </c>
      <c r="CB909" s="60" t="e">
        <f t="shared" si="1002"/>
        <v>#N/A</v>
      </c>
      <c r="CC909" s="60">
        <f t="shared" si="1003"/>
        <v>100000</v>
      </c>
      <c r="CD909" s="60" t="e">
        <f t="shared" si="1004"/>
        <v>#N/A</v>
      </c>
      <c r="CE909" s="60">
        <f t="shared" si="1005"/>
        <v>100000</v>
      </c>
      <c r="CF909" s="83" t="e">
        <f t="shared" si="1053"/>
        <v>#N/A</v>
      </c>
      <c r="CG909" s="83">
        <f t="shared" si="1054"/>
        <v>0</v>
      </c>
      <c r="CH909" s="83" t="e">
        <f t="shared" si="1055"/>
        <v>#N/A</v>
      </c>
      <c r="CI909" s="83">
        <f t="shared" si="1056"/>
        <v>0</v>
      </c>
      <c r="CJ909" s="86" t="e">
        <f t="shared" si="1006"/>
        <v>#N/A</v>
      </c>
      <c r="CK909" s="82">
        <f t="shared" si="1007"/>
        <v>5.3070370403969858E-3</v>
      </c>
      <c r="CL909" s="82" t="e">
        <f t="shared" si="1008"/>
        <v>#N/A</v>
      </c>
      <c r="CM909" s="82">
        <f t="shared" si="1009"/>
        <v>5.3070370403969858E-3</v>
      </c>
      <c r="CO909" s="149" t="str">
        <f>IF($I909&lt;&gt;"",IF(O909="User Specified",U909,INDEX('Refrigerant GWPs'!$G$2:$G$156,MATCH(O909,'Refrigerant GWPs'!$A$2:$A$156,0))),"")</f>
        <v/>
      </c>
      <c r="CP909" s="138" t="str">
        <f>IF($I909&lt;&gt;"",INDEX('Device Refrigerant Leakage'!$E$2:$E$42,MATCH($M909,'Device Refrigerant Leakage'!$B$2:$B$42,0)),"")</f>
        <v/>
      </c>
      <c r="CQ909" s="138" t="str">
        <f>IF($I909&lt;&gt;"",INDEX('Device Refrigerant Leakage'!$F$2:$F$42,MATCH($M909,'Device Refrigerant Leakage'!$B$2:$B$42,0)),"")</f>
        <v/>
      </c>
      <c r="CR909" s="145" t="str">
        <f>IF($I909&lt;&gt;"",INDEX('Device Refrigerant Leakage'!$G$2:$G$42,MATCH($M909,'Device Refrigerant Leakage'!$B$2:$B$42,0)),"")</f>
        <v/>
      </c>
      <c r="CS909" s="145" t="str">
        <f>IF($I909&lt;&gt;"",INDEX('Device Refrigerant Leakage'!$D$2:$D$42,MATCH($M909,'Device Refrigerant Leakage'!$B$2:$B$42,0))*CP909/2204.62*CO909,"")</f>
        <v/>
      </c>
      <c r="CT909" s="145" t="str">
        <f>IF($I909&lt;&gt;"",J909*(INDEX('Device Refrigerant Leakage'!$D$2:$D$42,MATCH($M909,'Device Refrigerant Leakage'!$B$2:$B$42,0))-(INDEX('Device Refrigerant Leakage'!$D$2:$D$42,MATCH($M909,'Device Refrigerant Leakage'!$B$2:$B$42,0)))*CR909*CP909)*CQ909/2204.62*CO909,"")</f>
        <v/>
      </c>
      <c r="CU909" s="135" t="str">
        <f>IF($I909&lt;&gt;"",J909*IF(W909&lt;&gt;"AR",(CS909*K909)+CT909,(CS909*AB909)+CT909*(AB909/INDEX('Device Refrigerant Leakage'!$C$2:$C$42,MATCH($M909,'Device Refrigerant Leakage'!$B$2:$B$42,0)))),"")</f>
        <v/>
      </c>
      <c r="CW909" s="135" t="str">
        <f>IF($I909&lt;&gt;"",IF(S909="User Specified",V909,INDEX('Refrigerant GWPs'!$G$2:$G$156,MATCH(S909,'Refrigerant GWPs'!$A$2:$A$157,0))),"")</f>
        <v/>
      </c>
      <c r="CX909" s="138" t="str">
        <f>IF($I909&lt;&gt;"",INDEX('Device Refrigerant Leakage'!$E$2:$E$42,MATCH($Q909,'Device Refrigerant Leakage'!$B$2:$B$42,0)),"")</f>
        <v/>
      </c>
      <c r="CY909" s="138" t="str">
        <f>IF($I909&lt;&gt;"",INDEX('Device Refrigerant Leakage'!$F$2:$F$42,MATCH($Q909,'Device Refrigerant Leakage'!$B$2:$B$42,0)),"")</f>
        <v/>
      </c>
      <c r="CZ909" s="145" t="str">
        <f>IF($I909&lt;&gt;"",INDEX('Device Refrigerant Leakage'!$G$2:$G$42,MATCH($Q909,'Device Refrigerant Leakage'!$B$2:$B$42,0)),"")</f>
        <v/>
      </c>
      <c r="DA909" s="145" t="str">
        <f>IF($I909&lt;&gt;"",J909*INDEX('Device Refrigerant Leakage'!$D$2:$D$42,MATCH($Q909,'Device Refrigerant Leakage'!$B$2:$B$42,0))*CX909/2204.62*CW909,"")</f>
        <v/>
      </c>
      <c r="DB909" s="145" t="str">
        <f>IF($I909&lt;&gt;"",J909*(INDEX('Device Refrigerant Leakage'!$D$2:$D$42,MATCH($Q909,'Device Refrigerant Leakage'!$B$2:$B$42,0))-(INDEX('Device Refrigerant Leakage'!$D$2:$D$42,MATCH($Q909,'Device Refrigerant Leakage'!$B$2:$B$42,0)))*CZ909*CX909)*CY909/2204.62*CW909,"")</f>
        <v/>
      </c>
      <c r="DC909" s="135" t="str">
        <f t="shared" si="1028"/>
        <v/>
      </c>
      <c r="DE909" s="146" t="str">
        <f>IF(W909&lt;&gt;"AR","",IF(Y909="User Specified", AA909, INDEX('Refrigerant GWPs'!$G$2:$G$154,MATCH(Y909,'Refrigerant GWPs'!$A$2:$A$154,0))))</f>
        <v/>
      </c>
      <c r="DF909" s="146" t="str">
        <f>IF(W909&lt;&gt;"AR","",INDEX('Device Refrigerant Leakage'!$E$2:$E$42,MATCH(X909,'Device Refrigerant Leakage'!$B$2:$B$42,0)))</f>
        <v/>
      </c>
      <c r="DG909" s="146" t="str">
        <f>IF(W909&lt;&gt;"AR","",INDEX('Device Refrigerant Leakage'!$F$2:$F$42,MATCH(X909,'Device Refrigerant Leakage'!$B$2:$B$42,0)))</f>
        <v/>
      </c>
      <c r="DH909" s="146" t="str">
        <f>IF(W909&lt;&gt;"AR","",INDEX('Device Refrigerant Leakage'!$G$2:$G$42,MATCH(X909,'Device Refrigerant Leakage'!$B$2:$B$42,0)))</f>
        <v/>
      </c>
      <c r="DI909" s="146" t="str">
        <f>IF(W909&lt;&gt;"AR","",J909*INDEX('Device Refrigerant Leakage'!$D$2:$D$42,MATCH(X909,'Device Refrigerant Leakage'!$B$2:$B$42,0))*DF909/2204.62*DE909)</f>
        <v/>
      </c>
      <c r="DJ909" s="146" t="str">
        <f>IF(W909&lt;&gt;"AR","",J909*(INDEX('Device Refrigerant Leakage'!$D$2:$D$42,MATCH(X909,'Device Refrigerant Leakage'!$B$2:$B$42,0))-(INDEX('Device Refrigerant Leakage'!$D$2:$D$42,MATCH(X909,'Device Refrigerant Leakage'!$B$2:$B$42,0)))*DH909*DF909)*DG909/2204.62*DE909)</f>
        <v/>
      </c>
      <c r="DK909" s="146" t="str">
        <f>IF(W909&lt;&gt;"AR","",DI909*(K909-AB909)+'Fuel Sub Calcs-Deemed'!DJ909*((K909-AB909)/INDEX('Device Refrigerant Leakage'!$C$2:$C$42,MATCH('Fuel Sub Calcs-Deemed'!X909,'Device Refrigerant Leakage'!$B$2:$B$42,0))))</f>
        <v/>
      </c>
      <c r="DM909" s="56">
        <v>895</v>
      </c>
      <c r="DN909" s="67" t="e">
        <f t="shared" si="1010"/>
        <v>#N/A</v>
      </c>
      <c r="DO909" s="45" t="e">
        <f t="shared" si="1011"/>
        <v>#N/A</v>
      </c>
      <c r="DP909" s="67" t="e">
        <f t="shared" si="1012"/>
        <v>#N/A</v>
      </c>
      <c r="DQ909" s="45" t="e">
        <f t="shared" si="1013"/>
        <v>#N/A</v>
      </c>
      <c r="DR909" s="69" t="e">
        <f t="shared" si="1014"/>
        <v>#N/A</v>
      </c>
      <c r="DS909" s="34"/>
      <c r="DT909" s="67" t="e">
        <f>((BX909*CJ909)+IF($W909=MAT_AR,(BZ909*CL909),0))*(1+Reference!$E$50+Reference!$E$51)</f>
        <v>#N/A</v>
      </c>
      <c r="DU909" s="67">
        <f>((BY909*CK909)+IF($W909=MAT_AR,(CA909*CM909),0))*(1+Reference!$G$50+Reference!$G$51)</f>
        <v>0</v>
      </c>
      <c r="DV909" s="67" t="e">
        <f t="shared" si="1015"/>
        <v>#VALUE!</v>
      </c>
      <c r="DX909" s="56">
        <v>895</v>
      </c>
      <c r="DY909" s="67">
        <f t="shared" si="1016"/>
        <v>0</v>
      </c>
      <c r="DZ909" s="45" t="e">
        <f>VLOOKUP($R909,Dropdown!$C$3:$D$4,2,FALSE)</f>
        <v>#N/A</v>
      </c>
      <c r="EA909" s="68">
        <f t="shared" si="1017"/>
        <v>0</v>
      </c>
      <c r="EB909" s="68" t="str">
        <f t="shared" si="1018"/>
        <v>N/A</v>
      </c>
      <c r="EC909" s="68">
        <f t="shared" si="1019"/>
        <v>0</v>
      </c>
      <c r="ED909" s="68" t="str">
        <f t="shared" si="1057"/>
        <v>N/A</v>
      </c>
      <c r="EF909" s="56">
        <v>895</v>
      </c>
      <c r="EG909" s="46">
        <f t="shared" si="1020"/>
        <v>0</v>
      </c>
      <c r="EH909" s="68" t="e">
        <f t="shared" si="1021"/>
        <v>#N/A</v>
      </c>
      <c r="EI909" s="68" t="e">
        <f t="shared" si="1022"/>
        <v>#N/A</v>
      </c>
      <c r="EJ909" s="68" t="e">
        <f t="shared" si="1023"/>
        <v>#N/A</v>
      </c>
      <c r="EK909" s="68" t="e">
        <f t="shared" si="1024"/>
        <v>#N/A</v>
      </c>
      <c r="EL909" s="46">
        <f t="shared" si="1025"/>
        <v>0</v>
      </c>
      <c r="EM909" s="46">
        <f t="shared" si="1026"/>
        <v>0</v>
      </c>
    </row>
    <row r="910" spans="1:143">
      <c r="A910" s="89"/>
      <c r="B910" s="89"/>
      <c r="C910" s="89"/>
      <c r="D910" s="89"/>
      <c r="E910" s="89"/>
      <c r="F910" s="89"/>
      <c r="G910" s="34"/>
      <c r="H910" s="56">
        <f t="shared" si="1027"/>
        <v>896</v>
      </c>
      <c r="I910" s="165"/>
      <c r="J910" s="163"/>
      <c r="K910" s="163"/>
      <c r="L910" s="164"/>
      <c r="M910" s="155"/>
      <c r="N910" s="155"/>
      <c r="O910" s="144"/>
      <c r="P910" s="159" t="str">
        <f>IFERROR(IF(O910&lt;&gt;"User Specified",IF(O910&lt;&gt;"", INDEX('Refrigerant GWPs'!$G$2:$G$154,MATCH(O910,'Refrigerant GWPs'!$A$2:$A$154,0)),""),U910),0)</f>
        <v/>
      </c>
      <c r="Q910" s="155"/>
      <c r="R910" s="155"/>
      <c r="S910" s="144"/>
      <c r="T910" s="159" t="str">
        <f>IF(S910&lt;&gt;"User Specified",IF(AND(S910&lt;&gt;"User Specified",S910&lt;&gt;""), INDEX('Refrigerant GWPs'!$G$2:$G$154,MATCH(S910,'Refrigerant GWPs'!$A$2:$A$154,0)),""),V910)</f>
        <v/>
      </c>
      <c r="U910" s="144"/>
      <c r="V910" s="144"/>
      <c r="W910" s="155"/>
      <c r="X910" s="155"/>
      <c r="Y910" s="144"/>
      <c r="Z910" s="159" t="str">
        <f>IF(AND(Y910&lt;&gt;"User Specified",Y910&lt;&gt;""), INDEX('Refrigerant GWPs'!$G$2:$G$154,MATCH(Y910,'Refrigerant GWPs'!$A$2:$A$154,0)),"")</f>
        <v/>
      </c>
      <c r="AA910" s="155"/>
      <c r="AB910" s="156"/>
      <c r="AC910" s="66"/>
      <c r="AD910" s="66"/>
      <c r="AE910" s="66"/>
      <c r="AF910" s="66"/>
      <c r="AG910" s="66"/>
      <c r="AH910" s="66"/>
      <c r="AI910" s="34"/>
      <c r="AJ910" s="88">
        <f t="shared" si="990"/>
        <v>0</v>
      </c>
      <c r="AK910" s="88">
        <f t="shared" si="991"/>
        <v>0</v>
      </c>
      <c r="AL910" s="88">
        <v>0</v>
      </c>
      <c r="AM910" s="88">
        <v>0</v>
      </c>
      <c r="AN910" s="81" t="str">
        <f t="shared" si="1029"/>
        <v/>
      </c>
      <c r="AO910" s="88">
        <f t="shared" si="992"/>
        <v>0</v>
      </c>
      <c r="AP910" s="88">
        <f t="shared" si="993"/>
        <v>0</v>
      </c>
      <c r="AQ910" s="81" t="str">
        <f t="shared" si="994"/>
        <v/>
      </c>
      <c r="AS910" s="41" t="b">
        <f t="shared" si="995"/>
        <v>1</v>
      </c>
      <c r="AT910" s="38">
        <f t="shared" si="996"/>
        <v>0</v>
      </c>
      <c r="AU910" s="60">
        <f t="shared" si="997"/>
        <v>0</v>
      </c>
      <c r="AV910" s="41">
        <f t="shared" si="998"/>
        <v>0</v>
      </c>
      <c r="AW910" s="41" t="b">
        <f t="shared" si="999"/>
        <v>0</v>
      </c>
      <c r="AX910" t="str">
        <f t="shared" si="1000"/>
        <v>+00</v>
      </c>
      <c r="AY910" t="str">
        <f t="shared" si="1001"/>
        <v>+00</v>
      </c>
      <c r="BA910" s="47" t="b">
        <f t="shared" si="1030"/>
        <v>1</v>
      </c>
      <c r="BB910" s="42" t="b">
        <f t="shared" si="1031"/>
        <v>1</v>
      </c>
      <c r="BC910" s="42" t="b">
        <f t="shared" si="1032"/>
        <v>0</v>
      </c>
      <c r="BD910" s="42" t="b">
        <f t="shared" si="1033"/>
        <v>0</v>
      </c>
      <c r="BE910" s="70">
        <f t="shared" si="1034"/>
        <v>0</v>
      </c>
      <c r="BF910" s="70">
        <f t="shared" si="1035"/>
        <v>0</v>
      </c>
      <c r="BG910" s="34"/>
      <c r="BI910" s="47" t="b">
        <f t="shared" si="1036"/>
        <v>1</v>
      </c>
      <c r="BJ910" s="47" t="b">
        <f t="shared" si="1037"/>
        <v>1</v>
      </c>
      <c r="BK910" s="42" t="b">
        <f t="shared" si="1038"/>
        <v>0</v>
      </c>
      <c r="BL910" s="42" t="b">
        <f t="shared" si="1039"/>
        <v>0</v>
      </c>
      <c r="BM910" s="42">
        <f t="shared" si="1040"/>
        <v>0</v>
      </c>
      <c r="BN910" s="42">
        <f t="shared" si="1041"/>
        <v>0</v>
      </c>
      <c r="BP910" t="e">
        <f t="shared" si="1042"/>
        <v>#N/A</v>
      </c>
      <c r="BQ910" t="e">
        <f t="shared" si="1043"/>
        <v>#N/A</v>
      </c>
      <c r="BR910" t="e">
        <f t="shared" si="1044"/>
        <v>#N/A</v>
      </c>
      <c r="BT910" s="60">
        <f t="shared" si="1045"/>
        <v>0</v>
      </c>
      <c r="BU910" s="60">
        <f t="shared" si="1046"/>
        <v>0</v>
      </c>
      <c r="BV910" s="60">
        <f t="shared" si="1047"/>
        <v>0</v>
      </c>
      <c r="BW910" s="60">
        <f t="shared" si="1048"/>
        <v>0</v>
      </c>
      <c r="BX910" s="60">
        <f t="shared" si="1049"/>
        <v>0</v>
      </c>
      <c r="BY910" s="60">
        <f t="shared" si="1050"/>
        <v>0</v>
      </c>
      <c r="BZ910" s="60">
        <f t="shared" si="1051"/>
        <v>0</v>
      </c>
      <c r="CA910" s="60">
        <f t="shared" si="1052"/>
        <v>0</v>
      </c>
      <c r="CB910" s="60" t="e">
        <f t="shared" si="1002"/>
        <v>#N/A</v>
      </c>
      <c r="CC910" s="60">
        <f t="shared" si="1003"/>
        <v>100000</v>
      </c>
      <c r="CD910" s="60" t="e">
        <f t="shared" si="1004"/>
        <v>#N/A</v>
      </c>
      <c r="CE910" s="60">
        <f t="shared" si="1005"/>
        <v>100000</v>
      </c>
      <c r="CF910" s="83" t="e">
        <f t="shared" si="1053"/>
        <v>#N/A</v>
      </c>
      <c r="CG910" s="83">
        <f t="shared" si="1054"/>
        <v>0</v>
      </c>
      <c r="CH910" s="83" t="e">
        <f t="shared" si="1055"/>
        <v>#N/A</v>
      </c>
      <c r="CI910" s="83">
        <f t="shared" si="1056"/>
        <v>0</v>
      </c>
      <c r="CJ910" s="86" t="e">
        <f t="shared" si="1006"/>
        <v>#N/A</v>
      </c>
      <c r="CK910" s="82">
        <f t="shared" si="1007"/>
        <v>5.3070370403969858E-3</v>
      </c>
      <c r="CL910" s="82" t="e">
        <f t="shared" si="1008"/>
        <v>#N/A</v>
      </c>
      <c r="CM910" s="82">
        <f t="shared" si="1009"/>
        <v>5.3070370403969858E-3</v>
      </c>
      <c r="CO910" s="149" t="str">
        <f>IF($I910&lt;&gt;"",IF(O910="User Specified",U910,INDEX('Refrigerant GWPs'!$G$2:$G$156,MATCH(O910,'Refrigerant GWPs'!$A$2:$A$156,0))),"")</f>
        <v/>
      </c>
      <c r="CP910" s="138" t="str">
        <f>IF($I910&lt;&gt;"",INDEX('Device Refrigerant Leakage'!$E$2:$E$42,MATCH($M910,'Device Refrigerant Leakage'!$B$2:$B$42,0)),"")</f>
        <v/>
      </c>
      <c r="CQ910" s="138" t="str">
        <f>IF($I910&lt;&gt;"",INDEX('Device Refrigerant Leakage'!$F$2:$F$42,MATCH($M910,'Device Refrigerant Leakage'!$B$2:$B$42,0)),"")</f>
        <v/>
      </c>
      <c r="CR910" s="145" t="str">
        <f>IF($I910&lt;&gt;"",INDEX('Device Refrigerant Leakage'!$G$2:$G$42,MATCH($M910,'Device Refrigerant Leakage'!$B$2:$B$42,0)),"")</f>
        <v/>
      </c>
      <c r="CS910" s="145" t="str">
        <f>IF($I910&lt;&gt;"",INDEX('Device Refrigerant Leakage'!$D$2:$D$42,MATCH($M910,'Device Refrigerant Leakage'!$B$2:$B$42,0))*CP910/2204.62*CO910,"")</f>
        <v/>
      </c>
      <c r="CT910" s="145" t="str">
        <f>IF($I910&lt;&gt;"",J910*(INDEX('Device Refrigerant Leakage'!$D$2:$D$42,MATCH($M910,'Device Refrigerant Leakage'!$B$2:$B$42,0))-(INDEX('Device Refrigerant Leakage'!$D$2:$D$42,MATCH($M910,'Device Refrigerant Leakage'!$B$2:$B$42,0)))*CR910*CP910)*CQ910/2204.62*CO910,"")</f>
        <v/>
      </c>
      <c r="CU910" s="135" t="str">
        <f>IF($I910&lt;&gt;"",J910*IF(W910&lt;&gt;"AR",(CS910*K910)+CT910,(CS910*AB910)+CT910*(AB910/INDEX('Device Refrigerant Leakage'!$C$2:$C$42,MATCH($M910,'Device Refrigerant Leakage'!$B$2:$B$42,0)))),"")</f>
        <v/>
      </c>
      <c r="CW910" s="135" t="str">
        <f>IF($I910&lt;&gt;"",IF(S910="User Specified",V910,INDEX('Refrigerant GWPs'!$G$2:$G$156,MATCH(S910,'Refrigerant GWPs'!$A$2:$A$157,0))),"")</f>
        <v/>
      </c>
      <c r="CX910" s="138" t="str">
        <f>IF($I910&lt;&gt;"",INDEX('Device Refrigerant Leakage'!$E$2:$E$42,MATCH($Q910,'Device Refrigerant Leakage'!$B$2:$B$42,0)),"")</f>
        <v/>
      </c>
      <c r="CY910" s="138" t="str">
        <f>IF($I910&lt;&gt;"",INDEX('Device Refrigerant Leakage'!$F$2:$F$42,MATCH($Q910,'Device Refrigerant Leakage'!$B$2:$B$42,0)),"")</f>
        <v/>
      </c>
      <c r="CZ910" s="145" t="str">
        <f>IF($I910&lt;&gt;"",INDEX('Device Refrigerant Leakage'!$G$2:$G$42,MATCH($Q910,'Device Refrigerant Leakage'!$B$2:$B$42,0)),"")</f>
        <v/>
      </c>
      <c r="DA910" s="145" t="str">
        <f>IF($I910&lt;&gt;"",J910*INDEX('Device Refrigerant Leakage'!$D$2:$D$42,MATCH($Q910,'Device Refrigerant Leakage'!$B$2:$B$42,0))*CX910/2204.62*CW910,"")</f>
        <v/>
      </c>
      <c r="DB910" s="145" t="str">
        <f>IF($I910&lt;&gt;"",J910*(INDEX('Device Refrigerant Leakage'!$D$2:$D$42,MATCH($Q910,'Device Refrigerant Leakage'!$B$2:$B$42,0))-(INDEX('Device Refrigerant Leakage'!$D$2:$D$42,MATCH($Q910,'Device Refrigerant Leakage'!$B$2:$B$42,0)))*CZ910*CX910)*CY910/2204.62*CW910,"")</f>
        <v/>
      </c>
      <c r="DC910" s="135" t="str">
        <f t="shared" si="1028"/>
        <v/>
      </c>
      <c r="DE910" s="146" t="str">
        <f>IF(W910&lt;&gt;"AR","",IF(Y910="User Specified", AA910, INDEX('Refrigerant GWPs'!$G$2:$G$154,MATCH(Y910,'Refrigerant GWPs'!$A$2:$A$154,0))))</f>
        <v/>
      </c>
      <c r="DF910" s="146" t="str">
        <f>IF(W910&lt;&gt;"AR","",INDEX('Device Refrigerant Leakage'!$E$2:$E$42,MATCH(X910,'Device Refrigerant Leakage'!$B$2:$B$42,0)))</f>
        <v/>
      </c>
      <c r="DG910" s="146" t="str">
        <f>IF(W910&lt;&gt;"AR","",INDEX('Device Refrigerant Leakage'!$F$2:$F$42,MATCH(X910,'Device Refrigerant Leakage'!$B$2:$B$42,0)))</f>
        <v/>
      </c>
      <c r="DH910" s="146" t="str">
        <f>IF(W910&lt;&gt;"AR","",INDEX('Device Refrigerant Leakage'!$G$2:$G$42,MATCH(X910,'Device Refrigerant Leakage'!$B$2:$B$42,0)))</f>
        <v/>
      </c>
      <c r="DI910" s="146" t="str">
        <f>IF(W910&lt;&gt;"AR","",J910*INDEX('Device Refrigerant Leakage'!$D$2:$D$42,MATCH(X910,'Device Refrigerant Leakage'!$B$2:$B$42,0))*DF910/2204.62*DE910)</f>
        <v/>
      </c>
      <c r="DJ910" s="146" t="str">
        <f>IF(W910&lt;&gt;"AR","",J910*(INDEX('Device Refrigerant Leakage'!$D$2:$D$42,MATCH(X910,'Device Refrigerant Leakage'!$B$2:$B$42,0))-(INDEX('Device Refrigerant Leakage'!$D$2:$D$42,MATCH(X910,'Device Refrigerant Leakage'!$B$2:$B$42,0)))*DH910*DF910)*DG910/2204.62*DE910)</f>
        <v/>
      </c>
      <c r="DK910" s="146" t="str">
        <f>IF(W910&lt;&gt;"AR","",DI910*(K910-AB910)+'Fuel Sub Calcs-Deemed'!DJ910*((K910-AB910)/INDEX('Device Refrigerant Leakage'!$C$2:$C$42,MATCH('Fuel Sub Calcs-Deemed'!X910,'Device Refrigerant Leakage'!$B$2:$B$42,0))))</f>
        <v/>
      </c>
      <c r="DM910" s="56">
        <v>896</v>
      </c>
      <c r="DN910" s="67" t="e">
        <f t="shared" si="1010"/>
        <v>#N/A</v>
      </c>
      <c r="DO910" s="45" t="e">
        <f t="shared" si="1011"/>
        <v>#N/A</v>
      </c>
      <c r="DP910" s="67" t="e">
        <f t="shared" si="1012"/>
        <v>#N/A</v>
      </c>
      <c r="DQ910" s="45" t="e">
        <f t="shared" si="1013"/>
        <v>#N/A</v>
      </c>
      <c r="DR910" s="69" t="e">
        <f t="shared" si="1014"/>
        <v>#N/A</v>
      </c>
      <c r="DS910" s="34"/>
      <c r="DT910" s="67" t="e">
        <f>((BX910*CJ910)+IF($W910=MAT_AR,(BZ910*CL910),0))*(1+Reference!$E$50+Reference!$E$51)</f>
        <v>#N/A</v>
      </c>
      <c r="DU910" s="67">
        <f>((BY910*CK910)+IF($W910=MAT_AR,(CA910*CM910),0))*(1+Reference!$G$50+Reference!$G$51)</f>
        <v>0</v>
      </c>
      <c r="DV910" s="67" t="e">
        <f t="shared" si="1015"/>
        <v>#VALUE!</v>
      </c>
      <c r="DX910" s="56">
        <v>896</v>
      </c>
      <c r="DY910" s="67">
        <f t="shared" si="1016"/>
        <v>0</v>
      </c>
      <c r="DZ910" s="45" t="e">
        <f>VLOOKUP($R910,Dropdown!$C$3:$D$4,2,FALSE)</f>
        <v>#N/A</v>
      </c>
      <c r="EA910" s="68">
        <f t="shared" si="1017"/>
        <v>0</v>
      </c>
      <c r="EB910" s="68" t="str">
        <f t="shared" si="1018"/>
        <v>N/A</v>
      </c>
      <c r="EC910" s="68">
        <f t="shared" si="1019"/>
        <v>0</v>
      </c>
      <c r="ED910" s="68" t="str">
        <f t="shared" si="1057"/>
        <v>N/A</v>
      </c>
      <c r="EF910" s="56">
        <v>896</v>
      </c>
      <c r="EG910" s="46">
        <f t="shared" si="1020"/>
        <v>0</v>
      </c>
      <c r="EH910" s="68" t="e">
        <f t="shared" si="1021"/>
        <v>#N/A</v>
      </c>
      <c r="EI910" s="68" t="e">
        <f t="shared" si="1022"/>
        <v>#N/A</v>
      </c>
      <c r="EJ910" s="68" t="e">
        <f t="shared" si="1023"/>
        <v>#N/A</v>
      </c>
      <c r="EK910" s="68" t="e">
        <f t="shared" si="1024"/>
        <v>#N/A</v>
      </c>
      <c r="EL910" s="46">
        <f t="shared" si="1025"/>
        <v>0</v>
      </c>
      <c r="EM910" s="46">
        <f t="shared" si="1026"/>
        <v>0</v>
      </c>
    </row>
    <row r="911" spans="1:143">
      <c r="A911" s="89"/>
      <c r="B911" s="89"/>
      <c r="C911" s="89"/>
      <c r="D911" s="89"/>
      <c r="E911" s="89"/>
      <c r="F911" s="89"/>
      <c r="G911" s="34"/>
      <c r="H911" s="56">
        <f t="shared" si="1027"/>
        <v>897</v>
      </c>
      <c r="I911" s="165"/>
      <c r="J911" s="163"/>
      <c r="K911" s="163"/>
      <c r="L911" s="164"/>
      <c r="M911" s="155"/>
      <c r="N911" s="155"/>
      <c r="O911" s="144"/>
      <c r="P911" s="159" t="str">
        <f>IFERROR(IF(O911&lt;&gt;"User Specified",IF(O911&lt;&gt;"", INDEX('Refrigerant GWPs'!$G$2:$G$154,MATCH(O911,'Refrigerant GWPs'!$A$2:$A$154,0)),""),U911),0)</f>
        <v/>
      </c>
      <c r="Q911" s="155"/>
      <c r="R911" s="155"/>
      <c r="S911" s="144"/>
      <c r="T911" s="159" t="str">
        <f>IF(S911&lt;&gt;"User Specified",IF(AND(S911&lt;&gt;"User Specified",S911&lt;&gt;""), INDEX('Refrigerant GWPs'!$G$2:$G$154,MATCH(S911,'Refrigerant GWPs'!$A$2:$A$154,0)),""),V911)</f>
        <v/>
      </c>
      <c r="U911" s="144"/>
      <c r="V911" s="144"/>
      <c r="W911" s="155"/>
      <c r="X911" s="155"/>
      <c r="Y911" s="144"/>
      <c r="Z911" s="159" t="str">
        <f>IF(AND(Y911&lt;&gt;"User Specified",Y911&lt;&gt;""), INDEX('Refrigerant GWPs'!$G$2:$G$154,MATCH(Y911,'Refrigerant GWPs'!$A$2:$A$154,0)),"")</f>
        <v/>
      </c>
      <c r="AA911" s="155"/>
      <c r="AB911" s="156"/>
      <c r="AC911" s="66"/>
      <c r="AD911" s="66"/>
      <c r="AE911" s="66"/>
      <c r="AF911" s="66"/>
      <c r="AG911" s="66"/>
      <c r="AH911" s="66"/>
      <c r="AI911" s="34"/>
      <c r="AJ911" s="88">
        <f t="shared" ref="AJ911:AJ974" si="1058">IF($W911=MAT_AR,AC911,AF911)</f>
        <v>0</v>
      </c>
      <c r="AK911" s="88">
        <f t="shared" ref="AK911:AK974" si="1059">IF($W911=MAT_AR,AE911,AH911)</f>
        <v>0</v>
      </c>
      <c r="AL911" s="88">
        <v>0</v>
      </c>
      <c r="AM911" s="88">
        <v>0</v>
      </c>
      <c r="AN911" s="81" t="str">
        <f t="shared" si="1029"/>
        <v/>
      </c>
      <c r="AO911" s="88">
        <f t="shared" ref="AO911:AO974" si="1060">IF($W911=MAT_AR,AF911,0)</f>
        <v>0</v>
      </c>
      <c r="AP911" s="88">
        <f t="shared" ref="AP911:AP974" si="1061">IF($W911=MAT_AR,AH911,0)</f>
        <v>0</v>
      </c>
      <c r="AQ911" s="81" t="str">
        <f t="shared" ref="AQ911:AQ974" si="1062">IF(AND(W911=MAT_AR,OR(BK911:BL911)),"Warning: Need to enter baseline and measure consumption","")</f>
        <v/>
      </c>
      <c r="AS911" s="41" t="b">
        <f t="shared" ref="AS911:AS974" si="1063">NOT(W911=MAT_AR)</f>
        <v>1</v>
      </c>
      <c r="AT911" s="38">
        <f t="shared" ref="AT911:AT974" si="1064">IF(W911=MAT_AR,AB911,K911)</f>
        <v>0</v>
      </c>
      <c r="AU911" s="60">
        <f t="shared" ref="AU911:AU974" si="1065">K911-AT911</f>
        <v>0</v>
      </c>
      <c r="AV911" s="41">
        <f t="shared" ref="AV911:AV974" si="1066">IF(W911=MAT_AR,AB911,0)</f>
        <v>0</v>
      </c>
      <c r="AW911" s="41" t="b">
        <f t="shared" ref="AW911:AW974" si="1067">AND(NOT(ISBLANK(I911)),NOT(ISBLANK(J911)),NOT(ISBLANK(K911)),NOT(ISBLANK(L911)),NOT(ISBLANK(N911)),NOT(ISBLANK(R911)),NOT(OR(BC911:BD911)),NOT(ISBLANK(W911)))</f>
        <v>0</v>
      </c>
      <c r="AX911" t="str">
        <f t="shared" ref="AX911:AX974" si="1068">$L911&amp;"+"&amp;TEXT(ROUND($AT911,0),"00")</f>
        <v>+00</v>
      </c>
      <c r="AY911" t="str">
        <f t="shared" ref="AY911:AY974" si="1069">TEXT(ROUND($L911+$AT911,0),"#")&amp;"+"&amp;TEXT(ROUND($AU911,0),"00")</f>
        <v>+00</v>
      </c>
      <c r="BA911" s="47" t="b">
        <f t="shared" si="1030"/>
        <v>1</v>
      </c>
      <c r="BB911" s="42" t="b">
        <f t="shared" si="1031"/>
        <v>1</v>
      </c>
      <c r="BC911" s="42" t="b">
        <f t="shared" si="1032"/>
        <v>0</v>
      </c>
      <c r="BD911" s="42" t="b">
        <f t="shared" si="1033"/>
        <v>0</v>
      </c>
      <c r="BE911" s="70">
        <f t="shared" si="1034"/>
        <v>0</v>
      </c>
      <c r="BF911" s="70">
        <f t="shared" si="1035"/>
        <v>0</v>
      </c>
      <c r="BG911" s="34"/>
      <c r="BI911" s="47" t="b">
        <f t="shared" si="1036"/>
        <v>1</v>
      </c>
      <c r="BJ911" s="47" t="b">
        <f t="shared" si="1037"/>
        <v>1</v>
      </c>
      <c r="BK911" s="42" t="b">
        <f t="shared" si="1038"/>
        <v>0</v>
      </c>
      <c r="BL911" s="42" t="b">
        <f t="shared" si="1039"/>
        <v>0</v>
      </c>
      <c r="BM911" s="42">
        <f t="shared" si="1040"/>
        <v>0</v>
      </c>
      <c r="BN911" s="42">
        <f t="shared" si="1041"/>
        <v>0</v>
      </c>
      <c r="BP911" t="e">
        <f t="shared" si="1042"/>
        <v>#N/A</v>
      </c>
      <c r="BQ911" t="e">
        <f t="shared" si="1043"/>
        <v>#N/A</v>
      </c>
      <c r="BR911" t="e">
        <f t="shared" si="1044"/>
        <v>#N/A</v>
      </c>
      <c r="BT911" s="60">
        <f t="shared" si="1045"/>
        <v>0</v>
      </c>
      <c r="BU911" s="60">
        <f t="shared" si="1046"/>
        <v>0</v>
      </c>
      <c r="BV911" s="60">
        <f t="shared" si="1047"/>
        <v>0</v>
      </c>
      <c r="BW911" s="60">
        <f t="shared" si="1048"/>
        <v>0</v>
      </c>
      <c r="BX911" s="60">
        <f t="shared" si="1049"/>
        <v>0</v>
      </c>
      <c r="BY911" s="60">
        <f t="shared" si="1050"/>
        <v>0</v>
      </c>
      <c r="BZ911" s="60">
        <f t="shared" si="1051"/>
        <v>0</v>
      </c>
      <c r="CA911" s="60">
        <f t="shared" si="1052"/>
        <v>0</v>
      </c>
      <c r="CB911" s="60" t="e">
        <f t="shared" ref="CB911:CB974" si="1070">INDEX(AFL_Source_Energy_Btu_per_kWh,MATCH($AX911,AFL_IndexB,0))</f>
        <v>#N/A</v>
      </c>
      <c r="CC911" s="60">
        <f t="shared" ref="CC911:CC974" si="1071">Btu_therm</f>
        <v>100000</v>
      </c>
      <c r="CD911" s="60" t="e">
        <f t="shared" ref="CD911:CD974" si="1072">INDEX(AFL_Source_Energy_Btu_per_kWh,MATCH($AY911,AFL_IndexB,0))</f>
        <v>#N/A</v>
      </c>
      <c r="CE911" s="60">
        <f t="shared" ref="CE911:CE974" si="1073">Btu_therm</f>
        <v>100000</v>
      </c>
      <c r="CF911" s="83" t="e">
        <f t="shared" si="1053"/>
        <v>#N/A</v>
      </c>
      <c r="CG911" s="83">
        <f t="shared" si="1054"/>
        <v>0</v>
      </c>
      <c r="CH911" s="83" t="e">
        <f t="shared" si="1055"/>
        <v>#N/A</v>
      </c>
      <c r="CI911" s="83">
        <f t="shared" si="1056"/>
        <v>0</v>
      </c>
      <c r="CJ911" s="86" t="e">
        <f t="shared" ref="CJ911:CJ974" si="1074">INDEX(AFL_Emissions_Intensity_metric_tonnes_per_MWh,MATCH($AX911,AFL_IndexB,0))/1000</f>
        <v>#N/A</v>
      </c>
      <c r="CK911" s="82">
        <f t="shared" ref="CK911:CK974" si="1075">NG_metric_tonne_CO2_therm</f>
        <v>5.3070370403969858E-3</v>
      </c>
      <c r="CL911" s="82" t="e">
        <f t="shared" ref="CL911:CL974" si="1076">INDEX(AFL_Emissions_Intensity_metric_tonnes_per_MWh,MATCH($AY911,AFL_IndexB,0))/1000</f>
        <v>#N/A</v>
      </c>
      <c r="CM911" s="82">
        <f t="shared" ref="CM911:CM974" si="1077">NG_metric_tonne_CO2_therm</f>
        <v>5.3070370403969858E-3</v>
      </c>
      <c r="CO911" s="149" t="str">
        <f>IF($I911&lt;&gt;"",IF(O911="User Specified",U911,INDEX('Refrigerant GWPs'!$G$2:$G$156,MATCH(O911,'Refrigerant GWPs'!$A$2:$A$156,0))),"")</f>
        <v/>
      </c>
      <c r="CP911" s="138" t="str">
        <f>IF($I911&lt;&gt;"",INDEX('Device Refrigerant Leakage'!$E$2:$E$42,MATCH($M911,'Device Refrigerant Leakage'!$B$2:$B$42,0)),"")</f>
        <v/>
      </c>
      <c r="CQ911" s="138" t="str">
        <f>IF($I911&lt;&gt;"",INDEX('Device Refrigerant Leakage'!$F$2:$F$42,MATCH($M911,'Device Refrigerant Leakage'!$B$2:$B$42,0)),"")</f>
        <v/>
      </c>
      <c r="CR911" s="145" t="str">
        <f>IF($I911&lt;&gt;"",INDEX('Device Refrigerant Leakage'!$G$2:$G$42,MATCH($M911,'Device Refrigerant Leakage'!$B$2:$B$42,0)),"")</f>
        <v/>
      </c>
      <c r="CS911" s="145" t="str">
        <f>IF($I911&lt;&gt;"",INDEX('Device Refrigerant Leakage'!$D$2:$D$42,MATCH($M911,'Device Refrigerant Leakage'!$B$2:$B$42,0))*CP911/2204.62*CO911,"")</f>
        <v/>
      </c>
      <c r="CT911" s="145" t="str">
        <f>IF($I911&lt;&gt;"",J911*(INDEX('Device Refrigerant Leakage'!$D$2:$D$42,MATCH($M911,'Device Refrigerant Leakage'!$B$2:$B$42,0))-(INDEX('Device Refrigerant Leakage'!$D$2:$D$42,MATCH($M911,'Device Refrigerant Leakage'!$B$2:$B$42,0)))*CR911*CP911)*CQ911/2204.62*CO911,"")</f>
        <v/>
      </c>
      <c r="CU911" s="135" t="str">
        <f>IF($I911&lt;&gt;"",J911*IF(W911&lt;&gt;"AR",(CS911*K911)+CT911,(CS911*AB911)+CT911*(AB911/INDEX('Device Refrigerant Leakage'!$C$2:$C$42,MATCH($M911,'Device Refrigerant Leakage'!$B$2:$B$42,0)))),"")</f>
        <v/>
      </c>
      <c r="CW911" s="135" t="str">
        <f>IF($I911&lt;&gt;"",IF(S911="User Specified",V911,INDEX('Refrigerant GWPs'!$G$2:$G$156,MATCH(S911,'Refrigerant GWPs'!$A$2:$A$157,0))),"")</f>
        <v/>
      </c>
      <c r="CX911" s="138" t="str">
        <f>IF($I911&lt;&gt;"",INDEX('Device Refrigerant Leakage'!$E$2:$E$42,MATCH($Q911,'Device Refrigerant Leakage'!$B$2:$B$42,0)),"")</f>
        <v/>
      </c>
      <c r="CY911" s="138" t="str">
        <f>IF($I911&lt;&gt;"",INDEX('Device Refrigerant Leakage'!$F$2:$F$42,MATCH($Q911,'Device Refrigerant Leakage'!$B$2:$B$42,0)),"")</f>
        <v/>
      </c>
      <c r="CZ911" s="145" t="str">
        <f>IF($I911&lt;&gt;"",INDEX('Device Refrigerant Leakage'!$G$2:$G$42,MATCH($Q911,'Device Refrigerant Leakage'!$B$2:$B$42,0)),"")</f>
        <v/>
      </c>
      <c r="DA911" s="145" t="str">
        <f>IF($I911&lt;&gt;"",J911*INDEX('Device Refrigerant Leakage'!$D$2:$D$42,MATCH($Q911,'Device Refrigerant Leakage'!$B$2:$B$42,0))*CX911/2204.62*CW911,"")</f>
        <v/>
      </c>
      <c r="DB911" s="145" t="str">
        <f>IF($I911&lt;&gt;"",J911*(INDEX('Device Refrigerant Leakage'!$D$2:$D$42,MATCH($Q911,'Device Refrigerant Leakage'!$B$2:$B$42,0))-(INDEX('Device Refrigerant Leakage'!$D$2:$D$42,MATCH($Q911,'Device Refrigerant Leakage'!$B$2:$B$42,0)))*CZ911*CX911)*CY911/2204.62*CW911,"")</f>
        <v/>
      </c>
      <c r="DC911" s="135" t="str">
        <f t="shared" si="1028"/>
        <v/>
      </c>
      <c r="DE911" s="146" t="str">
        <f>IF(W911&lt;&gt;"AR","",IF(Y911="User Specified", AA911, INDEX('Refrigerant GWPs'!$G$2:$G$154,MATCH(Y911,'Refrigerant GWPs'!$A$2:$A$154,0))))</f>
        <v/>
      </c>
      <c r="DF911" s="146" t="str">
        <f>IF(W911&lt;&gt;"AR","",INDEX('Device Refrigerant Leakage'!$E$2:$E$42,MATCH(X911,'Device Refrigerant Leakage'!$B$2:$B$42,0)))</f>
        <v/>
      </c>
      <c r="DG911" s="146" t="str">
        <f>IF(W911&lt;&gt;"AR","",INDEX('Device Refrigerant Leakage'!$F$2:$F$42,MATCH(X911,'Device Refrigerant Leakage'!$B$2:$B$42,0)))</f>
        <v/>
      </c>
      <c r="DH911" s="146" t="str">
        <f>IF(W911&lt;&gt;"AR","",INDEX('Device Refrigerant Leakage'!$G$2:$G$42,MATCH(X911,'Device Refrigerant Leakage'!$B$2:$B$42,0)))</f>
        <v/>
      </c>
      <c r="DI911" s="146" t="str">
        <f>IF(W911&lt;&gt;"AR","",J911*INDEX('Device Refrigerant Leakage'!$D$2:$D$42,MATCH(X911,'Device Refrigerant Leakage'!$B$2:$B$42,0))*DF911/2204.62*DE911)</f>
        <v/>
      </c>
      <c r="DJ911" s="146" t="str">
        <f>IF(W911&lt;&gt;"AR","",J911*(INDEX('Device Refrigerant Leakage'!$D$2:$D$42,MATCH(X911,'Device Refrigerant Leakage'!$B$2:$B$42,0))-(INDEX('Device Refrigerant Leakage'!$D$2:$D$42,MATCH(X911,'Device Refrigerant Leakage'!$B$2:$B$42,0)))*DH911*DF911)*DG911/2204.62*DE911)</f>
        <v/>
      </c>
      <c r="DK911" s="146" t="str">
        <f>IF(W911&lt;&gt;"AR","",DI911*(K911-AB911)+'Fuel Sub Calcs-Deemed'!DJ911*((K911-AB911)/INDEX('Device Refrigerant Leakage'!$C$2:$C$42,MATCH('Fuel Sub Calcs-Deemed'!X911,'Device Refrigerant Leakage'!$B$2:$B$42,0))))</f>
        <v/>
      </c>
      <c r="DM911" s="56">
        <v>897</v>
      </c>
      <c r="DN911" s="67" t="e">
        <f t="shared" ref="DN911:DN974" si="1078">(CB911*BX911+BY911*CE911)/10^6+IF($W911=MAT_AR,(BZ911*CD911+CA911*CE911)/10^6,0)</f>
        <v>#N/A</v>
      </c>
      <c r="DO911" s="45" t="e">
        <f t="shared" ref="DO911:DO974" si="1079">IF(BP911,"PASS","FAIL")</f>
        <v>#N/A</v>
      </c>
      <c r="DP911" s="67" t="e">
        <f t="shared" ref="DP911:DP974" si="1080">(DT911+DU911+DV911)</f>
        <v>#N/A</v>
      </c>
      <c r="DQ911" s="45" t="e">
        <f t="shared" ref="DQ911:DQ974" si="1081">IF(BQ911,"PASS","FAIL")</f>
        <v>#N/A</v>
      </c>
      <c r="DR911" s="69" t="e">
        <f t="shared" ref="DR911:DR974" si="1082">IF(BR911,"Eligible","Not eligible")</f>
        <v>#N/A</v>
      </c>
      <c r="DS911" s="34"/>
      <c r="DT911" s="67" t="e">
        <f>((BX911*CJ911)+IF($W911=MAT_AR,(BZ911*CL911),0))*(1+Reference!$E$50+Reference!$E$51)</f>
        <v>#N/A</v>
      </c>
      <c r="DU911" s="67">
        <f>((BY911*CK911)+IF($W911=MAT_AR,(CA911*CM911),0))*(1+Reference!$G$50+Reference!$G$51)</f>
        <v>0</v>
      </c>
      <c r="DV911" s="67" t="e">
        <f t="shared" ref="DV911:DV974" si="1083">IF(W911="NR",CU911-DC911,(CU911+DK911)-DC911)</f>
        <v>#VALUE!</v>
      </c>
      <c r="DX911" s="56">
        <v>897</v>
      </c>
      <c r="DY911" s="67">
        <f t="shared" ref="DY911:DY974" si="1084">(Btu_per_kWh*BT911+Btu_therm*BU911)/10^6</f>
        <v>0</v>
      </c>
      <c r="DZ911" s="45" t="e">
        <f>VLOOKUP($R911,Dropdown!$C$3:$D$4,2,FALSE)</f>
        <v>#N/A</v>
      </c>
      <c r="EA911" s="68">
        <f t="shared" ref="EA911:EA974" si="1085">IF($R911=fuel_electricity,$DY911*10^6/Btu_per_kWh,0)</f>
        <v>0</v>
      </c>
      <c r="EB911" s="68" t="str">
        <f t="shared" ref="EB911:EB974" si="1086">IF($R911=fuel_natural_gas,$DY911/MMBtu_per_therm,"N/A")</f>
        <v>N/A</v>
      </c>
      <c r="EC911" s="68">
        <f t="shared" ref="EC911:EC974" si="1087">IF($R911=fuel_electricity,"N/A",AJ911)</f>
        <v>0</v>
      </c>
      <c r="ED911" s="68" t="str">
        <f t="shared" si="1057"/>
        <v>N/A</v>
      </c>
      <c r="EF911" s="56">
        <v>897</v>
      </c>
      <c r="EG911" s="46">
        <f t="shared" ref="EG911:EG974" si="1088">J911</f>
        <v>0</v>
      </c>
      <c r="EH911" s="68" t="e">
        <f t="shared" ref="EH911:EH974" si="1089">IF($BR911,BE911,0)</f>
        <v>#N/A</v>
      </c>
      <c r="EI911" s="68" t="e">
        <f t="shared" ref="EI911:EI974" si="1090">IF($BR911,BF911,0)</f>
        <v>#N/A</v>
      </c>
      <c r="EJ911" s="68" t="e">
        <f t="shared" ref="EJ911:EJ974" si="1091">IF($BR911,BM911,0)</f>
        <v>#N/A</v>
      </c>
      <c r="EK911" s="68" t="e">
        <f t="shared" ref="EK911:EK974" si="1092">IF($BR911,BN911,0)</f>
        <v>#N/A</v>
      </c>
      <c r="EL911" s="46">
        <f t="shared" ref="EL911:EL974" si="1093">K911</f>
        <v>0</v>
      </c>
      <c r="EM911" s="46">
        <f t="shared" ref="EM911:EM974" si="1094">AV911</f>
        <v>0</v>
      </c>
    </row>
    <row r="912" spans="1:143">
      <c r="A912" s="89"/>
      <c r="B912" s="89"/>
      <c r="C912" s="89"/>
      <c r="D912" s="89"/>
      <c r="E912" s="89"/>
      <c r="F912" s="89"/>
      <c r="G912" s="34"/>
      <c r="H912" s="56">
        <f t="shared" ref="H912:H975" si="1095">ROW($H912)-ROW($H$14)</f>
        <v>898</v>
      </c>
      <c r="I912" s="165"/>
      <c r="J912" s="163"/>
      <c r="K912" s="163"/>
      <c r="L912" s="164"/>
      <c r="M912" s="155"/>
      <c r="N912" s="155"/>
      <c r="O912" s="144"/>
      <c r="P912" s="159" t="str">
        <f>IFERROR(IF(O912&lt;&gt;"User Specified",IF(O912&lt;&gt;"", INDEX('Refrigerant GWPs'!$G$2:$G$154,MATCH(O912,'Refrigerant GWPs'!$A$2:$A$154,0)),""),U912),0)</f>
        <v/>
      </c>
      <c r="Q912" s="155"/>
      <c r="R912" s="155"/>
      <c r="S912" s="144"/>
      <c r="T912" s="159" t="str">
        <f>IF(S912&lt;&gt;"User Specified",IF(AND(S912&lt;&gt;"User Specified",S912&lt;&gt;""), INDEX('Refrigerant GWPs'!$G$2:$G$154,MATCH(S912,'Refrigerant GWPs'!$A$2:$A$154,0)),""),V912)</f>
        <v/>
      </c>
      <c r="U912" s="144"/>
      <c r="V912" s="144"/>
      <c r="W912" s="155"/>
      <c r="X912" s="155"/>
      <c r="Y912" s="144"/>
      <c r="Z912" s="159" t="str">
        <f>IF(AND(Y912&lt;&gt;"User Specified",Y912&lt;&gt;""), INDEX('Refrigerant GWPs'!$G$2:$G$154,MATCH(Y912,'Refrigerant GWPs'!$A$2:$A$154,0)),"")</f>
        <v/>
      </c>
      <c r="AA912" s="155"/>
      <c r="AB912" s="156"/>
      <c r="AC912" s="66"/>
      <c r="AD912" s="66"/>
      <c r="AE912" s="66"/>
      <c r="AF912" s="66"/>
      <c r="AG912" s="66"/>
      <c r="AH912" s="66"/>
      <c r="AI912" s="34"/>
      <c r="AJ912" s="88">
        <f t="shared" si="1058"/>
        <v>0</v>
      </c>
      <c r="AK912" s="88">
        <f t="shared" si="1059"/>
        <v>0</v>
      </c>
      <c r="AL912" s="88">
        <v>0</v>
      </c>
      <c r="AM912" s="88">
        <v>0</v>
      </c>
      <c r="AN912" s="81" t="str">
        <f t="shared" si="1029"/>
        <v/>
      </c>
      <c r="AO912" s="88">
        <f t="shared" si="1060"/>
        <v>0</v>
      </c>
      <c r="AP912" s="88">
        <f t="shared" si="1061"/>
        <v>0</v>
      </c>
      <c r="AQ912" s="81" t="str">
        <f t="shared" si="1062"/>
        <v/>
      </c>
      <c r="AS912" s="41" t="b">
        <f t="shared" si="1063"/>
        <v>1</v>
      </c>
      <c r="AT912" s="38">
        <f t="shared" si="1064"/>
        <v>0</v>
      </c>
      <c r="AU912" s="60">
        <f t="shared" si="1065"/>
        <v>0</v>
      </c>
      <c r="AV912" s="41">
        <f t="shared" si="1066"/>
        <v>0</v>
      </c>
      <c r="AW912" s="41" t="b">
        <f t="shared" si="1067"/>
        <v>0</v>
      </c>
      <c r="AX912" t="str">
        <f t="shared" si="1068"/>
        <v>+00</v>
      </c>
      <c r="AY912" t="str">
        <f t="shared" si="1069"/>
        <v>+00</v>
      </c>
      <c r="BA912" s="47" t="b">
        <f t="shared" si="1030"/>
        <v>1</v>
      </c>
      <c r="BB912" s="42" t="b">
        <f t="shared" si="1031"/>
        <v>1</v>
      </c>
      <c r="BC912" s="42" t="b">
        <f t="shared" si="1032"/>
        <v>0</v>
      </c>
      <c r="BD912" s="42" t="b">
        <f t="shared" si="1033"/>
        <v>0</v>
      </c>
      <c r="BE912" s="70">
        <f t="shared" si="1034"/>
        <v>0</v>
      </c>
      <c r="BF912" s="70">
        <f t="shared" si="1035"/>
        <v>0</v>
      </c>
      <c r="BG912" s="34"/>
      <c r="BI912" s="47" t="b">
        <f t="shared" si="1036"/>
        <v>1</v>
      </c>
      <c r="BJ912" s="47" t="b">
        <f t="shared" si="1037"/>
        <v>1</v>
      </c>
      <c r="BK912" s="42" t="b">
        <f t="shared" si="1038"/>
        <v>0</v>
      </c>
      <c r="BL912" s="42" t="b">
        <f t="shared" si="1039"/>
        <v>0</v>
      </c>
      <c r="BM912" s="42">
        <f t="shared" si="1040"/>
        <v>0</v>
      </c>
      <c r="BN912" s="42">
        <f t="shared" si="1041"/>
        <v>0</v>
      </c>
      <c r="BP912" t="e">
        <f t="shared" si="1042"/>
        <v>#N/A</v>
      </c>
      <c r="BQ912" t="e">
        <f t="shared" si="1043"/>
        <v>#N/A</v>
      </c>
      <c r="BR912" t="e">
        <f t="shared" si="1044"/>
        <v>#N/A</v>
      </c>
      <c r="BT912" s="60">
        <f t="shared" si="1045"/>
        <v>0</v>
      </c>
      <c r="BU912" s="60">
        <f t="shared" si="1046"/>
        <v>0</v>
      </c>
      <c r="BV912" s="60">
        <f t="shared" si="1047"/>
        <v>0</v>
      </c>
      <c r="BW912" s="60">
        <f t="shared" si="1048"/>
        <v>0</v>
      </c>
      <c r="BX912" s="60">
        <f t="shared" si="1049"/>
        <v>0</v>
      </c>
      <c r="BY912" s="60">
        <f t="shared" si="1050"/>
        <v>0</v>
      </c>
      <c r="BZ912" s="60">
        <f t="shared" si="1051"/>
        <v>0</v>
      </c>
      <c r="CA912" s="60">
        <f t="shared" si="1052"/>
        <v>0</v>
      </c>
      <c r="CB912" s="60" t="e">
        <f t="shared" si="1070"/>
        <v>#N/A</v>
      </c>
      <c r="CC912" s="60">
        <f t="shared" si="1071"/>
        <v>100000</v>
      </c>
      <c r="CD912" s="60" t="e">
        <f t="shared" si="1072"/>
        <v>#N/A</v>
      </c>
      <c r="CE912" s="60">
        <f t="shared" si="1073"/>
        <v>100000</v>
      </c>
      <c r="CF912" s="83" t="e">
        <f t="shared" si="1053"/>
        <v>#N/A</v>
      </c>
      <c r="CG912" s="83">
        <f t="shared" si="1054"/>
        <v>0</v>
      </c>
      <c r="CH912" s="83" t="e">
        <f t="shared" si="1055"/>
        <v>#N/A</v>
      </c>
      <c r="CI912" s="83">
        <f t="shared" si="1056"/>
        <v>0</v>
      </c>
      <c r="CJ912" s="86" t="e">
        <f t="shared" si="1074"/>
        <v>#N/A</v>
      </c>
      <c r="CK912" s="82">
        <f t="shared" si="1075"/>
        <v>5.3070370403969858E-3</v>
      </c>
      <c r="CL912" s="82" t="e">
        <f t="shared" si="1076"/>
        <v>#N/A</v>
      </c>
      <c r="CM912" s="82">
        <f t="shared" si="1077"/>
        <v>5.3070370403969858E-3</v>
      </c>
      <c r="CO912" s="149" t="str">
        <f>IF($I912&lt;&gt;"",IF(O912="User Specified",U912,INDEX('Refrigerant GWPs'!$G$2:$G$156,MATCH(O912,'Refrigerant GWPs'!$A$2:$A$156,0))),"")</f>
        <v/>
      </c>
      <c r="CP912" s="138" t="str">
        <f>IF($I912&lt;&gt;"",INDEX('Device Refrigerant Leakage'!$E$2:$E$42,MATCH($M912,'Device Refrigerant Leakage'!$B$2:$B$42,0)),"")</f>
        <v/>
      </c>
      <c r="CQ912" s="138" t="str">
        <f>IF($I912&lt;&gt;"",INDEX('Device Refrigerant Leakage'!$F$2:$F$42,MATCH($M912,'Device Refrigerant Leakage'!$B$2:$B$42,0)),"")</f>
        <v/>
      </c>
      <c r="CR912" s="145" t="str">
        <f>IF($I912&lt;&gt;"",INDEX('Device Refrigerant Leakage'!$G$2:$G$42,MATCH($M912,'Device Refrigerant Leakage'!$B$2:$B$42,0)),"")</f>
        <v/>
      </c>
      <c r="CS912" s="145" t="str">
        <f>IF($I912&lt;&gt;"",INDEX('Device Refrigerant Leakage'!$D$2:$D$42,MATCH($M912,'Device Refrigerant Leakage'!$B$2:$B$42,0))*CP912/2204.62*CO912,"")</f>
        <v/>
      </c>
      <c r="CT912" s="145" t="str">
        <f>IF($I912&lt;&gt;"",J912*(INDEX('Device Refrigerant Leakage'!$D$2:$D$42,MATCH($M912,'Device Refrigerant Leakage'!$B$2:$B$42,0))-(INDEX('Device Refrigerant Leakage'!$D$2:$D$42,MATCH($M912,'Device Refrigerant Leakage'!$B$2:$B$42,0)))*CR912*CP912)*CQ912/2204.62*CO912,"")</f>
        <v/>
      </c>
      <c r="CU912" s="135" t="str">
        <f>IF($I912&lt;&gt;"",J912*IF(W912&lt;&gt;"AR",(CS912*K912)+CT912,(CS912*AB912)+CT912*(AB912/INDEX('Device Refrigerant Leakage'!$C$2:$C$42,MATCH($M912,'Device Refrigerant Leakage'!$B$2:$B$42,0)))),"")</f>
        <v/>
      </c>
      <c r="CW912" s="135" t="str">
        <f>IF($I912&lt;&gt;"",IF(S912="User Specified",V912,INDEX('Refrigerant GWPs'!$G$2:$G$156,MATCH(S912,'Refrigerant GWPs'!$A$2:$A$157,0))),"")</f>
        <v/>
      </c>
      <c r="CX912" s="138" t="str">
        <f>IF($I912&lt;&gt;"",INDEX('Device Refrigerant Leakage'!$E$2:$E$42,MATCH($Q912,'Device Refrigerant Leakage'!$B$2:$B$42,0)),"")</f>
        <v/>
      </c>
      <c r="CY912" s="138" t="str">
        <f>IF($I912&lt;&gt;"",INDEX('Device Refrigerant Leakage'!$F$2:$F$42,MATCH($Q912,'Device Refrigerant Leakage'!$B$2:$B$42,0)),"")</f>
        <v/>
      </c>
      <c r="CZ912" s="145" t="str">
        <f>IF($I912&lt;&gt;"",INDEX('Device Refrigerant Leakage'!$G$2:$G$42,MATCH($Q912,'Device Refrigerant Leakage'!$B$2:$B$42,0)),"")</f>
        <v/>
      </c>
      <c r="DA912" s="145" t="str">
        <f>IF($I912&lt;&gt;"",J912*INDEX('Device Refrigerant Leakage'!$D$2:$D$42,MATCH($Q912,'Device Refrigerant Leakage'!$B$2:$B$42,0))*CX912/2204.62*CW912,"")</f>
        <v/>
      </c>
      <c r="DB912" s="145" t="str">
        <f>IF($I912&lt;&gt;"",J912*(INDEX('Device Refrigerant Leakage'!$D$2:$D$42,MATCH($Q912,'Device Refrigerant Leakage'!$B$2:$B$42,0))-(INDEX('Device Refrigerant Leakage'!$D$2:$D$42,MATCH($Q912,'Device Refrigerant Leakage'!$B$2:$B$42,0)))*CZ912*CX912)*CY912/2204.62*CW912,"")</f>
        <v/>
      </c>
      <c r="DC912" s="135" t="str">
        <f t="shared" ref="DC912:DC975" si="1096">IF($I912&lt;&gt;"",(DA912*K912)+DB912,"")</f>
        <v/>
      </c>
      <c r="DE912" s="146" t="str">
        <f>IF(W912&lt;&gt;"AR","",IF(Y912="User Specified", AA912, INDEX('Refrigerant GWPs'!$G$2:$G$154,MATCH(Y912,'Refrigerant GWPs'!$A$2:$A$154,0))))</f>
        <v/>
      </c>
      <c r="DF912" s="146" t="str">
        <f>IF(W912&lt;&gt;"AR","",INDEX('Device Refrigerant Leakage'!$E$2:$E$42,MATCH(X912,'Device Refrigerant Leakage'!$B$2:$B$42,0)))</f>
        <v/>
      </c>
      <c r="DG912" s="146" t="str">
        <f>IF(W912&lt;&gt;"AR","",INDEX('Device Refrigerant Leakage'!$F$2:$F$42,MATCH(X912,'Device Refrigerant Leakage'!$B$2:$B$42,0)))</f>
        <v/>
      </c>
      <c r="DH912" s="146" t="str">
        <f>IF(W912&lt;&gt;"AR","",INDEX('Device Refrigerant Leakage'!$G$2:$G$42,MATCH(X912,'Device Refrigerant Leakage'!$B$2:$B$42,0)))</f>
        <v/>
      </c>
      <c r="DI912" s="146" t="str">
        <f>IF(W912&lt;&gt;"AR","",J912*INDEX('Device Refrigerant Leakage'!$D$2:$D$42,MATCH(X912,'Device Refrigerant Leakage'!$B$2:$B$42,0))*DF912/2204.62*DE912)</f>
        <v/>
      </c>
      <c r="DJ912" s="146" t="str">
        <f>IF(W912&lt;&gt;"AR","",J912*(INDEX('Device Refrigerant Leakage'!$D$2:$D$42,MATCH(X912,'Device Refrigerant Leakage'!$B$2:$B$42,0))-(INDEX('Device Refrigerant Leakage'!$D$2:$D$42,MATCH(X912,'Device Refrigerant Leakage'!$B$2:$B$42,0)))*DH912*DF912)*DG912/2204.62*DE912)</f>
        <v/>
      </c>
      <c r="DK912" s="146" t="str">
        <f>IF(W912&lt;&gt;"AR","",DI912*(K912-AB912)+'Fuel Sub Calcs-Deemed'!DJ912*((K912-AB912)/INDEX('Device Refrigerant Leakage'!$C$2:$C$42,MATCH('Fuel Sub Calcs-Deemed'!X912,'Device Refrigerant Leakage'!$B$2:$B$42,0))))</f>
        <v/>
      </c>
      <c r="DM912" s="56">
        <v>898</v>
      </c>
      <c r="DN912" s="67" t="e">
        <f t="shared" si="1078"/>
        <v>#N/A</v>
      </c>
      <c r="DO912" s="45" t="e">
        <f t="shared" si="1079"/>
        <v>#N/A</v>
      </c>
      <c r="DP912" s="67" t="e">
        <f t="shared" si="1080"/>
        <v>#N/A</v>
      </c>
      <c r="DQ912" s="45" t="e">
        <f t="shared" si="1081"/>
        <v>#N/A</v>
      </c>
      <c r="DR912" s="69" t="e">
        <f t="shared" si="1082"/>
        <v>#N/A</v>
      </c>
      <c r="DS912" s="34"/>
      <c r="DT912" s="67" t="e">
        <f>((BX912*CJ912)+IF($W912=MAT_AR,(BZ912*CL912),0))*(1+Reference!$E$50+Reference!$E$51)</f>
        <v>#N/A</v>
      </c>
      <c r="DU912" s="67">
        <f>((BY912*CK912)+IF($W912=MAT_AR,(CA912*CM912),0))*(1+Reference!$G$50+Reference!$G$51)</f>
        <v>0</v>
      </c>
      <c r="DV912" s="67" t="e">
        <f t="shared" si="1083"/>
        <v>#VALUE!</v>
      </c>
      <c r="DX912" s="56">
        <v>898</v>
      </c>
      <c r="DY912" s="67">
        <f t="shared" si="1084"/>
        <v>0</v>
      </c>
      <c r="DZ912" s="45" t="e">
        <f>VLOOKUP($R912,Dropdown!$C$3:$D$4,2,FALSE)</f>
        <v>#N/A</v>
      </c>
      <c r="EA912" s="68">
        <f t="shared" si="1085"/>
        <v>0</v>
      </c>
      <c r="EB912" s="68" t="str">
        <f t="shared" si="1086"/>
        <v>N/A</v>
      </c>
      <c r="EC912" s="68">
        <f t="shared" si="1087"/>
        <v>0</v>
      </c>
      <c r="ED912" s="68" t="str">
        <f t="shared" si="1057"/>
        <v>N/A</v>
      </c>
      <c r="EF912" s="56">
        <v>898</v>
      </c>
      <c r="EG912" s="46">
        <f t="shared" si="1088"/>
        <v>0</v>
      </c>
      <c r="EH912" s="68" t="e">
        <f t="shared" si="1089"/>
        <v>#N/A</v>
      </c>
      <c r="EI912" s="68" t="e">
        <f t="shared" si="1090"/>
        <v>#N/A</v>
      </c>
      <c r="EJ912" s="68" t="e">
        <f t="shared" si="1091"/>
        <v>#N/A</v>
      </c>
      <c r="EK912" s="68" t="e">
        <f t="shared" si="1092"/>
        <v>#N/A</v>
      </c>
      <c r="EL912" s="46">
        <f t="shared" si="1093"/>
        <v>0</v>
      </c>
      <c r="EM912" s="46">
        <f t="shared" si="1094"/>
        <v>0</v>
      </c>
    </row>
    <row r="913" spans="1:143">
      <c r="A913" s="89"/>
      <c r="B913" s="89"/>
      <c r="C913" s="89"/>
      <c r="D913" s="89"/>
      <c r="E913" s="89"/>
      <c r="F913" s="89"/>
      <c r="G913" s="34"/>
      <c r="H913" s="56">
        <f t="shared" si="1095"/>
        <v>899</v>
      </c>
      <c r="I913" s="165"/>
      <c r="J913" s="163"/>
      <c r="K913" s="163"/>
      <c r="L913" s="164"/>
      <c r="M913" s="155"/>
      <c r="N913" s="155"/>
      <c r="O913" s="144"/>
      <c r="P913" s="159" t="str">
        <f>IFERROR(IF(O913&lt;&gt;"User Specified",IF(O913&lt;&gt;"", INDEX('Refrigerant GWPs'!$G$2:$G$154,MATCH(O913,'Refrigerant GWPs'!$A$2:$A$154,0)),""),U913),0)</f>
        <v/>
      </c>
      <c r="Q913" s="155"/>
      <c r="R913" s="155"/>
      <c r="S913" s="144"/>
      <c r="T913" s="159" t="str">
        <f>IF(S913&lt;&gt;"User Specified",IF(AND(S913&lt;&gt;"User Specified",S913&lt;&gt;""), INDEX('Refrigerant GWPs'!$G$2:$G$154,MATCH(S913,'Refrigerant GWPs'!$A$2:$A$154,0)),""),V913)</f>
        <v/>
      </c>
      <c r="U913" s="144"/>
      <c r="V913" s="144"/>
      <c r="W913" s="155"/>
      <c r="X913" s="155"/>
      <c r="Y913" s="144"/>
      <c r="Z913" s="159" t="str">
        <f>IF(AND(Y913&lt;&gt;"User Specified",Y913&lt;&gt;""), INDEX('Refrigerant GWPs'!$G$2:$G$154,MATCH(Y913,'Refrigerant GWPs'!$A$2:$A$154,0)),"")</f>
        <v/>
      </c>
      <c r="AA913" s="155"/>
      <c r="AB913" s="156"/>
      <c r="AC913" s="66"/>
      <c r="AD913" s="66"/>
      <c r="AE913" s="66"/>
      <c r="AF913" s="66"/>
      <c r="AG913" s="66"/>
      <c r="AH913" s="66"/>
      <c r="AI913" s="34"/>
      <c r="AJ913" s="88">
        <f t="shared" si="1058"/>
        <v>0</v>
      </c>
      <c r="AK913" s="88">
        <f t="shared" si="1059"/>
        <v>0</v>
      </c>
      <c r="AL913" s="88">
        <v>0</v>
      </c>
      <c r="AM913" s="88">
        <v>0</v>
      </c>
      <c r="AN913" s="81" t="str">
        <f t="shared" si="1029"/>
        <v/>
      </c>
      <c r="AO913" s="88">
        <f t="shared" si="1060"/>
        <v>0</v>
      </c>
      <c r="AP913" s="88">
        <f t="shared" si="1061"/>
        <v>0</v>
      </c>
      <c r="AQ913" s="81" t="str">
        <f t="shared" si="1062"/>
        <v/>
      </c>
      <c r="AS913" s="41" t="b">
        <f t="shared" si="1063"/>
        <v>1</v>
      </c>
      <c r="AT913" s="38">
        <f t="shared" si="1064"/>
        <v>0</v>
      </c>
      <c r="AU913" s="60">
        <f t="shared" si="1065"/>
        <v>0</v>
      </c>
      <c r="AV913" s="41">
        <f t="shared" si="1066"/>
        <v>0</v>
      </c>
      <c r="AW913" s="41" t="b">
        <f t="shared" si="1067"/>
        <v>0</v>
      </c>
      <c r="AX913" t="str">
        <f t="shared" si="1068"/>
        <v>+00</v>
      </c>
      <c r="AY913" t="str">
        <f t="shared" si="1069"/>
        <v>+00</v>
      </c>
      <c r="BA913" s="47" t="b">
        <f t="shared" si="1030"/>
        <v>1</v>
      </c>
      <c r="BB913" s="42" t="b">
        <f t="shared" si="1031"/>
        <v>1</v>
      </c>
      <c r="BC913" s="42" t="b">
        <f t="shared" si="1032"/>
        <v>0</v>
      </c>
      <c r="BD913" s="42" t="b">
        <f t="shared" si="1033"/>
        <v>0</v>
      </c>
      <c r="BE913" s="70">
        <f t="shared" si="1034"/>
        <v>0</v>
      </c>
      <c r="BF913" s="70">
        <f t="shared" si="1035"/>
        <v>0</v>
      </c>
      <c r="BG913" s="34"/>
      <c r="BI913" s="47" t="b">
        <f t="shared" si="1036"/>
        <v>1</v>
      </c>
      <c r="BJ913" s="47" t="b">
        <f t="shared" si="1037"/>
        <v>1</v>
      </c>
      <c r="BK913" s="42" t="b">
        <f t="shared" si="1038"/>
        <v>0</v>
      </c>
      <c r="BL913" s="42" t="b">
        <f t="shared" si="1039"/>
        <v>0</v>
      </c>
      <c r="BM913" s="42">
        <f t="shared" si="1040"/>
        <v>0</v>
      </c>
      <c r="BN913" s="42">
        <f t="shared" si="1041"/>
        <v>0</v>
      </c>
      <c r="BP913" t="e">
        <f t="shared" si="1042"/>
        <v>#N/A</v>
      </c>
      <c r="BQ913" t="e">
        <f t="shared" si="1043"/>
        <v>#N/A</v>
      </c>
      <c r="BR913" t="e">
        <f t="shared" si="1044"/>
        <v>#N/A</v>
      </c>
      <c r="BT913" s="60">
        <f t="shared" si="1045"/>
        <v>0</v>
      </c>
      <c r="BU913" s="60">
        <f t="shared" si="1046"/>
        <v>0</v>
      </c>
      <c r="BV913" s="60">
        <f t="shared" si="1047"/>
        <v>0</v>
      </c>
      <c r="BW913" s="60">
        <f t="shared" si="1048"/>
        <v>0</v>
      </c>
      <c r="BX913" s="60">
        <f t="shared" si="1049"/>
        <v>0</v>
      </c>
      <c r="BY913" s="60">
        <f t="shared" si="1050"/>
        <v>0</v>
      </c>
      <c r="BZ913" s="60">
        <f t="shared" si="1051"/>
        <v>0</v>
      </c>
      <c r="CA913" s="60">
        <f t="shared" si="1052"/>
        <v>0</v>
      </c>
      <c r="CB913" s="60" t="e">
        <f t="shared" si="1070"/>
        <v>#N/A</v>
      </c>
      <c r="CC913" s="60">
        <f t="shared" si="1071"/>
        <v>100000</v>
      </c>
      <c r="CD913" s="60" t="e">
        <f t="shared" si="1072"/>
        <v>#N/A</v>
      </c>
      <c r="CE913" s="60">
        <f t="shared" si="1073"/>
        <v>100000</v>
      </c>
      <c r="CF913" s="83" t="e">
        <f t="shared" si="1053"/>
        <v>#N/A</v>
      </c>
      <c r="CG913" s="83">
        <f t="shared" si="1054"/>
        <v>0</v>
      </c>
      <c r="CH913" s="83" t="e">
        <f t="shared" si="1055"/>
        <v>#N/A</v>
      </c>
      <c r="CI913" s="83">
        <f t="shared" si="1056"/>
        <v>0</v>
      </c>
      <c r="CJ913" s="86" t="e">
        <f t="shared" si="1074"/>
        <v>#N/A</v>
      </c>
      <c r="CK913" s="82">
        <f t="shared" si="1075"/>
        <v>5.3070370403969858E-3</v>
      </c>
      <c r="CL913" s="82" t="e">
        <f t="shared" si="1076"/>
        <v>#N/A</v>
      </c>
      <c r="CM913" s="82">
        <f t="shared" si="1077"/>
        <v>5.3070370403969858E-3</v>
      </c>
      <c r="CO913" s="149" t="str">
        <f>IF($I913&lt;&gt;"",IF(O913="User Specified",U913,INDEX('Refrigerant GWPs'!$G$2:$G$156,MATCH(O913,'Refrigerant GWPs'!$A$2:$A$156,0))),"")</f>
        <v/>
      </c>
      <c r="CP913" s="138" t="str">
        <f>IF($I913&lt;&gt;"",INDEX('Device Refrigerant Leakage'!$E$2:$E$42,MATCH($M913,'Device Refrigerant Leakage'!$B$2:$B$42,0)),"")</f>
        <v/>
      </c>
      <c r="CQ913" s="138" t="str">
        <f>IF($I913&lt;&gt;"",INDEX('Device Refrigerant Leakage'!$F$2:$F$42,MATCH($M913,'Device Refrigerant Leakage'!$B$2:$B$42,0)),"")</f>
        <v/>
      </c>
      <c r="CR913" s="145" t="str">
        <f>IF($I913&lt;&gt;"",INDEX('Device Refrigerant Leakage'!$G$2:$G$42,MATCH($M913,'Device Refrigerant Leakage'!$B$2:$B$42,0)),"")</f>
        <v/>
      </c>
      <c r="CS913" s="145" t="str">
        <f>IF($I913&lt;&gt;"",INDEX('Device Refrigerant Leakage'!$D$2:$D$42,MATCH($M913,'Device Refrigerant Leakage'!$B$2:$B$42,0))*CP913/2204.62*CO913,"")</f>
        <v/>
      </c>
      <c r="CT913" s="145" t="str">
        <f>IF($I913&lt;&gt;"",J913*(INDEX('Device Refrigerant Leakage'!$D$2:$D$42,MATCH($M913,'Device Refrigerant Leakage'!$B$2:$B$42,0))-(INDEX('Device Refrigerant Leakage'!$D$2:$D$42,MATCH($M913,'Device Refrigerant Leakage'!$B$2:$B$42,0)))*CR913*CP913)*CQ913/2204.62*CO913,"")</f>
        <v/>
      </c>
      <c r="CU913" s="135" t="str">
        <f>IF($I913&lt;&gt;"",J913*IF(W913&lt;&gt;"AR",(CS913*K913)+CT913,(CS913*AB913)+CT913*(AB913/INDEX('Device Refrigerant Leakage'!$C$2:$C$42,MATCH($M913,'Device Refrigerant Leakage'!$B$2:$B$42,0)))),"")</f>
        <v/>
      </c>
      <c r="CW913" s="135" t="str">
        <f>IF($I913&lt;&gt;"",IF(S913="User Specified",V913,INDEX('Refrigerant GWPs'!$G$2:$G$156,MATCH(S913,'Refrigerant GWPs'!$A$2:$A$157,0))),"")</f>
        <v/>
      </c>
      <c r="CX913" s="138" t="str">
        <f>IF($I913&lt;&gt;"",INDEX('Device Refrigerant Leakage'!$E$2:$E$42,MATCH($Q913,'Device Refrigerant Leakage'!$B$2:$B$42,0)),"")</f>
        <v/>
      </c>
      <c r="CY913" s="138" t="str">
        <f>IF($I913&lt;&gt;"",INDEX('Device Refrigerant Leakage'!$F$2:$F$42,MATCH($Q913,'Device Refrigerant Leakage'!$B$2:$B$42,0)),"")</f>
        <v/>
      </c>
      <c r="CZ913" s="145" t="str">
        <f>IF($I913&lt;&gt;"",INDEX('Device Refrigerant Leakage'!$G$2:$G$42,MATCH($Q913,'Device Refrigerant Leakage'!$B$2:$B$42,0)),"")</f>
        <v/>
      </c>
      <c r="DA913" s="145" t="str">
        <f>IF($I913&lt;&gt;"",J913*INDEX('Device Refrigerant Leakage'!$D$2:$D$42,MATCH($Q913,'Device Refrigerant Leakage'!$B$2:$B$42,0))*CX913/2204.62*CW913,"")</f>
        <v/>
      </c>
      <c r="DB913" s="145" t="str">
        <f>IF($I913&lt;&gt;"",J913*(INDEX('Device Refrigerant Leakage'!$D$2:$D$42,MATCH($Q913,'Device Refrigerant Leakage'!$B$2:$B$42,0))-(INDEX('Device Refrigerant Leakage'!$D$2:$D$42,MATCH($Q913,'Device Refrigerant Leakage'!$B$2:$B$42,0)))*CZ913*CX913)*CY913/2204.62*CW913,"")</f>
        <v/>
      </c>
      <c r="DC913" s="135" t="str">
        <f t="shared" si="1096"/>
        <v/>
      </c>
      <c r="DE913" s="146" t="str">
        <f>IF(W913&lt;&gt;"AR","",IF(Y913="User Specified", AA913, INDEX('Refrigerant GWPs'!$G$2:$G$154,MATCH(Y913,'Refrigerant GWPs'!$A$2:$A$154,0))))</f>
        <v/>
      </c>
      <c r="DF913" s="146" t="str">
        <f>IF(W913&lt;&gt;"AR","",INDEX('Device Refrigerant Leakage'!$E$2:$E$42,MATCH(X913,'Device Refrigerant Leakage'!$B$2:$B$42,0)))</f>
        <v/>
      </c>
      <c r="DG913" s="146" t="str">
        <f>IF(W913&lt;&gt;"AR","",INDEX('Device Refrigerant Leakage'!$F$2:$F$42,MATCH(X913,'Device Refrigerant Leakage'!$B$2:$B$42,0)))</f>
        <v/>
      </c>
      <c r="DH913" s="146" t="str">
        <f>IF(W913&lt;&gt;"AR","",INDEX('Device Refrigerant Leakage'!$G$2:$G$42,MATCH(X913,'Device Refrigerant Leakage'!$B$2:$B$42,0)))</f>
        <v/>
      </c>
      <c r="DI913" s="146" t="str">
        <f>IF(W913&lt;&gt;"AR","",J913*INDEX('Device Refrigerant Leakage'!$D$2:$D$42,MATCH(X913,'Device Refrigerant Leakage'!$B$2:$B$42,0))*DF913/2204.62*DE913)</f>
        <v/>
      </c>
      <c r="DJ913" s="146" t="str">
        <f>IF(W913&lt;&gt;"AR","",J913*(INDEX('Device Refrigerant Leakage'!$D$2:$D$42,MATCH(X913,'Device Refrigerant Leakage'!$B$2:$B$42,0))-(INDEX('Device Refrigerant Leakage'!$D$2:$D$42,MATCH(X913,'Device Refrigerant Leakage'!$B$2:$B$42,0)))*DH913*DF913)*DG913/2204.62*DE913)</f>
        <v/>
      </c>
      <c r="DK913" s="146" t="str">
        <f>IF(W913&lt;&gt;"AR","",DI913*(K913-AB913)+'Fuel Sub Calcs-Deemed'!DJ913*((K913-AB913)/INDEX('Device Refrigerant Leakage'!$C$2:$C$42,MATCH('Fuel Sub Calcs-Deemed'!X913,'Device Refrigerant Leakage'!$B$2:$B$42,0))))</f>
        <v/>
      </c>
      <c r="DM913" s="56">
        <v>899</v>
      </c>
      <c r="DN913" s="67" t="e">
        <f t="shared" si="1078"/>
        <v>#N/A</v>
      </c>
      <c r="DO913" s="45" t="e">
        <f t="shared" si="1079"/>
        <v>#N/A</v>
      </c>
      <c r="DP913" s="67" t="e">
        <f t="shared" si="1080"/>
        <v>#N/A</v>
      </c>
      <c r="DQ913" s="45" t="e">
        <f t="shared" si="1081"/>
        <v>#N/A</v>
      </c>
      <c r="DR913" s="69" t="e">
        <f t="shared" si="1082"/>
        <v>#N/A</v>
      </c>
      <c r="DS913" s="34"/>
      <c r="DT913" s="67" t="e">
        <f>((BX913*CJ913)+IF($W913=MAT_AR,(BZ913*CL913),0))*(1+Reference!$E$50+Reference!$E$51)</f>
        <v>#N/A</v>
      </c>
      <c r="DU913" s="67">
        <f>((BY913*CK913)+IF($W913=MAT_AR,(CA913*CM913),0))*(1+Reference!$G$50+Reference!$G$51)</f>
        <v>0</v>
      </c>
      <c r="DV913" s="67" t="e">
        <f t="shared" si="1083"/>
        <v>#VALUE!</v>
      </c>
      <c r="DX913" s="56">
        <v>899</v>
      </c>
      <c r="DY913" s="67">
        <f t="shared" si="1084"/>
        <v>0</v>
      </c>
      <c r="DZ913" s="45" t="e">
        <f>VLOOKUP($R913,Dropdown!$C$3:$D$4,2,FALSE)</f>
        <v>#N/A</v>
      </c>
      <c r="EA913" s="68">
        <f t="shared" si="1085"/>
        <v>0</v>
      </c>
      <c r="EB913" s="68" t="str">
        <f t="shared" si="1086"/>
        <v>N/A</v>
      </c>
      <c r="EC913" s="68">
        <f t="shared" si="1087"/>
        <v>0</v>
      </c>
      <c r="ED913" s="68" t="str">
        <f t="shared" si="1057"/>
        <v>N/A</v>
      </c>
      <c r="EF913" s="56">
        <v>899</v>
      </c>
      <c r="EG913" s="46">
        <f t="shared" si="1088"/>
        <v>0</v>
      </c>
      <c r="EH913" s="68" t="e">
        <f t="shared" si="1089"/>
        <v>#N/A</v>
      </c>
      <c r="EI913" s="68" t="e">
        <f t="shared" si="1090"/>
        <v>#N/A</v>
      </c>
      <c r="EJ913" s="68" t="e">
        <f t="shared" si="1091"/>
        <v>#N/A</v>
      </c>
      <c r="EK913" s="68" t="e">
        <f t="shared" si="1092"/>
        <v>#N/A</v>
      </c>
      <c r="EL913" s="46">
        <f t="shared" si="1093"/>
        <v>0</v>
      </c>
      <c r="EM913" s="46">
        <f t="shared" si="1094"/>
        <v>0</v>
      </c>
    </row>
    <row r="914" spans="1:143">
      <c r="A914" s="89"/>
      <c r="B914" s="89"/>
      <c r="C914" s="89"/>
      <c r="D914" s="89"/>
      <c r="E914" s="89"/>
      <c r="F914" s="89"/>
      <c r="G914" s="34"/>
      <c r="H914" s="56">
        <f t="shared" si="1095"/>
        <v>900</v>
      </c>
      <c r="I914" s="165"/>
      <c r="J914" s="163"/>
      <c r="K914" s="163"/>
      <c r="L914" s="164"/>
      <c r="M914" s="155"/>
      <c r="N914" s="155"/>
      <c r="O914" s="144"/>
      <c r="P914" s="159" t="str">
        <f>IFERROR(IF(O914&lt;&gt;"User Specified",IF(O914&lt;&gt;"", INDEX('Refrigerant GWPs'!$G$2:$G$154,MATCH(O914,'Refrigerant GWPs'!$A$2:$A$154,0)),""),U914),0)</f>
        <v/>
      </c>
      <c r="Q914" s="155"/>
      <c r="R914" s="155"/>
      <c r="S914" s="144"/>
      <c r="T914" s="159" t="str">
        <f>IF(S914&lt;&gt;"User Specified",IF(AND(S914&lt;&gt;"User Specified",S914&lt;&gt;""), INDEX('Refrigerant GWPs'!$G$2:$G$154,MATCH(S914,'Refrigerant GWPs'!$A$2:$A$154,0)),""),V914)</f>
        <v/>
      </c>
      <c r="U914" s="144"/>
      <c r="V914" s="144"/>
      <c r="W914" s="155"/>
      <c r="X914" s="155"/>
      <c r="Y914" s="144"/>
      <c r="Z914" s="159" t="str">
        <f>IF(AND(Y914&lt;&gt;"User Specified",Y914&lt;&gt;""), INDEX('Refrigerant GWPs'!$G$2:$G$154,MATCH(Y914,'Refrigerant GWPs'!$A$2:$A$154,0)),"")</f>
        <v/>
      </c>
      <c r="AA914" s="155"/>
      <c r="AB914" s="156"/>
      <c r="AC914" s="66"/>
      <c r="AD914" s="66"/>
      <c r="AE914" s="66"/>
      <c r="AF914" s="66"/>
      <c r="AG914" s="66"/>
      <c r="AH914" s="66"/>
      <c r="AI914" s="34"/>
      <c r="AJ914" s="88">
        <f t="shared" si="1058"/>
        <v>0</v>
      </c>
      <c r="AK914" s="88">
        <f t="shared" si="1059"/>
        <v>0</v>
      </c>
      <c r="AL914" s="88">
        <v>0</v>
      </c>
      <c r="AM914" s="88">
        <v>0</v>
      </c>
      <c r="AN914" s="81" t="str">
        <f t="shared" si="1029"/>
        <v/>
      </c>
      <c r="AO914" s="88">
        <f t="shared" si="1060"/>
        <v>0</v>
      </c>
      <c r="AP914" s="88">
        <f t="shared" si="1061"/>
        <v>0</v>
      </c>
      <c r="AQ914" s="81" t="str">
        <f t="shared" si="1062"/>
        <v/>
      </c>
      <c r="AS914" s="41" t="b">
        <f t="shared" si="1063"/>
        <v>1</v>
      </c>
      <c r="AT914" s="38">
        <f t="shared" si="1064"/>
        <v>0</v>
      </c>
      <c r="AU914" s="60">
        <f t="shared" si="1065"/>
        <v>0</v>
      </c>
      <c r="AV914" s="41">
        <f t="shared" si="1066"/>
        <v>0</v>
      </c>
      <c r="AW914" s="41" t="b">
        <f t="shared" si="1067"/>
        <v>0</v>
      </c>
      <c r="AX914" t="str">
        <f t="shared" si="1068"/>
        <v>+00</v>
      </c>
      <c r="AY914" t="str">
        <f t="shared" si="1069"/>
        <v>+00</v>
      </c>
      <c r="BA914" s="47" t="b">
        <f t="shared" si="1030"/>
        <v>1</v>
      </c>
      <c r="BB914" s="42" t="b">
        <f t="shared" si="1031"/>
        <v>1</v>
      </c>
      <c r="BC914" s="42" t="b">
        <f t="shared" si="1032"/>
        <v>0</v>
      </c>
      <c r="BD914" s="42" t="b">
        <f t="shared" si="1033"/>
        <v>0</v>
      </c>
      <c r="BE914" s="70">
        <f t="shared" si="1034"/>
        <v>0</v>
      </c>
      <c r="BF914" s="70">
        <f t="shared" si="1035"/>
        <v>0</v>
      </c>
      <c r="BG914" s="34"/>
      <c r="BI914" s="47" t="b">
        <f t="shared" si="1036"/>
        <v>1</v>
      </c>
      <c r="BJ914" s="47" t="b">
        <f t="shared" si="1037"/>
        <v>1</v>
      </c>
      <c r="BK914" s="42" t="b">
        <f t="shared" si="1038"/>
        <v>0</v>
      </c>
      <c r="BL914" s="42" t="b">
        <f t="shared" si="1039"/>
        <v>0</v>
      </c>
      <c r="BM914" s="42">
        <f t="shared" si="1040"/>
        <v>0</v>
      </c>
      <c r="BN914" s="42">
        <f t="shared" si="1041"/>
        <v>0</v>
      </c>
      <c r="BP914" t="e">
        <f t="shared" si="1042"/>
        <v>#N/A</v>
      </c>
      <c r="BQ914" t="e">
        <f t="shared" si="1043"/>
        <v>#N/A</v>
      </c>
      <c r="BR914" t="e">
        <f t="shared" si="1044"/>
        <v>#N/A</v>
      </c>
      <c r="BT914" s="60">
        <f t="shared" si="1045"/>
        <v>0</v>
      </c>
      <c r="BU914" s="60">
        <f t="shared" si="1046"/>
        <v>0</v>
      </c>
      <c r="BV914" s="60">
        <f t="shared" si="1047"/>
        <v>0</v>
      </c>
      <c r="BW914" s="60">
        <f t="shared" si="1048"/>
        <v>0</v>
      </c>
      <c r="BX914" s="60">
        <f t="shared" si="1049"/>
        <v>0</v>
      </c>
      <c r="BY914" s="60">
        <f t="shared" si="1050"/>
        <v>0</v>
      </c>
      <c r="BZ914" s="60">
        <f t="shared" si="1051"/>
        <v>0</v>
      </c>
      <c r="CA914" s="60">
        <f t="shared" si="1052"/>
        <v>0</v>
      </c>
      <c r="CB914" s="60" t="e">
        <f t="shared" si="1070"/>
        <v>#N/A</v>
      </c>
      <c r="CC914" s="60">
        <f t="shared" si="1071"/>
        <v>100000</v>
      </c>
      <c r="CD914" s="60" t="e">
        <f t="shared" si="1072"/>
        <v>#N/A</v>
      </c>
      <c r="CE914" s="60">
        <f t="shared" si="1073"/>
        <v>100000</v>
      </c>
      <c r="CF914" s="83" t="e">
        <f t="shared" si="1053"/>
        <v>#N/A</v>
      </c>
      <c r="CG914" s="83">
        <f t="shared" si="1054"/>
        <v>0</v>
      </c>
      <c r="CH914" s="83" t="e">
        <f t="shared" si="1055"/>
        <v>#N/A</v>
      </c>
      <c r="CI914" s="83">
        <f t="shared" si="1056"/>
        <v>0</v>
      </c>
      <c r="CJ914" s="86" t="e">
        <f t="shared" si="1074"/>
        <v>#N/A</v>
      </c>
      <c r="CK914" s="82">
        <f t="shared" si="1075"/>
        <v>5.3070370403969858E-3</v>
      </c>
      <c r="CL914" s="82" t="e">
        <f t="shared" si="1076"/>
        <v>#N/A</v>
      </c>
      <c r="CM914" s="82">
        <f t="shared" si="1077"/>
        <v>5.3070370403969858E-3</v>
      </c>
      <c r="CO914" s="149" t="str">
        <f>IF($I914&lt;&gt;"",IF(O914="User Specified",U914,INDEX('Refrigerant GWPs'!$G$2:$G$156,MATCH(O914,'Refrigerant GWPs'!$A$2:$A$156,0))),"")</f>
        <v/>
      </c>
      <c r="CP914" s="138" t="str">
        <f>IF($I914&lt;&gt;"",INDEX('Device Refrigerant Leakage'!$E$2:$E$42,MATCH($M914,'Device Refrigerant Leakage'!$B$2:$B$42,0)),"")</f>
        <v/>
      </c>
      <c r="CQ914" s="138" t="str">
        <f>IF($I914&lt;&gt;"",INDEX('Device Refrigerant Leakage'!$F$2:$F$42,MATCH($M914,'Device Refrigerant Leakage'!$B$2:$B$42,0)),"")</f>
        <v/>
      </c>
      <c r="CR914" s="145" t="str">
        <f>IF($I914&lt;&gt;"",INDEX('Device Refrigerant Leakage'!$G$2:$G$42,MATCH($M914,'Device Refrigerant Leakage'!$B$2:$B$42,0)),"")</f>
        <v/>
      </c>
      <c r="CS914" s="145" t="str">
        <f>IF($I914&lt;&gt;"",INDEX('Device Refrigerant Leakage'!$D$2:$D$42,MATCH($M914,'Device Refrigerant Leakage'!$B$2:$B$42,0))*CP914/2204.62*CO914,"")</f>
        <v/>
      </c>
      <c r="CT914" s="145" t="str">
        <f>IF($I914&lt;&gt;"",J914*(INDEX('Device Refrigerant Leakage'!$D$2:$D$42,MATCH($M914,'Device Refrigerant Leakage'!$B$2:$B$42,0))-(INDEX('Device Refrigerant Leakage'!$D$2:$D$42,MATCH($M914,'Device Refrigerant Leakage'!$B$2:$B$42,0)))*CR914*CP914)*CQ914/2204.62*CO914,"")</f>
        <v/>
      </c>
      <c r="CU914" s="135" t="str">
        <f>IF($I914&lt;&gt;"",J914*IF(W914&lt;&gt;"AR",(CS914*K914)+CT914,(CS914*AB914)+CT914*(AB914/INDEX('Device Refrigerant Leakage'!$C$2:$C$42,MATCH($M914,'Device Refrigerant Leakage'!$B$2:$B$42,0)))),"")</f>
        <v/>
      </c>
      <c r="CW914" s="135" t="str">
        <f>IF($I914&lt;&gt;"",IF(S914="User Specified",V914,INDEX('Refrigerant GWPs'!$G$2:$G$156,MATCH(S914,'Refrigerant GWPs'!$A$2:$A$157,0))),"")</f>
        <v/>
      </c>
      <c r="CX914" s="138" t="str">
        <f>IF($I914&lt;&gt;"",INDEX('Device Refrigerant Leakage'!$E$2:$E$42,MATCH($Q914,'Device Refrigerant Leakage'!$B$2:$B$42,0)),"")</f>
        <v/>
      </c>
      <c r="CY914" s="138" t="str">
        <f>IF($I914&lt;&gt;"",INDEX('Device Refrigerant Leakage'!$F$2:$F$42,MATCH($Q914,'Device Refrigerant Leakage'!$B$2:$B$42,0)),"")</f>
        <v/>
      </c>
      <c r="CZ914" s="145" t="str">
        <f>IF($I914&lt;&gt;"",INDEX('Device Refrigerant Leakage'!$G$2:$G$42,MATCH($Q914,'Device Refrigerant Leakage'!$B$2:$B$42,0)),"")</f>
        <v/>
      </c>
      <c r="DA914" s="145" t="str">
        <f>IF($I914&lt;&gt;"",J914*INDEX('Device Refrigerant Leakage'!$D$2:$D$42,MATCH($Q914,'Device Refrigerant Leakage'!$B$2:$B$42,0))*CX914/2204.62*CW914,"")</f>
        <v/>
      </c>
      <c r="DB914" s="145" t="str">
        <f>IF($I914&lt;&gt;"",J914*(INDEX('Device Refrigerant Leakage'!$D$2:$D$42,MATCH($Q914,'Device Refrigerant Leakage'!$B$2:$B$42,0))-(INDEX('Device Refrigerant Leakage'!$D$2:$D$42,MATCH($Q914,'Device Refrigerant Leakage'!$B$2:$B$42,0)))*CZ914*CX914)*CY914/2204.62*CW914,"")</f>
        <v/>
      </c>
      <c r="DC914" s="135" t="str">
        <f t="shared" si="1096"/>
        <v/>
      </c>
      <c r="DE914" s="146" t="str">
        <f>IF(W914&lt;&gt;"AR","",IF(Y914="User Specified", AA914, INDEX('Refrigerant GWPs'!$G$2:$G$154,MATCH(Y914,'Refrigerant GWPs'!$A$2:$A$154,0))))</f>
        <v/>
      </c>
      <c r="DF914" s="146" t="str">
        <f>IF(W914&lt;&gt;"AR","",INDEX('Device Refrigerant Leakage'!$E$2:$E$42,MATCH(X914,'Device Refrigerant Leakage'!$B$2:$B$42,0)))</f>
        <v/>
      </c>
      <c r="DG914" s="146" t="str">
        <f>IF(W914&lt;&gt;"AR","",INDEX('Device Refrigerant Leakage'!$F$2:$F$42,MATCH(X914,'Device Refrigerant Leakage'!$B$2:$B$42,0)))</f>
        <v/>
      </c>
      <c r="DH914" s="146" t="str">
        <f>IF(W914&lt;&gt;"AR","",INDEX('Device Refrigerant Leakage'!$G$2:$G$42,MATCH(X914,'Device Refrigerant Leakage'!$B$2:$B$42,0)))</f>
        <v/>
      </c>
      <c r="DI914" s="146" t="str">
        <f>IF(W914&lt;&gt;"AR","",J914*INDEX('Device Refrigerant Leakage'!$D$2:$D$42,MATCH(X914,'Device Refrigerant Leakage'!$B$2:$B$42,0))*DF914/2204.62*DE914)</f>
        <v/>
      </c>
      <c r="DJ914" s="146" t="str">
        <f>IF(W914&lt;&gt;"AR","",J914*(INDEX('Device Refrigerant Leakage'!$D$2:$D$42,MATCH(X914,'Device Refrigerant Leakage'!$B$2:$B$42,0))-(INDEX('Device Refrigerant Leakage'!$D$2:$D$42,MATCH(X914,'Device Refrigerant Leakage'!$B$2:$B$42,0)))*DH914*DF914)*DG914/2204.62*DE914)</f>
        <v/>
      </c>
      <c r="DK914" s="146" t="str">
        <f>IF(W914&lt;&gt;"AR","",DI914*(K914-AB914)+'Fuel Sub Calcs-Deemed'!DJ914*((K914-AB914)/INDEX('Device Refrigerant Leakage'!$C$2:$C$42,MATCH('Fuel Sub Calcs-Deemed'!X914,'Device Refrigerant Leakage'!$B$2:$B$42,0))))</f>
        <v/>
      </c>
      <c r="DM914" s="56">
        <v>900</v>
      </c>
      <c r="DN914" s="67" t="e">
        <f t="shared" si="1078"/>
        <v>#N/A</v>
      </c>
      <c r="DO914" s="45" t="e">
        <f t="shared" si="1079"/>
        <v>#N/A</v>
      </c>
      <c r="DP914" s="67" t="e">
        <f t="shared" si="1080"/>
        <v>#N/A</v>
      </c>
      <c r="DQ914" s="45" t="e">
        <f t="shared" si="1081"/>
        <v>#N/A</v>
      </c>
      <c r="DR914" s="69" t="e">
        <f t="shared" si="1082"/>
        <v>#N/A</v>
      </c>
      <c r="DS914" s="34"/>
      <c r="DT914" s="67" t="e">
        <f>((BX914*CJ914)+IF($W914=MAT_AR,(BZ914*CL914),0))*(1+Reference!$E$50+Reference!$E$51)</f>
        <v>#N/A</v>
      </c>
      <c r="DU914" s="67">
        <f>((BY914*CK914)+IF($W914=MAT_AR,(CA914*CM914),0))*(1+Reference!$G$50+Reference!$G$51)</f>
        <v>0</v>
      </c>
      <c r="DV914" s="67" t="e">
        <f t="shared" si="1083"/>
        <v>#VALUE!</v>
      </c>
      <c r="DX914" s="56">
        <v>900</v>
      </c>
      <c r="DY914" s="67">
        <f t="shared" si="1084"/>
        <v>0</v>
      </c>
      <c r="DZ914" s="45" t="e">
        <f>VLOOKUP($R914,Dropdown!$C$3:$D$4,2,FALSE)</f>
        <v>#N/A</v>
      </c>
      <c r="EA914" s="68">
        <f t="shared" si="1085"/>
        <v>0</v>
      </c>
      <c r="EB914" s="68" t="str">
        <f t="shared" si="1086"/>
        <v>N/A</v>
      </c>
      <c r="EC914" s="68">
        <f t="shared" si="1087"/>
        <v>0</v>
      </c>
      <c r="ED914" s="68" t="str">
        <f t="shared" si="1057"/>
        <v>N/A</v>
      </c>
      <c r="EF914" s="56">
        <v>900</v>
      </c>
      <c r="EG914" s="46">
        <f t="shared" si="1088"/>
        <v>0</v>
      </c>
      <c r="EH914" s="68" t="e">
        <f t="shared" si="1089"/>
        <v>#N/A</v>
      </c>
      <c r="EI914" s="68" t="e">
        <f t="shared" si="1090"/>
        <v>#N/A</v>
      </c>
      <c r="EJ914" s="68" t="e">
        <f t="shared" si="1091"/>
        <v>#N/A</v>
      </c>
      <c r="EK914" s="68" t="e">
        <f t="shared" si="1092"/>
        <v>#N/A</v>
      </c>
      <c r="EL914" s="46">
        <f t="shared" si="1093"/>
        <v>0</v>
      </c>
      <c r="EM914" s="46">
        <f t="shared" si="1094"/>
        <v>0</v>
      </c>
    </row>
    <row r="915" spans="1:143">
      <c r="A915" s="89"/>
      <c r="B915" s="89"/>
      <c r="C915" s="89"/>
      <c r="D915" s="89"/>
      <c r="E915" s="89"/>
      <c r="F915" s="89"/>
      <c r="G915" s="34"/>
      <c r="H915" s="56">
        <f t="shared" si="1095"/>
        <v>901</v>
      </c>
      <c r="I915" s="165"/>
      <c r="J915" s="163"/>
      <c r="K915" s="163"/>
      <c r="L915" s="164"/>
      <c r="M915" s="155"/>
      <c r="N915" s="155"/>
      <c r="O915" s="144"/>
      <c r="P915" s="159" t="str">
        <f>IFERROR(IF(O915&lt;&gt;"User Specified",IF(O915&lt;&gt;"", INDEX('Refrigerant GWPs'!$G$2:$G$154,MATCH(O915,'Refrigerant GWPs'!$A$2:$A$154,0)),""),U915),0)</f>
        <v/>
      </c>
      <c r="Q915" s="155"/>
      <c r="R915" s="155"/>
      <c r="S915" s="144"/>
      <c r="T915" s="159" t="str">
        <f>IF(S915&lt;&gt;"User Specified",IF(AND(S915&lt;&gt;"User Specified",S915&lt;&gt;""), INDEX('Refrigerant GWPs'!$G$2:$G$154,MATCH(S915,'Refrigerant GWPs'!$A$2:$A$154,0)),""),V915)</f>
        <v/>
      </c>
      <c r="U915" s="144"/>
      <c r="V915" s="144"/>
      <c r="W915" s="155"/>
      <c r="X915" s="155"/>
      <c r="Y915" s="144"/>
      <c r="Z915" s="159" t="str">
        <f>IF(AND(Y915&lt;&gt;"User Specified",Y915&lt;&gt;""), INDEX('Refrigerant GWPs'!$G$2:$G$154,MATCH(Y915,'Refrigerant GWPs'!$A$2:$A$154,0)),"")</f>
        <v/>
      </c>
      <c r="AA915" s="155"/>
      <c r="AB915" s="156"/>
      <c r="AC915" s="66"/>
      <c r="AD915" s="66"/>
      <c r="AE915" s="66"/>
      <c r="AF915" s="66"/>
      <c r="AG915" s="66"/>
      <c r="AH915" s="66"/>
      <c r="AI915" s="34"/>
      <c r="AJ915" s="88">
        <f t="shared" si="1058"/>
        <v>0</v>
      </c>
      <c r="AK915" s="88">
        <f t="shared" si="1059"/>
        <v>0</v>
      </c>
      <c r="AL915" s="88">
        <v>0</v>
      </c>
      <c r="AM915" s="88">
        <v>0</v>
      </c>
      <c r="AN915" s="81" t="str">
        <f t="shared" si="1029"/>
        <v/>
      </c>
      <c r="AO915" s="88">
        <f t="shared" si="1060"/>
        <v>0</v>
      </c>
      <c r="AP915" s="88">
        <f t="shared" si="1061"/>
        <v>0</v>
      </c>
      <c r="AQ915" s="81" t="str">
        <f t="shared" si="1062"/>
        <v/>
      </c>
      <c r="AS915" s="41" t="b">
        <f t="shared" si="1063"/>
        <v>1</v>
      </c>
      <c r="AT915" s="38">
        <f t="shared" si="1064"/>
        <v>0</v>
      </c>
      <c r="AU915" s="60">
        <f t="shared" si="1065"/>
        <v>0</v>
      </c>
      <c r="AV915" s="41">
        <f t="shared" si="1066"/>
        <v>0</v>
      </c>
      <c r="AW915" s="41" t="b">
        <f t="shared" si="1067"/>
        <v>0</v>
      </c>
      <c r="AX915" t="str">
        <f t="shared" si="1068"/>
        <v>+00</v>
      </c>
      <c r="AY915" t="str">
        <f t="shared" si="1069"/>
        <v>+00</v>
      </c>
      <c r="BA915" s="47" t="b">
        <f t="shared" si="1030"/>
        <v>1</v>
      </c>
      <c r="BB915" s="42" t="b">
        <f t="shared" si="1031"/>
        <v>1</v>
      </c>
      <c r="BC915" s="42" t="b">
        <f t="shared" si="1032"/>
        <v>0</v>
      </c>
      <c r="BD915" s="42" t="b">
        <f t="shared" si="1033"/>
        <v>0</v>
      </c>
      <c r="BE915" s="70">
        <f t="shared" si="1034"/>
        <v>0</v>
      </c>
      <c r="BF915" s="70">
        <f t="shared" si="1035"/>
        <v>0</v>
      </c>
      <c r="BG915" s="34"/>
      <c r="BI915" s="47" t="b">
        <f t="shared" si="1036"/>
        <v>1</v>
      </c>
      <c r="BJ915" s="47" t="b">
        <f t="shared" si="1037"/>
        <v>1</v>
      </c>
      <c r="BK915" s="42" t="b">
        <f t="shared" si="1038"/>
        <v>0</v>
      </c>
      <c r="BL915" s="42" t="b">
        <f t="shared" si="1039"/>
        <v>0</v>
      </c>
      <c r="BM915" s="42">
        <f t="shared" si="1040"/>
        <v>0</v>
      </c>
      <c r="BN915" s="42">
        <f t="shared" si="1041"/>
        <v>0</v>
      </c>
      <c r="BP915" t="e">
        <f t="shared" si="1042"/>
        <v>#N/A</v>
      </c>
      <c r="BQ915" t="e">
        <f t="shared" si="1043"/>
        <v>#N/A</v>
      </c>
      <c r="BR915" t="e">
        <f t="shared" si="1044"/>
        <v>#N/A</v>
      </c>
      <c r="BT915" s="60">
        <f t="shared" si="1045"/>
        <v>0</v>
      </c>
      <c r="BU915" s="60">
        <f t="shared" si="1046"/>
        <v>0</v>
      </c>
      <c r="BV915" s="60">
        <f t="shared" si="1047"/>
        <v>0</v>
      </c>
      <c r="BW915" s="60">
        <f t="shared" si="1048"/>
        <v>0</v>
      </c>
      <c r="BX915" s="60">
        <f t="shared" si="1049"/>
        <v>0</v>
      </c>
      <c r="BY915" s="60">
        <f t="shared" si="1050"/>
        <v>0</v>
      </c>
      <c r="BZ915" s="60">
        <f t="shared" si="1051"/>
        <v>0</v>
      </c>
      <c r="CA915" s="60">
        <f t="shared" si="1052"/>
        <v>0</v>
      </c>
      <c r="CB915" s="60" t="e">
        <f t="shared" si="1070"/>
        <v>#N/A</v>
      </c>
      <c r="CC915" s="60">
        <f t="shared" si="1071"/>
        <v>100000</v>
      </c>
      <c r="CD915" s="60" t="e">
        <f t="shared" si="1072"/>
        <v>#N/A</v>
      </c>
      <c r="CE915" s="60">
        <f t="shared" si="1073"/>
        <v>100000</v>
      </c>
      <c r="CF915" s="83" t="e">
        <f t="shared" si="1053"/>
        <v>#N/A</v>
      </c>
      <c r="CG915" s="83">
        <f t="shared" si="1054"/>
        <v>0</v>
      </c>
      <c r="CH915" s="83" t="e">
        <f t="shared" si="1055"/>
        <v>#N/A</v>
      </c>
      <c r="CI915" s="83">
        <f t="shared" si="1056"/>
        <v>0</v>
      </c>
      <c r="CJ915" s="86" t="e">
        <f t="shared" si="1074"/>
        <v>#N/A</v>
      </c>
      <c r="CK915" s="82">
        <f t="shared" si="1075"/>
        <v>5.3070370403969858E-3</v>
      </c>
      <c r="CL915" s="82" t="e">
        <f t="shared" si="1076"/>
        <v>#N/A</v>
      </c>
      <c r="CM915" s="82">
        <f t="shared" si="1077"/>
        <v>5.3070370403969858E-3</v>
      </c>
      <c r="CO915" s="149" t="str">
        <f>IF($I915&lt;&gt;"",IF(O915="User Specified",U915,INDEX('Refrigerant GWPs'!$G$2:$G$156,MATCH(O915,'Refrigerant GWPs'!$A$2:$A$156,0))),"")</f>
        <v/>
      </c>
      <c r="CP915" s="138" t="str">
        <f>IF($I915&lt;&gt;"",INDEX('Device Refrigerant Leakage'!$E$2:$E$42,MATCH($M915,'Device Refrigerant Leakage'!$B$2:$B$42,0)),"")</f>
        <v/>
      </c>
      <c r="CQ915" s="138" t="str">
        <f>IF($I915&lt;&gt;"",INDEX('Device Refrigerant Leakage'!$F$2:$F$42,MATCH($M915,'Device Refrigerant Leakage'!$B$2:$B$42,0)),"")</f>
        <v/>
      </c>
      <c r="CR915" s="145" t="str">
        <f>IF($I915&lt;&gt;"",INDEX('Device Refrigerant Leakage'!$G$2:$G$42,MATCH($M915,'Device Refrigerant Leakage'!$B$2:$B$42,0)),"")</f>
        <v/>
      </c>
      <c r="CS915" s="145" t="str">
        <f>IF($I915&lt;&gt;"",INDEX('Device Refrigerant Leakage'!$D$2:$D$42,MATCH($M915,'Device Refrigerant Leakage'!$B$2:$B$42,0))*CP915/2204.62*CO915,"")</f>
        <v/>
      </c>
      <c r="CT915" s="145" t="str">
        <f>IF($I915&lt;&gt;"",J915*(INDEX('Device Refrigerant Leakage'!$D$2:$D$42,MATCH($M915,'Device Refrigerant Leakage'!$B$2:$B$42,0))-(INDEX('Device Refrigerant Leakage'!$D$2:$D$42,MATCH($M915,'Device Refrigerant Leakage'!$B$2:$B$42,0)))*CR915*CP915)*CQ915/2204.62*CO915,"")</f>
        <v/>
      </c>
      <c r="CU915" s="135" t="str">
        <f>IF($I915&lt;&gt;"",J915*IF(W915&lt;&gt;"AR",(CS915*K915)+CT915,(CS915*AB915)+CT915*(AB915/INDEX('Device Refrigerant Leakage'!$C$2:$C$42,MATCH($M915,'Device Refrigerant Leakage'!$B$2:$B$42,0)))),"")</f>
        <v/>
      </c>
      <c r="CW915" s="135" t="str">
        <f>IF($I915&lt;&gt;"",IF(S915="User Specified",V915,INDEX('Refrigerant GWPs'!$G$2:$G$156,MATCH(S915,'Refrigerant GWPs'!$A$2:$A$157,0))),"")</f>
        <v/>
      </c>
      <c r="CX915" s="138" t="str">
        <f>IF($I915&lt;&gt;"",INDEX('Device Refrigerant Leakage'!$E$2:$E$42,MATCH($Q915,'Device Refrigerant Leakage'!$B$2:$B$42,0)),"")</f>
        <v/>
      </c>
      <c r="CY915" s="138" t="str">
        <f>IF($I915&lt;&gt;"",INDEX('Device Refrigerant Leakage'!$F$2:$F$42,MATCH($Q915,'Device Refrigerant Leakage'!$B$2:$B$42,0)),"")</f>
        <v/>
      </c>
      <c r="CZ915" s="145" t="str">
        <f>IF($I915&lt;&gt;"",INDEX('Device Refrigerant Leakage'!$G$2:$G$42,MATCH($Q915,'Device Refrigerant Leakage'!$B$2:$B$42,0)),"")</f>
        <v/>
      </c>
      <c r="DA915" s="145" t="str">
        <f>IF($I915&lt;&gt;"",J915*INDEX('Device Refrigerant Leakage'!$D$2:$D$42,MATCH($Q915,'Device Refrigerant Leakage'!$B$2:$B$42,0))*CX915/2204.62*CW915,"")</f>
        <v/>
      </c>
      <c r="DB915" s="145" t="str">
        <f>IF($I915&lt;&gt;"",J915*(INDEX('Device Refrigerant Leakage'!$D$2:$D$42,MATCH($Q915,'Device Refrigerant Leakage'!$B$2:$B$42,0))-(INDEX('Device Refrigerant Leakage'!$D$2:$D$42,MATCH($Q915,'Device Refrigerant Leakage'!$B$2:$B$42,0)))*CZ915*CX915)*CY915/2204.62*CW915,"")</f>
        <v/>
      </c>
      <c r="DC915" s="135" t="str">
        <f t="shared" si="1096"/>
        <v/>
      </c>
      <c r="DE915" s="146" t="str">
        <f>IF(W915&lt;&gt;"AR","",IF(Y915="User Specified", AA915, INDEX('Refrigerant GWPs'!$G$2:$G$154,MATCH(Y915,'Refrigerant GWPs'!$A$2:$A$154,0))))</f>
        <v/>
      </c>
      <c r="DF915" s="146" t="str">
        <f>IF(W915&lt;&gt;"AR","",INDEX('Device Refrigerant Leakage'!$E$2:$E$42,MATCH(X915,'Device Refrigerant Leakage'!$B$2:$B$42,0)))</f>
        <v/>
      </c>
      <c r="DG915" s="146" t="str">
        <f>IF(W915&lt;&gt;"AR","",INDEX('Device Refrigerant Leakage'!$F$2:$F$42,MATCH(X915,'Device Refrigerant Leakage'!$B$2:$B$42,0)))</f>
        <v/>
      </c>
      <c r="DH915" s="146" t="str">
        <f>IF(W915&lt;&gt;"AR","",INDEX('Device Refrigerant Leakage'!$G$2:$G$42,MATCH(X915,'Device Refrigerant Leakage'!$B$2:$B$42,0)))</f>
        <v/>
      </c>
      <c r="DI915" s="146" t="str">
        <f>IF(W915&lt;&gt;"AR","",J915*INDEX('Device Refrigerant Leakage'!$D$2:$D$42,MATCH(X915,'Device Refrigerant Leakage'!$B$2:$B$42,0))*DF915/2204.62*DE915)</f>
        <v/>
      </c>
      <c r="DJ915" s="146" t="str">
        <f>IF(W915&lt;&gt;"AR","",J915*(INDEX('Device Refrigerant Leakage'!$D$2:$D$42,MATCH(X915,'Device Refrigerant Leakage'!$B$2:$B$42,0))-(INDEX('Device Refrigerant Leakage'!$D$2:$D$42,MATCH(X915,'Device Refrigerant Leakage'!$B$2:$B$42,0)))*DH915*DF915)*DG915/2204.62*DE915)</f>
        <v/>
      </c>
      <c r="DK915" s="146" t="str">
        <f>IF(W915&lt;&gt;"AR","",DI915*(K915-AB915)+'Fuel Sub Calcs-Deemed'!DJ915*((K915-AB915)/INDEX('Device Refrigerant Leakage'!$C$2:$C$42,MATCH('Fuel Sub Calcs-Deemed'!X915,'Device Refrigerant Leakage'!$B$2:$B$42,0))))</f>
        <v/>
      </c>
      <c r="DM915" s="56">
        <v>901</v>
      </c>
      <c r="DN915" s="67" t="e">
        <f t="shared" si="1078"/>
        <v>#N/A</v>
      </c>
      <c r="DO915" s="45" t="e">
        <f t="shared" si="1079"/>
        <v>#N/A</v>
      </c>
      <c r="DP915" s="67" t="e">
        <f t="shared" si="1080"/>
        <v>#N/A</v>
      </c>
      <c r="DQ915" s="45" t="e">
        <f t="shared" si="1081"/>
        <v>#N/A</v>
      </c>
      <c r="DR915" s="69" t="e">
        <f t="shared" si="1082"/>
        <v>#N/A</v>
      </c>
      <c r="DS915" s="34"/>
      <c r="DT915" s="67" t="e">
        <f>((BX915*CJ915)+IF($W915=MAT_AR,(BZ915*CL915),0))*(1+Reference!$E$50+Reference!$E$51)</f>
        <v>#N/A</v>
      </c>
      <c r="DU915" s="67">
        <f>((BY915*CK915)+IF($W915=MAT_AR,(CA915*CM915),0))*(1+Reference!$G$50+Reference!$G$51)</f>
        <v>0</v>
      </c>
      <c r="DV915" s="67" t="e">
        <f t="shared" si="1083"/>
        <v>#VALUE!</v>
      </c>
      <c r="DX915" s="56">
        <v>901</v>
      </c>
      <c r="DY915" s="67">
        <f t="shared" si="1084"/>
        <v>0</v>
      </c>
      <c r="DZ915" s="45" t="e">
        <f>VLOOKUP($R915,Dropdown!$C$3:$D$4,2,FALSE)</f>
        <v>#N/A</v>
      </c>
      <c r="EA915" s="68">
        <f t="shared" si="1085"/>
        <v>0</v>
      </c>
      <c r="EB915" s="68" t="str">
        <f t="shared" si="1086"/>
        <v>N/A</v>
      </c>
      <c r="EC915" s="68">
        <f t="shared" si="1087"/>
        <v>0</v>
      </c>
      <c r="ED915" s="68" t="str">
        <f t="shared" si="1057"/>
        <v>N/A</v>
      </c>
      <c r="EF915" s="56">
        <v>901</v>
      </c>
      <c r="EG915" s="46">
        <f t="shared" si="1088"/>
        <v>0</v>
      </c>
      <c r="EH915" s="68" t="e">
        <f t="shared" si="1089"/>
        <v>#N/A</v>
      </c>
      <c r="EI915" s="68" t="e">
        <f t="shared" si="1090"/>
        <v>#N/A</v>
      </c>
      <c r="EJ915" s="68" t="e">
        <f t="shared" si="1091"/>
        <v>#N/A</v>
      </c>
      <c r="EK915" s="68" t="e">
        <f t="shared" si="1092"/>
        <v>#N/A</v>
      </c>
      <c r="EL915" s="46">
        <f t="shared" si="1093"/>
        <v>0</v>
      </c>
      <c r="EM915" s="46">
        <f t="shared" si="1094"/>
        <v>0</v>
      </c>
    </row>
    <row r="916" spans="1:143">
      <c r="A916" s="89"/>
      <c r="B916" s="89"/>
      <c r="C916" s="89"/>
      <c r="D916" s="89"/>
      <c r="E916" s="89"/>
      <c r="F916" s="89"/>
      <c r="G916" s="34"/>
      <c r="H916" s="56">
        <f t="shared" si="1095"/>
        <v>902</v>
      </c>
      <c r="I916" s="165"/>
      <c r="J916" s="163"/>
      <c r="K916" s="163"/>
      <c r="L916" s="164"/>
      <c r="M916" s="155"/>
      <c r="N916" s="155"/>
      <c r="O916" s="144"/>
      <c r="P916" s="159" t="str">
        <f>IFERROR(IF(O916&lt;&gt;"User Specified",IF(O916&lt;&gt;"", INDEX('Refrigerant GWPs'!$G$2:$G$154,MATCH(O916,'Refrigerant GWPs'!$A$2:$A$154,0)),""),U916),0)</f>
        <v/>
      </c>
      <c r="Q916" s="155"/>
      <c r="R916" s="155"/>
      <c r="S916" s="144"/>
      <c r="T916" s="159" t="str">
        <f>IF(S916&lt;&gt;"User Specified",IF(AND(S916&lt;&gt;"User Specified",S916&lt;&gt;""), INDEX('Refrigerant GWPs'!$G$2:$G$154,MATCH(S916,'Refrigerant GWPs'!$A$2:$A$154,0)),""),V916)</f>
        <v/>
      </c>
      <c r="U916" s="144"/>
      <c r="V916" s="144"/>
      <c r="W916" s="155"/>
      <c r="X916" s="155"/>
      <c r="Y916" s="144"/>
      <c r="Z916" s="159" t="str">
        <f>IF(AND(Y916&lt;&gt;"User Specified",Y916&lt;&gt;""), INDEX('Refrigerant GWPs'!$G$2:$G$154,MATCH(Y916,'Refrigerant GWPs'!$A$2:$A$154,0)),"")</f>
        <v/>
      </c>
      <c r="AA916" s="155"/>
      <c r="AB916" s="156"/>
      <c r="AC916" s="66"/>
      <c r="AD916" s="66"/>
      <c r="AE916" s="66"/>
      <c r="AF916" s="66"/>
      <c r="AG916" s="66"/>
      <c r="AH916" s="66"/>
      <c r="AI916" s="34"/>
      <c r="AJ916" s="88">
        <f t="shared" si="1058"/>
        <v>0</v>
      </c>
      <c r="AK916" s="88">
        <f t="shared" si="1059"/>
        <v>0</v>
      </c>
      <c r="AL916" s="88">
        <v>0</v>
      </c>
      <c r="AM916" s="88">
        <v>0</v>
      </c>
      <c r="AN916" s="81" t="str">
        <f t="shared" si="1029"/>
        <v/>
      </c>
      <c r="AO916" s="88">
        <f t="shared" si="1060"/>
        <v>0</v>
      </c>
      <c r="AP916" s="88">
        <f t="shared" si="1061"/>
        <v>0</v>
      </c>
      <c r="AQ916" s="81" t="str">
        <f t="shared" si="1062"/>
        <v/>
      </c>
      <c r="AS916" s="41" t="b">
        <f t="shared" si="1063"/>
        <v>1</v>
      </c>
      <c r="AT916" s="38">
        <f t="shared" si="1064"/>
        <v>0</v>
      </c>
      <c r="AU916" s="60">
        <f t="shared" si="1065"/>
        <v>0</v>
      </c>
      <c r="AV916" s="41">
        <f t="shared" si="1066"/>
        <v>0</v>
      </c>
      <c r="AW916" s="41" t="b">
        <f t="shared" si="1067"/>
        <v>0</v>
      </c>
      <c r="AX916" t="str">
        <f t="shared" si="1068"/>
        <v>+00</v>
      </c>
      <c r="AY916" t="str">
        <f t="shared" si="1069"/>
        <v>+00</v>
      </c>
      <c r="BA916" s="47" t="b">
        <f t="shared" si="1030"/>
        <v>1</v>
      </c>
      <c r="BB916" s="42" t="b">
        <f t="shared" si="1031"/>
        <v>1</v>
      </c>
      <c r="BC916" s="42" t="b">
        <f t="shared" si="1032"/>
        <v>0</v>
      </c>
      <c r="BD916" s="42" t="b">
        <f t="shared" si="1033"/>
        <v>0</v>
      </c>
      <c r="BE916" s="70">
        <f t="shared" si="1034"/>
        <v>0</v>
      </c>
      <c r="BF916" s="70">
        <f t="shared" si="1035"/>
        <v>0</v>
      </c>
      <c r="BG916" s="34"/>
      <c r="BI916" s="47" t="b">
        <f t="shared" si="1036"/>
        <v>1</v>
      </c>
      <c r="BJ916" s="47" t="b">
        <f t="shared" si="1037"/>
        <v>1</v>
      </c>
      <c r="BK916" s="42" t="b">
        <f t="shared" si="1038"/>
        <v>0</v>
      </c>
      <c r="BL916" s="42" t="b">
        <f t="shared" si="1039"/>
        <v>0</v>
      </c>
      <c r="BM916" s="42">
        <f t="shared" si="1040"/>
        <v>0</v>
      </c>
      <c r="BN916" s="42">
        <f t="shared" si="1041"/>
        <v>0</v>
      </c>
      <c r="BP916" t="e">
        <f t="shared" si="1042"/>
        <v>#N/A</v>
      </c>
      <c r="BQ916" t="e">
        <f t="shared" si="1043"/>
        <v>#N/A</v>
      </c>
      <c r="BR916" t="e">
        <f t="shared" si="1044"/>
        <v>#N/A</v>
      </c>
      <c r="BT916" s="60">
        <f t="shared" si="1045"/>
        <v>0</v>
      </c>
      <c r="BU916" s="60">
        <f t="shared" si="1046"/>
        <v>0</v>
      </c>
      <c r="BV916" s="60">
        <f t="shared" si="1047"/>
        <v>0</v>
      </c>
      <c r="BW916" s="60">
        <f t="shared" si="1048"/>
        <v>0</v>
      </c>
      <c r="BX916" s="60">
        <f t="shared" si="1049"/>
        <v>0</v>
      </c>
      <c r="BY916" s="60">
        <f t="shared" si="1050"/>
        <v>0</v>
      </c>
      <c r="BZ916" s="60">
        <f t="shared" si="1051"/>
        <v>0</v>
      </c>
      <c r="CA916" s="60">
        <f t="shared" si="1052"/>
        <v>0</v>
      </c>
      <c r="CB916" s="60" t="e">
        <f t="shared" si="1070"/>
        <v>#N/A</v>
      </c>
      <c r="CC916" s="60">
        <f t="shared" si="1071"/>
        <v>100000</v>
      </c>
      <c r="CD916" s="60" t="e">
        <f t="shared" si="1072"/>
        <v>#N/A</v>
      </c>
      <c r="CE916" s="60">
        <f t="shared" si="1073"/>
        <v>100000</v>
      </c>
      <c r="CF916" s="83" t="e">
        <f t="shared" si="1053"/>
        <v>#N/A</v>
      </c>
      <c r="CG916" s="83">
        <f t="shared" si="1054"/>
        <v>0</v>
      </c>
      <c r="CH916" s="83" t="e">
        <f t="shared" si="1055"/>
        <v>#N/A</v>
      </c>
      <c r="CI916" s="83">
        <f t="shared" si="1056"/>
        <v>0</v>
      </c>
      <c r="CJ916" s="86" t="e">
        <f t="shared" si="1074"/>
        <v>#N/A</v>
      </c>
      <c r="CK916" s="82">
        <f t="shared" si="1075"/>
        <v>5.3070370403969858E-3</v>
      </c>
      <c r="CL916" s="82" t="e">
        <f t="shared" si="1076"/>
        <v>#N/A</v>
      </c>
      <c r="CM916" s="82">
        <f t="shared" si="1077"/>
        <v>5.3070370403969858E-3</v>
      </c>
      <c r="CO916" s="149" t="str">
        <f>IF($I916&lt;&gt;"",IF(O916="User Specified",U916,INDEX('Refrigerant GWPs'!$G$2:$G$156,MATCH(O916,'Refrigerant GWPs'!$A$2:$A$156,0))),"")</f>
        <v/>
      </c>
      <c r="CP916" s="138" t="str">
        <f>IF($I916&lt;&gt;"",INDEX('Device Refrigerant Leakage'!$E$2:$E$42,MATCH($M916,'Device Refrigerant Leakage'!$B$2:$B$42,0)),"")</f>
        <v/>
      </c>
      <c r="CQ916" s="138" t="str">
        <f>IF($I916&lt;&gt;"",INDEX('Device Refrigerant Leakage'!$F$2:$F$42,MATCH($M916,'Device Refrigerant Leakage'!$B$2:$B$42,0)),"")</f>
        <v/>
      </c>
      <c r="CR916" s="145" t="str">
        <f>IF($I916&lt;&gt;"",INDEX('Device Refrigerant Leakage'!$G$2:$G$42,MATCH($M916,'Device Refrigerant Leakage'!$B$2:$B$42,0)),"")</f>
        <v/>
      </c>
      <c r="CS916" s="145" t="str">
        <f>IF($I916&lt;&gt;"",INDEX('Device Refrigerant Leakage'!$D$2:$D$42,MATCH($M916,'Device Refrigerant Leakage'!$B$2:$B$42,0))*CP916/2204.62*CO916,"")</f>
        <v/>
      </c>
      <c r="CT916" s="145" t="str">
        <f>IF($I916&lt;&gt;"",J916*(INDEX('Device Refrigerant Leakage'!$D$2:$D$42,MATCH($M916,'Device Refrigerant Leakage'!$B$2:$B$42,0))-(INDEX('Device Refrigerant Leakage'!$D$2:$D$42,MATCH($M916,'Device Refrigerant Leakage'!$B$2:$B$42,0)))*CR916*CP916)*CQ916/2204.62*CO916,"")</f>
        <v/>
      </c>
      <c r="CU916" s="135" t="str">
        <f>IF($I916&lt;&gt;"",J916*IF(W916&lt;&gt;"AR",(CS916*K916)+CT916,(CS916*AB916)+CT916*(AB916/INDEX('Device Refrigerant Leakage'!$C$2:$C$42,MATCH($M916,'Device Refrigerant Leakage'!$B$2:$B$42,0)))),"")</f>
        <v/>
      </c>
      <c r="CW916" s="135" t="str">
        <f>IF($I916&lt;&gt;"",IF(S916="User Specified",V916,INDEX('Refrigerant GWPs'!$G$2:$G$156,MATCH(S916,'Refrigerant GWPs'!$A$2:$A$157,0))),"")</f>
        <v/>
      </c>
      <c r="CX916" s="138" t="str">
        <f>IF($I916&lt;&gt;"",INDEX('Device Refrigerant Leakage'!$E$2:$E$42,MATCH($Q916,'Device Refrigerant Leakage'!$B$2:$B$42,0)),"")</f>
        <v/>
      </c>
      <c r="CY916" s="138" t="str">
        <f>IF($I916&lt;&gt;"",INDEX('Device Refrigerant Leakage'!$F$2:$F$42,MATCH($Q916,'Device Refrigerant Leakage'!$B$2:$B$42,0)),"")</f>
        <v/>
      </c>
      <c r="CZ916" s="145" t="str">
        <f>IF($I916&lt;&gt;"",INDEX('Device Refrigerant Leakage'!$G$2:$G$42,MATCH($Q916,'Device Refrigerant Leakage'!$B$2:$B$42,0)),"")</f>
        <v/>
      </c>
      <c r="DA916" s="145" t="str">
        <f>IF($I916&lt;&gt;"",J916*INDEX('Device Refrigerant Leakage'!$D$2:$D$42,MATCH($Q916,'Device Refrigerant Leakage'!$B$2:$B$42,0))*CX916/2204.62*CW916,"")</f>
        <v/>
      </c>
      <c r="DB916" s="145" t="str">
        <f>IF($I916&lt;&gt;"",J916*(INDEX('Device Refrigerant Leakage'!$D$2:$D$42,MATCH($Q916,'Device Refrigerant Leakage'!$B$2:$B$42,0))-(INDEX('Device Refrigerant Leakage'!$D$2:$D$42,MATCH($Q916,'Device Refrigerant Leakage'!$B$2:$B$42,0)))*CZ916*CX916)*CY916/2204.62*CW916,"")</f>
        <v/>
      </c>
      <c r="DC916" s="135" t="str">
        <f t="shared" si="1096"/>
        <v/>
      </c>
      <c r="DE916" s="146" t="str">
        <f>IF(W916&lt;&gt;"AR","",IF(Y916="User Specified", AA916, INDEX('Refrigerant GWPs'!$G$2:$G$154,MATCH(Y916,'Refrigerant GWPs'!$A$2:$A$154,0))))</f>
        <v/>
      </c>
      <c r="DF916" s="146" t="str">
        <f>IF(W916&lt;&gt;"AR","",INDEX('Device Refrigerant Leakage'!$E$2:$E$42,MATCH(X916,'Device Refrigerant Leakage'!$B$2:$B$42,0)))</f>
        <v/>
      </c>
      <c r="DG916" s="146" t="str">
        <f>IF(W916&lt;&gt;"AR","",INDEX('Device Refrigerant Leakage'!$F$2:$F$42,MATCH(X916,'Device Refrigerant Leakage'!$B$2:$B$42,0)))</f>
        <v/>
      </c>
      <c r="DH916" s="146" t="str">
        <f>IF(W916&lt;&gt;"AR","",INDEX('Device Refrigerant Leakage'!$G$2:$G$42,MATCH(X916,'Device Refrigerant Leakage'!$B$2:$B$42,0)))</f>
        <v/>
      </c>
      <c r="DI916" s="146" t="str">
        <f>IF(W916&lt;&gt;"AR","",J916*INDEX('Device Refrigerant Leakage'!$D$2:$D$42,MATCH(X916,'Device Refrigerant Leakage'!$B$2:$B$42,0))*DF916/2204.62*DE916)</f>
        <v/>
      </c>
      <c r="DJ916" s="146" t="str">
        <f>IF(W916&lt;&gt;"AR","",J916*(INDEX('Device Refrigerant Leakage'!$D$2:$D$42,MATCH(X916,'Device Refrigerant Leakage'!$B$2:$B$42,0))-(INDEX('Device Refrigerant Leakage'!$D$2:$D$42,MATCH(X916,'Device Refrigerant Leakage'!$B$2:$B$42,0)))*DH916*DF916)*DG916/2204.62*DE916)</f>
        <v/>
      </c>
      <c r="DK916" s="146" t="str">
        <f>IF(W916&lt;&gt;"AR","",DI916*(K916-AB916)+'Fuel Sub Calcs-Deemed'!DJ916*((K916-AB916)/INDEX('Device Refrigerant Leakage'!$C$2:$C$42,MATCH('Fuel Sub Calcs-Deemed'!X916,'Device Refrigerant Leakage'!$B$2:$B$42,0))))</f>
        <v/>
      </c>
      <c r="DM916" s="56">
        <v>902</v>
      </c>
      <c r="DN916" s="67" t="e">
        <f t="shared" si="1078"/>
        <v>#N/A</v>
      </c>
      <c r="DO916" s="45" t="e">
        <f t="shared" si="1079"/>
        <v>#N/A</v>
      </c>
      <c r="DP916" s="67" t="e">
        <f t="shared" si="1080"/>
        <v>#N/A</v>
      </c>
      <c r="DQ916" s="45" t="e">
        <f t="shared" si="1081"/>
        <v>#N/A</v>
      </c>
      <c r="DR916" s="69" t="e">
        <f t="shared" si="1082"/>
        <v>#N/A</v>
      </c>
      <c r="DS916" s="34"/>
      <c r="DT916" s="67" t="e">
        <f>((BX916*CJ916)+IF($W916=MAT_AR,(BZ916*CL916),0))*(1+Reference!$E$50+Reference!$E$51)</f>
        <v>#N/A</v>
      </c>
      <c r="DU916" s="67">
        <f>((BY916*CK916)+IF($W916=MAT_AR,(CA916*CM916),0))*(1+Reference!$G$50+Reference!$G$51)</f>
        <v>0</v>
      </c>
      <c r="DV916" s="67" t="e">
        <f t="shared" si="1083"/>
        <v>#VALUE!</v>
      </c>
      <c r="DX916" s="56">
        <v>902</v>
      </c>
      <c r="DY916" s="67">
        <f t="shared" si="1084"/>
        <v>0</v>
      </c>
      <c r="DZ916" s="45" t="e">
        <f>VLOOKUP($R916,Dropdown!$C$3:$D$4,2,FALSE)</f>
        <v>#N/A</v>
      </c>
      <c r="EA916" s="68">
        <f t="shared" si="1085"/>
        <v>0</v>
      </c>
      <c r="EB916" s="68" t="str">
        <f t="shared" si="1086"/>
        <v>N/A</v>
      </c>
      <c r="EC916" s="68">
        <f t="shared" si="1087"/>
        <v>0</v>
      </c>
      <c r="ED916" s="68" t="str">
        <f t="shared" si="1057"/>
        <v>N/A</v>
      </c>
      <c r="EF916" s="56">
        <v>902</v>
      </c>
      <c r="EG916" s="46">
        <f t="shared" si="1088"/>
        <v>0</v>
      </c>
      <c r="EH916" s="68" t="e">
        <f t="shared" si="1089"/>
        <v>#N/A</v>
      </c>
      <c r="EI916" s="68" t="e">
        <f t="shared" si="1090"/>
        <v>#N/A</v>
      </c>
      <c r="EJ916" s="68" t="e">
        <f t="shared" si="1091"/>
        <v>#N/A</v>
      </c>
      <c r="EK916" s="68" t="e">
        <f t="shared" si="1092"/>
        <v>#N/A</v>
      </c>
      <c r="EL916" s="46">
        <f t="shared" si="1093"/>
        <v>0</v>
      </c>
      <c r="EM916" s="46">
        <f t="shared" si="1094"/>
        <v>0</v>
      </c>
    </row>
    <row r="917" spans="1:143">
      <c r="A917" s="89"/>
      <c r="B917" s="89"/>
      <c r="C917" s="89"/>
      <c r="D917" s="89"/>
      <c r="E917" s="89"/>
      <c r="F917" s="89"/>
      <c r="G917" s="34"/>
      <c r="H917" s="56">
        <f t="shared" si="1095"/>
        <v>903</v>
      </c>
      <c r="I917" s="165"/>
      <c r="J917" s="163"/>
      <c r="K917" s="163"/>
      <c r="L917" s="164"/>
      <c r="M917" s="155"/>
      <c r="N917" s="155"/>
      <c r="O917" s="144"/>
      <c r="P917" s="159" t="str">
        <f>IFERROR(IF(O917&lt;&gt;"User Specified",IF(O917&lt;&gt;"", INDEX('Refrigerant GWPs'!$G$2:$G$154,MATCH(O917,'Refrigerant GWPs'!$A$2:$A$154,0)),""),U917),0)</f>
        <v/>
      </c>
      <c r="Q917" s="155"/>
      <c r="R917" s="155"/>
      <c r="S917" s="144"/>
      <c r="T917" s="159" t="str">
        <f>IF(S917&lt;&gt;"User Specified",IF(AND(S917&lt;&gt;"User Specified",S917&lt;&gt;""), INDEX('Refrigerant GWPs'!$G$2:$G$154,MATCH(S917,'Refrigerant GWPs'!$A$2:$A$154,0)),""),V917)</f>
        <v/>
      </c>
      <c r="U917" s="144"/>
      <c r="V917" s="144"/>
      <c r="W917" s="155"/>
      <c r="X917" s="155"/>
      <c r="Y917" s="144"/>
      <c r="Z917" s="159" t="str">
        <f>IF(AND(Y917&lt;&gt;"User Specified",Y917&lt;&gt;""), INDEX('Refrigerant GWPs'!$G$2:$G$154,MATCH(Y917,'Refrigerant GWPs'!$A$2:$A$154,0)),"")</f>
        <v/>
      </c>
      <c r="AA917" s="155"/>
      <c r="AB917" s="156"/>
      <c r="AC917" s="66"/>
      <c r="AD917" s="66"/>
      <c r="AE917" s="66"/>
      <c r="AF917" s="66"/>
      <c r="AG917" s="66"/>
      <c r="AH917" s="66"/>
      <c r="AI917" s="34"/>
      <c r="AJ917" s="88">
        <f t="shared" si="1058"/>
        <v>0</v>
      </c>
      <c r="AK917" s="88">
        <f t="shared" si="1059"/>
        <v>0</v>
      </c>
      <c r="AL917" s="88">
        <v>0</v>
      </c>
      <c r="AM917" s="88">
        <v>0</v>
      </c>
      <c r="AN917" s="81" t="str">
        <f t="shared" si="1029"/>
        <v/>
      </c>
      <c r="AO917" s="88">
        <f t="shared" si="1060"/>
        <v>0</v>
      </c>
      <c r="AP917" s="88">
        <f t="shared" si="1061"/>
        <v>0</v>
      </c>
      <c r="AQ917" s="81" t="str">
        <f t="shared" si="1062"/>
        <v/>
      </c>
      <c r="AS917" s="41" t="b">
        <f t="shared" si="1063"/>
        <v>1</v>
      </c>
      <c r="AT917" s="38">
        <f t="shared" si="1064"/>
        <v>0</v>
      </c>
      <c r="AU917" s="60">
        <f t="shared" si="1065"/>
        <v>0</v>
      </c>
      <c r="AV917" s="41">
        <f t="shared" si="1066"/>
        <v>0</v>
      </c>
      <c r="AW917" s="41" t="b">
        <f t="shared" si="1067"/>
        <v>0</v>
      </c>
      <c r="AX917" t="str">
        <f t="shared" si="1068"/>
        <v>+00</v>
      </c>
      <c r="AY917" t="str">
        <f t="shared" si="1069"/>
        <v>+00</v>
      </c>
      <c r="BA917" s="47" t="b">
        <f t="shared" si="1030"/>
        <v>1</v>
      </c>
      <c r="BB917" s="42" t="b">
        <f t="shared" si="1031"/>
        <v>1</v>
      </c>
      <c r="BC917" s="42" t="b">
        <f t="shared" si="1032"/>
        <v>0</v>
      </c>
      <c r="BD917" s="42" t="b">
        <f t="shared" si="1033"/>
        <v>0</v>
      </c>
      <c r="BE917" s="70">
        <f t="shared" si="1034"/>
        <v>0</v>
      </c>
      <c r="BF917" s="70">
        <f t="shared" si="1035"/>
        <v>0</v>
      </c>
      <c r="BG917" s="34"/>
      <c r="BI917" s="47" t="b">
        <f t="shared" si="1036"/>
        <v>1</v>
      </c>
      <c r="BJ917" s="47" t="b">
        <f t="shared" si="1037"/>
        <v>1</v>
      </c>
      <c r="BK917" s="42" t="b">
        <f t="shared" si="1038"/>
        <v>0</v>
      </c>
      <c r="BL917" s="42" t="b">
        <f t="shared" si="1039"/>
        <v>0</v>
      </c>
      <c r="BM917" s="42">
        <f t="shared" si="1040"/>
        <v>0</v>
      </c>
      <c r="BN917" s="42">
        <f t="shared" si="1041"/>
        <v>0</v>
      </c>
      <c r="BP917" t="e">
        <f t="shared" si="1042"/>
        <v>#N/A</v>
      </c>
      <c r="BQ917" t="e">
        <f t="shared" si="1043"/>
        <v>#N/A</v>
      </c>
      <c r="BR917" t="e">
        <f t="shared" si="1044"/>
        <v>#N/A</v>
      </c>
      <c r="BT917" s="60">
        <f t="shared" si="1045"/>
        <v>0</v>
      </c>
      <c r="BU917" s="60">
        <f t="shared" si="1046"/>
        <v>0</v>
      </c>
      <c r="BV917" s="60">
        <f t="shared" si="1047"/>
        <v>0</v>
      </c>
      <c r="BW917" s="60">
        <f t="shared" si="1048"/>
        <v>0</v>
      </c>
      <c r="BX917" s="60">
        <f t="shared" si="1049"/>
        <v>0</v>
      </c>
      <c r="BY917" s="60">
        <f t="shared" si="1050"/>
        <v>0</v>
      </c>
      <c r="BZ917" s="60">
        <f t="shared" si="1051"/>
        <v>0</v>
      </c>
      <c r="CA917" s="60">
        <f t="shared" si="1052"/>
        <v>0</v>
      </c>
      <c r="CB917" s="60" t="e">
        <f t="shared" si="1070"/>
        <v>#N/A</v>
      </c>
      <c r="CC917" s="60">
        <f t="shared" si="1071"/>
        <v>100000</v>
      </c>
      <c r="CD917" s="60" t="e">
        <f t="shared" si="1072"/>
        <v>#N/A</v>
      </c>
      <c r="CE917" s="60">
        <f t="shared" si="1073"/>
        <v>100000</v>
      </c>
      <c r="CF917" s="83" t="e">
        <f t="shared" si="1053"/>
        <v>#N/A</v>
      </c>
      <c r="CG917" s="83">
        <f t="shared" si="1054"/>
        <v>0</v>
      </c>
      <c r="CH917" s="83" t="e">
        <f t="shared" si="1055"/>
        <v>#N/A</v>
      </c>
      <c r="CI917" s="83">
        <f t="shared" si="1056"/>
        <v>0</v>
      </c>
      <c r="CJ917" s="86" t="e">
        <f t="shared" si="1074"/>
        <v>#N/A</v>
      </c>
      <c r="CK917" s="82">
        <f t="shared" si="1075"/>
        <v>5.3070370403969858E-3</v>
      </c>
      <c r="CL917" s="82" t="e">
        <f t="shared" si="1076"/>
        <v>#N/A</v>
      </c>
      <c r="CM917" s="82">
        <f t="shared" si="1077"/>
        <v>5.3070370403969858E-3</v>
      </c>
      <c r="CO917" s="149" t="str">
        <f>IF($I917&lt;&gt;"",IF(O917="User Specified",U917,INDEX('Refrigerant GWPs'!$G$2:$G$156,MATCH(O917,'Refrigerant GWPs'!$A$2:$A$156,0))),"")</f>
        <v/>
      </c>
      <c r="CP917" s="138" t="str">
        <f>IF($I917&lt;&gt;"",INDEX('Device Refrigerant Leakage'!$E$2:$E$42,MATCH($M917,'Device Refrigerant Leakage'!$B$2:$B$42,0)),"")</f>
        <v/>
      </c>
      <c r="CQ917" s="138" t="str">
        <f>IF($I917&lt;&gt;"",INDEX('Device Refrigerant Leakage'!$F$2:$F$42,MATCH($M917,'Device Refrigerant Leakage'!$B$2:$B$42,0)),"")</f>
        <v/>
      </c>
      <c r="CR917" s="145" t="str">
        <f>IF($I917&lt;&gt;"",INDEX('Device Refrigerant Leakage'!$G$2:$G$42,MATCH($M917,'Device Refrigerant Leakage'!$B$2:$B$42,0)),"")</f>
        <v/>
      </c>
      <c r="CS917" s="145" t="str">
        <f>IF($I917&lt;&gt;"",INDEX('Device Refrigerant Leakage'!$D$2:$D$42,MATCH($M917,'Device Refrigerant Leakage'!$B$2:$B$42,0))*CP917/2204.62*CO917,"")</f>
        <v/>
      </c>
      <c r="CT917" s="145" t="str">
        <f>IF($I917&lt;&gt;"",J917*(INDEX('Device Refrigerant Leakage'!$D$2:$D$42,MATCH($M917,'Device Refrigerant Leakage'!$B$2:$B$42,0))-(INDEX('Device Refrigerant Leakage'!$D$2:$D$42,MATCH($M917,'Device Refrigerant Leakage'!$B$2:$B$42,0)))*CR917*CP917)*CQ917/2204.62*CO917,"")</f>
        <v/>
      </c>
      <c r="CU917" s="135" t="str">
        <f>IF($I917&lt;&gt;"",J917*IF(W917&lt;&gt;"AR",(CS917*K917)+CT917,(CS917*AB917)+CT917*(AB917/INDEX('Device Refrigerant Leakage'!$C$2:$C$42,MATCH($M917,'Device Refrigerant Leakage'!$B$2:$B$42,0)))),"")</f>
        <v/>
      </c>
      <c r="CW917" s="135" t="str">
        <f>IF($I917&lt;&gt;"",IF(S917="User Specified",V917,INDEX('Refrigerant GWPs'!$G$2:$G$156,MATCH(S917,'Refrigerant GWPs'!$A$2:$A$157,0))),"")</f>
        <v/>
      </c>
      <c r="CX917" s="138" t="str">
        <f>IF($I917&lt;&gt;"",INDEX('Device Refrigerant Leakage'!$E$2:$E$42,MATCH($Q917,'Device Refrigerant Leakage'!$B$2:$B$42,0)),"")</f>
        <v/>
      </c>
      <c r="CY917" s="138" t="str">
        <f>IF($I917&lt;&gt;"",INDEX('Device Refrigerant Leakage'!$F$2:$F$42,MATCH($Q917,'Device Refrigerant Leakage'!$B$2:$B$42,0)),"")</f>
        <v/>
      </c>
      <c r="CZ917" s="145" t="str">
        <f>IF($I917&lt;&gt;"",INDEX('Device Refrigerant Leakage'!$G$2:$G$42,MATCH($Q917,'Device Refrigerant Leakage'!$B$2:$B$42,0)),"")</f>
        <v/>
      </c>
      <c r="DA917" s="145" t="str">
        <f>IF($I917&lt;&gt;"",J917*INDEX('Device Refrigerant Leakage'!$D$2:$D$42,MATCH($Q917,'Device Refrigerant Leakage'!$B$2:$B$42,0))*CX917/2204.62*CW917,"")</f>
        <v/>
      </c>
      <c r="DB917" s="145" t="str">
        <f>IF($I917&lt;&gt;"",J917*(INDEX('Device Refrigerant Leakage'!$D$2:$D$42,MATCH($Q917,'Device Refrigerant Leakage'!$B$2:$B$42,0))-(INDEX('Device Refrigerant Leakage'!$D$2:$D$42,MATCH($Q917,'Device Refrigerant Leakage'!$B$2:$B$42,0)))*CZ917*CX917)*CY917/2204.62*CW917,"")</f>
        <v/>
      </c>
      <c r="DC917" s="135" t="str">
        <f t="shared" si="1096"/>
        <v/>
      </c>
      <c r="DE917" s="146" t="str">
        <f>IF(W917&lt;&gt;"AR","",IF(Y917="User Specified", AA917, INDEX('Refrigerant GWPs'!$G$2:$G$154,MATCH(Y917,'Refrigerant GWPs'!$A$2:$A$154,0))))</f>
        <v/>
      </c>
      <c r="DF917" s="146" t="str">
        <f>IF(W917&lt;&gt;"AR","",INDEX('Device Refrigerant Leakage'!$E$2:$E$42,MATCH(X917,'Device Refrigerant Leakage'!$B$2:$B$42,0)))</f>
        <v/>
      </c>
      <c r="DG917" s="146" t="str">
        <f>IF(W917&lt;&gt;"AR","",INDEX('Device Refrigerant Leakage'!$F$2:$F$42,MATCH(X917,'Device Refrigerant Leakage'!$B$2:$B$42,0)))</f>
        <v/>
      </c>
      <c r="DH917" s="146" t="str">
        <f>IF(W917&lt;&gt;"AR","",INDEX('Device Refrigerant Leakage'!$G$2:$G$42,MATCH(X917,'Device Refrigerant Leakage'!$B$2:$B$42,0)))</f>
        <v/>
      </c>
      <c r="DI917" s="146" t="str">
        <f>IF(W917&lt;&gt;"AR","",J917*INDEX('Device Refrigerant Leakage'!$D$2:$D$42,MATCH(X917,'Device Refrigerant Leakage'!$B$2:$B$42,0))*DF917/2204.62*DE917)</f>
        <v/>
      </c>
      <c r="DJ917" s="146" t="str">
        <f>IF(W917&lt;&gt;"AR","",J917*(INDEX('Device Refrigerant Leakage'!$D$2:$D$42,MATCH(X917,'Device Refrigerant Leakage'!$B$2:$B$42,0))-(INDEX('Device Refrigerant Leakage'!$D$2:$D$42,MATCH(X917,'Device Refrigerant Leakage'!$B$2:$B$42,0)))*DH917*DF917)*DG917/2204.62*DE917)</f>
        <v/>
      </c>
      <c r="DK917" s="146" t="str">
        <f>IF(W917&lt;&gt;"AR","",DI917*(K917-AB917)+'Fuel Sub Calcs-Deemed'!DJ917*((K917-AB917)/INDEX('Device Refrigerant Leakage'!$C$2:$C$42,MATCH('Fuel Sub Calcs-Deemed'!X917,'Device Refrigerant Leakage'!$B$2:$B$42,0))))</f>
        <v/>
      </c>
      <c r="DM917" s="56">
        <v>903</v>
      </c>
      <c r="DN917" s="67" t="e">
        <f t="shared" si="1078"/>
        <v>#N/A</v>
      </c>
      <c r="DO917" s="45" t="e">
        <f t="shared" si="1079"/>
        <v>#N/A</v>
      </c>
      <c r="DP917" s="67" t="e">
        <f t="shared" si="1080"/>
        <v>#N/A</v>
      </c>
      <c r="DQ917" s="45" t="e">
        <f t="shared" si="1081"/>
        <v>#N/A</v>
      </c>
      <c r="DR917" s="69" t="e">
        <f t="shared" si="1082"/>
        <v>#N/A</v>
      </c>
      <c r="DS917" s="34"/>
      <c r="DT917" s="67" t="e">
        <f>((BX917*CJ917)+IF($W917=MAT_AR,(BZ917*CL917),0))*(1+Reference!$E$50+Reference!$E$51)</f>
        <v>#N/A</v>
      </c>
      <c r="DU917" s="67">
        <f>((BY917*CK917)+IF($W917=MAT_AR,(CA917*CM917),0))*(1+Reference!$G$50+Reference!$G$51)</f>
        <v>0</v>
      </c>
      <c r="DV917" s="67" t="e">
        <f t="shared" si="1083"/>
        <v>#VALUE!</v>
      </c>
      <c r="DX917" s="56">
        <v>903</v>
      </c>
      <c r="DY917" s="67">
        <f t="shared" si="1084"/>
        <v>0</v>
      </c>
      <c r="DZ917" s="45" t="e">
        <f>VLOOKUP($R917,Dropdown!$C$3:$D$4,2,FALSE)</f>
        <v>#N/A</v>
      </c>
      <c r="EA917" s="68">
        <f t="shared" si="1085"/>
        <v>0</v>
      </c>
      <c r="EB917" s="68" t="str">
        <f t="shared" si="1086"/>
        <v>N/A</v>
      </c>
      <c r="EC917" s="68">
        <f t="shared" si="1087"/>
        <v>0</v>
      </c>
      <c r="ED917" s="68" t="str">
        <f t="shared" si="1057"/>
        <v>N/A</v>
      </c>
      <c r="EF917" s="56">
        <v>903</v>
      </c>
      <c r="EG917" s="46">
        <f t="shared" si="1088"/>
        <v>0</v>
      </c>
      <c r="EH917" s="68" t="e">
        <f t="shared" si="1089"/>
        <v>#N/A</v>
      </c>
      <c r="EI917" s="68" t="e">
        <f t="shared" si="1090"/>
        <v>#N/A</v>
      </c>
      <c r="EJ917" s="68" t="e">
        <f t="shared" si="1091"/>
        <v>#N/A</v>
      </c>
      <c r="EK917" s="68" t="e">
        <f t="shared" si="1092"/>
        <v>#N/A</v>
      </c>
      <c r="EL917" s="46">
        <f t="shared" si="1093"/>
        <v>0</v>
      </c>
      <c r="EM917" s="46">
        <f t="shared" si="1094"/>
        <v>0</v>
      </c>
    </row>
    <row r="918" spans="1:143">
      <c r="A918" s="89"/>
      <c r="B918" s="89"/>
      <c r="C918" s="89"/>
      <c r="D918" s="89"/>
      <c r="E918" s="89"/>
      <c r="F918" s="89"/>
      <c r="G918" s="34"/>
      <c r="H918" s="56">
        <f t="shared" si="1095"/>
        <v>904</v>
      </c>
      <c r="I918" s="165"/>
      <c r="J918" s="163"/>
      <c r="K918" s="163"/>
      <c r="L918" s="164"/>
      <c r="M918" s="155"/>
      <c r="N918" s="155"/>
      <c r="O918" s="144"/>
      <c r="P918" s="159" t="str">
        <f>IFERROR(IF(O918&lt;&gt;"User Specified",IF(O918&lt;&gt;"", INDEX('Refrigerant GWPs'!$G$2:$G$154,MATCH(O918,'Refrigerant GWPs'!$A$2:$A$154,0)),""),U918),0)</f>
        <v/>
      </c>
      <c r="Q918" s="155"/>
      <c r="R918" s="155"/>
      <c r="S918" s="144"/>
      <c r="T918" s="159" t="str">
        <f>IF(S918&lt;&gt;"User Specified",IF(AND(S918&lt;&gt;"User Specified",S918&lt;&gt;""), INDEX('Refrigerant GWPs'!$G$2:$G$154,MATCH(S918,'Refrigerant GWPs'!$A$2:$A$154,0)),""),V918)</f>
        <v/>
      </c>
      <c r="U918" s="144"/>
      <c r="V918" s="144"/>
      <c r="W918" s="155"/>
      <c r="X918" s="155"/>
      <c r="Y918" s="144"/>
      <c r="Z918" s="159" t="str">
        <f>IF(AND(Y918&lt;&gt;"User Specified",Y918&lt;&gt;""), INDEX('Refrigerant GWPs'!$G$2:$G$154,MATCH(Y918,'Refrigerant GWPs'!$A$2:$A$154,0)),"")</f>
        <v/>
      </c>
      <c r="AA918" s="155"/>
      <c r="AB918" s="156"/>
      <c r="AC918" s="66"/>
      <c r="AD918" s="66"/>
      <c r="AE918" s="66"/>
      <c r="AF918" s="66"/>
      <c r="AG918" s="66"/>
      <c r="AH918" s="66"/>
      <c r="AI918" s="34"/>
      <c r="AJ918" s="88">
        <f t="shared" si="1058"/>
        <v>0</v>
      </c>
      <c r="AK918" s="88">
        <f t="shared" si="1059"/>
        <v>0</v>
      </c>
      <c r="AL918" s="88">
        <v>0</v>
      </c>
      <c r="AM918" s="88">
        <v>0</v>
      </c>
      <c r="AN918" s="81" t="str">
        <f t="shared" si="1029"/>
        <v/>
      </c>
      <c r="AO918" s="88">
        <f t="shared" si="1060"/>
        <v>0</v>
      </c>
      <c r="AP918" s="88">
        <f t="shared" si="1061"/>
        <v>0</v>
      </c>
      <c r="AQ918" s="81" t="str">
        <f t="shared" si="1062"/>
        <v/>
      </c>
      <c r="AS918" s="41" t="b">
        <f t="shared" si="1063"/>
        <v>1</v>
      </c>
      <c r="AT918" s="38">
        <f t="shared" si="1064"/>
        <v>0</v>
      </c>
      <c r="AU918" s="60">
        <f t="shared" si="1065"/>
        <v>0</v>
      </c>
      <c r="AV918" s="41">
        <f t="shared" si="1066"/>
        <v>0</v>
      </c>
      <c r="AW918" s="41" t="b">
        <f t="shared" si="1067"/>
        <v>0</v>
      </c>
      <c r="AX918" t="str">
        <f t="shared" si="1068"/>
        <v>+00</v>
      </c>
      <c r="AY918" t="str">
        <f t="shared" si="1069"/>
        <v>+00</v>
      </c>
      <c r="BA918" s="47" t="b">
        <f t="shared" si="1030"/>
        <v>1</v>
      </c>
      <c r="BB918" s="42" t="b">
        <f t="shared" si="1031"/>
        <v>1</v>
      </c>
      <c r="BC918" s="42" t="b">
        <f t="shared" si="1032"/>
        <v>0</v>
      </c>
      <c r="BD918" s="42" t="b">
        <f t="shared" si="1033"/>
        <v>0</v>
      </c>
      <c r="BE918" s="70">
        <f t="shared" si="1034"/>
        <v>0</v>
      </c>
      <c r="BF918" s="70">
        <f t="shared" si="1035"/>
        <v>0</v>
      </c>
      <c r="BG918" s="34"/>
      <c r="BI918" s="47" t="b">
        <f t="shared" si="1036"/>
        <v>1</v>
      </c>
      <c r="BJ918" s="47" t="b">
        <f t="shared" si="1037"/>
        <v>1</v>
      </c>
      <c r="BK918" s="42" t="b">
        <f t="shared" si="1038"/>
        <v>0</v>
      </c>
      <c r="BL918" s="42" t="b">
        <f t="shared" si="1039"/>
        <v>0</v>
      </c>
      <c r="BM918" s="42">
        <f t="shared" si="1040"/>
        <v>0</v>
      </c>
      <c r="BN918" s="42">
        <f t="shared" si="1041"/>
        <v>0</v>
      </c>
      <c r="BP918" t="e">
        <f t="shared" si="1042"/>
        <v>#N/A</v>
      </c>
      <c r="BQ918" t="e">
        <f t="shared" si="1043"/>
        <v>#N/A</v>
      </c>
      <c r="BR918" t="e">
        <f t="shared" si="1044"/>
        <v>#N/A</v>
      </c>
      <c r="BT918" s="60">
        <f t="shared" si="1045"/>
        <v>0</v>
      </c>
      <c r="BU918" s="60">
        <f t="shared" si="1046"/>
        <v>0</v>
      </c>
      <c r="BV918" s="60">
        <f t="shared" si="1047"/>
        <v>0</v>
      </c>
      <c r="BW918" s="60">
        <f t="shared" si="1048"/>
        <v>0</v>
      </c>
      <c r="BX918" s="60">
        <f t="shared" si="1049"/>
        <v>0</v>
      </c>
      <c r="BY918" s="60">
        <f t="shared" si="1050"/>
        <v>0</v>
      </c>
      <c r="BZ918" s="60">
        <f t="shared" si="1051"/>
        <v>0</v>
      </c>
      <c r="CA918" s="60">
        <f t="shared" si="1052"/>
        <v>0</v>
      </c>
      <c r="CB918" s="60" t="e">
        <f t="shared" si="1070"/>
        <v>#N/A</v>
      </c>
      <c r="CC918" s="60">
        <f t="shared" si="1071"/>
        <v>100000</v>
      </c>
      <c r="CD918" s="60" t="e">
        <f t="shared" si="1072"/>
        <v>#N/A</v>
      </c>
      <c r="CE918" s="60">
        <f t="shared" si="1073"/>
        <v>100000</v>
      </c>
      <c r="CF918" s="83" t="e">
        <f t="shared" si="1053"/>
        <v>#N/A</v>
      </c>
      <c r="CG918" s="83">
        <f t="shared" si="1054"/>
        <v>0</v>
      </c>
      <c r="CH918" s="83" t="e">
        <f t="shared" si="1055"/>
        <v>#N/A</v>
      </c>
      <c r="CI918" s="83">
        <f t="shared" si="1056"/>
        <v>0</v>
      </c>
      <c r="CJ918" s="86" t="e">
        <f t="shared" si="1074"/>
        <v>#N/A</v>
      </c>
      <c r="CK918" s="82">
        <f t="shared" si="1075"/>
        <v>5.3070370403969858E-3</v>
      </c>
      <c r="CL918" s="82" t="e">
        <f t="shared" si="1076"/>
        <v>#N/A</v>
      </c>
      <c r="CM918" s="82">
        <f t="shared" si="1077"/>
        <v>5.3070370403969858E-3</v>
      </c>
      <c r="CO918" s="149" t="str">
        <f>IF($I918&lt;&gt;"",IF(O918="User Specified",U918,INDEX('Refrigerant GWPs'!$G$2:$G$156,MATCH(O918,'Refrigerant GWPs'!$A$2:$A$156,0))),"")</f>
        <v/>
      </c>
      <c r="CP918" s="138" t="str">
        <f>IF($I918&lt;&gt;"",INDEX('Device Refrigerant Leakage'!$E$2:$E$42,MATCH($M918,'Device Refrigerant Leakage'!$B$2:$B$42,0)),"")</f>
        <v/>
      </c>
      <c r="CQ918" s="138" t="str">
        <f>IF($I918&lt;&gt;"",INDEX('Device Refrigerant Leakage'!$F$2:$F$42,MATCH($M918,'Device Refrigerant Leakage'!$B$2:$B$42,0)),"")</f>
        <v/>
      </c>
      <c r="CR918" s="145" t="str">
        <f>IF($I918&lt;&gt;"",INDEX('Device Refrigerant Leakage'!$G$2:$G$42,MATCH($M918,'Device Refrigerant Leakage'!$B$2:$B$42,0)),"")</f>
        <v/>
      </c>
      <c r="CS918" s="145" t="str">
        <f>IF($I918&lt;&gt;"",INDEX('Device Refrigerant Leakage'!$D$2:$D$42,MATCH($M918,'Device Refrigerant Leakage'!$B$2:$B$42,0))*CP918/2204.62*CO918,"")</f>
        <v/>
      </c>
      <c r="CT918" s="145" t="str">
        <f>IF($I918&lt;&gt;"",J918*(INDEX('Device Refrigerant Leakage'!$D$2:$D$42,MATCH($M918,'Device Refrigerant Leakage'!$B$2:$B$42,0))-(INDEX('Device Refrigerant Leakage'!$D$2:$D$42,MATCH($M918,'Device Refrigerant Leakage'!$B$2:$B$42,0)))*CR918*CP918)*CQ918/2204.62*CO918,"")</f>
        <v/>
      </c>
      <c r="CU918" s="135" t="str">
        <f>IF($I918&lt;&gt;"",J918*IF(W918&lt;&gt;"AR",(CS918*K918)+CT918,(CS918*AB918)+CT918*(AB918/INDEX('Device Refrigerant Leakage'!$C$2:$C$42,MATCH($M918,'Device Refrigerant Leakage'!$B$2:$B$42,0)))),"")</f>
        <v/>
      </c>
      <c r="CW918" s="135" t="str">
        <f>IF($I918&lt;&gt;"",IF(S918="User Specified",V918,INDEX('Refrigerant GWPs'!$G$2:$G$156,MATCH(S918,'Refrigerant GWPs'!$A$2:$A$157,0))),"")</f>
        <v/>
      </c>
      <c r="CX918" s="138" t="str">
        <f>IF($I918&lt;&gt;"",INDEX('Device Refrigerant Leakage'!$E$2:$E$42,MATCH($Q918,'Device Refrigerant Leakage'!$B$2:$B$42,0)),"")</f>
        <v/>
      </c>
      <c r="CY918" s="138" t="str">
        <f>IF($I918&lt;&gt;"",INDEX('Device Refrigerant Leakage'!$F$2:$F$42,MATCH($Q918,'Device Refrigerant Leakage'!$B$2:$B$42,0)),"")</f>
        <v/>
      </c>
      <c r="CZ918" s="145" t="str">
        <f>IF($I918&lt;&gt;"",INDEX('Device Refrigerant Leakage'!$G$2:$G$42,MATCH($Q918,'Device Refrigerant Leakage'!$B$2:$B$42,0)),"")</f>
        <v/>
      </c>
      <c r="DA918" s="145" t="str">
        <f>IF($I918&lt;&gt;"",J918*INDEX('Device Refrigerant Leakage'!$D$2:$D$42,MATCH($Q918,'Device Refrigerant Leakage'!$B$2:$B$42,0))*CX918/2204.62*CW918,"")</f>
        <v/>
      </c>
      <c r="DB918" s="145" t="str">
        <f>IF($I918&lt;&gt;"",J918*(INDEX('Device Refrigerant Leakage'!$D$2:$D$42,MATCH($Q918,'Device Refrigerant Leakage'!$B$2:$B$42,0))-(INDEX('Device Refrigerant Leakage'!$D$2:$D$42,MATCH($Q918,'Device Refrigerant Leakage'!$B$2:$B$42,0)))*CZ918*CX918)*CY918/2204.62*CW918,"")</f>
        <v/>
      </c>
      <c r="DC918" s="135" t="str">
        <f t="shared" si="1096"/>
        <v/>
      </c>
      <c r="DE918" s="146" t="str">
        <f>IF(W918&lt;&gt;"AR","",IF(Y918="User Specified", AA918, INDEX('Refrigerant GWPs'!$G$2:$G$154,MATCH(Y918,'Refrigerant GWPs'!$A$2:$A$154,0))))</f>
        <v/>
      </c>
      <c r="DF918" s="146" t="str">
        <f>IF(W918&lt;&gt;"AR","",INDEX('Device Refrigerant Leakage'!$E$2:$E$42,MATCH(X918,'Device Refrigerant Leakage'!$B$2:$B$42,0)))</f>
        <v/>
      </c>
      <c r="DG918" s="146" t="str">
        <f>IF(W918&lt;&gt;"AR","",INDEX('Device Refrigerant Leakage'!$F$2:$F$42,MATCH(X918,'Device Refrigerant Leakage'!$B$2:$B$42,0)))</f>
        <v/>
      </c>
      <c r="DH918" s="146" t="str">
        <f>IF(W918&lt;&gt;"AR","",INDEX('Device Refrigerant Leakage'!$G$2:$G$42,MATCH(X918,'Device Refrigerant Leakage'!$B$2:$B$42,0)))</f>
        <v/>
      </c>
      <c r="DI918" s="146" t="str">
        <f>IF(W918&lt;&gt;"AR","",J918*INDEX('Device Refrigerant Leakage'!$D$2:$D$42,MATCH(X918,'Device Refrigerant Leakage'!$B$2:$B$42,0))*DF918/2204.62*DE918)</f>
        <v/>
      </c>
      <c r="DJ918" s="146" t="str">
        <f>IF(W918&lt;&gt;"AR","",J918*(INDEX('Device Refrigerant Leakage'!$D$2:$D$42,MATCH(X918,'Device Refrigerant Leakage'!$B$2:$B$42,0))-(INDEX('Device Refrigerant Leakage'!$D$2:$D$42,MATCH(X918,'Device Refrigerant Leakage'!$B$2:$B$42,0)))*DH918*DF918)*DG918/2204.62*DE918)</f>
        <v/>
      </c>
      <c r="DK918" s="146" t="str">
        <f>IF(W918&lt;&gt;"AR","",DI918*(K918-AB918)+'Fuel Sub Calcs-Deemed'!DJ918*((K918-AB918)/INDEX('Device Refrigerant Leakage'!$C$2:$C$42,MATCH('Fuel Sub Calcs-Deemed'!X918,'Device Refrigerant Leakage'!$B$2:$B$42,0))))</f>
        <v/>
      </c>
      <c r="DM918" s="56">
        <v>904</v>
      </c>
      <c r="DN918" s="67" t="e">
        <f t="shared" si="1078"/>
        <v>#N/A</v>
      </c>
      <c r="DO918" s="45" t="e">
        <f t="shared" si="1079"/>
        <v>#N/A</v>
      </c>
      <c r="DP918" s="67" t="e">
        <f t="shared" si="1080"/>
        <v>#N/A</v>
      </c>
      <c r="DQ918" s="45" t="e">
        <f t="shared" si="1081"/>
        <v>#N/A</v>
      </c>
      <c r="DR918" s="69" t="e">
        <f t="shared" si="1082"/>
        <v>#N/A</v>
      </c>
      <c r="DS918" s="34"/>
      <c r="DT918" s="67" t="e">
        <f>((BX918*CJ918)+IF($W918=MAT_AR,(BZ918*CL918),0))*(1+Reference!$E$50+Reference!$E$51)</f>
        <v>#N/A</v>
      </c>
      <c r="DU918" s="67">
        <f>((BY918*CK918)+IF($W918=MAT_AR,(CA918*CM918),0))*(1+Reference!$G$50+Reference!$G$51)</f>
        <v>0</v>
      </c>
      <c r="DV918" s="67" t="e">
        <f t="shared" si="1083"/>
        <v>#VALUE!</v>
      </c>
      <c r="DX918" s="56">
        <v>904</v>
      </c>
      <c r="DY918" s="67">
        <f t="shared" si="1084"/>
        <v>0</v>
      </c>
      <c r="DZ918" s="45" t="e">
        <f>VLOOKUP($R918,Dropdown!$C$3:$D$4,2,FALSE)</f>
        <v>#N/A</v>
      </c>
      <c r="EA918" s="68">
        <f t="shared" si="1085"/>
        <v>0</v>
      </c>
      <c r="EB918" s="68" t="str">
        <f t="shared" si="1086"/>
        <v>N/A</v>
      </c>
      <c r="EC918" s="68">
        <f t="shared" si="1087"/>
        <v>0</v>
      </c>
      <c r="ED918" s="68" t="str">
        <f t="shared" si="1057"/>
        <v>N/A</v>
      </c>
      <c r="EF918" s="56">
        <v>904</v>
      </c>
      <c r="EG918" s="46">
        <f t="shared" si="1088"/>
        <v>0</v>
      </c>
      <c r="EH918" s="68" t="e">
        <f t="shared" si="1089"/>
        <v>#N/A</v>
      </c>
      <c r="EI918" s="68" t="e">
        <f t="shared" si="1090"/>
        <v>#N/A</v>
      </c>
      <c r="EJ918" s="68" t="e">
        <f t="shared" si="1091"/>
        <v>#N/A</v>
      </c>
      <c r="EK918" s="68" t="e">
        <f t="shared" si="1092"/>
        <v>#N/A</v>
      </c>
      <c r="EL918" s="46">
        <f t="shared" si="1093"/>
        <v>0</v>
      </c>
      <c r="EM918" s="46">
        <f t="shared" si="1094"/>
        <v>0</v>
      </c>
    </row>
    <row r="919" spans="1:143">
      <c r="A919" s="89"/>
      <c r="B919" s="89"/>
      <c r="C919" s="89"/>
      <c r="D919" s="89"/>
      <c r="E919" s="89"/>
      <c r="F919" s="89"/>
      <c r="G919" s="34"/>
      <c r="H919" s="56">
        <f t="shared" si="1095"/>
        <v>905</v>
      </c>
      <c r="I919" s="165"/>
      <c r="J919" s="163"/>
      <c r="K919" s="163"/>
      <c r="L919" s="164"/>
      <c r="M919" s="155"/>
      <c r="N919" s="155"/>
      <c r="O919" s="144"/>
      <c r="P919" s="159" t="str">
        <f>IFERROR(IF(O919&lt;&gt;"User Specified",IF(O919&lt;&gt;"", INDEX('Refrigerant GWPs'!$G$2:$G$154,MATCH(O919,'Refrigerant GWPs'!$A$2:$A$154,0)),""),U919),0)</f>
        <v/>
      </c>
      <c r="Q919" s="155"/>
      <c r="R919" s="155"/>
      <c r="S919" s="144"/>
      <c r="T919" s="159" t="str">
        <f>IF(S919&lt;&gt;"User Specified",IF(AND(S919&lt;&gt;"User Specified",S919&lt;&gt;""), INDEX('Refrigerant GWPs'!$G$2:$G$154,MATCH(S919,'Refrigerant GWPs'!$A$2:$A$154,0)),""),V919)</f>
        <v/>
      </c>
      <c r="U919" s="144"/>
      <c r="V919" s="144"/>
      <c r="W919" s="155"/>
      <c r="X919" s="155"/>
      <c r="Y919" s="144"/>
      <c r="Z919" s="159" t="str">
        <f>IF(AND(Y919&lt;&gt;"User Specified",Y919&lt;&gt;""), INDEX('Refrigerant GWPs'!$G$2:$G$154,MATCH(Y919,'Refrigerant GWPs'!$A$2:$A$154,0)),"")</f>
        <v/>
      </c>
      <c r="AA919" s="155"/>
      <c r="AB919" s="156"/>
      <c r="AC919" s="66"/>
      <c r="AD919" s="66"/>
      <c r="AE919" s="66"/>
      <c r="AF919" s="66"/>
      <c r="AG919" s="66"/>
      <c r="AH919" s="66"/>
      <c r="AI919" s="34"/>
      <c r="AJ919" s="88">
        <f t="shared" si="1058"/>
        <v>0</v>
      </c>
      <c r="AK919" s="88">
        <f t="shared" si="1059"/>
        <v>0</v>
      </c>
      <c r="AL919" s="88">
        <v>0</v>
      </c>
      <c r="AM919" s="88">
        <v>0</v>
      </c>
      <c r="AN919" s="81" t="str">
        <f t="shared" ref="AN919:AN982" si="1097">IF(OR(BC919:BD919),"Warning: Need to enter baseline and measure consumption","")</f>
        <v/>
      </c>
      <c r="AO919" s="88">
        <f t="shared" si="1060"/>
        <v>0</v>
      </c>
      <c r="AP919" s="88">
        <f t="shared" si="1061"/>
        <v>0</v>
      </c>
      <c r="AQ919" s="81" t="str">
        <f t="shared" si="1062"/>
        <v/>
      </c>
      <c r="AS919" s="41" t="b">
        <f t="shared" si="1063"/>
        <v>1</v>
      </c>
      <c r="AT919" s="38">
        <f t="shared" si="1064"/>
        <v>0</v>
      </c>
      <c r="AU919" s="60">
        <f t="shared" si="1065"/>
        <v>0</v>
      </c>
      <c r="AV919" s="41">
        <f t="shared" si="1066"/>
        <v>0</v>
      </c>
      <c r="AW919" s="41" t="b">
        <f t="shared" si="1067"/>
        <v>0</v>
      </c>
      <c r="AX919" t="str">
        <f t="shared" si="1068"/>
        <v>+00</v>
      </c>
      <c r="AY919" t="str">
        <f t="shared" si="1069"/>
        <v>+00</v>
      </c>
      <c r="BA919" s="47" t="b">
        <f t="shared" ref="BA919:BA982" si="1098">NOT(OR(ISBLANK(AJ919),ISBLANK(AL919)))</f>
        <v>1</v>
      </c>
      <c r="BB919" s="42" t="b">
        <f t="shared" ref="BB919:BB982" si="1099">NOT(OR(ISBLANK(AK919),ISBLANK(AM919)))</f>
        <v>1</v>
      </c>
      <c r="BC919" s="42" t="b">
        <f t="shared" ref="BC919:BC982" si="1100">AND(NOT(BA919))</f>
        <v>0</v>
      </c>
      <c r="BD919" s="42" t="b">
        <f t="shared" ref="BD919:BD982" si="1101">AND(NOT(BB919))</f>
        <v>0</v>
      </c>
      <c r="BE919" s="70">
        <f t="shared" ref="BE919:BE982" si="1102">AJ919-AL919</f>
        <v>0</v>
      </c>
      <c r="BF919" s="70">
        <f t="shared" ref="BF919:BF982" si="1103">AK919-AM919</f>
        <v>0</v>
      </c>
      <c r="BG919" s="34"/>
      <c r="BI919" s="47" t="b">
        <f t="shared" ref="BI919:BI982" si="1104">NOT(OR(ISBLANK(AL919),ISBLANK(AO919)))</f>
        <v>1</v>
      </c>
      <c r="BJ919" s="47" t="b">
        <f t="shared" ref="BJ919:BJ982" si="1105">NOT(OR(ISBLANK(AM919),ISBLANK(AP919)))</f>
        <v>1</v>
      </c>
      <c r="BK919" s="42" t="b">
        <f t="shared" ref="BK919:BK982" si="1106">AND(NOT(BI919))</f>
        <v>0</v>
      </c>
      <c r="BL919" s="42" t="b">
        <f t="shared" ref="BL919:BL982" si="1107">AND(NOT(BJ919))</f>
        <v>0</v>
      </c>
      <c r="BM919" s="42">
        <f t="shared" ref="BM919:BM982" si="1108">IF(NOT(OR(ISBLANK(AO919),ISBLANK(AL919))),AO919-AL919,0)</f>
        <v>0</v>
      </c>
      <c r="BN919" s="42">
        <f t="shared" ref="BN919:BN982" si="1109">IF(NOT(OR(ISBLANK(AP919),ISBLANK(AM919))),AP919-AM919,0)</f>
        <v>0</v>
      </c>
      <c r="BP919" t="e">
        <f t="shared" ref="BP919:BP982" si="1110">(DN919&gt;=0)</f>
        <v>#N/A</v>
      </c>
      <c r="BQ919" t="e">
        <f t="shared" ref="BQ919:BQ982" si="1111">(DP919&gt;=0)</f>
        <v>#N/A</v>
      </c>
      <c r="BR919" t="e">
        <f t="shared" ref="BR919:BR982" si="1112">AND(BP919,BQ919)</f>
        <v>#N/A</v>
      </c>
      <c r="BT919" s="60">
        <f t="shared" ref="BT919:BT982" si="1113">$J919*BE919</f>
        <v>0</v>
      </c>
      <c r="BU919" s="60">
        <f t="shared" ref="BU919:BU982" si="1114">$J919*BF919</f>
        <v>0</v>
      </c>
      <c r="BV919" s="60">
        <f t="shared" ref="BV919:BV982" si="1115">$J919*BM919</f>
        <v>0</v>
      </c>
      <c r="BW919" s="60">
        <f t="shared" ref="BW919:BW982" si="1116">$J919*BN919</f>
        <v>0</v>
      </c>
      <c r="BX919" s="60">
        <f t="shared" ref="BX919:BX982" si="1117">$AT919*BT919</f>
        <v>0</v>
      </c>
      <c r="BY919" s="60">
        <f t="shared" ref="BY919:BY982" si="1118">$AT919*BU919</f>
        <v>0</v>
      </c>
      <c r="BZ919" s="60">
        <f t="shared" ref="BZ919:BZ982" si="1119">$AU919*BV919</f>
        <v>0</v>
      </c>
      <c r="CA919" s="60">
        <f t="shared" ref="CA919:CA982" si="1120">$AU919*BW919</f>
        <v>0</v>
      </c>
      <c r="CB919" s="60" t="e">
        <f t="shared" si="1070"/>
        <v>#N/A</v>
      </c>
      <c r="CC919" s="60">
        <f t="shared" si="1071"/>
        <v>100000</v>
      </c>
      <c r="CD919" s="60" t="e">
        <f t="shared" si="1072"/>
        <v>#N/A</v>
      </c>
      <c r="CE919" s="60">
        <f t="shared" si="1073"/>
        <v>100000</v>
      </c>
      <c r="CF919" s="83" t="e">
        <f t="shared" ref="CF919:CF982" si="1121">$AT919*CB919/1000000</f>
        <v>#N/A</v>
      </c>
      <c r="CG919" s="83">
        <f t="shared" ref="CG919:CG982" si="1122">$AT919*CC919/1000000</f>
        <v>0</v>
      </c>
      <c r="CH919" s="83" t="e">
        <f t="shared" ref="CH919:CH982" si="1123">$AU919*CD919/1000000</f>
        <v>#N/A</v>
      </c>
      <c r="CI919" s="83">
        <f t="shared" ref="CI919:CI982" si="1124">$AU919*CE919/1000000</f>
        <v>0</v>
      </c>
      <c r="CJ919" s="86" t="e">
        <f t="shared" si="1074"/>
        <v>#N/A</v>
      </c>
      <c r="CK919" s="82">
        <f t="shared" si="1075"/>
        <v>5.3070370403969858E-3</v>
      </c>
      <c r="CL919" s="82" t="e">
        <f t="shared" si="1076"/>
        <v>#N/A</v>
      </c>
      <c r="CM919" s="82">
        <f t="shared" si="1077"/>
        <v>5.3070370403969858E-3</v>
      </c>
      <c r="CO919" s="149" t="str">
        <f>IF($I919&lt;&gt;"",IF(O919="User Specified",U919,INDEX('Refrigerant GWPs'!$G$2:$G$156,MATCH(O919,'Refrigerant GWPs'!$A$2:$A$156,0))),"")</f>
        <v/>
      </c>
      <c r="CP919" s="138" t="str">
        <f>IF($I919&lt;&gt;"",INDEX('Device Refrigerant Leakage'!$E$2:$E$42,MATCH($M919,'Device Refrigerant Leakage'!$B$2:$B$42,0)),"")</f>
        <v/>
      </c>
      <c r="CQ919" s="138" t="str">
        <f>IF($I919&lt;&gt;"",INDEX('Device Refrigerant Leakage'!$F$2:$F$42,MATCH($M919,'Device Refrigerant Leakage'!$B$2:$B$42,0)),"")</f>
        <v/>
      </c>
      <c r="CR919" s="145" t="str">
        <f>IF($I919&lt;&gt;"",INDEX('Device Refrigerant Leakage'!$G$2:$G$42,MATCH($M919,'Device Refrigerant Leakage'!$B$2:$B$42,0)),"")</f>
        <v/>
      </c>
      <c r="CS919" s="145" t="str">
        <f>IF($I919&lt;&gt;"",INDEX('Device Refrigerant Leakage'!$D$2:$D$42,MATCH($M919,'Device Refrigerant Leakage'!$B$2:$B$42,0))*CP919/2204.62*CO919,"")</f>
        <v/>
      </c>
      <c r="CT919" s="145" t="str">
        <f>IF($I919&lt;&gt;"",J919*(INDEX('Device Refrigerant Leakage'!$D$2:$D$42,MATCH($M919,'Device Refrigerant Leakage'!$B$2:$B$42,0))-(INDEX('Device Refrigerant Leakage'!$D$2:$D$42,MATCH($M919,'Device Refrigerant Leakage'!$B$2:$B$42,0)))*CR919*CP919)*CQ919/2204.62*CO919,"")</f>
        <v/>
      </c>
      <c r="CU919" s="135" t="str">
        <f>IF($I919&lt;&gt;"",J919*IF(W919&lt;&gt;"AR",(CS919*K919)+CT919,(CS919*AB919)+CT919*(AB919/INDEX('Device Refrigerant Leakage'!$C$2:$C$42,MATCH($M919,'Device Refrigerant Leakage'!$B$2:$B$42,0)))),"")</f>
        <v/>
      </c>
      <c r="CW919" s="135" t="str">
        <f>IF($I919&lt;&gt;"",IF(S919="User Specified",V919,INDEX('Refrigerant GWPs'!$G$2:$G$156,MATCH(S919,'Refrigerant GWPs'!$A$2:$A$157,0))),"")</f>
        <v/>
      </c>
      <c r="CX919" s="138" t="str">
        <f>IF($I919&lt;&gt;"",INDEX('Device Refrigerant Leakage'!$E$2:$E$42,MATCH($Q919,'Device Refrigerant Leakage'!$B$2:$B$42,0)),"")</f>
        <v/>
      </c>
      <c r="CY919" s="138" t="str">
        <f>IF($I919&lt;&gt;"",INDEX('Device Refrigerant Leakage'!$F$2:$F$42,MATCH($Q919,'Device Refrigerant Leakage'!$B$2:$B$42,0)),"")</f>
        <v/>
      </c>
      <c r="CZ919" s="145" t="str">
        <f>IF($I919&lt;&gt;"",INDEX('Device Refrigerant Leakage'!$G$2:$G$42,MATCH($Q919,'Device Refrigerant Leakage'!$B$2:$B$42,0)),"")</f>
        <v/>
      </c>
      <c r="DA919" s="145" t="str">
        <f>IF($I919&lt;&gt;"",J919*INDEX('Device Refrigerant Leakage'!$D$2:$D$42,MATCH($Q919,'Device Refrigerant Leakage'!$B$2:$B$42,0))*CX919/2204.62*CW919,"")</f>
        <v/>
      </c>
      <c r="DB919" s="145" t="str">
        <f>IF($I919&lt;&gt;"",J919*(INDEX('Device Refrigerant Leakage'!$D$2:$D$42,MATCH($Q919,'Device Refrigerant Leakage'!$B$2:$B$42,0))-(INDEX('Device Refrigerant Leakage'!$D$2:$D$42,MATCH($Q919,'Device Refrigerant Leakage'!$B$2:$B$42,0)))*CZ919*CX919)*CY919/2204.62*CW919,"")</f>
        <v/>
      </c>
      <c r="DC919" s="135" t="str">
        <f t="shared" si="1096"/>
        <v/>
      </c>
      <c r="DE919" s="146" t="str">
        <f>IF(W919&lt;&gt;"AR","",IF(Y919="User Specified", AA919, INDEX('Refrigerant GWPs'!$G$2:$G$154,MATCH(Y919,'Refrigerant GWPs'!$A$2:$A$154,0))))</f>
        <v/>
      </c>
      <c r="DF919" s="146" t="str">
        <f>IF(W919&lt;&gt;"AR","",INDEX('Device Refrigerant Leakage'!$E$2:$E$42,MATCH(X919,'Device Refrigerant Leakage'!$B$2:$B$42,0)))</f>
        <v/>
      </c>
      <c r="DG919" s="146" t="str">
        <f>IF(W919&lt;&gt;"AR","",INDEX('Device Refrigerant Leakage'!$F$2:$F$42,MATCH(X919,'Device Refrigerant Leakage'!$B$2:$B$42,0)))</f>
        <v/>
      </c>
      <c r="DH919" s="146" t="str">
        <f>IF(W919&lt;&gt;"AR","",INDEX('Device Refrigerant Leakage'!$G$2:$G$42,MATCH(X919,'Device Refrigerant Leakage'!$B$2:$B$42,0)))</f>
        <v/>
      </c>
      <c r="DI919" s="146" t="str">
        <f>IF(W919&lt;&gt;"AR","",J919*INDEX('Device Refrigerant Leakage'!$D$2:$D$42,MATCH(X919,'Device Refrigerant Leakage'!$B$2:$B$42,0))*DF919/2204.62*DE919)</f>
        <v/>
      </c>
      <c r="DJ919" s="146" t="str">
        <f>IF(W919&lt;&gt;"AR","",J919*(INDEX('Device Refrigerant Leakage'!$D$2:$D$42,MATCH(X919,'Device Refrigerant Leakage'!$B$2:$B$42,0))-(INDEX('Device Refrigerant Leakage'!$D$2:$D$42,MATCH(X919,'Device Refrigerant Leakage'!$B$2:$B$42,0)))*DH919*DF919)*DG919/2204.62*DE919)</f>
        <v/>
      </c>
      <c r="DK919" s="146" t="str">
        <f>IF(W919&lt;&gt;"AR","",DI919*(K919-AB919)+'Fuel Sub Calcs-Deemed'!DJ919*((K919-AB919)/INDEX('Device Refrigerant Leakage'!$C$2:$C$42,MATCH('Fuel Sub Calcs-Deemed'!X919,'Device Refrigerant Leakage'!$B$2:$B$42,0))))</f>
        <v/>
      </c>
      <c r="DM919" s="56">
        <v>905</v>
      </c>
      <c r="DN919" s="67" t="e">
        <f t="shared" si="1078"/>
        <v>#N/A</v>
      </c>
      <c r="DO919" s="45" t="e">
        <f t="shared" si="1079"/>
        <v>#N/A</v>
      </c>
      <c r="DP919" s="67" t="e">
        <f t="shared" si="1080"/>
        <v>#N/A</v>
      </c>
      <c r="DQ919" s="45" t="e">
        <f t="shared" si="1081"/>
        <v>#N/A</v>
      </c>
      <c r="DR919" s="69" t="e">
        <f t="shared" si="1082"/>
        <v>#N/A</v>
      </c>
      <c r="DS919" s="34"/>
      <c r="DT919" s="67" t="e">
        <f>((BX919*CJ919)+IF($W919=MAT_AR,(BZ919*CL919),0))*(1+Reference!$E$50+Reference!$E$51)</f>
        <v>#N/A</v>
      </c>
      <c r="DU919" s="67">
        <f>((BY919*CK919)+IF($W919=MAT_AR,(CA919*CM919),0))*(1+Reference!$G$50+Reference!$G$51)</f>
        <v>0</v>
      </c>
      <c r="DV919" s="67" t="e">
        <f t="shared" si="1083"/>
        <v>#VALUE!</v>
      </c>
      <c r="DX919" s="56">
        <v>905</v>
      </c>
      <c r="DY919" s="67">
        <f t="shared" si="1084"/>
        <v>0</v>
      </c>
      <c r="DZ919" s="45" t="e">
        <f>VLOOKUP($R919,Dropdown!$C$3:$D$4,2,FALSE)</f>
        <v>#N/A</v>
      </c>
      <c r="EA919" s="68">
        <f t="shared" si="1085"/>
        <v>0</v>
      </c>
      <c r="EB919" s="68" t="str">
        <f t="shared" si="1086"/>
        <v>N/A</v>
      </c>
      <c r="EC919" s="68">
        <f t="shared" si="1087"/>
        <v>0</v>
      </c>
      <c r="ED919" s="68" t="str">
        <f t="shared" ref="ED919:ED982" si="1125">IF($R919=fuel_electricity,DY919*10^6/Btu_therm,"N/A")</f>
        <v>N/A</v>
      </c>
      <c r="EF919" s="56">
        <v>905</v>
      </c>
      <c r="EG919" s="46">
        <f t="shared" si="1088"/>
        <v>0</v>
      </c>
      <c r="EH919" s="68" t="e">
        <f t="shared" si="1089"/>
        <v>#N/A</v>
      </c>
      <c r="EI919" s="68" t="e">
        <f t="shared" si="1090"/>
        <v>#N/A</v>
      </c>
      <c r="EJ919" s="68" t="e">
        <f t="shared" si="1091"/>
        <v>#N/A</v>
      </c>
      <c r="EK919" s="68" t="e">
        <f t="shared" si="1092"/>
        <v>#N/A</v>
      </c>
      <c r="EL919" s="46">
        <f t="shared" si="1093"/>
        <v>0</v>
      </c>
      <c r="EM919" s="46">
        <f t="shared" si="1094"/>
        <v>0</v>
      </c>
    </row>
    <row r="920" spans="1:143">
      <c r="A920" s="89"/>
      <c r="B920" s="89"/>
      <c r="C920" s="89"/>
      <c r="D920" s="89"/>
      <c r="E920" s="89"/>
      <c r="F920" s="89"/>
      <c r="G920" s="34"/>
      <c r="H920" s="56">
        <f t="shared" si="1095"/>
        <v>906</v>
      </c>
      <c r="I920" s="165"/>
      <c r="J920" s="163"/>
      <c r="K920" s="163"/>
      <c r="L920" s="164"/>
      <c r="M920" s="155"/>
      <c r="N920" s="155"/>
      <c r="O920" s="144"/>
      <c r="P920" s="159" t="str">
        <f>IFERROR(IF(O920&lt;&gt;"User Specified",IF(O920&lt;&gt;"", INDEX('Refrigerant GWPs'!$G$2:$G$154,MATCH(O920,'Refrigerant GWPs'!$A$2:$A$154,0)),""),U920),0)</f>
        <v/>
      </c>
      <c r="Q920" s="155"/>
      <c r="R920" s="155"/>
      <c r="S920" s="144"/>
      <c r="T920" s="159" t="str">
        <f>IF(S920&lt;&gt;"User Specified",IF(AND(S920&lt;&gt;"User Specified",S920&lt;&gt;""), INDEX('Refrigerant GWPs'!$G$2:$G$154,MATCH(S920,'Refrigerant GWPs'!$A$2:$A$154,0)),""),V920)</f>
        <v/>
      </c>
      <c r="U920" s="144"/>
      <c r="V920" s="144"/>
      <c r="W920" s="155"/>
      <c r="X920" s="155"/>
      <c r="Y920" s="144"/>
      <c r="Z920" s="159" t="str">
        <f>IF(AND(Y920&lt;&gt;"User Specified",Y920&lt;&gt;""), INDEX('Refrigerant GWPs'!$G$2:$G$154,MATCH(Y920,'Refrigerant GWPs'!$A$2:$A$154,0)),"")</f>
        <v/>
      </c>
      <c r="AA920" s="155"/>
      <c r="AB920" s="156"/>
      <c r="AC920" s="66"/>
      <c r="AD920" s="66"/>
      <c r="AE920" s="66"/>
      <c r="AF920" s="66"/>
      <c r="AG920" s="66"/>
      <c r="AH920" s="66"/>
      <c r="AI920" s="34"/>
      <c r="AJ920" s="88">
        <f t="shared" si="1058"/>
        <v>0</v>
      </c>
      <c r="AK920" s="88">
        <f t="shared" si="1059"/>
        <v>0</v>
      </c>
      <c r="AL920" s="88">
        <v>0</v>
      </c>
      <c r="AM920" s="88">
        <v>0</v>
      </c>
      <c r="AN920" s="81" t="str">
        <f t="shared" si="1097"/>
        <v/>
      </c>
      <c r="AO920" s="88">
        <f t="shared" si="1060"/>
        <v>0</v>
      </c>
      <c r="AP920" s="88">
        <f t="shared" si="1061"/>
        <v>0</v>
      </c>
      <c r="AQ920" s="81" t="str">
        <f t="shared" si="1062"/>
        <v/>
      </c>
      <c r="AS920" s="41" t="b">
        <f t="shared" si="1063"/>
        <v>1</v>
      </c>
      <c r="AT920" s="38">
        <f t="shared" si="1064"/>
        <v>0</v>
      </c>
      <c r="AU920" s="60">
        <f t="shared" si="1065"/>
        <v>0</v>
      </c>
      <c r="AV920" s="41">
        <f t="shared" si="1066"/>
        <v>0</v>
      </c>
      <c r="AW920" s="41" t="b">
        <f t="shared" si="1067"/>
        <v>0</v>
      </c>
      <c r="AX920" t="str">
        <f t="shared" si="1068"/>
        <v>+00</v>
      </c>
      <c r="AY920" t="str">
        <f t="shared" si="1069"/>
        <v>+00</v>
      </c>
      <c r="BA920" s="47" t="b">
        <f t="shared" si="1098"/>
        <v>1</v>
      </c>
      <c r="BB920" s="42" t="b">
        <f t="shared" si="1099"/>
        <v>1</v>
      </c>
      <c r="BC920" s="42" t="b">
        <f t="shared" si="1100"/>
        <v>0</v>
      </c>
      <c r="BD920" s="42" t="b">
        <f t="shared" si="1101"/>
        <v>0</v>
      </c>
      <c r="BE920" s="70">
        <f t="shared" si="1102"/>
        <v>0</v>
      </c>
      <c r="BF920" s="70">
        <f t="shared" si="1103"/>
        <v>0</v>
      </c>
      <c r="BG920" s="34"/>
      <c r="BI920" s="47" t="b">
        <f t="shared" si="1104"/>
        <v>1</v>
      </c>
      <c r="BJ920" s="47" t="b">
        <f t="shared" si="1105"/>
        <v>1</v>
      </c>
      <c r="BK920" s="42" t="b">
        <f t="shared" si="1106"/>
        <v>0</v>
      </c>
      <c r="BL920" s="42" t="b">
        <f t="shared" si="1107"/>
        <v>0</v>
      </c>
      <c r="BM920" s="42">
        <f t="shared" si="1108"/>
        <v>0</v>
      </c>
      <c r="BN920" s="42">
        <f t="shared" si="1109"/>
        <v>0</v>
      </c>
      <c r="BP920" t="e">
        <f t="shared" si="1110"/>
        <v>#N/A</v>
      </c>
      <c r="BQ920" t="e">
        <f t="shared" si="1111"/>
        <v>#N/A</v>
      </c>
      <c r="BR920" t="e">
        <f t="shared" si="1112"/>
        <v>#N/A</v>
      </c>
      <c r="BT920" s="60">
        <f t="shared" si="1113"/>
        <v>0</v>
      </c>
      <c r="BU920" s="60">
        <f t="shared" si="1114"/>
        <v>0</v>
      </c>
      <c r="BV920" s="60">
        <f t="shared" si="1115"/>
        <v>0</v>
      </c>
      <c r="BW920" s="60">
        <f t="shared" si="1116"/>
        <v>0</v>
      </c>
      <c r="BX920" s="60">
        <f t="shared" si="1117"/>
        <v>0</v>
      </c>
      <c r="BY920" s="60">
        <f t="shared" si="1118"/>
        <v>0</v>
      </c>
      <c r="BZ920" s="60">
        <f t="shared" si="1119"/>
        <v>0</v>
      </c>
      <c r="CA920" s="60">
        <f t="shared" si="1120"/>
        <v>0</v>
      </c>
      <c r="CB920" s="60" t="e">
        <f t="shared" si="1070"/>
        <v>#N/A</v>
      </c>
      <c r="CC920" s="60">
        <f t="shared" si="1071"/>
        <v>100000</v>
      </c>
      <c r="CD920" s="60" t="e">
        <f t="shared" si="1072"/>
        <v>#N/A</v>
      </c>
      <c r="CE920" s="60">
        <f t="shared" si="1073"/>
        <v>100000</v>
      </c>
      <c r="CF920" s="83" t="e">
        <f t="shared" si="1121"/>
        <v>#N/A</v>
      </c>
      <c r="CG920" s="83">
        <f t="shared" si="1122"/>
        <v>0</v>
      </c>
      <c r="CH920" s="83" t="e">
        <f t="shared" si="1123"/>
        <v>#N/A</v>
      </c>
      <c r="CI920" s="83">
        <f t="shared" si="1124"/>
        <v>0</v>
      </c>
      <c r="CJ920" s="86" t="e">
        <f t="shared" si="1074"/>
        <v>#N/A</v>
      </c>
      <c r="CK920" s="82">
        <f t="shared" si="1075"/>
        <v>5.3070370403969858E-3</v>
      </c>
      <c r="CL920" s="82" t="e">
        <f t="shared" si="1076"/>
        <v>#N/A</v>
      </c>
      <c r="CM920" s="82">
        <f t="shared" si="1077"/>
        <v>5.3070370403969858E-3</v>
      </c>
      <c r="CO920" s="149" t="str">
        <f>IF($I920&lt;&gt;"",IF(O920="User Specified",U920,INDEX('Refrigerant GWPs'!$G$2:$G$156,MATCH(O920,'Refrigerant GWPs'!$A$2:$A$156,0))),"")</f>
        <v/>
      </c>
      <c r="CP920" s="138" t="str">
        <f>IF($I920&lt;&gt;"",INDEX('Device Refrigerant Leakage'!$E$2:$E$42,MATCH($M920,'Device Refrigerant Leakage'!$B$2:$B$42,0)),"")</f>
        <v/>
      </c>
      <c r="CQ920" s="138" t="str">
        <f>IF($I920&lt;&gt;"",INDEX('Device Refrigerant Leakage'!$F$2:$F$42,MATCH($M920,'Device Refrigerant Leakage'!$B$2:$B$42,0)),"")</f>
        <v/>
      </c>
      <c r="CR920" s="145" t="str">
        <f>IF($I920&lt;&gt;"",INDEX('Device Refrigerant Leakage'!$G$2:$G$42,MATCH($M920,'Device Refrigerant Leakage'!$B$2:$B$42,0)),"")</f>
        <v/>
      </c>
      <c r="CS920" s="145" t="str">
        <f>IF($I920&lt;&gt;"",INDEX('Device Refrigerant Leakage'!$D$2:$D$42,MATCH($M920,'Device Refrigerant Leakage'!$B$2:$B$42,0))*CP920/2204.62*CO920,"")</f>
        <v/>
      </c>
      <c r="CT920" s="145" t="str">
        <f>IF($I920&lt;&gt;"",J920*(INDEX('Device Refrigerant Leakage'!$D$2:$D$42,MATCH($M920,'Device Refrigerant Leakage'!$B$2:$B$42,0))-(INDEX('Device Refrigerant Leakage'!$D$2:$D$42,MATCH($M920,'Device Refrigerant Leakage'!$B$2:$B$42,0)))*CR920*CP920)*CQ920/2204.62*CO920,"")</f>
        <v/>
      </c>
      <c r="CU920" s="135" t="str">
        <f>IF($I920&lt;&gt;"",J920*IF(W920&lt;&gt;"AR",(CS920*K920)+CT920,(CS920*AB920)+CT920*(AB920/INDEX('Device Refrigerant Leakage'!$C$2:$C$42,MATCH($M920,'Device Refrigerant Leakage'!$B$2:$B$42,0)))),"")</f>
        <v/>
      </c>
      <c r="CW920" s="135" t="str">
        <f>IF($I920&lt;&gt;"",IF(S920="User Specified",V920,INDEX('Refrigerant GWPs'!$G$2:$G$156,MATCH(S920,'Refrigerant GWPs'!$A$2:$A$157,0))),"")</f>
        <v/>
      </c>
      <c r="CX920" s="138" t="str">
        <f>IF($I920&lt;&gt;"",INDEX('Device Refrigerant Leakage'!$E$2:$E$42,MATCH($Q920,'Device Refrigerant Leakage'!$B$2:$B$42,0)),"")</f>
        <v/>
      </c>
      <c r="CY920" s="138" t="str">
        <f>IF($I920&lt;&gt;"",INDEX('Device Refrigerant Leakage'!$F$2:$F$42,MATCH($Q920,'Device Refrigerant Leakage'!$B$2:$B$42,0)),"")</f>
        <v/>
      </c>
      <c r="CZ920" s="145" t="str">
        <f>IF($I920&lt;&gt;"",INDEX('Device Refrigerant Leakage'!$G$2:$G$42,MATCH($Q920,'Device Refrigerant Leakage'!$B$2:$B$42,0)),"")</f>
        <v/>
      </c>
      <c r="DA920" s="145" t="str">
        <f>IF($I920&lt;&gt;"",J920*INDEX('Device Refrigerant Leakage'!$D$2:$D$42,MATCH($Q920,'Device Refrigerant Leakage'!$B$2:$B$42,0))*CX920/2204.62*CW920,"")</f>
        <v/>
      </c>
      <c r="DB920" s="145" t="str">
        <f>IF($I920&lt;&gt;"",J920*(INDEX('Device Refrigerant Leakage'!$D$2:$D$42,MATCH($Q920,'Device Refrigerant Leakage'!$B$2:$B$42,0))-(INDEX('Device Refrigerant Leakage'!$D$2:$D$42,MATCH($Q920,'Device Refrigerant Leakage'!$B$2:$B$42,0)))*CZ920*CX920)*CY920/2204.62*CW920,"")</f>
        <v/>
      </c>
      <c r="DC920" s="135" t="str">
        <f t="shared" si="1096"/>
        <v/>
      </c>
      <c r="DE920" s="146" t="str">
        <f>IF(W920&lt;&gt;"AR","",IF(Y920="User Specified", AA920, INDEX('Refrigerant GWPs'!$G$2:$G$154,MATCH(Y920,'Refrigerant GWPs'!$A$2:$A$154,0))))</f>
        <v/>
      </c>
      <c r="DF920" s="146" t="str">
        <f>IF(W920&lt;&gt;"AR","",INDEX('Device Refrigerant Leakage'!$E$2:$E$42,MATCH(X920,'Device Refrigerant Leakage'!$B$2:$B$42,0)))</f>
        <v/>
      </c>
      <c r="DG920" s="146" t="str">
        <f>IF(W920&lt;&gt;"AR","",INDEX('Device Refrigerant Leakage'!$F$2:$F$42,MATCH(X920,'Device Refrigerant Leakage'!$B$2:$B$42,0)))</f>
        <v/>
      </c>
      <c r="DH920" s="146" t="str">
        <f>IF(W920&lt;&gt;"AR","",INDEX('Device Refrigerant Leakage'!$G$2:$G$42,MATCH(X920,'Device Refrigerant Leakage'!$B$2:$B$42,0)))</f>
        <v/>
      </c>
      <c r="DI920" s="146" t="str">
        <f>IF(W920&lt;&gt;"AR","",J920*INDEX('Device Refrigerant Leakage'!$D$2:$D$42,MATCH(X920,'Device Refrigerant Leakage'!$B$2:$B$42,0))*DF920/2204.62*DE920)</f>
        <v/>
      </c>
      <c r="DJ920" s="146" t="str">
        <f>IF(W920&lt;&gt;"AR","",J920*(INDEX('Device Refrigerant Leakage'!$D$2:$D$42,MATCH(X920,'Device Refrigerant Leakage'!$B$2:$B$42,0))-(INDEX('Device Refrigerant Leakage'!$D$2:$D$42,MATCH(X920,'Device Refrigerant Leakage'!$B$2:$B$42,0)))*DH920*DF920)*DG920/2204.62*DE920)</f>
        <v/>
      </c>
      <c r="DK920" s="146" t="str">
        <f>IF(W920&lt;&gt;"AR","",DI920*(K920-AB920)+'Fuel Sub Calcs-Deemed'!DJ920*((K920-AB920)/INDEX('Device Refrigerant Leakage'!$C$2:$C$42,MATCH('Fuel Sub Calcs-Deemed'!X920,'Device Refrigerant Leakage'!$B$2:$B$42,0))))</f>
        <v/>
      </c>
      <c r="DM920" s="56">
        <v>906</v>
      </c>
      <c r="DN920" s="67" t="e">
        <f t="shared" si="1078"/>
        <v>#N/A</v>
      </c>
      <c r="DO920" s="45" t="e">
        <f t="shared" si="1079"/>
        <v>#N/A</v>
      </c>
      <c r="DP920" s="67" t="e">
        <f t="shared" si="1080"/>
        <v>#N/A</v>
      </c>
      <c r="DQ920" s="45" t="e">
        <f t="shared" si="1081"/>
        <v>#N/A</v>
      </c>
      <c r="DR920" s="69" t="e">
        <f t="shared" si="1082"/>
        <v>#N/A</v>
      </c>
      <c r="DS920" s="34"/>
      <c r="DT920" s="67" t="e">
        <f>((BX920*CJ920)+IF($W920=MAT_AR,(BZ920*CL920),0))*(1+Reference!$E$50+Reference!$E$51)</f>
        <v>#N/A</v>
      </c>
      <c r="DU920" s="67">
        <f>((BY920*CK920)+IF($W920=MAT_AR,(CA920*CM920),0))*(1+Reference!$G$50+Reference!$G$51)</f>
        <v>0</v>
      </c>
      <c r="DV920" s="67" t="e">
        <f t="shared" si="1083"/>
        <v>#VALUE!</v>
      </c>
      <c r="DX920" s="56">
        <v>906</v>
      </c>
      <c r="DY920" s="67">
        <f t="shared" si="1084"/>
        <v>0</v>
      </c>
      <c r="DZ920" s="45" t="e">
        <f>VLOOKUP($R920,Dropdown!$C$3:$D$4,2,FALSE)</f>
        <v>#N/A</v>
      </c>
      <c r="EA920" s="68">
        <f t="shared" si="1085"/>
        <v>0</v>
      </c>
      <c r="EB920" s="68" t="str">
        <f t="shared" si="1086"/>
        <v>N/A</v>
      </c>
      <c r="EC920" s="68">
        <f t="shared" si="1087"/>
        <v>0</v>
      </c>
      <c r="ED920" s="68" t="str">
        <f t="shared" si="1125"/>
        <v>N/A</v>
      </c>
      <c r="EF920" s="56">
        <v>906</v>
      </c>
      <c r="EG920" s="46">
        <f t="shared" si="1088"/>
        <v>0</v>
      </c>
      <c r="EH920" s="68" t="e">
        <f t="shared" si="1089"/>
        <v>#N/A</v>
      </c>
      <c r="EI920" s="68" t="e">
        <f t="shared" si="1090"/>
        <v>#N/A</v>
      </c>
      <c r="EJ920" s="68" t="e">
        <f t="shared" si="1091"/>
        <v>#N/A</v>
      </c>
      <c r="EK920" s="68" t="e">
        <f t="shared" si="1092"/>
        <v>#N/A</v>
      </c>
      <c r="EL920" s="46">
        <f t="shared" si="1093"/>
        <v>0</v>
      </c>
      <c r="EM920" s="46">
        <f t="shared" si="1094"/>
        <v>0</v>
      </c>
    </row>
    <row r="921" spans="1:143">
      <c r="A921" s="89"/>
      <c r="B921" s="89"/>
      <c r="C921" s="89"/>
      <c r="D921" s="89"/>
      <c r="E921" s="89"/>
      <c r="F921" s="89"/>
      <c r="G921" s="34"/>
      <c r="H921" s="56">
        <f t="shared" si="1095"/>
        <v>907</v>
      </c>
      <c r="I921" s="165"/>
      <c r="J921" s="163"/>
      <c r="K921" s="163"/>
      <c r="L921" s="164"/>
      <c r="M921" s="155"/>
      <c r="N921" s="155"/>
      <c r="O921" s="144"/>
      <c r="P921" s="159" t="str">
        <f>IFERROR(IF(O921&lt;&gt;"User Specified",IF(O921&lt;&gt;"", INDEX('Refrigerant GWPs'!$G$2:$G$154,MATCH(O921,'Refrigerant GWPs'!$A$2:$A$154,0)),""),U921),0)</f>
        <v/>
      </c>
      <c r="Q921" s="155"/>
      <c r="R921" s="155"/>
      <c r="S921" s="144"/>
      <c r="T921" s="159" t="str">
        <f>IF(S921&lt;&gt;"User Specified",IF(AND(S921&lt;&gt;"User Specified",S921&lt;&gt;""), INDEX('Refrigerant GWPs'!$G$2:$G$154,MATCH(S921,'Refrigerant GWPs'!$A$2:$A$154,0)),""),V921)</f>
        <v/>
      </c>
      <c r="U921" s="144"/>
      <c r="V921" s="144"/>
      <c r="W921" s="155"/>
      <c r="X921" s="155"/>
      <c r="Y921" s="144"/>
      <c r="Z921" s="159" t="str">
        <f>IF(AND(Y921&lt;&gt;"User Specified",Y921&lt;&gt;""), INDEX('Refrigerant GWPs'!$G$2:$G$154,MATCH(Y921,'Refrigerant GWPs'!$A$2:$A$154,0)),"")</f>
        <v/>
      </c>
      <c r="AA921" s="155"/>
      <c r="AB921" s="156"/>
      <c r="AC921" s="66"/>
      <c r="AD921" s="66"/>
      <c r="AE921" s="66"/>
      <c r="AF921" s="66"/>
      <c r="AG921" s="66"/>
      <c r="AH921" s="66"/>
      <c r="AI921" s="34"/>
      <c r="AJ921" s="88">
        <f t="shared" si="1058"/>
        <v>0</v>
      </c>
      <c r="AK921" s="88">
        <f t="shared" si="1059"/>
        <v>0</v>
      </c>
      <c r="AL921" s="88">
        <v>0</v>
      </c>
      <c r="AM921" s="88">
        <v>0</v>
      </c>
      <c r="AN921" s="81" t="str">
        <f t="shared" si="1097"/>
        <v/>
      </c>
      <c r="AO921" s="88">
        <f t="shared" si="1060"/>
        <v>0</v>
      </c>
      <c r="AP921" s="88">
        <f t="shared" si="1061"/>
        <v>0</v>
      </c>
      <c r="AQ921" s="81" t="str">
        <f t="shared" si="1062"/>
        <v/>
      </c>
      <c r="AS921" s="41" t="b">
        <f t="shared" si="1063"/>
        <v>1</v>
      </c>
      <c r="AT921" s="38">
        <f t="shared" si="1064"/>
        <v>0</v>
      </c>
      <c r="AU921" s="60">
        <f t="shared" si="1065"/>
        <v>0</v>
      </c>
      <c r="AV921" s="41">
        <f t="shared" si="1066"/>
        <v>0</v>
      </c>
      <c r="AW921" s="41" t="b">
        <f t="shared" si="1067"/>
        <v>0</v>
      </c>
      <c r="AX921" t="str">
        <f t="shared" si="1068"/>
        <v>+00</v>
      </c>
      <c r="AY921" t="str">
        <f t="shared" si="1069"/>
        <v>+00</v>
      </c>
      <c r="BA921" s="47" t="b">
        <f t="shared" si="1098"/>
        <v>1</v>
      </c>
      <c r="BB921" s="42" t="b">
        <f t="shared" si="1099"/>
        <v>1</v>
      </c>
      <c r="BC921" s="42" t="b">
        <f t="shared" si="1100"/>
        <v>0</v>
      </c>
      <c r="BD921" s="42" t="b">
        <f t="shared" si="1101"/>
        <v>0</v>
      </c>
      <c r="BE921" s="70">
        <f t="shared" si="1102"/>
        <v>0</v>
      </c>
      <c r="BF921" s="70">
        <f t="shared" si="1103"/>
        <v>0</v>
      </c>
      <c r="BG921" s="34"/>
      <c r="BI921" s="47" t="b">
        <f t="shared" si="1104"/>
        <v>1</v>
      </c>
      <c r="BJ921" s="47" t="b">
        <f t="shared" si="1105"/>
        <v>1</v>
      </c>
      <c r="BK921" s="42" t="b">
        <f t="shared" si="1106"/>
        <v>0</v>
      </c>
      <c r="BL921" s="42" t="b">
        <f t="shared" si="1107"/>
        <v>0</v>
      </c>
      <c r="BM921" s="42">
        <f t="shared" si="1108"/>
        <v>0</v>
      </c>
      <c r="BN921" s="42">
        <f t="shared" si="1109"/>
        <v>0</v>
      </c>
      <c r="BP921" t="e">
        <f t="shared" si="1110"/>
        <v>#N/A</v>
      </c>
      <c r="BQ921" t="e">
        <f t="shared" si="1111"/>
        <v>#N/A</v>
      </c>
      <c r="BR921" t="e">
        <f t="shared" si="1112"/>
        <v>#N/A</v>
      </c>
      <c r="BT921" s="60">
        <f t="shared" si="1113"/>
        <v>0</v>
      </c>
      <c r="BU921" s="60">
        <f t="shared" si="1114"/>
        <v>0</v>
      </c>
      <c r="BV921" s="60">
        <f t="shared" si="1115"/>
        <v>0</v>
      </c>
      <c r="BW921" s="60">
        <f t="shared" si="1116"/>
        <v>0</v>
      </c>
      <c r="BX921" s="60">
        <f t="shared" si="1117"/>
        <v>0</v>
      </c>
      <c r="BY921" s="60">
        <f t="shared" si="1118"/>
        <v>0</v>
      </c>
      <c r="BZ921" s="60">
        <f t="shared" si="1119"/>
        <v>0</v>
      </c>
      <c r="CA921" s="60">
        <f t="shared" si="1120"/>
        <v>0</v>
      </c>
      <c r="CB921" s="60" t="e">
        <f t="shared" si="1070"/>
        <v>#N/A</v>
      </c>
      <c r="CC921" s="60">
        <f t="shared" si="1071"/>
        <v>100000</v>
      </c>
      <c r="CD921" s="60" t="e">
        <f t="shared" si="1072"/>
        <v>#N/A</v>
      </c>
      <c r="CE921" s="60">
        <f t="shared" si="1073"/>
        <v>100000</v>
      </c>
      <c r="CF921" s="83" t="e">
        <f t="shared" si="1121"/>
        <v>#N/A</v>
      </c>
      <c r="CG921" s="83">
        <f t="shared" si="1122"/>
        <v>0</v>
      </c>
      <c r="CH921" s="83" t="e">
        <f t="shared" si="1123"/>
        <v>#N/A</v>
      </c>
      <c r="CI921" s="83">
        <f t="shared" si="1124"/>
        <v>0</v>
      </c>
      <c r="CJ921" s="86" t="e">
        <f t="shared" si="1074"/>
        <v>#N/A</v>
      </c>
      <c r="CK921" s="82">
        <f t="shared" si="1075"/>
        <v>5.3070370403969858E-3</v>
      </c>
      <c r="CL921" s="82" t="e">
        <f t="shared" si="1076"/>
        <v>#N/A</v>
      </c>
      <c r="CM921" s="82">
        <f t="shared" si="1077"/>
        <v>5.3070370403969858E-3</v>
      </c>
      <c r="CO921" s="149" t="str">
        <f>IF($I921&lt;&gt;"",IF(O921="User Specified",U921,INDEX('Refrigerant GWPs'!$G$2:$G$156,MATCH(O921,'Refrigerant GWPs'!$A$2:$A$156,0))),"")</f>
        <v/>
      </c>
      <c r="CP921" s="138" t="str">
        <f>IF($I921&lt;&gt;"",INDEX('Device Refrigerant Leakage'!$E$2:$E$42,MATCH($M921,'Device Refrigerant Leakage'!$B$2:$B$42,0)),"")</f>
        <v/>
      </c>
      <c r="CQ921" s="138" t="str">
        <f>IF($I921&lt;&gt;"",INDEX('Device Refrigerant Leakage'!$F$2:$F$42,MATCH($M921,'Device Refrigerant Leakage'!$B$2:$B$42,0)),"")</f>
        <v/>
      </c>
      <c r="CR921" s="145" t="str">
        <f>IF($I921&lt;&gt;"",INDEX('Device Refrigerant Leakage'!$G$2:$G$42,MATCH($M921,'Device Refrigerant Leakage'!$B$2:$B$42,0)),"")</f>
        <v/>
      </c>
      <c r="CS921" s="145" t="str">
        <f>IF($I921&lt;&gt;"",INDEX('Device Refrigerant Leakage'!$D$2:$D$42,MATCH($M921,'Device Refrigerant Leakage'!$B$2:$B$42,0))*CP921/2204.62*CO921,"")</f>
        <v/>
      </c>
      <c r="CT921" s="145" t="str">
        <f>IF($I921&lt;&gt;"",J921*(INDEX('Device Refrigerant Leakage'!$D$2:$D$42,MATCH($M921,'Device Refrigerant Leakage'!$B$2:$B$42,0))-(INDEX('Device Refrigerant Leakage'!$D$2:$D$42,MATCH($M921,'Device Refrigerant Leakage'!$B$2:$B$42,0)))*CR921*CP921)*CQ921/2204.62*CO921,"")</f>
        <v/>
      </c>
      <c r="CU921" s="135" t="str">
        <f>IF($I921&lt;&gt;"",J921*IF(W921&lt;&gt;"AR",(CS921*K921)+CT921,(CS921*AB921)+CT921*(AB921/INDEX('Device Refrigerant Leakage'!$C$2:$C$42,MATCH($M921,'Device Refrigerant Leakage'!$B$2:$B$42,0)))),"")</f>
        <v/>
      </c>
      <c r="CW921" s="135" t="str">
        <f>IF($I921&lt;&gt;"",IF(S921="User Specified",V921,INDEX('Refrigerant GWPs'!$G$2:$G$156,MATCH(S921,'Refrigerant GWPs'!$A$2:$A$157,0))),"")</f>
        <v/>
      </c>
      <c r="CX921" s="138" t="str">
        <f>IF($I921&lt;&gt;"",INDEX('Device Refrigerant Leakage'!$E$2:$E$42,MATCH($Q921,'Device Refrigerant Leakage'!$B$2:$B$42,0)),"")</f>
        <v/>
      </c>
      <c r="CY921" s="138" t="str">
        <f>IF($I921&lt;&gt;"",INDEX('Device Refrigerant Leakage'!$F$2:$F$42,MATCH($Q921,'Device Refrigerant Leakage'!$B$2:$B$42,0)),"")</f>
        <v/>
      </c>
      <c r="CZ921" s="145" t="str">
        <f>IF($I921&lt;&gt;"",INDEX('Device Refrigerant Leakage'!$G$2:$G$42,MATCH($Q921,'Device Refrigerant Leakage'!$B$2:$B$42,0)),"")</f>
        <v/>
      </c>
      <c r="DA921" s="145" t="str">
        <f>IF($I921&lt;&gt;"",J921*INDEX('Device Refrigerant Leakage'!$D$2:$D$42,MATCH($Q921,'Device Refrigerant Leakage'!$B$2:$B$42,0))*CX921/2204.62*CW921,"")</f>
        <v/>
      </c>
      <c r="DB921" s="145" t="str">
        <f>IF($I921&lt;&gt;"",J921*(INDEX('Device Refrigerant Leakage'!$D$2:$D$42,MATCH($Q921,'Device Refrigerant Leakage'!$B$2:$B$42,0))-(INDEX('Device Refrigerant Leakage'!$D$2:$D$42,MATCH($Q921,'Device Refrigerant Leakage'!$B$2:$B$42,0)))*CZ921*CX921)*CY921/2204.62*CW921,"")</f>
        <v/>
      </c>
      <c r="DC921" s="135" t="str">
        <f t="shared" si="1096"/>
        <v/>
      </c>
      <c r="DE921" s="146" t="str">
        <f>IF(W921&lt;&gt;"AR","",IF(Y921="User Specified", AA921, INDEX('Refrigerant GWPs'!$G$2:$G$154,MATCH(Y921,'Refrigerant GWPs'!$A$2:$A$154,0))))</f>
        <v/>
      </c>
      <c r="DF921" s="146" t="str">
        <f>IF(W921&lt;&gt;"AR","",INDEX('Device Refrigerant Leakage'!$E$2:$E$42,MATCH(X921,'Device Refrigerant Leakage'!$B$2:$B$42,0)))</f>
        <v/>
      </c>
      <c r="DG921" s="146" t="str">
        <f>IF(W921&lt;&gt;"AR","",INDEX('Device Refrigerant Leakage'!$F$2:$F$42,MATCH(X921,'Device Refrigerant Leakage'!$B$2:$B$42,0)))</f>
        <v/>
      </c>
      <c r="DH921" s="146" t="str">
        <f>IF(W921&lt;&gt;"AR","",INDEX('Device Refrigerant Leakage'!$G$2:$G$42,MATCH(X921,'Device Refrigerant Leakage'!$B$2:$B$42,0)))</f>
        <v/>
      </c>
      <c r="DI921" s="146" t="str">
        <f>IF(W921&lt;&gt;"AR","",J921*INDEX('Device Refrigerant Leakage'!$D$2:$D$42,MATCH(X921,'Device Refrigerant Leakage'!$B$2:$B$42,0))*DF921/2204.62*DE921)</f>
        <v/>
      </c>
      <c r="DJ921" s="146" t="str">
        <f>IF(W921&lt;&gt;"AR","",J921*(INDEX('Device Refrigerant Leakage'!$D$2:$D$42,MATCH(X921,'Device Refrigerant Leakage'!$B$2:$B$42,0))-(INDEX('Device Refrigerant Leakage'!$D$2:$D$42,MATCH(X921,'Device Refrigerant Leakage'!$B$2:$B$42,0)))*DH921*DF921)*DG921/2204.62*DE921)</f>
        <v/>
      </c>
      <c r="DK921" s="146" t="str">
        <f>IF(W921&lt;&gt;"AR","",DI921*(K921-AB921)+'Fuel Sub Calcs-Deemed'!DJ921*((K921-AB921)/INDEX('Device Refrigerant Leakage'!$C$2:$C$42,MATCH('Fuel Sub Calcs-Deemed'!X921,'Device Refrigerant Leakage'!$B$2:$B$42,0))))</f>
        <v/>
      </c>
      <c r="DM921" s="56">
        <v>907</v>
      </c>
      <c r="DN921" s="67" t="e">
        <f t="shared" si="1078"/>
        <v>#N/A</v>
      </c>
      <c r="DO921" s="45" t="e">
        <f t="shared" si="1079"/>
        <v>#N/A</v>
      </c>
      <c r="DP921" s="67" t="e">
        <f t="shared" si="1080"/>
        <v>#N/A</v>
      </c>
      <c r="DQ921" s="45" t="e">
        <f t="shared" si="1081"/>
        <v>#N/A</v>
      </c>
      <c r="DR921" s="69" t="e">
        <f t="shared" si="1082"/>
        <v>#N/A</v>
      </c>
      <c r="DS921" s="34"/>
      <c r="DT921" s="67" t="e">
        <f>((BX921*CJ921)+IF($W921=MAT_AR,(BZ921*CL921),0))*(1+Reference!$E$50+Reference!$E$51)</f>
        <v>#N/A</v>
      </c>
      <c r="DU921" s="67">
        <f>((BY921*CK921)+IF($W921=MAT_AR,(CA921*CM921),0))*(1+Reference!$G$50+Reference!$G$51)</f>
        <v>0</v>
      </c>
      <c r="DV921" s="67" t="e">
        <f t="shared" si="1083"/>
        <v>#VALUE!</v>
      </c>
      <c r="DX921" s="56">
        <v>907</v>
      </c>
      <c r="DY921" s="67">
        <f t="shared" si="1084"/>
        <v>0</v>
      </c>
      <c r="DZ921" s="45" t="e">
        <f>VLOOKUP($R921,Dropdown!$C$3:$D$4,2,FALSE)</f>
        <v>#N/A</v>
      </c>
      <c r="EA921" s="68">
        <f t="shared" si="1085"/>
        <v>0</v>
      </c>
      <c r="EB921" s="68" t="str">
        <f t="shared" si="1086"/>
        <v>N/A</v>
      </c>
      <c r="EC921" s="68">
        <f t="shared" si="1087"/>
        <v>0</v>
      </c>
      <c r="ED921" s="68" t="str">
        <f t="shared" si="1125"/>
        <v>N/A</v>
      </c>
      <c r="EF921" s="56">
        <v>907</v>
      </c>
      <c r="EG921" s="46">
        <f t="shared" si="1088"/>
        <v>0</v>
      </c>
      <c r="EH921" s="68" t="e">
        <f t="shared" si="1089"/>
        <v>#N/A</v>
      </c>
      <c r="EI921" s="68" t="e">
        <f t="shared" si="1090"/>
        <v>#N/A</v>
      </c>
      <c r="EJ921" s="68" t="e">
        <f t="shared" si="1091"/>
        <v>#N/A</v>
      </c>
      <c r="EK921" s="68" t="e">
        <f t="shared" si="1092"/>
        <v>#N/A</v>
      </c>
      <c r="EL921" s="46">
        <f t="shared" si="1093"/>
        <v>0</v>
      </c>
      <c r="EM921" s="46">
        <f t="shared" si="1094"/>
        <v>0</v>
      </c>
    </row>
    <row r="922" spans="1:143">
      <c r="A922" s="89"/>
      <c r="B922" s="89"/>
      <c r="C922" s="89"/>
      <c r="D922" s="89"/>
      <c r="E922" s="89"/>
      <c r="F922" s="89"/>
      <c r="G922" s="34"/>
      <c r="H922" s="56">
        <f t="shared" si="1095"/>
        <v>908</v>
      </c>
      <c r="I922" s="165"/>
      <c r="J922" s="163"/>
      <c r="K922" s="163"/>
      <c r="L922" s="164"/>
      <c r="M922" s="155"/>
      <c r="N922" s="155"/>
      <c r="O922" s="144"/>
      <c r="P922" s="159" t="str">
        <f>IFERROR(IF(O922&lt;&gt;"User Specified",IF(O922&lt;&gt;"", INDEX('Refrigerant GWPs'!$G$2:$G$154,MATCH(O922,'Refrigerant GWPs'!$A$2:$A$154,0)),""),U922),0)</f>
        <v/>
      </c>
      <c r="Q922" s="155"/>
      <c r="R922" s="155"/>
      <c r="S922" s="144"/>
      <c r="T922" s="159" t="str">
        <f>IF(S922&lt;&gt;"User Specified",IF(AND(S922&lt;&gt;"User Specified",S922&lt;&gt;""), INDEX('Refrigerant GWPs'!$G$2:$G$154,MATCH(S922,'Refrigerant GWPs'!$A$2:$A$154,0)),""),V922)</f>
        <v/>
      </c>
      <c r="U922" s="144"/>
      <c r="V922" s="144"/>
      <c r="W922" s="155"/>
      <c r="X922" s="155"/>
      <c r="Y922" s="144"/>
      <c r="Z922" s="159" t="str">
        <f>IF(AND(Y922&lt;&gt;"User Specified",Y922&lt;&gt;""), INDEX('Refrigerant GWPs'!$G$2:$G$154,MATCH(Y922,'Refrigerant GWPs'!$A$2:$A$154,0)),"")</f>
        <v/>
      </c>
      <c r="AA922" s="155"/>
      <c r="AB922" s="156"/>
      <c r="AC922" s="66"/>
      <c r="AD922" s="66"/>
      <c r="AE922" s="66"/>
      <c r="AF922" s="66"/>
      <c r="AG922" s="66"/>
      <c r="AH922" s="66"/>
      <c r="AI922" s="34"/>
      <c r="AJ922" s="88">
        <f t="shared" si="1058"/>
        <v>0</v>
      </c>
      <c r="AK922" s="88">
        <f t="shared" si="1059"/>
        <v>0</v>
      </c>
      <c r="AL922" s="88">
        <v>0</v>
      </c>
      <c r="AM922" s="88">
        <v>0</v>
      </c>
      <c r="AN922" s="81" t="str">
        <f t="shared" si="1097"/>
        <v/>
      </c>
      <c r="AO922" s="88">
        <f t="shared" si="1060"/>
        <v>0</v>
      </c>
      <c r="AP922" s="88">
        <f t="shared" si="1061"/>
        <v>0</v>
      </c>
      <c r="AQ922" s="81" t="str">
        <f t="shared" si="1062"/>
        <v/>
      </c>
      <c r="AS922" s="41" t="b">
        <f t="shared" si="1063"/>
        <v>1</v>
      </c>
      <c r="AT922" s="38">
        <f t="shared" si="1064"/>
        <v>0</v>
      </c>
      <c r="AU922" s="60">
        <f t="shared" si="1065"/>
        <v>0</v>
      </c>
      <c r="AV922" s="41">
        <f t="shared" si="1066"/>
        <v>0</v>
      </c>
      <c r="AW922" s="41" t="b">
        <f t="shared" si="1067"/>
        <v>0</v>
      </c>
      <c r="AX922" t="str">
        <f t="shared" si="1068"/>
        <v>+00</v>
      </c>
      <c r="AY922" t="str">
        <f t="shared" si="1069"/>
        <v>+00</v>
      </c>
      <c r="BA922" s="47" t="b">
        <f t="shared" si="1098"/>
        <v>1</v>
      </c>
      <c r="BB922" s="42" t="b">
        <f t="shared" si="1099"/>
        <v>1</v>
      </c>
      <c r="BC922" s="42" t="b">
        <f t="shared" si="1100"/>
        <v>0</v>
      </c>
      <c r="BD922" s="42" t="b">
        <f t="shared" si="1101"/>
        <v>0</v>
      </c>
      <c r="BE922" s="70">
        <f t="shared" si="1102"/>
        <v>0</v>
      </c>
      <c r="BF922" s="70">
        <f t="shared" si="1103"/>
        <v>0</v>
      </c>
      <c r="BG922" s="34"/>
      <c r="BI922" s="47" t="b">
        <f t="shared" si="1104"/>
        <v>1</v>
      </c>
      <c r="BJ922" s="47" t="b">
        <f t="shared" si="1105"/>
        <v>1</v>
      </c>
      <c r="BK922" s="42" t="b">
        <f t="shared" si="1106"/>
        <v>0</v>
      </c>
      <c r="BL922" s="42" t="b">
        <f t="shared" si="1107"/>
        <v>0</v>
      </c>
      <c r="BM922" s="42">
        <f t="shared" si="1108"/>
        <v>0</v>
      </c>
      <c r="BN922" s="42">
        <f t="shared" si="1109"/>
        <v>0</v>
      </c>
      <c r="BP922" t="e">
        <f t="shared" si="1110"/>
        <v>#N/A</v>
      </c>
      <c r="BQ922" t="e">
        <f t="shared" si="1111"/>
        <v>#N/A</v>
      </c>
      <c r="BR922" t="e">
        <f t="shared" si="1112"/>
        <v>#N/A</v>
      </c>
      <c r="BT922" s="60">
        <f t="shared" si="1113"/>
        <v>0</v>
      </c>
      <c r="BU922" s="60">
        <f t="shared" si="1114"/>
        <v>0</v>
      </c>
      <c r="BV922" s="60">
        <f t="shared" si="1115"/>
        <v>0</v>
      </c>
      <c r="BW922" s="60">
        <f t="shared" si="1116"/>
        <v>0</v>
      </c>
      <c r="BX922" s="60">
        <f t="shared" si="1117"/>
        <v>0</v>
      </c>
      <c r="BY922" s="60">
        <f t="shared" si="1118"/>
        <v>0</v>
      </c>
      <c r="BZ922" s="60">
        <f t="shared" si="1119"/>
        <v>0</v>
      </c>
      <c r="CA922" s="60">
        <f t="shared" si="1120"/>
        <v>0</v>
      </c>
      <c r="CB922" s="60" t="e">
        <f t="shared" si="1070"/>
        <v>#N/A</v>
      </c>
      <c r="CC922" s="60">
        <f t="shared" si="1071"/>
        <v>100000</v>
      </c>
      <c r="CD922" s="60" t="e">
        <f t="shared" si="1072"/>
        <v>#N/A</v>
      </c>
      <c r="CE922" s="60">
        <f t="shared" si="1073"/>
        <v>100000</v>
      </c>
      <c r="CF922" s="83" t="e">
        <f t="shared" si="1121"/>
        <v>#N/A</v>
      </c>
      <c r="CG922" s="83">
        <f t="shared" si="1122"/>
        <v>0</v>
      </c>
      <c r="CH922" s="83" t="e">
        <f t="shared" si="1123"/>
        <v>#N/A</v>
      </c>
      <c r="CI922" s="83">
        <f t="shared" si="1124"/>
        <v>0</v>
      </c>
      <c r="CJ922" s="86" t="e">
        <f t="shared" si="1074"/>
        <v>#N/A</v>
      </c>
      <c r="CK922" s="82">
        <f t="shared" si="1075"/>
        <v>5.3070370403969858E-3</v>
      </c>
      <c r="CL922" s="82" t="e">
        <f t="shared" si="1076"/>
        <v>#N/A</v>
      </c>
      <c r="CM922" s="82">
        <f t="shared" si="1077"/>
        <v>5.3070370403969858E-3</v>
      </c>
      <c r="CO922" s="149" t="str">
        <f>IF($I922&lt;&gt;"",IF(O922="User Specified",U922,INDEX('Refrigerant GWPs'!$G$2:$G$156,MATCH(O922,'Refrigerant GWPs'!$A$2:$A$156,0))),"")</f>
        <v/>
      </c>
      <c r="CP922" s="138" t="str">
        <f>IF($I922&lt;&gt;"",INDEX('Device Refrigerant Leakage'!$E$2:$E$42,MATCH($M922,'Device Refrigerant Leakage'!$B$2:$B$42,0)),"")</f>
        <v/>
      </c>
      <c r="CQ922" s="138" t="str">
        <f>IF($I922&lt;&gt;"",INDEX('Device Refrigerant Leakage'!$F$2:$F$42,MATCH($M922,'Device Refrigerant Leakage'!$B$2:$B$42,0)),"")</f>
        <v/>
      </c>
      <c r="CR922" s="145" t="str">
        <f>IF($I922&lt;&gt;"",INDEX('Device Refrigerant Leakage'!$G$2:$G$42,MATCH($M922,'Device Refrigerant Leakage'!$B$2:$B$42,0)),"")</f>
        <v/>
      </c>
      <c r="CS922" s="145" t="str">
        <f>IF($I922&lt;&gt;"",INDEX('Device Refrigerant Leakage'!$D$2:$D$42,MATCH($M922,'Device Refrigerant Leakage'!$B$2:$B$42,0))*CP922/2204.62*CO922,"")</f>
        <v/>
      </c>
      <c r="CT922" s="145" t="str">
        <f>IF($I922&lt;&gt;"",J922*(INDEX('Device Refrigerant Leakage'!$D$2:$D$42,MATCH($M922,'Device Refrigerant Leakage'!$B$2:$B$42,0))-(INDEX('Device Refrigerant Leakage'!$D$2:$D$42,MATCH($M922,'Device Refrigerant Leakage'!$B$2:$B$42,0)))*CR922*CP922)*CQ922/2204.62*CO922,"")</f>
        <v/>
      </c>
      <c r="CU922" s="135" t="str">
        <f>IF($I922&lt;&gt;"",J922*IF(W922&lt;&gt;"AR",(CS922*K922)+CT922,(CS922*AB922)+CT922*(AB922/INDEX('Device Refrigerant Leakage'!$C$2:$C$42,MATCH($M922,'Device Refrigerant Leakage'!$B$2:$B$42,0)))),"")</f>
        <v/>
      </c>
      <c r="CW922" s="135" t="str">
        <f>IF($I922&lt;&gt;"",IF(S922="User Specified",V922,INDEX('Refrigerant GWPs'!$G$2:$G$156,MATCH(S922,'Refrigerant GWPs'!$A$2:$A$157,0))),"")</f>
        <v/>
      </c>
      <c r="CX922" s="138" t="str">
        <f>IF($I922&lt;&gt;"",INDEX('Device Refrigerant Leakage'!$E$2:$E$42,MATCH($Q922,'Device Refrigerant Leakage'!$B$2:$B$42,0)),"")</f>
        <v/>
      </c>
      <c r="CY922" s="138" t="str">
        <f>IF($I922&lt;&gt;"",INDEX('Device Refrigerant Leakage'!$F$2:$F$42,MATCH($Q922,'Device Refrigerant Leakage'!$B$2:$B$42,0)),"")</f>
        <v/>
      </c>
      <c r="CZ922" s="145" t="str">
        <f>IF($I922&lt;&gt;"",INDEX('Device Refrigerant Leakage'!$G$2:$G$42,MATCH($Q922,'Device Refrigerant Leakage'!$B$2:$B$42,0)),"")</f>
        <v/>
      </c>
      <c r="DA922" s="145" t="str">
        <f>IF($I922&lt;&gt;"",J922*INDEX('Device Refrigerant Leakage'!$D$2:$D$42,MATCH($Q922,'Device Refrigerant Leakage'!$B$2:$B$42,0))*CX922/2204.62*CW922,"")</f>
        <v/>
      </c>
      <c r="DB922" s="145" t="str">
        <f>IF($I922&lt;&gt;"",J922*(INDEX('Device Refrigerant Leakage'!$D$2:$D$42,MATCH($Q922,'Device Refrigerant Leakage'!$B$2:$B$42,0))-(INDEX('Device Refrigerant Leakage'!$D$2:$D$42,MATCH($Q922,'Device Refrigerant Leakage'!$B$2:$B$42,0)))*CZ922*CX922)*CY922/2204.62*CW922,"")</f>
        <v/>
      </c>
      <c r="DC922" s="135" t="str">
        <f t="shared" si="1096"/>
        <v/>
      </c>
      <c r="DE922" s="146" t="str">
        <f>IF(W922&lt;&gt;"AR","",IF(Y922="User Specified", AA922, INDEX('Refrigerant GWPs'!$G$2:$G$154,MATCH(Y922,'Refrigerant GWPs'!$A$2:$A$154,0))))</f>
        <v/>
      </c>
      <c r="DF922" s="146" t="str">
        <f>IF(W922&lt;&gt;"AR","",INDEX('Device Refrigerant Leakage'!$E$2:$E$42,MATCH(X922,'Device Refrigerant Leakage'!$B$2:$B$42,0)))</f>
        <v/>
      </c>
      <c r="DG922" s="146" t="str">
        <f>IF(W922&lt;&gt;"AR","",INDEX('Device Refrigerant Leakage'!$F$2:$F$42,MATCH(X922,'Device Refrigerant Leakage'!$B$2:$B$42,0)))</f>
        <v/>
      </c>
      <c r="DH922" s="146" t="str">
        <f>IF(W922&lt;&gt;"AR","",INDEX('Device Refrigerant Leakage'!$G$2:$G$42,MATCH(X922,'Device Refrigerant Leakage'!$B$2:$B$42,0)))</f>
        <v/>
      </c>
      <c r="DI922" s="146" t="str">
        <f>IF(W922&lt;&gt;"AR","",J922*INDEX('Device Refrigerant Leakage'!$D$2:$D$42,MATCH(X922,'Device Refrigerant Leakage'!$B$2:$B$42,0))*DF922/2204.62*DE922)</f>
        <v/>
      </c>
      <c r="DJ922" s="146" t="str">
        <f>IF(W922&lt;&gt;"AR","",J922*(INDEX('Device Refrigerant Leakage'!$D$2:$D$42,MATCH(X922,'Device Refrigerant Leakage'!$B$2:$B$42,0))-(INDEX('Device Refrigerant Leakage'!$D$2:$D$42,MATCH(X922,'Device Refrigerant Leakage'!$B$2:$B$42,0)))*DH922*DF922)*DG922/2204.62*DE922)</f>
        <v/>
      </c>
      <c r="DK922" s="146" t="str">
        <f>IF(W922&lt;&gt;"AR","",DI922*(K922-AB922)+'Fuel Sub Calcs-Deemed'!DJ922*((K922-AB922)/INDEX('Device Refrigerant Leakage'!$C$2:$C$42,MATCH('Fuel Sub Calcs-Deemed'!X922,'Device Refrigerant Leakage'!$B$2:$B$42,0))))</f>
        <v/>
      </c>
      <c r="DM922" s="56">
        <v>908</v>
      </c>
      <c r="DN922" s="67" t="e">
        <f t="shared" si="1078"/>
        <v>#N/A</v>
      </c>
      <c r="DO922" s="45" t="e">
        <f t="shared" si="1079"/>
        <v>#N/A</v>
      </c>
      <c r="DP922" s="67" t="e">
        <f t="shared" si="1080"/>
        <v>#N/A</v>
      </c>
      <c r="DQ922" s="45" t="e">
        <f t="shared" si="1081"/>
        <v>#N/A</v>
      </c>
      <c r="DR922" s="69" t="e">
        <f t="shared" si="1082"/>
        <v>#N/A</v>
      </c>
      <c r="DS922" s="34"/>
      <c r="DT922" s="67" t="e">
        <f>((BX922*CJ922)+IF($W922=MAT_AR,(BZ922*CL922),0))*(1+Reference!$E$50+Reference!$E$51)</f>
        <v>#N/A</v>
      </c>
      <c r="DU922" s="67">
        <f>((BY922*CK922)+IF($W922=MAT_AR,(CA922*CM922),0))*(1+Reference!$G$50+Reference!$G$51)</f>
        <v>0</v>
      </c>
      <c r="DV922" s="67" t="e">
        <f t="shared" si="1083"/>
        <v>#VALUE!</v>
      </c>
      <c r="DX922" s="56">
        <v>908</v>
      </c>
      <c r="DY922" s="67">
        <f t="shared" si="1084"/>
        <v>0</v>
      </c>
      <c r="DZ922" s="45" t="e">
        <f>VLOOKUP($R922,Dropdown!$C$3:$D$4,2,FALSE)</f>
        <v>#N/A</v>
      </c>
      <c r="EA922" s="68">
        <f t="shared" si="1085"/>
        <v>0</v>
      </c>
      <c r="EB922" s="68" t="str">
        <f t="shared" si="1086"/>
        <v>N/A</v>
      </c>
      <c r="EC922" s="68">
        <f t="shared" si="1087"/>
        <v>0</v>
      </c>
      <c r="ED922" s="68" t="str">
        <f t="shared" si="1125"/>
        <v>N/A</v>
      </c>
      <c r="EF922" s="56">
        <v>908</v>
      </c>
      <c r="EG922" s="46">
        <f t="shared" si="1088"/>
        <v>0</v>
      </c>
      <c r="EH922" s="68" t="e">
        <f t="shared" si="1089"/>
        <v>#N/A</v>
      </c>
      <c r="EI922" s="68" t="e">
        <f t="shared" si="1090"/>
        <v>#N/A</v>
      </c>
      <c r="EJ922" s="68" t="e">
        <f t="shared" si="1091"/>
        <v>#N/A</v>
      </c>
      <c r="EK922" s="68" t="e">
        <f t="shared" si="1092"/>
        <v>#N/A</v>
      </c>
      <c r="EL922" s="46">
        <f t="shared" si="1093"/>
        <v>0</v>
      </c>
      <c r="EM922" s="46">
        <f t="shared" si="1094"/>
        <v>0</v>
      </c>
    </row>
    <row r="923" spans="1:143">
      <c r="A923" s="89"/>
      <c r="B923" s="89"/>
      <c r="C923" s="89"/>
      <c r="D923" s="89"/>
      <c r="E923" s="89"/>
      <c r="F923" s="89"/>
      <c r="G923" s="34"/>
      <c r="H923" s="56">
        <f t="shared" si="1095"/>
        <v>909</v>
      </c>
      <c r="I923" s="165"/>
      <c r="J923" s="163"/>
      <c r="K923" s="163"/>
      <c r="L923" s="164"/>
      <c r="M923" s="155"/>
      <c r="N923" s="155"/>
      <c r="O923" s="144"/>
      <c r="P923" s="159" t="str">
        <f>IFERROR(IF(O923&lt;&gt;"User Specified",IF(O923&lt;&gt;"", INDEX('Refrigerant GWPs'!$G$2:$G$154,MATCH(O923,'Refrigerant GWPs'!$A$2:$A$154,0)),""),U923),0)</f>
        <v/>
      </c>
      <c r="Q923" s="155"/>
      <c r="R923" s="155"/>
      <c r="S923" s="144"/>
      <c r="T923" s="159" t="str">
        <f>IF(S923&lt;&gt;"User Specified",IF(AND(S923&lt;&gt;"User Specified",S923&lt;&gt;""), INDEX('Refrigerant GWPs'!$G$2:$G$154,MATCH(S923,'Refrigerant GWPs'!$A$2:$A$154,0)),""),V923)</f>
        <v/>
      </c>
      <c r="U923" s="144"/>
      <c r="V923" s="144"/>
      <c r="W923" s="155"/>
      <c r="X923" s="155"/>
      <c r="Y923" s="144"/>
      <c r="Z923" s="159" t="str">
        <f>IF(AND(Y923&lt;&gt;"User Specified",Y923&lt;&gt;""), INDEX('Refrigerant GWPs'!$G$2:$G$154,MATCH(Y923,'Refrigerant GWPs'!$A$2:$A$154,0)),"")</f>
        <v/>
      </c>
      <c r="AA923" s="155"/>
      <c r="AB923" s="156"/>
      <c r="AC923" s="66"/>
      <c r="AD923" s="66"/>
      <c r="AE923" s="66"/>
      <c r="AF923" s="66"/>
      <c r="AG923" s="66"/>
      <c r="AH923" s="66"/>
      <c r="AI923" s="34"/>
      <c r="AJ923" s="88">
        <f t="shared" si="1058"/>
        <v>0</v>
      </c>
      <c r="AK923" s="88">
        <f t="shared" si="1059"/>
        <v>0</v>
      </c>
      <c r="AL923" s="88">
        <v>0</v>
      </c>
      <c r="AM923" s="88">
        <v>0</v>
      </c>
      <c r="AN923" s="81" t="str">
        <f t="shared" si="1097"/>
        <v/>
      </c>
      <c r="AO923" s="88">
        <f t="shared" si="1060"/>
        <v>0</v>
      </c>
      <c r="AP923" s="88">
        <f t="shared" si="1061"/>
        <v>0</v>
      </c>
      <c r="AQ923" s="81" t="str">
        <f t="shared" si="1062"/>
        <v/>
      </c>
      <c r="AS923" s="41" t="b">
        <f t="shared" si="1063"/>
        <v>1</v>
      </c>
      <c r="AT923" s="38">
        <f t="shared" si="1064"/>
        <v>0</v>
      </c>
      <c r="AU923" s="60">
        <f t="shared" si="1065"/>
        <v>0</v>
      </c>
      <c r="AV923" s="41">
        <f t="shared" si="1066"/>
        <v>0</v>
      </c>
      <c r="AW923" s="41" t="b">
        <f t="shared" si="1067"/>
        <v>0</v>
      </c>
      <c r="AX923" t="str">
        <f t="shared" si="1068"/>
        <v>+00</v>
      </c>
      <c r="AY923" t="str">
        <f t="shared" si="1069"/>
        <v>+00</v>
      </c>
      <c r="BA923" s="47" t="b">
        <f t="shared" si="1098"/>
        <v>1</v>
      </c>
      <c r="BB923" s="42" t="b">
        <f t="shared" si="1099"/>
        <v>1</v>
      </c>
      <c r="BC923" s="42" t="b">
        <f t="shared" si="1100"/>
        <v>0</v>
      </c>
      <c r="BD923" s="42" t="b">
        <f t="shared" si="1101"/>
        <v>0</v>
      </c>
      <c r="BE923" s="70">
        <f t="shared" si="1102"/>
        <v>0</v>
      </c>
      <c r="BF923" s="70">
        <f t="shared" si="1103"/>
        <v>0</v>
      </c>
      <c r="BG923" s="34"/>
      <c r="BI923" s="47" t="b">
        <f t="shared" si="1104"/>
        <v>1</v>
      </c>
      <c r="BJ923" s="47" t="b">
        <f t="shared" si="1105"/>
        <v>1</v>
      </c>
      <c r="BK923" s="42" t="b">
        <f t="shared" si="1106"/>
        <v>0</v>
      </c>
      <c r="BL923" s="42" t="b">
        <f t="shared" si="1107"/>
        <v>0</v>
      </c>
      <c r="BM923" s="42">
        <f t="shared" si="1108"/>
        <v>0</v>
      </c>
      <c r="BN923" s="42">
        <f t="shared" si="1109"/>
        <v>0</v>
      </c>
      <c r="BP923" t="e">
        <f t="shared" si="1110"/>
        <v>#N/A</v>
      </c>
      <c r="BQ923" t="e">
        <f t="shared" si="1111"/>
        <v>#N/A</v>
      </c>
      <c r="BR923" t="e">
        <f t="shared" si="1112"/>
        <v>#N/A</v>
      </c>
      <c r="BT923" s="60">
        <f t="shared" si="1113"/>
        <v>0</v>
      </c>
      <c r="BU923" s="60">
        <f t="shared" si="1114"/>
        <v>0</v>
      </c>
      <c r="BV923" s="60">
        <f t="shared" si="1115"/>
        <v>0</v>
      </c>
      <c r="BW923" s="60">
        <f t="shared" si="1116"/>
        <v>0</v>
      </c>
      <c r="BX923" s="60">
        <f t="shared" si="1117"/>
        <v>0</v>
      </c>
      <c r="BY923" s="60">
        <f t="shared" si="1118"/>
        <v>0</v>
      </c>
      <c r="BZ923" s="60">
        <f t="shared" si="1119"/>
        <v>0</v>
      </c>
      <c r="CA923" s="60">
        <f t="shared" si="1120"/>
        <v>0</v>
      </c>
      <c r="CB923" s="60" t="e">
        <f t="shared" si="1070"/>
        <v>#N/A</v>
      </c>
      <c r="CC923" s="60">
        <f t="shared" si="1071"/>
        <v>100000</v>
      </c>
      <c r="CD923" s="60" t="e">
        <f t="shared" si="1072"/>
        <v>#N/A</v>
      </c>
      <c r="CE923" s="60">
        <f t="shared" si="1073"/>
        <v>100000</v>
      </c>
      <c r="CF923" s="83" t="e">
        <f t="shared" si="1121"/>
        <v>#N/A</v>
      </c>
      <c r="CG923" s="83">
        <f t="shared" si="1122"/>
        <v>0</v>
      </c>
      <c r="CH923" s="83" t="e">
        <f t="shared" si="1123"/>
        <v>#N/A</v>
      </c>
      <c r="CI923" s="83">
        <f t="shared" si="1124"/>
        <v>0</v>
      </c>
      <c r="CJ923" s="86" t="e">
        <f t="shared" si="1074"/>
        <v>#N/A</v>
      </c>
      <c r="CK923" s="82">
        <f t="shared" si="1075"/>
        <v>5.3070370403969858E-3</v>
      </c>
      <c r="CL923" s="82" t="e">
        <f t="shared" si="1076"/>
        <v>#N/A</v>
      </c>
      <c r="CM923" s="82">
        <f t="shared" si="1077"/>
        <v>5.3070370403969858E-3</v>
      </c>
      <c r="CO923" s="149" t="str">
        <f>IF($I923&lt;&gt;"",IF(O923="User Specified",U923,INDEX('Refrigerant GWPs'!$G$2:$G$156,MATCH(O923,'Refrigerant GWPs'!$A$2:$A$156,0))),"")</f>
        <v/>
      </c>
      <c r="CP923" s="138" t="str">
        <f>IF($I923&lt;&gt;"",INDEX('Device Refrigerant Leakage'!$E$2:$E$42,MATCH($M923,'Device Refrigerant Leakage'!$B$2:$B$42,0)),"")</f>
        <v/>
      </c>
      <c r="CQ923" s="138" t="str">
        <f>IF($I923&lt;&gt;"",INDEX('Device Refrigerant Leakage'!$F$2:$F$42,MATCH($M923,'Device Refrigerant Leakage'!$B$2:$B$42,0)),"")</f>
        <v/>
      </c>
      <c r="CR923" s="145" t="str">
        <f>IF($I923&lt;&gt;"",INDEX('Device Refrigerant Leakage'!$G$2:$G$42,MATCH($M923,'Device Refrigerant Leakage'!$B$2:$B$42,0)),"")</f>
        <v/>
      </c>
      <c r="CS923" s="145" t="str">
        <f>IF($I923&lt;&gt;"",INDEX('Device Refrigerant Leakage'!$D$2:$D$42,MATCH($M923,'Device Refrigerant Leakage'!$B$2:$B$42,0))*CP923/2204.62*CO923,"")</f>
        <v/>
      </c>
      <c r="CT923" s="145" t="str">
        <f>IF($I923&lt;&gt;"",J923*(INDEX('Device Refrigerant Leakage'!$D$2:$D$42,MATCH($M923,'Device Refrigerant Leakage'!$B$2:$B$42,0))-(INDEX('Device Refrigerant Leakage'!$D$2:$D$42,MATCH($M923,'Device Refrigerant Leakage'!$B$2:$B$42,0)))*CR923*CP923)*CQ923/2204.62*CO923,"")</f>
        <v/>
      </c>
      <c r="CU923" s="135" t="str">
        <f>IF($I923&lt;&gt;"",J923*IF(W923&lt;&gt;"AR",(CS923*K923)+CT923,(CS923*AB923)+CT923*(AB923/INDEX('Device Refrigerant Leakage'!$C$2:$C$42,MATCH($M923,'Device Refrigerant Leakage'!$B$2:$B$42,0)))),"")</f>
        <v/>
      </c>
      <c r="CW923" s="135" t="str">
        <f>IF($I923&lt;&gt;"",IF(S923="User Specified",V923,INDEX('Refrigerant GWPs'!$G$2:$G$156,MATCH(S923,'Refrigerant GWPs'!$A$2:$A$157,0))),"")</f>
        <v/>
      </c>
      <c r="CX923" s="138" t="str">
        <f>IF($I923&lt;&gt;"",INDEX('Device Refrigerant Leakage'!$E$2:$E$42,MATCH($Q923,'Device Refrigerant Leakage'!$B$2:$B$42,0)),"")</f>
        <v/>
      </c>
      <c r="CY923" s="138" t="str">
        <f>IF($I923&lt;&gt;"",INDEX('Device Refrigerant Leakage'!$F$2:$F$42,MATCH($Q923,'Device Refrigerant Leakage'!$B$2:$B$42,0)),"")</f>
        <v/>
      </c>
      <c r="CZ923" s="145" t="str">
        <f>IF($I923&lt;&gt;"",INDEX('Device Refrigerant Leakage'!$G$2:$G$42,MATCH($Q923,'Device Refrigerant Leakage'!$B$2:$B$42,0)),"")</f>
        <v/>
      </c>
      <c r="DA923" s="145" t="str">
        <f>IF($I923&lt;&gt;"",J923*INDEX('Device Refrigerant Leakage'!$D$2:$D$42,MATCH($Q923,'Device Refrigerant Leakage'!$B$2:$B$42,0))*CX923/2204.62*CW923,"")</f>
        <v/>
      </c>
      <c r="DB923" s="145" t="str">
        <f>IF($I923&lt;&gt;"",J923*(INDEX('Device Refrigerant Leakage'!$D$2:$D$42,MATCH($Q923,'Device Refrigerant Leakage'!$B$2:$B$42,0))-(INDEX('Device Refrigerant Leakage'!$D$2:$D$42,MATCH($Q923,'Device Refrigerant Leakage'!$B$2:$B$42,0)))*CZ923*CX923)*CY923/2204.62*CW923,"")</f>
        <v/>
      </c>
      <c r="DC923" s="135" t="str">
        <f t="shared" si="1096"/>
        <v/>
      </c>
      <c r="DE923" s="146" t="str">
        <f>IF(W923&lt;&gt;"AR","",IF(Y923="User Specified", AA923, INDEX('Refrigerant GWPs'!$G$2:$G$154,MATCH(Y923,'Refrigerant GWPs'!$A$2:$A$154,0))))</f>
        <v/>
      </c>
      <c r="DF923" s="146" t="str">
        <f>IF(W923&lt;&gt;"AR","",INDEX('Device Refrigerant Leakage'!$E$2:$E$42,MATCH(X923,'Device Refrigerant Leakage'!$B$2:$B$42,0)))</f>
        <v/>
      </c>
      <c r="DG923" s="146" t="str">
        <f>IF(W923&lt;&gt;"AR","",INDEX('Device Refrigerant Leakage'!$F$2:$F$42,MATCH(X923,'Device Refrigerant Leakage'!$B$2:$B$42,0)))</f>
        <v/>
      </c>
      <c r="DH923" s="146" t="str">
        <f>IF(W923&lt;&gt;"AR","",INDEX('Device Refrigerant Leakage'!$G$2:$G$42,MATCH(X923,'Device Refrigerant Leakage'!$B$2:$B$42,0)))</f>
        <v/>
      </c>
      <c r="DI923" s="146" t="str">
        <f>IF(W923&lt;&gt;"AR","",J923*INDEX('Device Refrigerant Leakage'!$D$2:$D$42,MATCH(X923,'Device Refrigerant Leakage'!$B$2:$B$42,0))*DF923/2204.62*DE923)</f>
        <v/>
      </c>
      <c r="DJ923" s="146" t="str">
        <f>IF(W923&lt;&gt;"AR","",J923*(INDEX('Device Refrigerant Leakage'!$D$2:$D$42,MATCH(X923,'Device Refrigerant Leakage'!$B$2:$B$42,0))-(INDEX('Device Refrigerant Leakage'!$D$2:$D$42,MATCH(X923,'Device Refrigerant Leakage'!$B$2:$B$42,0)))*DH923*DF923)*DG923/2204.62*DE923)</f>
        <v/>
      </c>
      <c r="DK923" s="146" t="str">
        <f>IF(W923&lt;&gt;"AR","",DI923*(K923-AB923)+'Fuel Sub Calcs-Deemed'!DJ923*((K923-AB923)/INDEX('Device Refrigerant Leakage'!$C$2:$C$42,MATCH('Fuel Sub Calcs-Deemed'!X923,'Device Refrigerant Leakage'!$B$2:$B$42,0))))</f>
        <v/>
      </c>
      <c r="DM923" s="56">
        <v>909</v>
      </c>
      <c r="DN923" s="67" t="e">
        <f t="shared" si="1078"/>
        <v>#N/A</v>
      </c>
      <c r="DO923" s="45" t="e">
        <f t="shared" si="1079"/>
        <v>#N/A</v>
      </c>
      <c r="DP923" s="67" t="e">
        <f t="shared" si="1080"/>
        <v>#N/A</v>
      </c>
      <c r="DQ923" s="45" t="e">
        <f t="shared" si="1081"/>
        <v>#N/A</v>
      </c>
      <c r="DR923" s="69" t="e">
        <f t="shared" si="1082"/>
        <v>#N/A</v>
      </c>
      <c r="DS923" s="34"/>
      <c r="DT923" s="67" t="e">
        <f>((BX923*CJ923)+IF($W923=MAT_AR,(BZ923*CL923),0))*(1+Reference!$E$50+Reference!$E$51)</f>
        <v>#N/A</v>
      </c>
      <c r="DU923" s="67">
        <f>((BY923*CK923)+IF($W923=MAT_AR,(CA923*CM923),0))*(1+Reference!$G$50+Reference!$G$51)</f>
        <v>0</v>
      </c>
      <c r="DV923" s="67" t="e">
        <f t="shared" si="1083"/>
        <v>#VALUE!</v>
      </c>
      <c r="DX923" s="56">
        <v>909</v>
      </c>
      <c r="DY923" s="67">
        <f t="shared" si="1084"/>
        <v>0</v>
      </c>
      <c r="DZ923" s="45" t="e">
        <f>VLOOKUP($R923,Dropdown!$C$3:$D$4,2,FALSE)</f>
        <v>#N/A</v>
      </c>
      <c r="EA923" s="68">
        <f t="shared" si="1085"/>
        <v>0</v>
      </c>
      <c r="EB923" s="68" t="str">
        <f t="shared" si="1086"/>
        <v>N/A</v>
      </c>
      <c r="EC923" s="68">
        <f t="shared" si="1087"/>
        <v>0</v>
      </c>
      <c r="ED923" s="68" t="str">
        <f t="shared" si="1125"/>
        <v>N/A</v>
      </c>
      <c r="EF923" s="56">
        <v>909</v>
      </c>
      <c r="EG923" s="46">
        <f t="shared" si="1088"/>
        <v>0</v>
      </c>
      <c r="EH923" s="68" t="e">
        <f t="shared" si="1089"/>
        <v>#N/A</v>
      </c>
      <c r="EI923" s="68" t="e">
        <f t="shared" si="1090"/>
        <v>#N/A</v>
      </c>
      <c r="EJ923" s="68" t="e">
        <f t="shared" si="1091"/>
        <v>#N/A</v>
      </c>
      <c r="EK923" s="68" t="e">
        <f t="shared" si="1092"/>
        <v>#N/A</v>
      </c>
      <c r="EL923" s="46">
        <f t="shared" si="1093"/>
        <v>0</v>
      </c>
      <c r="EM923" s="46">
        <f t="shared" si="1094"/>
        <v>0</v>
      </c>
    </row>
    <row r="924" spans="1:143">
      <c r="A924" s="89"/>
      <c r="B924" s="89"/>
      <c r="C924" s="89"/>
      <c r="D924" s="89"/>
      <c r="E924" s="89"/>
      <c r="F924" s="89"/>
      <c r="G924" s="34"/>
      <c r="H924" s="56">
        <f t="shared" si="1095"/>
        <v>910</v>
      </c>
      <c r="I924" s="165"/>
      <c r="J924" s="163"/>
      <c r="K924" s="163"/>
      <c r="L924" s="164"/>
      <c r="M924" s="155"/>
      <c r="N924" s="155"/>
      <c r="O924" s="144"/>
      <c r="P924" s="159" t="str">
        <f>IFERROR(IF(O924&lt;&gt;"User Specified",IF(O924&lt;&gt;"", INDEX('Refrigerant GWPs'!$G$2:$G$154,MATCH(O924,'Refrigerant GWPs'!$A$2:$A$154,0)),""),U924),0)</f>
        <v/>
      </c>
      <c r="Q924" s="155"/>
      <c r="R924" s="155"/>
      <c r="S924" s="144"/>
      <c r="T924" s="159" t="str">
        <f>IF(S924&lt;&gt;"User Specified",IF(AND(S924&lt;&gt;"User Specified",S924&lt;&gt;""), INDEX('Refrigerant GWPs'!$G$2:$G$154,MATCH(S924,'Refrigerant GWPs'!$A$2:$A$154,0)),""),V924)</f>
        <v/>
      </c>
      <c r="U924" s="144"/>
      <c r="V924" s="144"/>
      <c r="W924" s="155"/>
      <c r="X924" s="155"/>
      <c r="Y924" s="144"/>
      <c r="Z924" s="159" t="str">
        <f>IF(AND(Y924&lt;&gt;"User Specified",Y924&lt;&gt;""), INDEX('Refrigerant GWPs'!$G$2:$G$154,MATCH(Y924,'Refrigerant GWPs'!$A$2:$A$154,0)),"")</f>
        <v/>
      </c>
      <c r="AA924" s="155"/>
      <c r="AB924" s="156"/>
      <c r="AC924" s="66"/>
      <c r="AD924" s="66"/>
      <c r="AE924" s="66"/>
      <c r="AF924" s="66"/>
      <c r="AG924" s="66"/>
      <c r="AH924" s="66"/>
      <c r="AI924" s="34"/>
      <c r="AJ924" s="88">
        <f t="shared" si="1058"/>
        <v>0</v>
      </c>
      <c r="AK924" s="88">
        <f t="shared" si="1059"/>
        <v>0</v>
      </c>
      <c r="AL924" s="88">
        <v>0</v>
      </c>
      <c r="AM924" s="88">
        <v>0</v>
      </c>
      <c r="AN924" s="81" t="str">
        <f t="shared" si="1097"/>
        <v/>
      </c>
      <c r="AO924" s="88">
        <f t="shared" si="1060"/>
        <v>0</v>
      </c>
      <c r="AP924" s="88">
        <f t="shared" si="1061"/>
        <v>0</v>
      </c>
      <c r="AQ924" s="81" t="str">
        <f t="shared" si="1062"/>
        <v/>
      </c>
      <c r="AS924" s="41" t="b">
        <f t="shared" si="1063"/>
        <v>1</v>
      </c>
      <c r="AT924" s="38">
        <f t="shared" si="1064"/>
        <v>0</v>
      </c>
      <c r="AU924" s="60">
        <f t="shared" si="1065"/>
        <v>0</v>
      </c>
      <c r="AV924" s="41">
        <f t="shared" si="1066"/>
        <v>0</v>
      </c>
      <c r="AW924" s="41" t="b">
        <f t="shared" si="1067"/>
        <v>0</v>
      </c>
      <c r="AX924" t="str">
        <f t="shared" si="1068"/>
        <v>+00</v>
      </c>
      <c r="AY924" t="str">
        <f t="shared" si="1069"/>
        <v>+00</v>
      </c>
      <c r="BA924" s="47" t="b">
        <f t="shared" si="1098"/>
        <v>1</v>
      </c>
      <c r="BB924" s="42" t="b">
        <f t="shared" si="1099"/>
        <v>1</v>
      </c>
      <c r="BC924" s="42" t="b">
        <f t="shared" si="1100"/>
        <v>0</v>
      </c>
      <c r="BD924" s="42" t="b">
        <f t="shared" si="1101"/>
        <v>0</v>
      </c>
      <c r="BE924" s="70">
        <f t="shared" si="1102"/>
        <v>0</v>
      </c>
      <c r="BF924" s="70">
        <f t="shared" si="1103"/>
        <v>0</v>
      </c>
      <c r="BG924" s="34"/>
      <c r="BI924" s="47" t="b">
        <f t="shared" si="1104"/>
        <v>1</v>
      </c>
      <c r="BJ924" s="47" t="b">
        <f t="shared" si="1105"/>
        <v>1</v>
      </c>
      <c r="BK924" s="42" t="b">
        <f t="shared" si="1106"/>
        <v>0</v>
      </c>
      <c r="BL924" s="42" t="b">
        <f t="shared" si="1107"/>
        <v>0</v>
      </c>
      <c r="BM924" s="42">
        <f t="shared" si="1108"/>
        <v>0</v>
      </c>
      <c r="BN924" s="42">
        <f t="shared" si="1109"/>
        <v>0</v>
      </c>
      <c r="BP924" t="e">
        <f t="shared" si="1110"/>
        <v>#N/A</v>
      </c>
      <c r="BQ924" t="e">
        <f t="shared" si="1111"/>
        <v>#N/A</v>
      </c>
      <c r="BR924" t="e">
        <f t="shared" si="1112"/>
        <v>#N/A</v>
      </c>
      <c r="BT924" s="60">
        <f t="shared" si="1113"/>
        <v>0</v>
      </c>
      <c r="BU924" s="60">
        <f t="shared" si="1114"/>
        <v>0</v>
      </c>
      <c r="BV924" s="60">
        <f t="shared" si="1115"/>
        <v>0</v>
      </c>
      <c r="BW924" s="60">
        <f t="shared" si="1116"/>
        <v>0</v>
      </c>
      <c r="BX924" s="60">
        <f t="shared" si="1117"/>
        <v>0</v>
      </c>
      <c r="BY924" s="60">
        <f t="shared" si="1118"/>
        <v>0</v>
      </c>
      <c r="BZ924" s="60">
        <f t="shared" si="1119"/>
        <v>0</v>
      </c>
      <c r="CA924" s="60">
        <f t="shared" si="1120"/>
        <v>0</v>
      </c>
      <c r="CB924" s="60" t="e">
        <f t="shared" si="1070"/>
        <v>#N/A</v>
      </c>
      <c r="CC924" s="60">
        <f t="shared" si="1071"/>
        <v>100000</v>
      </c>
      <c r="CD924" s="60" t="e">
        <f t="shared" si="1072"/>
        <v>#N/A</v>
      </c>
      <c r="CE924" s="60">
        <f t="shared" si="1073"/>
        <v>100000</v>
      </c>
      <c r="CF924" s="83" t="e">
        <f t="shared" si="1121"/>
        <v>#N/A</v>
      </c>
      <c r="CG924" s="83">
        <f t="shared" si="1122"/>
        <v>0</v>
      </c>
      <c r="CH924" s="83" t="e">
        <f t="shared" si="1123"/>
        <v>#N/A</v>
      </c>
      <c r="CI924" s="83">
        <f t="shared" si="1124"/>
        <v>0</v>
      </c>
      <c r="CJ924" s="86" t="e">
        <f t="shared" si="1074"/>
        <v>#N/A</v>
      </c>
      <c r="CK924" s="82">
        <f t="shared" si="1075"/>
        <v>5.3070370403969858E-3</v>
      </c>
      <c r="CL924" s="82" t="e">
        <f t="shared" si="1076"/>
        <v>#N/A</v>
      </c>
      <c r="CM924" s="82">
        <f t="shared" si="1077"/>
        <v>5.3070370403969858E-3</v>
      </c>
      <c r="CO924" s="149" t="str">
        <f>IF($I924&lt;&gt;"",IF(O924="User Specified",U924,INDEX('Refrigerant GWPs'!$G$2:$G$156,MATCH(O924,'Refrigerant GWPs'!$A$2:$A$156,0))),"")</f>
        <v/>
      </c>
      <c r="CP924" s="138" t="str">
        <f>IF($I924&lt;&gt;"",INDEX('Device Refrigerant Leakage'!$E$2:$E$42,MATCH($M924,'Device Refrigerant Leakage'!$B$2:$B$42,0)),"")</f>
        <v/>
      </c>
      <c r="CQ924" s="138" t="str">
        <f>IF($I924&lt;&gt;"",INDEX('Device Refrigerant Leakage'!$F$2:$F$42,MATCH($M924,'Device Refrigerant Leakage'!$B$2:$B$42,0)),"")</f>
        <v/>
      </c>
      <c r="CR924" s="145" t="str">
        <f>IF($I924&lt;&gt;"",INDEX('Device Refrigerant Leakage'!$G$2:$G$42,MATCH($M924,'Device Refrigerant Leakage'!$B$2:$B$42,0)),"")</f>
        <v/>
      </c>
      <c r="CS924" s="145" t="str">
        <f>IF($I924&lt;&gt;"",INDEX('Device Refrigerant Leakage'!$D$2:$D$42,MATCH($M924,'Device Refrigerant Leakage'!$B$2:$B$42,0))*CP924/2204.62*CO924,"")</f>
        <v/>
      </c>
      <c r="CT924" s="145" t="str">
        <f>IF($I924&lt;&gt;"",J924*(INDEX('Device Refrigerant Leakage'!$D$2:$D$42,MATCH($M924,'Device Refrigerant Leakage'!$B$2:$B$42,0))-(INDEX('Device Refrigerant Leakage'!$D$2:$D$42,MATCH($M924,'Device Refrigerant Leakage'!$B$2:$B$42,0)))*CR924*CP924)*CQ924/2204.62*CO924,"")</f>
        <v/>
      </c>
      <c r="CU924" s="135" t="str">
        <f>IF($I924&lt;&gt;"",J924*IF(W924&lt;&gt;"AR",(CS924*K924)+CT924,(CS924*AB924)+CT924*(AB924/INDEX('Device Refrigerant Leakage'!$C$2:$C$42,MATCH($M924,'Device Refrigerant Leakage'!$B$2:$B$42,0)))),"")</f>
        <v/>
      </c>
      <c r="CW924" s="135" t="str">
        <f>IF($I924&lt;&gt;"",IF(S924="User Specified",V924,INDEX('Refrigerant GWPs'!$G$2:$G$156,MATCH(S924,'Refrigerant GWPs'!$A$2:$A$157,0))),"")</f>
        <v/>
      </c>
      <c r="CX924" s="138" t="str">
        <f>IF($I924&lt;&gt;"",INDEX('Device Refrigerant Leakage'!$E$2:$E$42,MATCH($Q924,'Device Refrigerant Leakage'!$B$2:$B$42,0)),"")</f>
        <v/>
      </c>
      <c r="CY924" s="138" t="str">
        <f>IF($I924&lt;&gt;"",INDEX('Device Refrigerant Leakage'!$F$2:$F$42,MATCH($Q924,'Device Refrigerant Leakage'!$B$2:$B$42,0)),"")</f>
        <v/>
      </c>
      <c r="CZ924" s="145" t="str">
        <f>IF($I924&lt;&gt;"",INDEX('Device Refrigerant Leakage'!$G$2:$G$42,MATCH($Q924,'Device Refrigerant Leakage'!$B$2:$B$42,0)),"")</f>
        <v/>
      </c>
      <c r="DA924" s="145" t="str">
        <f>IF($I924&lt;&gt;"",J924*INDEX('Device Refrigerant Leakage'!$D$2:$D$42,MATCH($Q924,'Device Refrigerant Leakage'!$B$2:$B$42,0))*CX924/2204.62*CW924,"")</f>
        <v/>
      </c>
      <c r="DB924" s="145" t="str">
        <f>IF($I924&lt;&gt;"",J924*(INDEX('Device Refrigerant Leakage'!$D$2:$D$42,MATCH($Q924,'Device Refrigerant Leakage'!$B$2:$B$42,0))-(INDEX('Device Refrigerant Leakage'!$D$2:$D$42,MATCH($Q924,'Device Refrigerant Leakage'!$B$2:$B$42,0)))*CZ924*CX924)*CY924/2204.62*CW924,"")</f>
        <v/>
      </c>
      <c r="DC924" s="135" t="str">
        <f t="shared" si="1096"/>
        <v/>
      </c>
      <c r="DE924" s="146" t="str">
        <f>IF(W924&lt;&gt;"AR","",IF(Y924="User Specified", AA924, INDEX('Refrigerant GWPs'!$G$2:$G$154,MATCH(Y924,'Refrigerant GWPs'!$A$2:$A$154,0))))</f>
        <v/>
      </c>
      <c r="DF924" s="146" t="str">
        <f>IF(W924&lt;&gt;"AR","",INDEX('Device Refrigerant Leakage'!$E$2:$E$42,MATCH(X924,'Device Refrigerant Leakage'!$B$2:$B$42,0)))</f>
        <v/>
      </c>
      <c r="DG924" s="146" t="str">
        <f>IF(W924&lt;&gt;"AR","",INDEX('Device Refrigerant Leakage'!$F$2:$F$42,MATCH(X924,'Device Refrigerant Leakage'!$B$2:$B$42,0)))</f>
        <v/>
      </c>
      <c r="DH924" s="146" t="str">
        <f>IF(W924&lt;&gt;"AR","",INDEX('Device Refrigerant Leakage'!$G$2:$G$42,MATCH(X924,'Device Refrigerant Leakage'!$B$2:$B$42,0)))</f>
        <v/>
      </c>
      <c r="DI924" s="146" t="str">
        <f>IF(W924&lt;&gt;"AR","",J924*INDEX('Device Refrigerant Leakage'!$D$2:$D$42,MATCH(X924,'Device Refrigerant Leakage'!$B$2:$B$42,0))*DF924/2204.62*DE924)</f>
        <v/>
      </c>
      <c r="DJ924" s="146" t="str">
        <f>IF(W924&lt;&gt;"AR","",J924*(INDEX('Device Refrigerant Leakage'!$D$2:$D$42,MATCH(X924,'Device Refrigerant Leakage'!$B$2:$B$42,0))-(INDEX('Device Refrigerant Leakage'!$D$2:$D$42,MATCH(X924,'Device Refrigerant Leakage'!$B$2:$B$42,0)))*DH924*DF924)*DG924/2204.62*DE924)</f>
        <v/>
      </c>
      <c r="DK924" s="146" t="str">
        <f>IF(W924&lt;&gt;"AR","",DI924*(K924-AB924)+'Fuel Sub Calcs-Deemed'!DJ924*((K924-AB924)/INDEX('Device Refrigerant Leakage'!$C$2:$C$42,MATCH('Fuel Sub Calcs-Deemed'!X924,'Device Refrigerant Leakage'!$B$2:$B$42,0))))</f>
        <v/>
      </c>
      <c r="DM924" s="56">
        <v>910</v>
      </c>
      <c r="DN924" s="67" t="e">
        <f t="shared" si="1078"/>
        <v>#N/A</v>
      </c>
      <c r="DO924" s="45" t="e">
        <f t="shared" si="1079"/>
        <v>#N/A</v>
      </c>
      <c r="DP924" s="67" t="e">
        <f t="shared" si="1080"/>
        <v>#N/A</v>
      </c>
      <c r="DQ924" s="45" t="e">
        <f t="shared" si="1081"/>
        <v>#N/A</v>
      </c>
      <c r="DR924" s="69" t="e">
        <f t="shared" si="1082"/>
        <v>#N/A</v>
      </c>
      <c r="DS924" s="34"/>
      <c r="DT924" s="67" t="e">
        <f>((BX924*CJ924)+IF($W924=MAT_AR,(BZ924*CL924),0))*(1+Reference!$E$50+Reference!$E$51)</f>
        <v>#N/A</v>
      </c>
      <c r="DU924" s="67">
        <f>((BY924*CK924)+IF($W924=MAT_AR,(CA924*CM924),0))*(1+Reference!$G$50+Reference!$G$51)</f>
        <v>0</v>
      </c>
      <c r="DV924" s="67" t="e">
        <f t="shared" si="1083"/>
        <v>#VALUE!</v>
      </c>
      <c r="DX924" s="56">
        <v>910</v>
      </c>
      <c r="DY924" s="67">
        <f t="shared" si="1084"/>
        <v>0</v>
      </c>
      <c r="DZ924" s="45" t="e">
        <f>VLOOKUP($R924,Dropdown!$C$3:$D$4,2,FALSE)</f>
        <v>#N/A</v>
      </c>
      <c r="EA924" s="68">
        <f t="shared" si="1085"/>
        <v>0</v>
      </c>
      <c r="EB924" s="68" t="str">
        <f t="shared" si="1086"/>
        <v>N/A</v>
      </c>
      <c r="EC924" s="68">
        <f t="shared" si="1087"/>
        <v>0</v>
      </c>
      <c r="ED924" s="68" t="str">
        <f t="shared" si="1125"/>
        <v>N/A</v>
      </c>
      <c r="EF924" s="56">
        <v>910</v>
      </c>
      <c r="EG924" s="46">
        <f t="shared" si="1088"/>
        <v>0</v>
      </c>
      <c r="EH924" s="68" t="e">
        <f t="shared" si="1089"/>
        <v>#N/A</v>
      </c>
      <c r="EI924" s="68" t="e">
        <f t="shared" si="1090"/>
        <v>#N/A</v>
      </c>
      <c r="EJ924" s="68" t="e">
        <f t="shared" si="1091"/>
        <v>#N/A</v>
      </c>
      <c r="EK924" s="68" t="e">
        <f t="shared" si="1092"/>
        <v>#N/A</v>
      </c>
      <c r="EL924" s="46">
        <f t="shared" si="1093"/>
        <v>0</v>
      </c>
      <c r="EM924" s="46">
        <f t="shared" si="1094"/>
        <v>0</v>
      </c>
    </row>
    <row r="925" spans="1:143">
      <c r="A925" s="89"/>
      <c r="B925" s="89"/>
      <c r="C925" s="89"/>
      <c r="D925" s="89"/>
      <c r="E925" s="89"/>
      <c r="F925" s="89"/>
      <c r="G925" s="34"/>
      <c r="H925" s="56">
        <f t="shared" si="1095"/>
        <v>911</v>
      </c>
      <c r="I925" s="165"/>
      <c r="J925" s="163"/>
      <c r="K925" s="163"/>
      <c r="L925" s="164"/>
      <c r="M925" s="155"/>
      <c r="N925" s="155"/>
      <c r="O925" s="144"/>
      <c r="P925" s="159" t="str">
        <f>IFERROR(IF(O925&lt;&gt;"User Specified",IF(O925&lt;&gt;"", INDEX('Refrigerant GWPs'!$G$2:$G$154,MATCH(O925,'Refrigerant GWPs'!$A$2:$A$154,0)),""),U925),0)</f>
        <v/>
      </c>
      <c r="Q925" s="155"/>
      <c r="R925" s="155"/>
      <c r="S925" s="144"/>
      <c r="T925" s="159" t="str">
        <f>IF(S925&lt;&gt;"User Specified",IF(AND(S925&lt;&gt;"User Specified",S925&lt;&gt;""), INDEX('Refrigerant GWPs'!$G$2:$G$154,MATCH(S925,'Refrigerant GWPs'!$A$2:$A$154,0)),""),V925)</f>
        <v/>
      </c>
      <c r="U925" s="144"/>
      <c r="V925" s="144"/>
      <c r="W925" s="155"/>
      <c r="X925" s="155"/>
      <c r="Y925" s="144"/>
      <c r="Z925" s="159" t="str">
        <f>IF(AND(Y925&lt;&gt;"User Specified",Y925&lt;&gt;""), INDEX('Refrigerant GWPs'!$G$2:$G$154,MATCH(Y925,'Refrigerant GWPs'!$A$2:$A$154,0)),"")</f>
        <v/>
      </c>
      <c r="AA925" s="155"/>
      <c r="AB925" s="156"/>
      <c r="AC925" s="66"/>
      <c r="AD925" s="66"/>
      <c r="AE925" s="66"/>
      <c r="AF925" s="66"/>
      <c r="AG925" s="66"/>
      <c r="AH925" s="66"/>
      <c r="AI925" s="34"/>
      <c r="AJ925" s="88">
        <f t="shared" si="1058"/>
        <v>0</v>
      </c>
      <c r="AK925" s="88">
        <f t="shared" si="1059"/>
        <v>0</v>
      </c>
      <c r="AL925" s="88">
        <v>0</v>
      </c>
      <c r="AM925" s="88">
        <v>0</v>
      </c>
      <c r="AN925" s="81" t="str">
        <f t="shared" si="1097"/>
        <v/>
      </c>
      <c r="AO925" s="88">
        <f t="shared" si="1060"/>
        <v>0</v>
      </c>
      <c r="AP925" s="88">
        <f t="shared" si="1061"/>
        <v>0</v>
      </c>
      <c r="AQ925" s="81" t="str">
        <f t="shared" si="1062"/>
        <v/>
      </c>
      <c r="AS925" s="41" t="b">
        <f t="shared" si="1063"/>
        <v>1</v>
      </c>
      <c r="AT925" s="38">
        <f t="shared" si="1064"/>
        <v>0</v>
      </c>
      <c r="AU925" s="60">
        <f t="shared" si="1065"/>
        <v>0</v>
      </c>
      <c r="AV925" s="41">
        <f t="shared" si="1066"/>
        <v>0</v>
      </c>
      <c r="AW925" s="41" t="b">
        <f t="shared" si="1067"/>
        <v>0</v>
      </c>
      <c r="AX925" t="str">
        <f t="shared" si="1068"/>
        <v>+00</v>
      </c>
      <c r="AY925" t="str">
        <f t="shared" si="1069"/>
        <v>+00</v>
      </c>
      <c r="BA925" s="47" t="b">
        <f t="shared" si="1098"/>
        <v>1</v>
      </c>
      <c r="BB925" s="42" t="b">
        <f t="shared" si="1099"/>
        <v>1</v>
      </c>
      <c r="BC925" s="42" t="b">
        <f t="shared" si="1100"/>
        <v>0</v>
      </c>
      <c r="BD925" s="42" t="b">
        <f t="shared" si="1101"/>
        <v>0</v>
      </c>
      <c r="BE925" s="70">
        <f t="shared" si="1102"/>
        <v>0</v>
      </c>
      <c r="BF925" s="70">
        <f t="shared" si="1103"/>
        <v>0</v>
      </c>
      <c r="BG925" s="34"/>
      <c r="BI925" s="47" t="b">
        <f t="shared" si="1104"/>
        <v>1</v>
      </c>
      <c r="BJ925" s="47" t="b">
        <f t="shared" si="1105"/>
        <v>1</v>
      </c>
      <c r="BK925" s="42" t="b">
        <f t="shared" si="1106"/>
        <v>0</v>
      </c>
      <c r="BL925" s="42" t="b">
        <f t="shared" si="1107"/>
        <v>0</v>
      </c>
      <c r="BM925" s="42">
        <f t="shared" si="1108"/>
        <v>0</v>
      </c>
      <c r="BN925" s="42">
        <f t="shared" si="1109"/>
        <v>0</v>
      </c>
      <c r="BP925" t="e">
        <f t="shared" si="1110"/>
        <v>#N/A</v>
      </c>
      <c r="BQ925" t="e">
        <f t="shared" si="1111"/>
        <v>#N/A</v>
      </c>
      <c r="BR925" t="e">
        <f t="shared" si="1112"/>
        <v>#N/A</v>
      </c>
      <c r="BT925" s="60">
        <f t="shared" si="1113"/>
        <v>0</v>
      </c>
      <c r="BU925" s="60">
        <f t="shared" si="1114"/>
        <v>0</v>
      </c>
      <c r="BV925" s="60">
        <f t="shared" si="1115"/>
        <v>0</v>
      </c>
      <c r="BW925" s="60">
        <f t="shared" si="1116"/>
        <v>0</v>
      </c>
      <c r="BX925" s="60">
        <f t="shared" si="1117"/>
        <v>0</v>
      </c>
      <c r="BY925" s="60">
        <f t="shared" si="1118"/>
        <v>0</v>
      </c>
      <c r="BZ925" s="60">
        <f t="shared" si="1119"/>
        <v>0</v>
      </c>
      <c r="CA925" s="60">
        <f t="shared" si="1120"/>
        <v>0</v>
      </c>
      <c r="CB925" s="60" t="e">
        <f t="shared" si="1070"/>
        <v>#N/A</v>
      </c>
      <c r="CC925" s="60">
        <f t="shared" si="1071"/>
        <v>100000</v>
      </c>
      <c r="CD925" s="60" t="e">
        <f t="shared" si="1072"/>
        <v>#N/A</v>
      </c>
      <c r="CE925" s="60">
        <f t="shared" si="1073"/>
        <v>100000</v>
      </c>
      <c r="CF925" s="83" t="e">
        <f t="shared" si="1121"/>
        <v>#N/A</v>
      </c>
      <c r="CG925" s="83">
        <f t="shared" si="1122"/>
        <v>0</v>
      </c>
      <c r="CH925" s="83" t="e">
        <f t="shared" si="1123"/>
        <v>#N/A</v>
      </c>
      <c r="CI925" s="83">
        <f t="shared" si="1124"/>
        <v>0</v>
      </c>
      <c r="CJ925" s="86" t="e">
        <f t="shared" si="1074"/>
        <v>#N/A</v>
      </c>
      <c r="CK925" s="82">
        <f t="shared" si="1075"/>
        <v>5.3070370403969858E-3</v>
      </c>
      <c r="CL925" s="82" t="e">
        <f t="shared" si="1076"/>
        <v>#N/A</v>
      </c>
      <c r="CM925" s="82">
        <f t="shared" si="1077"/>
        <v>5.3070370403969858E-3</v>
      </c>
      <c r="CO925" s="149" t="str">
        <f>IF($I925&lt;&gt;"",IF(O925="User Specified",U925,INDEX('Refrigerant GWPs'!$G$2:$G$156,MATCH(O925,'Refrigerant GWPs'!$A$2:$A$156,0))),"")</f>
        <v/>
      </c>
      <c r="CP925" s="138" t="str">
        <f>IF($I925&lt;&gt;"",INDEX('Device Refrigerant Leakage'!$E$2:$E$42,MATCH($M925,'Device Refrigerant Leakage'!$B$2:$B$42,0)),"")</f>
        <v/>
      </c>
      <c r="CQ925" s="138" t="str">
        <f>IF($I925&lt;&gt;"",INDEX('Device Refrigerant Leakage'!$F$2:$F$42,MATCH($M925,'Device Refrigerant Leakage'!$B$2:$B$42,0)),"")</f>
        <v/>
      </c>
      <c r="CR925" s="145" t="str">
        <f>IF($I925&lt;&gt;"",INDEX('Device Refrigerant Leakage'!$G$2:$G$42,MATCH($M925,'Device Refrigerant Leakage'!$B$2:$B$42,0)),"")</f>
        <v/>
      </c>
      <c r="CS925" s="145" t="str">
        <f>IF($I925&lt;&gt;"",INDEX('Device Refrigerant Leakage'!$D$2:$D$42,MATCH($M925,'Device Refrigerant Leakage'!$B$2:$B$42,0))*CP925/2204.62*CO925,"")</f>
        <v/>
      </c>
      <c r="CT925" s="145" t="str">
        <f>IF($I925&lt;&gt;"",J925*(INDEX('Device Refrigerant Leakage'!$D$2:$D$42,MATCH($M925,'Device Refrigerant Leakage'!$B$2:$B$42,0))-(INDEX('Device Refrigerant Leakage'!$D$2:$D$42,MATCH($M925,'Device Refrigerant Leakage'!$B$2:$B$42,0)))*CR925*CP925)*CQ925/2204.62*CO925,"")</f>
        <v/>
      </c>
      <c r="CU925" s="135" t="str">
        <f>IF($I925&lt;&gt;"",J925*IF(W925&lt;&gt;"AR",(CS925*K925)+CT925,(CS925*AB925)+CT925*(AB925/INDEX('Device Refrigerant Leakage'!$C$2:$C$42,MATCH($M925,'Device Refrigerant Leakage'!$B$2:$B$42,0)))),"")</f>
        <v/>
      </c>
      <c r="CW925" s="135" t="str">
        <f>IF($I925&lt;&gt;"",IF(S925="User Specified",V925,INDEX('Refrigerant GWPs'!$G$2:$G$156,MATCH(S925,'Refrigerant GWPs'!$A$2:$A$157,0))),"")</f>
        <v/>
      </c>
      <c r="CX925" s="138" t="str">
        <f>IF($I925&lt;&gt;"",INDEX('Device Refrigerant Leakage'!$E$2:$E$42,MATCH($Q925,'Device Refrigerant Leakage'!$B$2:$B$42,0)),"")</f>
        <v/>
      </c>
      <c r="CY925" s="138" t="str">
        <f>IF($I925&lt;&gt;"",INDEX('Device Refrigerant Leakage'!$F$2:$F$42,MATCH($Q925,'Device Refrigerant Leakage'!$B$2:$B$42,0)),"")</f>
        <v/>
      </c>
      <c r="CZ925" s="145" t="str">
        <f>IF($I925&lt;&gt;"",INDEX('Device Refrigerant Leakage'!$G$2:$G$42,MATCH($Q925,'Device Refrigerant Leakage'!$B$2:$B$42,0)),"")</f>
        <v/>
      </c>
      <c r="DA925" s="145" t="str">
        <f>IF($I925&lt;&gt;"",J925*INDEX('Device Refrigerant Leakage'!$D$2:$D$42,MATCH($Q925,'Device Refrigerant Leakage'!$B$2:$B$42,0))*CX925/2204.62*CW925,"")</f>
        <v/>
      </c>
      <c r="DB925" s="145" t="str">
        <f>IF($I925&lt;&gt;"",J925*(INDEX('Device Refrigerant Leakage'!$D$2:$D$42,MATCH($Q925,'Device Refrigerant Leakage'!$B$2:$B$42,0))-(INDEX('Device Refrigerant Leakage'!$D$2:$D$42,MATCH($Q925,'Device Refrigerant Leakage'!$B$2:$B$42,0)))*CZ925*CX925)*CY925/2204.62*CW925,"")</f>
        <v/>
      </c>
      <c r="DC925" s="135" t="str">
        <f t="shared" si="1096"/>
        <v/>
      </c>
      <c r="DE925" s="146" t="str">
        <f>IF(W925&lt;&gt;"AR","",IF(Y925="User Specified", AA925, INDEX('Refrigerant GWPs'!$G$2:$G$154,MATCH(Y925,'Refrigerant GWPs'!$A$2:$A$154,0))))</f>
        <v/>
      </c>
      <c r="DF925" s="146" t="str">
        <f>IF(W925&lt;&gt;"AR","",INDEX('Device Refrigerant Leakage'!$E$2:$E$42,MATCH(X925,'Device Refrigerant Leakage'!$B$2:$B$42,0)))</f>
        <v/>
      </c>
      <c r="DG925" s="146" t="str">
        <f>IF(W925&lt;&gt;"AR","",INDEX('Device Refrigerant Leakage'!$F$2:$F$42,MATCH(X925,'Device Refrigerant Leakage'!$B$2:$B$42,0)))</f>
        <v/>
      </c>
      <c r="DH925" s="146" t="str">
        <f>IF(W925&lt;&gt;"AR","",INDEX('Device Refrigerant Leakage'!$G$2:$G$42,MATCH(X925,'Device Refrigerant Leakage'!$B$2:$B$42,0)))</f>
        <v/>
      </c>
      <c r="DI925" s="146" t="str">
        <f>IF(W925&lt;&gt;"AR","",J925*INDEX('Device Refrigerant Leakage'!$D$2:$D$42,MATCH(X925,'Device Refrigerant Leakage'!$B$2:$B$42,0))*DF925/2204.62*DE925)</f>
        <v/>
      </c>
      <c r="DJ925" s="146" t="str">
        <f>IF(W925&lt;&gt;"AR","",J925*(INDEX('Device Refrigerant Leakage'!$D$2:$D$42,MATCH(X925,'Device Refrigerant Leakage'!$B$2:$B$42,0))-(INDEX('Device Refrigerant Leakage'!$D$2:$D$42,MATCH(X925,'Device Refrigerant Leakage'!$B$2:$B$42,0)))*DH925*DF925)*DG925/2204.62*DE925)</f>
        <v/>
      </c>
      <c r="DK925" s="146" t="str">
        <f>IF(W925&lt;&gt;"AR","",DI925*(K925-AB925)+'Fuel Sub Calcs-Deemed'!DJ925*((K925-AB925)/INDEX('Device Refrigerant Leakage'!$C$2:$C$42,MATCH('Fuel Sub Calcs-Deemed'!X925,'Device Refrigerant Leakage'!$B$2:$B$42,0))))</f>
        <v/>
      </c>
      <c r="DM925" s="56">
        <v>911</v>
      </c>
      <c r="DN925" s="67" t="e">
        <f t="shared" si="1078"/>
        <v>#N/A</v>
      </c>
      <c r="DO925" s="45" t="e">
        <f t="shared" si="1079"/>
        <v>#N/A</v>
      </c>
      <c r="DP925" s="67" t="e">
        <f t="shared" si="1080"/>
        <v>#N/A</v>
      </c>
      <c r="DQ925" s="45" t="e">
        <f t="shared" si="1081"/>
        <v>#N/A</v>
      </c>
      <c r="DR925" s="69" t="e">
        <f t="shared" si="1082"/>
        <v>#N/A</v>
      </c>
      <c r="DS925" s="34"/>
      <c r="DT925" s="67" t="e">
        <f>((BX925*CJ925)+IF($W925=MAT_AR,(BZ925*CL925),0))*(1+Reference!$E$50+Reference!$E$51)</f>
        <v>#N/A</v>
      </c>
      <c r="DU925" s="67">
        <f>((BY925*CK925)+IF($W925=MAT_AR,(CA925*CM925),0))*(1+Reference!$G$50+Reference!$G$51)</f>
        <v>0</v>
      </c>
      <c r="DV925" s="67" t="e">
        <f t="shared" si="1083"/>
        <v>#VALUE!</v>
      </c>
      <c r="DX925" s="56">
        <v>911</v>
      </c>
      <c r="DY925" s="67">
        <f t="shared" si="1084"/>
        <v>0</v>
      </c>
      <c r="DZ925" s="45" t="e">
        <f>VLOOKUP($R925,Dropdown!$C$3:$D$4,2,FALSE)</f>
        <v>#N/A</v>
      </c>
      <c r="EA925" s="68">
        <f t="shared" si="1085"/>
        <v>0</v>
      </c>
      <c r="EB925" s="68" t="str">
        <f t="shared" si="1086"/>
        <v>N/A</v>
      </c>
      <c r="EC925" s="68">
        <f t="shared" si="1087"/>
        <v>0</v>
      </c>
      <c r="ED925" s="68" t="str">
        <f t="shared" si="1125"/>
        <v>N/A</v>
      </c>
      <c r="EF925" s="56">
        <v>911</v>
      </c>
      <c r="EG925" s="46">
        <f t="shared" si="1088"/>
        <v>0</v>
      </c>
      <c r="EH925" s="68" t="e">
        <f t="shared" si="1089"/>
        <v>#N/A</v>
      </c>
      <c r="EI925" s="68" t="e">
        <f t="shared" si="1090"/>
        <v>#N/A</v>
      </c>
      <c r="EJ925" s="68" t="e">
        <f t="shared" si="1091"/>
        <v>#N/A</v>
      </c>
      <c r="EK925" s="68" t="e">
        <f t="shared" si="1092"/>
        <v>#N/A</v>
      </c>
      <c r="EL925" s="46">
        <f t="shared" si="1093"/>
        <v>0</v>
      </c>
      <c r="EM925" s="46">
        <f t="shared" si="1094"/>
        <v>0</v>
      </c>
    </row>
    <row r="926" spans="1:143">
      <c r="A926" s="89"/>
      <c r="B926" s="89"/>
      <c r="C926" s="89"/>
      <c r="D926" s="89"/>
      <c r="E926" s="89"/>
      <c r="F926" s="89"/>
      <c r="G926" s="34"/>
      <c r="H926" s="56">
        <f t="shared" si="1095"/>
        <v>912</v>
      </c>
      <c r="I926" s="165"/>
      <c r="J926" s="163"/>
      <c r="K926" s="163"/>
      <c r="L926" s="164"/>
      <c r="M926" s="155"/>
      <c r="N926" s="155"/>
      <c r="O926" s="144"/>
      <c r="P926" s="159" t="str">
        <f>IFERROR(IF(O926&lt;&gt;"User Specified",IF(O926&lt;&gt;"", INDEX('Refrigerant GWPs'!$G$2:$G$154,MATCH(O926,'Refrigerant GWPs'!$A$2:$A$154,0)),""),U926),0)</f>
        <v/>
      </c>
      <c r="Q926" s="155"/>
      <c r="R926" s="155"/>
      <c r="S926" s="144"/>
      <c r="T926" s="159" t="str">
        <f>IF(S926&lt;&gt;"User Specified",IF(AND(S926&lt;&gt;"User Specified",S926&lt;&gt;""), INDEX('Refrigerant GWPs'!$G$2:$G$154,MATCH(S926,'Refrigerant GWPs'!$A$2:$A$154,0)),""),V926)</f>
        <v/>
      </c>
      <c r="U926" s="144"/>
      <c r="V926" s="144"/>
      <c r="W926" s="155"/>
      <c r="X926" s="155"/>
      <c r="Y926" s="144"/>
      <c r="Z926" s="159" t="str">
        <f>IF(AND(Y926&lt;&gt;"User Specified",Y926&lt;&gt;""), INDEX('Refrigerant GWPs'!$G$2:$G$154,MATCH(Y926,'Refrigerant GWPs'!$A$2:$A$154,0)),"")</f>
        <v/>
      </c>
      <c r="AA926" s="155"/>
      <c r="AB926" s="156"/>
      <c r="AC926" s="66"/>
      <c r="AD926" s="66"/>
      <c r="AE926" s="66"/>
      <c r="AF926" s="66"/>
      <c r="AG926" s="66"/>
      <c r="AH926" s="66"/>
      <c r="AI926" s="34"/>
      <c r="AJ926" s="88">
        <f t="shared" si="1058"/>
        <v>0</v>
      </c>
      <c r="AK926" s="88">
        <f t="shared" si="1059"/>
        <v>0</v>
      </c>
      <c r="AL926" s="88">
        <v>0</v>
      </c>
      <c r="AM926" s="88">
        <v>0</v>
      </c>
      <c r="AN926" s="81" t="str">
        <f t="shared" si="1097"/>
        <v/>
      </c>
      <c r="AO926" s="88">
        <f t="shared" si="1060"/>
        <v>0</v>
      </c>
      <c r="AP926" s="88">
        <f t="shared" si="1061"/>
        <v>0</v>
      </c>
      <c r="AQ926" s="81" t="str">
        <f t="shared" si="1062"/>
        <v/>
      </c>
      <c r="AS926" s="41" t="b">
        <f t="shared" si="1063"/>
        <v>1</v>
      </c>
      <c r="AT926" s="38">
        <f t="shared" si="1064"/>
        <v>0</v>
      </c>
      <c r="AU926" s="60">
        <f t="shared" si="1065"/>
        <v>0</v>
      </c>
      <c r="AV926" s="41">
        <f t="shared" si="1066"/>
        <v>0</v>
      </c>
      <c r="AW926" s="41" t="b">
        <f t="shared" si="1067"/>
        <v>0</v>
      </c>
      <c r="AX926" t="str">
        <f t="shared" si="1068"/>
        <v>+00</v>
      </c>
      <c r="AY926" t="str">
        <f t="shared" si="1069"/>
        <v>+00</v>
      </c>
      <c r="BA926" s="47" t="b">
        <f t="shared" si="1098"/>
        <v>1</v>
      </c>
      <c r="BB926" s="42" t="b">
        <f t="shared" si="1099"/>
        <v>1</v>
      </c>
      <c r="BC926" s="42" t="b">
        <f t="shared" si="1100"/>
        <v>0</v>
      </c>
      <c r="BD926" s="42" t="b">
        <f t="shared" si="1101"/>
        <v>0</v>
      </c>
      <c r="BE926" s="70">
        <f t="shared" si="1102"/>
        <v>0</v>
      </c>
      <c r="BF926" s="70">
        <f t="shared" si="1103"/>
        <v>0</v>
      </c>
      <c r="BG926" s="34"/>
      <c r="BI926" s="47" t="b">
        <f t="shared" si="1104"/>
        <v>1</v>
      </c>
      <c r="BJ926" s="47" t="b">
        <f t="shared" si="1105"/>
        <v>1</v>
      </c>
      <c r="BK926" s="42" t="b">
        <f t="shared" si="1106"/>
        <v>0</v>
      </c>
      <c r="BL926" s="42" t="b">
        <f t="shared" si="1107"/>
        <v>0</v>
      </c>
      <c r="BM926" s="42">
        <f t="shared" si="1108"/>
        <v>0</v>
      </c>
      <c r="BN926" s="42">
        <f t="shared" si="1109"/>
        <v>0</v>
      </c>
      <c r="BP926" t="e">
        <f t="shared" si="1110"/>
        <v>#N/A</v>
      </c>
      <c r="BQ926" t="e">
        <f t="shared" si="1111"/>
        <v>#N/A</v>
      </c>
      <c r="BR926" t="e">
        <f t="shared" si="1112"/>
        <v>#N/A</v>
      </c>
      <c r="BT926" s="60">
        <f t="shared" si="1113"/>
        <v>0</v>
      </c>
      <c r="BU926" s="60">
        <f t="shared" si="1114"/>
        <v>0</v>
      </c>
      <c r="BV926" s="60">
        <f t="shared" si="1115"/>
        <v>0</v>
      </c>
      <c r="BW926" s="60">
        <f t="shared" si="1116"/>
        <v>0</v>
      </c>
      <c r="BX926" s="60">
        <f t="shared" si="1117"/>
        <v>0</v>
      </c>
      <c r="BY926" s="60">
        <f t="shared" si="1118"/>
        <v>0</v>
      </c>
      <c r="BZ926" s="60">
        <f t="shared" si="1119"/>
        <v>0</v>
      </c>
      <c r="CA926" s="60">
        <f t="shared" si="1120"/>
        <v>0</v>
      </c>
      <c r="CB926" s="60" t="e">
        <f t="shared" si="1070"/>
        <v>#N/A</v>
      </c>
      <c r="CC926" s="60">
        <f t="shared" si="1071"/>
        <v>100000</v>
      </c>
      <c r="CD926" s="60" t="e">
        <f t="shared" si="1072"/>
        <v>#N/A</v>
      </c>
      <c r="CE926" s="60">
        <f t="shared" si="1073"/>
        <v>100000</v>
      </c>
      <c r="CF926" s="83" t="e">
        <f t="shared" si="1121"/>
        <v>#N/A</v>
      </c>
      <c r="CG926" s="83">
        <f t="shared" si="1122"/>
        <v>0</v>
      </c>
      <c r="CH926" s="83" t="e">
        <f t="shared" si="1123"/>
        <v>#N/A</v>
      </c>
      <c r="CI926" s="83">
        <f t="shared" si="1124"/>
        <v>0</v>
      </c>
      <c r="CJ926" s="86" t="e">
        <f t="shared" si="1074"/>
        <v>#N/A</v>
      </c>
      <c r="CK926" s="82">
        <f t="shared" si="1075"/>
        <v>5.3070370403969858E-3</v>
      </c>
      <c r="CL926" s="82" t="e">
        <f t="shared" si="1076"/>
        <v>#N/A</v>
      </c>
      <c r="CM926" s="82">
        <f t="shared" si="1077"/>
        <v>5.3070370403969858E-3</v>
      </c>
      <c r="CO926" s="149" t="str">
        <f>IF($I926&lt;&gt;"",IF(O926="User Specified",U926,INDEX('Refrigerant GWPs'!$G$2:$G$156,MATCH(O926,'Refrigerant GWPs'!$A$2:$A$156,0))),"")</f>
        <v/>
      </c>
      <c r="CP926" s="138" t="str">
        <f>IF($I926&lt;&gt;"",INDEX('Device Refrigerant Leakage'!$E$2:$E$42,MATCH($M926,'Device Refrigerant Leakage'!$B$2:$B$42,0)),"")</f>
        <v/>
      </c>
      <c r="CQ926" s="138" t="str">
        <f>IF($I926&lt;&gt;"",INDEX('Device Refrigerant Leakage'!$F$2:$F$42,MATCH($M926,'Device Refrigerant Leakage'!$B$2:$B$42,0)),"")</f>
        <v/>
      </c>
      <c r="CR926" s="145" t="str">
        <f>IF($I926&lt;&gt;"",INDEX('Device Refrigerant Leakage'!$G$2:$G$42,MATCH($M926,'Device Refrigerant Leakage'!$B$2:$B$42,0)),"")</f>
        <v/>
      </c>
      <c r="CS926" s="145" t="str">
        <f>IF($I926&lt;&gt;"",INDEX('Device Refrigerant Leakage'!$D$2:$D$42,MATCH($M926,'Device Refrigerant Leakage'!$B$2:$B$42,0))*CP926/2204.62*CO926,"")</f>
        <v/>
      </c>
      <c r="CT926" s="145" t="str">
        <f>IF($I926&lt;&gt;"",J926*(INDEX('Device Refrigerant Leakage'!$D$2:$D$42,MATCH($M926,'Device Refrigerant Leakage'!$B$2:$B$42,0))-(INDEX('Device Refrigerant Leakage'!$D$2:$D$42,MATCH($M926,'Device Refrigerant Leakage'!$B$2:$B$42,0)))*CR926*CP926)*CQ926/2204.62*CO926,"")</f>
        <v/>
      </c>
      <c r="CU926" s="135" t="str">
        <f>IF($I926&lt;&gt;"",J926*IF(W926&lt;&gt;"AR",(CS926*K926)+CT926,(CS926*AB926)+CT926*(AB926/INDEX('Device Refrigerant Leakage'!$C$2:$C$42,MATCH($M926,'Device Refrigerant Leakage'!$B$2:$B$42,0)))),"")</f>
        <v/>
      </c>
      <c r="CW926" s="135" t="str">
        <f>IF($I926&lt;&gt;"",IF(S926="User Specified",V926,INDEX('Refrigerant GWPs'!$G$2:$G$156,MATCH(S926,'Refrigerant GWPs'!$A$2:$A$157,0))),"")</f>
        <v/>
      </c>
      <c r="CX926" s="138" t="str">
        <f>IF($I926&lt;&gt;"",INDEX('Device Refrigerant Leakage'!$E$2:$E$42,MATCH($Q926,'Device Refrigerant Leakage'!$B$2:$B$42,0)),"")</f>
        <v/>
      </c>
      <c r="CY926" s="138" t="str">
        <f>IF($I926&lt;&gt;"",INDEX('Device Refrigerant Leakage'!$F$2:$F$42,MATCH($Q926,'Device Refrigerant Leakage'!$B$2:$B$42,0)),"")</f>
        <v/>
      </c>
      <c r="CZ926" s="145" t="str">
        <f>IF($I926&lt;&gt;"",INDEX('Device Refrigerant Leakage'!$G$2:$G$42,MATCH($Q926,'Device Refrigerant Leakage'!$B$2:$B$42,0)),"")</f>
        <v/>
      </c>
      <c r="DA926" s="145" t="str">
        <f>IF($I926&lt;&gt;"",J926*INDEX('Device Refrigerant Leakage'!$D$2:$D$42,MATCH($Q926,'Device Refrigerant Leakage'!$B$2:$B$42,0))*CX926/2204.62*CW926,"")</f>
        <v/>
      </c>
      <c r="DB926" s="145" t="str">
        <f>IF($I926&lt;&gt;"",J926*(INDEX('Device Refrigerant Leakage'!$D$2:$D$42,MATCH($Q926,'Device Refrigerant Leakage'!$B$2:$B$42,0))-(INDEX('Device Refrigerant Leakage'!$D$2:$D$42,MATCH($Q926,'Device Refrigerant Leakage'!$B$2:$B$42,0)))*CZ926*CX926)*CY926/2204.62*CW926,"")</f>
        <v/>
      </c>
      <c r="DC926" s="135" t="str">
        <f t="shared" si="1096"/>
        <v/>
      </c>
      <c r="DE926" s="146" t="str">
        <f>IF(W926&lt;&gt;"AR","",IF(Y926="User Specified", AA926, INDEX('Refrigerant GWPs'!$G$2:$G$154,MATCH(Y926,'Refrigerant GWPs'!$A$2:$A$154,0))))</f>
        <v/>
      </c>
      <c r="DF926" s="146" t="str">
        <f>IF(W926&lt;&gt;"AR","",INDEX('Device Refrigerant Leakage'!$E$2:$E$42,MATCH(X926,'Device Refrigerant Leakage'!$B$2:$B$42,0)))</f>
        <v/>
      </c>
      <c r="DG926" s="146" t="str">
        <f>IF(W926&lt;&gt;"AR","",INDEX('Device Refrigerant Leakage'!$F$2:$F$42,MATCH(X926,'Device Refrigerant Leakage'!$B$2:$B$42,0)))</f>
        <v/>
      </c>
      <c r="DH926" s="146" t="str">
        <f>IF(W926&lt;&gt;"AR","",INDEX('Device Refrigerant Leakage'!$G$2:$G$42,MATCH(X926,'Device Refrigerant Leakage'!$B$2:$B$42,0)))</f>
        <v/>
      </c>
      <c r="DI926" s="146" t="str">
        <f>IF(W926&lt;&gt;"AR","",J926*INDEX('Device Refrigerant Leakage'!$D$2:$D$42,MATCH(X926,'Device Refrigerant Leakage'!$B$2:$B$42,0))*DF926/2204.62*DE926)</f>
        <v/>
      </c>
      <c r="DJ926" s="146" t="str">
        <f>IF(W926&lt;&gt;"AR","",J926*(INDEX('Device Refrigerant Leakage'!$D$2:$D$42,MATCH(X926,'Device Refrigerant Leakage'!$B$2:$B$42,0))-(INDEX('Device Refrigerant Leakage'!$D$2:$D$42,MATCH(X926,'Device Refrigerant Leakage'!$B$2:$B$42,0)))*DH926*DF926)*DG926/2204.62*DE926)</f>
        <v/>
      </c>
      <c r="DK926" s="146" t="str">
        <f>IF(W926&lt;&gt;"AR","",DI926*(K926-AB926)+'Fuel Sub Calcs-Deemed'!DJ926*((K926-AB926)/INDEX('Device Refrigerant Leakage'!$C$2:$C$42,MATCH('Fuel Sub Calcs-Deemed'!X926,'Device Refrigerant Leakage'!$B$2:$B$42,0))))</f>
        <v/>
      </c>
      <c r="DM926" s="56">
        <v>912</v>
      </c>
      <c r="DN926" s="67" t="e">
        <f t="shared" si="1078"/>
        <v>#N/A</v>
      </c>
      <c r="DO926" s="45" t="e">
        <f t="shared" si="1079"/>
        <v>#N/A</v>
      </c>
      <c r="DP926" s="67" t="e">
        <f t="shared" si="1080"/>
        <v>#N/A</v>
      </c>
      <c r="DQ926" s="45" t="e">
        <f t="shared" si="1081"/>
        <v>#N/A</v>
      </c>
      <c r="DR926" s="69" t="e">
        <f t="shared" si="1082"/>
        <v>#N/A</v>
      </c>
      <c r="DS926" s="34"/>
      <c r="DT926" s="67" t="e">
        <f>((BX926*CJ926)+IF($W926=MAT_AR,(BZ926*CL926),0))*(1+Reference!$E$50+Reference!$E$51)</f>
        <v>#N/A</v>
      </c>
      <c r="DU926" s="67">
        <f>((BY926*CK926)+IF($W926=MAT_AR,(CA926*CM926),0))*(1+Reference!$G$50+Reference!$G$51)</f>
        <v>0</v>
      </c>
      <c r="DV926" s="67" t="e">
        <f t="shared" si="1083"/>
        <v>#VALUE!</v>
      </c>
      <c r="DX926" s="56">
        <v>912</v>
      </c>
      <c r="DY926" s="67">
        <f t="shared" si="1084"/>
        <v>0</v>
      </c>
      <c r="DZ926" s="45" t="e">
        <f>VLOOKUP($R926,Dropdown!$C$3:$D$4,2,FALSE)</f>
        <v>#N/A</v>
      </c>
      <c r="EA926" s="68">
        <f t="shared" si="1085"/>
        <v>0</v>
      </c>
      <c r="EB926" s="68" t="str">
        <f t="shared" si="1086"/>
        <v>N/A</v>
      </c>
      <c r="EC926" s="68">
        <f t="shared" si="1087"/>
        <v>0</v>
      </c>
      <c r="ED926" s="68" t="str">
        <f t="shared" si="1125"/>
        <v>N/A</v>
      </c>
      <c r="EF926" s="56">
        <v>912</v>
      </c>
      <c r="EG926" s="46">
        <f t="shared" si="1088"/>
        <v>0</v>
      </c>
      <c r="EH926" s="68" t="e">
        <f t="shared" si="1089"/>
        <v>#N/A</v>
      </c>
      <c r="EI926" s="68" t="e">
        <f t="shared" si="1090"/>
        <v>#N/A</v>
      </c>
      <c r="EJ926" s="68" t="e">
        <f t="shared" si="1091"/>
        <v>#N/A</v>
      </c>
      <c r="EK926" s="68" t="e">
        <f t="shared" si="1092"/>
        <v>#N/A</v>
      </c>
      <c r="EL926" s="46">
        <f t="shared" si="1093"/>
        <v>0</v>
      </c>
      <c r="EM926" s="46">
        <f t="shared" si="1094"/>
        <v>0</v>
      </c>
    </row>
    <row r="927" spans="1:143">
      <c r="A927" s="89"/>
      <c r="B927" s="89"/>
      <c r="C927" s="89"/>
      <c r="D927" s="89"/>
      <c r="E927" s="89"/>
      <c r="F927" s="89"/>
      <c r="G927" s="34"/>
      <c r="H927" s="56">
        <f t="shared" si="1095"/>
        <v>913</v>
      </c>
      <c r="I927" s="165"/>
      <c r="J927" s="163"/>
      <c r="K927" s="163"/>
      <c r="L927" s="164"/>
      <c r="M927" s="155"/>
      <c r="N927" s="155"/>
      <c r="O927" s="144"/>
      <c r="P927" s="159" t="str">
        <f>IFERROR(IF(O927&lt;&gt;"User Specified",IF(O927&lt;&gt;"", INDEX('Refrigerant GWPs'!$G$2:$G$154,MATCH(O927,'Refrigerant GWPs'!$A$2:$A$154,0)),""),U927),0)</f>
        <v/>
      </c>
      <c r="Q927" s="155"/>
      <c r="R927" s="155"/>
      <c r="S927" s="144"/>
      <c r="T927" s="159" t="str">
        <f>IF(S927&lt;&gt;"User Specified",IF(AND(S927&lt;&gt;"User Specified",S927&lt;&gt;""), INDEX('Refrigerant GWPs'!$G$2:$G$154,MATCH(S927,'Refrigerant GWPs'!$A$2:$A$154,0)),""),V927)</f>
        <v/>
      </c>
      <c r="U927" s="144"/>
      <c r="V927" s="144"/>
      <c r="W927" s="155"/>
      <c r="X927" s="155"/>
      <c r="Y927" s="144"/>
      <c r="Z927" s="159" t="str">
        <f>IF(AND(Y927&lt;&gt;"User Specified",Y927&lt;&gt;""), INDEX('Refrigerant GWPs'!$G$2:$G$154,MATCH(Y927,'Refrigerant GWPs'!$A$2:$A$154,0)),"")</f>
        <v/>
      </c>
      <c r="AA927" s="155"/>
      <c r="AB927" s="156"/>
      <c r="AC927" s="66"/>
      <c r="AD927" s="66"/>
      <c r="AE927" s="66"/>
      <c r="AF927" s="66"/>
      <c r="AG927" s="66"/>
      <c r="AH927" s="66"/>
      <c r="AI927" s="34"/>
      <c r="AJ927" s="88">
        <f t="shared" si="1058"/>
        <v>0</v>
      </c>
      <c r="AK927" s="88">
        <f t="shared" si="1059"/>
        <v>0</v>
      </c>
      <c r="AL927" s="88">
        <v>0</v>
      </c>
      <c r="AM927" s="88">
        <v>0</v>
      </c>
      <c r="AN927" s="81" t="str">
        <f t="shared" si="1097"/>
        <v/>
      </c>
      <c r="AO927" s="88">
        <f t="shared" si="1060"/>
        <v>0</v>
      </c>
      <c r="AP927" s="88">
        <f t="shared" si="1061"/>
        <v>0</v>
      </c>
      <c r="AQ927" s="81" t="str">
        <f t="shared" si="1062"/>
        <v/>
      </c>
      <c r="AS927" s="41" t="b">
        <f t="shared" si="1063"/>
        <v>1</v>
      </c>
      <c r="AT927" s="38">
        <f t="shared" si="1064"/>
        <v>0</v>
      </c>
      <c r="AU927" s="60">
        <f t="shared" si="1065"/>
        <v>0</v>
      </c>
      <c r="AV927" s="41">
        <f t="shared" si="1066"/>
        <v>0</v>
      </c>
      <c r="AW927" s="41" t="b">
        <f t="shared" si="1067"/>
        <v>0</v>
      </c>
      <c r="AX927" t="str">
        <f t="shared" si="1068"/>
        <v>+00</v>
      </c>
      <c r="AY927" t="str">
        <f t="shared" si="1069"/>
        <v>+00</v>
      </c>
      <c r="BA927" s="47" t="b">
        <f t="shared" si="1098"/>
        <v>1</v>
      </c>
      <c r="BB927" s="42" t="b">
        <f t="shared" si="1099"/>
        <v>1</v>
      </c>
      <c r="BC927" s="42" t="b">
        <f t="shared" si="1100"/>
        <v>0</v>
      </c>
      <c r="BD927" s="42" t="b">
        <f t="shared" si="1101"/>
        <v>0</v>
      </c>
      <c r="BE927" s="70">
        <f t="shared" si="1102"/>
        <v>0</v>
      </c>
      <c r="BF927" s="70">
        <f t="shared" si="1103"/>
        <v>0</v>
      </c>
      <c r="BG927" s="34"/>
      <c r="BI927" s="47" t="b">
        <f t="shared" si="1104"/>
        <v>1</v>
      </c>
      <c r="BJ927" s="47" t="b">
        <f t="shared" si="1105"/>
        <v>1</v>
      </c>
      <c r="BK927" s="42" t="b">
        <f t="shared" si="1106"/>
        <v>0</v>
      </c>
      <c r="BL927" s="42" t="b">
        <f t="shared" si="1107"/>
        <v>0</v>
      </c>
      <c r="BM927" s="42">
        <f t="shared" si="1108"/>
        <v>0</v>
      </c>
      <c r="BN927" s="42">
        <f t="shared" si="1109"/>
        <v>0</v>
      </c>
      <c r="BP927" t="e">
        <f t="shared" si="1110"/>
        <v>#N/A</v>
      </c>
      <c r="BQ927" t="e">
        <f t="shared" si="1111"/>
        <v>#N/A</v>
      </c>
      <c r="BR927" t="e">
        <f t="shared" si="1112"/>
        <v>#N/A</v>
      </c>
      <c r="BT927" s="60">
        <f t="shared" si="1113"/>
        <v>0</v>
      </c>
      <c r="BU927" s="60">
        <f t="shared" si="1114"/>
        <v>0</v>
      </c>
      <c r="BV927" s="60">
        <f t="shared" si="1115"/>
        <v>0</v>
      </c>
      <c r="BW927" s="60">
        <f t="shared" si="1116"/>
        <v>0</v>
      </c>
      <c r="BX927" s="60">
        <f t="shared" si="1117"/>
        <v>0</v>
      </c>
      <c r="BY927" s="60">
        <f t="shared" si="1118"/>
        <v>0</v>
      </c>
      <c r="BZ927" s="60">
        <f t="shared" si="1119"/>
        <v>0</v>
      </c>
      <c r="CA927" s="60">
        <f t="shared" si="1120"/>
        <v>0</v>
      </c>
      <c r="CB927" s="60" t="e">
        <f t="shared" si="1070"/>
        <v>#N/A</v>
      </c>
      <c r="CC927" s="60">
        <f t="shared" si="1071"/>
        <v>100000</v>
      </c>
      <c r="CD927" s="60" t="e">
        <f t="shared" si="1072"/>
        <v>#N/A</v>
      </c>
      <c r="CE927" s="60">
        <f t="shared" si="1073"/>
        <v>100000</v>
      </c>
      <c r="CF927" s="83" t="e">
        <f t="shared" si="1121"/>
        <v>#N/A</v>
      </c>
      <c r="CG927" s="83">
        <f t="shared" si="1122"/>
        <v>0</v>
      </c>
      <c r="CH927" s="83" t="e">
        <f t="shared" si="1123"/>
        <v>#N/A</v>
      </c>
      <c r="CI927" s="83">
        <f t="shared" si="1124"/>
        <v>0</v>
      </c>
      <c r="CJ927" s="86" t="e">
        <f t="shared" si="1074"/>
        <v>#N/A</v>
      </c>
      <c r="CK927" s="82">
        <f t="shared" si="1075"/>
        <v>5.3070370403969858E-3</v>
      </c>
      <c r="CL927" s="82" t="e">
        <f t="shared" si="1076"/>
        <v>#N/A</v>
      </c>
      <c r="CM927" s="82">
        <f t="shared" si="1077"/>
        <v>5.3070370403969858E-3</v>
      </c>
      <c r="CO927" s="149" t="str">
        <f>IF($I927&lt;&gt;"",IF(O927="User Specified",U927,INDEX('Refrigerant GWPs'!$G$2:$G$156,MATCH(O927,'Refrigerant GWPs'!$A$2:$A$156,0))),"")</f>
        <v/>
      </c>
      <c r="CP927" s="138" t="str">
        <f>IF($I927&lt;&gt;"",INDEX('Device Refrigerant Leakage'!$E$2:$E$42,MATCH($M927,'Device Refrigerant Leakage'!$B$2:$B$42,0)),"")</f>
        <v/>
      </c>
      <c r="CQ927" s="138" t="str">
        <f>IF($I927&lt;&gt;"",INDEX('Device Refrigerant Leakage'!$F$2:$F$42,MATCH($M927,'Device Refrigerant Leakage'!$B$2:$B$42,0)),"")</f>
        <v/>
      </c>
      <c r="CR927" s="145" t="str">
        <f>IF($I927&lt;&gt;"",INDEX('Device Refrigerant Leakage'!$G$2:$G$42,MATCH($M927,'Device Refrigerant Leakage'!$B$2:$B$42,0)),"")</f>
        <v/>
      </c>
      <c r="CS927" s="145" t="str">
        <f>IF($I927&lt;&gt;"",INDEX('Device Refrigerant Leakage'!$D$2:$D$42,MATCH($M927,'Device Refrigerant Leakage'!$B$2:$B$42,0))*CP927/2204.62*CO927,"")</f>
        <v/>
      </c>
      <c r="CT927" s="145" t="str">
        <f>IF($I927&lt;&gt;"",J927*(INDEX('Device Refrigerant Leakage'!$D$2:$D$42,MATCH($M927,'Device Refrigerant Leakage'!$B$2:$B$42,0))-(INDEX('Device Refrigerant Leakage'!$D$2:$D$42,MATCH($M927,'Device Refrigerant Leakage'!$B$2:$B$42,0)))*CR927*CP927)*CQ927/2204.62*CO927,"")</f>
        <v/>
      </c>
      <c r="CU927" s="135" t="str">
        <f>IF($I927&lt;&gt;"",J927*IF(W927&lt;&gt;"AR",(CS927*K927)+CT927,(CS927*AB927)+CT927*(AB927/INDEX('Device Refrigerant Leakage'!$C$2:$C$42,MATCH($M927,'Device Refrigerant Leakage'!$B$2:$B$42,0)))),"")</f>
        <v/>
      </c>
      <c r="CW927" s="135" t="str">
        <f>IF($I927&lt;&gt;"",IF(S927="User Specified",V927,INDEX('Refrigerant GWPs'!$G$2:$G$156,MATCH(S927,'Refrigerant GWPs'!$A$2:$A$157,0))),"")</f>
        <v/>
      </c>
      <c r="CX927" s="138" t="str">
        <f>IF($I927&lt;&gt;"",INDEX('Device Refrigerant Leakage'!$E$2:$E$42,MATCH($Q927,'Device Refrigerant Leakage'!$B$2:$B$42,0)),"")</f>
        <v/>
      </c>
      <c r="CY927" s="138" t="str">
        <f>IF($I927&lt;&gt;"",INDEX('Device Refrigerant Leakage'!$F$2:$F$42,MATCH($Q927,'Device Refrigerant Leakage'!$B$2:$B$42,0)),"")</f>
        <v/>
      </c>
      <c r="CZ927" s="145" t="str">
        <f>IF($I927&lt;&gt;"",INDEX('Device Refrigerant Leakage'!$G$2:$G$42,MATCH($Q927,'Device Refrigerant Leakage'!$B$2:$B$42,0)),"")</f>
        <v/>
      </c>
      <c r="DA927" s="145" t="str">
        <f>IF($I927&lt;&gt;"",J927*INDEX('Device Refrigerant Leakage'!$D$2:$D$42,MATCH($Q927,'Device Refrigerant Leakage'!$B$2:$B$42,0))*CX927/2204.62*CW927,"")</f>
        <v/>
      </c>
      <c r="DB927" s="145" t="str">
        <f>IF($I927&lt;&gt;"",J927*(INDEX('Device Refrigerant Leakage'!$D$2:$D$42,MATCH($Q927,'Device Refrigerant Leakage'!$B$2:$B$42,0))-(INDEX('Device Refrigerant Leakage'!$D$2:$D$42,MATCH($Q927,'Device Refrigerant Leakage'!$B$2:$B$42,0)))*CZ927*CX927)*CY927/2204.62*CW927,"")</f>
        <v/>
      </c>
      <c r="DC927" s="135" t="str">
        <f t="shared" si="1096"/>
        <v/>
      </c>
      <c r="DE927" s="146" t="str">
        <f>IF(W927&lt;&gt;"AR","",IF(Y927="User Specified", AA927, INDEX('Refrigerant GWPs'!$G$2:$G$154,MATCH(Y927,'Refrigerant GWPs'!$A$2:$A$154,0))))</f>
        <v/>
      </c>
      <c r="DF927" s="146" t="str">
        <f>IF(W927&lt;&gt;"AR","",INDEX('Device Refrigerant Leakage'!$E$2:$E$42,MATCH(X927,'Device Refrigerant Leakage'!$B$2:$B$42,0)))</f>
        <v/>
      </c>
      <c r="DG927" s="146" t="str">
        <f>IF(W927&lt;&gt;"AR","",INDEX('Device Refrigerant Leakage'!$F$2:$F$42,MATCH(X927,'Device Refrigerant Leakage'!$B$2:$B$42,0)))</f>
        <v/>
      </c>
      <c r="DH927" s="146" t="str">
        <f>IF(W927&lt;&gt;"AR","",INDEX('Device Refrigerant Leakage'!$G$2:$G$42,MATCH(X927,'Device Refrigerant Leakage'!$B$2:$B$42,0)))</f>
        <v/>
      </c>
      <c r="DI927" s="146" t="str">
        <f>IF(W927&lt;&gt;"AR","",J927*INDEX('Device Refrigerant Leakage'!$D$2:$D$42,MATCH(X927,'Device Refrigerant Leakage'!$B$2:$B$42,0))*DF927/2204.62*DE927)</f>
        <v/>
      </c>
      <c r="DJ927" s="146" t="str">
        <f>IF(W927&lt;&gt;"AR","",J927*(INDEX('Device Refrigerant Leakage'!$D$2:$D$42,MATCH(X927,'Device Refrigerant Leakage'!$B$2:$B$42,0))-(INDEX('Device Refrigerant Leakage'!$D$2:$D$42,MATCH(X927,'Device Refrigerant Leakage'!$B$2:$B$42,0)))*DH927*DF927)*DG927/2204.62*DE927)</f>
        <v/>
      </c>
      <c r="DK927" s="146" t="str">
        <f>IF(W927&lt;&gt;"AR","",DI927*(K927-AB927)+'Fuel Sub Calcs-Deemed'!DJ927*((K927-AB927)/INDEX('Device Refrigerant Leakage'!$C$2:$C$42,MATCH('Fuel Sub Calcs-Deemed'!X927,'Device Refrigerant Leakage'!$B$2:$B$42,0))))</f>
        <v/>
      </c>
      <c r="DM927" s="56">
        <v>913</v>
      </c>
      <c r="DN927" s="67" t="e">
        <f t="shared" si="1078"/>
        <v>#N/A</v>
      </c>
      <c r="DO927" s="45" t="e">
        <f t="shared" si="1079"/>
        <v>#N/A</v>
      </c>
      <c r="DP927" s="67" t="e">
        <f t="shared" si="1080"/>
        <v>#N/A</v>
      </c>
      <c r="DQ927" s="45" t="e">
        <f t="shared" si="1081"/>
        <v>#N/A</v>
      </c>
      <c r="DR927" s="69" t="e">
        <f t="shared" si="1082"/>
        <v>#N/A</v>
      </c>
      <c r="DS927" s="34"/>
      <c r="DT927" s="67" t="e">
        <f>((BX927*CJ927)+IF($W927=MAT_AR,(BZ927*CL927),0))*(1+Reference!$E$50+Reference!$E$51)</f>
        <v>#N/A</v>
      </c>
      <c r="DU927" s="67">
        <f>((BY927*CK927)+IF($W927=MAT_AR,(CA927*CM927),0))*(1+Reference!$G$50+Reference!$G$51)</f>
        <v>0</v>
      </c>
      <c r="DV927" s="67" t="e">
        <f t="shared" si="1083"/>
        <v>#VALUE!</v>
      </c>
      <c r="DX927" s="56">
        <v>913</v>
      </c>
      <c r="DY927" s="67">
        <f t="shared" si="1084"/>
        <v>0</v>
      </c>
      <c r="DZ927" s="45" t="e">
        <f>VLOOKUP($R927,Dropdown!$C$3:$D$4,2,FALSE)</f>
        <v>#N/A</v>
      </c>
      <c r="EA927" s="68">
        <f t="shared" si="1085"/>
        <v>0</v>
      </c>
      <c r="EB927" s="68" t="str">
        <f t="shared" si="1086"/>
        <v>N/A</v>
      </c>
      <c r="EC927" s="68">
        <f t="shared" si="1087"/>
        <v>0</v>
      </c>
      <c r="ED927" s="68" t="str">
        <f t="shared" si="1125"/>
        <v>N/A</v>
      </c>
      <c r="EF927" s="56">
        <v>913</v>
      </c>
      <c r="EG927" s="46">
        <f t="shared" si="1088"/>
        <v>0</v>
      </c>
      <c r="EH927" s="68" t="e">
        <f t="shared" si="1089"/>
        <v>#N/A</v>
      </c>
      <c r="EI927" s="68" t="e">
        <f t="shared" si="1090"/>
        <v>#N/A</v>
      </c>
      <c r="EJ927" s="68" t="e">
        <f t="shared" si="1091"/>
        <v>#N/A</v>
      </c>
      <c r="EK927" s="68" t="e">
        <f t="shared" si="1092"/>
        <v>#N/A</v>
      </c>
      <c r="EL927" s="46">
        <f t="shared" si="1093"/>
        <v>0</v>
      </c>
      <c r="EM927" s="46">
        <f t="shared" si="1094"/>
        <v>0</v>
      </c>
    </row>
    <row r="928" spans="1:143">
      <c r="A928" s="89"/>
      <c r="B928" s="89"/>
      <c r="C928" s="89"/>
      <c r="D928" s="89"/>
      <c r="E928" s="89"/>
      <c r="F928" s="89"/>
      <c r="G928" s="34"/>
      <c r="H928" s="56">
        <f t="shared" si="1095"/>
        <v>914</v>
      </c>
      <c r="I928" s="165"/>
      <c r="J928" s="163"/>
      <c r="K928" s="163"/>
      <c r="L928" s="164"/>
      <c r="M928" s="155"/>
      <c r="N928" s="155"/>
      <c r="O928" s="144"/>
      <c r="P928" s="159" t="str">
        <f>IFERROR(IF(O928&lt;&gt;"User Specified",IF(O928&lt;&gt;"", INDEX('Refrigerant GWPs'!$G$2:$G$154,MATCH(O928,'Refrigerant GWPs'!$A$2:$A$154,0)),""),U928),0)</f>
        <v/>
      </c>
      <c r="Q928" s="155"/>
      <c r="R928" s="155"/>
      <c r="S928" s="144"/>
      <c r="T928" s="159" t="str">
        <f>IF(S928&lt;&gt;"User Specified",IF(AND(S928&lt;&gt;"User Specified",S928&lt;&gt;""), INDEX('Refrigerant GWPs'!$G$2:$G$154,MATCH(S928,'Refrigerant GWPs'!$A$2:$A$154,0)),""),V928)</f>
        <v/>
      </c>
      <c r="U928" s="144"/>
      <c r="V928" s="144"/>
      <c r="W928" s="155"/>
      <c r="X928" s="155"/>
      <c r="Y928" s="144"/>
      <c r="Z928" s="159" t="str">
        <f>IF(AND(Y928&lt;&gt;"User Specified",Y928&lt;&gt;""), INDEX('Refrigerant GWPs'!$G$2:$G$154,MATCH(Y928,'Refrigerant GWPs'!$A$2:$A$154,0)),"")</f>
        <v/>
      </c>
      <c r="AA928" s="155"/>
      <c r="AB928" s="156"/>
      <c r="AC928" s="66"/>
      <c r="AD928" s="66"/>
      <c r="AE928" s="66"/>
      <c r="AF928" s="66"/>
      <c r="AG928" s="66"/>
      <c r="AH928" s="66"/>
      <c r="AI928" s="34"/>
      <c r="AJ928" s="88">
        <f t="shared" si="1058"/>
        <v>0</v>
      </c>
      <c r="AK928" s="88">
        <f t="shared" si="1059"/>
        <v>0</v>
      </c>
      <c r="AL928" s="88">
        <v>0</v>
      </c>
      <c r="AM928" s="88">
        <v>0</v>
      </c>
      <c r="AN928" s="81" t="str">
        <f t="shared" si="1097"/>
        <v/>
      </c>
      <c r="AO928" s="88">
        <f t="shared" si="1060"/>
        <v>0</v>
      </c>
      <c r="AP928" s="88">
        <f t="shared" si="1061"/>
        <v>0</v>
      </c>
      <c r="AQ928" s="81" t="str">
        <f t="shared" si="1062"/>
        <v/>
      </c>
      <c r="AS928" s="41" t="b">
        <f t="shared" si="1063"/>
        <v>1</v>
      </c>
      <c r="AT928" s="38">
        <f t="shared" si="1064"/>
        <v>0</v>
      </c>
      <c r="AU928" s="60">
        <f t="shared" si="1065"/>
        <v>0</v>
      </c>
      <c r="AV928" s="41">
        <f t="shared" si="1066"/>
        <v>0</v>
      </c>
      <c r="AW928" s="41" t="b">
        <f t="shared" si="1067"/>
        <v>0</v>
      </c>
      <c r="AX928" t="str">
        <f t="shared" si="1068"/>
        <v>+00</v>
      </c>
      <c r="AY928" t="str">
        <f t="shared" si="1069"/>
        <v>+00</v>
      </c>
      <c r="BA928" s="47" t="b">
        <f t="shared" si="1098"/>
        <v>1</v>
      </c>
      <c r="BB928" s="42" t="b">
        <f t="shared" si="1099"/>
        <v>1</v>
      </c>
      <c r="BC928" s="42" t="b">
        <f t="shared" si="1100"/>
        <v>0</v>
      </c>
      <c r="BD928" s="42" t="b">
        <f t="shared" si="1101"/>
        <v>0</v>
      </c>
      <c r="BE928" s="70">
        <f t="shared" si="1102"/>
        <v>0</v>
      </c>
      <c r="BF928" s="70">
        <f t="shared" si="1103"/>
        <v>0</v>
      </c>
      <c r="BG928" s="34"/>
      <c r="BI928" s="47" t="b">
        <f t="shared" si="1104"/>
        <v>1</v>
      </c>
      <c r="BJ928" s="47" t="b">
        <f t="shared" si="1105"/>
        <v>1</v>
      </c>
      <c r="BK928" s="42" t="b">
        <f t="shared" si="1106"/>
        <v>0</v>
      </c>
      <c r="BL928" s="42" t="b">
        <f t="shared" si="1107"/>
        <v>0</v>
      </c>
      <c r="BM928" s="42">
        <f t="shared" si="1108"/>
        <v>0</v>
      </c>
      <c r="BN928" s="42">
        <f t="shared" si="1109"/>
        <v>0</v>
      </c>
      <c r="BP928" t="e">
        <f t="shared" si="1110"/>
        <v>#N/A</v>
      </c>
      <c r="BQ928" t="e">
        <f t="shared" si="1111"/>
        <v>#N/A</v>
      </c>
      <c r="BR928" t="e">
        <f t="shared" si="1112"/>
        <v>#N/A</v>
      </c>
      <c r="BT928" s="60">
        <f t="shared" si="1113"/>
        <v>0</v>
      </c>
      <c r="BU928" s="60">
        <f t="shared" si="1114"/>
        <v>0</v>
      </c>
      <c r="BV928" s="60">
        <f t="shared" si="1115"/>
        <v>0</v>
      </c>
      <c r="BW928" s="60">
        <f t="shared" si="1116"/>
        <v>0</v>
      </c>
      <c r="BX928" s="60">
        <f t="shared" si="1117"/>
        <v>0</v>
      </c>
      <c r="BY928" s="60">
        <f t="shared" si="1118"/>
        <v>0</v>
      </c>
      <c r="BZ928" s="60">
        <f t="shared" si="1119"/>
        <v>0</v>
      </c>
      <c r="CA928" s="60">
        <f t="shared" si="1120"/>
        <v>0</v>
      </c>
      <c r="CB928" s="60" t="e">
        <f t="shared" si="1070"/>
        <v>#N/A</v>
      </c>
      <c r="CC928" s="60">
        <f t="shared" si="1071"/>
        <v>100000</v>
      </c>
      <c r="CD928" s="60" t="e">
        <f t="shared" si="1072"/>
        <v>#N/A</v>
      </c>
      <c r="CE928" s="60">
        <f t="shared" si="1073"/>
        <v>100000</v>
      </c>
      <c r="CF928" s="83" t="e">
        <f t="shared" si="1121"/>
        <v>#N/A</v>
      </c>
      <c r="CG928" s="83">
        <f t="shared" si="1122"/>
        <v>0</v>
      </c>
      <c r="CH928" s="83" t="e">
        <f t="shared" si="1123"/>
        <v>#N/A</v>
      </c>
      <c r="CI928" s="83">
        <f t="shared" si="1124"/>
        <v>0</v>
      </c>
      <c r="CJ928" s="86" t="e">
        <f t="shared" si="1074"/>
        <v>#N/A</v>
      </c>
      <c r="CK928" s="82">
        <f t="shared" si="1075"/>
        <v>5.3070370403969858E-3</v>
      </c>
      <c r="CL928" s="82" t="e">
        <f t="shared" si="1076"/>
        <v>#N/A</v>
      </c>
      <c r="CM928" s="82">
        <f t="shared" si="1077"/>
        <v>5.3070370403969858E-3</v>
      </c>
      <c r="CO928" s="149" t="str">
        <f>IF($I928&lt;&gt;"",IF(O928="User Specified",U928,INDEX('Refrigerant GWPs'!$G$2:$G$156,MATCH(O928,'Refrigerant GWPs'!$A$2:$A$156,0))),"")</f>
        <v/>
      </c>
      <c r="CP928" s="138" t="str">
        <f>IF($I928&lt;&gt;"",INDEX('Device Refrigerant Leakage'!$E$2:$E$42,MATCH($M928,'Device Refrigerant Leakage'!$B$2:$B$42,0)),"")</f>
        <v/>
      </c>
      <c r="CQ928" s="138" t="str">
        <f>IF($I928&lt;&gt;"",INDEX('Device Refrigerant Leakage'!$F$2:$F$42,MATCH($M928,'Device Refrigerant Leakage'!$B$2:$B$42,0)),"")</f>
        <v/>
      </c>
      <c r="CR928" s="145" t="str">
        <f>IF($I928&lt;&gt;"",INDEX('Device Refrigerant Leakage'!$G$2:$G$42,MATCH($M928,'Device Refrigerant Leakage'!$B$2:$B$42,0)),"")</f>
        <v/>
      </c>
      <c r="CS928" s="145" t="str">
        <f>IF($I928&lt;&gt;"",INDEX('Device Refrigerant Leakage'!$D$2:$D$42,MATCH($M928,'Device Refrigerant Leakage'!$B$2:$B$42,0))*CP928/2204.62*CO928,"")</f>
        <v/>
      </c>
      <c r="CT928" s="145" t="str">
        <f>IF($I928&lt;&gt;"",J928*(INDEX('Device Refrigerant Leakage'!$D$2:$D$42,MATCH($M928,'Device Refrigerant Leakage'!$B$2:$B$42,0))-(INDEX('Device Refrigerant Leakage'!$D$2:$D$42,MATCH($M928,'Device Refrigerant Leakage'!$B$2:$B$42,0)))*CR928*CP928)*CQ928/2204.62*CO928,"")</f>
        <v/>
      </c>
      <c r="CU928" s="135" t="str">
        <f>IF($I928&lt;&gt;"",J928*IF(W928&lt;&gt;"AR",(CS928*K928)+CT928,(CS928*AB928)+CT928*(AB928/INDEX('Device Refrigerant Leakage'!$C$2:$C$42,MATCH($M928,'Device Refrigerant Leakage'!$B$2:$B$42,0)))),"")</f>
        <v/>
      </c>
      <c r="CW928" s="135" t="str">
        <f>IF($I928&lt;&gt;"",IF(S928="User Specified",V928,INDEX('Refrigerant GWPs'!$G$2:$G$156,MATCH(S928,'Refrigerant GWPs'!$A$2:$A$157,0))),"")</f>
        <v/>
      </c>
      <c r="CX928" s="138" t="str">
        <f>IF($I928&lt;&gt;"",INDEX('Device Refrigerant Leakage'!$E$2:$E$42,MATCH($Q928,'Device Refrigerant Leakage'!$B$2:$B$42,0)),"")</f>
        <v/>
      </c>
      <c r="CY928" s="138" t="str">
        <f>IF($I928&lt;&gt;"",INDEX('Device Refrigerant Leakage'!$F$2:$F$42,MATCH($Q928,'Device Refrigerant Leakage'!$B$2:$B$42,0)),"")</f>
        <v/>
      </c>
      <c r="CZ928" s="145" t="str">
        <f>IF($I928&lt;&gt;"",INDEX('Device Refrigerant Leakage'!$G$2:$G$42,MATCH($Q928,'Device Refrigerant Leakage'!$B$2:$B$42,0)),"")</f>
        <v/>
      </c>
      <c r="DA928" s="145" t="str">
        <f>IF($I928&lt;&gt;"",J928*INDEX('Device Refrigerant Leakage'!$D$2:$D$42,MATCH($Q928,'Device Refrigerant Leakage'!$B$2:$B$42,0))*CX928/2204.62*CW928,"")</f>
        <v/>
      </c>
      <c r="DB928" s="145" t="str">
        <f>IF($I928&lt;&gt;"",J928*(INDEX('Device Refrigerant Leakage'!$D$2:$D$42,MATCH($Q928,'Device Refrigerant Leakage'!$B$2:$B$42,0))-(INDEX('Device Refrigerant Leakage'!$D$2:$D$42,MATCH($Q928,'Device Refrigerant Leakage'!$B$2:$B$42,0)))*CZ928*CX928)*CY928/2204.62*CW928,"")</f>
        <v/>
      </c>
      <c r="DC928" s="135" t="str">
        <f t="shared" si="1096"/>
        <v/>
      </c>
      <c r="DE928" s="146" t="str">
        <f>IF(W928&lt;&gt;"AR","",IF(Y928="User Specified", AA928, INDEX('Refrigerant GWPs'!$G$2:$G$154,MATCH(Y928,'Refrigerant GWPs'!$A$2:$A$154,0))))</f>
        <v/>
      </c>
      <c r="DF928" s="146" t="str">
        <f>IF(W928&lt;&gt;"AR","",INDEX('Device Refrigerant Leakage'!$E$2:$E$42,MATCH(X928,'Device Refrigerant Leakage'!$B$2:$B$42,0)))</f>
        <v/>
      </c>
      <c r="DG928" s="146" t="str">
        <f>IF(W928&lt;&gt;"AR","",INDEX('Device Refrigerant Leakage'!$F$2:$F$42,MATCH(X928,'Device Refrigerant Leakage'!$B$2:$B$42,0)))</f>
        <v/>
      </c>
      <c r="DH928" s="146" t="str">
        <f>IF(W928&lt;&gt;"AR","",INDEX('Device Refrigerant Leakage'!$G$2:$G$42,MATCH(X928,'Device Refrigerant Leakage'!$B$2:$B$42,0)))</f>
        <v/>
      </c>
      <c r="DI928" s="146" t="str">
        <f>IF(W928&lt;&gt;"AR","",J928*INDEX('Device Refrigerant Leakage'!$D$2:$D$42,MATCH(X928,'Device Refrigerant Leakage'!$B$2:$B$42,0))*DF928/2204.62*DE928)</f>
        <v/>
      </c>
      <c r="DJ928" s="146" t="str">
        <f>IF(W928&lt;&gt;"AR","",J928*(INDEX('Device Refrigerant Leakage'!$D$2:$D$42,MATCH(X928,'Device Refrigerant Leakage'!$B$2:$B$42,0))-(INDEX('Device Refrigerant Leakage'!$D$2:$D$42,MATCH(X928,'Device Refrigerant Leakage'!$B$2:$B$42,0)))*DH928*DF928)*DG928/2204.62*DE928)</f>
        <v/>
      </c>
      <c r="DK928" s="146" t="str">
        <f>IF(W928&lt;&gt;"AR","",DI928*(K928-AB928)+'Fuel Sub Calcs-Deemed'!DJ928*((K928-AB928)/INDEX('Device Refrigerant Leakage'!$C$2:$C$42,MATCH('Fuel Sub Calcs-Deemed'!X928,'Device Refrigerant Leakage'!$B$2:$B$42,0))))</f>
        <v/>
      </c>
      <c r="DM928" s="56">
        <v>914</v>
      </c>
      <c r="DN928" s="67" t="e">
        <f t="shared" si="1078"/>
        <v>#N/A</v>
      </c>
      <c r="DO928" s="45" t="e">
        <f t="shared" si="1079"/>
        <v>#N/A</v>
      </c>
      <c r="DP928" s="67" t="e">
        <f t="shared" si="1080"/>
        <v>#N/A</v>
      </c>
      <c r="DQ928" s="45" t="e">
        <f t="shared" si="1081"/>
        <v>#N/A</v>
      </c>
      <c r="DR928" s="69" t="e">
        <f t="shared" si="1082"/>
        <v>#N/A</v>
      </c>
      <c r="DS928" s="34"/>
      <c r="DT928" s="67" t="e">
        <f>((BX928*CJ928)+IF($W928=MAT_AR,(BZ928*CL928),0))*(1+Reference!$E$50+Reference!$E$51)</f>
        <v>#N/A</v>
      </c>
      <c r="DU928" s="67">
        <f>((BY928*CK928)+IF($W928=MAT_AR,(CA928*CM928),0))*(1+Reference!$G$50+Reference!$G$51)</f>
        <v>0</v>
      </c>
      <c r="DV928" s="67" t="e">
        <f t="shared" si="1083"/>
        <v>#VALUE!</v>
      </c>
      <c r="DX928" s="56">
        <v>914</v>
      </c>
      <c r="DY928" s="67">
        <f t="shared" si="1084"/>
        <v>0</v>
      </c>
      <c r="DZ928" s="45" t="e">
        <f>VLOOKUP($R928,Dropdown!$C$3:$D$4,2,FALSE)</f>
        <v>#N/A</v>
      </c>
      <c r="EA928" s="68">
        <f t="shared" si="1085"/>
        <v>0</v>
      </c>
      <c r="EB928" s="68" t="str">
        <f t="shared" si="1086"/>
        <v>N/A</v>
      </c>
      <c r="EC928" s="68">
        <f t="shared" si="1087"/>
        <v>0</v>
      </c>
      <c r="ED928" s="68" t="str">
        <f t="shared" si="1125"/>
        <v>N/A</v>
      </c>
      <c r="EF928" s="56">
        <v>914</v>
      </c>
      <c r="EG928" s="46">
        <f t="shared" si="1088"/>
        <v>0</v>
      </c>
      <c r="EH928" s="68" t="e">
        <f t="shared" si="1089"/>
        <v>#N/A</v>
      </c>
      <c r="EI928" s="68" t="e">
        <f t="shared" si="1090"/>
        <v>#N/A</v>
      </c>
      <c r="EJ928" s="68" t="e">
        <f t="shared" si="1091"/>
        <v>#N/A</v>
      </c>
      <c r="EK928" s="68" t="e">
        <f t="shared" si="1092"/>
        <v>#N/A</v>
      </c>
      <c r="EL928" s="46">
        <f t="shared" si="1093"/>
        <v>0</v>
      </c>
      <c r="EM928" s="46">
        <f t="shared" si="1094"/>
        <v>0</v>
      </c>
    </row>
    <row r="929" spans="1:143">
      <c r="A929" s="89"/>
      <c r="B929" s="89"/>
      <c r="C929" s="89"/>
      <c r="D929" s="89"/>
      <c r="E929" s="89"/>
      <c r="F929" s="89"/>
      <c r="G929" s="34"/>
      <c r="H929" s="56">
        <f t="shared" si="1095"/>
        <v>915</v>
      </c>
      <c r="I929" s="165"/>
      <c r="J929" s="163"/>
      <c r="K929" s="163"/>
      <c r="L929" s="164"/>
      <c r="M929" s="155"/>
      <c r="N929" s="155"/>
      <c r="O929" s="144"/>
      <c r="P929" s="159" t="str">
        <f>IFERROR(IF(O929&lt;&gt;"User Specified",IF(O929&lt;&gt;"", INDEX('Refrigerant GWPs'!$G$2:$G$154,MATCH(O929,'Refrigerant GWPs'!$A$2:$A$154,0)),""),U929),0)</f>
        <v/>
      </c>
      <c r="Q929" s="155"/>
      <c r="R929" s="155"/>
      <c r="S929" s="144"/>
      <c r="T929" s="159" t="str">
        <f>IF(S929&lt;&gt;"User Specified",IF(AND(S929&lt;&gt;"User Specified",S929&lt;&gt;""), INDEX('Refrigerant GWPs'!$G$2:$G$154,MATCH(S929,'Refrigerant GWPs'!$A$2:$A$154,0)),""),V929)</f>
        <v/>
      </c>
      <c r="U929" s="144"/>
      <c r="V929" s="144"/>
      <c r="W929" s="155"/>
      <c r="X929" s="155"/>
      <c r="Y929" s="144"/>
      <c r="Z929" s="159" t="str">
        <f>IF(AND(Y929&lt;&gt;"User Specified",Y929&lt;&gt;""), INDEX('Refrigerant GWPs'!$G$2:$G$154,MATCH(Y929,'Refrigerant GWPs'!$A$2:$A$154,0)),"")</f>
        <v/>
      </c>
      <c r="AA929" s="155"/>
      <c r="AB929" s="156"/>
      <c r="AC929" s="66"/>
      <c r="AD929" s="66"/>
      <c r="AE929" s="66"/>
      <c r="AF929" s="66"/>
      <c r="AG929" s="66"/>
      <c r="AH929" s="66"/>
      <c r="AI929" s="34"/>
      <c r="AJ929" s="88">
        <f t="shared" si="1058"/>
        <v>0</v>
      </c>
      <c r="AK929" s="88">
        <f t="shared" si="1059"/>
        <v>0</v>
      </c>
      <c r="AL929" s="88">
        <v>0</v>
      </c>
      <c r="AM929" s="88">
        <v>0</v>
      </c>
      <c r="AN929" s="81" t="str">
        <f t="shared" si="1097"/>
        <v/>
      </c>
      <c r="AO929" s="88">
        <f t="shared" si="1060"/>
        <v>0</v>
      </c>
      <c r="AP929" s="88">
        <f t="shared" si="1061"/>
        <v>0</v>
      </c>
      <c r="AQ929" s="81" t="str">
        <f t="shared" si="1062"/>
        <v/>
      </c>
      <c r="AS929" s="41" t="b">
        <f t="shared" si="1063"/>
        <v>1</v>
      </c>
      <c r="AT929" s="38">
        <f t="shared" si="1064"/>
        <v>0</v>
      </c>
      <c r="AU929" s="60">
        <f t="shared" si="1065"/>
        <v>0</v>
      </c>
      <c r="AV929" s="41">
        <f t="shared" si="1066"/>
        <v>0</v>
      </c>
      <c r="AW929" s="41" t="b">
        <f t="shared" si="1067"/>
        <v>0</v>
      </c>
      <c r="AX929" t="str">
        <f t="shared" si="1068"/>
        <v>+00</v>
      </c>
      <c r="AY929" t="str">
        <f t="shared" si="1069"/>
        <v>+00</v>
      </c>
      <c r="BA929" s="47" t="b">
        <f t="shared" si="1098"/>
        <v>1</v>
      </c>
      <c r="BB929" s="42" t="b">
        <f t="shared" si="1099"/>
        <v>1</v>
      </c>
      <c r="BC929" s="42" t="b">
        <f t="shared" si="1100"/>
        <v>0</v>
      </c>
      <c r="BD929" s="42" t="b">
        <f t="shared" si="1101"/>
        <v>0</v>
      </c>
      <c r="BE929" s="70">
        <f t="shared" si="1102"/>
        <v>0</v>
      </c>
      <c r="BF929" s="70">
        <f t="shared" si="1103"/>
        <v>0</v>
      </c>
      <c r="BG929" s="34"/>
      <c r="BI929" s="47" t="b">
        <f t="shared" si="1104"/>
        <v>1</v>
      </c>
      <c r="BJ929" s="47" t="b">
        <f t="shared" si="1105"/>
        <v>1</v>
      </c>
      <c r="BK929" s="42" t="b">
        <f t="shared" si="1106"/>
        <v>0</v>
      </c>
      <c r="BL929" s="42" t="b">
        <f t="shared" si="1107"/>
        <v>0</v>
      </c>
      <c r="BM929" s="42">
        <f t="shared" si="1108"/>
        <v>0</v>
      </c>
      <c r="BN929" s="42">
        <f t="shared" si="1109"/>
        <v>0</v>
      </c>
      <c r="BP929" t="e">
        <f t="shared" si="1110"/>
        <v>#N/A</v>
      </c>
      <c r="BQ929" t="e">
        <f t="shared" si="1111"/>
        <v>#N/A</v>
      </c>
      <c r="BR929" t="e">
        <f t="shared" si="1112"/>
        <v>#N/A</v>
      </c>
      <c r="BT929" s="60">
        <f t="shared" si="1113"/>
        <v>0</v>
      </c>
      <c r="BU929" s="60">
        <f t="shared" si="1114"/>
        <v>0</v>
      </c>
      <c r="BV929" s="60">
        <f t="shared" si="1115"/>
        <v>0</v>
      </c>
      <c r="BW929" s="60">
        <f t="shared" si="1116"/>
        <v>0</v>
      </c>
      <c r="BX929" s="60">
        <f t="shared" si="1117"/>
        <v>0</v>
      </c>
      <c r="BY929" s="60">
        <f t="shared" si="1118"/>
        <v>0</v>
      </c>
      <c r="BZ929" s="60">
        <f t="shared" si="1119"/>
        <v>0</v>
      </c>
      <c r="CA929" s="60">
        <f t="shared" si="1120"/>
        <v>0</v>
      </c>
      <c r="CB929" s="60" t="e">
        <f t="shared" si="1070"/>
        <v>#N/A</v>
      </c>
      <c r="CC929" s="60">
        <f t="shared" si="1071"/>
        <v>100000</v>
      </c>
      <c r="CD929" s="60" t="e">
        <f t="shared" si="1072"/>
        <v>#N/A</v>
      </c>
      <c r="CE929" s="60">
        <f t="shared" si="1073"/>
        <v>100000</v>
      </c>
      <c r="CF929" s="83" t="e">
        <f t="shared" si="1121"/>
        <v>#N/A</v>
      </c>
      <c r="CG929" s="83">
        <f t="shared" si="1122"/>
        <v>0</v>
      </c>
      <c r="CH929" s="83" t="e">
        <f t="shared" si="1123"/>
        <v>#N/A</v>
      </c>
      <c r="CI929" s="83">
        <f t="shared" si="1124"/>
        <v>0</v>
      </c>
      <c r="CJ929" s="86" t="e">
        <f t="shared" si="1074"/>
        <v>#N/A</v>
      </c>
      <c r="CK929" s="82">
        <f t="shared" si="1075"/>
        <v>5.3070370403969858E-3</v>
      </c>
      <c r="CL929" s="82" t="e">
        <f t="shared" si="1076"/>
        <v>#N/A</v>
      </c>
      <c r="CM929" s="82">
        <f t="shared" si="1077"/>
        <v>5.3070370403969858E-3</v>
      </c>
      <c r="CO929" s="149" t="str">
        <f>IF($I929&lt;&gt;"",IF(O929="User Specified",U929,INDEX('Refrigerant GWPs'!$G$2:$G$156,MATCH(O929,'Refrigerant GWPs'!$A$2:$A$156,0))),"")</f>
        <v/>
      </c>
      <c r="CP929" s="138" t="str">
        <f>IF($I929&lt;&gt;"",INDEX('Device Refrigerant Leakage'!$E$2:$E$42,MATCH($M929,'Device Refrigerant Leakage'!$B$2:$B$42,0)),"")</f>
        <v/>
      </c>
      <c r="CQ929" s="138" t="str">
        <f>IF($I929&lt;&gt;"",INDEX('Device Refrigerant Leakage'!$F$2:$F$42,MATCH($M929,'Device Refrigerant Leakage'!$B$2:$B$42,0)),"")</f>
        <v/>
      </c>
      <c r="CR929" s="145" t="str">
        <f>IF($I929&lt;&gt;"",INDEX('Device Refrigerant Leakage'!$G$2:$G$42,MATCH($M929,'Device Refrigerant Leakage'!$B$2:$B$42,0)),"")</f>
        <v/>
      </c>
      <c r="CS929" s="145" t="str">
        <f>IF($I929&lt;&gt;"",INDEX('Device Refrigerant Leakage'!$D$2:$D$42,MATCH($M929,'Device Refrigerant Leakage'!$B$2:$B$42,0))*CP929/2204.62*CO929,"")</f>
        <v/>
      </c>
      <c r="CT929" s="145" t="str">
        <f>IF($I929&lt;&gt;"",J929*(INDEX('Device Refrigerant Leakage'!$D$2:$D$42,MATCH($M929,'Device Refrigerant Leakage'!$B$2:$B$42,0))-(INDEX('Device Refrigerant Leakage'!$D$2:$D$42,MATCH($M929,'Device Refrigerant Leakage'!$B$2:$B$42,0)))*CR929*CP929)*CQ929/2204.62*CO929,"")</f>
        <v/>
      </c>
      <c r="CU929" s="135" t="str">
        <f>IF($I929&lt;&gt;"",J929*IF(W929&lt;&gt;"AR",(CS929*K929)+CT929,(CS929*AB929)+CT929*(AB929/INDEX('Device Refrigerant Leakage'!$C$2:$C$42,MATCH($M929,'Device Refrigerant Leakage'!$B$2:$B$42,0)))),"")</f>
        <v/>
      </c>
      <c r="CW929" s="135" t="str">
        <f>IF($I929&lt;&gt;"",IF(S929="User Specified",V929,INDEX('Refrigerant GWPs'!$G$2:$G$156,MATCH(S929,'Refrigerant GWPs'!$A$2:$A$157,0))),"")</f>
        <v/>
      </c>
      <c r="CX929" s="138" t="str">
        <f>IF($I929&lt;&gt;"",INDEX('Device Refrigerant Leakage'!$E$2:$E$42,MATCH($Q929,'Device Refrigerant Leakage'!$B$2:$B$42,0)),"")</f>
        <v/>
      </c>
      <c r="CY929" s="138" t="str">
        <f>IF($I929&lt;&gt;"",INDEX('Device Refrigerant Leakage'!$F$2:$F$42,MATCH($Q929,'Device Refrigerant Leakage'!$B$2:$B$42,0)),"")</f>
        <v/>
      </c>
      <c r="CZ929" s="145" t="str">
        <f>IF($I929&lt;&gt;"",INDEX('Device Refrigerant Leakage'!$G$2:$G$42,MATCH($Q929,'Device Refrigerant Leakage'!$B$2:$B$42,0)),"")</f>
        <v/>
      </c>
      <c r="DA929" s="145" t="str">
        <f>IF($I929&lt;&gt;"",J929*INDEX('Device Refrigerant Leakage'!$D$2:$D$42,MATCH($Q929,'Device Refrigerant Leakage'!$B$2:$B$42,0))*CX929/2204.62*CW929,"")</f>
        <v/>
      </c>
      <c r="DB929" s="145" t="str">
        <f>IF($I929&lt;&gt;"",J929*(INDEX('Device Refrigerant Leakage'!$D$2:$D$42,MATCH($Q929,'Device Refrigerant Leakage'!$B$2:$B$42,0))-(INDEX('Device Refrigerant Leakage'!$D$2:$D$42,MATCH($Q929,'Device Refrigerant Leakage'!$B$2:$B$42,0)))*CZ929*CX929)*CY929/2204.62*CW929,"")</f>
        <v/>
      </c>
      <c r="DC929" s="135" t="str">
        <f t="shared" si="1096"/>
        <v/>
      </c>
      <c r="DE929" s="146" t="str">
        <f>IF(W929&lt;&gt;"AR","",IF(Y929="User Specified", AA929, INDEX('Refrigerant GWPs'!$G$2:$G$154,MATCH(Y929,'Refrigerant GWPs'!$A$2:$A$154,0))))</f>
        <v/>
      </c>
      <c r="DF929" s="146" t="str">
        <f>IF(W929&lt;&gt;"AR","",INDEX('Device Refrigerant Leakage'!$E$2:$E$42,MATCH(X929,'Device Refrigerant Leakage'!$B$2:$B$42,0)))</f>
        <v/>
      </c>
      <c r="DG929" s="146" t="str">
        <f>IF(W929&lt;&gt;"AR","",INDEX('Device Refrigerant Leakage'!$F$2:$F$42,MATCH(X929,'Device Refrigerant Leakage'!$B$2:$B$42,0)))</f>
        <v/>
      </c>
      <c r="DH929" s="146" t="str">
        <f>IF(W929&lt;&gt;"AR","",INDEX('Device Refrigerant Leakage'!$G$2:$G$42,MATCH(X929,'Device Refrigerant Leakage'!$B$2:$B$42,0)))</f>
        <v/>
      </c>
      <c r="DI929" s="146" t="str">
        <f>IF(W929&lt;&gt;"AR","",J929*INDEX('Device Refrigerant Leakage'!$D$2:$D$42,MATCH(X929,'Device Refrigerant Leakage'!$B$2:$B$42,0))*DF929/2204.62*DE929)</f>
        <v/>
      </c>
      <c r="DJ929" s="146" t="str">
        <f>IF(W929&lt;&gt;"AR","",J929*(INDEX('Device Refrigerant Leakage'!$D$2:$D$42,MATCH(X929,'Device Refrigerant Leakage'!$B$2:$B$42,0))-(INDEX('Device Refrigerant Leakage'!$D$2:$D$42,MATCH(X929,'Device Refrigerant Leakage'!$B$2:$B$42,0)))*DH929*DF929)*DG929/2204.62*DE929)</f>
        <v/>
      </c>
      <c r="DK929" s="146" t="str">
        <f>IF(W929&lt;&gt;"AR","",DI929*(K929-AB929)+'Fuel Sub Calcs-Deemed'!DJ929*((K929-AB929)/INDEX('Device Refrigerant Leakage'!$C$2:$C$42,MATCH('Fuel Sub Calcs-Deemed'!X929,'Device Refrigerant Leakage'!$B$2:$B$42,0))))</f>
        <v/>
      </c>
      <c r="DM929" s="56">
        <v>915</v>
      </c>
      <c r="DN929" s="67" t="e">
        <f t="shared" si="1078"/>
        <v>#N/A</v>
      </c>
      <c r="DO929" s="45" t="e">
        <f t="shared" si="1079"/>
        <v>#N/A</v>
      </c>
      <c r="DP929" s="67" t="e">
        <f t="shared" si="1080"/>
        <v>#N/A</v>
      </c>
      <c r="DQ929" s="45" t="e">
        <f t="shared" si="1081"/>
        <v>#N/A</v>
      </c>
      <c r="DR929" s="69" t="e">
        <f t="shared" si="1082"/>
        <v>#N/A</v>
      </c>
      <c r="DS929" s="34"/>
      <c r="DT929" s="67" t="e">
        <f>((BX929*CJ929)+IF($W929=MAT_AR,(BZ929*CL929),0))*(1+Reference!$E$50+Reference!$E$51)</f>
        <v>#N/A</v>
      </c>
      <c r="DU929" s="67">
        <f>((BY929*CK929)+IF($W929=MAT_AR,(CA929*CM929),0))*(1+Reference!$G$50+Reference!$G$51)</f>
        <v>0</v>
      </c>
      <c r="DV929" s="67" t="e">
        <f t="shared" si="1083"/>
        <v>#VALUE!</v>
      </c>
      <c r="DX929" s="56">
        <v>915</v>
      </c>
      <c r="DY929" s="67">
        <f t="shared" si="1084"/>
        <v>0</v>
      </c>
      <c r="DZ929" s="45" t="e">
        <f>VLOOKUP($R929,Dropdown!$C$3:$D$4,2,FALSE)</f>
        <v>#N/A</v>
      </c>
      <c r="EA929" s="68">
        <f t="shared" si="1085"/>
        <v>0</v>
      </c>
      <c r="EB929" s="68" t="str">
        <f t="shared" si="1086"/>
        <v>N/A</v>
      </c>
      <c r="EC929" s="68">
        <f t="shared" si="1087"/>
        <v>0</v>
      </c>
      <c r="ED929" s="68" t="str">
        <f t="shared" si="1125"/>
        <v>N/A</v>
      </c>
      <c r="EF929" s="56">
        <v>915</v>
      </c>
      <c r="EG929" s="46">
        <f t="shared" si="1088"/>
        <v>0</v>
      </c>
      <c r="EH929" s="68" t="e">
        <f t="shared" si="1089"/>
        <v>#N/A</v>
      </c>
      <c r="EI929" s="68" t="e">
        <f t="shared" si="1090"/>
        <v>#N/A</v>
      </c>
      <c r="EJ929" s="68" t="e">
        <f t="shared" si="1091"/>
        <v>#N/A</v>
      </c>
      <c r="EK929" s="68" t="e">
        <f t="shared" si="1092"/>
        <v>#N/A</v>
      </c>
      <c r="EL929" s="46">
        <f t="shared" si="1093"/>
        <v>0</v>
      </c>
      <c r="EM929" s="46">
        <f t="shared" si="1094"/>
        <v>0</v>
      </c>
    </row>
    <row r="930" spans="1:143">
      <c r="A930" s="89"/>
      <c r="B930" s="89"/>
      <c r="C930" s="89"/>
      <c r="D930" s="89"/>
      <c r="E930" s="89"/>
      <c r="F930" s="89"/>
      <c r="G930" s="34"/>
      <c r="H930" s="56">
        <f t="shared" si="1095"/>
        <v>916</v>
      </c>
      <c r="I930" s="165"/>
      <c r="J930" s="163"/>
      <c r="K930" s="163"/>
      <c r="L930" s="164"/>
      <c r="M930" s="155"/>
      <c r="N930" s="155"/>
      <c r="O930" s="144"/>
      <c r="P930" s="159" t="str">
        <f>IFERROR(IF(O930&lt;&gt;"User Specified",IF(O930&lt;&gt;"", INDEX('Refrigerant GWPs'!$G$2:$G$154,MATCH(O930,'Refrigerant GWPs'!$A$2:$A$154,0)),""),U930),0)</f>
        <v/>
      </c>
      <c r="Q930" s="155"/>
      <c r="R930" s="155"/>
      <c r="S930" s="144"/>
      <c r="T930" s="159" t="str">
        <f>IF(S930&lt;&gt;"User Specified",IF(AND(S930&lt;&gt;"User Specified",S930&lt;&gt;""), INDEX('Refrigerant GWPs'!$G$2:$G$154,MATCH(S930,'Refrigerant GWPs'!$A$2:$A$154,0)),""),V930)</f>
        <v/>
      </c>
      <c r="U930" s="144"/>
      <c r="V930" s="144"/>
      <c r="W930" s="155"/>
      <c r="X930" s="155"/>
      <c r="Y930" s="144"/>
      <c r="Z930" s="159" t="str">
        <f>IF(AND(Y930&lt;&gt;"User Specified",Y930&lt;&gt;""), INDEX('Refrigerant GWPs'!$G$2:$G$154,MATCH(Y930,'Refrigerant GWPs'!$A$2:$A$154,0)),"")</f>
        <v/>
      </c>
      <c r="AA930" s="155"/>
      <c r="AB930" s="156"/>
      <c r="AC930" s="66"/>
      <c r="AD930" s="66"/>
      <c r="AE930" s="66"/>
      <c r="AF930" s="66"/>
      <c r="AG930" s="66"/>
      <c r="AH930" s="66"/>
      <c r="AI930" s="34"/>
      <c r="AJ930" s="88">
        <f t="shared" si="1058"/>
        <v>0</v>
      </c>
      <c r="AK930" s="88">
        <f t="shared" si="1059"/>
        <v>0</v>
      </c>
      <c r="AL930" s="88">
        <v>0</v>
      </c>
      <c r="AM930" s="88">
        <v>0</v>
      </c>
      <c r="AN930" s="81" t="str">
        <f t="shared" si="1097"/>
        <v/>
      </c>
      <c r="AO930" s="88">
        <f t="shared" si="1060"/>
        <v>0</v>
      </c>
      <c r="AP930" s="88">
        <f t="shared" si="1061"/>
        <v>0</v>
      </c>
      <c r="AQ930" s="81" t="str">
        <f t="shared" si="1062"/>
        <v/>
      </c>
      <c r="AS930" s="41" t="b">
        <f t="shared" si="1063"/>
        <v>1</v>
      </c>
      <c r="AT930" s="38">
        <f t="shared" si="1064"/>
        <v>0</v>
      </c>
      <c r="AU930" s="60">
        <f t="shared" si="1065"/>
        <v>0</v>
      </c>
      <c r="AV930" s="41">
        <f t="shared" si="1066"/>
        <v>0</v>
      </c>
      <c r="AW930" s="41" t="b">
        <f t="shared" si="1067"/>
        <v>0</v>
      </c>
      <c r="AX930" t="str">
        <f t="shared" si="1068"/>
        <v>+00</v>
      </c>
      <c r="AY930" t="str">
        <f t="shared" si="1069"/>
        <v>+00</v>
      </c>
      <c r="BA930" s="47" t="b">
        <f t="shared" si="1098"/>
        <v>1</v>
      </c>
      <c r="BB930" s="42" t="b">
        <f t="shared" si="1099"/>
        <v>1</v>
      </c>
      <c r="BC930" s="42" t="b">
        <f t="shared" si="1100"/>
        <v>0</v>
      </c>
      <c r="BD930" s="42" t="b">
        <f t="shared" si="1101"/>
        <v>0</v>
      </c>
      <c r="BE930" s="70">
        <f t="shared" si="1102"/>
        <v>0</v>
      </c>
      <c r="BF930" s="70">
        <f t="shared" si="1103"/>
        <v>0</v>
      </c>
      <c r="BG930" s="34"/>
      <c r="BI930" s="47" t="b">
        <f t="shared" si="1104"/>
        <v>1</v>
      </c>
      <c r="BJ930" s="47" t="b">
        <f t="shared" si="1105"/>
        <v>1</v>
      </c>
      <c r="BK930" s="42" t="b">
        <f t="shared" si="1106"/>
        <v>0</v>
      </c>
      <c r="BL930" s="42" t="b">
        <f t="shared" si="1107"/>
        <v>0</v>
      </c>
      <c r="BM930" s="42">
        <f t="shared" si="1108"/>
        <v>0</v>
      </c>
      <c r="BN930" s="42">
        <f t="shared" si="1109"/>
        <v>0</v>
      </c>
      <c r="BP930" t="e">
        <f t="shared" si="1110"/>
        <v>#N/A</v>
      </c>
      <c r="BQ930" t="e">
        <f t="shared" si="1111"/>
        <v>#N/A</v>
      </c>
      <c r="BR930" t="e">
        <f t="shared" si="1112"/>
        <v>#N/A</v>
      </c>
      <c r="BT930" s="60">
        <f t="shared" si="1113"/>
        <v>0</v>
      </c>
      <c r="BU930" s="60">
        <f t="shared" si="1114"/>
        <v>0</v>
      </c>
      <c r="BV930" s="60">
        <f t="shared" si="1115"/>
        <v>0</v>
      </c>
      <c r="BW930" s="60">
        <f t="shared" si="1116"/>
        <v>0</v>
      </c>
      <c r="BX930" s="60">
        <f t="shared" si="1117"/>
        <v>0</v>
      </c>
      <c r="BY930" s="60">
        <f t="shared" si="1118"/>
        <v>0</v>
      </c>
      <c r="BZ930" s="60">
        <f t="shared" si="1119"/>
        <v>0</v>
      </c>
      <c r="CA930" s="60">
        <f t="shared" si="1120"/>
        <v>0</v>
      </c>
      <c r="CB930" s="60" t="e">
        <f t="shared" si="1070"/>
        <v>#N/A</v>
      </c>
      <c r="CC930" s="60">
        <f t="shared" si="1071"/>
        <v>100000</v>
      </c>
      <c r="CD930" s="60" t="e">
        <f t="shared" si="1072"/>
        <v>#N/A</v>
      </c>
      <c r="CE930" s="60">
        <f t="shared" si="1073"/>
        <v>100000</v>
      </c>
      <c r="CF930" s="83" t="e">
        <f t="shared" si="1121"/>
        <v>#N/A</v>
      </c>
      <c r="CG930" s="83">
        <f t="shared" si="1122"/>
        <v>0</v>
      </c>
      <c r="CH930" s="83" t="e">
        <f t="shared" si="1123"/>
        <v>#N/A</v>
      </c>
      <c r="CI930" s="83">
        <f t="shared" si="1124"/>
        <v>0</v>
      </c>
      <c r="CJ930" s="86" t="e">
        <f t="shared" si="1074"/>
        <v>#N/A</v>
      </c>
      <c r="CK930" s="82">
        <f t="shared" si="1075"/>
        <v>5.3070370403969858E-3</v>
      </c>
      <c r="CL930" s="82" t="e">
        <f t="shared" si="1076"/>
        <v>#N/A</v>
      </c>
      <c r="CM930" s="82">
        <f t="shared" si="1077"/>
        <v>5.3070370403969858E-3</v>
      </c>
      <c r="CO930" s="149" t="str">
        <f>IF($I930&lt;&gt;"",IF(O930="User Specified",U930,INDEX('Refrigerant GWPs'!$G$2:$G$156,MATCH(O930,'Refrigerant GWPs'!$A$2:$A$156,0))),"")</f>
        <v/>
      </c>
      <c r="CP930" s="138" t="str">
        <f>IF($I930&lt;&gt;"",INDEX('Device Refrigerant Leakage'!$E$2:$E$42,MATCH($M930,'Device Refrigerant Leakage'!$B$2:$B$42,0)),"")</f>
        <v/>
      </c>
      <c r="CQ930" s="138" t="str">
        <f>IF($I930&lt;&gt;"",INDEX('Device Refrigerant Leakage'!$F$2:$F$42,MATCH($M930,'Device Refrigerant Leakage'!$B$2:$B$42,0)),"")</f>
        <v/>
      </c>
      <c r="CR930" s="145" t="str">
        <f>IF($I930&lt;&gt;"",INDEX('Device Refrigerant Leakage'!$G$2:$G$42,MATCH($M930,'Device Refrigerant Leakage'!$B$2:$B$42,0)),"")</f>
        <v/>
      </c>
      <c r="CS930" s="145" t="str">
        <f>IF($I930&lt;&gt;"",INDEX('Device Refrigerant Leakage'!$D$2:$D$42,MATCH($M930,'Device Refrigerant Leakage'!$B$2:$B$42,0))*CP930/2204.62*CO930,"")</f>
        <v/>
      </c>
      <c r="CT930" s="145" t="str">
        <f>IF($I930&lt;&gt;"",J930*(INDEX('Device Refrigerant Leakage'!$D$2:$D$42,MATCH($M930,'Device Refrigerant Leakage'!$B$2:$B$42,0))-(INDEX('Device Refrigerant Leakage'!$D$2:$D$42,MATCH($M930,'Device Refrigerant Leakage'!$B$2:$B$42,0)))*CR930*CP930)*CQ930/2204.62*CO930,"")</f>
        <v/>
      </c>
      <c r="CU930" s="135" t="str">
        <f>IF($I930&lt;&gt;"",J930*IF(W930&lt;&gt;"AR",(CS930*K930)+CT930,(CS930*AB930)+CT930*(AB930/INDEX('Device Refrigerant Leakage'!$C$2:$C$42,MATCH($M930,'Device Refrigerant Leakage'!$B$2:$B$42,0)))),"")</f>
        <v/>
      </c>
      <c r="CW930" s="135" t="str">
        <f>IF($I930&lt;&gt;"",IF(S930="User Specified",V930,INDEX('Refrigerant GWPs'!$G$2:$G$156,MATCH(S930,'Refrigerant GWPs'!$A$2:$A$157,0))),"")</f>
        <v/>
      </c>
      <c r="CX930" s="138" t="str">
        <f>IF($I930&lt;&gt;"",INDEX('Device Refrigerant Leakage'!$E$2:$E$42,MATCH($Q930,'Device Refrigerant Leakage'!$B$2:$B$42,0)),"")</f>
        <v/>
      </c>
      <c r="CY930" s="138" t="str">
        <f>IF($I930&lt;&gt;"",INDEX('Device Refrigerant Leakage'!$F$2:$F$42,MATCH($Q930,'Device Refrigerant Leakage'!$B$2:$B$42,0)),"")</f>
        <v/>
      </c>
      <c r="CZ930" s="145" t="str">
        <f>IF($I930&lt;&gt;"",INDEX('Device Refrigerant Leakage'!$G$2:$G$42,MATCH($Q930,'Device Refrigerant Leakage'!$B$2:$B$42,0)),"")</f>
        <v/>
      </c>
      <c r="DA930" s="145" t="str">
        <f>IF($I930&lt;&gt;"",J930*INDEX('Device Refrigerant Leakage'!$D$2:$D$42,MATCH($Q930,'Device Refrigerant Leakage'!$B$2:$B$42,0))*CX930/2204.62*CW930,"")</f>
        <v/>
      </c>
      <c r="DB930" s="145" t="str">
        <f>IF($I930&lt;&gt;"",J930*(INDEX('Device Refrigerant Leakage'!$D$2:$D$42,MATCH($Q930,'Device Refrigerant Leakage'!$B$2:$B$42,0))-(INDEX('Device Refrigerant Leakage'!$D$2:$D$42,MATCH($Q930,'Device Refrigerant Leakage'!$B$2:$B$42,0)))*CZ930*CX930)*CY930/2204.62*CW930,"")</f>
        <v/>
      </c>
      <c r="DC930" s="135" t="str">
        <f t="shared" si="1096"/>
        <v/>
      </c>
      <c r="DE930" s="146" t="str">
        <f>IF(W930&lt;&gt;"AR","",IF(Y930="User Specified", AA930, INDEX('Refrigerant GWPs'!$G$2:$G$154,MATCH(Y930,'Refrigerant GWPs'!$A$2:$A$154,0))))</f>
        <v/>
      </c>
      <c r="DF930" s="146" t="str">
        <f>IF(W930&lt;&gt;"AR","",INDEX('Device Refrigerant Leakage'!$E$2:$E$42,MATCH(X930,'Device Refrigerant Leakage'!$B$2:$B$42,0)))</f>
        <v/>
      </c>
      <c r="DG930" s="146" t="str">
        <f>IF(W930&lt;&gt;"AR","",INDEX('Device Refrigerant Leakage'!$F$2:$F$42,MATCH(X930,'Device Refrigerant Leakage'!$B$2:$B$42,0)))</f>
        <v/>
      </c>
      <c r="DH930" s="146" t="str">
        <f>IF(W930&lt;&gt;"AR","",INDEX('Device Refrigerant Leakage'!$G$2:$G$42,MATCH(X930,'Device Refrigerant Leakage'!$B$2:$B$42,0)))</f>
        <v/>
      </c>
      <c r="DI930" s="146" t="str">
        <f>IF(W930&lt;&gt;"AR","",J930*INDEX('Device Refrigerant Leakage'!$D$2:$D$42,MATCH(X930,'Device Refrigerant Leakage'!$B$2:$B$42,0))*DF930/2204.62*DE930)</f>
        <v/>
      </c>
      <c r="DJ930" s="146" t="str">
        <f>IF(W930&lt;&gt;"AR","",J930*(INDEX('Device Refrigerant Leakage'!$D$2:$D$42,MATCH(X930,'Device Refrigerant Leakage'!$B$2:$B$42,0))-(INDEX('Device Refrigerant Leakage'!$D$2:$D$42,MATCH(X930,'Device Refrigerant Leakage'!$B$2:$B$42,0)))*DH930*DF930)*DG930/2204.62*DE930)</f>
        <v/>
      </c>
      <c r="DK930" s="146" t="str">
        <f>IF(W930&lt;&gt;"AR","",DI930*(K930-AB930)+'Fuel Sub Calcs-Deemed'!DJ930*((K930-AB930)/INDEX('Device Refrigerant Leakage'!$C$2:$C$42,MATCH('Fuel Sub Calcs-Deemed'!X930,'Device Refrigerant Leakage'!$B$2:$B$42,0))))</f>
        <v/>
      </c>
      <c r="DM930" s="56">
        <v>916</v>
      </c>
      <c r="DN930" s="67" t="e">
        <f t="shared" si="1078"/>
        <v>#N/A</v>
      </c>
      <c r="DO930" s="45" t="e">
        <f t="shared" si="1079"/>
        <v>#N/A</v>
      </c>
      <c r="DP930" s="67" t="e">
        <f t="shared" si="1080"/>
        <v>#N/A</v>
      </c>
      <c r="DQ930" s="45" t="e">
        <f t="shared" si="1081"/>
        <v>#N/A</v>
      </c>
      <c r="DR930" s="69" t="e">
        <f t="shared" si="1082"/>
        <v>#N/A</v>
      </c>
      <c r="DS930" s="34"/>
      <c r="DT930" s="67" t="e">
        <f>((BX930*CJ930)+IF($W930=MAT_AR,(BZ930*CL930),0))*(1+Reference!$E$50+Reference!$E$51)</f>
        <v>#N/A</v>
      </c>
      <c r="DU930" s="67">
        <f>((BY930*CK930)+IF($W930=MAT_AR,(CA930*CM930),0))*(1+Reference!$G$50+Reference!$G$51)</f>
        <v>0</v>
      </c>
      <c r="DV930" s="67" t="e">
        <f t="shared" si="1083"/>
        <v>#VALUE!</v>
      </c>
      <c r="DX930" s="56">
        <v>916</v>
      </c>
      <c r="DY930" s="67">
        <f t="shared" si="1084"/>
        <v>0</v>
      </c>
      <c r="DZ930" s="45" t="e">
        <f>VLOOKUP($R930,Dropdown!$C$3:$D$4,2,FALSE)</f>
        <v>#N/A</v>
      </c>
      <c r="EA930" s="68">
        <f t="shared" si="1085"/>
        <v>0</v>
      </c>
      <c r="EB930" s="68" t="str">
        <f t="shared" si="1086"/>
        <v>N/A</v>
      </c>
      <c r="EC930" s="68">
        <f t="shared" si="1087"/>
        <v>0</v>
      </c>
      <c r="ED930" s="68" t="str">
        <f t="shared" si="1125"/>
        <v>N/A</v>
      </c>
      <c r="EF930" s="56">
        <v>916</v>
      </c>
      <c r="EG930" s="46">
        <f t="shared" si="1088"/>
        <v>0</v>
      </c>
      <c r="EH930" s="68" t="e">
        <f t="shared" si="1089"/>
        <v>#N/A</v>
      </c>
      <c r="EI930" s="68" t="e">
        <f t="shared" si="1090"/>
        <v>#N/A</v>
      </c>
      <c r="EJ930" s="68" t="e">
        <f t="shared" si="1091"/>
        <v>#N/A</v>
      </c>
      <c r="EK930" s="68" t="e">
        <f t="shared" si="1092"/>
        <v>#N/A</v>
      </c>
      <c r="EL930" s="46">
        <f t="shared" si="1093"/>
        <v>0</v>
      </c>
      <c r="EM930" s="46">
        <f t="shared" si="1094"/>
        <v>0</v>
      </c>
    </row>
    <row r="931" spans="1:143">
      <c r="A931" s="89"/>
      <c r="B931" s="89"/>
      <c r="C931" s="89"/>
      <c r="D931" s="89"/>
      <c r="E931" s="89"/>
      <c r="F931" s="89"/>
      <c r="G931" s="34"/>
      <c r="H931" s="56">
        <f t="shared" si="1095"/>
        <v>917</v>
      </c>
      <c r="I931" s="165"/>
      <c r="J931" s="163"/>
      <c r="K931" s="163"/>
      <c r="L931" s="164"/>
      <c r="M931" s="155"/>
      <c r="N931" s="155"/>
      <c r="O931" s="144"/>
      <c r="P931" s="159" t="str">
        <f>IFERROR(IF(O931&lt;&gt;"User Specified",IF(O931&lt;&gt;"", INDEX('Refrigerant GWPs'!$G$2:$G$154,MATCH(O931,'Refrigerant GWPs'!$A$2:$A$154,0)),""),U931),0)</f>
        <v/>
      </c>
      <c r="Q931" s="155"/>
      <c r="R931" s="155"/>
      <c r="S931" s="144"/>
      <c r="T931" s="159" t="str">
        <f>IF(S931&lt;&gt;"User Specified",IF(AND(S931&lt;&gt;"User Specified",S931&lt;&gt;""), INDEX('Refrigerant GWPs'!$G$2:$G$154,MATCH(S931,'Refrigerant GWPs'!$A$2:$A$154,0)),""),V931)</f>
        <v/>
      </c>
      <c r="U931" s="144"/>
      <c r="V931" s="144"/>
      <c r="W931" s="155"/>
      <c r="X931" s="155"/>
      <c r="Y931" s="144"/>
      <c r="Z931" s="159" t="str">
        <f>IF(AND(Y931&lt;&gt;"User Specified",Y931&lt;&gt;""), INDEX('Refrigerant GWPs'!$G$2:$G$154,MATCH(Y931,'Refrigerant GWPs'!$A$2:$A$154,0)),"")</f>
        <v/>
      </c>
      <c r="AA931" s="155"/>
      <c r="AB931" s="156"/>
      <c r="AC931" s="66"/>
      <c r="AD931" s="66"/>
      <c r="AE931" s="66"/>
      <c r="AF931" s="66"/>
      <c r="AG931" s="66"/>
      <c r="AH931" s="66"/>
      <c r="AI931" s="34"/>
      <c r="AJ931" s="88">
        <f t="shared" si="1058"/>
        <v>0</v>
      </c>
      <c r="AK931" s="88">
        <f t="shared" si="1059"/>
        <v>0</v>
      </c>
      <c r="AL931" s="88">
        <v>0</v>
      </c>
      <c r="AM931" s="88">
        <v>0</v>
      </c>
      <c r="AN931" s="81" t="str">
        <f t="shared" si="1097"/>
        <v/>
      </c>
      <c r="AO931" s="88">
        <f t="shared" si="1060"/>
        <v>0</v>
      </c>
      <c r="AP931" s="88">
        <f t="shared" si="1061"/>
        <v>0</v>
      </c>
      <c r="AQ931" s="81" t="str">
        <f t="shared" si="1062"/>
        <v/>
      </c>
      <c r="AS931" s="41" t="b">
        <f t="shared" si="1063"/>
        <v>1</v>
      </c>
      <c r="AT931" s="38">
        <f t="shared" si="1064"/>
        <v>0</v>
      </c>
      <c r="AU931" s="60">
        <f t="shared" si="1065"/>
        <v>0</v>
      </c>
      <c r="AV931" s="41">
        <f t="shared" si="1066"/>
        <v>0</v>
      </c>
      <c r="AW931" s="41" t="b">
        <f t="shared" si="1067"/>
        <v>0</v>
      </c>
      <c r="AX931" t="str">
        <f t="shared" si="1068"/>
        <v>+00</v>
      </c>
      <c r="AY931" t="str">
        <f t="shared" si="1069"/>
        <v>+00</v>
      </c>
      <c r="BA931" s="47" t="b">
        <f t="shared" si="1098"/>
        <v>1</v>
      </c>
      <c r="BB931" s="42" t="b">
        <f t="shared" si="1099"/>
        <v>1</v>
      </c>
      <c r="BC931" s="42" t="b">
        <f t="shared" si="1100"/>
        <v>0</v>
      </c>
      <c r="BD931" s="42" t="b">
        <f t="shared" si="1101"/>
        <v>0</v>
      </c>
      <c r="BE931" s="70">
        <f t="shared" si="1102"/>
        <v>0</v>
      </c>
      <c r="BF931" s="70">
        <f t="shared" si="1103"/>
        <v>0</v>
      </c>
      <c r="BG931" s="34"/>
      <c r="BI931" s="47" t="b">
        <f t="shared" si="1104"/>
        <v>1</v>
      </c>
      <c r="BJ931" s="47" t="b">
        <f t="shared" si="1105"/>
        <v>1</v>
      </c>
      <c r="BK931" s="42" t="b">
        <f t="shared" si="1106"/>
        <v>0</v>
      </c>
      <c r="BL931" s="42" t="b">
        <f t="shared" si="1107"/>
        <v>0</v>
      </c>
      <c r="BM931" s="42">
        <f t="shared" si="1108"/>
        <v>0</v>
      </c>
      <c r="BN931" s="42">
        <f t="shared" si="1109"/>
        <v>0</v>
      </c>
      <c r="BP931" t="e">
        <f t="shared" si="1110"/>
        <v>#N/A</v>
      </c>
      <c r="BQ931" t="e">
        <f t="shared" si="1111"/>
        <v>#N/A</v>
      </c>
      <c r="BR931" t="e">
        <f t="shared" si="1112"/>
        <v>#N/A</v>
      </c>
      <c r="BT931" s="60">
        <f t="shared" si="1113"/>
        <v>0</v>
      </c>
      <c r="BU931" s="60">
        <f t="shared" si="1114"/>
        <v>0</v>
      </c>
      <c r="BV931" s="60">
        <f t="shared" si="1115"/>
        <v>0</v>
      </c>
      <c r="BW931" s="60">
        <f t="shared" si="1116"/>
        <v>0</v>
      </c>
      <c r="BX931" s="60">
        <f t="shared" si="1117"/>
        <v>0</v>
      </c>
      <c r="BY931" s="60">
        <f t="shared" si="1118"/>
        <v>0</v>
      </c>
      <c r="BZ931" s="60">
        <f t="shared" si="1119"/>
        <v>0</v>
      </c>
      <c r="CA931" s="60">
        <f t="shared" si="1120"/>
        <v>0</v>
      </c>
      <c r="CB931" s="60" t="e">
        <f t="shared" si="1070"/>
        <v>#N/A</v>
      </c>
      <c r="CC931" s="60">
        <f t="shared" si="1071"/>
        <v>100000</v>
      </c>
      <c r="CD931" s="60" t="e">
        <f t="shared" si="1072"/>
        <v>#N/A</v>
      </c>
      <c r="CE931" s="60">
        <f t="shared" si="1073"/>
        <v>100000</v>
      </c>
      <c r="CF931" s="83" t="e">
        <f t="shared" si="1121"/>
        <v>#N/A</v>
      </c>
      <c r="CG931" s="83">
        <f t="shared" si="1122"/>
        <v>0</v>
      </c>
      <c r="CH931" s="83" t="e">
        <f t="shared" si="1123"/>
        <v>#N/A</v>
      </c>
      <c r="CI931" s="83">
        <f t="shared" si="1124"/>
        <v>0</v>
      </c>
      <c r="CJ931" s="86" t="e">
        <f t="shared" si="1074"/>
        <v>#N/A</v>
      </c>
      <c r="CK931" s="82">
        <f t="shared" si="1075"/>
        <v>5.3070370403969858E-3</v>
      </c>
      <c r="CL931" s="82" t="e">
        <f t="shared" si="1076"/>
        <v>#N/A</v>
      </c>
      <c r="CM931" s="82">
        <f t="shared" si="1077"/>
        <v>5.3070370403969858E-3</v>
      </c>
      <c r="CO931" s="149" t="str">
        <f>IF($I931&lt;&gt;"",IF(O931="User Specified",U931,INDEX('Refrigerant GWPs'!$G$2:$G$156,MATCH(O931,'Refrigerant GWPs'!$A$2:$A$156,0))),"")</f>
        <v/>
      </c>
      <c r="CP931" s="138" t="str">
        <f>IF($I931&lt;&gt;"",INDEX('Device Refrigerant Leakage'!$E$2:$E$42,MATCH($M931,'Device Refrigerant Leakage'!$B$2:$B$42,0)),"")</f>
        <v/>
      </c>
      <c r="CQ931" s="138" t="str">
        <f>IF($I931&lt;&gt;"",INDEX('Device Refrigerant Leakage'!$F$2:$F$42,MATCH($M931,'Device Refrigerant Leakage'!$B$2:$B$42,0)),"")</f>
        <v/>
      </c>
      <c r="CR931" s="145" t="str">
        <f>IF($I931&lt;&gt;"",INDEX('Device Refrigerant Leakage'!$G$2:$G$42,MATCH($M931,'Device Refrigerant Leakage'!$B$2:$B$42,0)),"")</f>
        <v/>
      </c>
      <c r="CS931" s="145" t="str">
        <f>IF($I931&lt;&gt;"",INDEX('Device Refrigerant Leakage'!$D$2:$D$42,MATCH($M931,'Device Refrigerant Leakage'!$B$2:$B$42,0))*CP931/2204.62*CO931,"")</f>
        <v/>
      </c>
      <c r="CT931" s="145" t="str">
        <f>IF($I931&lt;&gt;"",J931*(INDEX('Device Refrigerant Leakage'!$D$2:$D$42,MATCH($M931,'Device Refrigerant Leakage'!$B$2:$B$42,0))-(INDEX('Device Refrigerant Leakage'!$D$2:$D$42,MATCH($M931,'Device Refrigerant Leakage'!$B$2:$B$42,0)))*CR931*CP931)*CQ931/2204.62*CO931,"")</f>
        <v/>
      </c>
      <c r="CU931" s="135" t="str">
        <f>IF($I931&lt;&gt;"",J931*IF(W931&lt;&gt;"AR",(CS931*K931)+CT931,(CS931*AB931)+CT931*(AB931/INDEX('Device Refrigerant Leakage'!$C$2:$C$42,MATCH($M931,'Device Refrigerant Leakage'!$B$2:$B$42,0)))),"")</f>
        <v/>
      </c>
      <c r="CW931" s="135" t="str">
        <f>IF($I931&lt;&gt;"",IF(S931="User Specified",V931,INDEX('Refrigerant GWPs'!$G$2:$G$156,MATCH(S931,'Refrigerant GWPs'!$A$2:$A$157,0))),"")</f>
        <v/>
      </c>
      <c r="CX931" s="138" t="str">
        <f>IF($I931&lt;&gt;"",INDEX('Device Refrigerant Leakage'!$E$2:$E$42,MATCH($Q931,'Device Refrigerant Leakage'!$B$2:$B$42,0)),"")</f>
        <v/>
      </c>
      <c r="CY931" s="138" t="str">
        <f>IF($I931&lt;&gt;"",INDEX('Device Refrigerant Leakage'!$F$2:$F$42,MATCH($Q931,'Device Refrigerant Leakage'!$B$2:$B$42,0)),"")</f>
        <v/>
      </c>
      <c r="CZ931" s="145" t="str">
        <f>IF($I931&lt;&gt;"",INDEX('Device Refrigerant Leakage'!$G$2:$G$42,MATCH($Q931,'Device Refrigerant Leakage'!$B$2:$B$42,0)),"")</f>
        <v/>
      </c>
      <c r="DA931" s="145" t="str">
        <f>IF($I931&lt;&gt;"",J931*INDEX('Device Refrigerant Leakage'!$D$2:$D$42,MATCH($Q931,'Device Refrigerant Leakage'!$B$2:$B$42,0))*CX931/2204.62*CW931,"")</f>
        <v/>
      </c>
      <c r="DB931" s="145" t="str">
        <f>IF($I931&lt;&gt;"",J931*(INDEX('Device Refrigerant Leakage'!$D$2:$D$42,MATCH($Q931,'Device Refrigerant Leakage'!$B$2:$B$42,0))-(INDEX('Device Refrigerant Leakage'!$D$2:$D$42,MATCH($Q931,'Device Refrigerant Leakage'!$B$2:$B$42,0)))*CZ931*CX931)*CY931/2204.62*CW931,"")</f>
        <v/>
      </c>
      <c r="DC931" s="135" t="str">
        <f t="shared" si="1096"/>
        <v/>
      </c>
      <c r="DE931" s="146" t="str">
        <f>IF(W931&lt;&gt;"AR","",IF(Y931="User Specified", AA931, INDEX('Refrigerant GWPs'!$G$2:$G$154,MATCH(Y931,'Refrigerant GWPs'!$A$2:$A$154,0))))</f>
        <v/>
      </c>
      <c r="DF931" s="146" t="str">
        <f>IF(W931&lt;&gt;"AR","",INDEX('Device Refrigerant Leakage'!$E$2:$E$42,MATCH(X931,'Device Refrigerant Leakage'!$B$2:$B$42,0)))</f>
        <v/>
      </c>
      <c r="DG931" s="146" t="str">
        <f>IF(W931&lt;&gt;"AR","",INDEX('Device Refrigerant Leakage'!$F$2:$F$42,MATCH(X931,'Device Refrigerant Leakage'!$B$2:$B$42,0)))</f>
        <v/>
      </c>
      <c r="DH931" s="146" t="str">
        <f>IF(W931&lt;&gt;"AR","",INDEX('Device Refrigerant Leakage'!$G$2:$G$42,MATCH(X931,'Device Refrigerant Leakage'!$B$2:$B$42,0)))</f>
        <v/>
      </c>
      <c r="DI931" s="146" t="str">
        <f>IF(W931&lt;&gt;"AR","",J931*INDEX('Device Refrigerant Leakage'!$D$2:$D$42,MATCH(X931,'Device Refrigerant Leakage'!$B$2:$B$42,0))*DF931/2204.62*DE931)</f>
        <v/>
      </c>
      <c r="DJ931" s="146" t="str">
        <f>IF(W931&lt;&gt;"AR","",J931*(INDEX('Device Refrigerant Leakage'!$D$2:$D$42,MATCH(X931,'Device Refrigerant Leakage'!$B$2:$B$42,0))-(INDEX('Device Refrigerant Leakage'!$D$2:$D$42,MATCH(X931,'Device Refrigerant Leakage'!$B$2:$B$42,0)))*DH931*DF931)*DG931/2204.62*DE931)</f>
        <v/>
      </c>
      <c r="DK931" s="146" t="str">
        <f>IF(W931&lt;&gt;"AR","",DI931*(K931-AB931)+'Fuel Sub Calcs-Deemed'!DJ931*((K931-AB931)/INDEX('Device Refrigerant Leakage'!$C$2:$C$42,MATCH('Fuel Sub Calcs-Deemed'!X931,'Device Refrigerant Leakage'!$B$2:$B$42,0))))</f>
        <v/>
      </c>
      <c r="DM931" s="56">
        <v>917</v>
      </c>
      <c r="DN931" s="67" t="e">
        <f t="shared" si="1078"/>
        <v>#N/A</v>
      </c>
      <c r="DO931" s="45" t="e">
        <f t="shared" si="1079"/>
        <v>#N/A</v>
      </c>
      <c r="DP931" s="67" t="e">
        <f t="shared" si="1080"/>
        <v>#N/A</v>
      </c>
      <c r="DQ931" s="45" t="e">
        <f t="shared" si="1081"/>
        <v>#N/A</v>
      </c>
      <c r="DR931" s="69" t="e">
        <f t="shared" si="1082"/>
        <v>#N/A</v>
      </c>
      <c r="DS931" s="34"/>
      <c r="DT931" s="67" t="e">
        <f>((BX931*CJ931)+IF($W931=MAT_AR,(BZ931*CL931),0))*(1+Reference!$E$50+Reference!$E$51)</f>
        <v>#N/A</v>
      </c>
      <c r="DU931" s="67">
        <f>((BY931*CK931)+IF($W931=MAT_AR,(CA931*CM931),0))*(1+Reference!$G$50+Reference!$G$51)</f>
        <v>0</v>
      </c>
      <c r="DV931" s="67" t="e">
        <f t="shared" si="1083"/>
        <v>#VALUE!</v>
      </c>
      <c r="DX931" s="56">
        <v>917</v>
      </c>
      <c r="DY931" s="67">
        <f t="shared" si="1084"/>
        <v>0</v>
      </c>
      <c r="DZ931" s="45" t="e">
        <f>VLOOKUP($R931,Dropdown!$C$3:$D$4,2,FALSE)</f>
        <v>#N/A</v>
      </c>
      <c r="EA931" s="68">
        <f t="shared" si="1085"/>
        <v>0</v>
      </c>
      <c r="EB931" s="68" t="str">
        <f t="shared" si="1086"/>
        <v>N/A</v>
      </c>
      <c r="EC931" s="68">
        <f t="shared" si="1087"/>
        <v>0</v>
      </c>
      <c r="ED931" s="68" t="str">
        <f t="shared" si="1125"/>
        <v>N/A</v>
      </c>
      <c r="EF931" s="56">
        <v>917</v>
      </c>
      <c r="EG931" s="46">
        <f t="shared" si="1088"/>
        <v>0</v>
      </c>
      <c r="EH931" s="68" t="e">
        <f t="shared" si="1089"/>
        <v>#N/A</v>
      </c>
      <c r="EI931" s="68" t="e">
        <f t="shared" si="1090"/>
        <v>#N/A</v>
      </c>
      <c r="EJ931" s="68" t="e">
        <f t="shared" si="1091"/>
        <v>#N/A</v>
      </c>
      <c r="EK931" s="68" t="e">
        <f t="shared" si="1092"/>
        <v>#N/A</v>
      </c>
      <c r="EL931" s="46">
        <f t="shared" si="1093"/>
        <v>0</v>
      </c>
      <c r="EM931" s="46">
        <f t="shared" si="1094"/>
        <v>0</v>
      </c>
    </row>
    <row r="932" spans="1:143">
      <c r="A932" s="89"/>
      <c r="B932" s="89"/>
      <c r="C932" s="89"/>
      <c r="D932" s="89"/>
      <c r="E932" s="89"/>
      <c r="F932" s="89"/>
      <c r="G932" s="34"/>
      <c r="H932" s="56">
        <f t="shared" si="1095"/>
        <v>918</v>
      </c>
      <c r="I932" s="165"/>
      <c r="J932" s="163"/>
      <c r="K932" s="163"/>
      <c r="L932" s="164"/>
      <c r="M932" s="155"/>
      <c r="N932" s="155"/>
      <c r="O932" s="144"/>
      <c r="P932" s="159" t="str">
        <f>IFERROR(IF(O932&lt;&gt;"User Specified",IF(O932&lt;&gt;"", INDEX('Refrigerant GWPs'!$G$2:$G$154,MATCH(O932,'Refrigerant GWPs'!$A$2:$A$154,0)),""),U932),0)</f>
        <v/>
      </c>
      <c r="Q932" s="155"/>
      <c r="R932" s="155"/>
      <c r="S932" s="144"/>
      <c r="T932" s="159" t="str">
        <f>IF(S932&lt;&gt;"User Specified",IF(AND(S932&lt;&gt;"User Specified",S932&lt;&gt;""), INDEX('Refrigerant GWPs'!$G$2:$G$154,MATCH(S932,'Refrigerant GWPs'!$A$2:$A$154,0)),""),V932)</f>
        <v/>
      </c>
      <c r="U932" s="144"/>
      <c r="V932" s="144"/>
      <c r="W932" s="155"/>
      <c r="X932" s="155"/>
      <c r="Y932" s="144"/>
      <c r="Z932" s="159" t="str">
        <f>IF(AND(Y932&lt;&gt;"User Specified",Y932&lt;&gt;""), INDEX('Refrigerant GWPs'!$G$2:$G$154,MATCH(Y932,'Refrigerant GWPs'!$A$2:$A$154,0)),"")</f>
        <v/>
      </c>
      <c r="AA932" s="155"/>
      <c r="AB932" s="156"/>
      <c r="AC932" s="66"/>
      <c r="AD932" s="66"/>
      <c r="AE932" s="66"/>
      <c r="AF932" s="66"/>
      <c r="AG932" s="66"/>
      <c r="AH932" s="66"/>
      <c r="AI932" s="34"/>
      <c r="AJ932" s="88">
        <f t="shared" si="1058"/>
        <v>0</v>
      </c>
      <c r="AK932" s="88">
        <f t="shared" si="1059"/>
        <v>0</v>
      </c>
      <c r="AL932" s="88">
        <v>0</v>
      </c>
      <c r="AM932" s="88">
        <v>0</v>
      </c>
      <c r="AN932" s="81" t="str">
        <f t="shared" si="1097"/>
        <v/>
      </c>
      <c r="AO932" s="88">
        <f t="shared" si="1060"/>
        <v>0</v>
      </c>
      <c r="AP932" s="88">
        <f t="shared" si="1061"/>
        <v>0</v>
      </c>
      <c r="AQ932" s="81" t="str">
        <f t="shared" si="1062"/>
        <v/>
      </c>
      <c r="AS932" s="41" t="b">
        <f t="shared" si="1063"/>
        <v>1</v>
      </c>
      <c r="AT932" s="38">
        <f t="shared" si="1064"/>
        <v>0</v>
      </c>
      <c r="AU932" s="60">
        <f t="shared" si="1065"/>
        <v>0</v>
      </c>
      <c r="AV932" s="41">
        <f t="shared" si="1066"/>
        <v>0</v>
      </c>
      <c r="AW932" s="41" t="b">
        <f t="shared" si="1067"/>
        <v>0</v>
      </c>
      <c r="AX932" t="str">
        <f t="shared" si="1068"/>
        <v>+00</v>
      </c>
      <c r="AY932" t="str">
        <f t="shared" si="1069"/>
        <v>+00</v>
      </c>
      <c r="BA932" s="47" t="b">
        <f t="shared" si="1098"/>
        <v>1</v>
      </c>
      <c r="BB932" s="42" t="b">
        <f t="shared" si="1099"/>
        <v>1</v>
      </c>
      <c r="BC932" s="42" t="b">
        <f t="shared" si="1100"/>
        <v>0</v>
      </c>
      <c r="BD932" s="42" t="b">
        <f t="shared" si="1101"/>
        <v>0</v>
      </c>
      <c r="BE932" s="70">
        <f t="shared" si="1102"/>
        <v>0</v>
      </c>
      <c r="BF932" s="70">
        <f t="shared" si="1103"/>
        <v>0</v>
      </c>
      <c r="BG932" s="34"/>
      <c r="BI932" s="47" t="b">
        <f t="shared" si="1104"/>
        <v>1</v>
      </c>
      <c r="BJ932" s="47" t="b">
        <f t="shared" si="1105"/>
        <v>1</v>
      </c>
      <c r="BK932" s="42" t="b">
        <f t="shared" si="1106"/>
        <v>0</v>
      </c>
      <c r="BL932" s="42" t="b">
        <f t="shared" si="1107"/>
        <v>0</v>
      </c>
      <c r="BM932" s="42">
        <f t="shared" si="1108"/>
        <v>0</v>
      </c>
      <c r="BN932" s="42">
        <f t="shared" si="1109"/>
        <v>0</v>
      </c>
      <c r="BP932" t="e">
        <f t="shared" si="1110"/>
        <v>#N/A</v>
      </c>
      <c r="BQ932" t="e">
        <f t="shared" si="1111"/>
        <v>#N/A</v>
      </c>
      <c r="BR932" t="e">
        <f t="shared" si="1112"/>
        <v>#N/A</v>
      </c>
      <c r="BT932" s="60">
        <f t="shared" si="1113"/>
        <v>0</v>
      </c>
      <c r="BU932" s="60">
        <f t="shared" si="1114"/>
        <v>0</v>
      </c>
      <c r="BV932" s="60">
        <f t="shared" si="1115"/>
        <v>0</v>
      </c>
      <c r="BW932" s="60">
        <f t="shared" si="1116"/>
        <v>0</v>
      </c>
      <c r="BX932" s="60">
        <f t="shared" si="1117"/>
        <v>0</v>
      </c>
      <c r="BY932" s="60">
        <f t="shared" si="1118"/>
        <v>0</v>
      </c>
      <c r="BZ932" s="60">
        <f t="shared" si="1119"/>
        <v>0</v>
      </c>
      <c r="CA932" s="60">
        <f t="shared" si="1120"/>
        <v>0</v>
      </c>
      <c r="CB932" s="60" t="e">
        <f t="shared" si="1070"/>
        <v>#N/A</v>
      </c>
      <c r="CC932" s="60">
        <f t="shared" si="1071"/>
        <v>100000</v>
      </c>
      <c r="CD932" s="60" t="e">
        <f t="shared" si="1072"/>
        <v>#N/A</v>
      </c>
      <c r="CE932" s="60">
        <f t="shared" si="1073"/>
        <v>100000</v>
      </c>
      <c r="CF932" s="83" t="e">
        <f t="shared" si="1121"/>
        <v>#N/A</v>
      </c>
      <c r="CG932" s="83">
        <f t="shared" si="1122"/>
        <v>0</v>
      </c>
      <c r="CH932" s="83" t="e">
        <f t="shared" si="1123"/>
        <v>#N/A</v>
      </c>
      <c r="CI932" s="83">
        <f t="shared" si="1124"/>
        <v>0</v>
      </c>
      <c r="CJ932" s="86" t="e">
        <f t="shared" si="1074"/>
        <v>#N/A</v>
      </c>
      <c r="CK932" s="82">
        <f t="shared" si="1075"/>
        <v>5.3070370403969858E-3</v>
      </c>
      <c r="CL932" s="82" t="e">
        <f t="shared" si="1076"/>
        <v>#N/A</v>
      </c>
      <c r="CM932" s="82">
        <f t="shared" si="1077"/>
        <v>5.3070370403969858E-3</v>
      </c>
      <c r="CO932" s="149" t="str">
        <f>IF($I932&lt;&gt;"",IF(O932="User Specified",U932,INDEX('Refrigerant GWPs'!$G$2:$G$156,MATCH(O932,'Refrigerant GWPs'!$A$2:$A$156,0))),"")</f>
        <v/>
      </c>
      <c r="CP932" s="138" t="str">
        <f>IF($I932&lt;&gt;"",INDEX('Device Refrigerant Leakage'!$E$2:$E$42,MATCH($M932,'Device Refrigerant Leakage'!$B$2:$B$42,0)),"")</f>
        <v/>
      </c>
      <c r="CQ932" s="138" t="str">
        <f>IF($I932&lt;&gt;"",INDEX('Device Refrigerant Leakage'!$F$2:$F$42,MATCH($M932,'Device Refrigerant Leakage'!$B$2:$B$42,0)),"")</f>
        <v/>
      </c>
      <c r="CR932" s="145" t="str">
        <f>IF($I932&lt;&gt;"",INDEX('Device Refrigerant Leakage'!$G$2:$G$42,MATCH($M932,'Device Refrigerant Leakage'!$B$2:$B$42,0)),"")</f>
        <v/>
      </c>
      <c r="CS932" s="145" t="str">
        <f>IF($I932&lt;&gt;"",INDEX('Device Refrigerant Leakage'!$D$2:$D$42,MATCH($M932,'Device Refrigerant Leakage'!$B$2:$B$42,0))*CP932/2204.62*CO932,"")</f>
        <v/>
      </c>
      <c r="CT932" s="145" t="str">
        <f>IF($I932&lt;&gt;"",J932*(INDEX('Device Refrigerant Leakage'!$D$2:$D$42,MATCH($M932,'Device Refrigerant Leakage'!$B$2:$B$42,0))-(INDEX('Device Refrigerant Leakage'!$D$2:$D$42,MATCH($M932,'Device Refrigerant Leakage'!$B$2:$B$42,0)))*CR932*CP932)*CQ932/2204.62*CO932,"")</f>
        <v/>
      </c>
      <c r="CU932" s="135" t="str">
        <f>IF($I932&lt;&gt;"",J932*IF(W932&lt;&gt;"AR",(CS932*K932)+CT932,(CS932*AB932)+CT932*(AB932/INDEX('Device Refrigerant Leakage'!$C$2:$C$42,MATCH($M932,'Device Refrigerant Leakage'!$B$2:$B$42,0)))),"")</f>
        <v/>
      </c>
      <c r="CW932" s="135" t="str">
        <f>IF($I932&lt;&gt;"",IF(S932="User Specified",V932,INDEX('Refrigerant GWPs'!$G$2:$G$156,MATCH(S932,'Refrigerant GWPs'!$A$2:$A$157,0))),"")</f>
        <v/>
      </c>
      <c r="CX932" s="138" t="str">
        <f>IF($I932&lt;&gt;"",INDEX('Device Refrigerant Leakage'!$E$2:$E$42,MATCH($Q932,'Device Refrigerant Leakage'!$B$2:$B$42,0)),"")</f>
        <v/>
      </c>
      <c r="CY932" s="138" t="str">
        <f>IF($I932&lt;&gt;"",INDEX('Device Refrigerant Leakage'!$F$2:$F$42,MATCH($Q932,'Device Refrigerant Leakage'!$B$2:$B$42,0)),"")</f>
        <v/>
      </c>
      <c r="CZ932" s="145" t="str">
        <f>IF($I932&lt;&gt;"",INDEX('Device Refrigerant Leakage'!$G$2:$G$42,MATCH($Q932,'Device Refrigerant Leakage'!$B$2:$B$42,0)),"")</f>
        <v/>
      </c>
      <c r="DA932" s="145" t="str">
        <f>IF($I932&lt;&gt;"",J932*INDEX('Device Refrigerant Leakage'!$D$2:$D$42,MATCH($Q932,'Device Refrigerant Leakage'!$B$2:$B$42,0))*CX932/2204.62*CW932,"")</f>
        <v/>
      </c>
      <c r="DB932" s="145" t="str">
        <f>IF($I932&lt;&gt;"",J932*(INDEX('Device Refrigerant Leakage'!$D$2:$D$42,MATCH($Q932,'Device Refrigerant Leakage'!$B$2:$B$42,0))-(INDEX('Device Refrigerant Leakage'!$D$2:$D$42,MATCH($Q932,'Device Refrigerant Leakage'!$B$2:$B$42,0)))*CZ932*CX932)*CY932/2204.62*CW932,"")</f>
        <v/>
      </c>
      <c r="DC932" s="135" t="str">
        <f t="shared" si="1096"/>
        <v/>
      </c>
      <c r="DE932" s="146" t="str">
        <f>IF(W932&lt;&gt;"AR","",IF(Y932="User Specified", AA932, INDEX('Refrigerant GWPs'!$G$2:$G$154,MATCH(Y932,'Refrigerant GWPs'!$A$2:$A$154,0))))</f>
        <v/>
      </c>
      <c r="DF932" s="146" t="str">
        <f>IF(W932&lt;&gt;"AR","",INDEX('Device Refrigerant Leakage'!$E$2:$E$42,MATCH(X932,'Device Refrigerant Leakage'!$B$2:$B$42,0)))</f>
        <v/>
      </c>
      <c r="DG932" s="146" t="str">
        <f>IF(W932&lt;&gt;"AR","",INDEX('Device Refrigerant Leakage'!$F$2:$F$42,MATCH(X932,'Device Refrigerant Leakage'!$B$2:$B$42,0)))</f>
        <v/>
      </c>
      <c r="DH932" s="146" t="str">
        <f>IF(W932&lt;&gt;"AR","",INDEX('Device Refrigerant Leakage'!$G$2:$G$42,MATCH(X932,'Device Refrigerant Leakage'!$B$2:$B$42,0)))</f>
        <v/>
      </c>
      <c r="DI932" s="146" t="str">
        <f>IF(W932&lt;&gt;"AR","",J932*INDEX('Device Refrigerant Leakage'!$D$2:$D$42,MATCH(X932,'Device Refrigerant Leakage'!$B$2:$B$42,0))*DF932/2204.62*DE932)</f>
        <v/>
      </c>
      <c r="DJ932" s="146" t="str">
        <f>IF(W932&lt;&gt;"AR","",J932*(INDEX('Device Refrigerant Leakage'!$D$2:$D$42,MATCH(X932,'Device Refrigerant Leakage'!$B$2:$B$42,0))-(INDEX('Device Refrigerant Leakage'!$D$2:$D$42,MATCH(X932,'Device Refrigerant Leakage'!$B$2:$B$42,0)))*DH932*DF932)*DG932/2204.62*DE932)</f>
        <v/>
      </c>
      <c r="DK932" s="146" t="str">
        <f>IF(W932&lt;&gt;"AR","",DI932*(K932-AB932)+'Fuel Sub Calcs-Deemed'!DJ932*((K932-AB932)/INDEX('Device Refrigerant Leakage'!$C$2:$C$42,MATCH('Fuel Sub Calcs-Deemed'!X932,'Device Refrigerant Leakage'!$B$2:$B$42,0))))</f>
        <v/>
      </c>
      <c r="DM932" s="56">
        <v>918</v>
      </c>
      <c r="DN932" s="67" t="e">
        <f t="shared" si="1078"/>
        <v>#N/A</v>
      </c>
      <c r="DO932" s="45" t="e">
        <f t="shared" si="1079"/>
        <v>#N/A</v>
      </c>
      <c r="DP932" s="67" t="e">
        <f t="shared" si="1080"/>
        <v>#N/A</v>
      </c>
      <c r="DQ932" s="45" t="e">
        <f t="shared" si="1081"/>
        <v>#N/A</v>
      </c>
      <c r="DR932" s="69" t="e">
        <f t="shared" si="1082"/>
        <v>#N/A</v>
      </c>
      <c r="DS932" s="34"/>
      <c r="DT932" s="67" t="e">
        <f>((BX932*CJ932)+IF($W932=MAT_AR,(BZ932*CL932),0))*(1+Reference!$E$50+Reference!$E$51)</f>
        <v>#N/A</v>
      </c>
      <c r="DU932" s="67">
        <f>((BY932*CK932)+IF($W932=MAT_AR,(CA932*CM932),0))*(1+Reference!$G$50+Reference!$G$51)</f>
        <v>0</v>
      </c>
      <c r="DV932" s="67" t="e">
        <f t="shared" si="1083"/>
        <v>#VALUE!</v>
      </c>
      <c r="DX932" s="56">
        <v>918</v>
      </c>
      <c r="DY932" s="67">
        <f t="shared" si="1084"/>
        <v>0</v>
      </c>
      <c r="DZ932" s="45" t="e">
        <f>VLOOKUP($R932,Dropdown!$C$3:$D$4,2,FALSE)</f>
        <v>#N/A</v>
      </c>
      <c r="EA932" s="68">
        <f t="shared" si="1085"/>
        <v>0</v>
      </c>
      <c r="EB932" s="68" t="str">
        <f t="shared" si="1086"/>
        <v>N/A</v>
      </c>
      <c r="EC932" s="68">
        <f t="shared" si="1087"/>
        <v>0</v>
      </c>
      <c r="ED932" s="68" t="str">
        <f t="shared" si="1125"/>
        <v>N/A</v>
      </c>
      <c r="EF932" s="56">
        <v>918</v>
      </c>
      <c r="EG932" s="46">
        <f t="shared" si="1088"/>
        <v>0</v>
      </c>
      <c r="EH932" s="68" t="e">
        <f t="shared" si="1089"/>
        <v>#N/A</v>
      </c>
      <c r="EI932" s="68" t="e">
        <f t="shared" si="1090"/>
        <v>#N/A</v>
      </c>
      <c r="EJ932" s="68" t="e">
        <f t="shared" si="1091"/>
        <v>#N/A</v>
      </c>
      <c r="EK932" s="68" t="e">
        <f t="shared" si="1092"/>
        <v>#N/A</v>
      </c>
      <c r="EL932" s="46">
        <f t="shared" si="1093"/>
        <v>0</v>
      </c>
      <c r="EM932" s="46">
        <f t="shared" si="1094"/>
        <v>0</v>
      </c>
    </row>
    <row r="933" spans="1:143">
      <c r="A933" s="89"/>
      <c r="B933" s="89"/>
      <c r="C933" s="89"/>
      <c r="D933" s="89"/>
      <c r="E933" s="89"/>
      <c r="F933" s="89"/>
      <c r="G933" s="34"/>
      <c r="H933" s="56">
        <f t="shared" si="1095"/>
        <v>919</v>
      </c>
      <c r="I933" s="165"/>
      <c r="J933" s="163"/>
      <c r="K933" s="163"/>
      <c r="L933" s="164"/>
      <c r="M933" s="155"/>
      <c r="N933" s="155"/>
      <c r="O933" s="144"/>
      <c r="P933" s="159" t="str">
        <f>IFERROR(IF(O933&lt;&gt;"User Specified",IF(O933&lt;&gt;"", INDEX('Refrigerant GWPs'!$G$2:$G$154,MATCH(O933,'Refrigerant GWPs'!$A$2:$A$154,0)),""),U933),0)</f>
        <v/>
      </c>
      <c r="Q933" s="155"/>
      <c r="R933" s="155"/>
      <c r="S933" s="144"/>
      <c r="T933" s="159" t="str">
        <f>IF(S933&lt;&gt;"User Specified",IF(AND(S933&lt;&gt;"User Specified",S933&lt;&gt;""), INDEX('Refrigerant GWPs'!$G$2:$G$154,MATCH(S933,'Refrigerant GWPs'!$A$2:$A$154,0)),""),V933)</f>
        <v/>
      </c>
      <c r="U933" s="144"/>
      <c r="V933" s="144"/>
      <c r="W933" s="155"/>
      <c r="X933" s="155"/>
      <c r="Y933" s="144"/>
      <c r="Z933" s="159" t="str">
        <f>IF(AND(Y933&lt;&gt;"User Specified",Y933&lt;&gt;""), INDEX('Refrigerant GWPs'!$G$2:$G$154,MATCH(Y933,'Refrigerant GWPs'!$A$2:$A$154,0)),"")</f>
        <v/>
      </c>
      <c r="AA933" s="155"/>
      <c r="AB933" s="156"/>
      <c r="AC933" s="66"/>
      <c r="AD933" s="66"/>
      <c r="AE933" s="66"/>
      <c r="AF933" s="66"/>
      <c r="AG933" s="66"/>
      <c r="AH933" s="66"/>
      <c r="AI933" s="34"/>
      <c r="AJ933" s="88">
        <f t="shared" si="1058"/>
        <v>0</v>
      </c>
      <c r="AK933" s="88">
        <f t="shared" si="1059"/>
        <v>0</v>
      </c>
      <c r="AL933" s="88">
        <v>0</v>
      </c>
      <c r="AM933" s="88">
        <v>0</v>
      </c>
      <c r="AN933" s="81" t="str">
        <f t="shared" si="1097"/>
        <v/>
      </c>
      <c r="AO933" s="88">
        <f t="shared" si="1060"/>
        <v>0</v>
      </c>
      <c r="AP933" s="88">
        <f t="shared" si="1061"/>
        <v>0</v>
      </c>
      <c r="AQ933" s="81" t="str">
        <f t="shared" si="1062"/>
        <v/>
      </c>
      <c r="AS933" s="41" t="b">
        <f t="shared" si="1063"/>
        <v>1</v>
      </c>
      <c r="AT933" s="38">
        <f t="shared" si="1064"/>
        <v>0</v>
      </c>
      <c r="AU933" s="60">
        <f t="shared" si="1065"/>
        <v>0</v>
      </c>
      <c r="AV933" s="41">
        <f t="shared" si="1066"/>
        <v>0</v>
      </c>
      <c r="AW933" s="41" t="b">
        <f t="shared" si="1067"/>
        <v>0</v>
      </c>
      <c r="AX933" t="str">
        <f t="shared" si="1068"/>
        <v>+00</v>
      </c>
      <c r="AY933" t="str">
        <f t="shared" si="1069"/>
        <v>+00</v>
      </c>
      <c r="BA933" s="47" t="b">
        <f t="shared" si="1098"/>
        <v>1</v>
      </c>
      <c r="BB933" s="42" t="b">
        <f t="shared" si="1099"/>
        <v>1</v>
      </c>
      <c r="BC933" s="42" t="b">
        <f t="shared" si="1100"/>
        <v>0</v>
      </c>
      <c r="BD933" s="42" t="b">
        <f t="shared" si="1101"/>
        <v>0</v>
      </c>
      <c r="BE933" s="70">
        <f t="shared" si="1102"/>
        <v>0</v>
      </c>
      <c r="BF933" s="70">
        <f t="shared" si="1103"/>
        <v>0</v>
      </c>
      <c r="BG933" s="34"/>
      <c r="BI933" s="47" t="b">
        <f t="shared" si="1104"/>
        <v>1</v>
      </c>
      <c r="BJ933" s="47" t="b">
        <f t="shared" si="1105"/>
        <v>1</v>
      </c>
      <c r="BK933" s="42" t="b">
        <f t="shared" si="1106"/>
        <v>0</v>
      </c>
      <c r="BL933" s="42" t="b">
        <f t="shared" si="1107"/>
        <v>0</v>
      </c>
      <c r="BM933" s="42">
        <f t="shared" si="1108"/>
        <v>0</v>
      </c>
      <c r="BN933" s="42">
        <f t="shared" si="1109"/>
        <v>0</v>
      </c>
      <c r="BP933" t="e">
        <f t="shared" si="1110"/>
        <v>#N/A</v>
      </c>
      <c r="BQ933" t="e">
        <f t="shared" si="1111"/>
        <v>#N/A</v>
      </c>
      <c r="BR933" t="e">
        <f t="shared" si="1112"/>
        <v>#N/A</v>
      </c>
      <c r="BT933" s="60">
        <f t="shared" si="1113"/>
        <v>0</v>
      </c>
      <c r="BU933" s="60">
        <f t="shared" si="1114"/>
        <v>0</v>
      </c>
      <c r="BV933" s="60">
        <f t="shared" si="1115"/>
        <v>0</v>
      </c>
      <c r="BW933" s="60">
        <f t="shared" si="1116"/>
        <v>0</v>
      </c>
      <c r="BX933" s="60">
        <f t="shared" si="1117"/>
        <v>0</v>
      </c>
      <c r="BY933" s="60">
        <f t="shared" si="1118"/>
        <v>0</v>
      </c>
      <c r="BZ933" s="60">
        <f t="shared" si="1119"/>
        <v>0</v>
      </c>
      <c r="CA933" s="60">
        <f t="shared" si="1120"/>
        <v>0</v>
      </c>
      <c r="CB933" s="60" t="e">
        <f t="shared" si="1070"/>
        <v>#N/A</v>
      </c>
      <c r="CC933" s="60">
        <f t="shared" si="1071"/>
        <v>100000</v>
      </c>
      <c r="CD933" s="60" t="e">
        <f t="shared" si="1072"/>
        <v>#N/A</v>
      </c>
      <c r="CE933" s="60">
        <f t="shared" si="1073"/>
        <v>100000</v>
      </c>
      <c r="CF933" s="83" t="e">
        <f t="shared" si="1121"/>
        <v>#N/A</v>
      </c>
      <c r="CG933" s="83">
        <f t="shared" si="1122"/>
        <v>0</v>
      </c>
      <c r="CH933" s="83" t="e">
        <f t="shared" si="1123"/>
        <v>#N/A</v>
      </c>
      <c r="CI933" s="83">
        <f t="shared" si="1124"/>
        <v>0</v>
      </c>
      <c r="CJ933" s="86" t="e">
        <f t="shared" si="1074"/>
        <v>#N/A</v>
      </c>
      <c r="CK933" s="82">
        <f t="shared" si="1075"/>
        <v>5.3070370403969858E-3</v>
      </c>
      <c r="CL933" s="82" t="e">
        <f t="shared" si="1076"/>
        <v>#N/A</v>
      </c>
      <c r="CM933" s="82">
        <f t="shared" si="1077"/>
        <v>5.3070370403969858E-3</v>
      </c>
      <c r="CO933" s="149" t="str">
        <f>IF($I933&lt;&gt;"",IF(O933="User Specified",U933,INDEX('Refrigerant GWPs'!$G$2:$G$156,MATCH(O933,'Refrigerant GWPs'!$A$2:$A$156,0))),"")</f>
        <v/>
      </c>
      <c r="CP933" s="138" t="str">
        <f>IF($I933&lt;&gt;"",INDEX('Device Refrigerant Leakage'!$E$2:$E$42,MATCH($M933,'Device Refrigerant Leakage'!$B$2:$B$42,0)),"")</f>
        <v/>
      </c>
      <c r="CQ933" s="138" t="str">
        <f>IF($I933&lt;&gt;"",INDEX('Device Refrigerant Leakage'!$F$2:$F$42,MATCH($M933,'Device Refrigerant Leakage'!$B$2:$B$42,0)),"")</f>
        <v/>
      </c>
      <c r="CR933" s="145" t="str">
        <f>IF($I933&lt;&gt;"",INDEX('Device Refrigerant Leakage'!$G$2:$G$42,MATCH($M933,'Device Refrigerant Leakage'!$B$2:$B$42,0)),"")</f>
        <v/>
      </c>
      <c r="CS933" s="145" t="str">
        <f>IF($I933&lt;&gt;"",INDEX('Device Refrigerant Leakage'!$D$2:$D$42,MATCH($M933,'Device Refrigerant Leakage'!$B$2:$B$42,0))*CP933/2204.62*CO933,"")</f>
        <v/>
      </c>
      <c r="CT933" s="145" t="str">
        <f>IF($I933&lt;&gt;"",J933*(INDEX('Device Refrigerant Leakage'!$D$2:$D$42,MATCH($M933,'Device Refrigerant Leakage'!$B$2:$B$42,0))-(INDEX('Device Refrigerant Leakage'!$D$2:$D$42,MATCH($M933,'Device Refrigerant Leakage'!$B$2:$B$42,0)))*CR933*CP933)*CQ933/2204.62*CO933,"")</f>
        <v/>
      </c>
      <c r="CU933" s="135" t="str">
        <f>IF($I933&lt;&gt;"",J933*IF(W933&lt;&gt;"AR",(CS933*K933)+CT933,(CS933*AB933)+CT933*(AB933/INDEX('Device Refrigerant Leakage'!$C$2:$C$42,MATCH($M933,'Device Refrigerant Leakage'!$B$2:$B$42,0)))),"")</f>
        <v/>
      </c>
      <c r="CW933" s="135" t="str">
        <f>IF($I933&lt;&gt;"",IF(S933="User Specified",V933,INDEX('Refrigerant GWPs'!$G$2:$G$156,MATCH(S933,'Refrigerant GWPs'!$A$2:$A$157,0))),"")</f>
        <v/>
      </c>
      <c r="CX933" s="138" t="str">
        <f>IF($I933&lt;&gt;"",INDEX('Device Refrigerant Leakage'!$E$2:$E$42,MATCH($Q933,'Device Refrigerant Leakage'!$B$2:$B$42,0)),"")</f>
        <v/>
      </c>
      <c r="CY933" s="138" t="str">
        <f>IF($I933&lt;&gt;"",INDEX('Device Refrigerant Leakage'!$F$2:$F$42,MATCH($Q933,'Device Refrigerant Leakage'!$B$2:$B$42,0)),"")</f>
        <v/>
      </c>
      <c r="CZ933" s="145" t="str">
        <f>IF($I933&lt;&gt;"",INDEX('Device Refrigerant Leakage'!$G$2:$G$42,MATCH($Q933,'Device Refrigerant Leakage'!$B$2:$B$42,0)),"")</f>
        <v/>
      </c>
      <c r="DA933" s="145" t="str">
        <f>IF($I933&lt;&gt;"",J933*INDEX('Device Refrigerant Leakage'!$D$2:$D$42,MATCH($Q933,'Device Refrigerant Leakage'!$B$2:$B$42,0))*CX933/2204.62*CW933,"")</f>
        <v/>
      </c>
      <c r="DB933" s="145" t="str">
        <f>IF($I933&lt;&gt;"",J933*(INDEX('Device Refrigerant Leakage'!$D$2:$D$42,MATCH($Q933,'Device Refrigerant Leakage'!$B$2:$B$42,0))-(INDEX('Device Refrigerant Leakage'!$D$2:$D$42,MATCH($Q933,'Device Refrigerant Leakage'!$B$2:$B$42,0)))*CZ933*CX933)*CY933/2204.62*CW933,"")</f>
        <v/>
      </c>
      <c r="DC933" s="135" t="str">
        <f t="shared" si="1096"/>
        <v/>
      </c>
      <c r="DE933" s="146" t="str">
        <f>IF(W933&lt;&gt;"AR","",IF(Y933="User Specified", AA933, INDEX('Refrigerant GWPs'!$G$2:$G$154,MATCH(Y933,'Refrigerant GWPs'!$A$2:$A$154,0))))</f>
        <v/>
      </c>
      <c r="DF933" s="146" t="str">
        <f>IF(W933&lt;&gt;"AR","",INDEX('Device Refrigerant Leakage'!$E$2:$E$42,MATCH(X933,'Device Refrigerant Leakage'!$B$2:$B$42,0)))</f>
        <v/>
      </c>
      <c r="DG933" s="146" t="str">
        <f>IF(W933&lt;&gt;"AR","",INDEX('Device Refrigerant Leakage'!$F$2:$F$42,MATCH(X933,'Device Refrigerant Leakage'!$B$2:$B$42,0)))</f>
        <v/>
      </c>
      <c r="DH933" s="146" t="str">
        <f>IF(W933&lt;&gt;"AR","",INDEX('Device Refrigerant Leakage'!$G$2:$G$42,MATCH(X933,'Device Refrigerant Leakage'!$B$2:$B$42,0)))</f>
        <v/>
      </c>
      <c r="DI933" s="146" t="str">
        <f>IF(W933&lt;&gt;"AR","",J933*INDEX('Device Refrigerant Leakage'!$D$2:$D$42,MATCH(X933,'Device Refrigerant Leakage'!$B$2:$B$42,0))*DF933/2204.62*DE933)</f>
        <v/>
      </c>
      <c r="DJ933" s="146" t="str">
        <f>IF(W933&lt;&gt;"AR","",J933*(INDEX('Device Refrigerant Leakage'!$D$2:$D$42,MATCH(X933,'Device Refrigerant Leakage'!$B$2:$B$42,0))-(INDEX('Device Refrigerant Leakage'!$D$2:$D$42,MATCH(X933,'Device Refrigerant Leakage'!$B$2:$B$42,0)))*DH933*DF933)*DG933/2204.62*DE933)</f>
        <v/>
      </c>
      <c r="DK933" s="146" t="str">
        <f>IF(W933&lt;&gt;"AR","",DI933*(K933-AB933)+'Fuel Sub Calcs-Deemed'!DJ933*((K933-AB933)/INDEX('Device Refrigerant Leakage'!$C$2:$C$42,MATCH('Fuel Sub Calcs-Deemed'!X933,'Device Refrigerant Leakage'!$B$2:$B$42,0))))</f>
        <v/>
      </c>
      <c r="DM933" s="56">
        <v>919</v>
      </c>
      <c r="DN933" s="67" t="e">
        <f t="shared" si="1078"/>
        <v>#N/A</v>
      </c>
      <c r="DO933" s="45" t="e">
        <f t="shared" si="1079"/>
        <v>#N/A</v>
      </c>
      <c r="DP933" s="67" t="e">
        <f t="shared" si="1080"/>
        <v>#N/A</v>
      </c>
      <c r="DQ933" s="45" t="e">
        <f t="shared" si="1081"/>
        <v>#N/A</v>
      </c>
      <c r="DR933" s="69" t="e">
        <f t="shared" si="1082"/>
        <v>#N/A</v>
      </c>
      <c r="DS933" s="34"/>
      <c r="DT933" s="67" t="e">
        <f>((BX933*CJ933)+IF($W933=MAT_AR,(BZ933*CL933),0))*(1+Reference!$E$50+Reference!$E$51)</f>
        <v>#N/A</v>
      </c>
      <c r="DU933" s="67">
        <f>((BY933*CK933)+IF($W933=MAT_AR,(CA933*CM933),0))*(1+Reference!$G$50+Reference!$G$51)</f>
        <v>0</v>
      </c>
      <c r="DV933" s="67" t="e">
        <f t="shared" si="1083"/>
        <v>#VALUE!</v>
      </c>
      <c r="DX933" s="56">
        <v>919</v>
      </c>
      <c r="DY933" s="67">
        <f t="shared" si="1084"/>
        <v>0</v>
      </c>
      <c r="DZ933" s="45" t="e">
        <f>VLOOKUP($R933,Dropdown!$C$3:$D$4,2,FALSE)</f>
        <v>#N/A</v>
      </c>
      <c r="EA933" s="68">
        <f t="shared" si="1085"/>
        <v>0</v>
      </c>
      <c r="EB933" s="68" t="str">
        <f t="shared" si="1086"/>
        <v>N/A</v>
      </c>
      <c r="EC933" s="68">
        <f t="shared" si="1087"/>
        <v>0</v>
      </c>
      <c r="ED933" s="68" t="str">
        <f t="shared" si="1125"/>
        <v>N/A</v>
      </c>
      <c r="EF933" s="56">
        <v>919</v>
      </c>
      <c r="EG933" s="46">
        <f t="shared" si="1088"/>
        <v>0</v>
      </c>
      <c r="EH933" s="68" t="e">
        <f t="shared" si="1089"/>
        <v>#N/A</v>
      </c>
      <c r="EI933" s="68" t="e">
        <f t="shared" si="1090"/>
        <v>#N/A</v>
      </c>
      <c r="EJ933" s="68" t="e">
        <f t="shared" si="1091"/>
        <v>#N/A</v>
      </c>
      <c r="EK933" s="68" t="e">
        <f t="shared" si="1092"/>
        <v>#N/A</v>
      </c>
      <c r="EL933" s="46">
        <f t="shared" si="1093"/>
        <v>0</v>
      </c>
      <c r="EM933" s="46">
        <f t="shared" si="1094"/>
        <v>0</v>
      </c>
    </row>
    <row r="934" spans="1:143">
      <c r="A934" s="89"/>
      <c r="B934" s="89"/>
      <c r="C934" s="89"/>
      <c r="D934" s="89"/>
      <c r="E934" s="89"/>
      <c r="F934" s="89"/>
      <c r="G934" s="34"/>
      <c r="H934" s="56">
        <f t="shared" si="1095"/>
        <v>920</v>
      </c>
      <c r="I934" s="165"/>
      <c r="J934" s="163"/>
      <c r="K934" s="163"/>
      <c r="L934" s="164"/>
      <c r="M934" s="155"/>
      <c r="N934" s="155"/>
      <c r="O934" s="144"/>
      <c r="P934" s="159" t="str">
        <f>IFERROR(IF(O934&lt;&gt;"User Specified",IF(O934&lt;&gt;"", INDEX('Refrigerant GWPs'!$G$2:$G$154,MATCH(O934,'Refrigerant GWPs'!$A$2:$A$154,0)),""),U934),0)</f>
        <v/>
      </c>
      <c r="Q934" s="155"/>
      <c r="R934" s="155"/>
      <c r="S934" s="144"/>
      <c r="T934" s="159" t="str">
        <f>IF(S934&lt;&gt;"User Specified",IF(AND(S934&lt;&gt;"User Specified",S934&lt;&gt;""), INDEX('Refrigerant GWPs'!$G$2:$G$154,MATCH(S934,'Refrigerant GWPs'!$A$2:$A$154,0)),""),V934)</f>
        <v/>
      </c>
      <c r="U934" s="144"/>
      <c r="V934" s="144"/>
      <c r="W934" s="155"/>
      <c r="X934" s="155"/>
      <c r="Y934" s="144"/>
      <c r="Z934" s="159" t="str">
        <f>IF(AND(Y934&lt;&gt;"User Specified",Y934&lt;&gt;""), INDEX('Refrigerant GWPs'!$G$2:$G$154,MATCH(Y934,'Refrigerant GWPs'!$A$2:$A$154,0)),"")</f>
        <v/>
      </c>
      <c r="AA934" s="155"/>
      <c r="AB934" s="156"/>
      <c r="AC934" s="66"/>
      <c r="AD934" s="66"/>
      <c r="AE934" s="66"/>
      <c r="AF934" s="66"/>
      <c r="AG934" s="66"/>
      <c r="AH934" s="66"/>
      <c r="AI934" s="34"/>
      <c r="AJ934" s="88">
        <f t="shared" si="1058"/>
        <v>0</v>
      </c>
      <c r="AK934" s="88">
        <f t="shared" si="1059"/>
        <v>0</v>
      </c>
      <c r="AL934" s="88">
        <v>0</v>
      </c>
      <c r="AM934" s="88">
        <v>0</v>
      </c>
      <c r="AN934" s="81" t="str">
        <f t="shared" si="1097"/>
        <v/>
      </c>
      <c r="AO934" s="88">
        <f t="shared" si="1060"/>
        <v>0</v>
      </c>
      <c r="AP934" s="88">
        <f t="shared" si="1061"/>
        <v>0</v>
      </c>
      <c r="AQ934" s="81" t="str">
        <f t="shared" si="1062"/>
        <v/>
      </c>
      <c r="AS934" s="41" t="b">
        <f t="shared" si="1063"/>
        <v>1</v>
      </c>
      <c r="AT934" s="38">
        <f t="shared" si="1064"/>
        <v>0</v>
      </c>
      <c r="AU934" s="60">
        <f t="shared" si="1065"/>
        <v>0</v>
      </c>
      <c r="AV934" s="41">
        <f t="shared" si="1066"/>
        <v>0</v>
      </c>
      <c r="AW934" s="41" t="b">
        <f t="shared" si="1067"/>
        <v>0</v>
      </c>
      <c r="AX934" t="str">
        <f t="shared" si="1068"/>
        <v>+00</v>
      </c>
      <c r="AY934" t="str">
        <f t="shared" si="1069"/>
        <v>+00</v>
      </c>
      <c r="BA934" s="47" t="b">
        <f t="shared" si="1098"/>
        <v>1</v>
      </c>
      <c r="BB934" s="42" t="b">
        <f t="shared" si="1099"/>
        <v>1</v>
      </c>
      <c r="BC934" s="42" t="b">
        <f t="shared" si="1100"/>
        <v>0</v>
      </c>
      <c r="BD934" s="42" t="b">
        <f t="shared" si="1101"/>
        <v>0</v>
      </c>
      <c r="BE934" s="70">
        <f t="shared" si="1102"/>
        <v>0</v>
      </c>
      <c r="BF934" s="70">
        <f t="shared" si="1103"/>
        <v>0</v>
      </c>
      <c r="BG934" s="34"/>
      <c r="BI934" s="47" t="b">
        <f t="shared" si="1104"/>
        <v>1</v>
      </c>
      <c r="BJ934" s="47" t="b">
        <f t="shared" si="1105"/>
        <v>1</v>
      </c>
      <c r="BK934" s="42" t="b">
        <f t="shared" si="1106"/>
        <v>0</v>
      </c>
      <c r="BL934" s="42" t="b">
        <f t="shared" si="1107"/>
        <v>0</v>
      </c>
      <c r="BM934" s="42">
        <f t="shared" si="1108"/>
        <v>0</v>
      </c>
      <c r="BN934" s="42">
        <f t="shared" si="1109"/>
        <v>0</v>
      </c>
      <c r="BP934" t="e">
        <f t="shared" si="1110"/>
        <v>#N/A</v>
      </c>
      <c r="BQ934" t="e">
        <f t="shared" si="1111"/>
        <v>#N/A</v>
      </c>
      <c r="BR934" t="e">
        <f t="shared" si="1112"/>
        <v>#N/A</v>
      </c>
      <c r="BT934" s="60">
        <f t="shared" si="1113"/>
        <v>0</v>
      </c>
      <c r="BU934" s="60">
        <f t="shared" si="1114"/>
        <v>0</v>
      </c>
      <c r="BV934" s="60">
        <f t="shared" si="1115"/>
        <v>0</v>
      </c>
      <c r="BW934" s="60">
        <f t="shared" si="1116"/>
        <v>0</v>
      </c>
      <c r="BX934" s="60">
        <f t="shared" si="1117"/>
        <v>0</v>
      </c>
      <c r="BY934" s="60">
        <f t="shared" si="1118"/>
        <v>0</v>
      </c>
      <c r="BZ934" s="60">
        <f t="shared" si="1119"/>
        <v>0</v>
      </c>
      <c r="CA934" s="60">
        <f t="shared" si="1120"/>
        <v>0</v>
      </c>
      <c r="CB934" s="60" t="e">
        <f t="shared" si="1070"/>
        <v>#N/A</v>
      </c>
      <c r="CC934" s="60">
        <f t="shared" si="1071"/>
        <v>100000</v>
      </c>
      <c r="CD934" s="60" t="e">
        <f t="shared" si="1072"/>
        <v>#N/A</v>
      </c>
      <c r="CE934" s="60">
        <f t="shared" si="1073"/>
        <v>100000</v>
      </c>
      <c r="CF934" s="83" t="e">
        <f t="shared" si="1121"/>
        <v>#N/A</v>
      </c>
      <c r="CG934" s="83">
        <f t="shared" si="1122"/>
        <v>0</v>
      </c>
      <c r="CH934" s="83" t="e">
        <f t="shared" si="1123"/>
        <v>#N/A</v>
      </c>
      <c r="CI934" s="83">
        <f t="shared" si="1124"/>
        <v>0</v>
      </c>
      <c r="CJ934" s="86" t="e">
        <f t="shared" si="1074"/>
        <v>#N/A</v>
      </c>
      <c r="CK934" s="82">
        <f t="shared" si="1075"/>
        <v>5.3070370403969858E-3</v>
      </c>
      <c r="CL934" s="82" t="e">
        <f t="shared" si="1076"/>
        <v>#N/A</v>
      </c>
      <c r="CM934" s="82">
        <f t="shared" si="1077"/>
        <v>5.3070370403969858E-3</v>
      </c>
      <c r="CO934" s="149" t="str">
        <f>IF($I934&lt;&gt;"",IF(O934="User Specified",U934,INDEX('Refrigerant GWPs'!$G$2:$G$156,MATCH(O934,'Refrigerant GWPs'!$A$2:$A$156,0))),"")</f>
        <v/>
      </c>
      <c r="CP934" s="138" t="str">
        <f>IF($I934&lt;&gt;"",INDEX('Device Refrigerant Leakage'!$E$2:$E$42,MATCH($M934,'Device Refrigerant Leakage'!$B$2:$B$42,0)),"")</f>
        <v/>
      </c>
      <c r="CQ934" s="138" t="str">
        <f>IF($I934&lt;&gt;"",INDEX('Device Refrigerant Leakage'!$F$2:$F$42,MATCH($M934,'Device Refrigerant Leakage'!$B$2:$B$42,0)),"")</f>
        <v/>
      </c>
      <c r="CR934" s="145" t="str">
        <f>IF($I934&lt;&gt;"",INDEX('Device Refrigerant Leakage'!$G$2:$G$42,MATCH($M934,'Device Refrigerant Leakage'!$B$2:$B$42,0)),"")</f>
        <v/>
      </c>
      <c r="CS934" s="145" t="str">
        <f>IF($I934&lt;&gt;"",INDEX('Device Refrigerant Leakage'!$D$2:$D$42,MATCH($M934,'Device Refrigerant Leakage'!$B$2:$B$42,0))*CP934/2204.62*CO934,"")</f>
        <v/>
      </c>
      <c r="CT934" s="145" t="str">
        <f>IF($I934&lt;&gt;"",J934*(INDEX('Device Refrigerant Leakage'!$D$2:$D$42,MATCH($M934,'Device Refrigerant Leakage'!$B$2:$B$42,0))-(INDEX('Device Refrigerant Leakage'!$D$2:$D$42,MATCH($M934,'Device Refrigerant Leakage'!$B$2:$B$42,0)))*CR934*CP934)*CQ934/2204.62*CO934,"")</f>
        <v/>
      </c>
      <c r="CU934" s="135" t="str">
        <f>IF($I934&lt;&gt;"",J934*IF(W934&lt;&gt;"AR",(CS934*K934)+CT934,(CS934*AB934)+CT934*(AB934/INDEX('Device Refrigerant Leakage'!$C$2:$C$42,MATCH($M934,'Device Refrigerant Leakage'!$B$2:$B$42,0)))),"")</f>
        <v/>
      </c>
      <c r="CW934" s="135" t="str">
        <f>IF($I934&lt;&gt;"",IF(S934="User Specified",V934,INDEX('Refrigerant GWPs'!$G$2:$G$156,MATCH(S934,'Refrigerant GWPs'!$A$2:$A$157,0))),"")</f>
        <v/>
      </c>
      <c r="CX934" s="138" t="str">
        <f>IF($I934&lt;&gt;"",INDEX('Device Refrigerant Leakage'!$E$2:$E$42,MATCH($Q934,'Device Refrigerant Leakage'!$B$2:$B$42,0)),"")</f>
        <v/>
      </c>
      <c r="CY934" s="138" t="str">
        <f>IF($I934&lt;&gt;"",INDEX('Device Refrigerant Leakage'!$F$2:$F$42,MATCH($Q934,'Device Refrigerant Leakage'!$B$2:$B$42,0)),"")</f>
        <v/>
      </c>
      <c r="CZ934" s="145" t="str">
        <f>IF($I934&lt;&gt;"",INDEX('Device Refrigerant Leakage'!$G$2:$G$42,MATCH($Q934,'Device Refrigerant Leakage'!$B$2:$B$42,0)),"")</f>
        <v/>
      </c>
      <c r="DA934" s="145" t="str">
        <f>IF($I934&lt;&gt;"",J934*INDEX('Device Refrigerant Leakage'!$D$2:$D$42,MATCH($Q934,'Device Refrigerant Leakage'!$B$2:$B$42,0))*CX934/2204.62*CW934,"")</f>
        <v/>
      </c>
      <c r="DB934" s="145" t="str">
        <f>IF($I934&lt;&gt;"",J934*(INDEX('Device Refrigerant Leakage'!$D$2:$D$42,MATCH($Q934,'Device Refrigerant Leakage'!$B$2:$B$42,0))-(INDEX('Device Refrigerant Leakage'!$D$2:$D$42,MATCH($Q934,'Device Refrigerant Leakage'!$B$2:$B$42,0)))*CZ934*CX934)*CY934/2204.62*CW934,"")</f>
        <v/>
      </c>
      <c r="DC934" s="135" t="str">
        <f t="shared" si="1096"/>
        <v/>
      </c>
      <c r="DE934" s="146" t="str">
        <f>IF(W934&lt;&gt;"AR","",IF(Y934="User Specified", AA934, INDEX('Refrigerant GWPs'!$G$2:$G$154,MATCH(Y934,'Refrigerant GWPs'!$A$2:$A$154,0))))</f>
        <v/>
      </c>
      <c r="DF934" s="146" t="str">
        <f>IF(W934&lt;&gt;"AR","",INDEX('Device Refrigerant Leakage'!$E$2:$E$42,MATCH(X934,'Device Refrigerant Leakage'!$B$2:$B$42,0)))</f>
        <v/>
      </c>
      <c r="DG934" s="146" t="str">
        <f>IF(W934&lt;&gt;"AR","",INDEX('Device Refrigerant Leakage'!$F$2:$F$42,MATCH(X934,'Device Refrigerant Leakage'!$B$2:$B$42,0)))</f>
        <v/>
      </c>
      <c r="DH934" s="146" t="str">
        <f>IF(W934&lt;&gt;"AR","",INDEX('Device Refrigerant Leakage'!$G$2:$G$42,MATCH(X934,'Device Refrigerant Leakage'!$B$2:$B$42,0)))</f>
        <v/>
      </c>
      <c r="DI934" s="146" t="str">
        <f>IF(W934&lt;&gt;"AR","",J934*INDEX('Device Refrigerant Leakage'!$D$2:$D$42,MATCH(X934,'Device Refrigerant Leakage'!$B$2:$B$42,0))*DF934/2204.62*DE934)</f>
        <v/>
      </c>
      <c r="DJ934" s="146" t="str">
        <f>IF(W934&lt;&gt;"AR","",J934*(INDEX('Device Refrigerant Leakage'!$D$2:$D$42,MATCH(X934,'Device Refrigerant Leakage'!$B$2:$B$42,0))-(INDEX('Device Refrigerant Leakage'!$D$2:$D$42,MATCH(X934,'Device Refrigerant Leakage'!$B$2:$B$42,0)))*DH934*DF934)*DG934/2204.62*DE934)</f>
        <v/>
      </c>
      <c r="DK934" s="146" t="str">
        <f>IF(W934&lt;&gt;"AR","",DI934*(K934-AB934)+'Fuel Sub Calcs-Deemed'!DJ934*((K934-AB934)/INDEX('Device Refrigerant Leakage'!$C$2:$C$42,MATCH('Fuel Sub Calcs-Deemed'!X934,'Device Refrigerant Leakage'!$B$2:$B$42,0))))</f>
        <v/>
      </c>
      <c r="DM934" s="56">
        <v>920</v>
      </c>
      <c r="DN934" s="67" t="e">
        <f t="shared" si="1078"/>
        <v>#N/A</v>
      </c>
      <c r="DO934" s="45" t="e">
        <f t="shared" si="1079"/>
        <v>#N/A</v>
      </c>
      <c r="DP934" s="67" t="e">
        <f t="shared" si="1080"/>
        <v>#N/A</v>
      </c>
      <c r="DQ934" s="45" t="e">
        <f t="shared" si="1081"/>
        <v>#N/A</v>
      </c>
      <c r="DR934" s="69" t="e">
        <f t="shared" si="1082"/>
        <v>#N/A</v>
      </c>
      <c r="DS934" s="34"/>
      <c r="DT934" s="67" t="e">
        <f>((BX934*CJ934)+IF($W934=MAT_AR,(BZ934*CL934),0))*(1+Reference!$E$50+Reference!$E$51)</f>
        <v>#N/A</v>
      </c>
      <c r="DU934" s="67">
        <f>((BY934*CK934)+IF($W934=MAT_AR,(CA934*CM934),0))*(1+Reference!$G$50+Reference!$G$51)</f>
        <v>0</v>
      </c>
      <c r="DV934" s="67" t="e">
        <f t="shared" si="1083"/>
        <v>#VALUE!</v>
      </c>
      <c r="DX934" s="56">
        <v>920</v>
      </c>
      <c r="DY934" s="67">
        <f t="shared" si="1084"/>
        <v>0</v>
      </c>
      <c r="DZ934" s="45" t="e">
        <f>VLOOKUP($R934,Dropdown!$C$3:$D$4,2,FALSE)</f>
        <v>#N/A</v>
      </c>
      <c r="EA934" s="68">
        <f t="shared" si="1085"/>
        <v>0</v>
      </c>
      <c r="EB934" s="68" t="str">
        <f t="shared" si="1086"/>
        <v>N/A</v>
      </c>
      <c r="EC934" s="68">
        <f t="shared" si="1087"/>
        <v>0</v>
      </c>
      <c r="ED934" s="68" t="str">
        <f t="shared" si="1125"/>
        <v>N/A</v>
      </c>
      <c r="EF934" s="56">
        <v>920</v>
      </c>
      <c r="EG934" s="46">
        <f t="shared" si="1088"/>
        <v>0</v>
      </c>
      <c r="EH934" s="68" t="e">
        <f t="shared" si="1089"/>
        <v>#N/A</v>
      </c>
      <c r="EI934" s="68" t="e">
        <f t="shared" si="1090"/>
        <v>#N/A</v>
      </c>
      <c r="EJ934" s="68" t="e">
        <f t="shared" si="1091"/>
        <v>#N/A</v>
      </c>
      <c r="EK934" s="68" t="e">
        <f t="shared" si="1092"/>
        <v>#N/A</v>
      </c>
      <c r="EL934" s="46">
        <f t="shared" si="1093"/>
        <v>0</v>
      </c>
      <c r="EM934" s="46">
        <f t="shared" si="1094"/>
        <v>0</v>
      </c>
    </row>
    <row r="935" spans="1:143">
      <c r="A935" s="89"/>
      <c r="B935" s="89"/>
      <c r="C935" s="89"/>
      <c r="D935" s="89"/>
      <c r="E935" s="89"/>
      <c r="F935" s="89"/>
      <c r="G935" s="34"/>
      <c r="H935" s="56">
        <f t="shared" si="1095"/>
        <v>921</v>
      </c>
      <c r="I935" s="165"/>
      <c r="J935" s="163"/>
      <c r="K935" s="163"/>
      <c r="L935" s="164"/>
      <c r="M935" s="155"/>
      <c r="N935" s="155"/>
      <c r="O935" s="144"/>
      <c r="P935" s="159" t="str">
        <f>IFERROR(IF(O935&lt;&gt;"User Specified",IF(O935&lt;&gt;"", INDEX('Refrigerant GWPs'!$G$2:$G$154,MATCH(O935,'Refrigerant GWPs'!$A$2:$A$154,0)),""),U935),0)</f>
        <v/>
      </c>
      <c r="Q935" s="155"/>
      <c r="R935" s="155"/>
      <c r="S935" s="144"/>
      <c r="T935" s="159" t="str">
        <f>IF(S935&lt;&gt;"User Specified",IF(AND(S935&lt;&gt;"User Specified",S935&lt;&gt;""), INDEX('Refrigerant GWPs'!$G$2:$G$154,MATCH(S935,'Refrigerant GWPs'!$A$2:$A$154,0)),""),V935)</f>
        <v/>
      </c>
      <c r="U935" s="144"/>
      <c r="V935" s="144"/>
      <c r="W935" s="155"/>
      <c r="X935" s="155"/>
      <c r="Y935" s="144"/>
      <c r="Z935" s="159" t="str">
        <f>IF(AND(Y935&lt;&gt;"User Specified",Y935&lt;&gt;""), INDEX('Refrigerant GWPs'!$G$2:$G$154,MATCH(Y935,'Refrigerant GWPs'!$A$2:$A$154,0)),"")</f>
        <v/>
      </c>
      <c r="AA935" s="155"/>
      <c r="AB935" s="156"/>
      <c r="AC935" s="66"/>
      <c r="AD935" s="66"/>
      <c r="AE935" s="66"/>
      <c r="AF935" s="66"/>
      <c r="AG935" s="66"/>
      <c r="AH935" s="66"/>
      <c r="AI935" s="34"/>
      <c r="AJ935" s="88">
        <f t="shared" si="1058"/>
        <v>0</v>
      </c>
      <c r="AK935" s="88">
        <f t="shared" si="1059"/>
        <v>0</v>
      </c>
      <c r="AL935" s="88">
        <v>0</v>
      </c>
      <c r="AM935" s="88">
        <v>0</v>
      </c>
      <c r="AN935" s="81" t="str">
        <f t="shared" si="1097"/>
        <v/>
      </c>
      <c r="AO935" s="88">
        <f t="shared" si="1060"/>
        <v>0</v>
      </c>
      <c r="AP935" s="88">
        <f t="shared" si="1061"/>
        <v>0</v>
      </c>
      <c r="AQ935" s="81" t="str">
        <f t="shared" si="1062"/>
        <v/>
      </c>
      <c r="AS935" s="41" t="b">
        <f t="shared" si="1063"/>
        <v>1</v>
      </c>
      <c r="AT935" s="38">
        <f t="shared" si="1064"/>
        <v>0</v>
      </c>
      <c r="AU935" s="60">
        <f t="shared" si="1065"/>
        <v>0</v>
      </c>
      <c r="AV935" s="41">
        <f t="shared" si="1066"/>
        <v>0</v>
      </c>
      <c r="AW935" s="41" t="b">
        <f t="shared" si="1067"/>
        <v>0</v>
      </c>
      <c r="AX935" t="str">
        <f t="shared" si="1068"/>
        <v>+00</v>
      </c>
      <c r="AY935" t="str">
        <f t="shared" si="1069"/>
        <v>+00</v>
      </c>
      <c r="BA935" s="47" t="b">
        <f t="shared" si="1098"/>
        <v>1</v>
      </c>
      <c r="BB935" s="42" t="b">
        <f t="shared" si="1099"/>
        <v>1</v>
      </c>
      <c r="BC935" s="42" t="b">
        <f t="shared" si="1100"/>
        <v>0</v>
      </c>
      <c r="BD935" s="42" t="b">
        <f t="shared" si="1101"/>
        <v>0</v>
      </c>
      <c r="BE935" s="70">
        <f t="shared" si="1102"/>
        <v>0</v>
      </c>
      <c r="BF935" s="70">
        <f t="shared" si="1103"/>
        <v>0</v>
      </c>
      <c r="BG935" s="34"/>
      <c r="BI935" s="47" t="b">
        <f t="shared" si="1104"/>
        <v>1</v>
      </c>
      <c r="BJ935" s="47" t="b">
        <f t="shared" si="1105"/>
        <v>1</v>
      </c>
      <c r="BK935" s="42" t="b">
        <f t="shared" si="1106"/>
        <v>0</v>
      </c>
      <c r="BL935" s="42" t="b">
        <f t="shared" si="1107"/>
        <v>0</v>
      </c>
      <c r="BM935" s="42">
        <f t="shared" si="1108"/>
        <v>0</v>
      </c>
      <c r="BN935" s="42">
        <f t="shared" si="1109"/>
        <v>0</v>
      </c>
      <c r="BP935" t="e">
        <f t="shared" si="1110"/>
        <v>#N/A</v>
      </c>
      <c r="BQ935" t="e">
        <f t="shared" si="1111"/>
        <v>#N/A</v>
      </c>
      <c r="BR935" t="e">
        <f t="shared" si="1112"/>
        <v>#N/A</v>
      </c>
      <c r="BT935" s="60">
        <f t="shared" si="1113"/>
        <v>0</v>
      </c>
      <c r="BU935" s="60">
        <f t="shared" si="1114"/>
        <v>0</v>
      </c>
      <c r="BV935" s="60">
        <f t="shared" si="1115"/>
        <v>0</v>
      </c>
      <c r="BW935" s="60">
        <f t="shared" si="1116"/>
        <v>0</v>
      </c>
      <c r="BX935" s="60">
        <f t="shared" si="1117"/>
        <v>0</v>
      </c>
      <c r="BY935" s="60">
        <f t="shared" si="1118"/>
        <v>0</v>
      </c>
      <c r="BZ935" s="60">
        <f t="shared" si="1119"/>
        <v>0</v>
      </c>
      <c r="CA935" s="60">
        <f t="shared" si="1120"/>
        <v>0</v>
      </c>
      <c r="CB935" s="60" t="e">
        <f t="shared" si="1070"/>
        <v>#N/A</v>
      </c>
      <c r="CC935" s="60">
        <f t="shared" si="1071"/>
        <v>100000</v>
      </c>
      <c r="CD935" s="60" t="e">
        <f t="shared" si="1072"/>
        <v>#N/A</v>
      </c>
      <c r="CE935" s="60">
        <f t="shared" si="1073"/>
        <v>100000</v>
      </c>
      <c r="CF935" s="83" t="e">
        <f t="shared" si="1121"/>
        <v>#N/A</v>
      </c>
      <c r="CG935" s="83">
        <f t="shared" si="1122"/>
        <v>0</v>
      </c>
      <c r="CH935" s="83" t="e">
        <f t="shared" si="1123"/>
        <v>#N/A</v>
      </c>
      <c r="CI935" s="83">
        <f t="shared" si="1124"/>
        <v>0</v>
      </c>
      <c r="CJ935" s="86" t="e">
        <f t="shared" si="1074"/>
        <v>#N/A</v>
      </c>
      <c r="CK935" s="82">
        <f t="shared" si="1075"/>
        <v>5.3070370403969858E-3</v>
      </c>
      <c r="CL935" s="82" t="e">
        <f t="shared" si="1076"/>
        <v>#N/A</v>
      </c>
      <c r="CM935" s="82">
        <f t="shared" si="1077"/>
        <v>5.3070370403969858E-3</v>
      </c>
      <c r="CO935" s="149" t="str">
        <f>IF($I935&lt;&gt;"",IF(O935="User Specified",U935,INDEX('Refrigerant GWPs'!$G$2:$G$156,MATCH(O935,'Refrigerant GWPs'!$A$2:$A$156,0))),"")</f>
        <v/>
      </c>
      <c r="CP935" s="138" t="str">
        <f>IF($I935&lt;&gt;"",INDEX('Device Refrigerant Leakage'!$E$2:$E$42,MATCH($M935,'Device Refrigerant Leakage'!$B$2:$B$42,0)),"")</f>
        <v/>
      </c>
      <c r="CQ935" s="138" t="str">
        <f>IF($I935&lt;&gt;"",INDEX('Device Refrigerant Leakage'!$F$2:$F$42,MATCH($M935,'Device Refrigerant Leakage'!$B$2:$B$42,0)),"")</f>
        <v/>
      </c>
      <c r="CR935" s="145" t="str">
        <f>IF($I935&lt;&gt;"",INDEX('Device Refrigerant Leakage'!$G$2:$G$42,MATCH($M935,'Device Refrigerant Leakage'!$B$2:$B$42,0)),"")</f>
        <v/>
      </c>
      <c r="CS935" s="145" t="str">
        <f>IF($I935&lt;&gt;"",INDEX('Device Refrigerant Leakage'!$D$2:$D$42,MATCH($M935,'Device Refrigerant Leakage'!$B$2:$B$42,0))*CP935/2204.62*CO935,"")</f>
        <v/>
      </c>
      <c r="CT935" s="145" t="str">
        <f>IF($I935&lt;&gt;"",J935*(INDEX('Device Refrigerant Leakage'!$D$2:$D$42,MATCH($M935,'Device Refrigerant Leakage'!$B$2:$B$42,0))-(INDEX('Device Refrigerant Leakage'!$D$2:$D$42,MATCH($M935,'Device Refrigerant Leakage'!$B$2:$B$42,0)))*CR935*CP935)*CQ935/2204.62*CO935,"")</f>
        <v/>
      </c>
      <c r="CU935" s="135" t="str">
        <f>IF($I935&lt;&gt;"",J935*IF(W935&lt;&gt;"AR",(CS935*K935)+CT935,(CS935*AB935)+CT935*(AB935/INDEX('Device Refrigerant Leakage'!$C$2:$C$42,MATCH($M935,'Device Refrigerant Leakage'!$B$2:$B$42,0)))),"")</f>
        <v/>
      </c>
      <c r="CW935" s="135" t="str">
        <f>IF($I935&lt;&gt;"",IF(S935="User Specified",V935,INDEX('Refrigerant GWPs'!$G$2:$G$156,MATCH(S935,'Refrigerant GWPs'!$A$2:$A$157,0))),"")</f>
        <v/>
      </c>
      <c r="CX935" s="138" t="str">
        <f>IF($I935&lt;&gt;"",INDEX('Device Refrigerant Leakage'!$E$2:$E$42,MATCH($Q935,'Device Refrigerant Leakage'!$B$2:$B$42,0)),"")</f>
        <v/>
      </c>
      <c r="CY935" s="138" t="str">
        <f>IF($I935&lt;&gt;"",INDEX('Device Refrigerant Leakage'!$F$2:$F$42,MATCH($Q935,'Device Refrigerant Leakage'!$B$2:$B$42,0)),"")</f>
        <v/>
      </c>
      <c r="CZ935" s="145" t="str">
        <f>IF($I935&lt;&gt;"",INDEX('Device Refrigerant Leakage'!$G$2:$G$42,MATCH($Q935,'Device Refrigerant Leakage'!$B$2:$B$42,0)),"")</f>
        <v/>
      </c>
      <c r="DA935" s="145" t="str">
        <f>IF($I935&lt;&gt;"",J935*INDEX('Device Refrigerant Leakage'!$D$2:$D$42,MATCH($Q935,'Device Refrigerant Leakage'!$B$2:$B$42,0))*CX935/2204.62*CW935,"")</f>
        <v/>
      </c>
      <c r="DB935" s="145" t="str">
        <f>IF($I935&lt;&gt;"",J935*(INDEX('Device Refrigerant Leakage'!$D$2:$D$42,MATCH($Q935,'Device Refrigerant Leakage'!$B$2:$B$42,0))-(INDEX('Device Refrigerant Leakage'!$D$2:$D$42,MATCH($Q935,'Device Refrigerant Leakage'!$B$2:$B$42,0)))*CZ935*CX935)*CY935/2204.62*CW935,"")</f>
        <v/>
      </c>
      <c r="DC935" s="135" t="str">
        <f t="shared" si="1096"/>
        <v/>
      </c>
      <c r="DE935" s="146" t="str">
        <f>IF(W935&lt;&gt;"AR","",IF(Y935="User Specified", AA935, INDEX('Refrigerant GWPs'!$G$2:$G$154,MATCH(Y935,'Refrigerant GWPs'!$A$2:$A$154,0))))</f>
        <v/>
      </c>
      <c r="DF935" s="146" t="str">
        <f>IF(W935&lt;&gt;"AR","",INDEX('Device Refrigerant Leakage'!$E$2:$E$42,MATCH(X935,'Device Refrigerant Leakage'!$B$2:$B$42,0)))</f>
        <v/>
      </c>
      <c r="DG935" s="146" t="str">
        <f>IF(W935&lt;&gt;"AR","",INDEX('Device Refrigerant Leakage'!$F$2:$F$42,MATCH(X935,'Device Refrigerant Leakage'!$B$2:$B$42,0)))</f>
        <v/>
      </c>
      <c r="DH935" s="146" t="str">
        <f>IF(W935&lt;&gt;"AR","",INDEX('Device Refrigerant Leakage'!$G$2:$G$42,MATCH(X935,'Device Refrigerant Leakage'!$B$2:$B$42,0)))</f>
        <v/>
      </c>
      <c r="DI935" s="146" t="str">
        <f>IF(W935&lt;&gt;"AR","",J935*INDEX('Device Refrigerant Leakage'!$D$2:$D$42,MATCH(X935,'Device Refrigerant Leakage'!$B$2:$B$42,0))*DF935/2204.62*DE935)</f>
        <v/>
      </c>
      <c r="DJ935" s="146" t="str">
        <f>IF(W935&lt;&gt;"AR","",J935*(INDEX('Device Refrigerant Leakage'!$D$2:$D$42,MATCH(X935,'Device Refrigerant Leakage'!$B$2:$B$42,0))-(INDEX('Device Refrigerant Leakage'!$D$2:$D$42,MATCH(X935,'Device Refrigerant Leakage'!$B$2:$B$42,0)))*DH935*DF935)*DG935/2204.62*DE935)</f>
        <v/>
      </c>
      <c r="DK935" s="146" t="str">
        <f>IF(W935&lt;&gt;"AR","",DI935*(K935-AB935)+'Fuel Sub Calcs-Deemed'!DJ935*((K935-AB935)/INDEX('Device Refrigerant Leakage'!$C$2:$C$42,MATCH('Fuel Sub Calcs-Deemed'!X935,'Device Refrigerant Leakage'!$B$2:$B$42,0))))</f>
        <v/>
      </c>
      <c r="DM935" s="56">
        <v>921</v>
      </c>
      <c r="DN935" s="67" t="e">
        <f t="shared" si="1078"/>
        <v>#N/A</v>
      </c>
      <c r="DO935" s="45" t="e">
        <f t="shared" si="1079"/>
        <v>#N/A</v>
      </c>
      <c r="DP935" s="67" t="e">
        <f t="shared" si="1080"/>
        <v>#N/A</v>
      </c>
      <c r="DQ935" s="45" t="e">
        <f t="shared" si="1081"/>
        <v>#N/A</v>
      </c>
      <c r="DR935" s="69" t="e">
        <f t="shared" si="1082"/>
        <v>#N/A</v>
      </c>
      <c r="DS935" s="34"/>
      <c r="DT935" s="67" t="e">
        <f>((BX935*CJ935)+IF($W935=MAT_AR,(BZ935*CL935),0))*(1+Reference!$E$50+Reference!$E$51)</f>
        <v>#N/A</v>
      </c>
      <c r="DU935" s="67">
        <f>((BY935*CK935)+IF($W935=MAT_AR,(CA935*CM935),0))*(1+Reference!$G$50+Reference!$G$51)</f>
        <v>0</v>
      </c>
      <c r="DV935" s="67" t="e">
        <f t="shared" si="1083"/>
        <v>#VALUE!</v>
      </c>
      <c r="DX935" s="56">
        <v>921</v>
      </c>
      <c r="DY935" s="67">
        <f t="shared" si="1084"/>
        <v>0</v>
      </c>
      <c r="DZ935" s="45" t="e">
        <f>VLOOKUP($R935,Dropdown!$C$3:$D$4,2,FALSE)</f>
        <v>#N/A</v>
      </c>
      <c r="EA935" s="68">
        <f t="shared" si="1085"/>
        <v>0</v>
      </c>
      <c r="EB935" s="68" t="str">
        <f t="shared" si="1086"/>
        <v>N/A</v>
      </c>
      <c r="EC935" s="68">
        <f t="shared" si="1087"/>
        <v>0</v>
      </c>
      <c r="ED935" s="68" t="str">
        <f t="shared" si="1125"/>
        <v>N/A</v>
      </c>
      <c r="EF935" s="56">
        <v>921</v>
      </c>
      <c r="EG935" s="46">
        <f t="shared" si="1088"/>
        <v>0</v>
      </c>
      <c r="EH935" s="68" t="e">
        <f t="shared" si="1089"/>
        <v>#N/A</v>
      </c>
      <c r="EI935" s="68" t="e">
        <f t="shared" si="1090"/>
        <v>#N/A</v>
      </c>
      <c r="EJ935" s="68" t="e">
        <f t="shared" si="1091"/>
        <v>#N/A</v>
      </c>
      <c r="EK935" s="68" t="e">
        <f t="shared" si="1092"/>
        <v>#N/A</v>
      </c>
      <c r="EL935" s="46">
        <f t="shared" si="1093"/>
        <v>0</v>
      </c>
      <c r="EM935" s="46">
        <f t="shared" si="1094"/>
        <v>0</v>
      </c>
    </row>
    <row r="936" spans="1:143">
      <c r="A936" s="89"/>
      <c r="B936" s="89"/>
      <c r="C936" s="89"/>
      <c r="D936" s="89"/>
      <c r="E936" s="89"/>
      <c r="F936" s="89"/>
      <c r="G936" s="34"/>
      <c r="H936" s="56">
        <f t="shared" si="1095"/>
        <v>922</v>
      </c>
      <c r="I936" s="165"/>
      <c r="J936" s="163"/>
      <c r="K936" s="163"/>
      <c r="L936" s="164"/>
      <c r="M936" s="155"/>
      <c r="N936" s="155"/>
      <c r="O936" s="144"/>
      <c r="P936" s="159" t="str">
        <f>IFERROR(IF(O936&lt;&gt;"User Specified",IF(O936&lt;&gt;"", INDEX('Refrigerant GWPs'!$G$2:$G$154,MATCH(O936,'Refrigerant GWPs'!$A$2:$A$154,0)),""),U936),0)</f>
        <v/>
      </c>
      <c r="Q936" s="155"/>
      <c r="R936" s="155"/>
      <c r="S936" s="144"/>
      <c r="T936" s="159" t="str">
        <f>IF(S936&lt;&gt;"User Specified",IF(AND(S936&lt;&gt;"User Specified",S936&lt;&gt;""), INDEX('Refrigerant GWPs'!$G$2:$G$154,MATCH(S936,'Refrigerant GWPs'!$A$2:$A$154,0)),""),V936)</f>
        <v/>
      </c>
      <c r="U936" s="144"/>
      <c r="V936" s="144"/>
      <c r="W936" s="155"/>
      <c r="X936" s="155"/>
      <c r="Y936" s="144"/>
      <c r="Z936" s="159" t="str">
        <f>IF(AND(Y936&lt;&gt;"User Specified",Y936&lt;&gt;""), INDEX('Refrigerant GWPs'!$G$2:$G$154,MATCH(Y936,'Refrigerant GWPs'!$A$2:$A$154,0)),"")</f>
        <v/>
      </c>
      <c r="AA936" s="155"/>
      <c r="AB936" s="156"/>
      <c r="AC936" s="66"/>
      <c r="AD936" s="66"/>
      <c r="AE936" s="66"/>
      <c r="AF936" s="66"/>
      <c r="AG936" s="66"/>
      <c r="AH936" s="66"/>
      <c r="AI936" s="34"/>
      <c r="AJ936" s="88">
        <f t="shared" si="1058"/>
        <v>0</v>
      </c>
      <c r="AK936" s="88">
        <f t="shared" si="1059"/>
        <v>0</v>
      </c>
      <c r="AL936" s="88">
        <v>0</v>
      </c>
      <c r="AM936" s="88">
        <v>0</v>
      </c>
      <c r="AN936" s="81" t="str">
        <f t="shared" si="1097"/>
        <v/>
      </c>
      <c r="AO936" s="88">
        <f t="shared" si="1060"/>
        <v>0</v>
      </c>
      <c r="AP936" s="88">
        <f t="shared" si="1061"/>
        <v>0</v>
      </c>
      <c r="AQ936" s="81" t="str">
        <f t="shared" si="1062"/>
        <v/>
      </c>
      <c r="AS936" s="41" t="b">
        <f t="shared" si="1063"/>
        <v>1</v>
      </c>
      <c r="AT936" s="38">
        <f t="shared" si="1064"/>
        <v>0</v>
      </c>
      <c r="AU936" s="60">
        <f t="shared" si="1065"/>
        <v>0</v>
      </c>
      <c r="AV936" s="41">
        <f t="shared" si="1066"/>
        <v>0</v>
      </c>
      <c r="AW936" s="41" t="b">
        <f t="shared" si="1067"/>
        <v>0</v>
      </c>
      <c r="AX936" t="str">
        <f t="shared" si="1068"/>
        <v>+00</v>
      </c>
      <c r="AY936" t="str">
        <f t="shared" si="1069"/>
        <v>+00</v>
      </c>
      <c r="BA936" s="47" t="b">
        <f t="shared" si="1098"/>
        <v>1</v>
      </c>
      <c r="BB936" s="42" t="b">
        <f t="shared" si="1099"/>
        <v>1</v>
      </c>
      <c r="BC936" s="42" t="b">
        <f t="shared" si="1100"/>
        <v>0</v>
      </c>
      <c r="BD936" s="42" t="b">
        <f t="shared" si="1101"/>
        <v>0</v>
      </c>
      <c r="BE936" s="70">
        <f t="shared" si="1102"/>
        <v>0</v>
      </c>
      <c r="BF936" s="70">
        <f t="shared" si="1103"/>
        <v>0</v>
      </c>
      <c r="BG936" s="34"/>
      <c r="BI936" s="47" t="b">
        <f t="shared" si="1104"/>
        <v>1</v>
      </c>
      <c r="BJ936" s="47" t="b">
        <f t="shared" si="1105"/>
        <v>1</v>
      </c>
      <c r="BK936" s="42" t="b">
        <f t="shared" si="1106"/>
        <v>0</v>
      </c>
      <c r="BL936" s="42" t="b">
        <f t="shared" si="1107"/>
        <v>0</v>
      </c>
      <c r="BM936" s="42">
        <f t="shared" si="1108"/>
        <v>0</v>
      </c>
      <c r="BN936" s="42">
        <f t="shared" si="1109"/>
        <v>0</v>
      </c>
      <c r="BP936" t="e">
        <f t="shared" si="1110"/>
        <v>#N/A</v>
      </c>
      <c r="BQ936" t="e">
        <f t="shared" si="1111"/>
        <v>#N/A</v>
      </c>
      <c r="BR936" t="e">
        <f t="shared" si="1112"/>
        <v>#N/A</v>
      </c>
      <c r="BT936" s="60">
        <f t="shared" si="1113"/>
        <v>0</v>
      </c>
      <c r="BU936" s="60">
        <f t="shared" si="1114"/>
        <v>0</v>
      </c>
      <c r="BV936" s="60">
        <f t="shared" si="1115"/>
        <v>0</v>
      </c>
      <c r="BW936" s="60">
        <f t="shared" si="1116"/>
        <v>0</v>
      </c>
      <c r="BX936" s="60">
        <f t="shared" si="1117"/>
        <v>0</v>
      </c>
      <c r="BY936" s="60">
        <f t="shared" si="1118"/>
        <v>0</v>
      </c>
      <c r="BZ936" s="60">
        <f t="shared" si="1119"/>
        <v>0</v>
      </c>
      <c r="CA936" s="60">
        <f t="shared" si="1120"/>
        <v>0</v>
      </c>
      <c r="CB936" s="60" t="e">
        <f t="shared" si="1070"/>
        <v>#N/A</v>
      </c>
      <c r="CC936" s="60">
        <f t="shared" si="1071"/>
        <v>100000</v>
      </c>
      <c r="CD936" s="60" t="e">
        <f t="shared" si="1072"/>
        <v>#N/A</v>
      </c>
      <c r="CE936" s="60">
        <f t="shared" si="1073"/>
        <v>100000</v>
      </c>
      <c r="CF936" s="83" t="e">
        <f t="shared" si="1121"/>
        <v>#N/A</v>
      </c>
      <c r="CG936" s="83">
        <f t="shared" si="1122"/>
        <v>0</v>
      </c>
      <c r="CH936" s="83" t="e">
        <f t="shared" si="1123"/>
        <v>#N/A</v>
      </c>
      <c r="CI936" s="83">
        <f t="shared" si="1124"/>
        <v>0</v>
      </c>
      <c r="CJ936" s="86" t="e">
        <f t="shared" si="1074"/>
        <v>#N/A</v>
      </c>
      <c r="CK936" s="82">
        <f t="shared" si="1075"/>
        <v>5.3070370403969858E-3</v>
      </c>
      <c r="CL936" s="82" t="e">
        <f t="shared" si="1076"/>
        <v>#N/A</v>
      </c>
      <c r="CM936" s="82">
        <f t="shared" si="1077"/>
        <v>5.3070370403969858E-3</v>
      </c>
      <c r="CO936" s="149" t="str">
        <f>IF($I936&lt;&gt;"",IF(O936="User Specified",U936,INDEX('Refrigerant GWPs'!$G$2:$G$156,MATCH(O936,'Refrigerant GWPs'!$A$2:$A$156,0))),"")</f>
        <v/>
      </c>
      <c r="CP936" s="138" t="str">
        <f>IF($I936&lt;&gt;"",INDEX('Device Refrigerant Leakage'!$E$2:$E$42,MATCH($M936,'Device Refrigerant Leakage'!$B$2:$B$42,0)),"")</f>
        <v/>
      </c>
      <c r="CQ936" s="138" t="str">
        <f>IF($I936&lt;&gt;"",INDEX('Device Refrigerant Leakage'!$F$2:$F$42,MATCH($M936,'Device Refrigerant Leakage'!$B$2:$B$42,0)),"")</f>
        <v/>
      </c>
      <c r="CR936" s="145" t="str">
        <f>IF($I936&lt;&gt;"",INDEX('Device Refrigerant Leakage'!$G$2:$G$42,MATCH($M936,'Device Refrigerant Leakage'!$B$2:$B$42,0)),"")</f>
        <v/>
      </c>
      <c r="CS936" s="145" t="str">
        <f>IF($I936&lt;&gt;"",INDEX('Device Refrigerant Leakage'!$D$2:$D$42,MATCH($M936,'Device Refrigerant Leakage'!$B$2:$B$42,0))*CP936/2204.62*CO936,"")</f>
        <v/>
      </c>
      <c r="CT936" s="145" t="str">
        <f>IF($I936&lt;&gt;"",J936*(INDEX('Device Refrigerant Leakage'!$D$2:$D$42,MATCH($M936,'Device Refrigerant Leakage'!$B$2:$B$42,0))-(INDEX('Device Refrigerant Leakage'!$D$2:$D$42,MATCH($M936,'Device Refrigerant Leakage'!$B$2:$B$42,0)))*CR936*CP936)*CQ936/2204.62*CO936,"")</f>
        <v/>
      </c>
      <c r="CU936" s="135" t="str">
        <f>IF($I936&lt;&gt;"",J936*IF(W936&lt;&gt;"AR",(CS936*K936)+CT936,(CS936*AB936)+CT936*(AB936/INDEX('Device Refrigerant Leakage'!$C$2:$C$42,MATCH($M936,'Device Refrigerant Leakage'!$B$2:$B$42,0)))),"")</f>
        <v/>
      </c>
      <c r="CW936" s="135" t="str">
        <f>IF($I936&lt;&gt;"",IF(S936="User Specified",V936,INDEX('Refrigerant GWPs'!$G$2:$G$156,MATCH(S936,'Refrigerant GWPs'!$A$2:$A$157,0))),"")</f>
        <v/>
      </c>
      <c r="CX936" s="138" t="str">
        <f>IF($I936&lt;&gt;"",INDEX('Device Refrigerant Leakage'!$E$2:$E$42,MATCH($Q936,'Device Refrigerant Leakage'!$B$2:$B$42,0)),"")</f>
        <v/>
      </c>
      <c r="CY936" s="138" t="str">
        <f>IF($I936&lt;&gt;"",INDEX('Device Refrigerant Leakage'!$F$2:$F$42,MATCH($Q936,'Device Refrigerant Leakage'!$B$2:$B$42,0)),"")</f>
        <v/>
      </c>
      <c r="CZ936" s="145" t="str">
        <f>IF($I936&lt;&gt;"",INDEX('Device Refrigerant Leakage'!$G$2:$G$42,MATCH($Q936,'Device Refrigerant Leakage'!$B$2:$B$42,0)),"")</f>
        <v/>
      </c>
      <c r="DA936" s="145" t="str">
        <f>IF($I936&lt;&gt;"",J936*INDEX('Device Refrigerant Leakage'!$D$2:$D$42,MATCH($Q936,'Device Refrigerant Leakage'!$B$2:$B$42,0))*CX936/2204.62*CW936,"")</f>
        <v/>
      </c>
      <c r="DB936" s="145" t="str">
        <f>IF($I936&lt;&gt;"",J936*(INDEX('Device Refrigerant Leakage'!$D$2:$D$42,MATCH($Q936,'Device Refrigerant Leakage'!$B$2:$B$42,0))-(INDEX('Device Refrigerant Leakage'!$D$2:$D$42,MATCH($Q936,'Device Refrigerant Leakage'!$B$2:$B$42,0)))*CZ936*CX936)*CY936/2204.62*CW936,"")</f>
        <v/>
      </c>
      <c r="DC936" s="135" t="str">
        <f t="shared" si="1096"/>
        <v/>
      </c>
      <c r="DE936" s="146" t="str">
        <f>IF(W936&lt;&gt;"AR","",IF(Y936="User Specified", AA936, INDEX('Refrigerant GWPs'!$G$2:$G$154,MATCH(Y936,'Refrigerant GWPs'!$A$2:$A$154,0))))</f>
        <v/>
      </c>
      <c r="DF936" s="146" t="str">
        <f>IF(W936&lt;&gt;"AR","",INDEX('Device Refrigerant Leakage'!$E$2:$E$42,MATCH(X936,'Device Refrigerant Leakage'!$B$2:$B$42,0)))</f>
        <v/>
      </c>
      <c r="DG936" s="146" t="str">
        <f>IF(W936&lt;&gt;"AR","",INDEX('Device Refrigerant Leakage'!$F$2:$F$42,MATCH(X936,'Device Refrigerant Leakage'!$B$2:$B$42,0)))</f>
        <v/>
      </c>
      <c r="DH936" s="146" t="str">
        <f>IF(W936&lt;&gt;"AR","",INDEX('Device Refrigerant Leakage'!$G$2:$G$42,MATCH(X936,'Device Refrigerant Leakage'!$B$2:$B$42,0)))</f>
        <v/>
      </c>
      <c r="DI936" s="146" t="str">
        <f>IF(W936&lt;&gt;"AR","",J936*INDEX('Device Refrigerant Leakage'!$D$2:$D$42,MATCH(X936,'Device Refrigerant Leakage'!$B$2:$B$42,0))*DF936/2204.62*DE936)</f>
        <v/>
      </c>
      <c r="DJ936" s="146" t="str">
        <f>IF(W936&lt;&gt;"AR","",J936*(INDEX('Device Refrigerant Leakage'!$D$2:$D$42,MATCH(X936,'Device Refrigerant Leakage'!$B$2:$B$42,0))-(INDEX('Device Refrigerant Leakage'!$D$2:$D$42,MATCH(X936,'Device Refrigerant Leakage'!$B$2:$B$42,0)))*DH936*DF936)*DG936/2204.62*DE936)</f>
        <v/>
      </c>
      <c r="DK936" s="146" t="str">
        <f>IF(W936&lt;&gt;"AR","",DI936*(K936-AB936)+'Fuel Sub Calcs-Deemed'!DJ936*((K936-AB936)/INDEX('Device Refrigerant Leakage'!$C$2:$C$42,MATCH('Fuel Sub Calcs-Deemed'!X936,'Device Refrigerant Leakage'!$B$2:$B$42,0))))</f>
        <v/>
      </c>
      <c r="DM936" s="56">
        <v>922</v>
      </c>
      <c r="DN936" s="67" t="e">
        <f t="shared" si="1078"/>
        <v>#N/A</v>
      </c>
      <c r="DO936" s="45" t="e">
        <f t="shared" si="1079"/>
        <v>#N/A</v>
      </c>
      <c r="DP936" s="67" t="e">
        <f t="shared" si="1080"/>
        <v>#N/A</v>
      </c>
      <c r="DQ936" s="45" t="e">
        <f t="shared" si="1081"/>
        <v>#N/A</v>
      </c>
      <c r="DR936" s="69" t="e">
        <f t="shared" si="1082"/>
        <v>#N/A</v>
      </c>
      <c r="DS936" s="34"/>
      <c r="DT936" s="67" t="e">
        <f>((BX936*CJ936)+IF($W936=MAT_AR,(BZ936*CL936),0))*(1+Reference!$E$50+Reference!$E$51)</f>
        <v>#N/A</v>
      </c>
      <c r="DU936" s="67">
        <f>((BY936*CK936)+IF($W936=MAT_AR,(CA936*CM936),0))*(1+Reference!$G$50+Reference!$G$51)</f>
        <v>0</v>
      </c>
      <c r="DV936" s="67" t="e">
        <f t="shared" si="1083"/>
        <v>#VALUE!</v>
      </c>
      <c r="DX936" s="56">
        <v>922</v>
      </c>
      <c r="DY936" s="67">
        <f t="shared" si="1084"/>
        <v>0</v>
      </c>
      <c r="DZ936" s="45" t="e">
        <f>VLOOKUP($R936,Dropdown!$C$3:$D$4,2,FALSE)</f>
        <v>#N/A</v>
      </c>
      <c r="EA936" s="68">
        <f t="shared" si="1085"/>
        <v>0</v>
      </c>
      <c r="EB936" s="68" t="str">
        <f t="shared" si="1086"/>
        <v>N/A</v>
      </c>
      <c r="EC936" s="68">
        <f t="shared" si="1087"/>
        <v>0</v>
      </c>
      <c r="ED936" s="68" t="str">
        <f t="shared" si="1125"/>
        <v>N/A</v>
      </c>
      <c r="EF936" s="56">
        <v>922</v>
      </c>
      <c r="EG936" s="46">
        <f t="shared" si="1088"/>
        <v>0</v>
      </c>
      <c r="EH936" s="68" t="e">
        <f t="shared" si="1089"/>
        <v>#N/A</v>
      </c>
      <c r="EI936" s="68" t="e">
        <f t="shared" si="1090"/>
        <v>#N/A</v>
      </c>
      <c r="EJ936" s="68" t="e">
        <f t="shared" si="1091"/>
        <v>#N/A</v>
      </c>
      <c r="EK936" s="68" t="e">
        <f t="shared" si="1092"/>
        <v>#N/A</v>
      </c>
      <c r="EL936" s="46">
        <f t="shared" si="1093"/>
        <v>0</v>
      </c>
      <c r="EM936" s="46">
        <f t="shared" si="1094"/>
        <v>0</v>
      </c>
    </row>
    <row r="937" spans="1:143">
      <c r="A937" s="89"/>
      <c r="B937" s="89"/>
      <c r="C937" s="89"/>
      <c r="D937" s="89"/>
      <c r="E937" s="89"/>
      <c r="F937" s="89"/>
      <c r="G937" s="34"/>
      <c r="H937" s="56">
        <f t="shared" si="1095"/>
        <v>923</v>
      </c>
      <c r="I937" s="165"/>
      <c r="J937" s="163"/>
      <c r="K937" s="163"/>
      <c r="L937" s="164"/>
      <c r="M937" s="155"/>
      <c r="N937" s="155"/>
      <c r="O937" s="144"/>
      <c r="P937" s="159" t="str">
        <f>IFERROR(IF(O937&lt;&gt;"User Specified",IF(O937&lt;&gt;"", INDEX('Refrigerant GWPs'!$G$2:$G$154,MATCH(O937,'Refrigerant GWPs'!$A$2:$A$154,0)),""),U937),0)</f>
        <v/>
      </c>
      <c r="Q937" s="155"/>
      <c r="R937" s="155"/>
      <c r="S937" s="144"/>
      <c r="T937" s="159" t="str">
        <f>IF(S937&lt;&gt;"User Specified",IF(AND(S937&lt;&gt;"User Specified",S937&lt;&gt;""), INDEX('Refrigerant GWPs'!$G$2:$G$154,MATCH(S937,'Refrigerant GWPs'!$A$2:$A$154,0)),""),V937)</f>
        <v/>
      </c>
      <c r="U937" s="144"/>
      <c r="V937" s="144"/>
      <c r="W937" s="155"/>
      <c r="X937" s="155"/>
      <c r="Y937" s="144"/>
      <c r="Z937" s="159" t="str">
        <f>IF(AND(Y937&lt;&gt;"User Specified",Y937&lt;&gt;""), INDEX('Refrigerant GWPs'!$G$2:$G$154,MATCH(Y937,'Refrigerant GWPs'!$A$2:$A$154,0)),"")</f>
        <v/>
      </c>
      <c r="AA937" s="155"/>
      <c r="AB937" s="156"/>
      <c r="AC937" s="66"/>
      <c r="AD937" s="66"/>
      <c r="AE937" s="66"/>
      <c r="AF937" s="66"/>
      <c r="AG937" s="66"/>
      <c r="AH937" s="66"/>
      <c r="AI937" s="34"/>
      <c r="AJ937" s="88">
        <f t="shared" si="1058"/>
        <v>0</v>
      </c>
      <c r="AK937" s="88">
        <f t="shared" si="1059"/>
        <v>0</v>
      </c>
      <c r="AL937" s="88">
        <v>0</v>
      </c>
      <c r="AM937" s="88">
        <v>0</v>
      </c>
      <c r="AN937" s="81" t="str">
        <f t="shared" si="1097"/>
        <v/>
      </c>
      <c r="AO937" s="88">
        <f t="shared" si="1060"/>
        <v>0</v>
      </c>
      <c r="AP937" s="88">
        <f t="shared" si="1061"/>
        <v>0</v>
      </c>
      <c r="AQ937" s="81" t="str">
        <f t="shared" si="1062"/>
        <v/>
      </c>
      <c r="AS937" s="41" t="b">
        <f t="shared" si="1063"/>
        <v>1</v>
      </c>
      <c r="AT937" s="38">
        <f t="shared" si="1064"/>
        <v>0</v>
      </c>
      <c r="AU937" s="60">
        <f t="shared" si="1065"/>
        <v>0</v>
      </c>
      <c r="AV937" s="41">
        <f t="shared" si="1066"/>
        <v>0</v>
      </c>
      <c r="AW937" s="41" t="b">
        <f t="shared" si="1067"/>
        <v>0</v>
      </c>
      <c r="AX937" t="str">
        <f t="shared" si="1068"/>
        <v>+00</v>
      </c>
      <c r="AY937" t="str">
        <f t="shared" si="1069"/>
        <v>+00</v>
      </c>
      <c r="BA937" s="47" t="b">
        <f t="shared" si="1098"/>
        <v>1</v>
      </c>
      <c r="BB937" s="42" t="b">
        <f t="shared" si="1099"/>
        <v>1</v>
      </c>
      <c r="BC937" s="42" t="b">
        <f t="shared" si="1100"/>
        <v>0</v>
      </c>
      <c r="BD937" s="42" t="b">
        <f t="shared" si="1101"/>
        <v>0</v>
      </c>
      <c r="BE937" s="70">
        <f t="shared" si="1102"/>
        <v>0</v>
      </c>
      <c r="BF937" s="70">
        <f t="shared" si="1103"/>
        <v>0</v>
      </c>
      <c r="BG937" s="34"/>
      <c r="BI937" s="47" t="b">
        <f t="shared" si="1104"/>
        <v>1</v>
      </c>
      <c r="BJ937" s="47" t="b">
        <f t="shared" si="1105"/>
        <v>1</v>
      </c>
      <c r="BK937" s="42" t="b">
        <f t="shared" si="1106"/>
        <v>0</v>
      </c>
      <c r="BL937" s="42" t="b">
        <f t="shared" si="1107"/>
        <v>0</v>
      </c>
      <c r="BM937" s="42">
        <f t="shared" si="1108"/>
        <v>0</v>
      </c>
      <c r="BN937" s="42">
        <f t="shared" si="1109"/>
        <v>0</v>
      </c>
      <c r="BP937" t="e">
        <f t="shared" si="1110"/>
        <v>#N/A</v>
      </c>
      <c r="BQ937" t="e">
        <f t="shared" si="1111"/>
        <v>#N/A</v>
      </c>
      <c r="BR937" t="e">
        <f t="shared" si="1112"/>
        <v>#N/A</v>
      </c>
      <c r="BT937" s="60">
        <f t="shared" si="1113"/>
        <v>0</v>
      </c>
      <c r="BU937" s="60">
        <f t="shared" si="1114"/>
        <v>0</v>
      </c>
      <c r="BV937" s="60">
        <f t="shared" si="1115"/>
        <v>0</v>
      </c>
      <c r="BW937" s="60">
        <f t="shared" si="1116"/>
        <v>0</v>
      </c>
      <c r="BX937" s="60">
        <f t="shared" si="1117"/>
        <v>0</v>
      </c>
      <c r="BY937" s="60">
        <f t="shared" si="1118"/>
        <v>0</v>
      </c>
      <c r="BZ937" s="60">
        <f t="shared" si="1119"/>
        <v>0</v>
      </c>
      <c r="CA937" s="60">
        <f t="shared" si="1120"/>
        <v>0</v>
      </c>
      <c r="CB937" s="60" t="e">
        <f t="shared" si="1070"/>
        <v>#N/A</v>
      </c>
      <c r="CC937" s="60">
        <f t="shared" si="1071"/>
        <v>100000</v>
      </c>
      <c r="CD937" s="60" t="e">
        <f t="shared" si="1072"/>
        <v>#N/A</v>
      </c>
      <c r="CE937" s="60">
        <f t="shared" si="1073"/>
        <v>100000</v>
      </c>
      <c r="CF937" s="83" t="e">
        <f t="shared" si="1121"/>
        <v>#N/A</v>
      </c>
      <c r="CG937" s="83">
        <f t="shared" si="1122"/>
        <v>0</v>
      </c>
      <c r="CH937" s="83" t="e">
        <f t="shared" si="1123"/>
        <v>#N/A</v>
      </c>
      <c r="CI937" s="83">
        <f t="shared" si="1124"/>
        <v>0</v>
      </c>
      <c r="CJ937" s="86" t="e">
        <f t="shared" si="1074"/>
        <v>#N/A</v>
      </c>
      <c r="CK937" s="82">
        <f t="shared" si="1075"/>
        <v>5.3070370403969858E-3</v>
      </c>
      <c r="CL937" s="82" t="e">
        <f t="shared" si="1076"/>
        <v>#N/A</v>
      </c>
      <c r="CM937" s="82">
        <f t="shared" si="1077"/>
        <v>5.3070370403969858E-3</v>
      </c>
      <c r="CO937" s="149" t="str">
        <f>IF($I937&lt;&gt;"",IF(O937="User Specified",U937,INDEX('Refrigerant GWPs'!$G$2:$G$156,MATCH(O937,'Refrigerant GWPs'!$A$2:$A$156,0))),"")</f>
        <v/>
      </c>
      <c r="CP937" s="138" t="str">
        <f>IF($I937&lt;&gt;"",INDEX('Device Refrigerant Leakage'!$E$2:$E$42,MATCH($M937,'Device Refrigerant Leakage'!$B$2:$B$42,0)),"")</f>
        <v/>
      </c>
      <c r="CQ937" s="138" t="str">
        <f>IF($I937&lt;&gt;"",INDEX('Device Refrigerant Leakage'!$F$2:$F$42,MATCH($M937,'Device Refrigerant Leakage'!$B$2:$B$42,0)),"")</f>
        <v/>
      </c>
      <c r="CR937" s="145" t="str">
        <f>IF($I937&lt;&gt;"",INDEX('Device Refrigerant Leakage'!$G$2:$G$42,MATCH($M937,'Device Refrigerant Leakage'!$B$2:$B$42,0)),"")</f>
        <v/>
      </c>
      <c r="CS937" s="145" t="str">
        <f>IF($I937&lt;&gt;"",INDEX('Device Refrigerant Leakage'!$D$2:$D$42,MATCH($M937,'Device Refrigerant Leakage'!$B$2:$B$42,0))*CP937/2204.62*CO937,"")</f>
        <v/>
      </c>
      <c r="CT937" s="145" t="str">
        <f>IF($I937&lt;&gt;"",J937*(INDEX('Device Refrigerant Leakage'!$D$2:$D$42,MATCH($M937,'Device Refrigerant Leakage'!$B$2:$B$42,0))-(INDEX('Device Refrigerant Leakage'!$D$2:$D$42,MATCH($M937,'Device Refrigerant Leakage'!$B$2:$B$42,0)))*CR937*CP937)*CQ937/2204.62*CO937,"")</f>
        <v/>
      </c>
      <c r="CU937" s="135" t="str">
        <f>IF($I937&lt;&gt;"",J937*IF(W937&lt;&gt;"AR",(CS937*K937)+CT937,(CS937*AB937)+CT937*(AB937/INDEX('Device Refrigerant Leakage'!$C$2:$C$42,MATCH($M937,'Device Refrigerant Leakage'!$B$2:$B$42,0)))),"")</f>
        <v/>
      </c>
      <c r="CW937" s="135" t="str">
        <f>IF($I937&lt;&gt;"",IF(S937="User Specified",V937,INDEX('Refrigerant GWPs'!$G$2:$G$156,MATCH(S937,'Refrigerant GWPs'!$A$2:$A$157,0))),"")</f>
        <v/>
      </c>
      <c r="CX937" s="138" t="str">
        <f>IF($I937&lt;&gt;"",INDEX('Device Refrigerant Leakage'!$E$2:$E$42,MATCH($Q937,'Device Refrigerant Leakage'!$B$2:$B$42,0)),"")</f>
        <v/>
      </c>
      <c r="CY937" s="138" t="str">
        <f>IF($I937&lt;&gt;"",INDEX('Device Refrigerant Leakage'!$F$2:$F$42,MATCH($Q937,'Device Refrigerant Leakage'!$B$2:$B$42,0)),"")</f>
        <v/>
      </c>
      <c r="CZ937" s="145" t="str">
        <f>IF($I937&lt;&gt;"",INDEX('Device Refrigerant Leakage'!$G$2:$G$42,MATCH($Q937,'Device Refrigerant Leakage'!$B$2:$B$42,0)),"")</f>
        <v/>
      </c>
      <c r="DA937" s="145" t="str">
        <f>IF($I937&lt;&gt;"",J937*INDEX('Device Refrigerant Leakage'!$D$2:$D$42,MATCH($Q937,'Device Refrigerant Leakage'!$B$2:$B$42,0))*CX937/2204.62*CW937,"")</f>
        <v/>
      </c>
      <c r="DB937" s="145" t="str">
        <f>IF($I937&lt;&gt;"",J937*(INDEX('Device Refrigerant Leakage'!$D$2:$D$42,MATCH($Q937,'Device Refrigerant Leakage'!$B$2:$B$42,0))-(INDEX('Device Refrigerant Leakage'!$D$2:$D$42,MATCH($Q937,'Device Refrigerant Leakage'!$B$2:$B$42,0)))*CZ937*CX937)*CY937/2204.62*CW937,"")</f>
        <v/>
      </c>
      <c r="DC937" s="135" t="str">
        <f t="shared" si="1096"/>
        <v/>
      </c>
      <c r="DE937" s="146" t="str">
        <f>IF(W937&lt;&gt;"AR","",IF(Y937="User Specified", AA937, INDEX('Refrigerant GWPs'!$G$2:$G$154,MATCH(Y937,'Refrigerant GWPs'!$A$2:$A$154,0))))</f>
        <v/>
      </c>
      <c r="DF937" s="146" t="str">
        <f>IF(W937&lt;&gt;"AR","",INDEX('Device Refrigerant Leakage'!$E$2:$E$42,MATCH(X937,'Device Refrigerant Leakage'!$B$2:$B$42,0)))</f>
        <v/>
      </c>
      <c r="DG937" s="146" t="str">
        <f>IF(W937&lt;&gt;"AR","",INDEX('Device Refrigerant Leakage'!$F$2:$F$42,MATCH(X937,'Device Refrigerant Leakage'!$B$2:$B$42,0)))</f>
        <v/>
      </c>
      <c r="DH937" s="146" t="str">
        <f>IF(W937&lt;&gt;"AR","",INDEX('Device Refrigerant Leakage'!$G$2:$G$42,MATCH(X937,'Device Refrigerant Leakage'!$B$2:$B$42,0)))</f>
        <v/>
      </c>
      <c r="DI937" s="146" t="str">
        <f>IF(W937&lt;&gt;"AR","",J937*INDEX('Device Refrigerant Leakage'!$D$2:$D$42,MATCH(X937,'Device Refrigerant Leakage'!$B$2:$B$42,0))*DF937/2204.62*DE937)</f>
        <v/>
      </c>
      <c r="DJ937" s="146" t="str">
        <f>IF(W937&lt;&gt;"AR","",J937*(INDEX('Device Refrigerant Leakage'!$D$2:$D$42,MATCH(X937,'Device Refrigerant Leakage'!$B$2:$B$42,0))-(INDEX('Device Refrigerant Leakage'!$D$2:$D$42,MATCH(X937,'Device Refrigerant Leakage'!$B$2:$B$42,0)))*DH937*DF937)*DG937/2204.62*DE937)</f>
        <v/>
      </c>
      <c r="DK937" s="146" t="str">
        <f>IF(W937&lt;&gt;"AR","",DI937*(K937-AB937)+'Fuel Sub Calcs-Deemed'!DJ937*((K937-AB937)/INDEX('Device Refrigerant Leakage'!$C$2:$C$42,MATCH('Fuel Sub Calcs-Deemed'!X937,'Device Refrigerant Leakage'!$B$2:$B$42,0))))</f>
        <v/>
      </c>
      <c r="DM937" s="56">
        <v>923</v>
      </c>
      <c r="DN937" s="67" t="e">
        <f t="shared" si="1078"/>
        <v>#N/A</v>
      </c>
      <c r="DO937" s="45" t="e">
        <f t="shared" si="1079"/>
        <v>#N/A</v>
      </c>
      <c r="DP937" s="67" t="e">
        <f t="shared" si="1080"/>
        <v>#N/A</v>
      </c>
      <c r="DQ937" s="45" t="e">
        <f t="shared" si="1081"/>
        <v>#N/A</v>
      </c>
      <c r="DR937" s="69" t="e">
        <f t="shared" si="1082"/>
        <v>#N/A</v>
      </c>
      <c r="DS937" s="34"/>
      <c r="DT937" s="67" t="e">
        <f>((BX937*CJ937)+IF($W937=MAT_AR,(BZ937*CL937),0))*(1+Reference!$E$50+Reference!$E$51)</f>
        <v>#N/A</v>
      </c>
      <c r="DU937" s="67">
        <f>((BY937*CK937)+IF($W937=MAT_AR,(CA937*CM937),0))*(1+Reference!$G$50+Reference!$G$51)</f>
        <v>0</v>
      </c>
      <c r="DV937" s="67" t="e">
        <f t="shared" si="1083"/>
        <v>#VALUE!</v>
      </c>
      <c r="DX937" s="56">
        <v>923</v>
      </c>
      <c r="DY937" s="67">
        <f t="shared" si="1084"/>
        <v>0</v>
      </c>
      <c r="DZ937" s="45" t="e">
        <f>VLOOKUP($R937,Dropdown!$C$3:$D$4,2,FALSE)</f>
        <v>#N/A</v>
      </c>
      <c r="EA937" s="68">
        <f t="shared" si="1085"/>
        <v>0</v>
      </c>
      <c r="EB937" s="68" t="str">
        <f t="shared" si="1086"/>
        <v>N/A</v>
      </c>
      <c r="EC937" s="68">
        <f t="shared" si="1087"/>
        <v>0</v>
      </c>
      <c r="ED937" s="68" t="str">
        <f t="shared" si="1125"/>
        <v>N/A</v>
      </c>
      <c r="EF937" s="56">
        <v>923</v>
      </c>
      <c r="EG937" s="46">
        <f t="shared" si="1088"/>
        <v>0</v>
      </c>
      <c r="EH937" s="68" t="e">
        <f t="shared" si="1089"/>
        <v>#N/A</v>
      </c>
      <c r="EI937" s="68" t="e">
        <f t="shared" si="1090"/>
        <v>#N/A</v>
      </c>
      <c r="EJ937" s="68" t="e">
        <f t="shared" si="1091"/>
        <v>#N/A</v>
      </c>
      <c r="EK937" s="68" t="e">
        <f t="shared" si="1092"/>
        <v>#N/A</v>
      </c>
      <c r="EL937" s="46">
        <f t="shared" si="1093"/>
        <v>0</v>
      </c>
      <c r="EM937" s="46">
        <f t="shared" si="1094"/>
        <v>0</v>
      </c>
    </row>
    <row r="938" spans="1:143">
      <c r="A938" s="89"/>
      <c r="B938" s="89"/>
      <c r="C938" s="89"/>
      <c r="D938" s="89"/>
      <c r="E938" s="89"/>
      <c r="F938" s="89"/>
      <c r="G938" s="34"/>
      <c r="H938" s="56">
        <f t="shared" si="1095"/>
        <v>924</v>
      </c>
      <c r="I938" s="165"/>
      <c r="J938" s="163"/>
      <c r="K938" s="163"/>
      <c r="L938" s="164"/>
      <c r="M938" s="155"/>
      <c r="N938" s="155"/>
      <c r="O938" s="144"/>
      <c r="P938" s="159" t="str">
        <f>IFERROR(IF(O938&lt;&gt;"User Specified",IF(O938&lt;&gt;"", INDEX('Refrigerant GWPs'!$G$2:$G$154,MATCH(O938,'Refrigerant GWPs'!$A$2:$A$154,0)),""),U938),0)</f>
        <v/>
      </c>
      <c r="Q938" s="155"/>
      <c r="R938" s="155"/>
      <c r="S938" s="144"/>
      <c r="T938" s="159" t="str">
        <f>IF(S938&lt;&gt;"User Specified",IF(AND(S938&lt;&gt;"User Specified",S938&lt;&gt;""), INDEX('Refrigerant GWPs'!$G$2:$G$154,MATCH(S938,'Refrigerant GWPs'!$A$2:$A$154,0)),""),V938)</f>
        <v/>
      </c>
      <c r="U938" s="144"/>
      <c r="V938" s="144"/>
      <c r="W938" s="155"/>
      <c r="X938" s="155"/>
      <c r="Y938" s="144"/>
      <c r="Z938" s="159" t="str">
        <f>IF(AND(Y938&lt;&gt;"User Specified",Y938&lt;&gt;""), INDEX('Refrigerant GWPs'!$G$2:$G$154,MATCH(Y938,'Refrigerant GWPs'!$A$2:$A$154,0)),"")</f>
        <v/>
      </c>
      <c r="AA938" s="155"/>
      <c r="AB938" s="156"/>
      <c r="AC938" s="66"/>
      <c r="AD938" s="66"/>
      <c r="AE938" s="66"/>
      <c r="AF938" s="66"/>
      <c r="AG938" s="66"/>
      <c r="AH938" s="66"/>
      <c r="AI938" s="34"/>
      <c r="AJ938" s="88">
        <f t="shared" si="1058"/>
        <v>0</v>
      </c>
      <c r="AK938" s="88">
        <f t="shared" si="1059"/>
        <v>0</v>
      </c>
      <c r="AL938" s="88">
        <v>0</v>
      </c>
      <c r="AM938" s="88">
        <v>0</v>
      </c>
      <c r="AN938" s="81" t="str">
        <f t="shared" si="1097"/>
        <v/>
      </c>
      <c r="AO938" s="88">
        <f t="shared" si="1060"/>
        <v>0</v>
      </c>
      <c r="AP938" s="88">
        <f t="shared" si="1061"/>
        <v>0</v>
      </c>
      <c r="AQ938" s="81" t="str">
        <f t="shared" si="1062"/>
        <v/>
      </c>
      <c r="AS938" s="41" t="b">
        <f t="shared" si="1063"/>
        <v>1</v>
      </c>
      <c r="AT938" s="38">
        <f t="shared" si="1064"/>
        <v>0</v>
      </c>
      <c r="AU938" s="60">
        <f t="shared" si="1065"/>
        <v>0</v>
      </c>
      <c r="AV938" s="41">
        <f t="shared" si="1066"/>
        <v>0</v>
      </c>
      <c r="AW938" s="41" t="b">
        <f t="shared" si="1067"/>
        <v>0</v>
      </c>
      <c r="AX938" t="str">
        <f t="shared" si="1068"/>
        <v>+00</v>
      </c>
      <c r="AY938" t="str">
        <f t="shared" si="1069"/>
        <v>+00</v>
      </c>
      <c r="BA938" s="47" t="b">
        <f t="shared" si="1098"/>
        <v>1</v>
      </c>
      <c r="BB938" s="42" t="b">
        <f t="shared" si="1099"/>
        <v>1</v>
      </c>
      <c r="BC938" s="42" t="b">
        <f t="shared" si="1100"/>
        <v>0</v>
      </c>
      <c r="BD938" s="42" t="b">
        <f t="shared" si="1101"/>
        <v>0</v>
      </c>
      <c r="BE938" s="70">
        <f t="shared" si="1102"/>
        <v>0</v>
      </c>
      <c r="BF938" s="70">
        <f t="shared" si="1103"/>
        <v>0</v>
      </c>
      <c r="BG938" s="34"/>
      <c r="BI938" s="47" t="b">
        <f t="shared" si="1104"/>
        <v>1</v>
      </c>
      <c r="BJ938" s="47" t="b">
        <f t="shared" si="1105"/>
        <v>1</v>
      </c>
      <c r="BK938" s="42" t="b">
        <f t="shared" si="1106"/>
        <v>0</v>
      </c>
      <c r="BL938" s="42" t="b">
        <f t="shared" si="1107"/>
        <v>0</v>
      </c>
      <c r="BM938" s="42">
        <f t="shared" si="1108"/>
        <v>0</v>
      </c>
      <c r="BN938" s="42">
        <f t="shared" si="1109"/>
        <v>0</v>
      </c>
      <c r="BP938" t="e">
        <f t="shared" si="1110"/>
        <v>#N/A</v>
      </c>
      <c r="BQ938" t="e">
        <f t="shared" si="1111"/>
        <v>#N/A</v>
      </c>
      <c r="BR938" t="e">
        <f t="shared" si="1112"/>
        <v>#N/A</v>
      </c>
      <c r="BT938" s="60">
        <f t="shared" si="1113"/>
        <v>0</v>
      </c>
      <c r="BU938" s="60">
        <f t="shared" si="1114"/>
        <v>0</v>
      </c>
      <c r="BV938" s="60">
        <f t="shared" si="1115"/>
        <v>0</v>
      </c>
      <c r="BW938" s="60">
        <f t="shared" si="1116"/>
        <v>0</v>
      </c>
      <c r="BX938" s="60">
        <f t="shared" si="1117"/>
        <v>0</v>
      </c>
      <c r="BY938" s="60">
        <f t="shared" si="1118"/>
        <v>0</v>
      </c>
      <c r="BZ938" s="60">
        <f t="shared" si="1119"/>
        <v>0</v>
      </c>
      <c r="CA938" s="60">
        <f t="shared" si="1120"/>
        <v>0</v>
      </c>
      <c r="CB938" s="60" t="e">
        <f t="shared" si="1070"/>
        <v>#N/A</v>
      </c>
      <c r="CC938" s="60">
        <f t="shared" si="1071"/>
        <v>100000</v>
      </c>
      <c r="CD938" s="60" t="e">
        <f t="shared" si="1072"/>
        <v>#N/A</v>
      </c>
      <c r="CE938" s="60">
        <f t="shared" si="1073"/>
        <v>100000</v>
      </c>
      <c r="CF938" s="83" t="e">
        <f t="shared" si="1121"/>
        <v>#N/A</v>
      </c>
      <c r="CG938" s="83">
        <f t="shared" si="1122"/>
        <v>0</v>
      </c>
      <c r="CH938" s="83" t="e">
        <f t="shared" si="1123"/>
        <v>#N/A</v>
      </c>
      <c r="CI938" s="83">
        <f t="shared" si="1124"/>
        <v>0</v>
      </c>
      <c r="CJ938" s="86" t="e">
        <f t="shared" si="1074"/>
        <v>#N/A</v>
      </c>
      <c r="CK938" s="82">
        <f t="shared" si="1075"/>
        <v>5.3070370403969858E-3</v>
      </c>
      <c r="CL938" s="82" t="e">
        <f t="shared" si="1076"/>
        <v>#N/A</v>
      </c>
      <c r="CM938" s="82">
        <f t="shared" si="1077"/>
        <v>5.3070370403969858E-3</v>
      </c>
      <c r="CO938" s="149" t="str">
        <f>IF($I938&lt;&gt;"",IF(O938="User Specified",U938,INDEX('Refrigerant GWPs'!$G$2:$G$156,MATCH(O938,'Refrigerant GWPs'!$A$2:$A$156,0))),"")</f>
        <v/>
      </c>
      <c r="CP938" s="138" t="str">
        <f>IF($I938&lt;&gt;"",INDEX('Device Refrigerant Leakage'!$E$2:$E$42,MATCH($M938,'Device Refrigerant Leakage'!$B$2:$B$42,0)),"")</f>
        <v/>
      </c>
      <c r="CQ938" s="138" t="str">
        <f>IF($I938&lt;&gt;"",INDEX('Device Refrigerant Leakage'!$F$2:$F$42,MATCH($M938,'Device Refrigerant Leakage'!$B$2:$B$42,0)),"")</f>
        <v/>
      </c>
      <c r="CR938" s="145" t="str">
        <f>IF($I938&lt;&gt;"",INDEX('Device Refrigerant Leakage'!$G$2:$G$42,MATCH($M938,'Device Refrigerant Leakage'!$B$2:$B$42,0)),"")</f>
        <v/>
      </c>
      <c r="CS938" s="145" t="str">
        <f>IF($I938&lt;&gt;"",INDEX('Device Refrigerant Leakage'!$D$2:$D$42,MATCH($M938,'Device Refrigerant Leakage'!$B$2:$B$42,0))*CP938/2204.62*CO938,"")</f>
        <v/>
      </c>
      <c r="CT938" s="145" t="str">
        <f>IF($I938&lt;&gt;"",J938*(INDEX('Device Refrigerant Leakage'!$D$2:$D$42,MATCH($M938,'Device Refrigerant Leakage'!$B$2:$B$42,0))-(INDEX('Device Refrigerant Leakage'!$D$2:$D$42,MATCH($M938,'Device Refrigerant Leakage'!$B$2:$B$42,0)))*CR938*CP938)*CQ938/2204.62*CO938,"")</f>
        <v/>
      </c>
      <c r="CU938" s="135" t="str">
        <f>IF($I938&lt;&gt;"",J938*IF(W938&lt;&gt;"AR",(CS938*K938)+CT938,(CS938*AB938)+CT938*(AB938/INDEX('Device Refrigerant Leakage'!$C$2:$C$42,MATCH($M938,'Device Refrigerant Leakage'!$B$2:$B$42,0)))),"")</f>
        <v/>
      </c>
      <c r="CW938" s="135" t="str">
        <f>IF($I938&lt;&gt;"",IF(S938="User Specified",V938,INDEX('Refrigerant GWPs'!$G$2:$G$156,MATCH(S938,'Refrigerant GWPs'!$A$2:$A$157,0))),"")</f>
        <v/>
      </c>
      <c r="CX938" s="138" t="str">
        <f>IF($I938&lt;&gt;"",INDEX('Device Refrigerant Leakage'!$E$2:$E$42,MATCH($Q938,'Device Refrigerant Leakage'!$B$2:$B$42,0)),"")</f>
        <v/>
      </c>
      <c r="CY938" s="138" t="str">
        <f>IF($I938&lt;&gt;"",INDEX('Device Refrigerant Leakage'!$F$2:$F$42,MATCH($Q938,'Device Refrigerant Leakage'!$B$2:$B$42,0)),"")</f>
        <v/>
      </c>
      <c r="CZ938" s="145" t="str">
        <f>IF($I938&lt;&gt;"",INDEX('Device Refrigerant Leakage'!$G$2:$G$42,MATCH($Q938,'Device Refrigerant Leakage'!$B$2:$B$42,0)),"")</f>
        <v/>
      </c>
      <c r="DA938" s="145" t="str">
        <f>IF($I938&lt;&gt;"",J938*INDEX('Device Refrigerant Leakage'!$D$2:$D$42,MATCH($Q938,'Device Refrigerant Leakage'!$B$2:$B$42,0))*CX938/2204.62*CW938,"")</f>
        <v/>
      </c>
      <c r="DB938" s="145" t="str">
        <f>IF($I938&lt;&gt;"",J938*(INDEX('Device Refrigerant Leakage'!$D$2:$D$42,MATCH($Q938,'Device Refrigerant Leakage'!$B$2:$B$42,0))-(INDEX('Device Refrigerant Leakage'!$D$2:$D$42,MATCH($Q938,'Device Refrigerant Leakage'!$B$2:$B$42,0)))*CZ938*CX938)*CY938/2204.62*CW938,"")</f>
        <v/>
      </c>
      <c r="DC938" s="135" t="str">
        <f t="shared" si="1096"/>
        <v/>
      </c>
      <c r="DE938" s="146" t="str">
        <f>IF(W938&lt;&gt;"AR","",IF(Y938="User Specified", AA938, INDEX('Refrigerant GWPs'!$G$2:$G$154,MATCH(Y938,'Refrigerant GWPs'!$A$2:$A$154,0))))</f>
        <v/>
      </c>
      <c r="DF938" s="146" t="str">
        <f>IF(W938&lt;&gt;"AR","",INDEX('Device Refrigerant Leakage'!$E$2:$E$42,MATCH(X938,'Device Refrigerant Leakage'!$B$2:$B$42,0)))</f>
        <v/>
      </c>
      <c r="DG938" s="146" t="str">
        <f>IF(W938&lt;&gt;"AR","",INDEX('Device Refrigerant Leakage'!$F$2:$F$42,MATCH(X938,'Device Refrigerant Leakage'!$B$2:$B$42,0)))</f>
        <v/>
      </c>
      <c r="DH938" s="146" t="str">
        <f>IF(W938&lt;&gt;"AR","",INDEX('Device Refrigerant Leakage'!$G$2:$G$42,MATCH(X938,'Device Refrigerant Leakage'!$B$2:$B$42,0)))</f>
        <v/>
      </c>
      <c r="DI938" s="146" t="str">
        <f>IF(W938&lt;&gt;"AR","",J938*INDEX('Device Refrigerant Leakage'!$D$2:$D$42,MATCH(X938,'Device Refrigerant Leakage'!$B$2:$B$42,0))*DF938/2204.62*DE938)</f>
        <v/>
      </c>
      <c r="DJ938" s="146" t="str">
        <f>IF(W938&lt;&gt;"AR","",J938*(INDEX('Device Refrigerant Leakage'!$D$2:$D$42,MATCH(X938,'Device Refrigerant Leakage'!$B$2:$B$42,0))-(INDEX('Device Refrigerant Leakage'!$D$2:$D$42,MATCH(X938,'Device Refrigerant Leakage'!$B$2:$B$42,0)))*DH938*DF938)*DG938/2204.62*DE938)</f>
        <v/>
      </c>
      <c r="DK938" s="146" t="str">
        <f>IF(W938&lt;&gt;"AR","",DI938*(K938-AB938)+'Fuel Sub Calcs-Deemed'!DJ938*((K938-AB938)/INDEX('Device Refrigerant Leakage'!$C$2:$C$42,MATCH('Fuel Sub Calcs-Deemed'!X938,'Device Refrigerant Leakage'!$B$2:$B$42,0))))</f>
        <v/>
      </c>
      <c r="DM938" s="56">
        <v>924</v>
      </c>
      <c r="DN938" s="67" t="e">
        <f t="shared" si="1078"/>
        <v>#N/A</v>
      </c>
      <c r="DO938" s="45" t="e">
        <f t="shared" si="1079"/>
        <v>#N/A</v>
      </c>
      <c r="DP938" s="67" t="e">
        <f t="shared" si="1080"/>
        <v>#N/A</v>
      </c>
      <c r="DQ938" s="45" t="e">
        <f t="shared" si="1081"/>
        <v>#N/A</v>
      </c>
      <c r="DR938" s="69" t="e">
        <f t="shared" si="1082"/>
        <v>#N/A</v>
      </c>
      <c r="DS938" s="34"/>
      <c r="DT938" s="67" t="e">
        <f>((BX938*CJ938)+IF($W938=MAT_AR,(BZ938*CL938),0))*(1+Reference!$E$50+Reference!$E$51)</f>
        <v>#N/A</v>
      </c>
      <c r="DU938" s="67">
        <f>((BY938*CK938)+IF($W938=MAT_AR,(CA938*CM938),0))*(1+Reference!$G$50+Reference!$G$51)</f>
        <v>0</v>
      </c>
      <c r="DV938" s="67" t="e">
        <f t="shared" si="1083"/>
        <v>#VALUE!</v>
      </c>
      <c r="DX938" s="56">
        <v>924</v>
      </c>
      <c r="DY938" s="67">
        <f t="shared" si="1084"/>
        <v>0</v>
      </c>
      <c r="DZ938" s="45" t="e">
        <f>VLOOKUP($R938,Dropdown!$C$3:$D$4,2,FALSE)</f>
        <v>#N/A</v>
      </c>
      <c r="EA938" s="68">
        <f t="shared" si="1085"/>
        <v>0</v>
      </c>
      <c r="EB938" s="68" t="str">
        <f t="shared" si="1086"/>
        <v>N/A</v>
      </c>
      <c r="EC938" s="68">
        <f t="shared" si="1087"/>
        <v>0</v>
      </c>
      <c r="ED938" s="68" t="str">
        <f t="shared" si="1125"/>
        <v>N/A</v>
      </c>
      <c r="EF938" s="56">
        <v>924</v>
      </c>
      <c r="EG938" s="46">
        <f t="shared" si="1088"/>
        <v>0</v>
      </c>
      <c r="EH938" s="68" t="e">
        <f t="shared" si="1089"/>
        <v>#N/A</v>
      </c>
      <c r="EI938" s="68" t="e">
        <f t="shared" si="1090"/>
        <v>#N/A</v>
      </c>
      <c r="EJ938" s="68" t="e">
        <f t="shared" si="1091"/>
        <v>#N/A</v>
      </c>
      <c r="EK938" s="68" t="e">
        <f t="shared" si="1092"/>
        <v>#N/A</v>
      </c>
      <c r="EL938" s="46">
        <f t="shared" si="1093"/>
        <v>0</v>
      </c>
      <c r="EM938" s="46">
        <f t="shared" si="1094"/>
        <v>0</v>
      </c>
    </row>
    <row r="939" spans="1:143">
      <c r="A939" s="89"/>
      <c r="B939" s="89"/>
      <c r="C939" s="89"/>
      <c r="D939" s="89"/>
      <c r="E939" s="89"/>
      <c r="F939" s="89"/>
      <c r="G939" s="34"/>
      <c r="H939" s="56">
        <f t="shared" si="1095"/>
        <v>925</v>
      </c>
      <c r="I939" s="165"/>
      <c r="J939" s="163"/>
      <c r="K939" s="163"/>
      <c r="L939" s="164"/>
      <c r="M939" s="155"/>
      <c r="N939" s="155"/>
      <c r="O939" s="144"/>
      <c r="P939" s="159" t="str">
        <f>IFERROR(IF(O939&lt;&gt;"User Specified",IF(O939&lt;&gt;"", INDEX('Refrigerant GWPs'!$G$2:$G$154,MATCH(O939,'Refrigerant GWPs'!$A$2:$A$154,0)),""),U939),0)</f>
        <v/>
      </c>
      <c r="Q939" s="155"/>
      <c r="R939" s="155"/>
      <c r="S939" s="144"/>
      <c r="T939" s="159" t="str">
        <f>IF(S939&lt;&gt;"User Specified",IF(AND(S939&lt;&gt;"User Specified",S939&lt;&gt;""), INDEX('Refrigerant GWPs'!$G$2:$G$154,MATCH(S939,'Refrigerant GWPs'!$A$2:$A$154,0)),""),V939)</f>
        <v/>
      </c>
      <c r="U939" s="144"/>
      <c r="V939" s="144"/>
      <c r="W939" s="155"/>
      <c r="X939" s="155"/>
      <c r="Y939" s="144"/>
      <c r="Z939" s="159" t="str">
        <f>IF(AND(Y939&lt;&gt;"User Specified",Y939&lt;&gt;""), INDEX('Refrigerant GWPs'!$G$2:$G$154,MATCH(Y939,'Refrigerant GWPs'!$A$2:$A$154,0)),"")</f>
        <v/>
      </c>
      <c r="AA939" s="155"/>
      <c r="AB939" s="156"/>
      <c r="AC939" s="66"/>
      <c r="AD939" s="66"/>
      <c r="AE939" s="66"/>
      <c r="AF939" s="66"/>
      <c r="AG939" s="66"/>
      <c r="AH939" s="66"/>
      <c r="AI939" s="34"/>
      <c r="AJ939" s="88">
        <f t="shared" si="1058"/>
        <v>0</v>
      </c>
      <c r="AK939" s="88">
        <f t="shared" si="1059"/>
        <v>0</v>
      </c>
      <c r="AL939" s="88">
        <v>0</v>
      </c>
      <c r="AM939" s="88">
        <v>0</v>
      </c>
      <c r="AN939" s="81" t="str">
        <f t="shared" si="1097"/>
        <v/>
      </c>
      <c r="AO939" s="88">
        <f t="shared" si="1060"/>
        <v>0</v>
      </c>
      <c r="AP939" s="88">
        <f t="shared" si="1061"/>
        <v>0</v>
      </c>
      <c r="AQ939" s="81" t="str">
        <f t="shared" si="1062"/>
        <v/>
      </c>
      <c r="AS939" s="41" t="b">
        <f t="shared" si="1063"/>
        <v>1</v>
      </c>
      <c r="AT939" s="38">
        <f t="shared" si="1064"/>
        <v>0</v>
      </c>
      <c r="AU939" s="60">
        <f t="shared" si="1065"/>
        <v>0</v>
      </c>
      <c r="AV939" s="41">
        <f t="shared" si="1066"/>
        <v>0</v>
      </c>
      <c r="AW939" s="41" t="b">
        <f t="shared" si="1067"/>
        <v>0</v>
      </c>
      <c r="AX939" t="str">
        <f t="shared" si="1068"/>
        <v>+00</v>
      </c>
      <c r="AY939" t="str">
        <f t="shared" si="1069"/>
        <v>+00</v>
      </c>
      <c r="BA939" s="47" t="b">
        <f t="shared" si="1098"/>
        <v>1</v>
      </c>
      <c r="BB939" s="42" t="b">
        <f t="shared" si="1099"/>
        <v>1</v>
      </c>
      <c r="BC939" s="42" t="b">
        <f t="shared" si="1100"/>
        <v>0</v>
      </c>
      <c r="BD939" s="42" t="b">
        <f t="shared" si="1101"/>
        <v>0</v>
      </c>
      <c r="BE939" s="70">
        <f t="shared" si="1102"/>
        <v>0</v>
      </c>
      <c r="BF939" s="70">
        <f t="shared" si="1103"/>
        <v>0</v>
      </c>
      <c r="BG939" s="34"/>
      <c r="BI939" s="47" t="b">
        <f t="shared" si="1104"/>
        <v>1</v>
      </c>
      <c r="BJ939" s="47" t="b">
        <f t="shared" si="1105"/>
        <v>1</v>
      </c>
      <c r="BK939" s="42" t="b">
        <f t="shared" si="1106"/>
        <v>0</v>
      </c>
      <c r="BL939" s="42" t="b">
        <f t="shared" si="1107"/>
        <v>0</v>
      </c>
      <c r="BM939" s="42">
        <f t="shared" si="1108"/>
        <v>0</v>
      </c>
      <c r="BN939" s="42">
        <f t="shared" si="1109"/>
        <v>0</v>
      </c>
      <c r="BP939" t="e">
        <f t="shared" si="1110"/>
        <v>#N/A</v>
      </c>
      <c r="BQ939" t="e">
        <f t="shared" si="1111"/>
        <v>#N/A</v>
      </c>
      <c r="BR939" t="e">
        <f t="shared" si="1112"/>
        <v>#N/A</v>
      </c>
      <c r="BT939" s="60">
        <f t="shared" si="1113"/>
        <v>0</v>
      </c>
      <c r="BU939" s="60">
        <f t="shared" si="1114"/>
        <v>0</v>
      </c>
      <c r="BV939" s="60">
        <f t="shared" si="1115"/>
        <v>0</v>
      </c>
      <c r="BW939" s="60">
        <f t="shared" si="1116"/>
        <v>0</v>
      </c>
      <c r="BX939" s="60">
        <f t="shared" si="1117"/>
        <v>0</v>
      </c>
      <c r="BY939" s="60">
        <f t="shared" si="1118"/>
        <v>0</v>
      </c>
      <c r="BZ939" s="60">
        <f t="shared" si="1119"/>
        <v>0</v>
      </c>
      <c r="CA939" s="60">
        <f t="shared" si="1120"/>
        <v>0</v>
      </c>
      <c r="CB939" s="60" t="e">
        <f t="shared" si="1070"/>
        <v>#N/A</v>
      </c>
      <c r="CC939" s="60">
        <f t="shared" si="1071"/>
        <v>100000</v>
      </c>
      <c r="CD939" s="60" t="e">
        <f t="shared" si="1072"/>
        <v>#N/A</v>
      </c>
      <c r="CE939" s="60">
        <f t="shared" si="1073"/>
        <v>100000</v>
      </c>
      <c r="CF939" s="83" t="e">
        <f t="shared" si="1121"/>
        <v>#N/A</v>
      </c>
      <c r="CG939" s="83">
        <f t="shared" si="1122"/>
        <v>0</v>
      </c>
      <c r="CH939" s="83" t="e">
        <f t="shared" si="1123"/>
        <v>#N/A</v>
      </c>
      <c r="CI939" s="83">
        <f t="shared" si="1124"/>
        <v>0</v>
      </c>
      <c r="CJ939" s="86" t="e">
        <f t="shared" si="1074"/>
        <v>#N/A</v>
      </c>
      <c r="CK939" s="82">
        <f t="shared" si="1075"/>
        <v>5.3070370403969858E-3</v>
      </c>
      <c r="CL939" s="82" t="e">
        <f t="shared" si="1076"/>
        <v>#N/A</v>
      </c>
      <c r="CM939" s="82">
        <f t="shared" si="1077"/>
        <v>5.3070370403969858E-3</v>
      </c>
      <c r="CO939" s="149" t="str">
        <f>IF($I939&lt;&gt;"",IF(O939="User Specified",U939,INDEX('Refrigerant GWPs'!$G$2:$G$156,MATCH(O939,'Refrigerant GWPs'!$A$2:$A$156,0))),"")</f>
        <v/>
      </c>
      <c r="CP939" s="138" t="str">
        <f>IF($I939&lt;&gt;"",INDEX('Device Refrigerant Leakage'!$E$2:$E$42,MATCH($M939,'Device Refrigerant Leakage'!$B$2:$B$42,0)),"")</f>
        <v/>
      </c>
      <c r="CQ939" s="138" t="str">
        <f>IF($I939&lt;&gt;"",INDEX('Device Refrigerant Leakage'!$F$2:$F$42,MATCH($M939,'Device Refrigerant Leakage'!$B$2:$B$42,0)),"")</f>
        <v/>
      </c>
      <c r="CR939" s="145" t="str">
        <f>IF($I939&lt;&gt;"",INDEX('Device Refrigerant Leakage'!$G$2:$G$42,MATCH($M939,'Device Refrigerant Leakage'!$B$2:$B$42,0)),"")</f>
        <v/>
      </c>
      <c r="CS939" s="145" t="str">
        <f>IF($I939&lt;&gt;"",INDEX('Device Refrigerant Leakage'!$D$2:$D$42,MATCH($M939,'Device Refrigerant Leakage'!$B$2:$B$42,0))*CP939/2204.62*CO939,"")</f>
        <v/>
      </c>
      <c r="CT939" s="145" t="str">
        <f>IF($I939&lt;&gt;"",J939*(INDEX('Device Refrigerant Leakage'!$D$2:$D$42,MATCH($M939,'Device Refrigerant Leakage'!$B$2:$B$42,0))-(INDEX('Device Refrigerant Leakage'!$D$2:$D$42,MATCH($M939,'Device Refrigerant Leakage'!$B$2:$B$42,0)))*CR939*CP939)*CQ939/2204.62*CO939,"")</f>
        <v/>
      </c>
      <c r="CU939" s="135" t="str">
        <f>IF($I939&lt;&gt;"",J939*IF(W939&lt;&gt;"AR",(CS939*K939)+CT939,(CS939*AB939)+CT939*(AB939/INDEX('Device Refrigerant Leakage'!$C$2:$C$42,MATCH($M939,'Device Refrigerant Leakage'!$B$2:$B$42,0)))),"")</f>
        <v/>
      </c>
      <c r="CW939" s="135" t="str">
        <f>IF($I939&lt;&gt;"",IF(S939="User Specified",V939,INDEX('Refrigerant GWPs'!$G$2:$G$156,MATCH(S939,'Refrigerant GWPs'!$A$2:$A$157,0))),"")</f>
        <v/>
      </c>
      <c r="CX939" s="138" t="str">
        <f>IF($I939&lt;&gt;"",INDEX('Device Refrigerant Leakage'!$E$2:$E$42,MATCH($Q939,'Device Refrigerant Leakage'!$B$2:$B$42,0)),"")</f>
        <v/>
      </c>
      <c r="CY939" s="138" t="str">
        <f>IF($I939&lt;&gt;"",INDEX('Device Refrigerant Leakage'!$F$2:$F$42,MATCH($Q939,'Device Refrigerant Leakage'!$B$2:$B$42,0)),"")</f>
        <v/>
      </c>
      <c r="CZ939" s="145" t="str">
        <f>IF($I939&lt;&gt;"",INDEX('Device Refrigerant Leakage'!$G$2:$G$42,MATCH($Q939,'Device Refrigerant Leakage'!$B$2:$B$42,0)),"")</f>
        <v/>
      </c>
      <c r="DA939" s="145" t="str">
        <f>IF($I939&lt;&gt;"",J939*INDEX('Device Refrigerant Leakage'!$D$2:$D$42,MATCH($Q939,'Device Refrigerant Leakage'!$B$2:$B$42,0))*CX939/2204.62*CW939,"")</f>
        <v/>
      </c>
      <c r="DB939" s="145" t="str">
        <f>IF($I939&lt;&gt;"",J939*(INDEX('Device Refrigerant Leakage'!$D$2:$D$42,MATCH($Q939,'Device Refrigerant Leakage'!$B$2:$B$42,0))-(INDEX('Device Refrigerant Leakage'!$D$2:$D$42,MATCH($Q939,'Device Refrigerant Leakage'!$B$2:$B$42,0)))*CZ939*CX939)*CY939/2204.62*CW939,"")</f>
        <v/>
      </c>
      <c r="DC939" s="135" t="str">
        <f t="shared" si="1096"/>
        <v/>
      </c>
      <c r="DE939" s="146" t="str">
        <f>IF(W939&lt;&gt;"AR","",IF(Y939="User Specified", AA939, INDEX('Refrigerant GWPs'!$G$2:$G$154,MATCH(Y939,'Refrigerant GWPs'!$A$2:$A$154,0))))</f>
        <v/>
      </c>
      <c r="DF939" s="146" t="str">
        <f>IF(W939&lt;&gt;"AR","",INDEX('Device Refrigerant Leakage'!$E$2:$E$42,MATCH(X939,'Device Refrigerant Leakage'!$B$2:$B$42,0)))</f>
        <v/>
      </c>
      <c r="DG939" s="146" t="str">
        <f>IF(W939&lt;&gt;"AR","",INDEX('Device Refrigerant Leakage'!$F$2:$F$42,MATCH(X939,'Device Refrigerant Leakage'!$B$2:$B$42,0)))</f>
        <v/>
      </c>
      <c r="DH939" s="146" t="str">
        <f>IF(W939&lt;&gt;"AR","",INDEX('Device Refrigerant Leakage'!$G$2:$G$42,MATCH(X939,'Device Refrigerant Leakage'!$B$2:$B$42,0)))</f>
        <v/>
      </c>
      <c r="DI939" s="146" t="str">
        <f>IF(W939&lt;&gt;"AR","",J939*INDEX('Device Refrigerant Leakage'!$D$2:$D$42,MATCH(X939,'Device Refrigerant Leakage'!$B$2:$B$42,0))*DF939/2204.62*DE939)</f>
        <v/>
      </c>
      <c r="DJ939" s="146" t="str">
        <f>IF(W939&lt;&gt;"AR","",J939*(INDEX('Device Refrigerant Leakage'!$D$2:$D$42,MATCH(X939,'Device Refrigerant Leakage'!$B$2:$B$42,0))-(INDEX('Device Refrigerant Leakage'!$D$2:$D$42,MATCH(X939,'Device Refrigerant Leakage'!$B$2:$B$42,0)))*DH939*DF939)*DG939/2204.62*DE939)</f>
        <v/>
      </c>
      <c r="DK939" s="146" t="str">
        <f>IF(W939&lt;&gt;"AR","",DI939*(K939-AB939)+'Fuel Sub Calcs-Deemed'!DJ939*((K939-AB939)/INDEX('Device Refrigerant Leakage'!$C$2:$C$42,MATCH('Fuel Sub Calcs-Deemed'!X939,'Device Refrigerant Leakage'!$B$2:$B$42,0))))</f>
        <v/>
      </c>
      <c r="DM939" s="56">
        <v>925</v>
      </c>
      <c r="DN939" s="67" t="e">
        <f t="shared" si="1078"/>
        <v>#N/A</v>
      </c>
      <c r="DO939" s="45" t="e">
        <f t="shared" si="1079"/>
        <v>#N/A</v>
      </c>
      <c r="DP939" s="67" t="e">
        <f t="shared" si="1080"/>
        <v>#N/A</v>
      </c>
      <c r="DQ939" s="45" t="e">
        <f t="shared" si="1081"/>
        <v>#N/A</v>
      </c>
      <c r="DR939" s="69" t="e">
        <f t="shared" si="1082"/>
        <v>#N/A</v>
      </c>
      <c r="DS939" s="34"/>
      <c r="DT939" s="67" t="e">
        <f>((BX939*CJ939)+IF($W939=MAT_AR,(BZ939*CL939),0))*(1+Reference!$E$50+Reference!$E$51)</f>
        <v>#N/A</v>
      </c>
      <c r="DU939" s="67">
        <f>((BY939*CK939)+IF($W939=MAT_AR,(CA939*CM939),0))*(1+Reference!$G$50+Reference!$G$51)</f>
        <v>0</v>
      </c>
      <c r="DV939" s="67" t="e">
        <f t="shared" si="1083"/>
        <v>#VALUE!</v>
      </c>
      <c r="DX939" s="56">
        <v>925</v>
      </c>
      <c r="DY939" s="67">
        <f t="shared" si="1084"/>
        <v>0</v>
      </c>
      <c r="DZ939" s="45" t="e">
        <f>VLOOKUP($R939,Dropdown!$C$3:$D$4,2,FALSE)</f>
        <v>#N/A</v>
      </c>
      <c r="EA939" s="68">
        <f t="shared" si="1085"/>
        <v>0</v>
      </c>
      <c r="EB939" s="68" t="str">
        <f t="shared" si="1086"/>
        <v>N/A</v>
      </c>
      <c r="EC939" s="68">
        <f t="shared" si="1087"/>
        <v>0</v>
      </c>
      <c r="ED939" s="68" t="str">
        <f t="shared" si="1125"/>
        <v>N/A</v>
      </c>
      <c r="EF939" s="56">
        <v>925</v>
      </c>
      <c r="EG939" s="46">
        <f t="shared" si="1088"/>
        <v>0</v>
      </c>
      <c r="EH939" s="68" t="e">
        <f t="shared" si="1089"/>
        <v>#N/A</v>
      </c>
      <c r="EI939" s="68" t="e">
        <f t="shared" si="1090"/>
        <v>#N/A</v>
      </c>
      <c r="EJ939" s="68" t="e">
        <f t="shared" si="1091"/>
        <v>#N/A</v>
      </c>
      <c r="EK939" s="68" t="e">
        <f t="shared" si="1092"/>
        <v>#N/A</v>
      </c>
      <c r="EL939" s="46">
        <f t="shared" si="1093"/>
        <v>0</v>
      </c>
      <c r="EM939" s="46">
        <f t="shared" si="1094"/>
        <v>0</v>
      </c>
    </row>
    <row r="940" spans="1:143">
      <c r="A940" s="89"/>
      <c r="B940" s="89"/>
      <c r="C940" s="89"/>
      <c r="D940" s="89"/>
      <c r="E940" s="89"/>
      <c r="F940" s="89"/>
      <c r="G940" s="34"/>
      <c r="H940" s="56">
        <f t="shared" si="1095"/>
        <v>926</v>
      </c>
      <c r="I940" s="165"/>
      <c r="J940" s="163"/>
      <c r="K940" s="163"/>
      <c r="L940" s="164"/>
      <c r="M940" s="155"/>
      <c r="N940" s="155"/>
      <c r="O940" s="144"/>
      <c r="P940" s="159" t="str">
        <f>IFERROR(IF(O940&lt;&gt;"User Specified",IF(O940&lt;&gt;"", INDEX('Refrigerant GWPs'!$G$2:$G$154,MATCH(O940,'Refrigerant GWPs'!$A$2:$A$154,0)),""),U940),0)</f>
        <v/>
      </c>
      <c r="Q940" s="155"/>
      <c r="R940" s="155"/>
      <c r="S940" s="144"/>
      <c r="T940" s="159" t="str">
        <f>IF(S940&lt;&gt;"User Specified",IF(AND(S940&lt;&gt;"User Specified",S940&lt;&gt;""), INDEX('Refrigerant GWPs'!$G$2:$G$154,MATCH(S940,'Refrigerant GWPs'!$A$2:$A$154,0)),""),V940)</f>
        <v/>
      </c>
      <c r="U940" s="144"/>
      <c r="V940" s="144"/>
      <c r="W940" s="155"/>
      <c r="X940" s="155"/>
      <c r="Y940" s="144"/>
      <c r="Z940" s="159" t="str">
        <f>IF(AND(Y940&lt;&gt;"User Specified",Y940&lt;&gt;""), INDEX('Refrigerant GWPs'!$G$2:$G$154,MATCH(Y940,'Refrigerant GWPs'!$A$2:$A$154,0)),"")</f>
        <v/>
      </c>
      <c r="AA940" s="155"/>
      <c r="AB940" s="156"/>
      <c r="AC940" s="66"/>
      <c r="AD940" s="66"/>
      <c r="AE940" s="66"/>
      <c r="AF940" s="66"/>
      <c r="AG940" s="66"/>
      <c r="AH940" s="66"/>
      <c r="AI940" s="34"/>
      <c r="AJ940" s="88">
        <f t="shared" si="1058"/>
        <v>0</v>
      </c>
      <c r="AK940" s="88">
        <f t="shared" si="1059"/>
        <v>0</v>
      </c>
      <c r="AL940" s="88">
        <v>0</v>
      </c>
      <c r="AM940" s="88">
        <v>0</v>
      </c>
      <c r="AN940" s="81" t="str">
        <f t="shared" si="1097"/>
        <v/>
      </c>
      <c r="AO940" s="88">
        <f t="shared" si="1060"/>
        <v>0</v>
      </c>
      <c r="AP940" s="88">
        <f t="shared" si="1061"/>
        <v>0</v>
      </c>
      <c r="AQ940" s="81" t="str">
        <f t="shared" si="1062"/>
        <v/>
      </c>
      <c r="AS940" s="41" t="b">
        <f t="shared" si="1063"/>
        <v>1</v>
      </c>
      <c r="AT940" s="38">
        <f t="shared" si="1064"/>
        <v>0</v>
      </c>
      <c r="AU940" s="60">
        <f t="shared" si="1065"/>
        <v>0</v>
      </c>
      <c r="AV940" s="41">
        <f t="shared" si="1066"/>
        <v>0</v>
      </c>
      <c r="AW940" s="41" t="b">
        <f t="shared" si="1067"/>
        <v>0</v>
      </c>
      <c r="AX940" t="str">
        <f t="shared" si="1068"/>
        <v>+00</v>
      </c>
      <c r="AY940" t="str">
        <f t="shared" si="1069"/>
        <v>+00</v>
      </c>
      <c r="BA940" s="47" t="b">
        <f t="shared" si="1098"/>
        <v>1</v>
      </c>
      <c r="BB940" s="42" t="b">
        <f t="shared" si="1099"/>
        <v>1</v>
      </c>
      <c r="BC940" s="42" t="b">
        <f t="shared" si="1100"/>
        <v>0</v>
      </c>
      <c r="BD940" s="42" t="b">
        <f t="shared" si="1101"/>
        <v>0</v>
      </c>
      <c r="BE940" s="70">
        <f t="shared" si="1102"/>
        <v>0</v>
      </c>
      <c r="BF940" s="70">
        <f t="shared" si="1103"/>
        <v>0</v>
      </c>
      <c r="BG940" s="34"/>
      <c r="BI940" s="47" t="b">
        <f t="shared" si="1104"/>
        <v>1</v>
      </c>
      <c r="BJ940" s="47" t="b">
        <f t="shared" si="1105"/>
        <v>1</v>
      </c>
      <c r="BK940" s="42" t="b">
        <f t="shared" si="1106"/>
        <v>0</v>
      </c>
      <c r="BL940" s="42" t="b">
        <f t="shared" si="1107"/>
        <v>0</v>
      </c>
      <c r="BM940" s="42">
        <f t="shared" si="1108"/>
        <v>0</v>
      </c>
      <c r="BN940" s="42">
        <f t="shared" si="1109"/>
        <v>0</v>
      </c>
      <c r="BP940" t="e">
        <f t="shared" si="1110"/>
        <v>#N/A</v>
      </c>
      <c r="BQ940" t="e">
        <f t="shared" si="1111"/>
        <v>#N/A</v>
      </c>
      <c r="BR940" t="e">
        <f t="shared" si="1112"/>
        <v>#N/A</v>
      </c>
      <c r="BT940" s="60">
        <f t="shared" si="1113"/>
        <v>0</v>
      </c>
      <c r="BU940" s="60">
        <f t="shared" si="1114"/>
        <v>0</v>
      </c>
      <c r="BV940" s="60">
        <f t="shared" si="1115"/>
        <v>0</v>
      </c>
      <c r="BW940" s="60">
        <f t="shared" si="1116"/>
        <v>0</v>
      </c>
      <c r="BX940" s="60">
        <f t="shared" si="1117"/>
        <v>0</v>
      </c>
      <c r="BY940" s="60">
        <f t="shared" si="1118"/>
        <v>0</v>
      </c>
      <c r="BZ940" s="60">
        <f t="shared" si="1119"/>
        <v>0</v>
      </c>
      <c r="CA940" s="60">
        <f t="shared" si="1120"/>
        <v>0</v>
      </c>
      <c r="CB940" s="60" t="e">
        <f t="shared" si="1070"/>
        <v>#N/A</v>
      </c>
      <c r="CC940" s="60">
        <f t="shared" si="1071"/>
        <v>100000</v>
      </c>
      <c r="CD940" s="60" t="e">
        <f t="shared" si="1072"/>
        <v>#N/A</v>
      </c>
      <c r="CE940" s="60">
        <f t="shared" si="1073"/>
        <v>100000</v>
      </c>
      <c r="CF940" s="83" t="e">
        <f t="shared" si="1121"/>
        <v>#N/A</v>
      </c>
      <c r="CG940" s="83">
        <f t="shared" si="1122"/>
        <v>0</v>
      </c>
      <c r="CH940" s="83" t="e">
        <f t="shared" si="1123"/>
        <v>#N/A</v>
      </c>
      <c r="CI940" s="83">
        <f t="shared" si="1124"/>
        <v>0</v>
      </c>
      <c r="CJ940" s="86" t="e">
        <f t="shared" si="1074"/>
        <v>#N/A</v>
      </c>
      <c r="CK940" s="82">
        <f t="shared" si="1075"/>
        <v>5.3070370403969858E-3</v>
      </c>
      <c r="CL940" s="82" t="e">
        <f t="shared" si="1076"/>
        <v>#N/A</v>
      </c>
      <c r="CM940" s="82">
        <f t="shared" si="1077"/>
        <v>5.3070370403969858E-3</v>
      </c>
      <c r="CO940" s="149" t="str">
        <f>IF($I940&lt;&gt;"",IF(O940="User Specified",U940,INDEX('Refrigerant GWPs'!$G$2:$G$156,MATCH(O940,'Refrigerant GWPs'!$A$2:$A$156,0))),"")</f>
        <v/>
      </c>
      <c r="CP940" s="138" t="str">
        <f>IF($I940&lt;&gt;"",INDEX('Device Refrigerant Leakage'!$E$2:$E$42,MATCH($M940,'Device Refrigerant Leakage'!$B$2:$B$42,0)),"")</f>
        <v/>
      </c>
      <c r="CQ940" s="138" t="str">
        <f>IF($I940&lt;&gt;"",INDEX('Device Refrigerant Leakage'!$F$2:$F$42,MATCH($M940,'Device Refrigerant Leakage'!$B$2:$B$42,0)),"")</f>
        <v/>
      </c>
      <c r="CR940" s="145" t="str">
        <f>IF($I940&lt;&gt;"",INDEX('Device Refrigerant Leakage'!$G$2:$G$42,MATCH($M940,'Device Refrigerant Leakage'!$B$2:$B$42,0)),"")</f>
        <v/>
      </c>
      <c r="CS940" s="145" t="str">
        <f>IF($I940&lt;&gt;"",INDEX('Device Refrigerant Leakage'!$D$2:$D$42,MATCH($M940,'Device Refrigerant Leakage'!$B$2:$B$42,0))*CP940/2204.62*CO940,"")</f>
        <v/>
      </c>
      <c r="CT940" s="145" t="str">
        <f>IF($I940&lt;&gt;"",J940*(INDEX('Device Refrigerant Leakage'!$D$2:$D$42,MATCH($M940,'Device Refrigerant Leakage'!$B$2:$B$42,0))-(INDEX('Device Refrigerant Leakage'!$D$2:$D$42,MATCH($M940,'Device Refrigerant Leakage'!$B$2:$B$42,0)))*CR940*CP940)*CQ940/2204.62*CO940,"")</f>
        <v/>
      </c>
      <c r="CU940" s="135" t="str">
        <f>IF($I940&lt;&gt;"",J940*IF(W940&lt;&gt;"AR",(CS940*K940)+CT940,(CS940*AB940)+CT940*(AB940/INDEX('Device Refrigerant Leakage'!$C$2:$C$42,MATCH($M940,'Device Refrigerant Leakage'!$B$2:$B$42,0)))),"")</f>
        <v/>
      </c>
      <c r="CW940" s="135" t="str">
        <f>IF($I940&lt;&gt;"",IF(S940="User Specified",V940,INDEX('Refrigerant GWPs'!$G$2:$G$156,MATCH(S940,'Refrigerant GWPs'!$A$2:$A$157,0))),"")</f>
        <v/>
      </c>
      <c r="CX940" s="138" t="str">
        <f>IF($I940&lt;&gt;"",INDEX('Device Refrigerant Leakage'!$E$2:$E$42,MATCH($Q940,'Device Refrigerant Leakage'!$B$2:$B$42,0)),"")</f>
        <v/>
      </c>
      <c r="CY940" s="138" t="str">
        <f>IF($I940&lt;&gt;"",INDEX('Device Refrigerant Leakage'!$F$2:$F$42,MATCH($Q940,'Device Refrigerant Leakage'!$B$2:$B$42,0)),"")</f>
        <v/>
      </c>
      <c r="CZ940" s="145" t="str">
        <f>IF($I940&lt;&gt;"",INDEX('Device Refrigerant Leakage'!$G$2:$G$42,MATCH($Q940,'Device Refrigerant Leakage'!$B$2:$B$42,0)),"")</f>
        <v/>
      </c>
      <c r="DA940" s="145" t="str">
        <f>IF($I940&lt;&gt;"",J940*INDEX('Device Refrigerant Leakage'!$D$2:$D$42,MATCH($Q940,'Device Refrigerant Leakage'!$B$2:$B$42,0))*CX940/2204.62*CW940,"")</f>
        <v/>
      </c>
      <c r="DB940" s="145" t="str">
        <f>IF($I940&lt;&gt;"",J940*(INDEX('Device Refrigerant Leakage'!$D$2:$D$42,MATCH($Q940,'Device Refrigerant Leakage'!$B$2:$B$42,0))-(INDEX('Device Refrigerant Leakage'!$D$2:$D$42,MATCH($Q940,'Device Refrigerant Leakage'!$B$2:$B$42,0)))*CZ940*CX940)*CY940/2204.62*CW940,"")</f>
        <v/>
      </c>
      <c r="DC940" s="135" t="str">
        <f t="shared" si="1096"/>
        <v/>
      </c>
      <c r="DE940" s="146" t="str">
        <f>IF(W940&lt;&gt;"AR","",IF(Y940="User Specified", AA940, INDEX('Refrigerant GWPs'!$G$2:$G$154,MATCH(Y940,'Refrigerant GWPs'!$A$2:$A$154,0))))</f>
        <v/>
      </c>
      <c r="DF940" s="146" t="str">
        <f>IF(W940&lt;&gt;"AR","",INDEX('Device Refrigerant Leakage'!$E$2:$E$42,MATCH(X940,'Device Refrigerant Leakage'!$B$2:$B$42,0)))</f>
        <v/>
      </c>
      <c r="DG940" s="146" t="str">
        <f>IF(W940&lt;&gt;"AR","",INDEX('Device Refrigerant Leakage'!$F$2:$F$42,MATCH(X940,'Device Refrigerant Leakage'!$B$2:$B$42,0)))</f>
        <v/>
      </c>
      <c r="DH940" s="146" t="str">
        <f>IF(W940&lt;&gt;"AR","",INDEX('Device Refrigerant Leakage'!$G$2:$G$42,MATCH(X940,'Device Refrigerant Leakage'!$B$2:$B$42,0)))</f>
        <v/>
      </c>
      <c r="DI940" s="146" t="str">
        <f>IF(W940&lt;&gt;"AR","",J940*INDEX('Device Refrigerant Leakage'!$D$2:$D$42,MATCH(X940,'Device Refrigerant Leakage'!$B$2:$B$42,0))*DF940/2204.62*DE940)</f>
        <v/>
      </c>
      <c r="DJ940" s="146" t="str">
        <f>IF(W940&lt;&gt;"AR","",J940*(INDEX('Device Refrigerant Leakage'!$D$2:$D$42,MATCH(X940,'Device Refrigerant Leakage'!$B$2:$B$42,0))-(INDEX('Device Refrigerant Leakage'!$D$2:$D$42,MATCH(X940,'Device Refrigerant Leakage'!$B$2:$B$42,0)))*DH940*DF940)*DG940/2204.62*DE940)</f>
        <v/>
      </c>
      <c r="DK940" s="146" t="str">
        <f>IF(W940&lt;&gt;"AR","",DI940*(K940-AB940)+'Fuel Sub Calcs-Deemed'!DJ940*((K940-AB940)/INDEX('Device Refrigerant Leakage'!$C$2:$C$42,MATCH('Fuel Sub Calcs-Deemed'!X940,'Device Refrigerant Leakage'!$B$2:$B$42,0))))</f>
        <v/>
      </c>
      <c r="DM940" s="56">
        <v>926</v>
      </c>
      <c r="DN940" s="67" t="e">
        <f t="shared" si="1078"/>
        <v>#N/A</v>
      </c>
      <c r="DO940" s="45" t="e">
        <f t="shared" si="1079"/>
        <v>#N/A</v>
      </c>
      <c r="DP940" s="67" t="e">
        <f t="shared" si="1080"/>
        <v>#N/A</v>
      </c>
      <c r="DQ940" s="45" t="e">
        <f t="shared" si="1081"/>
        <v>#N/A</v>
      </c>
      <c r="DR940" s="69" t="e">
        <f t="shared" si="1082"/>
        <v>#N/A</v>
      </c>
      <c r="DS940" s="34"/>
      <c r="DT940" s="67" t="e">
        <f>((BX940*CJ940)+IF($W940=MAT_AR,(BZ940*CL940),0))*(1+Reference!$E$50+Reference!$E$51)</f>
        <v>#N/A</v>
      </c>
      <c r="DU940" s="67">
        <f>((BY940*CK940)+IF($W940=MAT_AR,(CA940*CM940),0))*(1+Reference!$G$50+Reference!$G$51)</f>
        <v>0</v>
      </c>
      <c r="DV940" s="67" t="e">
        <f t="shared" si="1083"/>
        <v>#VALUE!</v>
      </c>
      <c r="DX940" s="56">
        <v>926</v>
      </c>
      <c r="DY940" s="67">
        <f t="shared" si="1084"/>
        <v>0</v>
      </c>
      <c r="DZ940" s="45" t="e">
        <f>VLOOKUP($R940,Dropdown!$C$3:$D$4,2,FALSE)</f>
        <v>#N/A</v>
      </c>
      <c r="EA940" s="68">
        <f t="shared" si="1085"/>
        <v>0</v>
      </c>
      <c r="EB940" s="68" t="str">
        <f t="shared" si="1086"/>
        <v>N/A</v>
      </c>
      <c r="EC940" s="68">
        <f t="shared" si="1087"/>
        <v>0</v>
      </c>
      <c r="ED940" s="68" t="str">
        <f t="shared" si="1125"/>
        <v>N/A</v>
      </c>
      <c r="EF940" s="56">
        <v>926</v>
      </c>
      <c r="EG940" s="46">
        <f t="shared" si="1088"/>
        <v>0</v>
      </c>
      <c r="EH940" s="68" t="e">
        <f t="shared" si="1089"/>
        <v>#N/A</v>
      </c>
      <c r="EI940" s="68" t="e">
        <f t="shared" si="1090"/>
        <v>#N/A</v>
      </c>
      <c r="EJ940" s="68" t="e">
        <f t="shared" si="1091"/>
        <v>#N/A</v>
      </c>
      <c r="EK940" s="68" t="e">
        <f t="shared" si="1092"/>
        <v>#N/A</v>
      </c>
      <c r="EL940" s="46">
        <f t="shared" si="1093"/>
        <v>0</v>
      </c>
      <c r="EM940" s="46">
        <f t="shared" si="1094"/>
        <v>0</v>
      </c>
    </row>
    <row r="941" spans="1:143">
      <c r="A941" s="89"/>
      <c r="B941" s="89"/>
      <c r="C941" s="89"/>
      <c r="D941" s="89"/>
      <c r="E941" s="89"/>
      <c r="F941" s="89"/>
      <c r="G941" s="34"/>
      <c r="H941" s="56">
        <f t="shared" si="1095"/>
        <v>927</v>
      </c>
      <c r="I941" s="165"/>
      <c r="J941" s="163"/>
      <c r="K941" s="163"/>
      <c r="L941" s="164"/>
      <c r="M941" s="155"/>
      <c r="N941" s="155"/>
      <c r="O941" s="144"/>
      <c r="P941" s="159" t="str">
        <f>IFERROR(IF(O941&lt;&gt;"User Specified",IF(O941&lt;&gt;"", INDEX('Refrigerant GWPs'!$G$2:$G$154,MATCH(O941,'Refrigerant GWPs'!$A$2:$A$154,0)),""),U941),0)</f>
        <v/>
      </c>
      <c r="Q941" s="155"/>
      <c r="R941" s="155"/>
      <c r="S941" s="144"/>
      <c r="T941" s="159" t="str">
        <f>IF(S941&lt;&gt;"User Specified",IF(AND(S941&lt;&gt;"User Specified",S941&lt;&gt;""), INDEX('Refrigerant GWPs'!$G$2:$G$154,MATCH(S941,'Refrigerant GWPs'!$A$2:$A$154,0)),""),V941)</f>
        <v/>
      </c>
      <c r="U941" s="144"/>
      <c r="V941" s="144"/>
      <c r="W941" s="155"/>
      <c r="X941" s="155"/>
      <c r="Y941" s="144"/>
      <c r="Z941" s="159" t="str">
        <f>IF(AND(Y941&lt;&gt;"User Specified",Y941&lt;&gt;""), INDEX('Refrigerant GWPs'!$G$2:$G$154,MATCH(Y941,'Refrigerant GWPs'!$A$2:$A$154,0)),"")</f>
        <v/>
      </c>
      <c r="AA941" s="155"/>
      <c r="AB941" s="156"/>
      <c r="AC941" s="66"/>
      <c r="AD941" s="66"/>
      <c r="AE941" s="66"/>
      <c r="AF941" s="66"/>
      <c r="AG941" s="66"/>
      <c r="AH941" s="66"/>
      <c r="AI941" s="34"/>
      <c r="AJ941" s="88">
        <f t="shared" si="1058"/>
        <v>0</v>
      </c>
      <c r="AK941" s="88">
        <f t="shared" si="1059"/>
        <v>0</v>
      </c>
      <c r="AL941" s="88">
        <v>0</v>
      </c>
      <c r="AM941" s="88">
        <v>0</v>
      </c>
      <c r="AN941" s="81" t="str">
        <f t="shared" si="1097"/>
        <v/>
      </c>
      <c r="AO941" s="88">
        <f t="shared" si="1060"/>
        <v>0</v>
      </c>
      <c r="AP941" s="88">
        <f t="shared" si="1061"/>
        <v>0</v>
      </c>
      <c r="AQ941" s="81" t="str">
        <f t="shared" si="1062"/>
        <v/>
      </c>
      <c r="AS941" s="41" t="b">
        <f t="shared" si="1063"/>
        <v>1</v>
      </c>
      <c r="AT941" s="38">
        <f t="shared" si="1064"/>
        <v>0</v>
      </c>
      <c r="AU941" s="60">
        <f t="shared" si="1065"/>
        <v>0</v>
      </c>
      <c r="AV941" s="41">
        <f t="shared" si="1066"/>
        <v>0</v>
      </c>
      <c r="AW941" s="41" t="b">
        <f t="shared" si="1067"/>
        <v>0</v>
      </c>
      <c r="AX941" t="str">
        <f t="shared" si="1068"/>
        <v>+00</v>
      </c>
      <c r="AY941" t="str">
        <f t="shared" si="1069"/>
        <v>+00</v>
      </c>
      <c r="BA941" s="47" t="b">
        <f t="shared" si="1098"/>
        <v>1</v>
      </c>
      <c r="BB941" s="42" t="b">
        <f t="shared" si="1099"/>
        <v>1</v>
      </c>
      <c r="BC941" s="42" t="b">
        <f t="shared" si="1100"/>
        <v>0</v>
      </c>
      <c r="BD941" s="42" t="b">
        <f t="shared" si="1101"/>
        <v>0</v>
      </c>
      <c r="BE941" s="70">
        <f t="shared" si="1102"/>
        <v>0</v>
      </c>
      <c r="BF941" s="70">
        <f t="shared" si="1103"/>
        <v>0</v>
      </c>
      <c r="BG941" s="34"/>
      <c r="BI941" s="47" t="b">
        <f t="shared" si="1104"/>
        <v>1</v>
      </c>
      <c r="BJ941" s="47" t="b">
        <f t="shared" si="1105"/>
        <v>1</v>
      </c>
      <c r="BK941" s="42" t="b">
        <f t="shared" si="1106"/>
        <v>0</v>
      </c>
      <c r="BL941" s="42" t="b">
        <f t="shared" si="1107"/>
        <v>0</v>
      </c>
      <c r="BM941" s="42">
        <f t="shared" si="1108"/>
        <v>0</v>
      </c>
      <c r="BN941" s="42">
        <f t="shared" si="1109"/>
        <v>0</v>
      </c>
      <c r="BP941" t="e">
        <f t="shared" si="1110"/>
        <v>#N/A</v>
      </c>
      <c r="BQ941" t="e">
        <f t="shared" si="1111"/>
        <v>#N/A</v>
      </c>
      <c r="BR941" t="e">
        <f t="shared" si="1112"/>
        <v>#N/A</v>
      </c>
      <c r="BT941" s="60">
        <f t="shared" si="1113"/>
        <v>0</v>
      </c>
      <c r="BU941" s="60">
        <f t="shared" si="1114"/>
        <v>0</v>
      </c>
      <c r="BV941" s="60">
        <f t="shared" si="1115"/>
        <v>0</v>
      </c>
      <c r="BW941" s="60">
        <f t="shared" si="1116"/>
        <v>0</v>
      </c>
      <c r="BX941" s="60">
        <f t="shared" si="1117"/>
        <v>0</v>
      </c>
      <c r="BY941" s="60">
        <f t="shared" si="1118"/>
        <v>0</v>
      </c>
      <c r="BZ941" s="60">
        <f t="shared" si="1119"/>
        <v>0</v>
      </c>
      <c r="CA941" s="60">
        <f t="shared" si="1120"/>
        <v>0</v>
      </c>
      <c r="CB941" s="60" t="e">
        <f t="shared" si="1070"/>
        <v>#N/A</v>
      </c>
      <c r="CC941" s="60">
        <f t="shared" si="1071"/>
        <v>100000</v>
      </c>
      <c r="CD941" s="60" t="e">
        <f t="shared" si="1072"/>
        <v>#N/A</v>
      </c>
      <c r="CE941" s="60">
        <f t="shared" si="1073"/>
        <v>100000</v>
      </c>
      <c r="CF941" s="83" t="e">
        <f t="shared" si="1121"/>
        <v>#N/A</v>
      </c>
      <c r="CG941" s="83">
        <f t="shared" si="1122"/>
        <v>0</v>
      </c>
      <c r="CH941" s="83" t="e">
        <f t="shared" si="1123"/>
        <v>#N/A</v>
      </c>
      <c r="CI941" s="83">
        <f t="shared" si="1124"/>
        <v>0</v>
      </c>
      <c r="CJ941" s="86" t="e">
        <f t="shared" si="1074"/>
        <v>#N/A</v>
      </c>
      <c r="CK941" s="82">
        <f t="shared" si="1075"/>
        <v>5.3070370403969858E-3</v>
      </c>
      <c r="CL941" s="82" t="e">
        <f t="shared" si="1076"/>
        <v>#N/A</v>
      </c>
      <c r="CM941" s="82">
        <f t="shared" si="1077"/>
        <v>5.3070370403969858E-3</v>
      </c>
      <c r="CO941" s="149" t="str">
        <f>IF($I941&lt;&gt;"",IF(O941="User Specified",U941,INDEX('Refrigerant GWPs'!$G$2:$G$156,MATCH(O941,'Refrigerant GWPs'!$A$2:$A$156,0))),"")</f>
        <v/>
      </c>
      <c r="CP941" s="138" t="str">
        <f>IF($I941&lt;&gt;"",INDEX('Device Refrigerant Leakage'!$E$2:$E$42,MATCH($M941,'Device Refrigerant Leakage'!$B$2:$B$42,0)),"")</f>
        <v/>
      </c>
      <c r="CQ941" s="138" t="str">
        <f>IF($I941&lt;&gt;"",INDEX('Device Refrigerant Leakage'!$F$2:$F$42,MATCH($M941,'Device Refrigerant Leakage'!$B$2:$B$42,0)),"")</f>
        <v/>
      </c>
      <c r="CR941" s="145" t="str">
        <f>IF($I941&lt;&gt;"",INDEX('Device Refrigerant Leakage'!$G$2:$G$42,MATCH($M941,'Device Refrigerant Leakage'!$B$2:$B$42,0)),"")</f>
        <v/>
      </c>
      <c r="CS941" s="145" t="str">
        <f>IF($I941&lt;&gt;"",INDEX('Device Refrigerant Leakage'!$D$2:$D$42,MATCH($M941,'Device Refrigerant Leakage'!$B$2:$B$42,0))*CP941/2204.62*CO941,"")</f>
        <v/>
      </c>
      <c r="CT941" s="145" t="str">
        <f>IF($I941&lt;&gt;"",J941*(INDEX('Device Refrigerant Leakage'!$D$2:$D$42,MATCH($M941,'Device Refrigerant Leakage'!$B$2:$B$42,0))-(INDEX('Device Refrigerant Leakage'!$D$2:$D$42,MATCH($M941,'Device Refrigerant Leakage'!$B$2:$B$42,0)))*CR941*CP941)*CQ941/2204.62*CO941,"")</f>
        <v/>
      </c>
      <c r="CU941" s="135" t="str">
        <f>IF($I941&lt;&gt;"",J941*IF(W941&lt;&gt;"AR",(CS941*K941)+CT941,(CS941*AB941)+CT941*(AB941/INDEX('Device Refrigerant Leakage'!$C$2:$C$42,MATCH($M941,'Device Refrigerant Leakage'!$B$2:$B$42,0)))),"")</f>
        <v/>
      </c>
      <c r="CW941" s="135" t="str">
        <f>IF($I941&lt;&gt;"",IF(S941="User Specified",V941,INDEX('Refrigerant GWPs'!$G$2:$G$156,MATCH(S941,'Refrigerant GWPs'!$A$2:$A$157,0))),"")</f>
        <v/>
      </c>
      <c r="CX941" s="138" t="str">
        <f>IF($I941&lt;&gt;"",INDEX('Device Refrigerant Leakage'!$E$2:$E$42,MATCH($Q941,'Device Refrigerant Leakage'!$B$2:$B$42,0)),"")</f>
        <v/>
      </c>
      <c r="CY941" s="138" t="str">
        <f>IF($I941&lt;&gt;"",INDEX('Device Refrigerant Leakage'!$F$2:$F$42,MATCH($Q941,'Device Refrigerant Leakage'!$B$2:$B$42,0)),"")</f>
        <v/>
      </c>
      <c r="CZ941" s="145" t="str">
        <f>IF($I941&lt;&gt;"",INDEX('Device Refrigerant Leakage'!$G$2:$G$42,MATCH($Q941,'Device Refrigerant Leakage'!$B$2:$B$42,0)),"")</f>
        <v/>
      </c>
      <c r="DA941" s="145" t="str">
        <f>IF($I941&lt;&gt;"",J941*INDEX('Device Refrigerant Leakage'!$D$2:$D$42,MATCH($Q941,'Device Refrigerant Leakage'!$B$2:$B$42,0))*CX941/2204.62*CW941,"")</f>
        <v/>
      </c>
      <c r="DB941" s="145" t="str">
        <f>IF($I941&lt;&gt;"",J941*(INDEX('Device Refrigerant Leakage'!$D$2:$D$42,MATCH($Q941,'Device Refrigerant Leakage'!$B$2:$B$42,0))-(INDEX('Device Refrigerant Leakage'!$D$2:$D$42,MATCH($Q941,'Device Refrigerant Leakage'!$B$2:$B$42,0)))*CZ941*CX941)*CY941/2204.62*CW941,"")</f>
        <v/>
      </c>
      <c r="DC941" s="135" t="str">
        <f t="shared" si="1096"/>
        <v/>
      </c>
      <c r="DE941" s="146" t="str">
        <f>IF(W941&lt;&gt;"AR","",IF(Y941="User Specified", AA941, INDEX('Refrigerant GWPs'!$G$2:$G$154,MATCH(Y941,'Refrigerant GWPs'!$A$2:$A$154,0))))</f>
        <v/>
      </c>
      <c r="DF941" s="146" t="str">
        <f>IF(W941&lt;&gt;"AR","",INDEX('Device Refrigerant Leakage'!$E$2:$E$42,MATCH(X941,'Device Refrigerant Leakage'!$B$2:$B$42,0)))</f>
        <v/>
      </c>
      <c r="DG941" s="146" t="str">
        <f>IF(W941&lt;&gt;"AR","",INDEX('Device Refrigerant Leakage'!$F$2:$F$42,MATCH(X941,'Device Refrigerant Leakage'!$B$2:$B$42,0)))</f>
        <v/>
      </c>
      <c r="DH941" s="146" t="str">
        <f>IF(W941&lt;&gt;"AR","",INDEX('Device Refrigerant Leakage'!$G$2:$G$42,MATCH(X941,'Device Refrigerant Leakage'!$B$2:$B$42,0)))</f>
        <v/>
      </c>
      <c r="DI941" s="146" t="str">
        <f>IF(W941&lt;&gt;"AR","",J941*INDEX('Device Refrigerant Leakage'!$D$2:$D$42,MATCH(X941,'Device Refrigerant Leakage'!$B$2:$B$42,0))*DF941/2204.62*DE941)</f>
        <v/>
      </c>
      <c r="DJ941" s="146" t="str">
        <f>IF(W941&lt;&gt;"AR","",J941*(INDEX('Device Refrigerant Leakage'!$D$2:$D$42,MATCH(X941,'Device Refrigerant Leakage'!$B$2:$B$42,0))-(INDEX('Device Refrigerant Leakage'!$D$2:$D$42,MATCH(X941,'Device Refrigerant Leakage'!$B$2:$B$42,0)))*DH941*DF941)*DG941/2204.62*DE941)</f>
        <v/>
      </c>
      <c r="DK941" s="146" t="str">
        <f>IF(W941&lt;&gt;"AR","",DI941*(K941-AB941)+'Fuel Sub Calcs-Deemed'!DJ941*((K941-AB941)/INDEX('Device Refrigerant Leakage'!$C$2:$C$42,MATCH('Fuel Sub Calcs-Deemed'!X941,'Device Refrigerant Leakage'!$B$2:$B$42,0))))</f>
        <v/>
      </c>
      <c r="DM941" s="56">
        <v>927</v>
      </c>
      <c r="DN941" s="67" t="e">
        <f t="shared" si="1078"/>
        <v>#N/A</v>
      </c>
      <c r="DO941" s="45" t="e">
        <f t="shared" si="1079"/>
        <v>#N/A</v>
      </c>
      <c r="DP941" s="67" t="e">
        <f t="shared" si="1080"/>
        <v>#N/A</v>
      </c>
      <c r="DQ941" s="45" t="e">
        <f t="shared" si="1081"/>
        <v>#N/A</v>
      </c>
      <c r="DR941" s="69" t="e">
        <f t="shared" si="1082"/>
        <v>#N/A</v>
      </c>
      <c r="DS941" s="34"/>
      <c r="DT941" s="67" t="e">
        <f>((BX941*CJ941)+IF($W941=MAT_AR,(BZ941*CL941),0))*(1+Reference!$E$50+Reference!$E$51)</f>
        <v>#N/A</v>
      </c>
      <c r="DU941" s="67">
        <f>((BY941*CK941)+IF($W941=MAT_AR,(CA941*CM941),0))*(1+Reference!$G$50+Reference!$G$51)</f>
        <v>0</v>
      </c>
      <c r="DV941" s="67" t="e">
        <f t="shared" si="1083"/>
        <v>#VALUE!</v>
      </c>
      <c r="DX941" s="56">
        <v>927</v>
      </c>
      <c r="DY941" s="67">
        <f t="shared" si="1084"/>
        <v>0</v>
      </c>
      <c r="DZ941" s="45" t="e">
        <f>VLOOKUP($R941,Dropdown!$C$3:$D$4,2,FALSE)</f>
        <v>#N/A</v>
      </c>
      <c r="EA941" s="68">
        <f t="shared" si="1085"/>
        <v>0</v>
      </c>
      <c r="EB941" s="68" t="str">
        <f t="shared" si="1086"/>
        <v>N/A</v>
      </c>
      <c r="EC941" s="68">
        <f t="shared" si="1087"/>
        <v>0</v>
      </c>
      <c r="ED941" s="68" t="str">
        <f t="shared" si="1125"/>
        <v>N/A</v>
      </c>
      <c r="EF941" s="56">
        <v>927</v>
      </c>
      <c r="EG941" s="46">
        <f t="shared" si="1088"/>
        <v>0</v>
      </c>
      <c r="EH941" s="68" t="e">
        <f t="shared" si="1089"/>
        <v>#N/A</v>
      </c>
      <c r="EI941" s="68" t="e">
        <f t="shared" si="1090"/>
        <v>#N/A</v>
      </c>
      <c r="EJ941" s="68" t="e">
        <f t="shared" si="1091"/>
        <v>#N/A</v>
      </c>
      <c r="EK941" s="68" t="e">
        <f t="shared" si="1092"/>
        <v>#N/A</v>
      </c>
      <c r="EL941" s="46">
        <f t="shared" si="1093"/>
        <v>0</v>
      </c>
      <c r="EM941" s="46">
        <f t="shared" si="1094"/>
        <v>0</v>
      </c>
    </row>
    <row r="942" spans="1:143">
      <c r="A942" s="89"/>
      <c r="B942" s="89"/>
      <c r="C942" s="89"/>
      <c r="D942" s="89"/>
      <c r="E942" s="89"/>
      <c r="F942" s="89"/>
      <c r="G942" s="34"/>
      <c r="H942" s="56">
        <f t="shared" si="1095"/>
        <v>928</v>
      </c>
      <c r="I942" s="165"/>
      <c r="J942" s="163"/>
      <c r="K942" s="163"/>
      <c r="L942" s="164"/>
      <c r="M942" s="155"/>
      <c r="N942" s="155"/>
      <c r="O942" s="144"/>
      <c r="P942" s="159" t="str">
        <f>IFERROR(IF(O942&lt;&gt;"User Specified",IF(O942&lt;&gt;"", INDEX('Refrigerant GWPs'!$G$2:$G$154,MATCH(O942,'Refrigerant GWPs'!$A$2:$A$154,0)),""),U942),0)</f>
        <v/>
      </c>
      <c r="Q942" s="155"/>
      <c r="R942" s="155"/>
      <c r="S942" s="144"/>
      <c r="T942" s="159" t="str">
        <f>IF(S942&lt;&gt;"User Specified",IF(AND(S942&lt;&gt;"User Specified",S942&lt;&gt;""), INDEX('Refrigerant GWPs'!$G$2:$G$154,MATCH(S942,'Refrigerant GWPs'!$A$2:$A$154,0)),""),V942)</f>
        <v/>
      </c>
      <c r="U942" s="144"/>
      <c r="V942" s="144"/>
      <c r="W942" s="155"/>
      <c r="X942" s="155"/>
      <c r="Y942" s="144"/>
      <c r="Z942" s="159" t="str">
        <f>IF(AND(Y942&lt;&gt;"User Specified",Y942&lt;&gt;""), INDEX('Refrigerant GWPs'!$G$2:$G$154,MATCH(Y942,'Refrigerant GWPs'!$A$2:$A$154,0)),"")</f>
        <v/>
      </c>
      <c r="AA942" s="155"/>
      <c r="AB942" s="156"/>
      <c r="AC942" s="66"/>
      <c r="AD942" s="66"/>
      <c r="AE942" s="66"/>
      <c r="AF942" s="66"/>
      <c r="AG942" s="66"/>
      <c r="AH942" s="66"/>
      <c r="AI942" s="34"/>
      <c r="AJ942" s="88">
        <f t="shared" si="1058"/>
        <v>0</v>
      </c>
      <c r="AK942" s="88">
        <f t="shared" si="1059"/>
        <v>0</v>
      </c>
      <c r="AL942" s="88">
        <v>0</v>
      </c>
      <c r="AM942" s="88">
        <v>0</v>
      </c>
      <c r="AN942" s="81" t="str">
        <f t="shared" si="1097"/>
        <v/>
      </c>
      <c r="AO942" s="88">
        <f t="shared" si="1060"/>
        <v>0</v>
      </c>
      <c r="AP942" s="88">
        <f t="shared" si="1061"/>
        <v>0</v>
      </c>
      <c r="AQ942" s="81" t="str">
        <f t="shared" si="1062"/>
        <v/>
      </c>
      <c r="AS942" s="41" t="b">
        <f t="shared" si="1063"/>
        <v>1</v>
      </c>
      <c r="AT942" s="38">
        <f t="shared" si="1064"/>
        <v>0</v>
      </c>
      <c r="AU942" s="60">
        <f t="shared" si="1065"/>
        <v>0</v>
      </c>
      <c r="AV942" s="41">
        <f t="shared" si="1066"/>
        <v>0</v>
      </c>
      <c r="AW942" s="41" t="b">
        <f t="shared" si="1067"/>
        <v>0</v>
      </c>
      <c r="AX942" t="str">
        <f t="shared" si="1068"/>
        <v>+00</v>
      </c>
      <c r="AY942" t="str">
        <f t="shared" si="1069"/>
        <v>+00</v>
      </c>
      <c r="BA942" s="47" t="b">
        <f t="shared" si="1098"/>
        <v>1</v>
      </c>
      <c r="BB942" s="42" t="b">
        <f t="shared" si="1099"/>
        <v>1</v>
      </c>
      <c r="BC942" s="42" t="b">
        <f t="shared" si="1100"/>
        <v>0</v>
      </c>
      <c r="BD942" s="42" t="b">
        <f t="shared" si="1101"/>
        <v>0</v>
      </c>
      <c r="BE942" s="70">
        <f t="shared" si="1102"/>
        <v>0</v>
      </c>
      <c r="BF942" s="70">
        <f t="shared" si="1103"/>
        <v>0</v>
      </c>
      <c r="BG942" s="34"/>
      <c r="BI942" s="47" t="b">
        <f t="shared" si="1104"/>
        <v>1</v>
      </c>
      <c r="BJ942" s="47" t="b">
        <f t="shared" si="1105"/>
        <v>1</v>
      </c>
      <c r="BK942" s="42" t="b">
        <f t="shared" si="1106"/>
        <v>0</v>
      </c>
      <c r="BL942" s="42" t="b">
        <f t="shared" si="1107"/>
        <v>0</v>
      </c>
      <c r="BM942" s="42">
        <f t="shared" si="1108"/>
        <v>0</v>
      </c>
      <c r="BN942" s="42">
        <f t="shared" si="1109"/>
        <v>0</v>
      </c>
      <c r="BP942" t="e">
        <f t="shared" si="1110"/>
        <v>#N/A</v>
      </c>
      <c r="BQ942" t="e">
        <f t="shared" si="1111"/>
        <v>#N/A</v>
      </c>
      <c r="BR942" t="e">
        <f t="shared" si="1112"/>
        <v>#N/A</v>
      </c>
      <c r="BT942" s="60">
        <f t="shared" si="1113"/>
        <v>0</v>
      </c>
      <c r="BU942" s="60">
        <f t="shared" si="1114"/>
        <v>0</v>
      </c>
      <c r="BV942" s="60">
        <f t="shared" si="1115"/>
        <v>0</v>
      </c>
      <c r="BW942" s="60">
        <f t="shared" si="1116"/>
        <v>0</v>
      </c>
      <c r="BX942" s="60">
        <f t="shared" si="1117"/>
        <v>0</v>
      </c>
      <c r="BY942" s="60">
        <f t="shared" si="1118"/>
        <v>0</v>
      </c>
      <c r="BZ942" s="60">
        <f t="shared" si="1119"/>
        <v>0</v>
      </c>
      <c r="CA942" s="60">
        <f t="shared" si="1120"/>
        <v>0</v>
      </c>
      <c r="CB942" s="60" t="e">
        <f t="shared" si="1070"/>
        <v>#N/A</v>
      </c>
      <c r="CC942" s="60">
        <f t="shared" si="1071"/>
        <v>100000</v>
      </c>
      <c r="CD942" s="60" t="e">
        <f t="shared" si="1072"/>
        <v>#N/A</v>
      </c>
      <c r="CE942" s="60">
        <f t="shared" si="1073"/>
        <v>100000</v>
      </c>
      <c r="CF942" s="83" t="e">
        <f t="shared" si="1121"/>
        <v>#N/A</v>
      </c>
      <c r="CG942" s="83">
        <f t="shared" si="1122"/>
        <v>0</v>
      </c>
      <c r="CH942" s="83" t="e">
        <f t="shared" si="1123"/>
        <v>#N/A</v>
      </c>
      <c r="CI942" s="83">
        <f t="shared" si="1124"/>
        <v>0</v>
      </c>
      <c r="CJ942" s="86" t="e">
        <f t="shared" si="1074"/>
        <v>#N/A</v>
      </c>
      <c r="CK942" s="82">
        <f t="shared" si="1075"/>
        <v>5.3070370403969858E-3</v>
      </c>
      <c r="CL942" s="82" t="e">
        <f t="shared" si="1076"/>
        <v>#N/A</v>
      </c>
      <c r="CM942" s="82">
        <f t="shared" si="1077"/>
        <v>5.3070370403969858E-3</v>
      </c>
      <c r="CO942" s="149" t="str">
        <f>IF($I942&lt;&gt;"",IF(O942="User Specified",U942,INDEX('Refrigerant GWPs'!$G$2:$G$156,MATCH(O942,'Refrigerant GWPs'!$A$2:$A$156,0))),"")</f>
        <v/>
      </c>
      <c r="CP942" s="138" t="str">
        <f>IF($I942&lt;&gt;"",INDEX('Device Refrigerant Leakage'!$E$2:$E$42,MATCH($M942,'Device Refrigerant Leakage'!$B$2:$B$42,0)),"")</f>
        <v/>
      </c>
      <c r="CQ942" s="138" t="str">
        <f>IF($I942&lt;&gt;"",INDEX('Device Refrigerant Leakage'!$F$2:$F$42,MATCH($M942,'Device Refrigerant Leakage'!$B$2:$B$42,0)),"")</f>
        <v/>
      </c>
      <c r="CR942" s="145" t="str">
        <f>IF($I942&lt;&gt;"",INDEX('Device Refrigerant Leakage'!$G$2:$G$42,MATCH($M942,'Device Refrigerant Leakage'!$B$2:$B$42,0)),"")</f>
        <v/>
      </c>
      <c r="CS942" s="145" t="str">
        <f>IF($I942&lt;&gt;"",INDEX('Device Refrigerant Leakage'!$D$2:$D$42,MATCH($M942,'Device Refrigerant Leakage'!$B$2:$B$42,0))*CP942/2204.62*CO942,"")</f>
        <v/>
      </c>
      <c r="CT942" s="145" t="str">
        <f>IF($I942&lt;&gt;"",J942*(INDEX('Device Refrigerant Leakage'!$D$2:$D$42,MATCH($M942,'Device Refrigerant Leakage'!$B$2:$B$42,0))-(INDEX('Device Refrigerant Leakage'!$D$2:$D$42,MATCH($M942,'Device Refrigerant Leakage'!$B$2:$B$42,0)))*CR942*CP942)*CQ942/2204.62*CO942,"")</f>
        <v/>
      </c>
      <c r="CU942" s="135" t="str">
        <f>IF($I942&lt;&gt;"",J942*IF(W942&lt;&gt;"AR",(CS942*K942)+CT942,(CS942*AB942)+CT942*(AB942/INDEX('Device Refrigerant Leakage'!$C$2:$C$42,MATCH($M942,'Device Refrigerant Leakage'!$B$2:$B$42,0)))),"")</f>
        <v/>
      </c>
      <c r="CW942" s="135" t="str">
        <f>IF($I942&lt;&gt;"",IF(S942="User Specified",V942,INDEX('Refrigerant GWPs'!$G$2:$G$156,MATCH(S942,'Refrigerant GWPs'!$A$2:$A$157,0))),"")</f>
        <v/>
      </c>
      <c r="CX942" s="138" t="str">
        <f>IF($I942&lt;&gt;"",INDEX('Device Refrigerant Leakage'!$E$2:$E$42,MATCH($Q942,'Device Refrigerant Leakage'!$B$2:$B$42,0)),"")</f>
        <v/>
      </c>
      <c r="CY942" s="138" t="str">
        <f>IF($I942&lt;&gt;"",INDEX('Device Refrigerant Leakage'!$F$2:$F$42,MATCH($Q942,'Device Refrigerant Leakage'!$B$2:$B$42,0)),"")</f>
        <v/>
      </c>
      <c r="CZ942" s="145" t="str">
        <f>IF($I942&lt;&gt;"",INDEX('Device Refrigerant Leakage'!$G$2:$G$42,MATCH($Q942,'Device Refrigerant Leakage'!$B$2:$B$42,0)),"")</f>
        <v/>
      </c>
      <c r="DA942" s="145" t="str">
        <f>IF($I942&lt;&gt;"",J942*INDEX('Device Refrigerant Leakage'!$D$2:$D$42,MATCH($Q942,'Device Refrigerant Leakage'!$B$2:$B$42,0))*CX942/2204.62*CW942,"")</f>
        <v/>
      </c>
      <c r="DB942" s="145" t="str">
        <f>IF($I942&lt;&gt;"",J942*(INDEX('Device Refrigerant Leakage'!$D$2:$D$42,MATCH($Q942,'Device Refrigerant Leakage'!$B$2:$B$42,0))-(INDEX('Device Refrigerant Leakage'!$D$2:$D$42,MATCH($Q942,'Device Refrigerant Leakage'!$B$2:$B$42,0)))*CZ942*CX942)*CY942/2204.62*CW942,"")</f>
        <v/>
      </c>
      <c r="DC942" s="135" t="str">
        <f t="shared" si="1096"/>
        <v/>
      </c>
      <c r="DE942" s="146" t="str">
        <f>IF(W942&lt;&gt;"AR","",IF(Y942="User Specified", AA942, INDEX('Refrigerant GWPs'!$G$2:$G$154,MATCH(Y942,'Refrigerant GWPs'!$A$2:$A$154,0))))</f>
        <v/>
      </c>
      <c r="DF942" s="146" t="str">
        <f>IF(W942&lt;&gt;"AR","",INDEX('Device Refrigerant Leakage'!$E$2:$E$42,MATCH(X942,'Device Refrigerant Leakage'!$B$2:$B$42,0)))</f>
        <v/>
      </c>
      <c r="DG942" s="146" t="str">
        <f>IF(W942&lt;&gt;"AR","",INDEX('Device Refrigerant Leakage'!$F$2:$F$42,MATCH(X942,'Device Refrigerant Leakage'!$B$2:$B$42,0)))</f>
        <v/>
      </c>
      <c r="DH942" s="146" t="str">
        <f>IF(W942&lt;&gt;"AR","",INDEX('Device Refrigerant Leakage'!$G$2:$G$42,MATCH(X942,'Device Refrigerant Leakage'!$B$2:$B$42,0)))</f>
        <v/>
      </c>
      <c r="DI942" s="146" t="str">
        <f>IF(W942&lt;&gt;"AR","",J942*INDEX('Device Refrigerant Leakage'!$D$2:$D$42,MATCH(X942,'Device Refrigerant Leakage'!$B$2:$B$42,0))*DF942/2204.62*DE942)</f>
        <v/>
      </c>
      <c r="DJ942" s="146" t="str">
        <f>IF(W942&lt;&gt;"AR","",J942*(INDEX('Device Refrigerant Leakage'!$D$2:$D$42,MATCH(X942,'Device Refrigerant Leakage'!$B$2:$B$42,0))-(INDEX('Device Refrigerant Leakage'!$D$2:$D$42,MATCH(X942,'Device Refrigerant Leakage'!$B$2:$B$42,0)))*DH942*DF942)*DG942/2204.62*DE942)</f>
        <v/>
      </c>
      <c r="DK942" s="146" t="str">
        <f>IF(W942&lt;&gt;"AR","",DI942*(K942-AB942)+'Fuel Sub Calcs-Deemed'!DJ942*((K942-AB942)/INDEX('Device Refrigerant Leakage'!$C$2:$C$42,MATCH('Fuel Sub Calcs-Deemed'!X942,'Device Refrigerant Leakage'!$B$2:$B$42,0))))</f>
        <v/>
      </c>
      <c r="DM942" s="56">
        <v>928</v>
      </c>
      <c r="DN942" s="67" t="e">
        <f t="shared" si="1078"/>
        <v>#N/A</v>
      </c>
      <c r="DO942" s="45" t="e">
        <f t="shared" si="1079"/>
        <v>#N/A</v>
      </c>
      <c r="DP942" s="67" t="e">
        <f t="shared" si="1080"/>
        <v>#N/A</v>
      </c>
      <c r="DQ942" s="45" t="e">
        <f t="shared" si="1081"/>
        <v>#N/A</v>
      </c>
      <c r="DR942" s="69" t="e">
        <f t="shared" si="1082"/>
        <v>#N/A</v>
      </c>
      <c r="DS942" s="34"/>
      <c r="DT942" s="67" t="e">
        <f>((BX942*CJ942)+IF($W942=MAT_AR,(BZ942*CL942),0))*(1+Reference!$E$50+Reference!$E$51)</f>
        <v>#N/A</v>
      </c>
      <c r="DU942" s="67">
        <f>((BY942*CK942)+IF($W942=MAT_AR,(CA942*CM942),0))*(1+Reference!$G$50+Reference!$G$51)</f>
        <v>0</v>
      </c>
      <c r="DV942" s="67" t="e">
        <f t="shared" si="1083"/>
        <v>#VALUE!</v>
      </c>
      <c r="DX942" s="56">
        <v>928</v>
      </c>
      <c r="DY942" s="67">
        <f t="shared" si="1084"/>
        <v>0</v>
      </c>
      <c r="DZ942" s="45" t="e">
        <f>VLOOKUP($R942,Dropdown!$C$3:$D$4,2,FALSE)</f>
        <v>#N/A</v>
      </c>
      <c r="EA942" s="68">
        <f t="shared" si="1085"/>
        <v>0</v>
      </c>
      <c r="EB942" s="68" t="str">
        <f t="shared" si="1086"/>
        <v>N/A</v>
      </c>
      <c r="EC942" s="68">
        <f t="shared" si="1087"/>
        <v>0</v>
      </c>
      <c r="ED942" s="68" t="str">
        <f t="shared" si="1125"/>
        <v>N/A</v>
      </c>
      <c r="EF942" s="56">
        <v>928</v>
      </c>
      <c r="EG942" s="46">
        <f t="shared" si="1088"/>
        <v>0</v>
      </c>
      <c r="EH942" s="68" t="e">
        <f t="shared" si="1089"/>
        <v>#N/A</v>
      </c>
      <c r="EI942" s="68" t="e">
        <f t="shared" si="1090"/>
        <v>#N/A</v>
      </c>
      <c r="EJ942" s="68" t="e">
        <f t="shared" si="1091"/>
        <v>#N/A</v>
      </c>
      <c r="EK942" s="68" t="e">
        <f t="shared" si="1092"/>
        <v>#N/A</v>
      </c>
      <c r="EL942" s="46">
        <f t="shared" si="1093"/>
        <v>0</v>
      </c>
      <c r="EM942" s="46">
        <f t="shared" si="1094"/>
        <v>0</v>
      </c>
    </row>
    <row r="943" spans="1:143">
      <c r="A943" s="89"/>
      <c r="B943" s="89"/>
      <c r="C943" s="89"/>
      <c r="D943" s="89"/>
      <c r="E943" s="89"/>
      <c r="F943" s="89"/>
      <c r="G943" s="34"/>
      <c r="H943" s="56">
        <f t="shared" si="1095"/>
        <v>929</v>
      </c>
      <c r="I943" s="165"/>
      <c r="J943" s="163"/>
      <c r="K943" s="163"/>
      <c r="L943" s="164"/>
      <c r="M943" s="155"/>
      <c r="N943" s="155"/>
      <c r="O943" s="144"/>
      <c r="P943" s="159" t="str">
        <f>IFERROR(IF(O943&lt;&gt;"User Specified",IF(O943&lt;&gt;"", INDEX('Refrigerant GWPs'!$G$2:$G$154,MATCH(O943,'Refrigerant GWPs'!$A$2:$A$154,0)),""),U943),0)</f>
        <v/>
      </c>
      <c r="Q943" s="155"/>
      <c r="R943" s="155"/>
      <c r="S943" s="144"/>
      <c r="T943" s="159" t="str">
        <f>IF(S943&lt;&gt;"User Specified",IF(AND(S943&lt;&gt;"User Specified",S943&lt;&gt;""), INDEX('Refrigerant GWPs'!$G$2:$G$154,MATCH(S943,'Refrigerant GWPs'!$A$2:$A$154,0)),""),V943)</f>
        <v/>
      </c>
      <c r="U943" s="144"/>
      <c r="V943" s="144"/>
      <c r="W943" s="155"/>
      <c r="X943" s="155"/>
      <c r="Y943" s="144"/>
      <c r="Z943" s="159" t="str">
        <f>IF(AND(Y943&lt;&gt;"User Specified",Y943&lt;&gt;""), INDEX('Refrigerant GWPs'!$G$2:$G$154,MATCH(Y943,'Refrigerant GWPs'!$A$2:$A$154,0)),"")</f>
        <v/>
      </c>
      <c r="AA943" s="155"/>
      <c r="AB943" s="156"/>
      <c r="AC943" s="66"/>
      <c r="AD943" s="66"/>
      <c r="AE943" s="66"/>
      <c r="AF943" s="66"/>
      <c r="AG943" s="66"/>
      <c r="AH943" s="66"/>
      <c r="AI943" s="34"/>
      <c r="AJ943" s="88">
        <f t="shared" si="1058"/>
        <v>0</v>
      </c>
      <c r="AK943" s="88">
        <f t="shared" si="1059"/>
        <v>0</v>
      </c>
      <c r="AL943" s="88">
        <v>0</v>
      </c>
      <c r="AM943" s="88">
        <v>0</v>
      </c>
      <c r="AN943" s="81" t="str">
        <f t="shared" si="1097"/>
        <v/>
      </c>
      <c r="AO943" s="88">
        <f t="shared" si="1060"/>
        <v>0</v>
      </c>
      <c r="AP943" s="88">
        <f t="shared" si="1061"/>
        <v>0</v>
      </c>
      <c r="AQ943" s="81" t="str">
        <f t="shared" si="1062"/>
        <v/>
      </c>
      <c r="AS943" s="41" t="b">
        <f t="shared" si="1063"/>
        <v>1</v>
      </c>
      <c r="AT943" s="38">
        <f t="shared" si="1064"/>
        <v>0</v>
      </c>
      <c r="AU943" s="60">
        <f t="shared" si="1065"/>
        <v>0</v>
      </c>
      <c r="AV943" s="41">
        <f t="shared" si="1066"/>
        <v>0</v>
      </c>
      <c r="AW943" s="41" t="b">
        <f t="shared" si="1067"/>
        <v>0</v>
      </c>
      <c r="AX943" t="str">
        <f t="shared" si="1068"/>
        <v>+00</v>
      </c>
      <c r="AY943" t="str">
        <f t="shared" si="1069"/>
        <v>+00</v>
      </c>
      <c r="BA943" s="47" t="b">
        <f t="shared" si="1098"/>
        <v>1</v>
      </c>
      <c r="BB943" s="42" t="b">
        <f t="shared" si="1099"/>
        <v>1</v>
      </c>
      <c r="BC943" s="42" t="b">
        <f t="shared" si="1100"/>
        <v>0</v>
      </c>
      <c r="BD943" s="42" t="b">
        <f t="shared" si="1101"/>
        <v>0</v>
      </c>
      <c r="BE943" s="70">
        <f t="shared" si="1102"/>
        <v>0</v>
      </c>
      <c r="BF943" s="70">
        <f t="shared" si="1103"/>
        <v>0</v>
      </c>
      <c r="BG943" s="34"/>
      <c r="BI943" s="47" t="b">
        <f t="shared" si="1104"/>
        <v>1</v>
      </c>
      <c r="BJ943" s="47" t="b">
        <f t="shared" si="1105"/>
        <v>1</v>
      </c>
      <c r="BK943" s="42" t="b">
        <f t="shared" si="1106"/>
        <v>0</v>
      </c>
      <c r="BL943" s="42" t="b">
        <f t="shared" si="1107"/>
        <v>0</v>
      </c>
      <c r="BM943" s="42">
        <f t="shared" si="1108"/>
        <v>0</v>
      </c>
      <c r="BN943" s="42">
        <f t="shared" si="1109"/>
        <v>0</v>
      </c>
      <c r="BP943" t="e">
        <f t="shared" si="1110"/>
        <v>#N/A</v>
      </c>
      <c r="BQ943" t="e">
        <f t="shared" si="1111"/>
        <v>#N/A</v>
      </c>
      <c r="BR943" t="e">
        <f t="shared" si="1112"/>
        <v>#N/A</v>
      </c>
      <c r="BT943" s="60">
        <f t="shared" si="1113"/>
        <v>0</v>
      </c>
      <c r="BU943" s="60">
        <f t="shared" si="1114"/>
        <v>0</v>
      </c>
      <c r="BV943" s="60">
        <f t="shared" si="1115"/>
        <v>0</v>
      </c>
      <c r="BW943" s="60">
        <f t="shared" si="1116"/>
        <v>0</v>
      </c>
      <c r="BX943" s="60">
        <f t="shared" si="1117"/>
        <v>0</v>
      </c>
      <c r="BY943" s="60">
        <f t="shared" si="1118"/>
        <v>0</v>
      </c>
      <c r="BZ943" s="60">
        <f t="shared" si="1119"/>
        <v>0</v>
      </c>
      <c r="CA943" s="60">
        <f t="shared" si="1120"/>
        <v>0</v>
      </c>
      <c r="CB943" s="60" t="e">
        <f t="shared" si="1070"/>
        <v>#N/A</v>
      </c>
      <c r="CC943" s="60">
        <f t="shared" si="1071"/>
        <v>100000</v>
      </c>
      <c r="CD943" s="60" t="e">
        <f t="shared" si="1072"/>
        <v>#N/A</v>
      </c>
      <c r="CE943" s="60">
        <f t="shared" si="1073"/>
        <v>100000</v>
      </c>
      <c r="CF943" s="83" t="e">
        <f t="shared" si="1121"/>
        <v>#N/A</v>
      </c>
      <c r="CG943" s="83">
        <f t="shared" si="1122"/>
        <v>0</v>
      </c>
      <c r="CH943" s="83" t="e">
        <f t="shared" si="1123"/>
        <v>#N/A</v>
      </c>
      <c r="CI943" s="83">
        <f t="shared" si="1124"/>
        <v>0</v>
      </c>
      <c r="CJ943" s="86" t="e">
        <f t="shared" si="1074"/>
        <v>#N/A</v>
      </c>
      <c r="CK943" s="82">
        <f t="shared" si="1075"/>
        <v>5.3070370403969858E-3</v>
      </c>
      <c r="CL943" s="82" t="e">
        <f t="shared" si="1076"/>
        <v>#N/A</v>
      </c>
      <c r="CM943" s="82">
        <f t="shared" si="1077"/>
        <v>5.3070370403969858E-3</v>
      </c>
      <c r="CO943" s="149" t="str">
        <f>IF($I943&lt;&gt;"",IF(O943="User Specified",U943,INDEX('Refrigerant GWPs'!$G$2:$G$156,MATCH(O943,'Refrigerant GWPs'!$A$2:$A$156,0))),"")</f>
        <v/>
      </c>
      <c r="CP943" s="138" t="str">
        <f>IF($I943&lt;&gt;"",INDEX('Device Refrigerant Leakage'!$E$2:$E$42,MATCH($M943,'Device Refrigerant Leakage'!$B$2:$B$42,0)),"")</f>
        <v/>
      </c>
      <c r="CQ943" s="138" t="str">
        <f>IF($I943&lt;&gt;"",INDEX('Device Refrigerant Leakage'!$F$2:$F$42,MATCH($M943,'Device Refrigerant Leakage'!$B$2:$B$42,0)),"")</f>
        <v/>
      </c>
      <c r="CR943" s="145" t="str">
        <f>IF($I943&lt;&gt;"",INDEX('Device Refrigerant Leakage'!$G$2:$G$42,MATCH($M943,'Device Refrigerant Leakage'!$B$2:$B$42,0)),"")</f>
        <v/>
      </c>
      <c r="CS943" s="145" t="str">
        <f>IF($I943&lt;&gt;"",INDEX('Device Refrigerant Leakage'!$D$2:$D$42,MATCH($M943,'Device Refrigerant Leakage'!$B$2:$B$42,0))*CP943/2204.62*CO943,"")</f>
        <v/>
      </c>
      <c r="CT943" s="145" t="str">
        <f>IF($I943&lt;&gt;"",J943*(INDEX('Device Refrigerant Leakage'!$D$2:$D$42,MATCH($M943,'Device Refrigerant Leakage'!$B$2:$B$42,0))-(INDEX('Device Refrigerant Leakage'!$D$2:$D$42,MATCH($M943,'Device Refrigerant Leakage'!$B$2:$B$42,0)))*CR943*CP943)*CQ943/2204.62*CO943,"")</f>
        <v/>
      </c>
      <c r="CU943" s="135" t="str">
        <f>IF($I943&lt;&gt;"",J943*IF(W943&lt;&gt;"AR",(CS943*K943)+CT943,(CS943*AB943)+CT943*(AB943/INDEX('Device Refrigerant Leakage'!$C$2:$C$42,MATCH($M943,'Device Refrigerant Leakage'!$B$2:$B$42,0)))),"")</f>
        <v/>
      </c>
      <c r="CW943" s="135" t="str">
        <f>IF($I943&lt;&gt;"",IF(S943="User Specified",V943,INDEX('Refrigerant GWPs'!$G$2:$G$156,MATCH(S943,'Refrigerant GWPs'!$A$2:$A$157,0))),"")</f>
        <v/>
      </c>
      <c r="CX943" s="138" t="str">
        <f>IF($I943&lt;&gt;"",INDEX('Device Refrigerant Leakage'!$E$2:$E$42,MATCH($Q943,'Device Refrigerant Leakage'!$B$2:$B$42,0)),"")</f>
        <v/>
      </c>
      <c r="CY943" s="138" t="str">
        <f>IF($I943&lt;&gt;"",INDEX('Device Refrigerant Leakage'!$F$2:$F$42,MATCH($Q943,'Device Refrigerant Leakage'!$B$2:$B$42,0)),"")</f>
        <v/>
      </c>
      <c r="CZ943" s="145" t="str">
        <f>IF($I943&lt;&gt;"",INDEX('Device Refrigerant Leakage'!$G$2:$G$42,MATCH($Q943,'Device Refrigerant Leakage'!$B$2:$B$42,0)),"")</f>
        <v/>
      </c>
      <c r="DA943" s="145" t="str">
        <f>IF($I943&lt;&gt;"",J943*INDEX('Device Refrigerant Leakage'!$D$2:$D$42,MATCH($Q943,'Device Refrigerant Leakage'!$B$2:$B$42,0))*CX943/2204.62*CW943,"")</f>
        <v/>
      </c>
      <c r="DB943" s="145" t="str">
        <f>IF($I943&lt;&gt;"",J943*(INDEX('Device Refrigerant Leakage'!$D$2:$D$42,MATCH($Q943,'Device Refrigerant Leakage'!$B$2:$B$42,0))-(INDEX('Device Refrigerant Leakage'!$D$2:$D$42,MATCH($Q943,'Device Refrigerant Leakage'!$B$2:$B$42,0)))*CZ943*CX943)*CY943/2204.62*CW943,"")</f>
        <v/>
      </c>
      <c r="DC943" s="135" t="str">
        <f t="shared" si="1096"/>
        <v/>
      </c>
      <c r="DE943" s="146" t="str">
        <f>IF(W943&lt;&gt;"AR","",IF(Y943="User Specified", AA943, INDEX('Refrigerant GWPs'!$G$2:$G$154,MATCH(Y943,'Refrigerant GWPs'!$A$2:$A$154,0))))</f>
        <v/>
      </c>
      <c r="DF943" s="146" t="str">
        <f>IF(W943&lt;&gt;"AR","",INDEX('Device Refrigerant Leakage'!$E$2:$E$42,MATCH(X943,'Device Refrigerant Leakage'!$B$2:$B$42,0)))</f>
        <v/>
      </c>
      <c r="DG943" s="146" t="str">
        <f>IF(W943&lt;&gt;"AR","",INDEX('Device Refrigerant Leakage'!$F$2:$F$42,MATCH(X943,'Device Refrigerant Leakage'!$B$2:$B$42,0)))</f>
        <v/>
      </c>
      <c r="DH943" s="146" t="str">
        <f>IF(W943&lt;&gt;"AR","",INDEX('Device Refrigerant Leakage'!$G$2:$G$42,MATCH(X943,'Device Refrigerant Leakage'!$B$2:$B$42,0)))</f>
        <v/>
      </c>
      <c r="DI943" s="146" t="str">
        <f>IF(W943&lt;&gt;"AR","",J943*INDEX('Device Refrigerant Leakage'!$D$2:$D$42,MATCH(X943,'Device Refrigerant Leakage'!$B$2:$B$42,0))*DF943/2204.62*DE943)</f>
        <v/>
      </c>
      <c r="DJ943" s="146" t="str">
        <f>IF(W943&lt;&gt;"AR","",J943*(INDEX('Device Refrigerant Leakage'!$D$2:$D$42,MATCH(X943,'Device Refrigerant Leakage'!$B$2:$B$42,0))-(INDEX('Device Refrigerant Leakage'!$D$2:$D$42,MATCH(X943,'Device Refrigerant Leakage'!$B$2:$B$42,0)))*DH943*DF943)*DG943/2204.62*DE943)</f>
        <v/>
      </c>
      <c r="DK943" s="146" t="str">
        <f>IF(W943&lt;&gt;"AR","",DI943*(K943-AB943)+'Fuel Sub Calcs-Deemed'!DJ943*((K943-AB943)/INDEX('Device Refrigerant Leakage'!$C$2:$C$42,MATCH('Fuel Sub Calcs-Deemed'!X943,'Device Refrigerant Leakage'!$B$2:$B$42,0))))</f>
        <v/>
      </c>
      <c r="DM943" s="56">
        <v>929</v>
      </c>
      <c r="DN943" s="67" t="e">
        <f t="shared" si="1078"/>
        <v>#N/A</v>
      </c>
      <c r="DO943" s="45" t="e">
        <f t="shared" si="1079"/>
        <v>#N/A</v>
      </c>
      <c r="DP943" s="67" t="e">
        <f t="shared" si="1080"/>
        <v>#N/A</v>
      </c>
      <c r="DQ943" s="45" t="e">
        <f t="shared" si="1081"/>
        <v>#N/A</v>
      </c>
      <c r="DR943" s="69" t="e">
        <f t="shared" si="1082"/>
        <v>#N/A</v>
      </c>
      <c r="DS943" s="34"/>
      <c r="DT943" s="67" t="e">
        <f>((BX943*CJ943)+IF($W943=MAT_AR,(BZ943*CL943),0))*(1+Reference!$E$50+Reference!$E$51)</f>
        <v>#N/A</v>
      </c>
      <c r="DU943" s="67">
        <f>((BY943*CK943)+IF($W943=MAT_AR,(CA943*CM943),0))*(1+Reference!$G$50+Reference!$G$51)</f>
        <v>0</v>
      </c>
      <c r="DV943" s="67" t="e">
        <f t="shared" si="1083"/>
        <v>#VALUE!</v>
      </c>
      <c r="DX943" s="56">
        <v>929</v>
      </c>
      <c r="DY943" s="67">
        <f t="shared" si="1084"/>
        <v>0</v>
      </c>
      <c r="DZ943" s="45" t="e">
        <f>VLOOKUP($R943,Dropdown!$C$3:$D$4,2,FALSE)</f>
        <v>#N/A</v>
      </c>
      <c r="EA943" s="68">
        <f t="shared" si="1085"/>
        <v>0</v>
      </c>
      <c r="EB943" s="68" t="str">
        <f t="shared" si="1086"/>
        <v>N/A</v>
      </c>
      <c r="EC943" s="68">
        <f t="shared" si="1087"/>
        <v>0</v>
      </c>
      <c r="ED943" s="68" t="str">
        <f t="shared" si="1125"/>
        <v>N/A</v>
      </c>
      <c r="EF943" s="56">
        <v>929</v>
      </c>
      <c r="EG943" s="46">
        <f t="shared" si="1088"/>
        <v>0</v>
      </c>
      <c r="EH943" s="68" t="e">
        <f t="shared" si="1089"/>
        <v>#N/A</v>
      </c>
      <c r="EI943" s="68" t="e">
        <f t="shared" si="1090"/>
        <v>#N/A</v>
      </c>
      <c r="EJ943" s="68" t="e">
        <f t="shared" si="1091"/>
        <v>#N/A</v>
      </c>
      <c r="EK943" s="68" t="e">
        <f t="shared" si="1092"/>
        <v>#N/A</v>
      </c>
      <c r="EL943" s="46">
        <f t="shared" si="1093"/>
        <v>0</v>
      </c>
      <c r="EM943" s="46">
        <f t="shared" si="1094"/>
        <v>0</v>
      </c>
    </row>
    <row r="944" spans="1:143">
      <c r="A944" s="89"/>
      <c r="B944" s="89"/>
      <c r="C944" s="89"/>
      <c r="D944" s="89"/>
      <c r="E944" s="89"/>
      <c r="F944" s="89"/>
      <c r="G944" s="34"/>
      <c r="H944" s="56">
        <f t="shared" si="1095"/>
        <v>930</v>
      </c>
      <c r="I944" s="165"/>
      <c r="J944" s="163"/>
      <c r="K944" s="163"/>
      <c r="L944" s="164"/>
      <c r="M944" s="155"/>
      <c r="N944" s="155"/>
      <c r="O944" s="144"/>
      <c r="P944" s="159" t="str">
        <f>IFERROR(IF(O944&lt;&gt;"User Specified",IF(O944&lt;&gt;"", INDEX('Refrigerant GWPs'!$G$2:$G$154,MATCH(O944,'Refrigerant GWPs'!$A$2:$A$154,0)),""),U944),0)</f>
        <v/>
      </c>
      <c r="Q944" s="155"/>
      <c r="R944" s="155"/>
      <c r="S944" s="144"/>
      <c r="T944" s="159" t="str">
        <f>IF(S944&lt;&gt;"User Specified",IF(AND(S944&lt;&gt;"User Specified",S944&lt;&gt;""), INDEX('Refrigerant GWPs'!$G$2:$G$154,MATCH(S944,'Refrigerant GWPs'!$A$2:$A$154,0)),""),V944)</f>
        <v/>
      </c>
      <c r="U944" s="144"/>
      <c r="V944" s="144"/>
      <c r="W944" s="155"/>
      <c r="X944" s="155"/>
      <c r="Y944" s="144"/>
      <c r="Z944" s="159" t="str">
        <f>IF(AND(Y944&lt;&gt;"User Specified",Y944&lt;&gt;""), INDEX('Refrigerant GWPs'!$G$2:$G$154,MATCH(Y944,'Refrigerant GWPs'!$A$2:$A$154,0)),"")</f>
        <v/>
      </c>
      <c r="AA944" s="155"/>
      <c r="AB944" s="156"/>
      <c r="AC944" s="66"/>
      <c r="AD944" s="66"/>
      <c r="AE944" s="66"/>
      <c r="AF944" s="66"/>
      <c r="AG944" s="66"/>
      <c r="AH944" s="66"/>
      <c r="AI944" s="34"/>
      <c r="AJ944" s="88">
        <f t="shared" si="1058"/>
        <v>0</v>
      </c>
      <c r="AK944" s="88">
        <f t="shared" si="1059"/>
        <v>0</v>
      </c>
      <c r="AL944" s="88">
        <v>0</v>
      </c>
      <c r="AM944" s="88">
        <v>0</v>
      </c>
      <c r="AN944" s="81" t="str">
        <f t="shared" si="1097"/>
        <v/>
      </c>
      <c r="AO944" s="88">
        <f t="shared" si="1060"/>
        <v>0</v>
      </c>
      <c r="AP944" s="88">
        <f t="shared" si="1061"/>
        <v>0</v>
      </c>
      <c r="AQ944" s="81" t="str">
        <f t="shared" si="1062"/>
        <v/>
      </c>
      <c r="AS944" s="41" t="b">
        <f t="shared" si="1063"/>
        <v>1</v>
      </c>
      <c r="AT944" s="38">
        <f t="shared" si="1064"/>
        <v>0</v>
      </c>
      <c r="AU944" s="60">
        <f t="shared" si="1065"/>
        <v>0</v>
      </c>
      <c r="AV944" s="41">
        <f t="shared" si="1066"/>
        <v>0</v>
      </c>
      <c r="AW944" s="41" t="b">
        <f t="shared" si="1067"/>
        <v>0</v>
      </c>
      <c r="AX944" t="str">
        <f t="shared" si="1068"/>
        <v>+00</v>
      </c>
      <c r="AY944" t="str">
        <f t="shared" si="1069"/>
        <v>+00</v>
      </c>
      <c r="BA944" s="47" t="b">
        <f t="shared" si="1098"/>
        <v>1</v>
      </c>
      <c r="BB944" s="42" t="b">
        <f t="shared" si="1099"/>
        <v>1</v>
      </c>
      <c r="BC944" s="42" t="b">
        <f t="shared" si="1100"/>
        <v>0</v>
      </c>
      <c r="BD944" s="42" t="b">
        <f t="shared" si="1101"/>
        <v>0</v>
      </c>
      <c r="BE944" s="70">
        <f t="shared" si="1102"/>
        <v>0</v>
      </c>
      <c r="BF944" s="70">
        <f t="shared" si="1103"/>
        <v>0</v>
      </c>
      <c r="BG944" s="34"/>
      <c r="BI944" s="47" t="b">
        <f t="shared" si="1104"/>
        <v>1</v>
      </c>
      <c r="BJ944" s="47" t="b">
        <f t="shared" si="1105"/>
        <v>1</v>
      </c>
      <c r="BK944" s="42" t="b">
        <f t="shared" si="1106"/>
        <v>0</v>
      </c>
      <c r="BL944" s="42" t="b">
        <f t="shared" si="1107"/>
        <v>0</v>
      </c>
      <c r="BM944" s="42">
        <f t="shared" si="1108"/>
        <v>0</v>
      </c>
      <c r="BN944" s="42">
        <f t="shared" si="1109"/>
        <v>0</v>
      </c>
      <c r="BP944" t="e">
        <f t="shared" si="1110"/>
        <v>#N/A</v>
      </c>
      <c r="BQ944" t="e">
        <f t="shared" si="1111"/>
        <v>#N/A</v>
      </c>
      <c r="BR944" t="e">
        <f t="shared" si="1112"/>
        <v>#N/A</v>
      </c>
      <c r="BT944" s="60">
        <f t="shared" si="1113"/>
        <v>0</v>
      </c>
      <c r="BU944" s="60">
        <f t="shared" si="1114"/>
        <v>0</v>
      </c>
      <c r="BV944" s="60">
        <f t="shared" si="1115"/>
        <v>0</v>
      </c>
      <c r="BW944" s="60">
        <f t="shared" si="1116"/>
        <v>0</v>
      </c>
      <c r="BX944" s="60">
        <f t="shared" si="1117"/>
        <v>0</v>
      </c>
      <c r="BY944" s="60">
        <f t="shared" si="1118"/>
        <v>0</v>
      </c>
      <c r="BZ944" s="60">
        <f t="shared" si="1119"/>
        <v>0</v>
      </c>
      <c r="CA944" s="60">
        <f t="shared" si="1120"/>
        <v>0</v>
      </c>
      <c r="CB944" s="60" t="e">
        <f t="shared" si="1070"/>
        <v>#N/A</v>
      </c>
      <c r="CC944" s="60">
        <f t="shared" si="1071"/>
        <v>100000</v>
      </c>
      <c r="CD944" s="60" t="e">
        <f t="shared" si="1072"/>
        <v>#N/A</v>
      </c>
      <c r="CE944" s="60">
        <f t="shared" si="1073"/>
        <v>100000</v>
      </c>
      <c r="CF944" s="83" t="e">
        <f t="shared" si="1121"/>
        <v>#N/A</v>
      </c>
      <c r="CG944" s="83">
        <f t="shared" si="1122"/>
        <v>0</v>
      </c>
      <c r="CH944" s="83" t="e">
        <f t="shared" si="1123"/>
        <v>#N/A</v>
      </c>
      <c r="CI944" s="83">
        <f t="shared" si="1124"/>
        <v>0</v>
      </c>
      <c r="CJ944" s="86" t="e">
        <f t="shared" si="1074"/>
        <v>#N/A</v>
      </c>
      <c r="CK944" s="82">
        <f t="shared" si="1075"/>
        <v>5.3070370403969858E-3</v>
      </c>
      <c r="CL944" s="82" t="e">
        <f t="shared" si="1076"/>
        <v>#N/A</v>
      </c>
      <c r="CM944" s="82">
        <f t="shared" si="1077"/>
        <v>5.3070370403969858E-3</v>
      </c>
      <c r="CO944" s="149" t="str">
        <f>IF($I944&lt;&gt;"",IF(O944="User Specified",U944,INDEX('Refrigerant GWPs'!$G$2:$G$156,MATCH(O944,'Refrigerant GWPs'!$A$2:$A$156,0))),"")</f>
        <v/>
      </c>
      <c r="CP944" s="138" t="str">
        <f>IF($I944&lt;&gt;"",INDEX('Device Refrigerant Leakage'!$E$2:$E$42,MATCH($M944,'Device Refrigerant Leakage'!$B$2:$B$42,0)),"")</f>
        <v/>
      </c>
      <c r="CQ944" s="138" t="str">
        <f>IF($I944&lt;&gt;"",INDEX('Device Refrigerant Leakage'!$F$2:$F$42,MATCH($M944,'Device Refrigerant Leakage'!$B$2:$B$42,0)),"")</f>
        <v/>
      </c>
      <c r="CR944" s="145" t="str">
        <f>IF($I944&lt;&gt;"",INDEX('Device Refrigerant Leakage'!$G$2:$G$42,MATCH($M944,'Device Refrigerant Leakage'!$B$2:$B$42,0)),"")</f>
        <v/>
      </c>
      <c r="CS944" s="145" t="str">
        <f>IF($I944&lt;&gt;"",INDEX('Device Refrigerant Leakage'!$D$2:$D$42,MATCH($M944,'Device Refrigerant Leakage'!$B$2:$B$42,0))*CP944/2204.62*CO944,"")</f>
        <v/>
      </c>
      <c r="CT944" s="145" t="str">
        <f>IF($I944&lt;&gt;"",J944*(INDEX('Device Refrigerant Leakage'!$D$2:$D$42,MATCH($M944,'Device Refrigerant Leakage'!$B$2:$B$42,0))-(INDEX('Device Refrigerant Leakage'!$D$2:$D$42,MATCH($M944,'Device Refrigerant Leakage'!$B$2:$B$42,0)))*CR944*CP944)*CQ944/2204.62*CO944,"")</f>
        <v/>
      </c>
      <c r="CU944" s="135" t="str">
        <f>IF($I944&lt;&gt;"",J944*IF(W944&lt;&gt;"AR",(CS944*K944)+CT944,(CS944*AB944)+CT944*(AB944/INDEX('Device Refrigerant Leakage'!$C$2:$C$42,MATCH($M944,'Device Refrigerant Leakage'!$B$2:$B$42,0)))),"")</f>
        <v/>
      </c>
      <c r="CW944" s="135" t="str">
        <f>IF($I944&lt;&gt;"",IF(S944="User Specified",V944,INDEX('Refrigerant GWPs'!$G$2:$G$156,MATCH(S944,'Refrigerant GWPs'!$A$2:$A$157,0))),"")</f>
        <v/>
      </c>
      <c r="CX944" s="138" t="str">
        <f>IF($I944&lt;&gt;"",INDEX('Device Refrigerant Leakage'!$E$2:$E$42,MATCH($Q944,'Device Refrigerant Leakage'!$B$2:$B$42,0)),"")</f>
        <v/>
      </c>
      <c r="CY944" s="138" t="str">
        <f>IF($I944&lt;&gt;"",INDEX('Device Refrigerant Leakage'!$F$2:$F$42,MATCH($Q944,'Device Refrigerant Leakage'!$B$2:$B$42,0)),"")</f>
        <v/>
      </c>
      <c r="CZ944" s="145" t="str">
        <f>IF($I944&lt;&gt;"",INDEX('Device Refrigerant Leakage'!$G$2:$G$42,MATCH($Q944,'Device Refrigerant Leakage'!$B$2:$B$42,0)),"")</f>
        <v/>
      </c>
      <c r="DA944" s="145" t="str">
        <f>IF($I944&lt;&gt;"",J944*INDEX('Device Refrigerant Leakage'!$D$2:$D$42,MATCH($Q944,'Device Refrigerant Leakage'!$B$2:$B$42,0))*CX944/2204.62*CW944,"")</f>
        <v/>
      </c>
      <c r="DB944" s="145" t="str">
        <f>IF($I944&lt;&gt;"",J944*(INDEX('Device Refrigerant Leakage'!$D$2:$D$42,MATCH($Q944,'Device Refrigerant Leakage'!$B$2:$B$42,0))-(INDEX('Device Refrigerant Leakage'!$D$2:$D$42,MATCH($Q944,'Device Refrigerant Leakage'!$B$2:$B$42,0)))*CZ944*CX944)*CY944/2204.62*CW944,"")</f>
        <v/>
      </c>
      <c r="DC944" s="135" t="str">
        <f t="shared" si="1096"/>
        <v/>
      </c>
      <c r="DE944" s="146" t="str">
        <f>IF(W944&lt;&gt;"AR","",IF(Y944="User Specified", AA944, INDEX('Refrigerant GWPs'!$G$2:$G$154,MATCH(Y944,'Refrigerant GWPs'!$A$2:$A$154,0))))</f>
        <v/>
      </c>
      <c r="DF944" s="146" t="str">
        <f>IF(W944&lt;&gt;"AR","",INDEX('Device Refrigerant Leakage'!$E$2:$E$42,MATCH(X944,'Device Refrigerant Leakage'!$B$2:$B$42,0)))</f>
        <v/>
      </c>
      <c r="DG944" s="146" t="str">
        <f>IF(W944&lt;&gt;"AR","",INDEX('Device Refrigerant Leakage'!$F$2:$F$42,MATCH(X944,'Device Refrigerant Leakage'!$B$2:$B$42,0)))</f>
        <v/>
      </c>
      <c r="DH944" s="146" t="str">
        <f>IF(W944&lt;&gt;"AR","",INDEX('Device Refrigerant Leakage'!$G$2:$G$42,MATCH(X944,'Device Refrigerant Leakage'!$B$2:$B$42,0)))</f>
        <v/>
      </c>
      <c r="DI944" s="146" t="str">
        <f>IF(W944&lt;&gt;"AR","",J944*INDEX('Device Refrigerant Leakage'!$D$2:$D$42,MATCH(X944,'Device Refrigerant Leakage'!$B$2:$B$42,0))*DF944/2204.62*DE944)</f>
        <v/>
      </c>
      <c r="DJ944" s="146" t="str">
        <f>IF(W944&lt;&gt;"AR","",J944*(INDEX('Device Refrigerant Leakage'!$D$2:$D$42,MATCH(X944,'Device Refrigerant Leakage'!$B$2:$B$42,0))-(INDEX('Device Refrigerant Leakage'!$D$2:$D$42,MATCH(X944,'Device Refrigerant Leakage'!$B$2:$B$42,0)))*DH944*DF944)*DG944/2204.62*DE944)</f>
        <v/>
      </c>
      <c r="DK944" s="146" t="str">
        <f>IF(W944&lt;&gt;"AR","",DI944*(K944-AB944)+'Fuel Sub Calcs-Deemed'!DJ944*((K944-AB944)/INDEX('Device Refrigerant Leakage'!$C$2:$C$42,MATCH('Fuel Sub Calcs-Deemed'!X944,'Device Refrigerant Leakage'!$B$2:$B$42,0))))</f>
        <v/>
      </c>
      <c r="DM944" s="56">
        <v>930</v>
      </c>
      <c r="DN944" s="67" t="e">
        <f t="shared" si="1078"/>
        <v>#N/A</v>
      </c>
      <c r="DO944" s="45" t="e">
        <f t="shared" si="1079"/>
        <v>#N/A</v>
      </c>
      <c r="DP944" s="67" t="e">
        <f t="shared" si="1080"/>
        <v>#N/A</v>
      </c>
      <c r="DQ944" s="45" t="e">
        <f t="shared" si="1081"/>
        <v>#N/A</v>
      </c>
      <c r="DR944" s="69" t="e">
        <f t="shared" si="1082"/>
        <v>#N/A</v>
      </c>
      <c r="DS944" s="34"/>
      <c r="DT944" s="67" t="e">
        <f>((BX944*CJ944)+IF($W944=MAT_AR,(BZ944*CL944),0))*(1+Reference!$E$50+Reference!$E$51)</f>
        <v>#N/A</v>
      </c>
      <c r="DU944" s="67">
        <f>((BY944*CK944)+IF($W944=MAT_AR,(CA944*CM944),0))*(1+Reference!$G$50+Reference!$G$51)</f>
        <v>0</v>
      </c>
      <c r="DV944" s="67" t="e">
        <f t="shared" si="1083"/>
        <v>#VALUE!</v>
      </c>
      <c r="DX944" s="56">
        <v>930</v>
      </c>
      <c r="DY944" s="67">
        <f t="shared" si="1084"/>
        <v>0</v>
      </c>
      <c r="DZ944" s="45" t="e">
        <f>VLOOKUP($R944,Dropdown!$C$3:$D$4,2,FALSE)</f>
        <v>#N/A</v>
      </c>
      <c r="EA944" s="68">
        <f t="shared" si="1085"/>
        <v>0</v>
      </c>
      <c r="EB944" s="68" t="str">
        <f t="shared" si="1086"/>
        <v>N/A</v>
      </c>
      <c r="EC944" s="68">
        <f t="shared" si="1087"/>
        <v>0</v>
      </c>
      <c r="ED944" s="68" t="str">
        <f t="shared" si="1125"/>
        <v>N/A</v>
      </c>
      <c r="EF944" s="56">
        <v>930</v>
      </c>
      <c r="EG944" s="46">
        <f t="shared" si="1088"/>
        <v>0</v>
      </c>
      <c r="EH944" s="68" t="e">
        <f t="shared" si="1089"/>
        <v>#N/A</v>
      </c>
      <c r="EI944" s="68" t="e">
        <f t="shared" si="1090"/>
        <v>#N/A</v>
      </c>
      <c r="EJ944" s="68" t="e">
        <f t="shared" si="1091"/>
        <v>#N/A</v>
      </c>
      <c r="EK944" s="68" t="e">
        <f t="shared" si="1092"/>
        <v>#N/A</v>
      </c>
      <c r="EL944" s="46">
        <f t="shared" si="1093"/>
        <v>0</v>
      </c>
      <c r="EM944" s="46">
        <f t="shared" si="1094"/>
        <v>0</v>
      </c>
    </row>
    <row r="945" spans="1:143">
      <c r="A945" s="89"/>
      <c r="B945" s="89"/>
      <c r="C945" s="89"/>
      <c r="D945" s="89"/>
      <c r="E945" s="89"/>
      <c r="F945" s="89"/>
      <c r="G945" s="34"/>
      <c r="H945" s="56">
        <f t="shared" si="1095"/>
        <v>931</v>
      </c>
      <c r="I945" s="165"/>
      <c r="J945" s="163"/>
      <c r="K945" s="163"/>
      <c r="L945" s="164"/>
      <c r="M945" s="155"/>
      <c r="N945" s="155"/>
      <c r="O945" s="144"/>
      <c r="P945" s="159" t="str">
        <f>IFERROR(IF(O945&lt;&gt;"User Specified",IF(O945&lt;&gt;"", INDEX('Refrigerant GWPs'!$G$2:$G$154,MATCH(O945,'Refrigerant GWPs'!$A$2:$A$154,0)),""),U945),0)</f>
        <v/>
      </c>
      <c r="Q945" s="155"/>
      <c r="R945" s="155"/>
      <c r="S945" s="144"/>
      <c r="T945" s="159" t="str">
        <f>IF(S945&lt;&gt;"User Specified",IF(AND(S945&lt;&gt;"User Specified",S945&lt;&gt;""), INDEX('Refrigerant GWPs'!$G$2:$G$154,MATCH(S945,'Refrigerant GWPs'!$A$2:$A$154,0)),""),V945)</f>
        <v/>
      </c>
      <c r="U945" s="144"/>
      <c r="V945" s="144"/>
      <c r="W945" s="155"/>
      <c r="X945" s="155"/>
      <c r="Y945" s="144"/>
      <c r="Z945" s="159" t="str">
        <f>IF(AND(Y945&lt;&gt;"User Specified",Y945&lt;&gt;""), INDEX('Refrigerant GWPs'!$G$2:$G$154,MATCH(Y945,'Refrigerant GWPs'!$A$2:$A$154,0)),"")</f>
        <v/>
      </c>
      <c r="AA945" s="155"/>
      <c r="AB945" s="156"/>
      <c r="AC945" s="66"/>
      <c r="AD945" s="66"/>
      <c r="AE945" s="66"/>
      <c r="AF945" s="66"/>
      <c r="AG945" s="66"/>
      <c r="AH945" s="66"/>
      <c r="AI945" s="34"/>
      <c r="AJ945" s="88">
        <f t="shared" si="1058"/>
        <v>0</v>
      </c>
      <c r="AK945" s="88">
        <f t="shared" si="1059"/>
        <v>0</v>
      </c>
      <c r="AL945" s="88">
        <v>0</v>
      </c>
      <c r="AM945" s="88">
        <v>0</v>
      </c>
      <c r="AN945" s="81" t="str">
        <f t="shared" si="1097"/>
        <v/>
      </c>
      <c r="AO945" s="88">
        <f t="shared" si="1060"/>
        <v>0</v>
      </c>
      <c r="AP945" s="88">
        <f t="shared" si="1061"/>
        <v>0</v>
      </c>
      <c r="AQ945" s="81" t="str">
        <f t="shared" si="1062"/>
        <v/>
      </c>
      <c r="AS945" s="41" t="b">
        <f t="shared" si="1063"/>
        <v>1</v>
      </c>
      <c r="AT945" s="38">
        <f t="shared" si="1064"/>
        <v>0</v>
      </c>
      <c r="AU945" s="60">
        <f t="shared" si="1065"/>
        <v>0</v>
      </c>
      <c r="AV945" s="41">
        <f t="shared" si="1066"/>
        <v>0</v>
      </c>
      <c r="AW945" s="41" t="b">
        <f t="shared" si="1067"/>
        <v>0</v>
      </c>
      <c r="AX945" t="str">
        <f t="shared" si="1068"/>
        <v>+00</v>
      </c>
      <c r="AY945" t="str">
        <f t="shared" si="1069"/>
        <v>+00</v>
      </c>
      <c r="BA945" s="47" t="b">
        <f t="shared" si="1098"/>
        <v>1</v>
      </c>
      <c r="BB945" s="42" t="b">
        <f t="shared" si="1099"/>
        <v>1</v>
      </c>
      <c r="BC945" s="42" t="b">
        <f t="shared" si="1100"/>
        <v>0</v>
      </c>
      <c r="BD945" s="42" t="b">
        <f t="shared" si="1101"/>
        <v>0</v>
      </c>
      <c r="BE945" s="70">
        <f t="shared" si="1102"/>
        <v>0</v>
      </c>
      <c r="BF945" s="70">
        <f t="shared" si="1103"/>
        <v>0</v>
      </c>
      <c r="BG945" s="34"/>
      <c r="BI945" s="47" t="b">
        <f t="shared" si="1104"/>
        <v>1</v>
      </c>
      <c r="BJ945" s="47" t="b">
        <f t="shared" si="1105"/>
        <v>1</v>
      </c>
      <c r="BK945" s="42" t="b">
        <f t="shared" si="1106"/>
        <v>0</v>
      </c>
      <c r="BL945" s="42" t="b">
        <f t="shared" si="1107"/>
        <v>0</v>
      </c>
      <c r="BM945" s="42">
        <f t="shared" si="1108"/>
        <v>0</v>
      </c>
      <c r="BN945" s="42">
        <f t="shared" si="1109"/>
        <v>0</v>
      </c>
      <c r="BP945" t="e">
        <f t="shared" si="1110"/>
        <v>#N/A</v>
      </c>
      <c r="BQ945" t="e">
        <f t="shared" si="1111"/>
        <v>#N/A</v>
      </c>
      <c r="BR945" t="e">
        <f t="shared" si="1112"/>
        <v>#N/A</v>
      </c>
      <c r="BT945" s="60">
        <f t="shared" si="1113"/>
        <v>0</v>
      </c>
      <c r="BU945" s="60">
        <f t="shared" si="1114"/>
        <v>0</v>
      </c>
      <c r="BV945" s="60">
        <f t="shared" si="1115"/>
        <v>0</v>
      </c>
      <c r="BW945" s="60">
        <f t="shared" si="1116"/>
        <v>0</v>
      </c>
      <c r="BX945" s="60">
        <f t="shared" si="1117"/>
        <v>0</v>
      </c>
      <c r="BY945" s="60">
        <f t="shared" si="1118"/>
        <v>0</v>
      </c>
      <c r="BZ945" s="60">
        <f t="shared" si="1119"/>
        <v>0</v>
      </c>
      <c r="CA945" s="60">
        <f t="shared" si="1120"/>
        <v>0</v>
      </c>
      <c r="CB945" s="60" t="e">
        <f t="shared" si="1070"/>
        <v>#N/A</v>
      </c>
      <c r="CC945" s="60">
        <f t="shared" si="1071"/>
        <v>100000</v>
      </c>
      <c r="CD945" s="60" t="e">
        <f t="shared" si="1072"/>
        <v>#N/A</v>
      </c>
      <c r="CE945" s="60">
        <f t="shared" si="1073"/>
        <v>100000</v>
      </c>
      <c r="CF945" s="83" t="e">
        <f t="shared" si="1121"/>
        <v>#N/A</v>
      </c>
      <c r="CG945" s="83">
        <f t="shared" si="1122"/>
        <v>0</v>
      </c>
      <c r="CH945" s="83" t="e">
        <f t="shared" si="1123"/>
        <v>#N/A</v>
      </c>
      <c r="CI945" s="83">
        <f t="shared" si="1124"/>
        <v>0</v>
      </c>
      <c r="CJ945" s="86" t="e">
        <f t="shared" si="1074"/>
        <v>#N/A</v>
      </c>
      <c r="CK945" s="82">
        <f t="shared" si="1075"/>
        <v>5.3070370403969858E-3</v>
      </c>
      <c r="CL945" s="82" t="e">
        <f t="shared" si="1076"/>
        <v>#N/A</v>
      </c>
      <c r="CM945" s="82">
        <f t="shared" si="1077"/>
        <v>5.3070370403969858E-3</v>
      </c>
      <c r="CO945" s="149" t="str">
        <f>IF($I945&lt;&gt;"",IF(O945="User Specified",U945,INDEX('Refrigerant GWPs'!$G$2:$G$156,MATCH(O945,'Refrigerant GWPs'!$A$2:$A$156,0))),"")</f>
        <v/>
      </c>
      <c r="CP945" s="138" t="str">
        <f>IF($I945&lt;&gt;"",INDEX('Device Refrigerant Leakage'!$E$2:$E$42,MATCH($M945,'Device Refrigerant Leakage'!$B$2:$B$42,0)),"")</f>
        <v/>
      </c>
      <c r="CQ945" s="138" t="str">
        <f>IF($I945&lt;&gt;"",INDEX('Device Refrigerant Leakage'!$F$2:$F$42,MATCH($M945,'Device Refrigerant Leakage'!$B$2:$B$42,0)),"")</f>
        <v/>
      </c>
      <c r="CR945" s="145" t="str">
        <f>IF($I945&lt;&gt;"",INDEX('Device Refrigerant Leakage'!$G$2:$G$42,MATCH($M945,'Device Refrigerant Leakage'!$B$2:$B$42,0)),"")</f>
        <v/>
      </c>
      <c r="CS945" s="145" t="str">
        <f>IF($I945&lt;&gt;"",INDEX('Device Refrigerant Leakage'!$D$2:$D$42,MATCH($M945,'Device Refrigerant Leakage'!$B$2:$B$42,0))*CP945/2204.62*CO945,"")</f>
        <v/>
      </c>
      <c r="CT945" s="145" t="str">
        <f>IF($I945&lt;&gt;"",J945*(INDEX('Device Refrigerant Leakage'!$D$2:$D$42,MATCH($M945,'Device Refrigerant Leakage'!$B$2:$B$42,0))-(INDEX('Device Refrigerant Leakage'!$D$2:$D$42,MATCH($M945,'Device Refrigerant Leakage'!$B$2:$B$42,0)))*CR945*CP945)*CQ945/2204.62*CO945,"")</f>
        <v/>
      </c>
      <c r="CU945" s="135" t="str">
        <f>IF($I945&lt;&gt;"",J945*IF(W945&lt;&gt;"AR",(CS945*K945)+CT945,(CS945*AB945)+CT945*(AB945/INDEX('Device Refrigerant Leakage'!$C$2:$C$42,MATCH($M945,'Device Refrigerant Leakage'!$B$2:$B$42,0)))),"")</f>
        <v/>
      </c>
      <c r="CW945" s="135" t="str">
        <f>IF($I945&lt;&gt;"",IF(S945="User Specified",V945,INDEX('Refrigerant GWPs'!$G$2:$G$156,MATCH(S945,'Refrigerant GWPs'!$A$2:$A$157,0))),"")</f>
        <v/>
      </c>
      <c r="CX945" s="138" t="str">
        <f>IF($I945&lt;&gt;"",INDEX('Device Refrigerant Leakage'!$E$2:$E$42,MATCH($Q945,'Device Refrigerant Leakage'!$B$2:$B$42,0)),"")</f>
        <v/>
      </c>
      <c r="CY945" s="138" t="str">
        <f>IF($I945&lt;&gt;"",INDEX('Device Refrigerant Leakage'!$F$2:$F$42,MATCH($Q945,'Device Refrigerant Leakage'!$B$2:$B$42,0)),"")</f>
        <v/>
      </c>
      <c r="CZ945" s="145" t="str">
        <f>IF($I945&lt;&gt;"",INDEX('Device Refrigerant Leakage'!$G$2:$G$42,MATCH($Q945,'Device Refrigerant Leakage'!$B$2:$B$42,0)),"")</f>
        <v/>
      </c>
      <c r="DA945" s="145" t="str">
        <f>IF($I945&lt;&gt;"",J945*INDEX('Device Refrigerant Leakage'!$D$2:$D$42,MATCH($Q945,'Device Refrigerant Leakage'!$B$2:$B$42,0))*CX945/2204.62*CW945,"")</f>
        <v/>
      </c>
      <c r="DB945" s="145" t="str">
        <f>IF($I945&lt;&gt;"",J945*(INDEX('Device Refrigerant Leakage'!$D$2:$D$42,MATCH($Q945,'Device Refrigerant Leakage'!$B$2:$B$42,0))-(INDEX('Device Refrigerant Leakage'!$D$2:$D$42,MATCH($Q945,'Device Refrigerant Leakage'!$B$2:$B$42,0)))*CZ945*CX945)*CY945/2204.62*CW945,"")</f>
        <v/>
      </c>
      <c r="DC945" s="135" t="str">
        <f t="shared" si="1096"/>
        <v/>
      </c>
      <c r="DE945" s="146" t="str">
        <f>IF(W945&lt;&gt;"AR","",IF(Y945="User Specified", AA945, INDEX('Refrigerant GWPs'!$G$2:$G$154,MATCH(Y945,'Refrigerant GWPs'!$A$2:$A$154,0))))</f>
        <v/>
      </c>
      <c r="DF945" s="146" t="str">
        <f>IF(W945&lt;&gt;"AR","",INDEX('Device Refrigerant Leakage'!$E$2:$E$42,MATCH(X945,'Device Refrigerant Leakage'!$B$2:$B$42,0)))</f>
        <v/>
      </c>
      <c r="DG945" s="146" t="str">
        <f>IF(W945&lt;&gt;"AR","",INDEX('Device Refrigerant Leakage'!$F$2:$F$42,MATCH(X945,'Device Refrigerant Leakage'!$B$2:$B$42,0)))</f>
        <v/>
      </c>
      <c r="DH945" s="146" t="str">
        <f>IF(W945&lt;&gt;"AR","",INDEX('Device Refrigerant Leakage'!$G$2:$G$42,MATCH(X945,'Device Refrigerant Leakage'!$B$2:$B$42,0)))</f>
        <v/>
      </c>
      <c r="DI945" s="146" t="str">
        <f>IF(W945&lt;&gt;"AR","",J945*INDEX('Device Refrigerant Leakage'!$D$2:$D$42,MATCH(X945,'Device Refrigerant Leakage'!$B$2:$B$42,0))*DF945/2204.62*DE945)</f>
        <v/>
      </c>
      <c r="DJ945" s="146" t="str">
        <f>IF(W945&lt;&gt;"AR","",J945*(INDEX('Device Refrigerant Leakage'!$D$2:$D$42,MATCH(X945,'Device Refrigerant Leakage'!$B$2:$B$42,0))-(INDEX('Device Refrigerant Leakage'!$D$2:$D$42,MATCH(X945,'Device Refrigerant Leakage'!$B$2:$B$42,0)))*DH945*DF945)*DG945/2204.62*DE945)</f>
        <v/>
      </c>
      <c r="DK945" s="146" t="str">
        <f>IF(W945&lt;&gt;"AR","",DI945*(K945-AB945)+'Fuel Sub Calcs-Deemed'!DJ945*((K945-AB945)/INDEX('Device Refrigerant Leakage'!$C$2:$C$42,MATCH('Fuel Sub Calcs-Deemed'!X945,'Device Refrigerant Leakage'!$B$2:$B$42,0))))</f>
        <v/>
      </c>
      <c r="DM945" s="56">
        <v>931</v>
      </c>
      <c r="DN945" s="67" t="e">
        <f t="shared" si="1078"/>
        <v>#N/A</v>
      </c>
      <c r="DO945" s="45" t="e">
        <f t="shared" si="1079"/>
        <v>#N/A</v>
      </c>
      <c r="DP945" s="67" t="e">
        <f t="shared" si="1080"/>
        <v>#N/A</v>
      </c>
      <c r="DQ945" s="45" t="e">
        <f t="shared" si="1081"/>
        <v>#N/A</v>
      </c>
      <c r="DR945" s="69" t="e">
        <f t="shared" si="1082"/>
        <v>#N/A</v>
      </c>
      <c r="DS945" s="34"/>
      <c r="DT945" s="67" t="e">
        <f>((BX945*CJ945)+IF($W945=MAT_AR,(BZ945*CL945),0))*(1+Reference!$E$50+Reference!$E$51)</f>
        <v>#N/A</v>
      </c>
      <c r="DU945" s="67">
        <f>((BY945*CK945)+IF($W945=MAT_AR,(CA945*CM945),0))*(1+Reference!$G$50+Reference!$G$51)</f>
        <v>0</v>
      </c>
      <c r="DV945" s="67" t="e">
        <f t="shared" si="1083"/>
        <v>#VALUE!</v>
      </c>
      <c r="DX945" s="56">
        <v>931</v>
      </c>
      <c r="DY945" s="67">
        <f t="shared" si="1084"/>
        <v>0</v>
      </c>
      <c r="DZ945" s="45" t="e">
        <f>VLOOKUP($R945,Dropdown!$C$3:$D$4,2,FALSE)</f>
        <v>#N/A</v>
      </c>
      <c r="EA945" s="68">
        <f t="shared" si="1085"/>
        <v>0</v>
      </c>
      <c r="EB945" s="68" t="str">
        <f t="shared" si="1086"/>
        <v>N/A</v>
      </c>
      <c r="EC945" s="68">
        <f t="shared" si="1087"/>
        <v>0</v>
      </c>
      <c r="ED945" s="68" t="str">
        <f t="shared" si="1125"/>
        <v>N/A</v>
      </c>
      <c r="EF945" s="56">
        <v>931</v>
      </c>
      <c r="EG945" s="46">
        <f t="shared" si="1088"/>
        <v>0</v>
      </c>
      <c r="EH945" s="68" t="e">
        <f t="shared" si="1089"/>
        <v>#N/A</v>
      </c>
      <c r="EI945" s="68" t="e">
        <f t="shared" si="1090"/>
        <v>#N/A</v>
      </c>
      <c r="EJ945" s="68" t="e">
        <f t="shared" si="1091"/>
        <v>#N/A</v>
      </c>
      <c r="EK945" s="68" t="e">
        <f t="shared" si="1092"/>
        <v>#N/A</v>
      </c>
      <c r="EL945" s="46">
        <f t="shared" si="1093"/>
        <v>0</v>
      </c>
      <c r="EM945" s="46">
        <f t="shared" si="1094"/>
        <v>0</v>
      </c>
    </row>
    <row r="946" spans="1:143">
      <c r="A946" s="89"/>
      <c r="B946" s="89"/>
      <c r="C946" s="89"/>
      <c r="D946" s="89"/>
      <c r="E946" s="89"/>
      <c r="F946" s="89"/>
      <c r="G946" s="34"/>
      <c r="H946" s="56">
        <f t="shared" si="1095"/>
        <v>932</v>
      </c>
      <c r="I946" s="165"/>
      <c r="J946" s="163"/>
      <c r="K946" s="163"/>
      <c r="L946" s="164"/>
      <c r="M946" s="155"/>
      <c r="N946" s="155"/>
      <c r="O946" s="144"/>
      <c r="P946" s="159" t="str">
        <f>IFERROR(IF(O946&lt;&gt;"User Specified",IF(O946&lt;&gt;"", INDEX('Refrigerant GWPs'!$G$2:$G$154,MATCH(O946,'Refrigerant GWPs'!$A$2:$A$154,0)),""),U946),0)</f>
        <v/>
      </c>
      <c r="Q946" s="155"/>
      <c r="R946" s="155"/>
      <c r="S946" s="144"/>
      <c r="T946" s="159" t="str">
        <f>IF(S946&lt;&gt;"User Specified",IF(AND(S946&lt;&gt;"User Specified",S946&lt;&gt;""), INDEX('Refrigerant GWPs'!$G$2:$G$154,MATCH(S946,'Refrigerant GWPs'!$A$2:$A$154,0)),""),V946)</f>
        <v/>
      </c>
      <c r="U946" s="144"/>
      <c r="V946" s="144"/>
      <c r="W946" s="155"/>
      <c r="X946" s="155"/>
      <c r="Y946" s="144"/>
      <c r="Z946" s="159" t="str">
        <f>IF(AND(Y946&lt;&gt;"User Specified",Y946&lt;&gt;""), INDEX('Refrigerant GWPs'!$G$2:$G$154,MATCH(Y946,'Refrigerant GWPs'!$A$2:$A$154,0)),"")</f>
        <v/>
      </c>
      <c r="AA946" s="155"/>
      <c r="AB946" s="156"/>
      <c r="AC946" s="66"/>
      <c r="AD946" s="66"/>
      <c r="AE946" s="66"/>
      <c r="AF946" s="66"/>
      <c r="AG946" s="66"/>
      <c r="AH946" s="66"/>
      <c r="AI946" s="34"/>
      <c r="AJ946" s="88">
        <f t="shared" si="1058"/>
        <v>0</v>
      </c>
      <c r="AK946" s="88">
        <f t="shared" si="1059"/>
        <v>0</v>
      </c>
      <c r="AL946" s="88">
        <v>0</v>
      </c>
      <c r="AM946" s="88">
        <v>0</v>
      </c>
      <c r="AN946" s="81" t="str">
        <f t="shared" si="1097"/>
        <v/>
      </c>
      <c r="AO946" s="88">
        <f t="shared" si="1060"/>
        <v>0</v>
      </c>
      <c r="AP946" s="88">
        <f t="shared" si="1061"/>
        <v>0</v>
      </c>
      <c r="AQ946" s="81" t="str">
        <f t="shared" si="1062"/>
        <v/>
      </c>
      <c r="AS946" s="41" t="b">
        <f t="shared" si="1063"/>
        <v>1</v>
      </c>
      <c r="AT946" s="38">
        <f t="shared" si="1064"/>
        <v>0</v>
      </c>
      <c r="AU946" s="60">
        <f t="shared" si="1065"/>
        <v>0</v>
      </c>
      <c r="AV946" s="41">
        <f t="shared" si="1066"/>
        <v>0</v>
      </c>
      <c r="AW946" s="41" t="b">
        <f t="shared" si="1067"/>
        <v>0</v>
      </c>
      <c r="AX946" t="str">
        <f t="shared" si="1068"/>
        <v>+00</v>
      </c>
      <c r="AY946" t="str">
        <f t="shared" si="1069"/>
        <v>+00</v>
      </c>
      <c r="BA946" s="47" t="b">
        <f t="shared" si="1098"/>
        <v>1</v>
      </c>
      <c r="BB946" s="42" t="b">
        <f t="shared" si="1099"/>
        <v>1</v>
      </c>
      <c r="BC946" s="42" t="b">
        <f t="shared" si="1100"/>
        <v>0</v>
      </c>
      <c r="BD946" s="42" t="b">
        <f t="shared" si="1101"/>
        <v>0</v>
      </c>
      <c r="BE946" s="70">
        <f t="shared" si="1102"/>
        <v>0</v>
      </c>
      <c r="BF946" s="70">
        <f t="shared" si="1103"/>
        <v>0</v>
      </c>
      <c r="BG946" s="34"/>
      <c r="BI946" s="47" t="b">
        <f t="shared" si="1104"/>
        <v>1</v>
      </c>
      <c r="BJ946" s="47" t="b">
        <f t="shared" si="1105"/>
        <v>1</v>
      </c>
      <c r="BK946" s="42" t="b">
        <f t="shared" si="1106"/>
        <v>0</v>
      </c>
      <c r="BL946" s="42" t="b">
        <f t="shared" si="1107"/>
        <v>0</v>
      </c>
      <c r="BM946" s="42">
        <f t="shared" si="1108"/>
        <v>0</v>
      </c>
      <c r="BN946" s="42">
        <f t="shared" si="1109"/>
        <v>0</v>
      </c>
      <c r="BP946" t="e">
        <f t="shared" si="1110"/>
        <v>#N/A</v>
      </c>
      <c r="BQ946" t="e">
        <f t="shared" si="1111"/>
        <v>#N/A</v>
      </c>
      <c r="BR946" t="e">
        <f t="shared" si="1112"/>
        <v>#N/A</v>
      </c>
      <c r="BT946" s="60">
        <f t="shared" si="1113"/>
        <v>0</v>
      </c>
      <c r="BU946" s="60">
        <f t="shared" si="1114"/>
        <v>0</v>
      </c>
      <c r="BV946" s="60">
        <f t="shared" si="1115"/>
        <v>0</v>
      </c>
      <c r="BW946" s="60">
        <f t="shared" si="1116"/>
        <v>0</v>
      </c>
      <c r="BX946" s="60">
        <f t="shared" si="1117"/>
        <v>0</v>
      </c>
      <c r="BY946" s="60">
        <f t="shared" si="1118"/>
        <v>0</v>
      </c>
      <c r="BZ946" s="60">
        <f t="shared" si="1119"/>
        <v>0</v>
      </c>
      <c r="CA946" s="60">
        <f t="shared" si="1120"/>
        <v>0</v>
      </c>
      <c r="CB946" s="60" t="e">
        <f t="shared" si="1070"/>
        <v>#N/A</v>
      </c>
      <c r="CC946" s="60">
        <f t="shared" si="1071"/>
        <v>100000</v>
      </c>
      <c r="CD946" s="60" t="e">
        <f t="shared" si="1072"/>
        <v>#N/A</v>
      </c>
      <c r="CE946" s="60">
        <f t="shared" si="1073"/>
        <v>100000</v>
      </c>
      <c r="CF946" s="83" t="e">
        <f t="shared" si="1121"/>
        <v>#N/A</v>
      </c>
      <c r="CG946" s="83">
        <f t="shared" si="1122"/>
        <v>0</v>
      </c>
      <c r="CH946" s="83" t="e">
        <f t="shared" si="1123"/>
        <v>#N/A</v>
      </c>
      <c r="CI946" s="83">
        <f t="shared" si="1124"/>
        <v>0</v>
      </c>
      <c r="CJ946" s="86" t="e">
        <f t="shared" si="1074"/>
        <v>#N/A</v>
      </c>
      <c r="CK946" s="82">
        <f t="shared" si="1075"/>
        <v>5.3070370403969858E-3</v>
      </c>
      <c r="CL946" s="82" t="e">
        <f t="shared" si="1076"/>
        <v>#N/A</v>
      </c>
      <c r="CM946" s="82">
        <f t="shared" si="1077"/>
        <v>5.3070370403969858E-3</v>
      </c>
      <c r="CO946" s="149" t="str">
        <f>IF($I946&lt;&gt;"",IF(O946="User Specified",U946,INDEX('Refrigerant GWPs'!$G$2:$G$156,MATCH(O946,'Refrigerant GWPs'!$A$2:$A$156,0))),"")</f>
        <v/>
      </c>
      <c r="CP946" s="138" t="str">
        <f>IF($I946&lt;&gt;"",INDEX('Device Refrigerant Leakage'!$E$2:$E$42,MATCH($M946,'Device Refrigerant Leakage'!$B$2:$B$42,0)),"")</f>
        <v/>
      </c>
      <c r="CQ946" s="138" t="str">
        <f>IF($I946&lt;&gt;"",INDEX('Device Refrigerant Leakage'!$F$2:$F$42,MATCH($M946,'Device Refrigerant Leakage'!$B$2:$B$42,0)),"")</f>
        <v/>
      </c>
      <c r="CR946" s="145" t="str">
        <f>IF($I946&lt;&gt;"",INDEX('Device Refrigerant Leakage'!$G$2:$G$42,MATCH($M946,'Device Refrigerant Leakage'!$B$2:$B$42,0)),"")</f>
        <v/>
      </c>
      <c r="CS946" s="145" t="str">
        <f>IF($I946&lt;&gt;"",INDEX('Device Refrigerant Leakage'!$D$2:$D$42,MATCH($M946,'Device Refrigerant Leakage'!$B$2:$B$42,0))*CP946/2204.62*CO946,"")</f>
        <v/>
      </c>
      <c r="CT946" s="145" t="str">
        <f>IF($I946&lt;&gt;"",J946*(INDEX('Device Refrigerant Leakage'!$D$2:$D$42,MATCH($M946,'Device Refrigerant Leakage'!$B$2:$B$42,0))-(INDEX('Device Refrigerant Leakage'!$D$2:$D$42,MATCH($M946,'Device Refrigerant Leakage'!$B$2:$B$42,0)))*CR946*CP946)*CQ946/2204.62*CO946,"")</f>
        <v/>
      </c>
      <c r="CU946" s="135" t="str">
        <f>IF($I946&lt;&gt;"",J946*IF(W946&lt;&gt;"AR",(CS946*K946)+CT946,(CS946*AB946)+CT946*(AB946/INDEX('Device Refrigerant Leakage'!$C$2:$C$42,MATCH($M946,'Device Refrigerant Leakage'!$B$2:$B$42,0)))),"")</f>
        <v/>
      </c>
      <c r="CW946" s="135" t="str">
        <f>IF($I946&lt;&gt;"",IF(S946="User Specified",V946,INDEX('Refrigerant GWPs'!$G$2:$G$156,MATCH(S946,'Refrigerant GWPs'!$A$2:$A$157,0))),"")</f>
        <v/>
      </c>
      <c r="CX946" s="138" t="str">
        <f>IF($I946&lt;&gt;"",INDEX('Device Refrigerant Leakage'!$E$2:$E$42,MATCH($Q946,'Device Refrigerant Leakage'!$B$2:$B$42,0)),"")</f>
        <v/>
      </c>
      <c r="CY946" s="138" t="str">
        <f>IF($I946&lt;&gt;"",INDEX('Device Refrigerant Leakage'!$F$2:$F$42,MATCH($Q946,'Device Refrigerant Leakage'!$B$2:$B$42,0)),"")</f>
        <v/>
      </c>
      <c r="CZ946" s="145" t="str">
        <f>IF($I946&lt;&gt;"",INDEX('Device Refrigerant Leakage'!$G$2:$G$42,MATCH($Q946,'Device Refrigerant Leakage'!$B$2:$B$42,0)),"")</f>
        <v/>
      </c>
      <c r="DA946" s="145" t="str">
        <f>IF($I946&lt;&gt;"",J946*INDEX('Device Refrigerant Leakage'!$D$2:$D$42,MATCH($Q946,'Device Refrigerant Leakage'!$B$2:$B$42,0))*CX946/2204.62*CW946,"")</f>
        <v/>
      </c>
      <c r="DB946" s="145" t="str">
        <f>IF($I946&lt;&gt;"",J946*(INDEX('Device Refrigerant Leakage'!$D$2:$D$42,MATCH($Q946,'Device Refrigerant Leakage'!$B$2:$B$42,0))-(INDEX('Device Refrigerant Leakage'!$D$2:$D$42,MATCH($Q946,'Device Refrigerant Leakage'!$B$2:$B$42,0)))*CZ946*CX946)*CY946/2204.62*CW946,"")</f>
        <v/>
      </c>
      <c r="DC946" s="135" t="str">
        <f t="shared" si="1096"/>
        <v/>
      </c>
      <c r="DE946" s="146" t="str">
        <f>IF(W946&lt;&gt;"AR","",IF(Y946="User Specified", AA946, INDEX('Refrigerant GWPs'!$G$2:$G$154,MATCH(Y946,'Refrigerant GWPs'!$A$2:$A$154,0))))</f>
        <v/>
      </c>
      <c r="DF946" s="146" t="str">
        <f>IF(W946&lt;&gt;"AR","",INDEX('Device Refrigerant Leakage'!$E$2:$E$42,MATCH(X946,'Device Refrigerant Leakage'!$B$2:$B$42,0)))</f>
        <v/>
      </c>
      <c r="DG946" s="146" t="str">
        <f>IF(W946&lt;&gt;"AR","",INDEX('Device Refrigerant Leakage'!$F$2:$F$42,MATCH(X946,'Device Refrigerant Leakage'!$B$2:$B$42,0)))</f>
        <v/>
      </c>
      <c r="DH946" s="146" t="str">
        <f>IF(W946&lt;&gt;"AR","",INDEX('Device Refrigerant Leakage'!$G$2:$G$42,MATCH(X946,'Device Refrigerant Leakage'!$B$2:$B$42,0)))</f>
        <v/>
      </c>
      <c r="DI946" s="146" t="str">
        <f>IF(W946&lt;&gt;"AR","",J946*INDEX('Device Refrigerant Leakage'!$D$2:$D$42,MATCH(X946,'Device Refrigerant Leakage'!$B$2:$B$42,0))*DF946/2204.62*DE946)</f>
        <v/>
      </c>
      <c r="DJ946" s="146" t="str">
        <f>IF(W946&lt;&gt;"AR","",J946*(INDEX('Device Refrigerant Leakage'!$D$2:$D$42,MATCH(X946,'Device Refrigerant Leakage'!$B$2:$B$42,0))-(INDEX('Device Refrigerant Leakage'!$D$2:$D$42,MATCH(X946,'Device Refrigerant Leakage'!$B$2:$B$42,0)))*DH946*DF946)*DG946/2204.62*DE946)</f>
        <v/>
      </c>
      <c r="DK946" s="146" t="str">
        <f>IF(W946&lt;&gt;"AR","",DI946*(K946-AB946)+'Fuel Sub Calcs-Deemed'!DJ946*((K946-AB946)/INDEX('Device Refrigerant Leakage'!$C$2:$C$42,MATCH('Fuel Sub Calcs-Deemed'!X946,'Device Refrigerant Leakage'!$B$2:$B$42,0))))</f>
        <v/>
      </c>
      <c r="DM946" s="56">
        <v>932</v>
      </c>
      <c r="DN946" s="67" t="e">
        <f t="shared" si="1078"/>
        <v>#N/A</v>
      </c>
      <c r="DO946" s="45" t="e">
        <f t="shared" si="1079"/>
        <v>#N/A</v>
      </c>
      <c r="DP946" s="67" t="e">
        <f t="shared" si="1080"/>
        <v>#N/A</v>
      </c>
      <c r="DQ946" s="45" t="e">
        <f t="shared" si="1081"/>
        <v>#N/A</v>
      </c>
      <c r="DR946" s="69" t="e">
        <f t="shared" si="1082"/>
        <v>#N/A</v>
      </c>
      <c r="DS946" s="34"/>
      <c r="DT946" s="67" t="e">
        <f>((BX946*CJ946)+IF($W946=MAT_AR,(BZ946*CL946),0))*(1+Reference!$E$50+Reference!$E$51)</f>
        <v>#N/A</v>
      </c>
      <c r="DU946" s="67">
        <f>((BY946*CK946)+IF($W946=MAT_AR,(CA946*CM946),0))*(1+Reference!$G$50+Reference!$G$51)</f>
        <v>0</v>
      </c>
      <c r="DV946" s="67" t="e">
        <f t="shared" si="1083"/>
        <v>#VALUE!</v>
      </c>
      <c r="DX946" s="56">
        <v>932</v>
      </c>
      <c r="DY946" s="67">
        <f t="shared" si="1084"/>
        <v>0</v>
      </c>
      <c r="DZ946" s="45" t="e">
        <f>VLOOKUP($R946,Dropdown!$C$3:$D$4,2,FALSE)</f>
        <v>#N/A</v>
      </c>
      <c r="EA946" s="68">
        <f t="shared" si="1085"/>
        <v>0</v>
      </c>
      <c r="EB946" s="68" t="str">
        <f t="shared" si="1086"/>
        <v>N/A</v>
      </c>
      <c r="EC946" s="68">
        <f t="shared" si="1087"/>
        <v>0</v>
      </c>
      <c r="ED946" s="68" t="str">
        <f t="shared" si="1125"/>
        <v>N/A</v>
      </c>
      <c r="EF946" s="56">
        <v>932</v>
      </c>
      <c r="EG946" s="46">
        <f t="shared" si="1088"/>
        <v>0</v>
      </c>
      <c r="EH946" s="68" t="e">
        <f t="shared" si="1089"/>
        <v>#N/A</v>
      </c>
      <c r="EI946" s="68" t="e">
        <f t="shared" si="1090"/>
        <v>#N/A</v>
      </c>
      <c r="EJ946" s="68" t="e">
        <f t="shared" si="1091"/>
        <v>#N/A</v>
      </c>
      <c r="EK946" s="68" t="e">
        <f t="shared" si="1092"/>
        <v>#N/A</v>
      </c>
      <c r="EL946" s="46">
        <f t="shared" si="1093"/>
        <v>0</v>
      </c>
      <c r="EM946" s="46">
        <f t="shared" si="1094"/>
        <v>0</v>
      </c>
    </row>
    <row r="947" spans="1:143">
      <c r="A947" s="89"/>
      <c r="B947" s="89"/>
      <c r="C947" s="89"/>
      <c r="D947" s="89"/>
      <c r="E947" s="89"/>
      <c r="F947" s="89"/>
      <c r="G947" s="34"/>
      <c r="H947" s="56">
        <f t="shared" si="1095"/>
        <v>933</v>
      </c>
      <c r="I947" s="165"/>
      <c r="J947" s="163"/>
      <c r="K947" s="163"/>
      <c r="L947" s="164"/>
      <c r="M947" s="155"/>
      <c r="N947" s="155"/>
      <c r="O947" s="144"/>
      <c r="P947" s="159" t="str">
        <f>IFERROR(IF(O947&lt;&gt;"User Specified",IF(O947&lt;&gt;"", INDEX('Refrigerant GWPs'!$G$2:$G$154,MATCH(O947,'Refrigerant GWPs'!$A$2:$A$154,0)),""),U947),0)</f>
        <v/>
      </c>
      <c r="Q947" s="155"/>
      <c r="R947" s="155"/>
      <c r="S947" s="144"/>
      <c r="T947" s="159" t="str">
        <f>IF(S947&lt;&gt;"User Specified",IF(AND(S947&lt;&gt;"User Specified",S947&lt;&gt;""), INDEX('Refrigerant GWPs'!$G$2:$G$154,MATCH(S947,'Refrigerant GWPs'!$A$2:$A$154,0)),""),V947)</f>
        <v/>
      </c>
      <c r="U947" s="144"/>
      <c r="V947" s="144"/>
      <c r="W947" s="155"/>
      <c r="X947" s="155"/>
      <c r="Y947" s="144"/>
      <c r="Z947" s="159" t="str">
        <f>IF(AND(Y947&lt;&gt;"User Specified",Y947&lt;&gt;""), INDEX('Refrigerant GWPs'!$G$2:$G$154,MATCH(Y947,'Refrigerant GWPs'!$A$2:$A$154,0)),"")</f>
        <v/>
      </c>
      <c r="AA947" s="155"/>
      <c r="AB947" s="156"/>
      <c r="AC947" s="66"/>
      <c r="AD947" s="66"/>
      <c r="AE947" s="66"/>
      <c r="AF947" s="66"/>
      <c r="AG947" s="66"/>
      <c r="AH947" s="66"/>
      <c r="AI947" s="34"/>
      <c r="AJ947" s="88">
        <f t="shared" si="1058"/>
        <v>0</v>
      </c>
      <c r="AK947" s="88">
        <f t="shared" si="1059"/>
        <v>0</v>
      </c>
      <c r="AL947" s="88">
        <v>0</v>
      </c>
      <c r="AM947" s="88">
        <v>0</v>
      </c>
      <c r="AN947" s="81" t="str">
        <f t="shared" si="1097"/>
        <v/>
      </c>
      <c r="AO947" s="88">
        <f t="shared" si="1060"/>
        <v>0</v>
      </c>
      <c r="AP947" s="88">
        <f t="shared" si="1061"/>
        <v>0</v>
      </c>
      <c r="AQ947" s="81" t="str">
        <f t="shared" si="1062"/>
        <v/>
      </c>
      <c r="AS947" s="41" t="b">
        <f t="shared" si="1063"/>
        <v>1</v>
      </c>
      <c r="AT947" s="38">
        <f t="shared" si="1064"/>
        <v>0</v>
      </c>
      <c r="AU947" s="60">
        <f t="shared" si="1065"/>
        <v>0</v>
      </c>
      <c r="AV947" s="41">
        <f t="shared" si="1066"/>
        <v>0</v>
      </c>
      <c r="AW947" s="41" t="b">
        <f t="shared" si="1067"/>
        <v>0</v>
      </c>
      <c r="AX947" t="str">
        <f t="shared" si="1068"/>
        <v>+00</v>
      </c>
      <c r="AY947" t="str">
        <f t="shared" si="1069"/>
        <v>+00</v>
      </c>
      <c r="BA947" s="47" t="b">
        <f t="shared" si="1098"/>
        <v>1</v>
      </c>
      <c r="BB947" s="42" t="b">
        <f t="shared" si="1099"/>
        <v>1</v>
      </c>
      <c r="BC947" s="42" t="b">
        <f t="shared" si="1100"/>
        <v>0</v>
      </c>
      <c r="BD947" s="42" t="b">
        <f t="shared" si="1101"/>
        <v>0</v>
      </c>
      <c r="BE947" s="70">
        <f t="shared" si="1102"/>
        <v>0</v>
      </c>
      <c r="BF947" s="70">
        <f t="shared" si="1103"/>
        <v>0</v>
      </c>
      <c r="BG947" s="34"/>
      <c r="BI947" s="47" t="b">
        <f t="shared" si="1104"/>
        <v>1</v>
      </c>
      <c r="BJ947" s="47" t="b">
        <f t="shared" si="1105"/>
        <v>1</v>
      </c>
      <c r="BK947" s="42" t="b">
        <f t="shared" si="1106"/>
        <v>0</v>
      </c>
      <c r="BL947" s="42" t="b">
        <f t="shared" si="1107"/>
        <v>0</v>
      </c>
      <c r="BM947" s="42">
        <f t="shared" si="1108"/>
        <v>0</v>
      </c>
      <c r="BN947" s="42">
        <f t="shared" si="1109"/>
        <v>0</v>
      </c>
      <c r="BP947" t="e">
        <f t="shared" si="1110"/>
        <v>#N/A</v>
      </c>
      <c r="BQ947" t="e">
        <f t="shared" si="1111"/>
        <v>#N/A</v>
      </c>
      <c r="BR947" t="e">
        <f t="shared" si="1112"/>
        <v>#N/A</v>
      </c>
      <c r="BT947" s="60">
        <f t="shared" si="1113"/>
        <v>0</v>
      </c>
      <c r="BU947" s="60">
        <f t="shared" si="1114"/>
        <v>0</v>
      </c>
      <c r="BV947" s="60">
        <f t="shared" si="1115"/>
        <v>0</v>
      </c>
      <c r="BW947" s="60">
        <f t="shared" si="1116"/>
        <v>0</v>
      </c>
      <c r="BX947" s="60">
        <f t="shared" si="1117"/>
        <v>0</v>
      </c>
      <c r="BY947" s="60">
        <f t="shared" si="1118"/>
        <v>0</v>
      </c>
      <c r="BZ947" s="60">
        <f t="shared" si="1119"/>
        <v>0</v>
      </c>
      <c r="CA947" s="60">
        <f t="shared" si="1120"/>
        <v>0</v>
      </c>
      <c r="CB947" s="60" t="e">
        <f t="shared" si="1070"/>
        <v>#N/A</v>
      </c>
      <c r="CC947" s="60">
        <f t="shared" si="1071"/>
        <v>100000</v>
      </c>
      <c r="CD947" s="60" t="e">
        <f t="shared" si="1072"/>
        <v>#N/A</v>
      </c>
      <c r="CE947" s="60">
        <f t="shared" si="1073"/>
        <v>100000</v>
      </c>
      <c r="CF947" s="83" t="e">
        <f t="shared" si="1121"/>
        <v>#N/A</v>
      </c>
      <c r="CG947" s="83">
        <f t="shared" si="1122"/>
        <v>0</v>
      </c>
      <c r="CH947" s="83" t="e">
        <f t="shared" si="1123"/>
        <v>#N/A</v>
      </c>
      <c r="CI947" s="83">
        <f t="shared" si="1124"/>
        <v>0</v>
      </c>
      <c r="CJ947" s="86" t="e">
        <f t="shared" si="1074"/>
        <v>#N/A</v>
      </c>
      <c r="CK947" s="82">
        <f t="shared" si="1075"/>
        <v>5.3070370403969858E-3</v>
      </c>
      <c r="CL947" s="82" t="e">
        <f t="shared" si="1076"/>
        <v>#N/A</v>
      </c>
      <c r="CM947" s="82">
        <f t="shared" si="1077"/>
        <v>5.3070370403969858E-3</v>
      </c>
      <c r="CO947" s="149" t="str">
        <f>IF($I947&lt;&gt;"",IF(O947="User Specified",U947,INDEX('Refrigerant GWPs'!$G$2:$G$156,MATCH(O947,'Refrigerant GWPs'!$A$2:$A$156,0))),"")</f>
        <v/>
      </c>
      <c r="CP947" s="138" t="str">
        <f>IF($I947&lt;&gt;"",INDEX('Device Refrigerant Leakage'!$E$2:$E$42,MATCH($M947,'Device Refrigerant Leakage'!$B$2:$B$42,0)),"")</f>
        <v/>
      </c>
      <c r="CQ947" s="138" t="str">
        <f>IF($I947&lt;&gt;"",INDEX('Device Refrigerant Leakage'!$F$2:$F$42,MATCH($M947,'Device Refrigerant Leakage'!$B$2:$B$42,0)),"")</f>
        <v/>
      </c>
      <c r="CR947" s="145" t="str">
        <f>IF($I947&lt;&gt;"",INDEX('Device Refrigerant Leakage'!$G$2:$G$42,MATCH($M947,'Device Refrigerant Leakage'!$B$2:$B$42,0)),"")</f>
        <v/>
      </c>
      <c r="CS947" s="145" t="str">
        <f>IF($I947&lt;&gt;"",INDEX('Device Refrigerant Leakage'!$D$2:$D$42,MATCH($M947,'Device Refrigerant Leakage'!$B$2:$B$42,0))*CP947/2204.62*CO947,"")</f>
        <v/>
      </c>
      <c r="CT947" s="145" t="str">
        <f>IF($I947&lt;&gt;"",J947*(INDEX('Device Refrigerant Leakage'!$D$2:$D$42,MATCH($M947,'Device Refrigerant Leakage'!$B$2:$B$42,0))-(INDEX('Device Refrigerant Leakage'!$D$2:$D$42,MATCH($M947,'Device Refrigerant Leakage'!$B$2:$B$42,0)))*CR947*CP947)*CQ947/2204.62*CO947,"")</f>
        <v/>
      </c>
      <c r="CU947" s="135" t="str">
        <f>IF($I947&lt;&gt;"",J947*IF(W947&lt;&gt;"AR",(CS947*K947)+CT947,(CS947*AB947)+CT947*(AB947/INDEX('Device Refrigerant Leakage'!$C$2:$C$42,MATCH($M947,'Device Refrigerant Leakage'!$B$2:$B$42,0)))),"")</f>
        <v/>
      </c>
      <c r="CW947" s="135" t="str">
        <f>IF($I947&lt;&gt;"",IF(S947="User Specified",V947,INDEX('Refrigerant GWPs'!$G$2:$G$156,MATCH(S947,'Refrigerant GWPs'!$A$2:$A$157,0))),"")</f>
        <v/>
      </c>
      <c r="CX947" s="138" t="str">
        <f>IF($I947&lt;&gt;"",INDEX('Device Refrigerant Leakage'!$E$2:$E$42,MATCH($Q947,'Device Refrigerant Leakage'!$B$2:$B$42,0)),"")</f>
        <v/>
      </c>
      <c r="CY947" s="138" t="str">
        <f>IF($I947&lt;&gt;"",INDEX('Device Refrigerant Leakage'!$F$2:$F$42,MATCH($Q947,'Device Refrigerant Leakage'!$B$2:$B$42,0)),"")</f>
        <v/>
      </c>
      <c r="CZ947" s="145" t="str">
        <f>IF($I947&lt;&gt;"",INDEX('Device Refrigerant Leakage'!$G$2:$G$42,MATCH($Q947,'Device Refrigerant Leakage'!$B$2:$B$42,0)),"")</f>
        <v/>
      </c>
      <c r="DA947" s="145" t="str">
        <f>IF($I947&lt;&gt;"",J947*INDEX('Device Refrigerant Leakage'!$D$2:$D$42,MATCH($Q947,'Device Refrigerant Leakage'!$B$2:$B$42,0))*CX947/2204.62*CW947,"")</f>
        <v/>
      </c>
      <c r="DB947" s="145" t="str">
        <f>IF($I947&lt;&gt;"",J947*(INDEX('Device Refrigerant Leakage'!$D$2:$D$42,MATCH($Q947,'Device Refrigerant Leakage'!$B$2:$B$42,0))-(INDEX('Device Refrigerant Leakage'!$D$2:$D$42,MATCH($Q947,'Device Refrigerant Leakage'!$B$2:$B$42,0)))*CZ947*CX947)*CY947/2204.62*CW947,"")</f>
        <v/>
      </c>
      <c r="DC947" s="135" t="str">
        <f t="shared" si="1096"/>
        <v/>
      </c>
      <c r="DE947" s="146" t="str">
        <f>IF(W947&lt;&gt;"AR","",IF(Y947="User Specified", AA947, INDEX('Refrigerant GWPs'!$G$2:$G$154,MATCH(Y947,'Refrigerant GWPs'!$A$2:$A$154,0))))</f>
        <v/>
      </c>
      <c r="DF947" s="146" t="str">
        <f>IF(W947&lt;&gt;"AR","",INDEX('Device Refrigerant Leakage'!$E$2:$E$42,MATCH(X947,'Device Refrigerant Leakage'!$B$2:$B$42,0)))</f>
        <v/>
      </c>
      <c r="DG947" s="146" t="str">
        <f>IF(W947&lt;&gt;"AR","",INDEX('Device Refrigerant Leakage'!$F$2:$F$42,MATCH(X947,'Device Refrigerant Leakage'!$B$2:$B$42,0)))</f>
        <v/>
      </c>
      <c r="DH947" s="146" t="str">
        <f>IF(W947&lt;&gt;"AR","",INDEX('Device Refrigerant Leakage'!$G$2:$G$42,MATCH(X947,'Device Refrigerant Leakage'!$B$2:$B$42,0)))</f>
        <v/>
      </c>
      <c r="DI947" s="146" t="str">
        <f>IF(W947&lt;&gt;"AR","",J947*INDEX('Device Refrigerant Leakage'!$D$2:$D$42,MATCH(X947,'Device Refrigerant Leakage'!$B$2:$B$42,0))*DF947/2204.62*DE947)</f>
        <v/>
      </c>
      <c r="DJ947" s="146" t="str">
        <f>IF(W947&lt;&gt;"AR","",J947*(INDEX('Device Refrigerant Leakage'!$D$2:$D$42,MATCH(X947,'Device Refrigerant Leakage'!$B$2:$B$42,0))-(INDEX('Device Refrigerant Leakage'!$D$2:$D$42,MATCH(X947,'Device Refrigerant Leakage'!$B$2:$B$42,0)))*DH947*DF947)*DG947/2204.62*DE947)</f>
        <v/>
      </c>
      <c r="DK947" s="146" t="str">
        <f>IF(W947&lt;&gt;"AR","",DI947*(K947-AB947)+'Fuel Sub Calcs-Deemed'!DJ947*((K947-AB947)/INDEX('Device Refrigerant Leakage'!$C$2:$C$42,MATCH('Fuel Sub Calcs-Deemed'!X947,'Device Refrigerant Leakage'!$B$2:$B$42,0))))</f>
        <v/>
      </c>
      <c r="DM947" s="56">
        <v>933</v>
      </c>
      <c r="DN947" s="67" t="e">
        <f t="shared" si="1078"/>
        <v>#N/A</v>
      </c>
      <c r="DO947" s="45" t="e">
        <f t="shared" si="1079"/>
        <v>#N/A</v>
      </c>
      <c r="DP947" s="67" t="e">
        <f t="shared" si="1080"/>
        <v>#N/A</v>
      </c>
      <c r="DQ947" s="45" t="e">
        <f t="shared" si="1081"/>
        <v>#N/A</v>
      </c>
      <c r="DR947" s="69" t="e">
        <f t="shared" si="1082"/>
        <v>#N/A</v>
      </c>
      <c r="DS947" s="34"/>
      <c r="DT947" s="67" t="e">
        <f>((BX947*CJ947)+IF($W947=MAT_AR,(BZ947*CL947),0))*(1+Reference!$E$50+Reference!$E$51)</f>
        <v>#N/A</v>
      </c>
      <c r="DU947" s="67">
        <f>((BY947*CK947)+IF($W947=MAT_AR,(CA947*CM947),0))*(1+Reference!$G$50+Reference!$G$51)</f>
        <v>0</v>
      </c>
      <c r="DV947" s="67" t="e">
        <f t="shared" si="1083"/>
        <v>#VALUE!</v>
      </c>
      <c r="DX947" s="56">
        <v>933</v>
      </c>
      <c r="DY947" s="67">
        <f t="shared" si="1084"/>
        <v>0</v>
      </c>
      <c r="DZ947" s="45" t="e">
        <f>VLOOKUP($R947,Dropdown!$C$3:$D$4,2,FALSE)</f>
        <v>#N/A</v>
      </c>
      <c r="EA947" s="68">
        <f t="shared" si="1085"/>
        <v>0</v>
      </c>
      <c r="EB947" s="68" t="str">
        <f t="shared" si="1086"/>
        <v>N/A</v>
      </c>
      <c r="EC947" s="68">
        <f t="shared" si="1087"/>
        <v>0</v>
      </c>
      <c r="ED947" s="68" t="str">
        <f t="shared" si="1125"/>
        <v>N/A</v>
      </c>
      <c r="EF947" s="56">
        <v>933</v>
      </c>
      <c r="EG947" s="46">
        <f t="shared" si="1088"/>
        <v>0</v>
      </c>
      <c r="EH947" s="68" t="e">
        <f t="shared" si="1089"/>
        <v>#N/A</v>
      </c>
      <c r="EI947" s="68" t="e">
        <f t="shared" si="1090"/>
        <v>#N/A</v>
      </c>
      <c r="EJ947" s="68" t="e">
        <f t="shared" si="1091"/>
        <v>#N/A</v>
      </c>
      <c r="EK947" s="68" t="e">
        <f t="shared" si="1092"/>
        <v>#N/A</v>
      </c>
      <c r="EL947" s="46">
        <f t="shared" si="1093"/>
        <v>0</v>
      </c>
      <c r="EM947" s="46">
        <f t="shared" si="1094"/>
        <v>0</v>
      </c>
    </row>
    <row r="948" spans="1:143">
      <c r="A948" s="89"/>
      <c r="B948" s="89"/>
      <c r="C948" s="89"/>
      <c r="D948" s="89"/>
      <c r="E948" s="89"/>
      <c r="F948" s="89"/>
      <c r="G948" s="34"/>
      <c r="H948" s="56">
        <f t="shared" si="1095"/>
        <v>934</v>
      </c>
      <c r="I948" s="165"/>
      <c r="J948" s="163"/>
      <c r="K948" s="163"/>
      <c r="L948" s="164"/>
      <c r="M948" s="155"/>
      <c r="N948" s="155"/>
      <c r="O948" s="144"/>
      <c r="P948" s="159" t="str">
        <f>IFERROR(IF(O948&lt;&gt;"User Specified",IF(O948&lt;&gt;"", INDEX('Refrigerant GWPs'!$G$2:$G$154,MATCH(O948,'Refrigerant GWPs'!$A$2:$A$154,0)),""),U948),0)</f>
        <v/>
      </c>
      <c r="Q948" s="155"/>
      <c r="R948" s="155"/>
      <c r="S948" s="144"/>
      <c r="T948" s="159" t="str">
        <f>IF(S948&lt;&gt;"User Specified",IF(AND(S948&lt;&gt;"User Specified",S948&lt;&gt;""), INDEX('Refrigerant GWPs'!$G$2:$G$154,MATCH(S948,'Refrigerant GWPs'!$A$2:$A$154,0)),""),V948)</f>
        <v/>
      </c>
      <c r="U948" s="144"/>
      <c r="V948" s="144"/>
      <c r="W948" s="155"/>
      <c r="X948" s="155"/>
      <c r="Y948" s="144"/>
      <c r="Z948" s="159" t="str">
        <f>IF(AND(Y948&lt;&gt;"User Specified",Y948&lt;&gt;""), INDEX('Refrigerant GWPs'!$G$2:$G$154,MATCH(Y948,'Refrigerant GWPs'!$A$2:$A$154,0)),"")</f>
        <v/>
      </c>
      <c r="AA948" s="155"/>
      <c r="AB948" s="156"/>
      <c r="AC948" s="66"/>
      <c r="AD948" s="66"/>
      <c r="AE948" s="66"/>
      <c r="AF948" s="66"/>
      <c r="AG948" s="66"/>
      <c r="AH948" s="66"/>
      <c r="AI948" s="34"/>
      <c r="AJ948" s="88">
        <f t="shared" si="1058"/>
        <v>0</v>
      </c>
      <c r="AK948" s="88">
        <f t="shared" si="1059"/>
        <v>0</v>
      </c>
      <c r="AL948" s="88">
        <v>0</v>
      </c>
      <c r="AM948" s="88">
        <v>0</v>
      </c>
      <c r="AN948" s="81" t="str">
        <f t="shared" si="1097"/>
        <v/>
      </c>
      <c r="AO948" s="88">
        <f t="shared" si="1060"/>
        <v>0</v>
      </c>
      <c r="AP948" s="88">
        <f t="shared" si="1061"/>
        <v>0</v>
      </c>
      <c r="AQ948" s="81" t="str">
        <f t="shared" si="1062"/>
        <v/>
      </c>
      <c r="AS948" s="41" t="b">
        <f t="shared" si="1063"/>
        <v>1</v>
      </c>
      <c r="AT948" s="38">
        <f t="shared" si="1064"/>
        <v>0</v>
      </c>
      <c r="AU948" s="60">
        <f t="shared" si="1065"/>
        <v>0</v>
      </c>
      <c r="AV948" s="41">
        <f t="shared" si="1066"/>
        <v>0</v>
      </c>
      <c r="AW948" s="41" t="b">
        <f t="shared" si="1067"/>
        <v>0</v>
      </c>
      <c r="AX948" t="str">
        <f t="shared" si="1068"/>
        <v>+00</v>
      </c>
      <c r="AY948" t="str">
        <f t="shared" si="1069"/>
        <v>+00</v>
      </c>
      <c r="BA948" s="47" t="b">
        <f t="shared" si="1098"/>
        <v>1</v>
      </c>
      <c r="BB948" s="42" t="b">
        <f t="shared" si="1099"/>
        <v>1</v>
      </c>
      <c r="BC948" s="42" t="b">
        <f t="shared" si="1100"/>
        <v>0</v>
      </c>
      <c r="BD948" s="42" t="b">
        <f t="shared" si="1101"/>
        <v>0</v>
      </c>
      <c r="BE948" s="70">
        <f t="shared" si="1102"/>
        <v>0</v>
      </c>
      <c r="BF948" s="70">
        <f t="shared" si="1103"/>
        <v>0</v>
      </c>
      <c r="BG948" s="34"/>
      <c r="BI948" s="47" t="b">
        <f t="shared" si="1104"/>
        <v>1</v>
      </c>
      <c r="BJ948" s="47" t="b">
        <f t="shared" si="1105"/>
        <v>1</v>
      </c>
      <c r="BK948" s="42" t="b">
        <f t="shared" si="1106"/>
        <v>0</v>
      </c>
      <c r="BL948" s="42" t="b">
        <f t="shared" si="1107"/>
        <v>0</v>
      </c>
      <c r="BM948" s="42">
        <f t="shared" si="1108"/>
        <v>0</v>
      </c>
      <c r="BN948" s="42">
        <f t="shared" si="1109"/>
        <v>0</v>
      </c>
      <c r="BP948" t="e">
        <f t="shared" si="1110"/>
        <v>#N/A</v>
      </c>
      <c r="BQ948" t="e">
        <f t="shared" si="1111"/>
        <v>#N/A</v>
      </c>
      <c r="BR948" t="e">
        <f t="shared" si="1112"/>
        <v>#N/A</v>
      </c>
      <c r="BT948" s="60">
        <f t="shared" si="1113"/>
        <v>0</v>
      </c>
      <c r="BU948" s="60">
        <f t="shared" si="1114"/>
        <v>0</v>
      </c>
      <c r="BV948" s="60">
        <f t="shared" si="1115"/>
        <v>0</v>
      </c>
      <c r="BW948" s="60">
        <f t="shared" si="1116"/>
        <v>0</v>
      </c>
      <c r="BX948" s="60">
        <f t="shared" si="1117"/>
        <v>0</v>
      </c>
      <c r="BY948" s="60">
        <f t="shared" si="1118"/>
        <v>0</v>
      </c>
      <c r="BZ948" s="60">
        <f t="shared" si="1119"/>
        <v>0</v>
      </c>
      <c r="CA948" s="60">
        <f t="shared" si="1120"/>
        <v>0</v>
      </c>
      <c r="CB948" s="60" t="e">
        <f t="shared" si="1070"/>
        <v>#N/A</v>
      </c>
      <c r="CC948" s="60">
        <f t="shared" si="1071"/>
        <v>100000</v>
      </c>
      <c r="CD948" s="60" t="e">
        <f t="shared" si="1072"/>
        <v>#N/A</v>
      </c>
      <c r="CE948" s="60">
        <f t="shared" si="1073"/>
        <v>100000</v>
      </c>
      <c r="CF948" s="83" t="e">
        <f t="shared" si="1121"/>
        <v>#N/A</v>
      </c>
      <c r="CG948" s="83">
        <f t="shared" si="1122"/>
        <v>0</v>
      </c>
      <c r="CH948" s="83" t="e">
        <f t="shared" si="1123"/>
        <v>#N/A</v>
      </c>
      <c r="CI948" s="83">
        <f t="shared" si="1124"/>
        <v>0</v>
      </c>
      <c r="CJ948" s="86" t="e">
        <f t="shared" si="1074"/>
        <v>#N/A</v>
      </c>
      <c r="CK948" s="82">
        <f t="shared" si="1075"/>
        <v>5.3070370403969858E-3</v>
      </c>
      <c r="CL948" s="82" t="e">
        <f t="shared" si="1076"/>
        <v>#N/A</v>
      </c>
      <c r="CM948" s="82">
        <f t="shared" si="1077"/>
        <v>5.3070370403969858E-3</v>
      </c>
      <c r="CO948" s="149" t="str">
        <f>IF($I948&lt;&gt;"",IF(O948="User Specified",U948,INDEX('Refrigerant GWPs'!$G$2:$G$156,MATCH(O948,'Refrigerant GWPs'!$A$2:$A$156,0))),"")</f>
        <v/>
      </c>
      <c r="CP948" s="138" t="str">
        <f>IF($I948&lt;&gt;"",INDEX('Device Refrigerant Leakage'!$E$2:$E$42,MATCH($M948,'Device Refrigerant Leakage'!$B$2:$B$42,0)),"")</f>
        <v/>
      </c>
      <c r="CQ948" s="138" t="str">
        <f>IF($I948&lt;&gt;"",INDEX('Device Refrigerant Leakage'!$F$2:$F$42,MATCH($M948,'Device Refrigerant Leakage'!$B$2:$B$42,0)),"")</f>
        <v/>
      </c>
      <c r="CR948" s="145" t="str">
        <f>IF($I948&lt;&gt;"",INDEX('Device Refrigerant Leakage'!$G$2:$G$42,MATCH($M948,'Device Refrigerant Leakage'!$B$2:$B$42,0)),"")</f>
        <v/>
      </c>
      <c r="CS948" s="145" t="str">
        <f>IF($I948&lt;&gt;"",INDEX('Device Refrigerant Leakage'!$D$2:$D$42,MATCH($M948,'Device Refrigerant Leakage'!$B$2:$B$42,0))*CP948/2204.62*CO948,"")</f>
        <v/>
      </c>
      <c r="CT948" s="145" t="str">
        <f>IF($I948&lt;&gt;"",J948*(INDEX('Device Refrigerant Leakage'!$D$2:$D$42,MATCH($M948,'Device Refrigerant Leakage'!$B$2:$B$42,0))-(INDEX('Device Refrigerant Leakage'!$D$2:$D$42,MATCH($M948,'Device Refrigerant Leakage'!$B$2:$B$42,0)))*CR948*CP948)*CQ948/2204.62*CO948,"")</f>
        <v/>
      </c>
      <c r="CU948" s="135" t="str">
        <f>IF($I948&lt;&gt;"",J948*IF(W948&lt;&gt;"AR",(CS948*K948)+CT948,(CS948*AB948)+CT948*(AB948/INDEX('Device Refrigerant Leakage'!$C$2:$C$42,MATCH($M948,'Device Refrigerant Leakage'!$B$2:$B$42,0)))),"")</f>
        <v/>
      </c>
      <c r="CW948" s="135" t="str">
        <f>IF($I948&lt;&gt;"",IF(S948="User Specified",V948,INDEX('Refrigerant GWPs'!$G$2:$G$156,MATCH(S948,'Refrigerant GWPs'!$A$2:$A$157,0))),"")</f>
        <v/>
      </c>
      <c r="CX948" s="138" t="str">
        <f>IF($I948&lt;&gt;"",INDEX('Device Refrigerant Leakage'!$E$2:$E$42,MATCH($Q948,'Device Refrigerant Leakage'!$B$2:$B$42,0)),"")</f>
        <v/>
      </c>
      <c r="CY948" s="138" t="str">
        <f>IF($I948&lt;&gt;"",INDEX('Device Refrigerant Leakage'!$F$2:$F$42,MATCH($Q948,'Device Refrigerant Leakage'!$B$2:$B$42,0)),"")</f>
        <v/>
      </c>
      <c r="CZ948" s="145" t="str">
        <f>IF($I948&lt;&gt;"",INDEX('Device Refrigerant Leakage'!$G$2:$G$42,MATCH($Q948,'Device Refrigerant Leakage'!$B$2:$B$42,0)),"")</f>
        <v/>
      </c>
      <c r="DA948" s="145" t="str">
        <f>IF($I948&lt;&gt;"",J948*INDEX('Device Refrigerant Leakage'!$D$2:$D$42,MATCH($Q948,'Device Refrigerant Leakage'!$B$2:$B$42,0))*CX948/2204.62*CW948,"")</f>
        <v/>
      </c>
      <c r="DB948" s="145" t="str">
        <f>IF($I948&lt;&gt;"",J948*(INDEX('Device Refrigerant Leakage'!$D$2:$D$42,MATCH($Q948,'Device Refrigerant Leakage'!$B$2:$B$42,0))-(INDEX('Device Refrigerant Leakage'!$D$2:$D$42,MATCH($Q948,'Device Refrigerant Leakage'!$B$2:$B$42,0)))*CZ948*CX948)*CY948/2204.62*CW948,"")</f>
        <v/>
      </c>
      <c r="DC948" s="135" t="str">
        <f t="shared" si="1096"/>
        <v/>
      </c>
      <c r="DE948" s="146" t="str">
        <f>IF(W948&lt;&gt;"AR","",IF(Y948="User Specified", AA948, INDEX('Refrigerant GWPs'!$G$2:$G$154,MATCH(Y948,'Refrigerant GWPs'!$A$2:$A$154,0))))</f>
        <v/>
      </c>
      <c r="DF948" s="146" t="str">
        <f>IF(W948&lt;&gt;"AR","",INDEX('Device Refrigerant Leakage'!$E$2:$E$42,MATCH(X948,'Device Refrigerant Leakage'!$B$2:$B$42,0)))</f>
        <v/>
      </c>
      <c r="DG948" s="146" t="str">
        <f>IF(W948&lt;&gt;"AR","",INDEX('Device Refrigerant Leakage'!$F$2:$F$42,MATCH(X948,'Device Refrigerant Leakage'!$B$2:$B$42,0)))</f>
        <v/>
      </c>
      <c r="DH948" s="146" t="str">
        <f>IF(W948&lt;&gt;"AR","",INDEX('Device Refrigerant Leakage'!$G$2:$G$42,MATCH(X948,'Device Refrigerant Leakage'!$B$2:$B$42,0)))</f>
        <v/>
      </c>
      <c r="DI948" s="146" t="str">
        <f>IF(W948&lt;&gt;"AR","",J948*INDEX('Device Refrigerant Leakage'!$D$2:$D$42,MATCH(X948,'Device Refrigerant Leakage'!$B$2:$B$42,0))*DF948/2204.62*DE948)</f>
        <v/>
      </c>
      <c r="DJ948" s="146" t="str">
        <f>IF(W948&lt;&gt;"AR","",J948*(INDEX('Device Refrigerant Leakage'!$D$2:$D$42,MATCH(X948,'Device Refrigerant Leakage'!$B$2:$B$42,0))-(INDEX('Device Refrigerant Leakage'!$D$2:$D$42,MATCH(X948,'Device Refrigerant Leakage'!$B$2:$B$42,0)))*DH948*DF948)*DG948/2204.62*DE948)</f>
        <v/>
      </c>
      <c r="DK948" s="146" t="str">
        <f>IF(W948&lt;&gt;"AR","",DI948*(K948-AB948)+'Fuel Sub Calcs-Deemed'!DJ948*((K948-AB948)/INDEX('Device Refrigerant Leakage'!$C$2:$C$42,MATCH('Fuel Sub Calcs-Deemed'!X948,'Device Refrigerant Leakage'!$B$2:$B$42,0))))</f>
        <v/>
      </c>
      <c r="DM948" s="56">
        <v>934</v>
      </c>
      <c r="DN948" s="67" t="e">
        <f t="shared" si="1078"/>
        <v>#N/A</v>
      </c>
      <c r="DO948" s="45" t="e">
        <f t="shared" si="1079"/>
        <v>#N/A</v>
      </c>
      <c r="DP948" s="67" t="e">
        <f t="shared" si="1080"/>
        <v>#N/A</v>
      </c>
      <c r="DQ948" s="45" t="e">
        <f t="shared" si="1081"/>
        <v>#N/A</v>
      </c>
      <c r="DR948" s="69" t="e">
        <f t="shared" si="1082"/>
        <v>#N/A</v>
      </c>
      <c r="DS948" s="34"/>
      <c r="DT948" s="67" t="e">
        <f>((BX948*CJ948)+IF($W948=MAT_AR,(BZ948*CL948),0))*(1+Reference!$E$50+Reference!$E$51)</f>
        <v>#N/A</v>
      </c>
      <c r="DU948" s="67">
        <f>((BY948*CK948)+IF($W948=MAT_AR,(CA948*CM948),0))*(1+Reference!$G$50+Reference!$G$51)</f>
        <v>0</v>
      </c>
      <c r="DV948" s="67" t="e">
        <f t="shared" si="1083"/>
        <v>#VALUE!</v>
      </c>
      <c r="DX948" s="56">
        <v>934</v>
      </c>
      <c r="DY948" s="67">
        <f t="shared" si="1084"/>
        <v>0</v>
      </c>
      <c r="DZ948" s="45" t="e">
        <f>VLOOKUP($R948,Dropdown!$C$3:$D$4,2,FALSE)</f>
        <v>#N/A</v>
      </c>
      <c r="EA948" s="68">
        <f t="shared" si="1085"/>
        <v>0</v>
      </c>
      <c r="EB948" s="68" t="str">
        <f t="shared" si="1086"/>
        <v>N/A</v>
      </c>
      <c r="EC948" s="68">
        <f t="shared" si="1087"/>
        <v>0</v>
      </c>
      <c r="ED948" s="68" t="str">
        <f t="shared" si="1125"/>
        <v>N/A</v>
      </c>
      <c r="EF948" s="56">
        <v>934</v>
      </c>
      <c r="EG948" s="46">
        <f t="shared" si="1088"/>
        <v>0</v>
      </c>
      <c r="EH948" s="68" t="e">
        <f t="shared" si="1089"/>
        <v>#N/A</v>
      </c>
      <c r="EI948" s="68" t="e">
        <f t="shared" si="1090"/>
        <v>#N/A</v>
      </c>
      <c r="EJ948" s="68" t="e">
        <f t="shared" si="1091"/>
        <v>#N/A</v>
      </c>
      <c r="EK948" s="68" t="e">
        <f t="shared" si="1092"/>
        <v>#N/A</v>
      </c>
      <c r="EL948" s="46">
        <f t="shared" si="1093"/>
        <v>0</v>
      </c>
      <c r="EM948" s="46">
        <f t="shared" si="1094"/>
        <v>0</v>
      </c>
    </row>
    <row r="949" spans="1:143">
      <c r="A949" s="89"/>
      <c r="B949" s="89"/>
      <c r="C949" s="89"/>
      <c r="D949" s="89"/>
      <c r="E949" s="89"/>
      <c r="F949" s="89"/>
      <c r="G949" s="34"/>
      <c r="H949" s="56">
        <f t="shared" si="1095"/>
        <v>935</v>
      </c>
      <c r="I949" s="165"/>
      <c r="J949" s="163"/>
      <c r="K949" s="163"/>
      <c r="L949" s="164"/>
      <c r="M949" s="155"/>
      <c r="N949" s="155"/>
      <c r="O949" s="144"/>
      <c r="P949" s="159" t="str">
        <f>IFERROR(IF(O949&lt;&gt;"User Specified",IF(O949&lt;&gt;"", INDEX('Refrigerant GWPs'!$G$2:$G$154,MATCH(O949,'Refrigerant GWPs'!$A$2:$A$154,0)),""),U949),0)</f>
        <v/>
      </c>
      <c r="Q949" s="155"/>
      <c r="R949" s="155"/>
      <c r="S949" s="144"/>
      <c r="T949" s="159" t="str">
        <f>IF(S949&lt;&gt;"User Specified",IF(AND(S949&lt;&gt;"User Specified",S949&lt;&gt;""), INDEX('Refrigerant GWPs'!$G$2:$G$154,MATCH(S949,'Refrigerant GWPs'!$A$2:$A$154,0)),""),V949)</f>
        <v/>
      </c>
      <c r="U949" s="144"/>
      <c r="V949" s="144"/>
      <c r="W949" s="155"/>
      <c r="X949" s="155"/>
      <c r="Y949" s="144"/>
      <c r="Z949" s="159" t="str">
        <f>IF(AND(Y949&lt;&gt;"User Specified",Y949&lt;&gt;""), INDEX('Refrigerant GWPs'!$G$2:$G$154,MATCH(Y949,'Refrigerant GWPs'!$A$2:$A$154,0)),"")</f>
        <v/>
      </c>
      <c r="AA949" s="155"/>
      <c r="AB949" s="156"/>
      <c r="AC949" s="66"/>
      <c r="AD949" s="66"/>
      <c r="AE949" s="66"/>
      <c r="AF949" s="66"/>
      <c r="AG949" s="66"/>
      <c r="AH949" s="66"/>
      <c r="AI949" s="34"/>
      <c r="AJ949" s="88">
        <f t="shared" si="1058"/>
        <v>0</v>
      </c>
      <c r="AK949" s="88">
        <f t="shared" si="1059"/>
        <v>0</v>
      </c>
      <c r="AL949" s="88">
        <v>0</v>
      </c>
      <c r="AM949" s="88">
        <v>0</v>
      </c>
      <c r="AN949" s="81" t="str">
        <f t="shared" si="1097"/>
        <v/>
      </c>
      <c r="AO949" s="88">
        <f t="shared" si="1060"/>
        <v>0</v>
      </c>
      <c r="AP949" s="88">
        <f t="shared" si="1061"/>
        <v>0</v>
      </c>
      <c r="AQ949" s="81" t="str">
        <f t="shared" si="1062"/>
        <v/>
      </c>
      <c r="AS949" s="41" t="b">
        <f t="shared" si="1063"/>
        <v>1</v>
      </c>
      <c r="AT949" s="38">
        <f t="shared" si="1064"/>
        <v>0</v>
      </c>
      <c r="AU949" s="60">
        <f t="shared" si="1065"/>
        <v>0</v>
      </c>
      <c r="AV949" s="41">
        <f t="shared" si="1066"/>
        <v>0</v>
      </c>
      <c r="AW949" s="41" t="b">
        <f t="shared" si="1067"/>
        <v>0</v>
      </c>
      <c r="AX949" t="str">
        <f t="shared" si="1068"/>
        <v>+00</v>
      </c>
      <c r="AY949" t="str">
        <f t="shared" si="1069"/>
        <v>+00</v>
      </c>
      <c r="BA949" s="47" t="b">
        <f t="shared" si="1098"/>
        <v>1</v>
      </c>
      <c r="BB949" s="42" t="b">
        <f t="shared" si="1099"/>
        <v>1</v>
      </c>
      <c r="BC949" s="42" t="b">
        <f t="shared" si="1100"/>
        <v>0</v>
      </c>
      <c r="BD949" s="42" t="b">
        <f t="shared" si="1101"/>
        <v>0</v>
      </c>
      <c r="BE949" s="70">
        <f t="shared" si="1102"/>
        <v>0</v>
      </c>
      <c r="BF949" s="70">
        <f t="shared" si="1103"/>
        <v>0</v>
      </c>
      <c r="BG949" s="34"/>
      <c r="BI949" s="47" t="b">
        <f t="shared" si="1104"/>
        <v>1</v>
      </c>
      <c r="BJ949" s="47" t="b">
        <f t="shared" si="1105"/>
        <v>1</v>
      </c>
      <c r="BK949" s="42" t="b">
        <f t="shared" si="1106"/>
        <v>0</v>
      </c>
      <c r="BL949" s="42" t="b">
        <f t="shared" si="1107"/>
        <v>0</v>
      </c>
      <c r="BM949" s="42">
        <f t="shared" si="1108"/>
        <v>0</v>
      </c>
      <c r="BN949" s="42">
        <f t="shared" si="1109"/>
        <v>0</v>
      </c>
      <c r="BP949" t="e">
        <f t="shared" si="1110"/>
        <v>#N/A</v>
      </c>
      <c r="BQ949" t="e">
        <f t="shared" si="1111"/>
        <v>#N/A</v>
      </c>
      <c r="BR949" t="e">
        <f t="shared" si="1112"/>
        <v>#N/A</v>
      </c>
      <c r="BT949" s="60">
        <f t="shared" si="1113"/>
        <v>0</v>
      </c>
      <c r="BU949" s="60">
        <f t="shared" si="1114"/>
        <v>0</v>
      </c>
      <c r="BV949" s="60">
        <f t="shared" si="1115"/>
        <v>0</v>
      </c>
      <c r="BW949" s="60">
        <f t="shared" si="1116"/>
        <v>0</v>
      </c>
      <c r="BX949" s="60">
        <f t="shared" si="1117"/>
        <v>0</v>
      </c>
      <c r="BY949" s="60">
        <f t="shared" si="1118"/>
        <v>0</v>
      </c>
      <c r="BZ949" s="60">
        <f t="shared" si="1119"/>
        <v>0</v>
      </c>
      <c r="CA949" s="60">
        <f t="shared" si="1120"/>
        <v>0</v>
      </c>
      <c r="CB949" s="60" t="e">
        <f t="shared" si="1070"/>
        <v>#N/A</v>
      </c>
      <c r="CC949" s="60">
        <f t="shared" si="1071"/>
        <v>100000</v>
      </c>
      <c r="CD949" s="60" t="e">
        <f t="shared" si="1072"/>
        <v>#N/A</v>
      </c>
      <c r="CE949" s="60">
        <f t="shared" si="1073"/>
        <v>100000</v>
      </c>
      <c r="CF949" s="83" t="e">
        <f t="shared" si="1121"/>
        <v>#N/A</v>
      </c>
      <c r="CG949" s="83">
        <f t="shared" si="1122"/>
        <v>0</v>
      </c>
      <c r="CH949" s="83" t="e">
        <f t="shared" si="1123"/>
        <v>#N/A</v>
      </c>
      <c r="CI949" s="83">
        <f t="shared" si="1124"/>
        <v>0</v>
      </c>
      <c r="CJ949" s="86" t="e">
        <f t="shared" si="1074"/>
        <v>#N/A</v>
      </c>
      <c r="CK949" s="82">
        <f t="shared" si="1075"/>
        <v>5.3070370403969858E-3</v>
      </c>
      <c r="CL949" s="82" t="e">
        <f t="shared" si="1076"/>
        <v>#N/A</v>
      </c>
      <c r="CM949" s="82">
        <f t="shared" si="1077"/>
        <v>5.3070370403969858E-3</v>
      </c>
      <c r="CO949" s="149" t="str">
        <f>IF($I949&lt;&gt;"",IF(O949="User Specified",U949,INDEX('Refrigerant GWPs'!$G$2:$G$156,MATCH(O949,'Refrigerant GWPs'!$A$2:$A$156,0))),"")</f>
        <v/>
      </c>
      <c r="CP949" s="138" t="str">
        <f>IF($I949&lt;&gt;"",INDEX('Device Refrigerant Leakage'!$E$2:$E$42,MATCH($M949,'Device Refrigerant Leakage'!$B$2:$B$42,0)),"")</f>
        <v/>
      </c>
      <c r="CQ949" s="138" t="str">
        <f>IF($I949&lt;&gt;"",INDEX('Device Refrigerant Leakage'!$F$2:$F$42,MATCH($M949,'Device Refrigerant Leakage'!$B$2:$B$42,0)),"")</f>
        <v/>
      </c>
      <c r="CR949" s="145" t="str">
        <f>IF($I949&lt;&gt;"",INDEX('Device Refrigerant Leakage'!$G$2:$G$42,MATCH($M949,'Device Refrigerant Leakage'!$B$2:$B$42,0)),"")</f>
        <v/>
      </c>
      <c r="CS949" s="145" t="str">
        <f>IF($I949&lt;&gt;"",INDEX('Device Refrigerant Leakage'!$D$2:$D$42,MATCH($M949,'Device Refrigerant Leakage'!$B$2:$B$42,0))*CP949/2204.62*CO949,"")</f>
        <v/>
      </c>
      <c r="CT949" s="145" t="str">
        <f>IF($I949&lt;&gt;"",J949*(INDEX('Device Refrigerant Leakage'!$D$2:$D$42,MATCH($M949,'Device Refrigerant Leakage'!$B$2:$B$42,0))-(INDEX('Device Refrigerant Leakage'!$D$2:$D$42,MATCH($M949,'Device Refrigerant Leakage'!$B$2:$B$42,0)))*CR949*CP949)*CQ949/2204.62*CO949,"")</f>
        <v/>
      </c>
      <c r="CU949" s="135" t="str">
        <f>IF($I949&lt;&gt;"",J949*IF(W949&lt;&gt;"AR",(CS949*K949)+CT949,(CS949*AB949)+CT949*(AB949/INDEX('Device Refrigerant Leakage'!$C$2:$C$42,MATCH($M949,'Device Refrigerant Leakage'!$B$2:$B$42,0)))),"")</f>
        <v/>
      </c>
      <c r="CW949" s="135" t="str">
        <f>IF($I949&lt;&gt;"",IF(S949="User Specified",V949,INDEX('Refrigerant GWPs'!$G$2:$G$156,MATCH(S949,'Refrigerant GWPs'!$A$2:$A$157,0))),"")</f>
        <v/>
      </c>
      <c r="CX949" s="138" t="str">
        <f>IF($I949&lt;&gt;"",INDEX('Device Refrigerant Leakage'!$E$2:$E$42,MATCH($Q949,'Device Refrigerant Leakage'!$B$2:$B$42,0)),"")</f>
        <v/>
      </c>
      <c r="CY949" s="138" t="str">
        <f>IF($I949&lt;&gt;"",INDEX('Device Refrigerant Leakage'!$F$2:$F$42,MATCH($Q949,'Device Refrigerant Leakage'!$B$2:$B$42,0)),"")</f>
        <v/>
      </c>
      <c r="CZ949" s="145" t="str">
        <f>IF($I949&lt;&gt;"",INDEX('Device Refrigerant Leakage'!$G$2:$G$42,MATCH($Q949,'Device Refrigerant Leakage'!$B$2:$B$42,0)),"")</f>
        <v/>
      </c>
      <c r="DA949" s="145" t="str">
        <f>IF($I949&lt;&gt;"",J949*INDEX('Device Refrigerant Leakage'!$D$2:$D$42,MATCH($Q949,'Device Refrigerant Leakage'!$B$2:$B$42,0))*CX949/2204.62*CW949,"")</f>
        <v/>
      </c>
      <c r="DB949" s="145" t="str">
        <f>IF($I949&lt;&gt;"",J949*(INDEX('Device Refrigerant Leakage'!$D$2:$D$42,MATCH($Q949,'Device Refrigerant Leakage'!$B$2:$B$42,0))-(INDEX('Device Refrigerant Leakage'!$D$2:$D$42,MATCH($Q949,'Device Refrigerant Leakage'!$B$2:$B$42,0)))*CZ949*CX949)*CY949/2204.62*CW949,"")</f>
        <v/>
      </c>
      <c r="DC949" s="135" t="str">
        <f t="shared" si="1096"/>
        <v/>
      </c>
      <c r="DE949" s="146" t="str">
        <f>IF(W949&lt;&gt;"AR","",IF(Y949="User Specified", AA949, INDEX('Refrigerant GWPs'!$G$2:$G$154,MATCH(Y949,'Refrigerant GWPs'!$A$2:$A$154,0))))</f>
        <v/>
      </c>
      <c r="DF949" s="146" t="str">
        <f>IF(W949&lt;&gt;"AR","",INDEX('Device Refrigerant Leakage'!$E$2:$E$42,MATCH(X949,'Device Refrigerant Leakage'!$B$2:$B$42,0)))</f>
        <v/>
      </c>
      <c r="DG949" s="146" t="str">
        <f>IF(W949&lt;&gt;"AR","",INDEX('Device Refrigerant Leakage'!$F$2:$F$42,MATCH(X949,'Device Refrigerant Leakage'!$B$2:$B$42,0)))</f>
        <v/>
      </c>
      <c r="DH949" s="146" t="str">
        <f>IF(W949&lt;&gt;"AR","",INDEX('Device Refrigerant Leakage'!$G$2:$G$42,MATCH(X949,'Device Refrigerant Leakage'!$B$2:$B$42,0)))</f>
        <v/>
      </c>
      <c r="DI949" s="146" t="str">
        <f>IF(W949&lt;&gt;"AR","",J949*INDEX('Device Refrigerant Leakage'!$D$2:$D$42,MATCH(X949,'Device Refrigerant Leakage'!$B$2:$B$42,0))*DF949/2204.62*DE949)</f>
        <v/>
      </c>
      <c r="DJ949" s="146" t="str">
        <f>IF(W949&lt;&gt;"AR","",J949*(INDEX('Device Refrigerant Leakage'!$D$2:$D$42,MATCH(X949,'Device Refrigerant Leakage'!$B$2:$B$42,0))-(INDEX('Device Refrigerant Leakage'!$D$2:$D$42,MATCH(X949,'Device Refrigerant Leakage'!$B$2:$B$42,0)))*DH949*DF949)*DG949/2204.62*DE949)</f>
        <v/>
      </c>
      <c r="DK949" s="146" t="str">
        <f>IF(W949&lt;&gt;"AR","",DI949*(K949-AB949)+'Fuel Sub Calcs-Deemed'!DJ949*((K949-AB949)/INDEX('Device Refrigerant Leakage'!$C$2:$C$42,MATCH('Fuel Sub Calcs-Deemed'!X949,'Device Refrigerant Leakage'!$B$2:$B$42,0))))</f>
        <v/>
      </c>
      <c r="DM949" s="56">
        <v>935</v>
      </c>
      <c r="DN949" s="67" t="e">
        <f t="shared" si="1078"/>
        <v>#N/A</v>
      </c>
      <c r="DO949" s="45" t="e">
        <f t="shared" si="1079"/>
        <v>#N/A</v>
      </c>
      <c r="DP949" s="67" t="e">
        <f t="shared" si="1080"/>
        <v>#N/A</v>
      </c>
      <c r="DQ949" s="45" t="e">
        <f t="shared" si="1081"/>
        <v>#N/A</v>
      </c>
      <c r="DR949" s="69" t="e">
        <f t="shared" si="1082"/>
        <v>#N/A</v>
      </c>
      <c r="DS949" s="34"/>
      <c r="DT949" s="67" t="e">
        <f>((BX949*CJ949)+IF($W949=MAT_AR,(BZ949*CL949),0))*(1+Reference!$E$50+Reference!$E$51)</f>
        <v>#N/A</v>
      </c>
      <c r="DU949" s="67">
        <f>((BY949*CK949)+IF($W949=MAT_AR,(CA949*CM949),0))*(1+Reference!$G$50+Reference!$G$51)</f>
        <v>0</v>
      </c>
      <c r="DV949" s="67" t="e">
        <f t="shared" si="1083"/>
        <v>#VALUE!</v>
      </c>
      <c r="DX949" s="56">
        <v>935</v>
      </c>
      <c r="DY949" s="67">
        <f t="shared" si="1084"/>
        <v>0</v>
      </c>
      <c r="DZ949" s="45" t="e">
        <f>VLOOKUP($R949,Dropdown!$C$3:$D$4,2,FALSE)</f>
        <v>#N/A</v>
      </c>
      <c r="EA949" s="68">
        <f t="shared" si="1085"/>
        <v>0</v>
      </c>
      <c r="EB949" s="68" t="str">
        <f t="shared" si="1086"/>
        <v>N/A</v>
      </c>
      <c r="EC949" s="68">
        <f t="shared" si="1087"/>
        <v>0</v>
      </c>
      <c r="ED949" s="68" t="str">
        <f t="shared" si="1125"/>
        <v>N/A</v>
      </c>
      <c r="EF949" s="56">
        <v>935</v>
      </c>
      <c r="EG949" s="46">
        <f t="shared" si="1088"/>
        <v>0</v>
      </c>
      <c r="EH949" s="68" t="e">
        <f t="shared" si="1089"/>
        <v>#N/A</v>
      </c>
      <c r="EI949" s="68" t="e">
        <f t="shared" si="1090"/>
        <v>#N/A</v>
      </c>
      <c r="EJ949" s="68" t="e">
        <f t="shared" si="1091"/>
        <v>#N/A</v>
      </c>
      <c r="EK949" s="68" t="e">
        <f t="shared" si="1092"/>
        <v>#N/A</v>
      </c>
      <c r="EL949" s="46">
        <f t="shared" si="1093"/>
        <v>0</v>
      </c>
      <c r="EM949" s="46">
        <f t="shared" si="1094"/>
        <v>0</v>
      </c>
    </row>
    <row r="950" spans="1:143">
      <c r="A950" s="89"/>
      <c r="B950" s="89"/>
      <c r="C950" s="89"/>
      <c r="D950" s="89"/>
      <c r="E950" s="89"/>
      <c r="F950" s="89"/>
      <c r="G950" s="34"/>
      <c r="H950" s="56">
        <f t="shared" si="1095"/>
        <v>936</v>
      </c>
      <c r="I950" s="165"/>
      <c r="J950" s="163"/>
      <c r="K950" s="163"/>
      <c r="L950" s="164"/>
      <c r="M950" s="155"/>
      <c r="N950" s="155"/>
      <c r="O950" s="144"/>
      <c r="P950" s="159" t="str">
        <f>IFERROR(IF(O950&lt;&gt;"User Specified",IF(O950&lt;&gt;"", INDEX('Refrigerant GWPs'!$G$2:$G$154,MATCH(O950,'Refrigerant GWPs'!$A$2:$A$154,0)),""),U950),0)</f>
        <v/>
      </c>
      <c r="Q950" s="155"/>
      <c r="R950" s="155"/>
      <c r="S950" s="144"/>
      <c r="T950" s="159" t="str">
        <f>IF(S950&lt;&gt;"User Specified",IF(AND(S950&lt;&gt;"User Specified",S950&lt;&gt;""), INDEX('Refrigerant GWPs'!$G$2:$G$154,MATCH(S950,'Refrigerant GWPs'!$A$2:$A$154,0)),""),V950)</f>
        <v/>
      </c>
      <c r="U950" s="144"/>
      <c r="V950" s="144"/>
      <c r="W950" s="155"/>
      <c r="X950" s="155"/>
      <c r="Y950" s="144"/>
      <c r="Z950" s="159" t="str">
        <f>IF(AND(Y950&lt;&gt;"User Specified",Y950&lt;&gt;""), INDEX('Refrigerant GWPs'!$G$2:$G$154,MATCH(Y950,'Refrigerant GWPs'!$A$2:$A$154,0)),"")</f>
        <v/>
      </c>
      <c r="AA950" s="155"/>
      <c r="AB950" s="156"/>
      <c r="AC950" s="66"/>
      <c r="AD950" s="66"/>
      <c r="AE950" s="66"/>
      <c r="AF950" s="66"/>
      <c r="AG950" s="66"/>
      <c r="AH950" s="66"/>
      <c r="AI950" s="34"/>
      <c r="AJ950" s="88">
        <f t="shared" si="1058"/>
        <v>0</v>
      </c>
      <c r="AK950" s="88">
        <f t="shared" si="1059"/>
        <v>0</v>
      </c>
      <c r="AL950" s="88">
        <v>0</v>
      </c>
      <c r="AM950" s="88">
        <v>0</v>
      </c>
      <c r="AN950" s="81" t="str">
        <f t="shared" si="1097"/>
        <v/>
      </c>
      <c r="AO950" s="88">
        <f t="shared" si="1060"/>
        <v>0</v>
      </c>
      <c r="AP950" s="88">
        <f t="shared" si="1061"/>
        <v>0</v>
      </c>
      <c r="AQ950" s="81" t="str">
        <f t="shared" si="1062"/>
        <v/>
      </c>
      <c r="AS950" s="41" t="b">
        <f t="shared" si="1063"/>
        <v>1</v>
      </c>
      <c r="AT950" s="38">
        <f t="shared" si="1064"/>
        <v>0</v>
      </c>
      <c r="AU950" s="60">
        <f t="shared" si="1065"/>
        <v>0</v>
      </c>
      <c r="AV950" s="41">
        <f t="shared" si="1066"/>
        <v>0</v>
      </c>
      <c r="AW950" s="41" t="b">
        <f t="shared" si="1067"/>
        <v>0</v>
      </c>
      <c r="AX950" t="str">
        <f t="shared" si="1068"/>
        <v>+00</v>
      </c>
      <c r="AY950" t="str">
        <f t="shared" si="1069"/>
        <v>+00</v>
      </c>
      <c r="BA950" s="47" t="b">
        <f t="shared" si="1098"/>
        <v>1</v>
      </c>
      <c r="BB950" s="42" t="b">
        <f t="shared" si="1099"/>
        <v>1</v>
      </c>
      <c r="BC950" s="42" t="b">
        <f t="shared" si="1100"/>
        <v>0</v>
      </c>
      <c r="BD950" s="42" t="b">
        <f t="shared" si="1101"/>
        <v>0</v>
      </c>
      <c r="BE950" s="70">
        <f t="shared" si="1102"/>
        <v>0</v>
      </c>
      <c r="BF950" s="70">
        <f t="shared" si="1103"/>
        <v>0</v>
      </c>
      <c r="BG950" s="34"/>
      <c r="BI950" s="47" t="b">
        <f t="shared" si="1104"/>
        <v>1</v>
      </c>
      <c r="BJ950" s="47" t="b">
        <f t="shared" si="1105"/>
        <v>1</v>
      </c>
      <c r="BK950" s="42" t="b">
        <f t="shared" si="1106"/>
        <v>0</v>
      </c>
      <c r="BL950" s="42" t="b">
        <f t="shared" si="1107"/>
        <v>0</v>
      </c>
      <c r="BM950" s="42">
        <f t="shared" si="1108"/>
        <v>0</v>
      </c>
      <c r="BN950" s="42">
        <f t="shared" si="1109"/>
        <v>0</v>
      </c>
      <c r="BP950" t="e">
        <f t="shared" si="1110"/>
        <v>#N/A</v>
      </c>
      <c r="BQ950" t="e">
        <f t="shared" si="1111"/>
        <v>#N/A</v>
      </c>
      <c r="BR950" t="e">
        <f t="shared" si="1112"/>
        <v>#N/A</v>
      </c>
      <c r="BT950" s="60">
        <f t="shared" si="1113"/>
        <v>0</v>
      </c>
      <c r="BU950" s="60">
        <f t="shared" si="1114"/>
        <v>0</v>
      </c>
      <c r="BV950" s="60">
        <f t="shared" si="1115"/>
        <v>0</v>
      </c>
      <c r="BW950" s="60">
        <f t="shared" si="1116"/>
        <v>0</v>
      </c>
      <c r="BX950" s="60">
        <f t="shared" si="1117"/>
        <v>0</v>
      </c>
      <c r="BY950" s="60">
        <f t="shared" si="1118"/>
        <v>0</v>
      </c>
      <c r="BZ950" s="60">
        <f t="shared" si="1119"/>
        <v>0</v>
      </c>
      <c r="CA950" s="60">
        <f t="shared" si="1120"/>
        <v>0</v>
      </c>
      <c r="CB950" s="60" t="e">
        <f t="shared" si="1070"/>
        <v>#N/A</v>
      </c>
      <c r="CC950" s="60">
        <f t="shared" si="1071"/>
        <v>100000</v>
      </c>
      <c r="CD950" s="60" t="e">
        <f t="shared" si="1072"/>
        <v>#N/A</v>
      </c>
      <c r="CE950" s="60">
        <f t="shared" si="1073"/>
        <v>100000</v>
      </c>
      <c r="CF950" s="83" t="e">
        <f t="shared" si="1121"/>
        <v>#N/A</v>
      </c>
      <c r="CG950" s="83">
        <f t="shared" si="1122"/>
        <v>0</v>
      </c>
      <c r="CH950" s="83" t="e">
        <f t="shared" si="1123"/>
        <v>#N/A</v>
      </c>
      <c r="CI950" s="83">
        <f t="shared" si="1124"/>
        <v>0</v>
      </c>
      <c r="CJ950" s="86" t="e">
        <f t="shared" si="1074"/>
        <v>#N/A</v>
      </c>
      <c r="CK950" s="82">
        <f t="shared" si="1075"/>
        <v>5.3070370403969858E-3</v>
      </c>
      <c r="CL950" s="82" t="e">
        <f t="shared" si="1076"/>
        <v>#N/A</v>
      </c>
      <c r="CM950" s="82">
        <f t="shared" si="1077"/>
        <v>5.3070370403969858E-3</v>
      </c>
      <c r="CO950" s="149" t="str">
        <f>IF($I950&lt;&gt;"",IF(O950="User Specified",U950,INDEX('Refrigerant GWPs'!$G$2:$G$156,MATCH(O950,'Refrigerant GWPs'!$A$2:$A$156,0))),"")</f>
        <v/>
      </c>
      <c r="CP950" s="138" t="str">
        <f>IF($I950&lt;&gt;"",INDEX('Device Refrigerant Leakage'!$E$2:$E$42,MATCH($M950,'Device Refrigerant Leakage'!$B$2:$B$42,0)),"")</f>
        <v/>
      </c>
      <c r="CQ950" s="138" t="str">
        <f>IF($I950&lt;&gt;"",INDEX('Device Refrigerant Leakage'!$F$2:$F$42,MATCH($M950,'Device Refrigerant Leakage'!$B$2:$B$42,0)),"")</f>
        <v/>
      </c>
      <c r="CR950" s="145" t="str">
        <f>IF($I950&lt;&gt;"",INDEX('Device Refrigerant Leakage'!$G$2:$G$42,MATCH($M950,'Device Refrigerant Leakage'!$B$2:$B$42,0)),"")</f>
        <v/>
      </c>
      <c r="CS950" s="145" t="str">
        <f>IF($I950&lt;&gt;"",INDEX('Device Refrigerant Leakage'!$D$2:$D$42,MATCH($M950,'Device Refrigerant Leakage'!$B$2:$B$42,0))*CP950/2204.62*CO950,"")</f>
        <v/>
      </c>
      <c r="CT950" s="145" t="str">
        <f>IF($I950&lt;&gt;"",J950*(INDEX('Device Refrigerant Leakage'!$D$2:$D$42,MATCH($M950,'Device Refrigerant Leakage'!$B$2:$B$42,0))-(INDEX('Device Refrigerant Leakage'!$D$2:$D$42,MATCH($M950,'Device Refrigerant Leakage'!$B$2:$B$42,0)))*CR950*CP950)*CQ950/2204.62*CO950,"")</f>
        <v/>
      </c>
      <c r="CU950" s="135" t="str">
        <f>IF($I950&lt;&gt;"",J950*IF(W950&lt;&gt;"AR",(CS950*K950)+CT950,(CS950*AB950)+CT950*(AB950/INDEX('Device Refrigerant Leakage'!$C$2:$C$42,MATCH($M950,'Device Refrigerant Leakage'!$B$2:$B$42,0)))),"")</f>
        <v/>
      </c>
      <c r="CW950" s="135" t="str">
        <f>IF($I950&lt;&gt;"",IF(S950="User Specified",V950,INDEX('Refrigerant GWPs'!$G$2:$G$156,MATCH(S950,'Refrigerant GWPs'!$A$2:$A$157,0))),"")</f>
        <v/>
      </c>
      <c r="CX950" s="138" t="str">
        <f>IF($I950&lt;&gt;"",INDEX('Device Refrigerant Leakage'!$E$2:$E$42,MATCH($Q950,'Device Refrigerant Leakage'!$B$2:$B$42,0)),"")</f>
        <v/>
      </c>
      <c r="CY950" s="138" t="str">
        <f>IF($I950&lt;&gt;"",INDEX('Device Refrigerant Leakage'!$F$2:$F$42,MATCH($Q950,'Device Refrigerant Leakage'!$B$2:$B$42,0)),"")</f>
        <v/>
      </c>
      <c r="CZ950" s="145" t="str">
        <f>IF($I950&lt;&gt;"",INDEX('Device Refrigerant Leakage'!$G$2:$G$42,MATCH($Q950,'Device Refrigerant Leakage'!$B$2:$B$42,0)),"")</f>
        <v/>
      </c>
      <c r="DA950" s="145" t="str">
        <f>IF($I950&lt;&gt;"",J950*INDEX('Device Refrigerant Leakage'!$D$2:$D$42,MATCH($Q950,'Device Refrigerant Leakage'!$B$2:$B$42,0))*CX950/2204.62*CW950,"")</f>
        <v/>
      </c>
      <c r="DB950" s="145" t="str">
        <f>IF($I950&lt;&gt;"",J950*(INDEX('Device Refrigerant Leakage'!$D$2:$D$42,MATCH($Q950,'Device Refrigerant Leakage'!$B$2:$B$42,0))-(INDEX('Device Refrigerant Leakage'!$D$2:$D$42,MATCH($Q950,'Device Refrigerant Leakage'!$B$2:$B$42,0)))*CZ950*CX950)*CY950/2204.62*CW950,"")</f>
        <v/>
      </c>
      <c r="DC950" s="135" t="str">
        <f t="shared" si="1096"/>
        <v/>
      </c>
      <c r="DE950" s="146" t="str">
        <f>IF(W950&lt;&gt;"AR","",IF(Y950="User Specified", AA950, INDEX('Refrigerant GWPs'!$G$2:$G$154,MATCH(Y950,'Refrigerant GWPs'!$A$2:$A$154,0))))</f>
        <v/>
      </c>
      <c r="DF950" s="146" t="str">
        <f>IF(W950&lt;&gt;"AR","",INDEX('Device Refrigerant Leakage'!$E$2:$E$42,MATCH(X950,'Device Refrigerant Leakage'!$B$2:$B$42,0)))</f>
        <v/>
      </c>
      <c r="DG950" s="146" t="str">
        <f>IF(W950&lt;&gt;"AR","",INDEX('Device Refrigerant Leakage'!$F$2:$F$42,MATCH(X950,'Device Refrigerant Leakage'!$B$2:$B$42,0)))</f>
        <v/>
      </c>
      <c r="DH950" s="146" t="str">
        <f>IF(W950&lt;&gt;"AR","",INDEX('Device Refrigerant Leakage'!$G$2:$G$42,MATCH(X950,'Device Refrigerant Leakage'!$B$2:$B$42,0)))</f>
        <v/>
      </c>
      <c r="DI950" s="146" t="str">
        <f>IF(W950&lt;&gt;"AR","",J950*INDEX('Device Refrigerant Leakage'!$D$2:$D$42,MATCH(X950,'Device Refrigerant Leakage'!$B$2:$B$42,0))*DF950/2204.62*DE950)</f>
        <v/>
      </c>
      <c r="DJ950" s="146" t="str">
        <f>IF(W950&lt;&gt;"AR","",J950*(INDEX('Device Refrigerant Leakage'!$D$2:$D$42,MATCH(X950,'Device Refrigerant Leakage'!$B$2:$B$42,0))-(INDEX('Device Refrigerant Leakage'!$D$2:$D$42,MATCH(X950,'Device Refrigerant Leakage'!$B$2:$B$42,0)))*DH950*DF950)*DG950/2204.62*DE950)</f>
        <v/>
      </c>
      <c r="DK950" s="146" t="str">
        <f>IF(W950&lt;&gt;"AR","",DI950*(K950-AB950)+'Fuel Sub Calcs-Deemed'!DJ950*((K950-AB950)/INDEX('Device Refrigerant Leakage'!$C$2:$C$42,MATCH('Fuel Sub Calcs-Deemed'!X950,'Device Refrigerant Leakage'!$B$2:$B$42,0))))</f>
        <v/>
      </c>
      <c r="DM950" s="56">
        <v>936</v>
      </c>
      <c r="DN950" s="67" t="e">
        <f t="shared" si="1078"/>
        <v>#N/A</v>
      </c>
      <c r="DO950" s="45" t="e">
        <f t="shared" si="1079"/>
        <v>#N/A</v>
      </c>
      <c r="DP950" s="67" t="e">
        <f t="shared" si="1080"/>
        <v>#N/A</v>
      </c>
      <c r="DQ950" s="45" t="e">
        <f t="shared" si="1081"/>
        <v>#N/A</v>
      </c>
      <c r="DR950" s="69" t="e">
        <f t="shared" si="1082"/>
        <v>#N/A</v>
      </c>
      <c r="DS950" s="34"/>
      <c r="DT950" s="67" t="e">
        <f>((BX950*CJ950)+IF($W950=MAT_AR,(BZ950*CL950),0))*(1+Reference!$E$50+Reference!$E$51)</f>
        <v>#N/A</v>
      </c>
      <c r="DU950" s="67">
        <f>((BY950*CK950)+IF($W950=MAT_AR,(CA950*CM950),0))*(1+Reference!$G$50+Reference!$G$51)</f>
        <v>0</v>
      </c>
      <c r="DV950" s="67" t="e">
        <f t="shared" si="1083"/>
        <v>#VALUE!</v>
      </c>
      <c r="DX950" s="56">
        <v>936</v>
      </c>
      <c r="DY950" s="67">
        <f t="shared" si="1084"/>
        <v>0</v>
      </c>
      <c r="DZ950" s="45" t="e">
        <f>VLOOKUP($R950,Dropdown!$C$3:$D$4,2,FALSE)</f>
        <v>#N/A</v>
      </c>
      <c r="EA950" s="68">
        <f t="shared" si="1085"/>
        <v>0</v>
      </c>
      <c r="EB950" s="68" t="str">
        <f t="shared" si="1086"/>
        <v>N/A</v>
      </c>
      <c r="EC950" s="68">
        <f t="shared" si="1087"/>
        <v>0</v>
      </c>
      <c r="ED950" s="68" t="str">
        <f t="shared" si="1125"/>
        <v>N/A</v>
      </c>
      <c r="EF950" s="56">
        <v>936</v>
      </c>
      <c r="EG950" s="46">
        <f t="shared" si="1088"/>
        <v>0</v>
      </c>
      <c r="EH950" s="68" t="e">
        <f t="shared" si="1089"/>
        <v>#N/A</v>
      </c>
      <c r="EI950" s="68" t="e">
        <f t="shared" si="1090"/>
        <v>#N/A</v>
      </c>
      <c r="EJ950" s="68" t="e">
        <f t="shared" si="1091"/>
        <v>#N/A</v>
      </c>
      <c r="EK950" s="68" t="e">
        <f t="shared" si="1092"/>
        <v>#N/A</v>
      </c>
      <c r="EL950" s="46">
        <f t="shared" si="1093"/>
        <v>0</v>
      </c>
      <c r="EM950" s="46">
        <f t="shared" si="1094"/>
        <v>0</v>
      </c>
    </row>
    <row r="951" spans="1:143">
      <c r="A951" s="89"/>
      <c r="B951" s="89"/>
      <c r="C951" s="89"/>
      <c r="D951" s="89"/>
      <c r="E951" s="89"/>
      <c r="F951" s="89"/>
      <c r="G951" s="34"/>
      <c r="H951" s="56">
        <f t="shared" si="1095"/>
        <v>937</v>
      </c>
      <c r="I951" s="165"/>
      <c r="J951" s="163"/>
      <c r="K951" s="163"/>
      <c r="L951" s="164"/>
      <c r="M951" s="155"/>
      <c r="N951" s="155"/>
      <c r="O951" s="144"/>
      <c r="P951" s="159" t="str">
        <f>IFERROR(IF(O951&lt;&gt;"User Specified",IF(O951&lt;&gt;"", INDEX('Refrigerant GWPs'!$G$2:$G$154,MATCH(O951,'Refrigerant GWPs'!$A$2:$A$154,0)),""),U951),0)</f>
        <v/>
      </c>
      <c r="Q951" s="155"/>
      <c r="R951" s="155"/>
      <c r="S951" s="144"/>
      <c r="T951" s="159" t="str">
        <f>IF(S951&lt;&gt;"User Specified",IF(AND(S951&lt;&gt;"User Specified",S951&lt;&gt;""), INDEX('Refrigerant GWPs'!$G$2:$G$154,MATCH(S951,'Refrigerant GWPs'!$A$2:$A$154,0)),""),V951)</f>
        <v/>
      </c>
      <c r="U951" s="144"/>
      <c r="V951" s="144"/>
      <c r="W951" s="155"/>
      <c r="X951" s="155"/>
      <c r="Y951" s="144"/>
      <c r="Z951" s="159" t="str">
        <f>IF(AND(Y951&lt;&gt;"User Specified",Y951&lt;&gt;""), INDEX('Refrigerant GWPs'!$G$2:$G$154,MATCH(Y951,'Refrigerant GWPs'!$A$2:$A$154,0)),"")</f>
        <v/>
      </c>
      <c r="AA951" s="155"/>
      <c r="AB951" s="156"/>
      <c r="AC951" s="66"/>
      <c r="AD951" s="66"/>
      <c r="AE951" s="66"/>
      <c r="AF951" s="66"/>
      <c r="AG951" s="66"/>
      <c r="AH951" s="66"/>
      <c r="AI951" s="34"/>
      <c r="AJ951" s="88">
        <f t="shared" si="1058"/>
        <v>0</v>
      </c>
      <c r="AK951" s="88">
        <f t="shared" si="1059"/>
        <v>0</v>
      </c>
      <c r="AL951" s="88">
        <v>0</v>
      </c>
      <c r="AM951" s="88">
        <v>0</v>
      </c>
      <c r="AN951" s="81" t="str">
        <f t="shared" si="1097"/>
        <v/>
      </c>
      <c r="AO951" s="88">
        <f t="shared" si="1060"/>
        <v>0</v>
      </c>
      <c r="AP951" s="88">
        <f t="shared" si="1061"/>
        <v>0</v>
      </c>
      <c r="AQ951" s="81" t="str">
        <f t="shared" si="1062"/>
        <v/>
      </c>
      <c r="AS951" s="41" t="b">
        <f t="shared" si="1063"/>
        <v>1</v>
      </c>
      <c r="AT951" s="38">
        <f t="shared" si="1064"/>
        <v>0</v>
      </c>
      <c r="AU951" s="60">
        <f t="shared" si="1065"/>
        <v>0</v>
      </c>
      <c r="AV951" s="41">
        <f t="shared" si="1066"/>
        <v>0</v>
      </c>
      <c r="AW951" s="41" t="b">
        <f t="shared" si="1067"/>
        <v>0</v>
      </c>
      <c r="AX951" t="str">
        <f t="shared" si="1068"/>
        <v>+00</v>
      </c>
      <c r="AY951" t="str">
        <f t="shared" si="1069"/>
        <v>+00</v>
      </c>
      <c r="BA951" s="47" t="b">
        <f t="shared" si="1098"/>
        <v>1</v>
      </c>
      <c r="BB951" s="42" t="b">
        <f t="shared" si="1099"/>
        <v>1</v>
      </c>
      <c r="BC951" s="42" t="b">
        <f t="shared" si="1100"/>
        <v>0</v>
      </c>
      <c r="BD951" s="42" t="b">
        <f t="shared" si="1101"/>
        <v>0</v>
      </c>
      <c r="BE951" s="70">
        <f t="shared" si="1102"/>
        <v>0</v>
      </c>
      <c r="BF951" s="70">
        <f t="shared" si="1103"/>
        <v>0</v>
      </c>
      <c r="BG951" s="34"/>
      <c r="BI951" s="47" t="b">
        <f t="shared" si="1104"/>
        <v>1</v>
      </c>
      <c r="BJ951" s="47" t="b">
        <f t="shared" si="1105"/>
        <v>1</v>
      </c>
      <c r="BK951" s="42" t="b">
        <f t="shared" si="1106"/>
        <v>0</v>
      </c>
      <c r="BL951" s="42" t="b">
        <f t="shared" si="1107"/>
        <v>0</v>
      </c>
      <c r="BM951" s="42">
        <f t="shared" si="1108"/>
        <v>0</v>
      </c>
      <c r="BN951" s="42">
        <f t="shared" si="1109"/>
        <v>0</v>
      </c>
      <c r="BP951" t="e">
        <f t="shared" si="1110"/>
        <v>#N/A</v>
      </c>
      <c r="BQ951" t="e">
        <f t="shared" si="1111"/>
        <v>#N/A</v>
      </c>
      <c r="BR951" t="e">
        <f t="shared" si="1112"/>
        <v>#N/A</v>
      </c>
      <c r="BT951" s="60">
        <f t="shared" si="1113"/>
        <v>0</v>
      </c>
      <c r="BU951" s="60">
        <f t="shared" si="1114"/>
        <v>0</v>
      </c>
      <c r="BV951" s="60">
        <f t="shared" si="1115"/>
        <v>0</v>
      </c>
      <c r="BW951" s="60">
        <f t="shared" si="1116"/>
        <v>0</v>
      </c>
      <c r="BX951" s="60">
        <f t="shared" si="1117"/>
        <v>0</v>
      </c>
      <c r="BY951" s="60">
        <f t="shared" si="1118"/>
        <v>0</v>
      </c>
      <c r="BZ951" s="60">
        <f t="shared" si="1119"/>
        <v>0</v>
      </c>
      <c r="CA951" s="60">
        <f t="shared" si="1120"/>
        <v>0</v>
      </c>
      <c r="CB951" s="60" t="e">
        <f t="shared" si="1070"/>
        <v>#N/A</v>
      </c>
      <c r="CC951" s="60">
        <f t="shared" si="1071"/>
        <v>100000</v>
      </c>
      <c r="CD951" s="60" t="e">
        <f t="shared" si="1072"/>
        <v>#N/A</v>
      </c>
      <c r="CE951" s="60">
        <f t="shared" si="1073"/>
        <v>100000</v>
      </c>
      <c r="CF951" s="83" t="e">
        <f t="shared" si="1121"/>
        <v>#N/A</v>
      </c>
      <c r="CG951" s="83">
        <f t="shared" si="1122"/>
        <v>0</v>
      </c>
      <c r="CH951" s="83" t="e">
        <f t="shared" si="1123"/>
        <v>#N/A</v>
      </c>
      <c r="CI951" s="83">
        <f t="shared" si="1124"/>
        <v>0</v>
      </c>
      <c r="CJ951" s="86" t="e">
        <f t="shared" si="1074"/>
        <v>#N/A</v>
      </c>
      <c r="CK951" s="82">
        <f t="shared" si="1075"/>
        <v>5.3070370403969858E-3</v>
      </c>
      <c r="CL951" s="82" t="e">
        <f t="shared" si="1076"/>
        <v>#N/A</v>
      </c>
      <c r="CM951" s="82">
        <f t="shared" si="1077"/>
        <v>5.3070370403969858E-3</v>
      </c>
      <c r="CO951" s="149" t="str">
        <f>IF($I951&lt;&gt;"",IF(O951="User Specified",U951,INDEX('Refrigerant GWPs'!$G$2:$G$156,MATCH(O951,'Refrigerant GWPs'!$A$2:$A$156,0))),"")</f>
        <v/>
      </c>
      <c r="CP951" s="138" t="str">
        <f>IF($I951&lt;&gt;"",INDEX('Device Refrigerant Leakage'!$E$2:$E$42,MATCH($M951,'Device Refrigerant Leakage'!$B$2:$B$42,0)),"")</f>
        <v/>
      </c>
      <c r="CQ951" s="138" t="str">
        <f>IF($I951&lt;&gt;"",INDEX('Device Refrigerant Leakage'!$F$2:$F$42,MATCH($M951,'Device Refrigerant Leakage'!$B$2:$B$42,0)),"")</f>
        <v/>
      </c>
      <c r="CR951" s="145" t="str">
        <f>IF($I951&lt;&gt;"",INDEX('Device Refrigerant Leakage'!$G$2:$G$42,MATCH($M951,'Device Refrigerant Leakage'!$B$2:$B$42,0)),"")</f>
        <v/>
      </c>
      <c r="CS951" s="145" t="str">
        <f>IF($I951&lt;&gt;"",INDEX('Device Refrigerant Leakage'!$D$2:$D$42,MATCH($M951,'Device Refrigerant Leakage'!$B$2:$B$42,0))*CP951/2204.62*CO951,"")</f>
        <v/>
      </c>
      <c r="CT951" s="145" t="str">
        <f>IF($I951&lt;&gt;"",J951*(INDEX('Device Refrigerant Leakage'!$D$2:$D$42,MATCH($M951,'Device Refrigerant Leakage'!$B$2:$B$42,0))-(INDEX('Device Refrigerant Leakage'!$D$2:$D$42,MATCH($M951,'Device Refrigerant Leakage'!$B$2:$B$42,0)))*CR951*CP951)*CQ951/2204.62*CO951,"")</f>
        <v/>
      </c>
      <c r="CU951" s="135" t="str">
        <f>IF($I951&lt;&gt;"",J951*IF(W951&lt;&gt;"AR",(CS951*K951)+CT951,(CS951*AB951)+CT951*(AB951/INDEX('Device Refrigerant Leakage'!$C$2:$C$42,MATCH($M951,'Device Refrigerant Leakage'!$B$2:$B$42,0)))),"")</f>
        <v/>
      </c>
      <c r="CW951" s="135" t="str">
        <f>IF($I951&lt;&gt;"",IF(S951="User Specified",V951,INDEX('Refrigerant GWPs'!$G$2:$G$156,MATCH(S951,'Refrigerant GWPs'!$A$2:$A$157,0))),"")</f>
        <v/>
      </c>
      <c r="CX951" s="138" t="str">
        <f>IF($I951&lt;&gt;"",INDEX('Device Refrigerant Leakage'!$E$2:$E$42,MATCH($Q951,'Device Refrigerant Leakage'!$B$2:$B$42,0)),"")</f>
        <v/>
      </c>
      <c r="CY951" s="138" t="str">
        <f>IF($I951&lt;&gt;"",INDEX('Device Refrigerant Leakage'!$F$2:$F$42,MATCH($Q951,'Device Refrigerant Leakage'!$B$2:$B$42,0)),"")</f>
        <v/>
      </c>
      <c r="CZ951" s="145" t="str">
        <f>IF($I951&lt;&gt;"",INDEX('Device Refrigerant Leakage'!$G$2:$G$42,MATCH($Q951,'Device Refrigerant Leakage'!$B$2:$B$42,0)),"")</f>
        <v/>
      </c>
      <c r="DA951" s="145" t="str">
        <f>IF($I951&lt;&gt;"",J951*INDEX('Device Refrigerant Leakage'!$D$2:$D$42,MATCH($Q951,'Device Refrigerant Leakage'!$B$2:$B$42,0))*CX951/2204.62*CW951,"")</f>
        <v/>
      </c>
      <c r="DB951" s="145" t="str">
        <f>IF($I951&lt;&gt;"",J951*(INDEX('Device Refrigerant Leakage'!$D$2:$D$42,MATCH($Q951,'Device Refrigerant Leakage'!$B$2:$B$42,0))-(INDEX('Device Refrigerant Leakage'!$D$2:$D$42,MATCH($Q951,'Device Refrigerant Leakage'!$B$2:$B$42,0)))*CZ951*CX951)*CY951/2204.62*CW951,"")</f>
        <v/>
      </c>
      <c r="DC951" s="135" t="str">
        <f t="shared" si="1096"/>
        <v/>
      </c>
      <c r="DE951" s="146" t="str">
        <f>IF(W951&lt;&gt;"AR","",IF(Y951="User Specified", AA951, INDEX('Refrigerant GWPs'!$G$2:$G$154,MATCH(Y951,'Refrigerant GWPs'!$A$2:$A$154,0))))</f>
        <v/>
      </c>
      <c r="DF951" s="146" t="str">
        <f>IF(W951&lt;&gt;"AR","",INDEX('Device Refrigerant Leakage'!$E$2:$E$42,MATCH(X951,'Device Refrigerant Leakage'!$B$2:$B$42,0)))</f>
        <v/>
      </c>
      <c r="DG951" s="146" t="str">
        <f>IF(W951&lt;&gt;"AR","",INDEX('Device Refrigerant Leakage'!$F$2:$F$42,MATCH(X951,'Device Refrigerant Leakage'!$B$2:$B$42,0)))</f>
        <v/>
      </c>
      <c r="DH951" s="146" t="str">
        <f>IF(W951&lt;&gt;"AR","",INDEX('Device Refrigerant Leakage'!$G$2:$G$42,MATCH(X951,'Device Refrigerant Leakage'!$B$2:$B$42,0)))</f>
        <v/>
      </c>
      <c r="DI951" s="146" t="str">
        <f>IF(W951&lt;&gt;"AR","",J951*INDEX('Device Refrigerant Leakage'!$D$2:$D$42,MATCH(X951,'Device Refrigerant Leakage'!$B$2:$B$42,0))*DF951/2204.62*DE951)</f>
        <v/>
      </c>
      <c r="DJ951" s="146" t="str">
        <f>IF(W951&lt;&gt;"AR","",J951*(INDEX('Device Refrigerant Leakage'!$D$2:$D$42,MATCH(X951,'Device Refrigerant Leakage'!$B$2:$B$42,0))-(INDEX('Device Refrigerant Leakage'!$D$2:$D$42,MATCH(X951,'Device Refrigerant Leakage'!$B$2:$B$42,0)))*DH951*DF951)*DG951/2204.62*DE951)</f>
        <v/>
      </c>
      <c r="DK951" s="146" t="str">
        <f>IF(W951&lt;&gt;"AR","",DI951*(K951-AB951)+'Fuel Sub Calcs-Deemed'!DJ951*((K951-AB951)/INDEX('Device Refrigerant Leakage'!$C$2:$C$42,MATCH('Fuel Sub Calcs-Deemed'!X951,'Device Refrigerant Leakage'!$B$2:$B$42,0))))</f>
        <v/>
      </c>
      <c r="DM951" s="56">
        <v>937</v>
      </c>
      <c r="DN951" s="67" t="e">
        <f t="shared" si="1078"/>
        <v>#N/A</v>
      </c>
      <c r="DO951" s="45" t="e">
        <f t="shared" si="1079"/>
        <v>#N/A</v>
      </c>
      <c r="DP951" s="67" t="e">
        <f t="shared" si="1080"/>
        <v>#N/A</v>
      </c>
      <c r="DQ951" s="45" t="e">
        <f t="shared" si="1081"/>
        <v>#N/A</v>
      </c>
      <c r="DR951" s="69" t="e">
        <f t="shared" si="1082"/>
        <v>#N/A</v>
      </c>
      <c r="DS951" s="34"/>
      <c r="DT951" s="67" t="e">
        <f>((BX951*CJ951)+IF($W951=MAT_AR,(BZ951*CL951),0))*(1+Reference!$E$50+Reference!$E$51)</f>
        <v>#N/A</v>
      </c>
      <c r="DU951" s="67">
        <f>((BY951*CK951)+IF($W951=MAT_AR,(CA951*CM951),0))*(1+Reference!$G$50+Reference!$G$51)</f>
        <v>0</v>
      </c>
      <c r="DV951" s="67" t="e">
        <f t="shared" si="1083"/>
        <v>#VALUE!</v>
      </c>
      <c r="DX951" s="56">
        <v>937</v>
      </c>
      <c r="DY951" s="67">
        <f t="shared" si="1084"/>
        <v>0</v>
      </c>
      <c r="DZ951" s="45" t="e">
        <f>VLOOKUP($R951,Dropdown!$C$3:$D$4,2,FALSE)</f>
        <v>#N/A</v>
      </c>
      <c r="EA951" s="68">
        <f t="shared" si="1085"/>
        <v>0</v>
      </c>
      <c r="EB951" s="68" t="str">
        <f t="shared" si="1086"/>
        <v>N/A</v>
      </c>
      <c r="EC951" s="68">
        <f t="shared" si="1087"/>
        <v>0</v>
      </c>
      <c r="ED951" s="68" t="str">
        <f t="shared" si="1125"/>
        <v>N/A</v>
      </c>
      <c r="EF951" s="56">
        <v>937</v>
      </c>
      <c r="EG951" s="46">
        <f t="shared" si="1088"/>
        <v>0</v>
      </c>
      <c r="EH951" s="68" t="e">
        <f t="shared" si="1089"/>
        <v>#N/A</v>
      </c>
      <c r="EI951" s="68" t="e">
        <f t="shared" si="1090"/>
        <v>#N/A</v>
      </c>
      <c r="EJ951" s="68" t="e">
        <f t="shared" si="1091"/>
        <v>#N/A</v>
      </c>
      <c r="EK951" s="68" t="e">
        <f t="shared" si="1092"/>
        <v>#N/A</v>
      </c>
      <c r="EL951" s="46">
        <f t="shared" si="1093"/>
        <v>0</v>
      </c>
      <c r="EM951" s="46">
        <f t="shared" si="1094"/>
        <v>0</v>
      </c>
    </row>
    <row r="952" spans="1:143">
      <c r="A952" s="89"/>
      <c r="B952" s="89"/>
      <c r="C952" s="89"/>
      <c r="D952" s="89"/>
      <c r="E952" s="89"/>
      <c r="F952" s="89"/>
      <c r="G952" s="34"/>
      <c r="H952" s="56">
        <f t="shared" si="1095"/>
        <v>938</v>
      </c>
      <c r="I952" s="165"/>
      <c r="J952" s="163"/>
      <c r="K952" s="163"/>
      <c r="L952" s="164"/>
      <c r="M952" s="155"/>
      <c r="N952" s="155"/>
      <c r="O952" s="144"/>
      <c r="P952" s="159" t="str">
        <f>IFERROR(IF(O952&lt;&gt;"User Specified",IF(O952&lt;&gt;"", INDEX('Refrigerant GWPs'!$G$2:$G$154,MATCH(O952,'Refrigerant GWPs'!$A$2:$A$154,0)),""),U952),0)</f>
        <v/>
      </c>
      <c r="Q952" s="155"/>
      <c r="R952" s="155"/>
      <c r="S952" s="144"/>
      <c r="T952" s="159" t="str">
        <f>IF(S952&lt;&gt;"User Specified",IF(AND(S952&lt;&gt;"User Specified",S952&lt;&gt;""), INDEX('Refrigerant GWPs'!$G$2:$G$154,MATCH(S952,'Refrigerant GWPs'!$A$2:$A$154,0)),""),V952)</f>
        <v/>
      </c>
      <c r="U952" s="144"/>
      <c r="V952" s="144"/>
      <c r="W952" s="155"/>
      <c r="X952" s="155"/>
      <c r="Y952" s="144"/>
      <c r="Z952" s="159" t="str">
        <f>IF(AND(Y952&lt;&gt;"User Specified",Y952&lt;&gt;""), INDEX('Refrigerant GWPs'!$G$2:$G$154,MATCH(Y952,'Refrigerant GWPs'!$A$2:$A$154,0)),"")</f>
        <v/>
      </c>
      <c r="AA952" s="155"/>
      <c r="AB952" s="156"/>
      <c r="AC952" s="66"/>
      <c r="AD952" s="66"/>
      <c r="AE952" s="66"/>
      <c r="AF952" s="66"/>
      <c r="AG952" s="66"/>
      <c r="AH952" s="66"/>
      <c r="AI952" s="34"/>
      <c r="AJ952" s="88">
        <f t="shared" si="1058"/>
        <v>0</v>
      </c>
      <c r="AK952" s="88">
        <f t="shared" si="1059"/>
        <v>0</v>
      </c>
      <c r="AL952" s="88">
        <v>0</v>
      </c>
      <c r="AM952" s="88">
        <v>0</v>
      </c>
      <c r="AN952" s="81" t="str">
        <f t="shared" si="1097"/>
        <v/>
      </c>
      <c r="AO952" s="88">
        <f t="shared" si="1060"/>
        <v>0</v>
      </c>
      <c r="AP952" s="88">
        <f t="shared" si="1061"/>
        <v>0</v>
      </c>
      <c r="AQ952" s="81" t="str">
        <f t="shared" si="1062"/>
        <v/>
      </c>
      <c r="AS952" s="41" t="b">
        <f t="shared" si="1063"/>
        <v>1</v>
      </c>
      <c r="AT952" s="38">
        <f t="shared" si="1064"/>
        <v>0</v>
      </c>
      <c r="AU952" s="60">
        <f t="shared" si="1065"/>
        <v>0</v>
      </c>
      <c r="AV952" s="41">
        <f t="shared" si="1066"/>
        <v>0</v>
      </c>
      <c r="AW952" s="41" t="b">
        <f t="shared" si="1067"/>
        <v>0</v>
      </c>
      <c r="AX952" t="str">
        <f t="shared" si="1068"/>
        <v>+00</v>
      </c>
      <c r="AY952" t="str">
        <f t="shared" si="1069"/>
        <v>+00</v>
      </c>
      <c r="BA952" s="47" t="b">
        <f t="shared" si="1098"/>
        <v>1</v>
      </c>
      <c r="BB952" s="42" t="b">
        <f t="shared" si="1099"/>
        <v>1</v>
      </c>
      <c r="BC952" s="42" t="b">
        <f t="shared" si="1100"/>
        <v>0</v>
      </c>
      <c r="BD952" s="42" t="b">
        <f t="shared" si="1101"/>
        <v>0</v>
      </c>
      <c r="BE952" s="70">
        <f t="shared" si="1102"/>
        <v>0</v>
      </c>
      <c r="BF952" s="70">
        <f t="shared" si="1103"/>
        <v>0</v>
      </c>
      <c r="BG952" s="34"/>
      <c r="BI952" s="47" t="b">
        <f t="shared" si="1104"/>
        <v>1</v>
      </c>
      <c r="BJ952" s="47" t="b">
        <f t="shared" si="1105"/>
        <v>1</v>
      </c>
      <c r="BK952" s="42" t="b">
        <f t="shared" si="1106"/>
        <v>0</v>
      </c>
      <c r="BL952" s="42" t="b">
        <f t="shared" si="1107"/>
        <v>0</v>
      </c>
      <c r="BM952" s="42">
        <f t="shared" si="1108"/>
        <v>0</v>
      </c>
      <c r="BN952" s="42">
        <f t="shared" si="1109"/>
        <v>0</v>
      </c>
      <c r="BP952" t="e">
        <f t="shared" si="1110"/>
        <v>#N/A</v>
      </c>
      <c r="BQ952" t="e">
        <f t="shared" si="1111"/>
        <v>#N/A</v>
      </c>
      <c r="BR952" t="e">
        <f t="shared" si="1112"/>
        <v>#N/A</v>
      </c>
      <c r="BT952" s="60">
        <f t="shared" si="1113"/>
        <v>0</v>
      </c>
      <c r="BU952" s="60">
        <f t="shared" si="1114"/>
        <v>0</v>
      </c>
      <c r="BV952" s="60">
        <f t="shared" si="1115"/>
        <v>0</v>
      </c>
      <c r="BW952" s="60">
        <f t="shared" si="1116"/>
        <v>0</v>
      </c>
      <c r="BX952" s="60">
        <f t="shared" si="1117"/>
        <v>0</v>
      </c>
      <c r="BY952" s="60">
        <f t="shared" si="1118"/>
        <v>0</v>
      </c>
      <c r="BZ952" s="60">
        <f t="shared" si="1119"/>
        <v>0</v>
      </c>
      <c r="CA952" s="60">
        <f t="shared" si="1120"/>
        <v>0</v>
      </c>
      <c r="CB952" s="60" t="e">
        <f t="shared" si="1070"/>
        <v>#N/A</v>
      </c>
      <c r="CC952" s="60">
        <f t="shared" si="1071"/>
        <v>100000</v>
      </c>
      <c r="CD952" s="60" t="e">
        <f t="shared" si="1072"/>
        <v>#N/A</v>
      </c>
      <c r="CE952" s="60">
        <f t="shared" si="1073"/>
        <v>100000</v>
      </c>
      <c r="CF952" s="83" t="e">
        <f t="shared" si="1121"/>
        <v>#N/A</v>
      </c>
      <c r="CG952" s="83">
        <f t="shared" si="1122"/>
        <v>0</v>
      </c>
      <c r="CH952" s="83" t="e">
        <f t="shared" si="1123"/>
        <v>#N/A</v>
      </c>
      <c r="CI952" s="83">
        <f t="shared" si="1124"/>
        <v>0</v>
      </c>
      <c r="CJ952" s="86" t="e">
        <f t="shared" si="1074"/>
        <v>#N/A</v>
      </c>
      <c r="CK952" s="82">
        <f t="shared" si="1075"/>
        <v>5.3070370403969858E-3</v>
      </c>
      <c r="CL952" s="82" t="e">
        <f t="shared" si="1076"/>
        <v>#N/A</v>
      </c>
      <c r="CM952" s="82">
        <f t="shared" si="1077"/>
        <v>5.3070370403969858E-3</v>
      </c>
      <c r="CO952" s="149" t="str">
        <f>IF($I952&lt;&gt;"",IF(O952="User Specified",U952,INDEX('Refrigerant GWPs'!$G$2:$G$156,MATCH(O952,'Refrigerant GWPs'!$A$2:$A$156,0))),"")</f>
        <v/>
      </c>
      <c r="CP952" s="138" t="str">
        <f>IF($I952&lt;&gt;"",INDEX('Device Refrigerant Leakage'!$E$2:$E$42,MATCH($M952,'Device Refrigerant Leakage'!$B$2:$B$42,0)),"")</f>
        <v/>
      </c>
      <c r="CQ952" s="138" t="str">
        <f>IF($I952&lt;&gt;"",INDEX('Device Refrigerant Leakage'!$F$2:$F$42,MATCH($M952,'Device Refrigerant Leakage'!$B$2:$B$42,0)),"")</f>
        <v/>
      </c>
      <c r="CR952" s="145" t="str">
        <f>IF($I952&lt;&gt;"",INDEX('Device Refrigerant Leakage'!$G$2:$G$42,MATCH($M952,'Device Refrigerant Leakage'!$B$2:$B$42,0)),"")</f>
        <v/>
      </c>
      <c r="CS952" s="145" t="str">
        <f>IF($I952&lt;&gt;"",INDEX('Device Refrigerant Leakage'!$D$2:$D$42,MATCH($M952,'Device Refrigerant Leakage'!$B$2:$B$42,0))*CP952/2204.62*CO952,"")</f>
        <v/>
      </c>
      <c r="CT952" s="145" t="str">
        <f>IF($I952&lt;&gt;"",J952*(INDEX('Device Refrigerant Leakage'!$D$2:$D$42,MATCH($M952,'Device Refrigerant Leakage'!$B$2:$B$42,0))-(INDEX('Device Refrigerant Leakage'!$D$2:$D$42,MATCH($M952,'Device Refrigerant Leakage'!$B$2:$B$42,0)))*CR952*CP952)*CQ952/2204.62*CO952,"")</f>
        <v/>
      </c>
      <c r="CU952" s="135" t="str">
        <f>IF($I952&lt;&gt;"",J952*IF(W952&lt;&gt;"AR",(CS952*K952)+CT952,(CS952*AB952)+CT952*(AB952/INDEX('Device Refrigerant Leakage'!$C$2:$C$42,MATCH($M952,'Device Refrigerant Leakage'!$B$2:$B$42,0)))),"")</f>
        <v/>
      </c>
      <c r="CW952" s="135" t="str">
        <f>IF($I952&lt;&gt;"",IF(S952="User Specified",V952,INDEX('Refrigerant GWPs'!$G$2:$G$156,MATCH(S952,'Refrigerant GWPs'!$A$2:$A$157,0))),"")</f>
        <v/>
      </c>
      <c r="CX952" s="138" t="str">
        <f>IF($I952&lt;&gt;"",INDEX('Device Refrigerant Leakage'!$E$2:$E$42,MATCH($Q952,'Device Refrigerant Leakage'!$B$2:$B$42,0)),"")</f>
        <v/>
      </c>
      <c r="CY952" s="138" t="str">
        <f>IF($I952&lt;&gt;"",INDEX('Device Refrigerant Leakage'!$F$2:$F$42,MATCH($Q952,'Device Refrigerant Leakage'!$B$2:$B$42,0)),"")</f>
        <v/>
      </c>
      <c r="CZ952" s="145" t="str">
        <f>IF($I952&lt;&gt;"",INDEX('Device Refrigerant Leakage'!$G$2:$G$42,MATCH($Q952,'Device Refrigerant Leakage'!$B$2:$B$42,0)),"")</f>
        <v/>
      </c>
      <c r="DA952" s="145" t="str">
        <f>IF($I952&lt;&gt;"",J952*INDEX('Device Refrigerant Leakage'!$D$2:$D$42,MATCH($Q952,'Device Refrigerant Leakage'!$B$2:$B$42,0))*CX952/2204.62*CW952,"")</f>
        <v/>
      </c>
      <c r="DB952" s="145" t="str">
        <f>IF($I952&lt;&gt;"",J952*(INDEX('Device Refrigerant Leakage'!$D$2:$D$42,MATCH($Q952,'Device Refrigerant Leakage'!$B$2:$B$42,0))-(INDEX('Device Refrigerant Leakage'!$D$2:$D$42,MATCH($Q952,'Device Refrigerant Leakage'!$B$2:$B$42,0)))*CZ952*CX952)*CY952/2204.62*CW952,"")</f>
        <v/>
      </c>
      <c r="DC952" s="135" t="str">
        <f t="shared" si="1096"/>
        <v/>
      </c>
      <c r="DE952" s="146" t="str">
        <f>IF(W952&lt;&gt;"AR","",IF(Y952="User Specified", AA952, INDEX('Refrigerant GWPs'!$G$2:$G$154,MATCH(Y952,'Refrigerant GWPs'!$A$2:$A$154,0))))</f>
        <v/>
      </c>
      <c r="DF952" s="146" t="str">
        <f>IF(W952&lt;&gt;"AR","",INDEX('Device Refrigerant Leakage'!$E$2:$E$42,MATCH(X952,'Device Refrigerant Leakage'!$B$2:$B$42,0)))</f>
        <v/>
      </c>
      <c r="DG952" s="146" t="str">
        <f>IF(W952&lt;&gt;"AR","",INDEX('Device Refrigerant Leakage'!$F$2:$F$42,MATCH(X952,'Device Refrigerant Leakage'!$B$2:$B$42,0)))</f>
        <v/>
      </c>
      <c r="DH952" s="146" t="str">
        <f>IF(W952&lt;&gt;"AR","",INDEX('Device Refrigerant Leakage'!$G$2:$G$42,MATCH(X952,'Device Refrigerant Leakage'!$B$2:$B$42,0)))</f>
        <v/>
      </c>
      <c r="DI952" s="146" t="str">
        <f>IF(W952&lt;&gt;"AR","",J952*INDEX('Device Refrigerant Leakage'!$D$2:$D$42,MATCH(X952,'Device Refrigerant Leakage'!$B$2:$B$42,0))*DF952/2204.62*DE952)</f>
        <v/>
      </c>
      <c r="DJ952" s="146" t="str">
        <f>IF(W952&lt;&gt;"AR","",J952*(INDEX('Device Refrigerant Leakage'!$D$2:$D$42,MATCH(X952,'Device Refrigerant Leakage'!$B$2:$B$42,0))-(INDEX('Device Refrigerant Leakage'!$D$2:$D$42,MATCH(X952,'Device Refrigerant Leakage'!$B$2:$B$42,0)))*DH952*DF952)*DG952/2204.62*DE952)</f>
        <v/>
      </c>
      <c r="DK952" s="146" t="str">
        <f>IF(W952&lt;&gt;"AR","",DI952*(K952-AB952)+'Fuel Sub Calcs-Deemed'!DJ952*((K952-AB952)/INDEX('Device Refrigerant Leakage'!$C$2:$C$42,MATCH('Fuel Sub Calcs-Deemed'!X952,'Device Refrigerant Leakage'!$B$2:$B$42,0))))</f>
        <v/>
      </c>
      <c r="DM952" s="56">
        <v>938</v>
      </c>
      <c r="DN952" s="67" t="e">
        <f t="shared" si="1078"/>
        <v>#N/A</v>
      </c>
      <c r="DO952" s="45" t="e">
        <f t="shared" si="1079"/>
        <v>#N/A</v>
      </c>
      <c r="DP952" s="67" t="e">
        <f t="shared" si="1080"/>
        <v>#N/A</v>
      </c>
      <c r="DQ952" s="45" t="e">
        <f t="shared" si="1081"/>
        <v>#N/A</v>
      </c>
      <c r="DR952" s="69" t="e">
        <f t="shared" si="1082"/>
        <v>#N/A</v>
      </c>
      <c r="DS952" s="34"/>
      <c r="DT952" s="67" t="e">
        <f>((BX952*CJ952)+IF($W952=MAT_AR,(BZ952*CL952),0))*(1+Reference!$E$50+Reference!$E$51)</f>
        <v>#N/A</v>
      </c>
      <c r="DU952" s="67">
        <f>((BY952*CK952)+IF($W952=MAT_AR,(CA952*CM952),0))*(1+Reference!$G$50+Reference!$G$51)</f>
        <v>0</v>
      </c>
      <c r="DV952" s="67" t="e">
        <f t="shared" si="1083"/>
        <v>#VALUE!</v>
      </c>
      <c r="DX952" s="56">
        <v>938</v>
      </c>
      <c r="DY952" s="67">
        <f t="shared" si="1084"/>
        <v>0</v>
      </c>
      <c r="DZ952" s="45" t="e">
        <f>VLOOKUP($R952,Dropdown!$C$3:$D$4,2,FALSE)</f>
        <v>#N/A</v>
      </c>
      <c r="EA952" s="68">
        <f t="shared" si="1085"/>
        <v>0</v>
      </c>
      <c r="EB952" s="68" t="str">
        <f t="shared" si="1086"/>
        <v>N/A</v>
      </c>
      <c r="EC952" s="68">
        <f t="shared" si="1087"/>
        <v>0</v>
      </c>
      <c r="ED952" s="68" t="str">
        <f t="shared" si="1125"/>
        <v>N/A</v>
      </c>
      <c r="EF952" s="56">
        <v>938</v>
      </c>
      <c r="EG952" s="46">
        <f t="shared" si="1088"/>
        <v>0</v>
      </c>
      <c r="EH952" s="68" t="e">
        <f t="shared" si="1089"/>
        <v>#N/A</v>
      </c>
      <c r="EI952" s="68" t="e">
        <f t="shared" si="1090"/>
        <v>#N/A</v>
      </c>
      <c r="EJ952" s="68" t="e">
        <f t="shared" si="1091"/>
        <v>#N/A</v>
      </c>
      <c r="EK952" s="68" t="e">
        <f t="shared" si="1092"/>
        <v>#N/A</v>
      </c>
      <c r="EL952" s="46">
        <f t="shared" si="1093"/>
        <v>0</v>
      </c>
      <c r="EM952" s="46">
        <f t="shared" si="1094"/>
        <v>0</v>
      </c>
    </row>
    <row r="953" spans="1:143">
      <c r="A953" s="89"/>
      <c r="B953" s="89"/>
      <c r="C953" s="89"/>
      <c r="D953" s="89"/>
      <c r="E953" s="89"/>
      <c r="F953" s="89"/>
      <c r="G953" s="34"/>
      <c r="H953" s="56">
        <f t="shared" si="1095"/>
        <v>939</v>
      </c>
      <c r="I953" s="165"/>
      <c r="J953" s="163"/>
      <c r="K953" s="163"/>
      <c r="L953" s="164"/>
      <c r="M953" s="155"/>
      <c r="N953" s="155"/>
      <c r="O953" s="144"/>
      <c r="P953" s="159" t="str">
        <f>IFERROR(IF(O953&lt;&gt;"User Specified",IF(O953&lt;&gt;"", INDEX('Refrigerant GWPs'!$G$2:$G$154,MATCH(O953,'Refrigerant GWPs'!$A$2:$A$154,0)),""),U953),0)</f>
        <v/>
      </c>
      <c r="Q953" s="155"/>
      <c r="R953" s="155"/>
      <c r="S953" s="144"/>
      <c r="T953" s="159" t="str">
        <f>IF(S953&lt;&gt;"User Specified",IF(AND(S953&lt;&gt;"User Specified",S953&lt;&gt;""), INDEX('Refrigerant GWPs'!$G$2:$G$154,MATCH(S953,'Refrigerant GWPs'!$A$2:$A$154,0)),""),V953)</f>
        <v/>
      </c>
      <c r="U953" s="144"/>
      <c r="V953" s="144"/>
      <c r="W953" s="155"/>
      <c r="X953" s="155"/>
      <c r="Y953" s="144"/>
      <c r="Z953" s="159" t="str">
        <f>IF(AND(Y953&lt;&gt;"User Specified",Y953&lt;&gt;""), INDEX('Refrigerant GWPs'!$G$2:$G$154,MATCH(Y953,'Refrigerant GWPs'!$A$2:$A$154,0)),"")</f>
        <v/>
      </c>
      <c r="AA953" s="155"/>
      <c r="AB953" s="156"/>
      <c r="AC953" s="66"/>
      <c r="AD953" s="66"/>
      <c r="AE953" s="66"/>
      <c r="AF953" s="66"/>
      <c r="AG953" s="66"/>
      <c r="AH953" s="66"/>
      <c r="AI953" s="34"/>
      <c r="AJ953" s="88">
        <f t="shared" si="1058"/>
        <v>0</v>
      </c>
      <c r="AK953" s="88">
        <f t="shared" si="1059"/>
        <v>0</v>
      </c>
      <c r="AL953" s="88">
        <v>0</v>
      </c>
      <c r="AM953" s="88">
        <v>0</v>
      </c>
      <c r="AN953" s="81" t="str">
        <f t="shared" si="1097"/>
        <v/>
      </c>
      <c r="AO953" s="88">
        <f t="shared" si="1060"/>
        <v>0</v>
      </c>
      <c r="AP953" s="88">
        <f t="shared" si="1061"/>
        <v>0</v>
      </c>
      <c r="AQ953" s="81" t="str">
        <f t="shared" si="1062"/>
        <v/>
      </c>
      <c r="AS953" s="41" t="b">
        <f t="shared" si="1063"/>
        <v>1</v>
      </c>
      <c r="AT953" s="38">
        <f t="shared" si="1064"/>
        <v>0</v>
      </c>
      <c r="AU953" s="60">
        <f t="shared" si="1065"/>
        <v>0</v>
      </c>
      <c r="AV953" s="41">
        <f t="shared" si="1066"/>
        <v>0</v>
      </c>
      <c r="AW953" s="41" t="b">
        <f t="shared" si="1067"/>
        <v>0</v>
      </c>
      <c r="AX953" t="str">
        <f t="shared" si="1068"/>
        <v>+00</v>
      </c>
      <c r="AY953" t="str">
        <f t="shared" si="1069"/>
        <v>+00</v>
      </c>
      <c r="BA953" s="47" t="b">
        <f t="shared" si="1098"/>
        <v>1</v>
      </c>
      <c r="BB953" s="42" t="b">
        <f t="shared" si="1099"/>
        <v>1</v>
      </c>
      <c r="BC953" s="42" t="b">
        <f t="shared" si="1100"/>
        <v>0</v>
      </c>
      <c r="BD953" s="42" t="b">
        <f t="shared" si="1101"/>
        <v>0</v>
      </c>
      <c r="BE953" s="70">
        <f t="shared" si="1102"/>
        <v>0</v>
      </c>
      <c r="BF953" s="70">
        <f t="shared" si="1103"/>
        <v>0</v>
      </c>
      <c r="BG953" s="34"/>
      <c r="BI953" s="47" t="b">
        <f t="shared" si="1104"/>
        <v>1</v>
      </c>
      <c r="BJ953" s="47" t="b">
        <f t="shared" si="1105"/>
        <v>1</v>
      </c>
      <c r="BK953" s="42" t="b">
        <f t="shared" si="1106"/>
        <v>0</v>
      </c>
      <c r="BL953" s="42" t="b">
        <f t="shared" si="1107"/>
        <v>0</v>
      </c>
      <c r="BM953" s="42">
        <f t="shared" si="1108"/>
        <v>0</v>
      </c>
      <c r="BN953" s="42">
        <f t="shared" si="1109"/>
        <v>0</v>
      </c>
      <c r="BP953" t="e">
        <f t="shared" si="1110"/>
        <v>#N/A</v>
      </c>
      <c r="BQ953" t="e">
        <f t="shared" si="1111"/>
        <v>#N/A</v>
      </c>
      <c r="BR953" t="e">
        <f t="shared" si="1112"/>
        <v>#N/A</v>
      </c>
      <c r="BT953" s="60">
        <f t="shared" si="1113"/>
        <v>0</v>
      </c>
      <c r="BU953" s="60">
        <f t="shared" si="1114"/>
        <v>0</v>
      </c>
      <c r="BV953" s="60">
        <f t="shared" si="1115"/>
        <v>0</v>
      </c>
      <c r="BW953" s="60">
        <f t="shared" si="1116"/>
        <v>0</v>
      </c>
      <c r="BX953" s="60">
        <f t="shared" si="1117"/>
        <v>0</v>
      </c>
      <c r="BY953" s="60">
        <f t="shared" si="1118"/>
        <v>0</v>
      </c>
      <c r="BZ953" s="60">
        <f t="shared" si="1119"/>
        <v>0</v>
      </c>
      <c r="CA953" s="60">
        <f t="shared" si="1120"/>
        <v>0</v>
      </c>
      <c r="CB953" s="60" t="e">
        <f t="shared" si="1070"/>
        <v>#N/A</v>
      </c>
      <c r="CC953" s="60">
        <f t="shared" si="1071"/>
        <v>100000</v>
      </c>
      <c r="CD953" s="60" t="e">
        <f t="shared" si="1072"/>
        <v>#N/A</v>
      </c>
      <c r="CE953" s="60">
        <f t="shared" si="1073"/>
        <v>100000</v>
      </c>
      <c r="CF953" s="83" t="e">
        <f t="shared" si="1121"/>
        <v>#N/A</v>
      </c>
      <c r="CG953" s="83">
        <f t="shared" si="1122"/>
        <v>0</v>
      </c>
      <c r="CH953" s="83" t="e">
        <f t="shared" si="1123"/>
        <v>#N/A</v>
      </c>
      <c r="CI953" s="83">
        <f t="shared" si="1124"/>
        <v>0</v>
      </c>
      <c r="CJ953" s="86" t="e">
        <f t="shared" si="1074"/>
        <v>#N/A</v>
      </c>
      <c r="CK953" s="82">
        <f t="shared" si="1075"/>
        <v>5.3070370403969858E-3</v>
      </c>
      <c r="CL953" s="82" t="e">
        <f t="shared" si="1076"/>
        <v>#N/A</v>
      </c>
      <c r="CM953" s="82">
        <f t="shared" si="1077"/>
        <v>5.3070370403969858E-3</v>
      </c>
      <c r="CO953" s="149" t="str">
        <f>IF($I953&lt;&gt;"",IF(O953="User Specified",U953,INDEX('Refrigerant GWPs'!$G$2:$G$156,MATCH(O953,'Refrigerant GWPs'!$A$2:$A$156,0))),"")</f>
        <v/>
      </c>
      <c r="CP953" s="138" t="str">
        <f>IF($I953&lt;&gt;"",INDEX('Device Refrigerant Leakage'!$E$2:$E$42,MATCH($M953,'Device Refrigerant Leakage'!$B$2:$B$42,0)),"")</f>
        <v/>
      </c>
      <c r="CQ953" s="138" t="str">
        <f>IF($I953&lt;&gt;"",INDEX('Device Refrigerant Leakage'!$F$2:$F$42,MATCH($M953,'Device Refrigerant Leakage'!$B$2:$B$42,0)),"")</f>
        <v/>
      </c>
      <c r="CR953" s="145" t="str">
        <f>IF($I953&lt;&gt;"",INDEX('Device Refrigerant Leakage'!$G$2:$G$42,MATCH($M953,'Device Refrigerant Leakage'!$B$2:$B$42,0)),"")</f>
        <v/>
      </c>
      <c r="CS953" s="145" t="str">
        <f>IF($I953&lt;&gt;"",INDEX('Device Refrigerant Leakage'!$D$2:$D$42,MATCH($M953,'Device Refrigerant Leakage'!$B$2:$B$42,0))*CP953/2204.62*CO953,"")</f>
        <v/>
      </c>
      <c r="CT953" s="145" t="str">
        <f>IF($I953&lt;&gt;"",J953*(INDEX('Device Refrigerant Leakage'!$D$2:$D$42,MATCH($M953,'Device Refrigerant Leakage'!$B$2:$B$42,0))-(INDEX('Device Refrigerant Leakage'!$D$2:$D$42,MATCH($M953,'Device Refrigerant Leakage'!$B$2:$B$42,0)))*CR953*CP953)*CQ953/2204.62*CO953,"")</f>
        <v/>
      </c>
      <c r="CU953" s="135" t="str">
        <f>IF($I953&lt;&gt;"",J953*IF(W953&lt;&gt;"AR",(CS953*K953)+CT953,(CS953*AB953)+CT953*(AB953/INDEX('Device Refrigerant Leakage'!$C$2:$C$42,MATCH($M953,'Device Refrigerant Leakage'!$B$2:$B$42,0)))),"")</f>
        <v/>
      </c>
      <c r="CW953" s="135" t="str">
        <f>IF($I953&lt;&gt;"",IF(S953="User Specified",V953,INDEX('Refrigerant GWPs'!$G$2:$G$156,MATCH(S953,'Refrigerant GWPs'!$A$2:$A$157,0))),"")</f>
        <v/>
      </c>
      <c r="CX953" s="138" t="str">
        <f>IF($I953&lt;&gt;"",INDEX('Device Refrigerant Leakage'!$E$2:$E$42,MATCH($Q953,'Device Refrigerant Leakage'!$B$2:$B$42,0)),"")</f>
        <v/>
      </c>
      <c r="CY953" s="138" t="str">
        <f>IF($I953&lt;&gt;"",INDEX('Device Refrigerant Leakage'!$F$2:$F$42,MATCH($Q953,'Device Refrigerant Leakage'!$B$2:$B$42,0)),"")</f>
        <v/>
      </c>
      <c r="CZ953" s="145" t="str">
        <f>IF($I953&lt;&gt;"",INDEX('Device Refrigerant Leakage'!$G$2:$G$42,MATCH($Q953,'Device Refrigerant Leakage'!$B$2:$B$42,0)),"")</f>
        <v/>
      </c>
      <c r="DA953" s="145" t="str">
        <f>IF($I953&lt;&gt;"",J953*INDEX('Device Refrigerant Leakage'!$D$2:$D$42,MATCH($Q953,'Device Refrigerant Leakage'!$B$2:$B$42,0))*CX953/2204.62*CW953,"")</f>
        <v/>
      </c>
      <c r="DB953" s="145" t="str">
        <f>IF($I953&lt;&gt;"",J953*(INDEX('Device Refrigerant Leakage'!$D$2:$D$42,MATCH($Q953,'Device Refrigerant Leakage'!$B$2:$B$42,0))-(INDEX('Device Refrigerant Leakage'!$D$2:$D$42,MATCH($Q953,'Device Refrigerant Leakage'!$B$2:$B$42,0)))*CZ953*CX953)*CY953/2204.62*CW953,"")</f>
        <v/>
      </c>
      <c r="DC953" s="135" t="str">
        <f t="shared" si="1096"/>
        <v/>
      </c>
      <c r="DE953" s="146" t="str">
        <f>IF(W953&lt;&gt;"AR","",IF(Y953="User Specified", AA953, INDEX('Refrigerant GWPs'!$G$2:$G$154,MATCH(Y953,'Refrigerant GWPs'!$A$2:$A$154,0))))</f>
        <v/>
      </c>
      <c r="DF953" s="146" t="str">
        <f>IF(W953&lt;&gt;"AR","",INDEX('Device Refrigerant Leakage'!$E$2:$E$42,MATCH(X953,'Device Refrigerant Leakage'!$B$2:$B$42,0)))</f>
        <v/>
      </c>
      <c r="DG953" s="146" t="str">
        <f>IF(W953&lt;&gt;"AR","",INDEX('Device Refrigerant Leakage'!$F$2:$F$42,MATCH(X953,'Device Refrigerant Leakage'!$B$2:$B$42,0)))</f>
        <v/>
      </c>
      <c r="DH953" s="146" t="str">
        <f>IF(W953&lt;&gt;"AR","",INDEX('Device Refrigerant Leakage'!$G$2:$G$42,MATCH(X953,'Device Refrigerant Leakage'!$B$2:$B$42,0)))</f>
        <v/>
      </c>
      <c r="DI953" s="146" t="str">
        <f>IF(W953&lt;&gt;"AR","",J953*INDEX('Device Refrigerant Leakage'!$D$2:$D$42,MATCH(X953,'Device Refrigerant Leakage'!$B$2:$B$42,0))*DF953/2204.62*DE953)</f>
        <v/>
      </c>
      <c r="DJ953" s="146" t="str">
        <f>IF(W953&lt;&gt;"AR","",J953*(INDEX('Device Refrigerant Leakage'!$D$2:$D$42,MATCH(X953,'Device Refrigerant Leakage'!$B$2:$B$42,0))-(INDEX('Device Refrigerant Leakage'!$D$2:$D$42,MATCH(X953,'Device Refrigerant Leakage'!$B$2:$B$42,0)))*DH953*DF953)*DG953/2204.62*DE953)</f>
        <v/>
      </c>
      <c r="DK953" s="146" t="str">
        <f>IF(W953&lt;&gt;"AR","",DI953*(K953-AB953)+'Fuel Sub Calcs-Deemed'!DJ953*((K953-AB953)/INDEX('Device Refrigerant Leakage'!$C$2:$C$42,MATCH('Fuel Sub Calcs-Deemed'!X953,'Device Refrigerant Leakage'!$B$2:$B$42,0))))</f>
        <v/>
      </c>
      <c r="DM953" s="56">
        <v>939</v>
      </c>
      <c r="DN953" s="67" t="e">
        <f t="shared" si="1078"/>
        <v>#N/A</v>
      </c>
      <c r="DO953" s="45" t="e">
        <f t="shared" si="1079"/>
        <v>#N/A</v>
      </c>
      <c r="DP953" s="67" t="e">
        <f t="shared" si="1080"/>
        <v>#N/A</v>
      </c>
      <c r="DQ953" s="45" t="e">
        <f t="shared" si="1081"/>
        <v>#N/A</v>
      </c>
      <c r="DR953" s="69" t="e">
        <f t="shared" si="1082"/>
        <v>#N/A</v>
      </c>
      <c r="DS953" s="34"/>
      <c r="DT953" s="67" t="e">
        <f>((BX953*CJ953)+IF($W953=MAT_AR,(BZ953*CL953),0))*(1+Reference!$E$50+Reference!$E$51)</f>
        <v>#N/A</v>
      </c>
      <c r="DU953" s="67">
        <f>((BY953*CK953)+IF($W953=MAT_AR,(CA953*CM953),0))*(1+Reference!$G$50+Reference!$G$51)</f>
        <v>0</v>
      </c>
      <c r="DV953" s="67" t="e">
        <f t="shared" si="1083"/>
        <v>#VALUE!</v>
      </c>
      <c r="DX953" s="56">
        <v>939</v>
      </c>
      <c r="DY953" s="67">
        <f t="shared" si="1084"/>
        <v>0</v>
      </c>
      <c r="DZ953" s="45" t="e">
        <f>VLOOKUP($R953,Dropdown!$C$3:$D$4,2,FALSE)</f>
        <v>#N/A</v>
      </c>
      <c r="EA953" s="68">
        <f t="shared" si="1085"/>
        <v>0</v>
      </c>
      <c r="EB953" s="68" t="str">
        <f t="shared" si="1086"/>
        <v>N/A</v>
      </c>
      <c r="EC953" s="68">
        <f t="shared" si="1087"/>
        <v>0</v>
      </c>
      <c r="ED953" s="68" t="str">
        <f t="shared" si="1125"/>
        <v>N/A</v>
      </c>
      <c r="EF953" s="56">
        <v>939</v>
      </c>
      <c r="EG953" s="46">
        <f t="shared" si="1088"/>
        <v>0</v>
      </c>
      <c r="EH953" s="68" t="e">
        <f t="shared" si="1089"/>
        <v>#N/A</v>
      </c>
      <c r="EI953" s="68" t="e">
        <f t="shared" si="1090"/>
        <v>#N/A</v>
      </c>
      <c r="EJ953" s="68" t="e">
        <f t="shared" si="1091"/>
        <v>#N/A</v>
      </c>
      <c r="EK953" s="68" t="e">
        <f t="shared" si="1092"/>
        <v>#N/A</v>
      </c>
      <c r="EL953" s="46">
        <f t="shared" si="1093"/>
        <v>0</v>
      </c>
      <c r="EM953" s="46">
        <f t="shared" si="1094"/>
        <v>0</v>
      </c>
    </row>
    <row r="954" spans="1:143">
      <c r="A954" s="89"/>
      <c r="B954" s="89"/>
      <c r="C954" s="89"/>
      <c r="D954" s="89"/>
      <c r="E954" s="89"/>
      <c r="F954" s="89"/>
      <c r="G954" s="34"/>
      <c r="H954" s="56">
        <f t="shared" si="1095"/>
        <v>940</v>
      </c>
      <c r="I954" s="165"/>
      <c r="J954" s="163"/>
      <c r="K954" s="163"/>
      <c r="L954" s="164"/>
      <c r="M954" s="155"/>
      <c r="N954" s="155"/>
      <c r="O954" s="144"/>
      <c r="P954" s="159" t="str">
        <f>IFERROR(IF(O954&lt;&gt;"User Specified",IF(O954&lt;&gt;"", INDEX('Refrigerant GWPs'!$G$2:$G$154,MATCH(O954,'Refrigerant GWPs'!$A$2:$A$154,0)),""),U954),0)</f>
        <v/>
      </c>
      <c r="Q954" s="155"/>
      <c r="R954" s="155"/>
      <c r="S954" s="144"/>
      <c r="T954" s="159" t="str">
        <f>IF(S954&lt;&gt;"User Specified",IF(AND(S954&lt;&gt;"User Specified",S954&lt;&gt;""), INDEX('Refrigerant GWPs'!$G$2:$G$154,MATCH(S954,'Refrigerant GWPs'!$A$2:$A$154,0)),""),V954)</f>
        <v/>
      </c>
      <c r="U954" s="144"/>
      <c r="V954" s="144"/>
      <c r="W954" s="155"/>
      <c r="X954" s="155"/>
      <c r="Y954" s="144"/>
      <c r="Z954" s="159" t="str">
        <f>IF(AND(Y954&lt;&gt;"User Specified",Y954&lt;&gt;""), INDEX('Refrigerant GWPs'!$G$2:$G$154,MATCH(Y954,'Refrigerant GWPs'!$A$2:$A$154,0)),"")</f>
        <v/>
      </c>
      <c r="AA954" s="155"/>
      <c r="AB954" s="156"/>
      <c r="AC954" s="66"/>
      <c r="AD954" s="66"/>
      <c r="AE954" s="66"/>
      <c r="AF954" s="66"/>
      <c r="AG954" s="66"/>
      <c r="AH954" s="66"/>
      <c r="AI954" s="34"/>
      <c r="AJ954" s="88">
        <f t="shared" si="1058"/>
        <v>0</v>
      </c>
      <c r="AK954" s="88">
        <f t="shared" si="1059"/>
        <v>0</v>
      </c>
      <c r="AL954" s="88">
        <v>0</v>
      </c>
      <c r="AM954" s="88">
        <v>0</v>
      </c>
      <c r="AN954" s="81" t="str">
        <f t="shared" si="1097"/>
        <v/>
      </c>
      <c r="AO954" s="88">
        <f t="shared" si="1060"/>
        <v>0</v>
      </c>
      <c r="AP954" s="88">
        <f t="shared" si="1061"/>
        <v>0</v>
      </c>
      <c r="AQ954" s="81" t="str">
        <f t="shared" si="1062"/>
        <v/>
      </c>
      <c r="AS954" s="41" t="b">
        <f t="shared" si="1063"/>
        <v>1</v>
      </c>
      <c r="AT954" s="38">
        <f t="shared" si="1064"/>
        <v>0</v>
      </c>
      <c r="AU954" s="60">
        <f t="shared" si="1065"/>
        <v>0</v>
      </c>
      <c r="AV954" s="41">
        <f t="shared" si="1066"/>
        <v>0</v>
      </c>
      <c r="AW954" s="41" t="b">
        <f t="shared" si="1067"/>
        <v>0</v>
      </c>
      <c r="AX954" t="str">
        <f t="shared" si="1068"/>
        <v>+00</v>
      </c>
      <c r="AY954" t="str">
        <f t="shared" si="1069"/>
        <v>+00</v>
      </c>
      <c r="BA954" s="47" t="b">
        <f t="shared" si="1098"/>
        <v>1</v>
      </c>
      <c r="BB954" s="42" t="b">
        <f t="shared" si="1099"/>
        <v>1</v>
      </c>
      <c r="BC954" s="42" t="b">
        <f t="shared" si="1100"/>
        <v>0</v>
      </c>
      <c r="BD954" s="42" t="b">
        <f t="shared" si="1101"/>
        <v>0</v>
      </c>
      <c r="BE954" s="70">
        <f t="shared" si="1102"/>
        <v>0</v>
      </c>
      <c r="BF954" s="70">
        <f t="shared" si="1103"/>
        <v>0</v>
      </c>
      <c r="BG954" s="34"/>
      <c r="BI954" s="47" t="b">
        <f t="shared" si="1104"/>
        <v>1</v>
      </c>
      <c r="BJ954" s="47" t="b">
        <f t="shared" si="1105"/>
        <v>1</v>
      </c>
      <c r="BK954" s="42" t="b">
        <f t="shared" si="1106"/>
        <v>0</v>
      </c>
      <c r="BL954" s="42" t="b">
        <f t="shared" si="1107"/>
        <v>0</v>
      </c>
      <c r="BM954" s="42">
        <f t="shared" si="1108"/>
        <v>0</v>
      </c>
      <c r="BN954" s="42">
        <f t="shared" si="1109"/>
        <v>0</v>
      </c>
      <c r="BP954" t="e">
        <f t="shared" si="1110"/>
        <v>#N/A</v>
      </c>
      <c r="BQ954" t="e">
        <f t="shared" si="1111"/>
        <v>#N/A</v>
      </c>
      <c r="BR954" t="e">
        <f t="shared" si="1112"/>
        <v>#N/A</v>
      </c>
      <c r="BT954" s="60">
        <f t="shared" si="1113"/>
        <v>0</v>
      </c>
      <c r="BU954" s="60">
        <f t="shared" si="1114"/>
        <v>0</v>
      </c>
      <c r="BV954" s="60">
        <f t="shared" si="1115"/>
        <v>0</v>
      </c>
      <c r="BW954" s="60">
        <f t="shared" si="1116"/>
        <v>0</v>
      </c>
      <c r="BX954" s="60">
        <f t="shared" si="1117"/>
        <v>0</v>
      </c>
      <c r="BY954" s="60">
        <f t="shared" si="1118"/>
        <v>0</v>
      </c>
      <c r="BZ954" s="60">
        <f t="shared" si="1119"/>
        <v>0</v>
      </c>
      <c r="CA954" s="60">
        <f t="shared" si="1120"/>
        <v>0</v>
      </c>
      <c r="CB954" s="60" t="e">
        <f t="shared" si="1070"/>
        <v>#N/A</v>
      </c>
      <c r="CC954" s="60">
        <f t="shared" si="1071"/>
        <v>100000</v>
      </c>
      <c r="CD954" s="60" t="e">
        <f t="shared" si="1072"/>
        <v>#N/A</v>
      </c>
      <c r="CE954" s="60">
        <f t="shared" si="1073"/>
        <v>100000</v>
      </c>
      <c r="CF954" s="83" t="e">
        <f t="shared" si="1121"/>
        <v>#N/A</v>
      </c>
      <c r="CG954" s="83">
        <f t="shared" si="1122"/>
        <v>0</v>
      </c>
      <c r="CH954" s="83" t="e">
        <f t="shared" si="1123"/>
        <v>#N/A</v>
      </c>
      <c r="CI954" s="83">
        <f t="shared" si="1124"/>
        <v>0</v>
      </c>
      <c r="CJ954" s="86" t="e">
        <f t="shared" si="1074"/>
        <v>#N/A</v>
      </c>
      <c r="CK954" s="82">
        <f t="shared" si="1075"/>
        <v>5.3070370403969858E-3</v>
      </c>
      <c r="CL954" s="82" t="e">
        <f t="shared" si="1076"/>
        <v>#N/A</v>
      </c>
      <c r="CM954" s="82">
        <f t="shared" si="1077"/>
        <v>5.3070370403969858E-3</v>
      </c>
      <c r="CO954" s="149" t="str">
        <f>IF($I954&lt;&gt;"",IF(O954="User Specified",U954,INDEX('Refrigerant GWPs'!$G$2:$G$156,MATCH(O954,'Refrigerant GWPs'!$A$2:$A$156,0))),"")</f>
        <v/>
      </c>
      <c r="CP954" s="138" t="str">
        <f>IF($I954&lt;&gt;"",INDEX('Device Refrigerant Leakage'!$E$2:$E$42,MATCH($M954,'Device Refrigerant Leakage'!$B$2:$B$42,0)),"")</f>
        <v/>
      </c>
      <c r="CQ954" s="138" t="str">
        <f>IF($I954&lt;&gt;"",INDEX('Device Refrigerant Leakage'!$F$2:$F$42,MATCH($M954,'Device Refrigerant Leakage'!$B$2:$B$42,0)),"")</f>
        <v/>
      </c>
      <c r="CR954" s="145" t="str">
        <f>IF($I954&lt;&gt;"",INDEX('Device Refrigerant Leakage'!$G$2:$G$42,MATCH($M954,'Device Refrigerant Leakage'!$B$2:$B$42,0)),"")</f>
        <v/>
      </c>
      <c r="CS954" s="145" t="str">
        <f>IF($I954&lt;&gt;"",INDEX('Device Refrigerant Leakage'!$D$2:$D$42,MATCH($M954,'Device Refrigerant Leakage'!$B$2:$B$42,0))*CP954/2204.62*CO954,"")</f>
        <v/>
      </c>
      <c r="CT954" s="145" t="str">
        <f>IF($I954&lt;&gt;"",J954*(INDEX('Device Refrigerant Leakage'!$D$2:$D$42,MATCH($M954,'Device Refrigerant Leakage'!$B$2:$B$42,0))-(INDEX('Device Refrigerant Leakage'!$D$2:$D$42,MATCH($M954,'Device Refrigerant Leakage'!$B$2:$B$42,0)))*CR954*CP954)*CQ954/2204.62*CO954,"")</f>
        <v/>
      </c>
      <c r="CU954" s="135" t="str">
        <f>IF($I954&lt;&gt;"",J954*IF(W954&lt;&gt;"AR",(CS954*K954)+CT954,(CS954*AB954)+CT954*(AB954/INDEX('Device Refrigerant Leakage'!$C$2:$C$42,MATCH($M954,'Device Refrigerant Leakage'!$B$2:$B$42,0)))),"")</f>
        <v/>
      </c>
      <c r="CW954" s="135" t="str">
        <f>IF($I954&lt;&gt;"",IF(S954="User Specified",V954,INDEX('Refrigerant GWPs'!$G$2:$G$156,MATCH(S954,'Refrigerant GWPs'!$A$2:$A$157,0))),"")</f>
        <v/>
      </c>
      <c r="CX954" s="138" t="str">
        <f>IF($I954&lt;&gt;"",INDEX('Device Refrigerant Leakage'!$E$2:$E$42,MATCH($Q954,'Device Refrigerant Leakage'!$B$2:$B$42,0)),"")</f>
        <v/>
      </c>
      <c r="CY954" s="138" t="str">
        <f>IF($I954&lt;&gt;"",INDEX('Device Refrigerant Leakage'!$F$2:$F$42,MATCH($Q954,'Device Refrigerant Leakage'!$B$2:$B$42,0)),"")</f>
        <v/>
      </c>
      <c r="CZ954" s="145" t="str">
        <f>IF($I954&lt;&gt;"",INDEX('Device Refrigerant Leakage'!$G$2:$G$42,MATCH($Q954,'Device Refrigerant Leakage'!$B$2:$B$42,0)),"")</f>
        <v/>
      </c>
      <c r="DA954" s="145" t="str">
        <f>IF($I954&lt;&gt;"",J954*INDEX('Device Refrigerant Leakage'!$D$2:$D$42,MATCH($Q954,'Device Refrigerant Leakage'!$B$2:$B$42,0))*CX954/2204.62*CW954,"")</f>
        <v/>
      </c>
      <c r="DB954" s="145" t="str">
        <f>IF($I954&lt;&gt;"",J954*(INDEX('Device Refrigerant Leakage'!$D$2:$D$42,MATCH($Q954,'Device Refrigerant Leakage'!$B$2:$B$42,0))-(INDEX('Device Refrigerant Leakage'!$D$2:$D$42,MATCH($Q954,'Device Refrigerant Leakage'!$B$2:$B$42,0)))*CZ954*CX954)*CY954/2204.62*CW954,"")</f>
        <v/>
      </c>
      <c r="DC954" s="135" t="str">
        <f t="shared" si="1096"/>
        <v/>
      </c>
      <c r="DE954" s="146" t="str">
        <f>IF(W954&lt;&gt;"AR","",IF(Y954="User Specified", AA954, INDEX('Refrigerant GWPs'!$G$2:$G$154,MATCH(Y954,'Refrigerant GWPs'!$A$2:$A$154,0))))</f>
        <v/>
      </c>
      <c r="DF954" s="146" t="str">
        <f>IF(W954&lt;&gt;"AR","",INDEX('Device Refrigerant Leakage'!$E$2:$E$42,MATCH(X954,'Device Refrigerant Leakage'!$B$2:$B$42,0)))</f>
        <v/>
      </c>
      <c r="DG954" s="146" t="str">
        <f>IF(W954&lt;&gt;"AR","",INDEX('Device Refrigerant Leakage'!$F$2:$F$42,MATCH(X954,'Device Refrigerant Leakage'!$B$2:$B$42,0)))</f>
        <v/>
      </c>
      <c r="DH954" s="146" t="str">
        <f>IF(W954&lt;&gt;"AR","",INDEX('Device Refrigerant Leakage'!$G$2:$G$42,MATCH(X954,'Device Refrigerant Leakage'!$B$2:$B$42,0)))</f>
        <v/>
      </c>
      <c r="DI954" s="146" t="str">
        <f>IF(W954&lt;&gt;"AR","",J954*INDEX('Device Refrigerant Leakage'!$D$2:$D$42,MATCH(X954,'Device Refrigerant Leakage'!$B$2:$B$42,0))*DF954/2204.62*DE954)</f>
        <v/>
      </c>
      <c r="DJ954" s="146" t="str">
        <f>IF(W954&lt;&gt;"AR","",J954*(INDEX('Device Refrigerant Leakage'!$D$2:$D$42,MATCH(X954,'Device Refrigerant Leakage'!$B$2:$B$42,0))-(INDEX('Device Refrigerant Leakage'!$D$2:$D$42,MATCH(X954,'Device Refrigerant Leakage'!$B$2:$B$42,0)))*DH954*DF954)*DG954/2204.62*DE954)</f>
        <v/>
      </c>
      <c r="DK954" s="146" t="str">
        <f>IF(W954&lt;&gt;"AR","",DI954*(K954-AB954)+'Fuel Sub Calcs-Deemed'!DJ954*((K954-AB954)/INDEX('Device Refrigerant Leakage'!$C$2:$C$42,MATCH('Fuel Sub Calcs-Deemed'!X954,'Device Refrigerant Leakage'!$B$2:$B$42,0))))</f>
        <v/>
      </c>
      <c r="DM954" s="56">
        <v>940</v>
      </c>
      <c r="DN954" s="67" t="e">
        <f t="shared" si="1078"/>
        <v>#N/A</v>
      </c>
      <c r="DO954" s="45" t="e">
        <f t="shared" si="1079"/>
        <v>#N/A</v>
      </c>
      <c r="DP954" s="67" t="e">
        <f t="shared" si="1080"/>
        <v>#N/A</v>
      </c>
      <c r="DQ954" s="45" t="e">
        <f t="shared" si="1081"/>
        <v>#N/A</v>
      </c>
      <c r="DR954" s="69" t="e">
        <f t="shared" si="1082"/>
        <v>#N/A</v>
      </c>
      <c r="DS954" s="34"/>
      <c r="DT954" s="67" t="e">
        <f>((BX954*CJ954)+IF($W954=MAT_AR,(BZ954*CL954),0))*(1+Reference!$E$50+Reference!$E$51)</f>
        <v>#N/A</v>
      </c>
      <c r="DU954" s="67">
        <f>((BY954*CK954)+IF($W954=MAT_AR,(CA954*CM954),0))*(1+Reference!$G$50+Reference!$G$51)</f>
        <v>0</v>
      </c>
      <c r="DV954" s="67" t="e">
        <f t="shared" si="1083"/>
        <v>#VALUE!</v>
      </c>
      <c r="DX954" s="56">
        <v>940</v>
      </c>
      <c r="DY954" s="67">
        <f t="shared" si="1084"/>
        <v>0</v>
      </c>
      <c r="DZ954" s="45" t="e">
        <f>VLOOKUP($R954,Dropdown!$C$3:$D$4,2,FALSE)</f>
        <v>#N/A</v>
      </c>
      <c r="EA954" s="68">
        <f t="shared" si="1085"/>
        <v>0</v>
      </c>
      <c r="EB954" s="68" t="str">
        <f t="shared" si="1086"/>
        <v>N/A</v>
      </c>
      <c r="EC954" s="68">
        <f t="shared" si="1087"/>
        <v>0</v>
      </c>
      <c r="ED954" s="68" t="str">
        <f t="shared" si="1125"/>
        <v>N/A</v>
      </c>
      <c r="EF954" s="56">
        <v>940</v>
      </c>
      <c r="EG954" s="46">
        <f t="shared" si="1088"/>
        <v>0</v>
      </c>
      <c r="EH954" s="68" t="e">
        <f t="shared" si="1089"/>
        <v>#N/A</v>
      </c>
      <c r="EI954" s="68" t="e">
        <f t="shared" si="1090"/>
        <v>#N/A</v>
      </c>
      <c r="EJ954" s="68" t="e">
        <f t="shared" si="1091"/>
        <v>#N/A</v>
      </c>
      <c r="EK954" s="68" t="e">
        <f t="shared" si="1092"/>
        <v>#N/A</v>
      </c>
      <c r="EL954" s="46">
        <f t="shared" si="1093"/>
        <v>0</v>
      </c>
      <c r="EM954" s="46">
        <f t="shared" si="1094"/>
        <v>0</v>
      </c>
    </row>
    <row r="955" spans="1:143">
      <c r="A955" s="89"/>
      <c r="B955" s="89"/>
      <c r="C955" s="89"/>
      <c r="D955" s="89"/>
      <c r="E955" s="89"/>
      <c r="F955" s="89"/>
      <c r="G955" s="34"/>
      <c r="H955" s="56">
        <f t="shared" si="1095"/>
        <v>941</v>
      </c>
      <c r="I955" s="165"/>
      <c r="J955" s="163"/>
      <c r="K955" s="163"/>
      <c r="L955" s="164"/>
      <c r="M955" s="155"/>
      <c r="N955" s="155"/>
      <c r="O955" s="144"/>
      <c r="P955" s="159" t="str">
        <f>IFERROR(IF(O955&lt;&gt;"User Specified",IF(O955&lt;&gt;"", INDEX('Refrigerant GWPs'!$G$2:$G$154,MATCH(O955,'Refrigerant GWPs'!$A$2:$A$154,0)),""),U955),0)</f>
        <v/>
      </c>
      <c r="Q955" s="155"/>
      <c r="R955" s="155"/>
      <c r="S955" s="144"/>
      <c r="T955" s="159" t="str">
        <f>IF(S955&lt;&gt;"User Specified",IF(AND(S955&lt;&gt;"User Specified",S955&lt;&gt;""), INDEX('Refrigerant GWPs'!$G$2:$G$154,MATCH(S955,'Refrigerant GWPs'!$A$2:$A$154,0)),""),V955)</f>
        <v/>
      </c>
      <c r="U955" s="144"/>
      <c r="V955" s="144"/>
      <c r="W955" s="155"/>
      <c r="X955" s="155"/>
      <c r="Y955" s="144"/>
      <c r="Z955" s="159" t="str">
        <f>IF(AND(Y955&lt;&gt;"User Specified",Y955&lt;&gt;""), INDEX('Refrigerant GWPs'!$G$2:$G$154,MATCH(Y955,'Refrigerant GWPs'!$A$2:$A$154,0)),"")</f>
        <v/>
      </c>
      <c r="AA955" s="155"/>
      <c r="AB955" s="156"/>
      <c r="AC955" s="66"/>
      <c r="AD955" s="66"/>
      <c r="AE955" s="66"/>
      <c r="AF955" s="66"/>
      <c r="AG955" s="66"/>
      <c r="AH955" s="66"/>
      <c r="AI955" s="34"/>
      <c r="AJ955" s="88">
        <f t="shared" si="1058"/>
        <v>0</v>
      </c>
      <c r="AK955" s="88">
        <f t="shared" si="1059"/>
        <v>0</v>
      </c>
      <c r="AL955" s="88">
        <v>0</v>
      </c>
      <c r="AM955" s="88">
        <v>0</v>
      </c>
      <c r="AN955" s="81" t="str">
        <f t="shared" si="1097"/>
        <v/>
      </c>
      <c r="AO955" s="88">
        <f t="shared" si="1060"/>
        <v>0</v>
      </c>
      <c r="AP955" s="88">
        <f t="shared" si="1061"/>
        <v>0</v>
      </c>
      <c r="AQ955" s="81" t="str">
        <f t="shared" si="1062"/>
        <v/>
      </c>
      <c r="AS955" s="41" t="b">
        <f t="shared" si="1063"/>
        <v>1</v>
      </c>
      <c r="AT955" s="38">
        <f t="shared" si="1064"/>
        <v>0</v>
      </c>
      <c r="AU955" s="60">
        <f t="shared" si="1065"/>
        <v>0</v>
      </c>
      <c r="AV955" s="41">
        <f t="shared" si="1066"/>
        <v>0</v>
      </c>
      <c r="AW955" s="41" t="b">
        <f t="shared" si="1067"/>
        <v>0</v>
      </c>
      <c r="AX955" t="str">
        <f t="shared" si="1068"/>
        <v>+00</v>
      </c>
      <c r="AY955" t="str">
        <f t="shared" si="1069"/>
        <v>+00</v>
      </c>
      <c r="BA955" s="47" t="b">
        <f t="shared" si="1098"/>
        <v>1</v>
      </c>
      <c r="BB955" s="42" t="b">
        <f t="shared" si="1099"/>
        <v>1</v>
      </c>
      <c r="BC955" s="42" t="b">
        <f t="shared" si="1100"/>
        <v>0</v>
      </c>
      <c r="BD955" s="42" t="b">
        <f t="shared" si="1101"/>
        <v>0</v>
      </c>
      <c r="BE955" s="70">
        <f t="shared" si="1102"/>
        <v>0</v>
      </c>
      <c r="BF955" s="70">
        <f t="shared" si="1103"/>
        <v>0</v>
      </c>
      <c r="BG955" s="34"/>
      <c r="BI955" s="47" t="b">
        <f t="shared" si="1104"/>
        <v>1</v>
      </c>
      <c r="BJ955" s="47" t="b">
        <f t="shared" si="1105"/>
        <v>1</v>
      </c>
      <c r="BK955" s="42" t="b">
        <f t="shared" si="1106"/>
        <v>0</v>
      </c>
      <c r="BL955" s="42" t="b">
        <f t="shared" si="1107"/>
        <v>0</v>
      </c>
      <c r="BM955" s="42">
        <f t="shared" si="1108"/>
        <v>0</v>
      </c>
      <c r="BN955" s="42">
        <f t="shared" si="1109"/>
        <v>0</v>
      </c>
      <c r="BP955" t="e">
        <f t="shared" si="1110"/>
        <v>#N/A</v>
      </c>
      <c r="BQ955" t="e">
        <f t="shared" si="1111"/>
        <v>#N/A</v>
      </c>
      <c r="BR955" t="e">
        <f t="shared" si="1112"/>
        <v>#N/A</v>
      </c>
      <c r="BT955" s="60">
        <f t="shared" si="1113"/>
        <v>0</v>
      </c>
      <c r="BU955" s="60">
        <f t="shared" si="1114"/>
        <v>0</v>
      </c>
      <c r="BV955" s="60">
        <f t="shared" si="1115"/>
        <v>0</v>
      </c>
      <c r="BW955" s="60">
        <f t="shared" si="1116"/>
        <v>0</v>
      </c>
      <c r="BX955" s="60">
        <f t="shared" si="1117"/>
        <v>0</v>
      </c>
      <c r="BY955" s="60">
        <f t="shared" si="1118"/>
        <v>0</v>
      </c>
      <c r="BZ955" s="60">
        <f t="shared" si="1119"/>
        <v>0</v>
      </c>
      <c r="CA955" s="60">
        <f t="shared" si="1120"/>
        <v>0</v>
      </c>
      <c r="CB955" s="60" t="e">
        <f t="shared" si="1070"/>
        <v>#N/A</v>
      </c>
      <c r="CC955" s="60">
        <f t="shared" si="1071"/>
        <v>100000</v>
      </c>
      <c r="CD955" s="60" t="e">
        <f t="shared" si="1072"/>
        <v>#N/A</v>
      </c>
      <c r="CE955" s="60">
        <f t="shared" si="1073"/>
        <v>100000</v>
      </c>
      <c r="CF955" s="83" t="e">
        <f t="shared" si="1121"/>
        <v>#N/A</v>
      </c>
      <c r="CG955" s="83">
        <f t="shared" si="1122"/>
        <v>0</v>
      </c>
      <c r="CH955" s="83" t="e">
        <f t="shared" si="1123"/>
        <v>#N/A</v>
      </c>
      <c r="CI955" s="83">
        <f t="shared" si="1124"/>
        <v>0</v>
      </c>
      <c r="CJ955" s="86" t="e">
        <f t="shared" si="1074"/>
        <v>#N/A</v>
      </c>
      <c r="CK955" s="82">
        <f t="shared" si="1075"/>
        <v>5.3070370403969858E-3</v>
      </c>
      <c r="CL955" s="82" t="e">
        <f t="shared" si="1076"/>
        <v>#N/A</v>
      </c>
      <c r="CM955" s="82">
        <f t="shared" si="1077"/>
        <v>5.3070370403969858E-3</v>
      </c>
      <c r="CO955" s="149" t="str">
        <f>IF($I955&lt;&gt;"",IF(O955="User Specified",U955,INDEX('Refrigerant GWPs'!$G$2:$G$156,MATCH(O955,'Refrigerant GWPs'!$A$2:$A$156,0))),"")</f>
        <v/>
      </c>
      <c r="CP955" s="138" t="str">
        <f>IF($I955&lt;&gt;"",INDEX('Device Refrigerant Leakage'!$E$2:$E$42,MATCH($M955,'Device Refrigerant Leakage'!$B$2:$B$42,0)),"")</f>
        <v/>
      </c>
      <c r="CQ955" s="138" t="str">
        <f>IF($I955&lt;&gt;"",INDEX('Device Refrigerant Leakage'!$F$2:$F$42,MATCH($M955,'Device Refrigerant Leakage'!$B$2:$B$42,0)),"")</f>
        <v/>
      </c>
      <c r="CR955" s="145" t="str">
        <f>IF($I955&lt;&gt;"",INDEX('Device Refrigerant Leakage'!$G$2:$G$42,MATCH($M955,'Device Refrigerant Leakage'!$B$2:$B$42,0)),"")</f>
        <v/>
      </c>
      <c r="CS955" s="145" t="str">
        <f>IF($I955&lt;&gt;"",INDEX('Device Refrigerant Leakage'!$D$2:$D$42,MATCH($M955,'Device Refrigerant Leakage'!$B$2:$B$42,0))*CP955/2204.62*CO955,"")</f>
        <v/>
      </c>
      <c r="CT955" s="145" t="str">
        <f>IF($I955&lt;&gt;"",J955*(INDEX('Device Refrigerant Leakage'!$D$2:$D$42,MATCH($M955,'Device Refrigerant Leakage'!$B$2:$B$42,0))-(INDEX('Device Refrigerant Leakage'!$D$2:$D$42,MATCH($M955,'Device Refrigerant Leakage'!$B$2:$B$42,0)))*CR955*CP955)*CQ955/2204.62*CO955,"")</f>
        <v/>
      </c>
      <c r="CU955" s="135" t="str">
        <f>IF($I955&lt;&gt;"",J955*IF(W955&lt;&gt;"AR",(CS955*K955)+CT955,(CS955*AB955)+CT955*(AB955/INDEX('Device Refrigerant Leakage'!$C$2:$C$42,MATCH($M955,'Device Refrigerant Leakage'!$B$2:$B$42,0)))),"")</f>
        <v/>
      </c>
      <c r="CW955" s="135" t="str">
        <f>IF($I955&lt;&gt;"",IF(S955="User Specified",V955,INDEX('Refrigerant GWPs'!$G$2:$G$156,MATCH(S955,'Refrigerant GWPs'!$A$2:$A$157,0))),"")</f>
        <v/>
      </c>
      <c r="CX955" s="138" t="str">
        <f>IF($I955&lt;&gt;"",INDEX('Device Refrigerant Leakage'!$E$2:$E$42,MATCH($Q955,'Device Refrigerant Leakage'!$B$2:$B$42,0)),"")</f>
        <v/>
      </c>
      <c r="CY955" s="138" t="str">
        <f>IF($I955&lt;&gt;"",INDEX('Device Refrigerant Leakage'!$F$2:$F$42,MATCH($Q955,'Device Refrigerant Leakage'!$B$2:$B$42,0)),"")</f>
        <v/>
      </c>
      <c r="CZ955" s="145" t="str">
        <f>IF($I955&lt;&gt;"",INDEX('Device Refrigerant Leakage'!$G$2:$G$42,MATCH($Q955,'Device Refrigerant Leakage'!$B$2:$B$42,0)),"")</f>
        <v/>
      </c>
      <c r="DA955" s="145" t="str">
        <f>IF($I955&lt;&gt;"",J955*INDEX('Device Refrigerant Leakage'!$D$2:$D$42,MATCH($Q955,'Device Refrigerant Leakage'!$B$2:$B$42,0))*CX955/2204.62*CW955,"")</f>
        <v/>
      </c>
      <c r="DB955" s="145" t="str">
        <f>IF($I955&lt;&gt;"",J955*(INDEX('Device Refrigerant Leakage'!$D$2:$D$42,MATCH($Q955,'Device Refrigerant Leakage'!$B$2:$B$42,0))-(INDEX('Device Refrigerant Leakage'!$D$2:$D$42,MATCH($Q955,'Device Refrigerant Leakage'!$B$2:$B$42,0)))*CZ955*CX955)*CY955/2204.62*CW955,"")</f>
        <v/>
      </c>
      <c r="DC955" s="135" t="str">
        <f t="shared" si="1096"/>
        <v/>
      </c>
      <c r="DE955" s="146" t="str">
        <f>IF(W955&lt;&gt;"AR","",IF(Y955="User Specified", AA955, INDEX('Refrigerant GWPs'!$G$2:$G$154,MATCH(Y955,'Refrigerant GWPs'!$A$2:$A$154,0))))</f>
        <v/>
      </c>
      <c r="DF955" s="146" t="str">
        <f>IF(W955&lt;&gt;"AR","",INDEX('Device Refrigerant Leakage'!$E$2:$E$42,MATCH(X955,'Device Refrigerant Leakage'!$B$2:$B$42,0)))</f>
        <v/>
      </c>
      <c r="DG955" s="146" t="str">
        <f>IF(W955&lt;&gt;"AR","",INDEX('Device Refrigerant Leakage'!$F$2:$F$42,MATCH(X955,'Device Refrigerant Leakage'!$B$2:$B$42,0)))</f>
        <v/>
      </c>
      <c r="DH955" s="146" t="str">
        <f>IF(W955&lt;&gt;"AR","",INDEX('Device Refrigerant Leakage'!$G$2:$G$42,MATCH(X955,'Device Refrigerant Leakage'!$B$2:$B$42,0)))</f>
        <v/>
      </c>
      <c r="DI955" s="146" t="str">
        <f>IF(W955&lt;&gt;"AR","",J955*INDEX('Device Refrigerant Leakage'!$D$2:$D$42,MATCH(X955,'Device Refrigerant Leakage'!$B$2:$B$42,0))*DF955/2204.62*DE955)</f>
        <v/>
      </c>
      <c r="DJ955" s="146" t="str">
        <f>IF(W955&lt;&gt;"AR","",J955*(INDEX('Device Refrigerant Leakage'!$D$2:$D$42,MATCH(X955,'Device Refrigerant Leakage'!$B$2:$B$42,0))-(INDEX('Device Refrigerant Leakage'!$D$2:$D$42,MATCH(X955,'Device Refrigerant Leakage'!$B$2:$B$42,0)))*DH955*DF955)*DG955/2204.62*DE955)</f>
        <v/>
      </c>
      <c r="DK955" s="146" t="str">
        <f>IF(W955&lt;&gt;"AR","",DI955*(K955-AB955)+'Fuel Sub Calcs-Deemed'!DJ955*((K955-AB955)/INDEX('Device Refrigerant Leakage'!$C$2:$C$42,MATCH('Fuel Sub Calcs-Deemed'!X955,'Device Refrigerant Leakage'!$B$2:$B$42,0))))</f>
        <v/>
      </c>
      <c r="DM955" s="56">
        <v>941</v>
      </c>
      <c r="DN955" s="67" t="e">
        <f t="shared" si="1078"/>
        <v>#N/A</v>
      </c>
      <c r="DO955" s="45" t="e">
        <f t="shared" si="1079"/>
        <v>#N/A</v>
      </c>
      <c r="DP955" s="67" t="e">
        <f t="shared" si="1080"/>
        <v>#N/A</v>
      </c>
      <c r="DQ955" s="45" t="e">
        <f t="shared" si="1081"/>
        <v>#N/A</v>
      </c>
      <c r="DR955" s="69" t="e">
        <f t="shared" si="1082"/>
        <v>#N/A</v>
      </c>
      <c r="DS955" s="34"/>
      <c r="DT955" s="67" t="e">
        <f>((BX955*CJ955)+IF($W955=MAT_AR,(BZ955*CL955),0))*(1+Reference!$E$50+Reference!$E$51)</f>
        <v>#N/A</v>
      </c>
      <c r="DU955" s="67">
        <f>((BY955*CK955)+IF($W955=MAT_AR,(CA955*CM955),0))*(1+Reference!$G$50+Reference!$G$51)</f>
        <v>0</v>
      </c>
      <c r="DV955" s="67" t="e">
        <f t="shared" si="1083"/>
        <v>#VALUE!</v>
      </c>
      <c r="DX955" s="56">
        <v>941</v>
      </c>
      <c r="DY955" s="67">
        <f t="shared" si="1084"/>
        <v>0</v>
      </c>
      <c r="DZ955" s="45" t="e">
        <f>VLOOKUP($R955,Dropdown!$C$3:$D$4,2,FALSE)</f>
        <v>#N/A</v>
      </c>
      <c r="EA955" s="68">
        <f t="shared" si="1085"/>
        <v>0</v>
      </c>
      <c r="EB955" s="68" t="str">
        <f t="shared" si="1086"/>
        <v>N/A</v>
      </c>
      <c r="EC955" s="68">
        <f t="shared" si="1087"/>
        <v>0</v>
      </c>
      <c r="ED955" s="68" t="str">
        <f t="shared" si="1125"/>
        <v>N/A</v>
      </c>
      <c r="EF955" s="56">
        <v>941</v>
      </c>
      <c r="EG955" s="46">
        <f t="shared" si="1088"/>
        <v>0</v>
      </c>
      <c r="EH955" s="68" t="e">
        <f t="shared" si="1089"/>
        <v>#N/A</v>
      </c>
      <c r="EI955" s="68" t="e">
        <f t="shared" si="1090"/>
        <v>#N/A</v>
      </c>
      <c r="EJ955" s="68" t="e">
        <f t="shared" si="1091"/>
        <v>#N/A</v>
      </c>
      <c r="EK955" s="68" t="e">
        <f t="shared" si="1092"/>
        <v>#N/A</v>
      </c>
      <c r="EL955" s="46">
        <f t="shared" si="1093"/>
        <v>0</v>
      </c>
      <c r="EM955" s="46">
        <f t="shared" si="1094"/>
        <v>0</v>
      </c>
    </row>
    <row r="956" spans="1:143">
      <c r="A956" s="89"/>
      <c r="B956" s="89"/>
      <c r="C956" s="89"/>
      <c r="D956" s="89"/>
      <c r="E956" s="89"/>
      <c r="F956" s="89"/>
      <c r="G956" s="34"/>
      <c r="H956" s="56">
        <f t="shared" si="1095"/>
        <v>942</v>
      </c>
      <c r="I956" s="165"/>
      <c r="J956" s="163"/>
      <c r="K956" s="163"/>
      <c r="L956" s="164"/>
      <c r="M956" s="155"/>
      <c r="N956" s="155"/>
      <c r="O956" s="144"/>
      <c r="P956" s="159" t="str">
        <f>IFERROR(IF(O956&lt;&gt;"User Specified",IF(O956&lt;&gt;"", INDEX('Refrigerant GWPs'!$G$2:$G$154,MATCH(O956,'Refrigerant GWPs'!$A$2:$A$154,0)),""),U956),0)</f>
        <v/>
      </c>
      <c r="Q956" s="155"/>
      <c r="R956" s="155"/>
      <c r="S956" s="144"/>
      <c r="T956" s="159" t="str">
        <f>IF(S956&lt;&gt;"User Specified",IF(AND(S956&lt;&gt;"User Specified",S956&lt;&gt;""), INDEX('Refrigerant GWPs'!$G$2:$G$154,MATCH(S956,'Refrigerant GWPs'!$A$2:$A$154,0)),""),V956)</f>
        <v/>
      </c>
      <c r="U956" s="144"/>
      <c r="V956" s="144"/>
      <c r="W956" s="155"/>
      <c r="X956" s="155"/>
      <c r="Y956" s="144"/>
      <c r="Z956" s="159" t="str">
        <f>IF(AND(Y956&lt;&gt;"User Specified",Y956&lt;&gt;""), INDEX('Refrigerant GWPs'!$G$2:$G$154,MATCH(Y956,'Refrigerant GWPs'!$A$2:$A$154,0)),"")</f>
        <v/>
      </c>
      <c r="AA956" s="155"/>
      <c r="AB956" s="156"/>
      <c r="AC956" s="66"/>
      <c r="AD956" s="66"/>
      <c r="AE956" s="66"/>
      <c r="AF956" s="66"/>
      <c r="AG956" s="66"/>
      <c r="AH956" s="66"/>
      <c r="AI956" s="34"/>
      <c r="AJ956" s="88">
        <f t="shared" si="1058"/>
        <v>0</v>
      </c>
      <c r="AK956" s="88">
        <f t="shared" si="1059"/>
        <v>0</v>
      </c>
      <c r="AL956" s="88">
        <v>0</v>
      </c>
      <c r="AM956" s="88">
        <v>0</v>
      </c>
      <c r="AN956" s="81" t="str">
        <f t="shared" si="1097"/>
        <v/>
      </c>
      <c r="AO956" s="88">
        <f t="shared" si="1060"/>
        <v>0</v>
      </c>
      <c r="AP956" s="88">
        <f t="shared" si="1061"/>
        <v>0</v>
      </c>
      <c r="AQ956" s="81" t="str">
        <f t="shared" si="1062"/>
        <v/>
      </c>
      <c r="AS956" s="41" t="b">
        <f t="shared" si="1063"/>
        <v>1</v>
      </c>
      <c r="AT956" s="38">
        <f t="shared" si="1064"/>
        <v>0</v>
      </c>
      <c r="AU956" s="60">
        <f t="shared" si="1065"/>
        <v>0</v>
      </c>
      <c r="AV956" s="41">
        <f t="shared" si="1066"/>
        <v>0</v>
      </c>
      <c r="AW956" s="41" t="b">
        <f t="shared" si="1067"/>
        <v>0</v>
      </c>
      <c r="AX956" t="str">
        <f t="shared" si="1068"/>
        <v>+00</v>
      </c>
      <c r="AY956" t="str">
        <f t="shared" si="1069"/>
        <v>+00</v>
      </c>
      <c r="BA956" s="47" t="b">
        <f t="shared" si="1098"/>
        <v>1</v>
      </c>
      <c r="BB956" s="42" t="b">
        <f t="shared" si="1099"/>
        <v>1</v>
      </c>
      <c r="BC956" s="42" t="b">
        <f t="shared" si="1100"/>
        <v>0</v>
      </c>
      <c r="BD956" s="42" t="b">
        <f t="shared" si="1101"/>
        <v>0</v>
      </c>
      <c r="BE956" s="70">
        <f t="shared" si="1102"/>
        <v>0</v>
      </c>
      <c r="BF956" s="70">
        <f t="shared" si="1103"/>
        <v>0</v>
      </c>
      <c r="BG956" s="34"/>
      <c r="BI956" s="47" t="b">
        <f t="shared" si="1104"/>
        <v>1</v>
      </c>
      <c r="BJ956" s="47" t="b">
        <f t="shared" si="1105"/>
        <v>1</v>
      </c>
      <c r="BK956" s="42" t="b">
        <f t="shared" si="1106"/>
        <v>0</v>
      </c>
      <c r="BL956" s="42" t="b">
        <f t="shared" si="1107"/>
        <v>0</v>
      </c>
      <c r="BM956" s="42">
        <f t="shared" si="1108"/>
        <v>0</v>
      </c>
      <c r="BN956" s="42">
        <f t="shared" si="1109"/>
        <v>0</v>
      </c>
      <c r="BP956" t="e">
        <f t="shared" si="1110"/>
        <v>#N/A</v>
      </c>
      <c r="BQ956" t="e">
        <f t="shared" si="1111"/>
        <v>#N/A</v>
      </c>
      <c r="BR956" t="e">
        <f t="shared" si="1112"/>
        <v>#N/A</v>
      </c>
      <c r="BT956" s="60">
        <f t="shared" si="1113"/>
        <v>0</v>
      </c>
      <c r="BU956" s="60">
        <f t="shared" si="1114"/>
        <v>0</v>
      </c>
      <c r="BV956" s="60">
        <f t="shared" si="1115"/>
        <v>0</v>
      </c>
      <c r="BW956" s="60">
        <f t="shared" si="1116"/>
        <v>0</v>
      </c>
      <c r="BX956" s="60">
        <f t="shared" si="1117"/>
        <v>0</v>
      </c>
      <c r="BY956" s="60">
        <f t="shared" si="1118"/>
        <v>0</v>
      </c>
      <c r="BZ956" s="60">
        <f t="shared" si="1119"/>
        <v>0</v>
      </c>
      <c r="CA956" s="60">
        <f t="shared" si="1120"/>
        <v>0</v>
      </c>
      <c r="CB956" s="60" t="e">
        <f t="shared" si="1070"/>
        <v>#N/A</v>
      </c>
      <c r="CC956" s="60">
        <f t="shared" si="1071"/>
        <v>100000</v>
      </c>
      <c r="CD956" s="60" t="e">
        <f t="shared" si="1072"/>
        <v>#N/A</v>
      </c>
      <c r="CE956" s="60">
        <f t="shared" si="1073"/>
        <v>100000</v>
      </c>
      <c r="CF956" s="83" t="e">
        <f t="shared" si="1121"/>
        <v>#N/A</v>
      </c>
      <c r="CG956" s="83">
        <f t="shared" si="1122"/>
        <v>0</v>
      </c>
      <c r="CH956" s="83" t="e">
        <f t="shared" si="1123"/>
        <v>#N/A</v>
      </c>
      <c r="CI956" s="83">
        <f t="shared" si="1124"/>
        <v>0</v>
      </c>
      <c r="CJ956" s="86" t="e">
        <f t="shared" si="1074"/>
        <v>#N/A</v>
      </c>
      <c r="CK956" s="82">
        <f t="shared" si="1075"/>
        <v>5.3070370403969858E-3</v>
      </c>
      <c r="CL956" s="82" t="e">
        <f t="shared" si="1076"/>
        <v>#N/A</v>
      </c>
      <c r="CM956" s="82">
        <f t="shared" si="1077"/>
        <v>5.3070370403969858E-3</v>
      </c>
      <c r="CO956" s="149" t="str">
        <f>IF($I956&lt;&gt;"",IF(O956="User Specified",U956,INDEX('Refrigerant GWPs'!$G$2:$G$156,MATCH(O956,'Refrigerant GWPs'!$A$2:$A$156,0))),"")</f>
        <v/>
      </c>
      <c r="CP956" s="138" t="str">
        <f>IF($I956&lt;&gt;"",INDEX('Device Refrigerant Leakage'!$E$2:$E$42,MATCH($M956,'Device Refrigerant Leakage'!$B$2:$B$42,0)),"")</f>
        <v/>
      </c>
      <c r="CQ956" s="138" t="str">
        <f>IF($I956&lt;&gt;"",INDEX('Device Refrigerant Leakage'!$F$2:$F$42,MATCH($M956,'Device Refrigerant Leakage'!$B$2:$B$42,0)),"")</f>
        <v/>
      </c>
      <c r="CR956" s="145" t="str">
        <f>IF($I956&lt;&gt;"",INDEX('Device Refrigerant Leakage'!$G$2:$G$42,MATCH($M956,'Device Refrigerant Leakage'!$B$2:$B$42,0)),"")</f>
        <v/>
      </c>
      <c r="CS956" s="145" t="str">
        <f>IF($I956&lt;&gt;"",INDEX('Device Refrigerant Leakage'!$D$2:$D$42,MATCH($M956,'Device Refrigerant Leakage'!$B$2:$B$42,0))*CP956/2204.62*CO956,"")</f>
        <v/>
      </c>
      <c r="CT956" s="145" t="str">
        <f>IF($I956&lt;&gt;"",J956*(INDEX('Device Refrigerant Leakage'!$D$2:$D$42,MATCH($M956,'Device Refrigerant Leakage'!$B$2:$B$42,0))-(INDEX('Device Refrigerant Leakage'!$D$2:$D$42,MATCH($M956,'Device Refrigerant Leakage'!$B$2:$B$42,0)))*CR956*CP956)*CQ956/2204.62*CO956,"")</f>
        <v/>
      </c>
      <c r="CU956" s="135" t="str">
        <f>IF($I956&lt;&gt;"",J956*IF(W956&lt;&gt;"AR",(CS956*K956)+CT956,(CS956*AB956)+CT956*(AB956/INDEX('Device Refrigerant Leakage'!$C$2:$C$42,MATCH($M956,'Device Refrigerant Leakage'!$B$2:$B$42,0)))),"")</f>
        <v/>
      </c>
      <c r="CW956" s="135" t="str">
        <f>IF($I956&lt;&gt;"",IF(S956="User Specified",V956,INDEX('Refrigerant GWPs'!$G$2:$G$156,MATCH(S956,'Refrigerant GWPs'!$A$2:$A$157,0))),"")</f>
        <v/>
      </c>
      <c r="CX956" s="138" t="str">
        <f>IF($I956&lt;&gt;"",INDEX('Device Refrigerant Leakage'!$E$2:$E$42,MATCH($Q956,'Device Refrigerant Leakage'!$B$2:$B$42,0)),"")</f>
        <v/>
      </c>
      <c r="CY956" s="138" t="str">
        <f>IF($I956&lt;&gt;"",INDEX('Device Refrigerant Leakage'!$F$2:$F$42,MATCH($Q956,'Device Refrigerant Leakage'!$B$2:$B$42,0)),"")</f>
        <v/>
      </c>
      <c r="CZ956" s="145" t="str">
        <f>IF($I956&lt;&gt;"",INDEX('Device Refrigerant Leakage'!$G$2:$G$42,MATCH($Q956,'Device Refrigerant Leakage'!$B$2:$B$42,0)),"")</f>
        <v/>
      </c>
      <c r="DA956" s="145" t="str">
        <f>IF($I956&lt;&gt;"",J956*INDEX('Device Refrigerant Leakage'!$D$2:$D$42,MATCH($Q956,'Device Refrigerant Leakage'!$B$2:$B$42,0))*CX956/2204.62*CW956,"")</f>
        <v/>
      </c>
      <c r="DB956" s="145" t="str">
        <f>IF($I956&lt;&gt;"",J956*(INDEX('Device Refrigerant Leakage'!$D$2:$D$42,MATCH($Q956,'Device Refrigerant Leakage'!$B$2:$B$42,0))-(INDEX('Device Refrigerant Leakage'!$D$2:$D$42,MATCH($Q956,'Device Refrigerant Leakage'!$B$2:$B$42,0)))*CZ956*CX956)*CY956/2204.62*CW956,"")</f>
        <v/>
      </c>
      <c r="DC956" s="135" t="str">
        <f t="shared" si="1096"/>
        <v/>
      </c>
      <c r="DE956" s="146" t="str">
        <f>IF(W956&lt;&gt;"AR","",IF(Y956="User Specified", AA956, INDEX('Refrigerant GWPs'!$G$2:$G$154,MATCH(Y956,'Refrigerant GWPs'!$A$2:$A$154,0))))</f>
        <v/>
      </c>
      <c r="DF956" s="146" t="str">
        <f>IF(W956&lt;&gt;"AR","",INDEX('Device Refrigerant Leakage'!$E$2:$E$42,MATCH(X956,'Device Refrigerant Leakage'!$B$2:$B$42,0)))</f>
        <v/>
      </c>
      <c r="DG956" s="146" t="str">
        <f>IF(W956&lt;&gt;"AR","",INDEX('Device Refrigerant Leakage'!$F$2:$F$42,MATCH(X956,'Device Refrigerant Leakage'!$B$2:$B$42,0)))</f>
        <v/>
      </c>
      <c r="DH956" s="146" t="str">
        <f>IF(W956&lt;&gt;"AR","",INDEX('Device Refrigerant Leakage'!$G$2:$G$42,MATCH(X956,'Device Refrigerant Leakage'!$B$2:$B$42,0)))</f>
        <v/>
      </c>
      <c r="DI956" s="146" t="str">
        <f>IF(W956&lt;&gt;"AR","",J956*INDEX('Device Refrigerant Leakage'!$D$2:$D$42,MATCH(X956,'Device Refrigerant Leakage'!$B$2:$B$42,0))*DF956/2204.62*DE956)</f>
        <v/>
      </c>
      <c r="DJ956" s="146" t="str">
        <f>IF(W956&lt;&gt;"AR","",J956*(INDEX('Device Refrigerant Leakage'!$D$2:$D$42,MATCH(X956,'Device Refrigerant Leakage'!$B$2:$B$42,0))-(INDEX('Device Refrigerant Leakage'!$D$2:$D$42,MATCH(X956,'Device Refrigerant Leakage'!$B$2:$B$42,0)))*DH956*DF956)*DG956/2204.62*DE956)</f>
        <v/>
      </c>
      <c r="DK956" s="146" t="str">
        <f>IF(W956&lt;&gt;"AR","",DI956*(K956-AB956)+'Fuel Sub Calcs-Deemed'!DJ956*((K956-AB956)/INDEX('Device Refrigerant Leakage'!$C$2:$C$42,MATCH('Fuel Sub Calcs-Deemed'!X956,'Device Refrigerant Leakage'!$B$2:$B$42,0))))</f>
        <v/>
      </c>
      <c r="DM956" s="56">
        <v>942</v>
      </c>
      <c r="DN956" s="67" t="e">
        <f t="shared" si="1078"/>
        <v>#N/A</v>
      </c>
      <c r="DO956" s="45" t="e">
        <f t="shared" si="1079"/>
        <v>#N/A</v>
      </c>
      <c r="DP956" s="67" t="e">
        <f t="shared" si="1080"/>
        <v>#N/A</v>
      </c>
      <c r="DQ956" s="45" t="e">
        <f t="shared" si="1081"/>
        <v>#N/A</v>
      </c>
      <c r="DR956" s="69" t="e">
        <f t="shared" si="1082"/>
        <v>#N/A</v>
      </c>
      <c r="DS956" s="34"/>
      <c r="DT956" s="67" t="e">
        <f>((BX956*CJ956)+IF($W956=MAT_AR,(BZ956*CL956),0))*(1+Reference!$E$50+Reference!$E$51)</f>
        <v>#N/A</v>
      </c>
      <c r="DU956" s="67">
        <f>((BY956*CK956)+IF($W956=MAT_AR,(CA956*CM956),0))*(1+Reference!$G$50+Reference!$G$51)</f>
        <v>0</v>
      </c>
      <c r="DV956" s="67" t="e">
        <f t="shared" si="1083"/>
        <v>#VALUE!</v>
      </c>
      <c r="DX956" s="56">
        <v>942</v>
      </c>
      <c r="DY956" s="67">
        <f t="shared" si="1084"/>
        <v>0</v>
      </c>
      <c r="DZ956" s="45" t="e">
        <f>VLOOKUP($R956,Dropdown!$C$3:$D$4,2,FALSE)</f>
        <v>#N/A</v>
      </c>
      <c r="EA956" s="68">
        <f t="shared" si="1085"/>
        <v>0</v>
      </c>
      <c r="EB956" s="68" t="str">
        <f t="shared" si="1086"/>
        <v>N/A</v>
      </c>
      <c r="EC956" s="68">
        <f t="shared" si="1087"/>
        <v>0</v>
      </c>
      <c r="ED956" s="68" t="str">
        <f t="shared" si="1125"/>
        <v>N/A</v>
      </c>
      <c r="EF956" s="56">
        <v>942</v>
      </c>
      <c r="EG956" s="46">
        <f t="shared" si="1088"/>
        <v>0</v>
      </c>
      <c r="EH956" s="68" t="e">
        <f t="shared" si="1089"/>
        <v>#N/A</v>
      </c>
      <c r="EI956" s="68" t="e">
        <f t="shared" si="1090"/>
        <v>#N/A</v>
      </c>
      <c r="EJ956" s="68" t="e">
        <f t="shared" si="1091"/>
        <v>#N/A</v>
      </c>
      <c r="EK956" s="68" t="e">
        <f t="shared" si="1092"/>
        <v>#N/A</v>
      </c>
      <c r="EL956" s="46">
        <f t="shared" si="1093"/>
        <v>0</v>
      </c>
      <c r="EM956" s="46">
        <f t="shared" si="1094"/>
        <v>0</v>
      </c>
    </row>
    <row r="957" spans="1:143">
      <c r="A957" s="89"/>
      <c r="B957" s="89"/>
      <c r="C957" s="89"/>
      <c r="D957" s="89"/>
      <c r="E957" s="89"/>
      <c r="F957" s="89"/>
      <c r="G957" s="34"/>
      <c r="H957" s="56">
        <f t="shared" si="1095"/>
        <v>943</v>
      </c>
      <c r="I957" s="165"/>
      <c r="J957" s="163"/>
      <c r="K957" s="163"/>
      <c r="L957" s="164"/>
      <c r="M957" s="155"/>
      <c r="N957" s="155"/>
      <c r="O957" s="144"/>
      <c r="P957" s="159" t="str">
        <f>IFERROR(IF(O957&lt;&gt;"User Specified",IF(O957&lt;&gt;"", INDEX('Refrigerant GWPs'!$G$2:$G$154,MATCH(O957,'Refrigerant GWPs'!$A$2:$A$154,0)),""),U957),0)</f>
        <v/>
      </c>
      <c r="Q957" s="155"/>
      <c r="R957" s="155"/>
      <c r="S957" s="144"/>
      <c r="T957" s="159" t="str">
        <f>IF(S957&lt;&gt;"User Specified",IF(AND(S957&lt;&gt;"User Specified",S957&lt;&gt;""), INDEX('Refrigerant GWPs'!$G$2:$G$154,MATCH(S957,'Refrigerant GWPs'!$A$2:$A$154,0)),""),V957)</f>
        <v/>
      </c>
      <c r="U957" s="144"/>
      <c r="V957" s="144"/>
      <c r="W957" s="155"/>
      <c r="X957" s="155"/>
      <c r="Y957" s="144"/>
      <c r="Z957" s="159" t="str">
        <f>IF(AND(Y957&lt;&gt;"User Specified",Y957&lt;&gt;""), INDEX('Refrigerant GWPs'!$G$2:$G$154,MATCH(Y957,'Refrigerant GWPs'!$A$2:$A$154,0)),"")</f>
        <v/>
      </c>
      <c r="AA957" s="155"/>
      <c r="AB957" s="156"/>
      <c r="AC957" s="66"/>
      <c r="AD957" s="66"/>
      <c r="AE957" s="66"/>
      <c r="AF957" s="66"/>
      <c r="AG957" s="66"/>
      <c r="AH957" s="66"/>
      <c r="AI957" s="34"/>
      <c r="AJ957" s="88">
        <f t="shared" si="1058"/>
        <v>0</v>
      </c>
      <c r="AK957" s="88">
        <f t="shared" si="1059"/>
        <v>0</v>
      </c>
      <c r="AL957" s="88">
        <v>0</v>
      </c>
      <c r="AM957" s="88">
        <v>0</v>
      </c>
      <c r="AN957" s="81" t="str">
        <f t="shared" si="1097"/>
        <v/>
      </c>
      <c r="AO957" s="88">
        <f t="shared" si="1060"/>
        <v>0</v>
      </c>
      <c r="AP957" s="88">
        <f t="shared" si="1061"/>
        <v>0</v>
      </c>
      <c r="AQ957" s="81" t="str">
        <f t="shared" si="1062"/>
        <v/>
      </c>
      <c r="AS957" s="41" t="b">
        <f t="shared" si="1063"/>
        <v>1</v>
      </c>
      <c r="AT957" s="38">
        <f t="shared" si="1064"/>
        <v>0</v>
      </c>
      <c r="AU957" s="60">
        <f t="shared" si="1065"/>
        <v>0</v>
      </c>
      <c r="AV957" s="41">
        <f t="shared" si="1066"/>
        <v>0</v>
      </c>
      <c r="AW957" s="41" t="b">
        <f t="shared" si="1067"/>
        <v>0</v>
      </c>
      <c r="AX957" t="str">
        <f t="shared" si="1068"/>
        <v>+00</v>
      </c>
      <c r="AY957" t="str">
        <f t="shared" si="1069"/>
        <v>+00</v>
      </c>
      <c r="BA957" s="47" t="b">
        <f t="shared" si="1098"/>
        <v>1</v>
      </c>
      <c r="BB957" s="42" t="b">
        <f t="shared" si="1099"/>
        <v>1</v>
      </c>
      <c r="BC957" s="42" t="b">
        <f t="shared" si="1100"/>
        <v>0</v>
      </c>
      <c r="BD957" s="42" t="b">
        <f t="shared" si="1101"/>
        <v>0</v>
      </c>
      <c r="BE957" s="70">
        <f t="shared" si="1102"/>
        <v>0</v>
      </c>
      <c r="BF957" s="70">
        <f t="shared" si="1103"/>
        <v>0</v>
      </c>
      <c r="BG957" s="34"/>
      <c r="BI957" s="47" t="b">
        <f t="shared" si="1104"/>
        <v>1</v>
      </c>
      <c r="BJ957" s="47" t="b">
        <f t="shared" si="1105"/>
        <v>1</v>
      </c>
      <c r="BK957" s="42" t="b">
        <f t="shared" si="1106"/>
        <v>0</v>
      </c>
      <c r="BL957" s="42" t="b">
        <f t="shared" si="1107"/>
        <v>0</v>
      </c>
      <c r="BM957" s="42">
        <f t="shared" si="1108"/>
        <v>0</v>
      </c>
      <c r="BN957" s="42">
        <f t="shared" si="1109"/>
        <v>0</v>
      </c>
      <c r="BP957" t="e">
        <f t="shared" si="1110"/>
        <v>#N/A</v>
      </c>
      <c r="BQ957" t="e">
        <f t="shared" si="1111"/>
        <v>#N/A</v>
      </c>
      <c r="BR957" t="e">
        <f t="shared" si="1112"/>
        <v>#N/A</v>
      </c>
      <c r="BT957" s="60">
        <f t="shared" si="1113"/>
        <v>0</v>
      </c>
      <c r="BU957" s="60">
        <f t="shared" si="1114"/>
        <v>0</v>
      </c>
      <c r="BV957" s="60">
        <f t="shared" si="1115"/>
        <v>0</v>
      </c>
      <c r="BW957" s="60">
        <f t="shared" si="1116"/>
        <v>0</v>
      </c>
      <c r="BX957" s="60">
        <f t="shared" si="1117"/>
        <v>0</v>
      </c>
      <c r="BY957" s="60">
        <f t="shared" si="1118"/>
        <v>0</v>
      </c>
      <c r="BZ957" s="60">
        <f t="shared" si="1119"/>
        <v>0</v>
      </c>
      <c r="CA957" s="60">
        <f t="shared" si="1120"/>
        <v>0</v>
      </c>
      <c r="CB957" s="60" t="e">
        <f t="shared" si="1070"/>
        <v>#N/A</v>
      </c>
      <c r="CC957" s="60">
        <f t="shared" si="1071"/>
        <v>100000</v>
      </c>
      <c r="CD957" s="60" t="e">
        <f t="shared" si="1072"/>
        <v>#N/A</v>
      </c>
      <c r="CE957" s="60">
        <f t="shared" si="1073"/>
        <v>100000</v>
      </c>
      <c r="CF957" s="83" t="e">
        <f t="shared" si="1121"/>
        <v>#N/A</v>
      </c>
      <c r="CG957" s="83">
        <f t="shared" si="1122"/>
        <v>0</v>
      </c>
      <c r="CH957" s="83" t="e">
        <f t="shared" si="1123"/>
        <v>#N/A</v>
      </c>
      <c r="CI957" s="83">
        <f t="shared" si="1124"/>
        <v>0</v>
      </c>
      <c r="CJ957" s="86" t="e">
        <f t="shared" si="1074"/>
        <v>#N/A</v>
      </c>
      <c r="CK957" s="82">
        <f t="shared" si="1075"/>
        <v>5.3070370403969858E-3</v>
      </c>
      <c r="CL957" s="82" t="e">
        <f t="shared" si="1076"/>
        <v>#N/A</v>
      </c>
      <c r="CM957" s="82">
        <f t="shared" si="1077"/>
        <v>5.3070370403969858E-3</v>
      </c>
      <c r="CO957" s="149" t="str">
        <f>IF($I957&lt;&gt;"",IF(O957="User Specified",U957,INDEX('Refrigerant GWPs'!$G$2:$G$156,MATCH(O957,'Refrigerant GWPs'!$A$2:$A$156,0))),"")</f>
        <v/>
      </c>
      <c r="CP957" s="138" t="str">
        <f>IF($I957&lt;&gt;"",INDEX('Device Refrigerant Leakage'!$E$2:$E$42,MATCH($M957,'Device Refrigerant Leakage'!$B$2:$B$42,0)),"")</f>
        <v/>
      </c>
      <c r="CQ957" s="138" t="str">
        <f>IF($I957&lt;&gt;"",INDEX('Device Refrigerant Leakage'!$F$2:$F$42,MATCH($M957,'Device Refrigerant Leakage'!$B$2:$B$42,0)),"")</f>
        <v/>
      </c>
      <c r="CR957" s="145" t="str">
        <f>IF($I957&lt;&gt;"",INDEX('Device Refrigerant Leakage'!$G$2:$G$42,MATCH($M957,'Device Refrigerant Leakage'!$B$2:$B$42,0)),"")</f>
        <v/>
      </c>
      <c r="CS957" s="145" t="str">
        <f>IF($I957&lt;&gt;"",INDEX('Device Refrigerant Leakage'!$D$2:$D$42,MATCH($M957,'Device Refrigerant Leakage'!$B$2:$B$42,0))*CP957/2204.62*CO957,"")</f>
        <v/>
      </c>
      <c r="CT957" s="145" t="str">
        <f>IF($I957&lt;&gt;"",J957*(INDEX('Device Refrigerant Leakage'!$D$2:$D$42,MATCH($M957,'Device Refrigerant Leakage'!$B$2:$B$42,0))-(INDEX('Device Refrigerant Leakage'!$D$2:$D$42,MATCH($M957,'Device Refrigerant Leakage'!$B$2:$B$42,0)))*CR957*CP957)*CQ957/2204.62*CO957,"")</f>
        <v/>
      </c>
      <c r="CU957" s="135" t="str">
        <f>IF($I957&lt;&gt;"",J957*IF(W957&lt;&gt;"AR",(CS957*K957)+CT957,(CS957*AB957)+CT957*(AB957/INDEX('Device Refrigerant Leakage'!$C$2:$C$42,MATCH($M957,'Device Refrigerant Leakage'!$B$2:$B$42,0)))),"")</f>
        <v/>
      </c>
      <c r="CW957" s="135" t="str">
        <f>IF($I957&lt;&gt;"",IF(S957="User Specified",V957,INDEX('Refrigerant GWPs'!$G$2:$G$156,MATCH(S957,'Refrigerant GWPs'!$A$2:$A$157,0))),"")</f>
        <v/>
      </c>
      <c r="CX957" s="138" t="str">
        <f>IF($I957&lt;&gt;"",INDEX('Device Refrigerant Leakage'!$E$2:$E$42,MATCH($Q957,'Device Refrigerant Leakage'!$B$2:$B$42,0)),"")</f>
        <v/>
      </c>
      <c r="CY957" s="138" t="str">
        <f>IF($I957&lt;&gt;"",INDEX('Device Refrigerant Leakage'!$F$2:$F$42,MATCH($Q957,'Device Refrigerant Leakage'!$B$2:$B$42,0)),"")</f>
        <v/>
      </c>
      <c r="CZ957" s="145" t="str">
        <f>IF($I957&lt;&gt;"",INDEX('Device Refrigerant Leakage'!$G$2:$G$42,MATCH($Q957,'Device Refrigerant Leakage'!$B$2:$B$42,0)),"")</f>
        <v/>
      </c>
      <c r="DA957" s="145" t="str">
        <f>IF($I957&lt;&gt;"",J957*INDEX('Device Refrigerant Leakage'!$D$2:$D$42,MATCH($Q957,'Device Refrigerant Leakage'!$B$2:$B$42,0))*CX957/2204.62*CW957,"")</f>
        <v/>
      </c>
      <c r="DB957" s="145" t="str">
        <f>IF($I957&lt;&gt;"",J957*(INDEX('Device Refrigerant Leakage'!$D$2:$D$42,MATCH($Q957,'Device Refrigerant Leakage'!$B$2:$B$42,0))-(INDEX('Device Refrigerant Leakage'!$D$2:$D$42,MATCH($Q957,'Device Refrigerant Leakage'!$B$2:$B$42,0)))*CZ957*CX957)*CY957/2204.62*CW957,"")</f>
        <v/>
      </c>
      <c r="DC957" s="135" t="str">
        <f t="shared" si="1096"/>
        <v/>
      </c>
      <c r="DE957" s="146" t="str">
        <f>IF(W957&lt;&gt;"AR","",IF(Y957="User Specified", AA957, INDEX('Refrigerant GWPs'!$G$2:$G$154,MATCH(Y957,'Refrigerant GWPs'!$A$2:$A$154,0))))</f>
        <v/>
      </c>
      <c r="DF957" s="146" t="str">
        <f>IF(W957&lt;&gt;"AR","",INDEX('Device Refrigerant Leakage'!$E$2:$E$42,MATCH(X957,'Device Refrigerant Leakage'!$B$2:$B$42,0)))</f>
        <v/>
      </c>
      <c r="DG957" s="146" t="str">
        <f>IF(W957&lt;&gt;"AR","",INDEX('Device Refrigerant Leakage'!$F$2:$F$42,MATCH(X957,'Device Refrigerant Leakage'!$B$2:$B$42,0)))</f>
        <v/>
      </c>
      <c r="DH957" s="146" t="str">
        <f>IF(W957&lt;&gt;"AR","",INDEX('Device Refrigerant Leakage'!$G$2:$G$42,MATCH(X957,'Device Refrigerant Leakage'!$B$2:$B$42,0)))</f>
        <v/>
      </c>
      <c r="DI957" s="146" t="str">
        <f>IF(W957&lt;&gt;"AR","",J957*INDEX('Device Refrigerant Leakage'!$D$2:$D$42,MATCH(X957,'Device Refrigerant Leakage'!$B$2:$B$42,0))*DF957/2204.62*DE957)</f>
        <v/>
      </c>
      <c r="DJ957" s="146" t="str">
        <f>IF(W957&lt;&gt;"AR","",J957*(INDEX('Device Refrigerant Leakage'!$D$2:$D$42,MATCH(X957,'Device Refrigerant Leakage'!$B$2:$B$42,0))-(INDEX('Device Refrigerant Leakage'!$D$2:$D$42,MATCH(X957,'Device Refrigerant Leakage'!$B$2:$B$42,0)))*DH957*DF957)*DG957/2204.62*DE957)</f>
        <v/>
      </c>
      <c r="DK957" s="146" t="str">
        <f>IF(W957&lt;&gt;"AR","",DI957*(K957-AB957)+'Fuel Sub Calcs-Deemed'!DJ957*((K957-AB957)/INDEX('Device Refrigerant Leakage'!$C$2:$C$42,MATCH('Fuel Sub Calcs-Deemed'!X957,'Device Refrigerant Leakage'!$B$2:$B$42,0))))</f>
        <v/>
      </c>
      <c r="DM957" s="56">
        <v>943</v>
      </c>
      <c r="DN957" s="67" t="e">
        <f t="shared" si="1078"/>
        <v>#N/A</v>
      </c>
      <c r="DO957" s="45" t="e">
        <f t="shared" si="1079"/>
        <v>#N/A</v>
      </c>
      <c r="DP957" s="67" t="e">
        <f t="shared" si="1080"/>
        <v>#N/A</v>
      </c>
      <c r="DQ957" s="45" t="e">
        <f t="shared" si="1081"/>
        <v>#N/A</v>
      </c>
      <c r="DR957" s="69" t="e">
        <f t="shared" si="1082"/>
        <v>#N/A</v>
      </c>
      <c r="DS957" s="34"/>
      <c r="DT957" s="67" t="e">
        <f>((BX957*CJ957)+IF($W957=MAT_AR,(BZ957*CL957),0))*(1+Reference!$E$50+Reference!$E$51)</f>
        <v>#N/A</v>
      </c>
      <c r="DU957" s="67">
        <f>((BY957*CK957)+IF($W957=MAT_AR,(CA957*CM957),0))*(1+Reference!$G$50+Reference!$G$51)</f>
        <v>0</v>
      </c>
      <c r="DV957" s="67" t="e">
        <f t="shared" si="1083"/>
        <v>#VALUE!</v>
      </c>
      <c r="DX957" s="56">
        <v>943</v>
      </c>
      <c r="DY957" s="67">
        <f t="shared" si="1084"/>
        <v>0</v>
      </c>
      <c r="DZ957" s="45" t="e">
        <f>VLOOKUP($R957,Dropdown!$C$3:$D$4,2,FALSE)</f>
        <v>#N/A</v>
      </c>
      <c r="EA957" s="68">
        <f t="shared" si="1085"/>
        <v>0</v>
      </c>
      <c r="EB957" s="68" t="str">
        <f t="shared" si="1086"/>
        <v>N/A</v>
      </c>
      <c r="EC957" s="68">
        <f t="shared" si="1087"/>
        <v>0</v>
      </c>
      <c r="ED957" s="68" t="str">
        <f t="shared" si="1125"/>
        <v>N/A</v>
      </c>
      <c r="EF957" s="56">
        <v>943</v>
      </c>
      <c r="EG957" s="46">
        <f t="shared" si="1088"/>
        <v>0</v>
      </c>
      <c r="EH957" s="68" t="e">
        <f t="shared" si="1089"/>
        <v>#N/A</v>
      </c>
      <c r="EI957" s="68" t="e">
        <f t="shared" si="1090"/>
        <v>#N/A</v>
      </c>
      <c r="EJ957" s="68" t="e">
        <f t="shared" si="1091"/>
        <v>#N/A</v>
      </c>
      <c r="EK957" s="68" t="e">
        <f t="shared" si="1092"/>
        <v>#N/A</v>
      </c>
      <c r="EL957" s="46">
        <f t="shared" si="1093"/>
        <v>0</v>
      </c>
      <c r="EM957" s="46">
        <f t="shared" si="1094"/>
        <v>0</v>
      </c>
    </row>
    <row r="958" spans="1:143">
      <c r="A958" s="89"/>
      <c r="B958" s="89"/>
      <c r="C958" s="89"/>
      <c r="D958" s="89"/>
      <c r="E958" s="89"/>
      <c r="F958" s="89"/>
      <c r="G958" s="34"/>
      <c r="H958" s="56">
        <f t="shared" si="1095"/>
        <v>944</v>
      </c>
      <c r="I958" s="165"/>
      <c r="J958" s="163"/>
      <c r="K958" s="163"/>
      <c r="L958" s="164"/>
      <c r="M958" s="155"/>
      <c r="N958" s="155"/>
      <c r="O958" s="144"/>
      <c r="P958" s="159" t="str">
        <f>IFERROR(IF(O958&lt;&gt;"User Specified",IF(O958&lt;&gt;"", INDEX('Refrigerant GWPs'!$G$2:$G$154,MATCH(O958,'Refrigerant GWPs'!$A$2:$A$154,0)),""),U958),0)</f>
        <v/>
      </c>
      <c r="Q958" s="155"/>
      <c r="R958" s="155"/>
      <c r="S958" s="144"/>
      <c r="T958" s="159" t="str">
        <f>IF(S958&lt;&gt;"User Specified",IF(AND(S958&lt;&gt;"User Specified",S958&lt;&gt;""), INDEX('Refrigerant GWPs'!$G$2:$G$154,MATCH(S958,'Refrigerant GWPs'!$A$2:$A$154,0)),""),V958)</f>
        <v/>
      </c>
      <c r="U958" s="144"/>
      <c r="V958" s="144"/>
      <c r="W958" s="155"/>
      <c r="X958" s="155"/>
      <c r="Y958" s="144"/>
      <c r="Z958" s="159" t="str">
        <f>IF(AND(Y958&lt;&gt;"User Specified",Y958&lt;&gt;""), INDEX('Refrigerant GWPs'!$G$2:$G$154,MATCH(Y958,'Refrigerant GWPs'!$A$2:$A$154,0)),"")</f>
        <v/>
      </c>
      <c r="AA958" s="155"/>
      <c r="AB958" s="156"/>
      <c r="AC958" s="66"/>
      <c r="AD958" s="66"/>
      <c r="AE958" s="66"/>
      <c r="AF958" s="66"/>
      <c r="AG958" s="66"/>
      <c r="AH958" s="66"/>
      <c r="AI958" s="34"/>
      <c r="AJ958" s="88">
        <f t="shared" si="1058"/>
        <v>0</v>
      </c>
      <c r="AK958" s="88">
        <f t="shared" si="1059"/>
        <v>0</v>
      </c>
      <c r="AL958" s="88">
        <v>0</v>
      </c>
      <c r="AM958" s="88">
        <v>0</v>
      </c>
      <c r="AN958" s="81" t="str">
        <f t="shared" si="1097"/>
        <v/>
      </c>
      <c r="AO958" s="88">
        <f t="shared" si="1060"/>
        <v>0</v>
      </c>
      <c r="AP958" s="88">
        <f t="shared" si="1061"/>
        <v>0</v>
      </c>
      <c r="AQ958" s="81" t="str">
        <f t="shared" si="1062"/>
        <v/>
      </c>
      <c r="AS958" s="41" t="b">
        <f t="shared" si="1063"/>
        <v>1</v>
      </c>
      <c r="AT958" s="38">
        <f t="shared" si="1064"/>
        <v>0</v>
      </c>
      <c r="AU958" s="60">
        <f t="shared" si="1065"/>
        <v>0</v>
      </c>
      <c r="AV958" s="41">
        <f t="shared" si="1066"/>
        <v>0</v>
      </c>
      <c r="AW958" s="41" t="b">
        <f t="shared" si="1067"/>
        <v>0</v>
      </c>
      <c r="AX958" t="str">
        <f t="shared" si="1068"/>
        <v>+00</v>
      </c>
      <c r="AY958" t="str">
        <f t="shared" si="1069"/>
        <v>+00</v>
      </c>
      <c r="BA958" s="47" t="b">
        <f t="shared" si="1098"/>
        <v>1</v>
      </c>
      <c r="BB958" s="42" t="b">
        <f t="shared" si="1099"/>
        <v>1</v>
      </c>
      <c r="BC958" s="42" t="b">
        <f t="shared" si="1100"/>
        <v>0</v>
      </c>
      <c r="BD958" s="42" t="b">
        <f t="shared" si="1101"/>
        <v>0</v>
      </c>
      <c r="BE958" s="70">
        <f t="shared" si="1102"/>
        <v>0</v>
      </c>
      <c r="BF958" s="70">
        <f t="shared" si="1103"/>
        <v>0</v>
      </c>
      <c r="BG958" s="34"/>
      <c r="BI958" s="47" t="b">
        <f t="shared" si="1104"/>
        <v>1</v>
      </c>
      <c r="BJ958" s="47" t="b">
        <f t="shared" si="1105"/>
        <v>1</v>
      </c>
      <c r="BK958" s="42" t="b">
        <f t="shared" si="1106"/>
        <v>0</v>
      </c>
      <c r="BL958" s="42" t="b">
        <f t="shared" si="1107"/>
        <v>0</v>
      </c>
      <c r="BM958" s="42">
        <f t="shared" si="1108"/>
        <v>0</v>
      </c>
      <c r="BN958" s="42">
        <f t="shared" si="1109"/>
        <v>0</v>
      </c>
      <c r="BP958" t="e">
        <f t="shared" si="1110"/>
        <v>#N/A</v>
      </c>
      <c r="BQ958" t="e">
        <f t="shared" si="1111"/>
        <v>#N/A</v>
      </c>
      <c r="BR958" t="e">
        <f t="shared" si="1112"/>
        <v>#N/A</v>
      </c>
      <c r="BT958" s="60">
        <f t="shared" si="1113"/>
        <v>0</v>
      </c>
      <c r="BU958" s="60">
        <f t="shared" si="1114"/>
        <v>0</v>
      </c>
      <c r="BV958" s="60">
        <f t="shared" si="1115"/>
        <v>0</v>
      </c>
      <c r="BW958" s="60">
        <f t="shared" si="1116"/>
        <v>0</v>
      </c>
      <c r="BX958" s="60">
        <f t="shared" si="1117"/>
        <v>0</v>
      </c>
      <c r="BY958" s="60">
        <f t="shared" si="1118"/>
        <v>0</v>
      </c>
      <c r="BZ958" s="60">
        <f t="shared" si="1119"/>
        <v>0</v>
      </c>
      <c r="CA958" s="60">
        <f t="shared" si="1120"/>
        <v>0</v>
      </c>
      <c r="CB958" s="60" t="e">
        <f t="shared" si="1070"/>
        <v>#N/A</v>
      </c>
      <c r="CC958" s="60">
        <f t="shared" si="1071"/>
        <v>100000</v>
      </c>
      <c r="CD958" s="60" t="e">
        <f t="shared" si="1072"/>
        <v>#N/A</v>
      </c>
      <c r="CE958" s="60">
        <f t="shared" si="1073"/>
        <v>100000</v>
      </c>
      <c r="CF958" s="83" t="e">
        <f t="shared" si="1121"/>
        <v>#N/A</v>
      </c>
      <c r="CG958" s="83">
        <f t="shared" si="1122"/>
        <v>0</v>
      </c>
      <c r="CH958" s="83" t="e">
        <f t="shared" si="1123"/>
        <v>#N/A</v>
      </c>
      <c r="CI958" s="83">
        <f t="shared" si="1124"/>
        <v>0</v>
      </c>
      <c r="CJ958" s="86" t="e">
        <f t="shared" si="1074"/>
        <v>#N/A</v>
      </c>
      <c r="CK958" s="82">
        <f t="shared" si="1075"/>
        <v>5.3070370403969858E-3</v>
      </c>
      <c r="CL958" s="82" t="e">
        <f t="shared" si="1076"/>
        <v>#N/A</v>
      </c>
      <c r="CM958" s="82">
        <f t="shared" si="1077"/>
        <v>5.3070370403969858E-3</v>
      </c>
      <c r="CO958" s="149" t="str">
        <f>IF($I958&lt;&gt;"",IF(O958="User Specified",U958,INDEX('Refrigerant GWPs'!$G$2:$G$156,MATCH(O958,'Refrigerant GWPs'!$A$2:$A$156,0))),"")</f>
        <v/>
      </c>
      <c r="CP958" s="138" t="str">
        <f>IF($I958&lt;&gt;"",INDEX('Device Refrigerant Leakage'!$E$2:$E$42,MATCH($M958,'Device Refrigerant Leakage'!$B$2:$B$42,0)),"")</f>
        <v/>
      </c>
      <c r="CQ958" s="138" t="str">
        <f>IF($I958&lt;&gt;"",INDEX('Device Refrigerant Leakage'!$F$2:$F$42,MATCH($M958,'Device Refrigerant Leakage'!$B$2:$B$42,0)),"")</f>
        <v/>
      </c>
      <c r="CR958" s="145" t="str">
        <f>IF($I958&lt;&gt;"",INDEX('Device Refrigerant Leakage'!$G$2:$G$42,MATCH($M958,'Device Refrigerant Leakage'!$B$2:$B$42,0)),"")</f>
        <v/>
      </c>
      <c r="CS958" s="145" t="str">
        <f>IF($I958&lt;&gt;"",INDEX('Device Refrigerant Leakage'!$D$2:$D$42,MATCH($M958,'Device Refrigerant Leakage'!$B$2:$B$42,0))*CP958/2204.62*CO958,"")</f>
        <v/>
      </c>
      <c r="CT958" s="145" t="str">
        <f>IF($I958&lt;&gt;"",J958*(INDEX('Device Refrigerant Leakage'!$D$2:$D$42,MATCH($M958,'Device Refrigerant Leakage'!$B$2:$B$42,0))-(INDEX('Device Refrigerant Leakage'!$D$2:$D$42,MATCH($M958,'Device Refrigerant Leakage'!$B$2:$B$42,0)))*CR958*CP958)*CQ958/2204.62*CO958,"")</f>
        <v/>
      </c>
      <c r="CU958" s="135" t="str">
        <f>IF($I958&lt;&gt;"",J958*IF(W958&lt;&gt;"AR",(CS958*K958)+CT958,(CS958*AB958)+CT958*(AB958/INDEX('Device Refrigerant Leakage'!$C$2:$C$42,MATCH($M958,'Device Refrigerant Leakage'!$B$2:$B$42,0)))),"")</f>
        <v/>
      </c>
      <c r="CW958" s="135" t="str">
        <f>IF($I958&lt;&gt;"",IF(S958="User Specified",V958,INDEX('Refrigerant GWPs'!$G$2:$G$156,MATCH(S958,'Refrigerant GWPs'!$A$2:$A$157,0))),"")</f>
        <v/>
      </c>
      <c r="CX958" s="138" t="str">
        <f>IF($I958&lt;&gt;"",INDEX('Device Refrigerant Leakage'!$E$2:$E$42,MATCH($Q958,'Device Refrigerant Leakage'!$B$2:$B$42,0)),"")</f>
        <v/>
      </c>
      <c r="CY958" s="138" t="str">
        <f>IF($I958&lt;&gt;"",INDEX('Device Refrigerant Leakage'!$F$2:$F$42,MATCH($Q958,'Device Refrigerant Leakage'!$B$2:$B$42,0)),"")</f>
        <v/>
      </c>
      <c r="CZ958" s="145" t="str">
        <f>IF($I958&lt;&gt;"",INDEX('Device Refrigerant Leakage'!$G$2:$G$42,MATCH($Q958,'Device Refrigerant Leakage'!$B$2:$B$42,0)),"")</f>
        <v/>
      </c>
      <c r="DA958" s="145" t="str">
        <f>IF($I958&lt;&gt;"",J958*INDEX('Device Refrigerant Leakage'!$D$2:$D$42,MATCH($Q958,'Device Refrigerant Leakage'!$B$2:$B$42,0))*CX958/2204.62*CW958,"")</f>
        <v/>
      </c>
      <c r="DB958" s="145" t="str">
        <f>IF($I958&lt;&gt;"",J958*(INDEX('Device Refrigerant Leakage'!$D$2:$D$42,MATCH($Q958,'Device Refrigerant Leakage'!$B$2:$B$42,0))-(INDEX('Device Refrigerant Leakage'!$D$2:$D$42,MATCH($Q958,'Device Refrigerant Leakage'!$B$2:$B$42,0)))*CZ958*CX958)*CY958/2204.62*CW958,"")</f>
        <v/>
      </c>
      <c r="DC958" s="135" t="str">
        <f t="shared" si="1096"/>
        <v/>
      </c>
      <c r="DE958" s="146" t="str">
        <f>IF(W958&lt;&gt;"AR","",IF(Y958="User Specified", AA958, INDEX('Refrigerant GWPs'!$G$2:$G$154,MATCH(Y958,'Refrigerant GWPs'!$A$2:$A$154,0))))</f>
        <v/>
      </c>
      <c r="DF958" s="146" t="str">
        <f>IF(W958&lt;&gt;"AR","",INDEX('Device Refrigerant Leakage'!$E$2:$E$42,MATCH(X958,'Device Refrigerant Leakage'!$B$2:$B$42,0)))</f>
        <v/>
      </c>
      <c r="DG958" s="146" t="str">
        <f>IF(W958&lt;&gt;"AR","",INDEX('Device Refrigerant Leakage'!$F$2:$F$42,MATCH(X958,'Device Refrigerant Leakage'!$B$2:$B$42,0)))</f>
        <v/>
      </c>
      <c r="DH958" s="146" t="str">
        <f>IF(W958&lt;&gt;"AR","",INDEX('Device Refrigerant Leakage'!$G$2:$G$42,MATCH(X958,'Device Refrigerant Leakage'!$B$2:$B$42,0)))</f>
        <v/>
      </c>
      <c r="DI958" s="146" t="str">
        <f>IF(W958&lt;&gt;"AR","",J958*INDEX('Device Refrigerant Leakage'!$D$2:$D$42,MATCH(X958,'Device Refrigerant Leakage'!$B$2:$B$42,0))*DF958/2204.62*DE958)</f>
        <v/>
      </c>
      <c r="DJ958" s="146" t="str">
        <f>IF(W958&lt;&gt;"AR","",J958*(INDEX('Device Refrigerant Leakage'!$D$2:$D$42,MATCH(X958,'Device Refrigerant Leakage'!$B$2:$B$42,0))-(INDEX('Device Refrigerant Leakage'!$D$2:$D$42,MATCH(X958,'Device Refrigerant Leakage'!$B$2:$B$42,0)))*DH958*DF958)*DG958/2204.62*DE958)</f>
        <v/>
      </c>
      <c r="DK958" s="146" t="str">
        <f>IF(W958&lt;&gt;"AR","",DI958*(K958-AB958)+'Fuel Sub Calcs-Deemed'!DJ958*((K958-AB958)/INDEX('Device Refrigerant Leakage'!$C$2:$C$42,MATCH('Fuel Sub Calcs-Deemed'!X958,'Device Refrigerant Leakage'!$B$2:$B$42,0))))</f>
        <v/>
      </c>
      <c r="DM958" s="56">
        <v>944</v>
      </c>
      <c r="DN958" s="67" t="e">
        <f t="shared" si="1078"/>
        <v>#N/A</v>
      </c>
      <c r="DO958" s="45" t="e">
        <f t="shared" si="1079"/>
        <v>#N/A</v>
      </c>
      <c r="DP958" s="67" t="e">
        <f t="shared" si="1080"/>
        <v>#N/A</v>
      </c>
      <c r="DQ958" s="45" t="e">
        <f t="shared" si="1081"/>
        <v>#N/A</v>
      </c>
      <c r="DR958" s="69" t="e">
        <f t="shared" si="1082"/>
        <v>#N/A</v>
      </c>
      <c r="DS958" s="34"/>
      <c r="DT958" s="67" t="e">
        <f>((BX958*CJ958)+IF($W958=MAT_AR,(BZ958*CL958),0))*(1+Reference!$E$50+Reference!$E$51)</f>
        <v>#N/A</v>
      </c>
      <c r="DU958" s="67">
        <f>((BY958*CK958)+IF($W958=MAT_AR,(CA958*CM958),0))*(1+Reference!$G$50+Reference!$G$51)</f>
        <v>0</v>
      </c>
      <c r="DV958" s="67" t="e">
        <f t="shared" si="1083"/>
        <v>#VALUE!</v>
      </c>
      <c r="DX958" s="56">
        <v>944</v>
      </c>
      <c r="DY958" s="67">
        <f t="shared" si="1084"/>
        <v>0</v>
      </c>
      <c r="DZ958" s="45" t="e">
        <f>VLOOKUP($R958,Dropdown!$C$3:$D$4,2,FALSE)</f>
        <v>#N/A</v>
      </c>
      <c r="EA958" s="68">
        <f t="shared" si="1085"/>
        <v>0</v>
      </c>
      <c r="EB958" s="68" t="str">
        <f t="shared" si="1086"/>
        <v>N/A</v>
      </c>
      <c r="EC958" s="68">
        <f t="shared" si="1087"/>
        <v>0</v>
      </c>
      <c r="ED958" s="68" t="str">
        <f t="shared" si="1125"/>
        <v>N/A</v>
      </c>
      <c r="EF958" s="56">
        <v>944</v>
      </c>
      <c r="EG958" s="46">
        <f t="shared" si="1088"/>
        <v>0</v>
      </c>
      <c r="EH958" s="68" t="e">
        <f t="shared" si="1089"/>
        <v>#N/A</v>
      </c>
      <c r="EI958" s="68" t="e">
        <f t="shared" si="1090"/>
        <v>#N/A</v>
      </c>
      <c r="EJ958" s="68" t="e">
        <f t="shared" si="1091"/>
        <v>#N/A</v>
      </c>
      <c r="EK958" s="68" t="e">
        <f t="shared" si="1092"/>
        <v>#N/A</v>
      </c>
      <c r="EL958" s="46">
        <f t="shared" si="1093"/>
        <v>0</v>
      </c>
      <c r="EM958" s="46">
        <f t="shared" si="1094"/>
        <v>0</v>
      </c>
    </row>
    <row r="959" spans="1:143">
      <c r="A959" s="89"/>
      <c r="B959" s="89"/>
      <c r="C959" s="89"/>
      <c r="D959" s="89"/>
      <c r="E959" s="89"/>
      <c r="F959" s="89"/>
      <c r="G959" s="34"/>
      <c r="H959" s="56">
        <f t="shared" si="1095"/>
        <v>945</v>
      </c>
      <c r="I959" s="165"/>
      <c r="J959" s="163"/>
      <c r="K959" s="163"/>
      <c r="L959" s="164"/>
      <c r="M959" s="155"/>
      <c r="N959" s="155"/>
      <c r="O959" s="144"/>
      <c r="P959" s="159" t="str">
        <f>IFERROR(IF(O959&lt;&gt;"User Specified",IF(O959&lt;&gt;"", INDEX('Refrigerant GWPs'!$G$2:$G$154,MATCH(O959,'Refrigerant GWPs'!$A$2:$A$154,0)),""),U959),0)</f>
        <v/>
      </c>
      <c r="Q959" s="155"/>
      <c r="R959" s="155"/>
      <c r="S959" s="144"/>
      <c r="T959" s="159" t="str">
        <f>IF(S959&lt;&gt;"User Specified",IF(AND(S959&lt;&gt;"User Specified",S959&lt;&gt;""), INDEX('Refrigerant GWPs'!$G$2:$G$154,MATCH(S959,'Refrigerant GWPs'!$A$2:$A$154,0)),""),V959)</f>
        <v/>
      </c>
      <c r="U959" s="144"/>
      <c r="V959" s="144"/>
      <c r="W959" s="155"/>
      <c r="X959" s="155"/>
      <c r="Y959" s="144"/>
      <c r="Z959" s="159" t="str">
        <f>IF(AND(Y959&lt;&gt;"User Specified",Y959&lt;&gt;""), INDEX('Refrigerant GWPs'!$G$2:$G$154,MATCH(Y959,'Refrigerant GWPs'!$A$2:$A$154,0)),"")</f>
        <v/>
      </c>
      <c r="AA959" s="155"/>
      <c r="AB959" s="156"/>
      <c r="AC959" s="66"/>
      <c r="AD959" s="66"/>
      <c r="AE959" s="66"/>
      <c r="AF959" s="66"/>
      <c r="AG959" s="66"/>
      <c r="AH959" s="66"/>
      <c r="AI959" s="34"/>
      <c r="AJ959" s="88">
        <f t="shared" si="1058"/>
        <v>0</v>
      </c>
      <c r="AK959" s="88">
        <f t="shared" si="1059"/>
        <v>0</v>
      </c>
      <c r="AL959" s="88">
        <v>0</v>
      </c>
      <c r="AM959" s="88">
        <v>0</v>
      </c>
      <c r="AN959" s="81" t="str">
        <f t="shared" si="1097"/>
        <v/>
      </c>
      <c r="AO959" s="88">
        <f t="shared" si="1060"/>
        <v>0</v>
      </c>
      <c r="AP959" s="88">
        <f t="shared" si="1061"/>
        <v>0</v>
      </c>
      <c r="AQ959" s="81" t="str">
        <f t="shared" si="1062"/>
        <v/>
      </c>
      <c r="AS959" s="41" t="b">
        <f t="shared" si="1063"/>
        <v>1</v>
      </c>
      <c r="AT959" s="38">
        <f t="shared" si="1064"/>
        <v>0</v>
      </c>
      <c r="AU959" s="60">
        <f t="shared" si="1065"/>
        <v>0</v>
      </c>
      <c r="AV959" s="41">
        <f t="shared" si="1066"/>
        <v>0</v>
      </c>
      <c r="AW959" s="41" t="b">
        <f t="shared" si="1067"/>
        <v>0</v>
      </c>
      <c r="AX959" t="str">
        <f t="shared" si="1068"/>
        <v>+00</v>
      </c>
      <c r="AY959" t="str">
        <f t="shared" si="1069"/>
        <v>+00</v>
      </c>
      <c r="BA959" s="47" t="b">
        <f t="shared" si="1098"/>
        <v>1</v>
      </c>
      <c r="BB959" s="42" t="b">
        <f t="shared" si="1099"/>
        <v>1</v>
      </c>
      <c r="BC959" s="42" t="b">
        <f t="shared" si="1100"/>
        <v>0</v>
      </c>
      <c r="BD959" s="42" t="b">
        <f t="shared" si="1101"/>
        <v>0</v>
      </c>
      <c r="BE959" s="70">
        <f t="shared" si="1102"/>
        <v>0</v>
      </c>
      <c r="BF959" s="70">
        <f t="shared" si="1103"/>
        <v>0</v>
      </c>
      <c r="BG959" s="34"/>
      <c r="BI959" s="47" t="b">
        <f t="shared" si="1104"/>
        <v>1</v>
      </c>
      <c r="BJ959" s="47" t="b">
        <f t="shared" si="1105"/>
        <v>1</v>
      </c>
      <c r="BK959" s="42" t="b">
        <f t="shared" si="1106"/>
        <v>0</v>
      </c>
      <c r="BL959" s="42" t="b">
        <f t="shared" si="1107"/>
        <v>0</v>
      </c>
      <c r="BM959" s="42">
        <f t="shared" si="1108"/>
        <v>0</v>
      </c>
      <c r="BN959" s="42">
        <f t="shared" si="1109"/>
        <v>0</v>
      </c>
      <c r="BP959" t="e">
        <f t="shared" si="1110"/>
        <v>#N/A</v>
      </c>
      <c r="BQ959" t="e">
        <f t="shared" si="1111"/>
        <v>#N/A</v>
      </c>
      <c r="BR959" t="e">
        <f t="shared" si="1112"/>
        <v>#N/A</v>
      </c>
      <c r="BT959" s="60">
        <f t="shared" si="1113"/>
        <v>0</v>
      </c>
      <c r="BU959" s="60">
        <f t="shared" si="1114"/>
        <v>0</v>
      </c>
      <c r="BV959" s="60">
        <f t="shared" si="1115"/>
        <v>0</v>
      </c>
      <c r="BW959" s="60">
        <f t="shared" si="1116"/>
        <v>0</v>
      </c>
      <c r="BX959" s="60">
        <f t="shared" si="1117"/>
        <v>0</v>
      </c>
      <c r="BY959" s="60">
        <f t="shared" si="1118"/>
        <v>0</v>
      </c>
      <c r="BZ959" s="60">
        <f t="shared" si="1119"/>
        <v>0</v>
      </c>
      <c r="CA959" s="60">
        <f t="shared" si="1120"/>
        <v>0</v>
      </c>
      <c r="CB959" s="60" t="e">
        <f t="shared" si="1070"/>
        <v>#N/A</v>
      </c>
      <c r="CC959" s="60">
        <f t="shared" si="1071"/>
        <v>100000</v>
      </c>
      <c r="CD959" s="60" t="e">
        <f t="shared" si="1072"/>
        <v>#N/A</v>
      </c>
      <c r="CE959" s="60">
        <f t="shared" si="1073"/>
        <v>100000</v>
      </c>
      <c r="CF959" s="83" t="e">
        <f t="shared" si="1121"/>
        <v>#N/A</v>
      </c>
      <c r="CG959" s="83">
        <f t="shared" si="1122"/>
        <v>0</v>
      </c>
      <c r="CH959" s="83" t="e">
        <f t="shared" si="1123"/>
        <v>#N/A</v>
      </c>
      <c r="CI959" s="83">
        <f t="shared" si="1124"/>
        <v>0</v>
      </c>
      <c r="CJ959" s="86" t="e">
        <f t="shared" si="1074"/>
        <v>#N/A</v>
      </c>
      <c r="CK959" s="82">
        <f t="shared" si="1075"/>
        <v>5.3070370403969858E-3</v>
      </c>
      <c r="CL959" s="82" t="e">
        <f t="shared" si="1076"/>
        <v>#N/A</v>
      </c>
      <c r="CM959" s="82">
        <f t="shared" si="1077"/>
        <v>5.3070370403969858E-3</v>
      </c>
      <c r="CO959" s="149" t="str">
        <f>IF($I959&lt;&gt;"",IF(O959="User Specified",U959,INDEX('Refrigerant GWPs'!$G$2:$G$156,MATCH(O959,'Refrigerant GWPs'!$A$2:$A$156,0))),"")</f>
        <v/>
      </c>
      <c r="CP959" s="138" t="str">
        <f>IF($I959&lt;&gt;"",INDEX('Device Refrigerant Leakage'!$E$2:$E$42,MATCH($M959,'Device Refrigerant Leakage'!$B$2:$B$42,0)),"")</f>
        <v/>
      </c>
      <c r="CQ959" s="138" t="str">
        <f>IF($I959&lt;&gt;"",INDEX('Device Refrigerant Leakage'!$F$2:$F$42,MATCH($M959,'Device Refrigerant Leakage'!$B$2:$B$42,0)),"")</f>
        <v/>
      </c>
      <c r="CR959" s="145" t="str">
        <f>IF($I959&lt;&gt;"",INDEX('Device Refrigerant Leakage'!$G$2:$G$42,MATCH($M959,'Device Refrigerant Leakage'!$B$2:$B$42,0)),"")</f>
        <v/>
      </c>
      <c r="CS959" s="145" t="str">
        <f>IF($I959&lt;&gt;"",INDEX('Device Refrigerant Leakage'!$D$2:$D$42,MATCH($M959,'Device Refrigerant Leakage'!$B$2:$B$42,0))*CP959/2204.62*CO959,"")</f>
        <v/>
      </c>
      <c r="CT959" s="145" t="str">
        <f>IF($I959&lt;&gt;"",J959*(INDEX('Device Refrigerant Leakage'!$D$2:$D$42,MATCH($M959,'Device Refrigerant Leakage'!$B$2:$B$42,0))-(INDEX('Device Refrigerant Leakage'!$D$2:$D$42,MATCH($M959,'Device Refrigerant Leakage'!$B$2:$B$42,0)))*CR959*CP959)*CQ959/2204.62*CO959,"")</f>
        <v/>
      </c>
      <c r="CU959" s="135" t="str">
        <f>IF($I959&lt;&gt;"",J959*IF(W959&lt;&gt;"AR",(CS959*K959)+CT959,(CS959*AB959)+CT959*(AB959/INDEX('Device Refrigerant Leakage'!$C$2:$C$42,MATCH($M959,'Device Refrigerant Leakage'!$B$2:$B$42,0)))),"")</f>
        <v/>
      </c>
      <c r="CW959" s="135" t="str">
        <f>IF($I959&lt;&gt;"",IF(S959="User Specified",V959,INDEX('Refrigerant GWPs'!$G$2:$G$156,MATCH(S959,'Refrigerant GWPs'!$A$2:$A$157,0))),"")</f>
        <v/>
      </c>
      <c r="CX959" s="138" t="str">
        <f>IF($I959&lt;&gt;"",INDEX('Device Refrigerant Leakage'!$E$2:$E$42,MATCH($Q959,'Device Refrigerant Leakage'!$B$2:$B$42,0)),"")</f>
        <v/>
      </c>
      <c r="CY959" s="138" t="str">
        <f>IF($I959&lt;&gt;"",INDEX('Device Refrigerant Leakage'!$F$2:$F$42,MATCH($Q959,'Device Refrigerant Leakage'!$B$2:$B$42,0)),"")</f>
        <v/>
      </c>
      <c r="CZ959" s="145" t="str">
        <f>IF($I959&lt;&gt;"",INDEX('Device Refrigerant Leakage'!$G$2:$G$42,MATCH($Q959,'Device Refrigerant Leakage'!$B$2:$B$42,0)),"")</f>
        <v/>
      </c>
      <c r="DA959" s="145" t="str">
        <f>IF($I959&lt;&gt;"",J959*INDEX('Device Refrigerant Leakage'!$D$2:$D$42,MATCH($Q959,'Device Refrigerant Leakage'!$B$2:$B$42,0))*CX959/2204.62*CW959,"")</f>
        <v/>
      </c>
      <c r="DB959" s="145" t="str">
        <f>IF($I959&lt;&gt;"",J959*(INDEX('Device Refrigerant Leakage'!$D$2:$D$42,MATCH($Q959,'Device Refrigerant Leakage'!$B$2:$B$42,0))-(INDEX('Device Refrigerant Leakage'!$D$2:$D$42,MATCH($Q959,'Device Refrigerant Leakage'!$B$2:$B$42,0)))*CZ959*CX959)*CY959/2204.62*CW959,"")</f>
        <v/>
      </c>
      <c r="DC959" s="135" t="str">
        <f t="shared" si="1096"/>
        <v/>
      </c>
      <c r="DE959" s="146" t="str">
        <f>IF(W959&lt;&gt;"AR","",IF(Y959="User Specified", AA959, INDEX('Refrigerant GWPs'!$G$2:$G$154,MATCH(Y959,'Refrigerant GWPs'!$A$2:$A$154,0))))</f>
        <v/>
      </c>
      <c r="DF959" s="146" t="str">
        <f>IF(W959&lt;&gt;"AR","",INDEX('Device Refrigerant Leakage'!$E$2:$E$42,MATCH(X959,'Device Refrigerant Leakage'!$B$2:$B$42,0)))</f>
        <v/>
      </c>
      <c r="DG959" s="146" t="str">
        <f>IF(W959&lt;&gt;"AR","",INDEX('Device Refrigerant Leakage'!$F$2:$F$42,MATCH(X959,'Device Refrigerant Leakage'!$B$2:$B$42,0)))</f>
        <v/>
      </c>
      <c r="DH959" s="146" t="str">
        <f>IF(W959&lt;&gt;"AR","",INDEX('Device Refrigerant Leakage'!$G$2:$G$42,MATCH(X959,'Device Refrigerant Leakage'!$B$2:$B$42,0)))</f>
        <v/>
      </c>
      <c r="DI959" s="146" t="str">
        <f>IF(W959&lt;&gt;"AR","",J959*INDEX('Device Refrigerant Leakage'!$D$2:$D$42,MATCH(X959,'Device Refrigerant Leakage'!$B$2:$B$42,0))*DF959/2204.62*DE959)</f>
        <v/>
      </c>
      <c r="DJ959" s="146" t="str">
        <f>IF(W959&lt;&gt;"AR","",J959*(INDEX('Device Refrigerant Leakage'!$D$2:$D$42,MATCH(X959,'Device Refrigerant Leakage'!$B$2:$B$42,0))-(INDEX('Device Refrigerant Leakage'!$D$2:$D$42,MATCH(X959,'Device Refrigerant Leakage'!$B$2:$B$42,0)))*DH959*DF959)*DG959/2204.62*DE959)</f>
        <v/>
      </c>
      <c r="DK959" s="146" t="str">
        <f>IF(W959&lt;&gt;"AR","",DI959*(K959-AB959)+'Fuel Sub Calcs-Deemed'!DJ959*((K959-AB959)/INDEX('Device Refrigerant Leakage'!$C$2:$C$42,MATCH('Fuel Sub Calcs-Deemed'!X959,'Device Refrigerant Leakage'!$B$2:$B$42,0))))</f>
        <v/>
      </c>
      <c r="DM959" s="56">
        <v>945</v>
      </c>
      <c r="DN959" s="67" t="e">
        <f t="shared" si="1078"/>
        <v>#N/A</v>
      </c>
      <c r="DO959" s="45" t="e">
        <f t="shared" si="1079"/>
        <v>#N/A</v>
      </c>
      <c r="DP959" s="67" t="e">
        <f t="shared" si="1080"/>
        <v>#N/A</v>
      </c>
      <c r="DQ959" s="45" t="e">
        <f t="shared" si="1081"/>
        <v>#N/A</v>
      </c>
      <c r="DR959" s="69" t="e">
        <f t="shared" si="1082"/>
        <v>#N/A</v>
      </c>
      <c r="DS959" s="34"/>
      <c r="DT959" s="67" t="e">
        <f>((BX959*CJ959)+IF($W959=MAT_AR,(BZ959*CL959),0))*(1+Reference!$E$50+Reference!$E$51)</f>
        <v>#N/A</v>
      </c>
      <c r="DU959" s="67">
        <f>((BY959*CK959)+IF($W959=MAT_AR,(CA959*CM959),0))*(1+Reference!$G$50+Reference!$G$51)</f>
        <v>0</v>
      </c>
      <c r="DV959" s="67" t="e">
        <f t="shared" si="1083"/>
        <v>#VALUE!</v>
      </c>
      <c r="DX959" s="56">
        <v>945</v>
      </c>
      <c r="DY959" s="67">
        <f t="shared" si="1084"/>
        <v>0</v>
      </c>
      <c r="DZ959" s="45" t="e">
        <f>VLOOKUP($R959,Dropdown!$C$3:$D$4,2,FALSE)</f>
        <v>#N/A</v>
      </c>
      <c r="EA959" s="68">
        <f t="shared" si="1085"/>
        <v>0</v>
      </c>
      <c r="EB959" s="68" t="str">
        <f t="shared" si="1086"/>
        <v>N/A</v>
      </c>
      <c r="EC959" s="68">
        <f t="shared" si="1087"/>
        <v>0</v>
      </c>
      <c r="ED959" s="68" t="str">
        <f t="shared" si="1125"/>
        <v>N/A</v>
      </c>
      <c r="EF959" s="56">
        <v>945</v>
      </c>
      <c r="EG959" s="46">
        <f t="shared" si="1088"/>
        <v>0</v>
      </c>
      <c r="EH959" s="68" t="e">
        <f t="shared" si="1089"/>
        <v>#N/A</v>
      </c>
      <c r="EI959" s="68" t="e">
        <f t="shared" si="1090"/>
        <v>#N/A</v>
      </c>
      <c r="EJ959" s="68" t="e">
        <f t="shared" si="1091"/>
        <v>#N/A</v>
      </c>
      <c r="EK959" s="68" t="e">
        <f t="shared" si="1092"/>
        <v>#N/A</v>
      </c>
      <c r="EL959" s="46">
        <f t="shared" si="1093"/>
        <v>0</v>
      </c>
      <c r="EM959" s="46">
        <f t="shared" si="1094"/>
        <v>0</v>
      </c>
    </row>
    <row r="960" spans="1:143">
      <c r="A960" s="89"/>
      <c r="B960" s="89"/>
      <c r="C960" s="89"/>
      <c r="D960" s="89"/>
      <c r="E960" s="89"/>
      <c r="F960" s="89"/>
      <c r="G960" s="34"/>
      <c r="H960" s="56">
        <f t="shared" si="1095"/>
        <v>946</v>
      </c>
      <c r="I960" s="165"/>
      <c r="J960" s="163"/>
      <c r="K960" s="163"/>
      <c r="L960" s="164"/>
      <c r="M960" s="155"/>
      <c r="N960" s="155"/>
      <c r="O960" s="144"/>
      <c r="P960" s="159" t="str">
        <f>IFERROR(IF(O960&lt;&gt;"User Specified",IF(O960&lt;&gt;"", INDEX('Refrigerant GWPs'!$G$2:$G$154,MATCH(O960,'Refrigerant GWPs'!$A$2:$A$154,0)),""),U960),0)</f>
        <v/>
      </c>
      <c r="Q960" s="155"/>
      <c r="R960" s="155"/>
      <c r="S960" s="144"/>
      <c r="T960" s="159" t="str">
        <f>IF(S960&lt;&gt;"User Specified",IF(AND(S960&lt;&gt;"User Specified",S960&lt;&gt;""), INDEX('Refrigerant GWPs'!$G$2:$G$154,MATCH(S960,'Refrigerant GWPs'!$A$2:$A$154,0)),""),V960)</f>
        <v/>
      </c>
      <c r="U960" s="144"/>
      <c r="V960" s="144"/>
      <c r="W960" s="155"/>
      <c r="X960" s="155"/>
      <c r="Y960" s="144"/>
      <c r="Z960" s="159" t="str">
        <f>IF(AND(Y960&lt;&gt;"User Specified",Y960&lt;&gt;""), INDEX('Refrigerant GWPs'!$G$2:$G$154,MATCH(Y960,'Refrigerant GWPs'!$A$2:$A$154,0)),"")</f>
        <v/>
      </c>
      <c r="AA960" s="155"/>
      <c r="AB960" s="156"/>
      <c r="AC960" s="66"/>
      <c r="AD960" s="66"/>
      <c r="AE960" s="66"/>
      <c r="AF960" s="66"/>
      <c r="AG960" s="66"/>
      <c r="AH960" s="66"/>
      <c r="AI960" s="34"/>
      <c r="AJ960" s="88">
        <f t="shared" si="1058"/>
        <v>0</v>
      </c>
      <c r="AK960" s="88">
        <f t="shared" si="1059"/>
        <v>0</v>
      </c>
      <c r="AL960" s="88">
        <v>0</v>
      </c>
      <c r="AM960" s="88">
        <v>0</v>
      </c>
      <c r="AN960" s="81" t="str">
        <f t="shared" si="1097"/>
        <v/>
      </c>
      <c r="AO960" s="88">
        <f t="shared" si="1060"/>
        <v>0</v>
      </c>
      <c r="AP960" s="88">
        <f t="shared" si="1061"/>
        <v>0</v>
      </c>
      <c r="AQ960" s="81" t="str">
        <f t="shared" si="1062"/>
        <v/>
      </c>
      <c r="AS960" s="41" t="b">
        <f t="shared" si="1063"/>
        <v>1</v>
      </c>
      <c r="AT960" s="38">
        <f t="shared" si="1064"/>
        <v>0</v>
      </c>
      <c r="AU960" s="60">
        <f t="shared" si="1065"/>
        <v>0</v>
      </c>
      <c r="AV960" s="41">
        <f t="shared" si="1066"/>
        <v>0</v>
      </c>
      <c r="AW960" s="41" t="b">
        <f t="shared" si="1067"/>
        <v>0</v>
      </c>
      <c r="AX960" t="str">
        <f t="shared" si="1068"/>
        <v>+00</v>
      </c>
      <c r="AY960" t="str">
        <f t="shared" si="1069"/>
        <v>+00</v>
      </c>
      <c r="BA960" s="47" t="b">
        <f t="shared" si="1098"/>
        <v>1</v>
      </c>
      <c r="BB960" s="42" t="b">
        <f t="shared" si="1099"/>
        <v>1</v>
      </c>
      <c r="BC960" s="42" t="b">
        <f t="shared" si="1100"/>
        <v>0</v>
      </c>
      <c r="BD960" s="42" t="b">
        <f t="shared" si="1101"/>
        <v>0</v>
      </c>
      <c r="BE960" s="70">
        <f t="shared" si="1102"/>
        <v>0</v>
      </c>
      <c r="BF960" s="70">
        <f t="shared" si="1103"/>
        <v>0</v>
      </c>
      <c r="BG960" s="34"/>
      <c r="BI960" s="47" t="b">
        <f t="shared" si="1104"/>
        <v>1</v>
      </c>
      <c r="BJ960" s="47" t="b">
        <f t="shared" si="1105"/>
        <v>1</v>
      </c>
      <c r="BK960" s="42" t="b">
        <f t="shared" si="1106"/>
        <v>0</v>
      </c>
      <c r="BL960" s="42" t="b">
        <f t="shared" si="1107"/>
        <v>0</v>
      </c>
      <c r="BM960" s="42">
        <f t="shared" si="1108"/>
        <v>0</v>
      </c>
      <c r="BN960" s="42">
        <f t="shared" si="1109"/>
        <v>0</v>
      </c>
      <c r="BP960" t="e">
        <f t="shared" si="1110"/>
        <v>#N/A</v>
      </c>
      <c r="BQ960" t="e">
        <f t="shared" si="1111"/>
        <v>#N/A</v>
      </c>
      <c r="BR960" t="e">
        <f t="shared" si="1112"/>
        <v>#N/A</v>
      </c>
      <c r="BT960" s="60">
        <f t="shared" si="1113"/>
        <v>0</v>
      </c>
      <c r="BU960" s="60">
        <f t="shared" si="1114"/>
        <v>0</v>
      </c>
      <c r="BV960" s="60">
        <f t="shared" si="1115"/>
        <v>0</v>
      </c>
      <c r="BW960" s="60">
        <f t="shared" si="1116"/>
        <v>0</v>
      </c>
      <c r="BX960" s="60">
        <f t="shared" si="1117"/>
        <v>0</v>
      </c>
      <c r="BY960" s="60">
        <f t="shared" si="1118"/>
        <v>0</v>
      </c>
      <c r="BZ960" s="60">
        <f t="shared" si="1119"/>
        <v>0</v>
      </c>
      <c r="CA960" s="60">
        <f t="shared" si="1120"/>
        <v>0</v>
      </c>
      <c r="CB960" s="60" t="e">
        <f t="shared" si="1070"/>
        <v>#N/A</v>
      </c>
      <c r="CC960" s="60">
        <f t="shared" si="1071"/>
        <v>100000</v>
      </c>
      <c r="CD960" s="60" t="e">
        <f t="shared" si="1072"/>
        <v>#N/A</v>
      </c>
      <c r="CE960" s="60">
        <f t="shared" si="1073"/>
        <v>100000</v>
      </c>
      <c r="CF960" s="83" t="e">
        <f t="shared" si="1121"/>
        <v>#N/A</v>
      </c>
      <c r="CG960" s="83">
        <f t="shared" si="1122"/>
        <v>0</v>
      </c>
      <c r="CH960" s="83" t="e">
        <f t="shared" si="1123"/>
        <v>#N/A</v>
      </c>
      <c r="CI960" s="83">
        <f t="shared" si="1124"/>
        <v>0</v>
      </c>
      <c r="CJ960" s="86" t="e">
        <f t="shared" si="1074"/>
        <v>#N/A</v>
      </c>
      <c r="CK960" s="82">
        <f t="shared" si="1075"/>
        <v>5.3070370403969858E-3</v>
      </c>
      <c r="CL960" s="82" t="e">
        <f t="shared" si="1076"/>
        <v>#N/A</v>
      </c>
      <c r="CM960" s="82">
        <f t="shared" si="1077"/>
        <v>5.3070370403969858E-3</v>
      </c>
      <c r="CO960" s="149" t="str">
        <f>IF($I960&lt;&gt;"",IF(O960="User Specified",U960,INDEX('Refrigerant GWPs'!$G$2:$G$156,MATCH(O960,'Refrigerant GWPs'!$A$2:$A$156,0))),"")</f>
        <v/>
      </c>
      <c r="CP960" s="138" t="str">
        <f>IF($I960&lt;&gt;"",INDEX('Device Refrigerant Leakage'!$E$2:$E$42,MATCH($M960,'Device Refrigerant Leakage'!$B$2:$B$42,0)),"")</f>
        <v/>
      </c>
      <c r="CQ960" s="138" t="str">
        <f>IF($I960&lt;&gt;"",INDEX('Device Refrigerant Leakage'!$F$2:$F$42,MATCH($M960,'Device Refrigerant Leakage'!$B$2:$B$42,0)),"")</f>
        <v/>
      </c>
      <c r="CR960" s="145" t="str">
        <f>IF($I960&lt;&gt;"",INDEX('Device Refrigerant Leakage'!$G$2:$G$42,MATCH($M960,'Device Refrigerant Leakage'!$B$2:$B$42,0)),"")</f>
        <v/>
      </c>
      <c r="CS960" s="145" t="str">
        <f>IF($I960&lt;&gt;"",INDEX('Device Refrigerant Leakage'!$D$2:$D$42,MATCH($M960,'Device Refrigerant Leakage'!$B$2:$B$42,0))*CP960/2204.62*CO960,"")</f>
        <v/>
      </c>
      <c r="CT960" s="145" t="str">
        <f>IF($I960&lt;&gt;"",J960*(INDEX('Device Refrigerant Leakage'!$D$2:$D$42,MATCH($M960,'Device Refrigerant Leakage'!$B$2:$B$42,0))-(INDEX('Device Refrigerant Leakage'!$D$2:$D$42,MATCH($M960,'Device Refrigerant Leakage'!$B$2:$B$42,0)))*CR960*CP960)*CQ960/2204.62*CO960,"")</f>
        <v/>
      </c>
      <c r="CU960" s="135" t="str">
        <f>IF($I960&lt;&gt;"",J960*IF(W960&lt;&gt;"AR",(CS960*K960)+CT960,(CS960*AB960)+CT960*(AB960/INDEX('Device Refrigerant Leakage'!$C$2:$C$42,MATCH($M960,'Device Refrigerant Leakage'!$B$2:$B$42,0)))),"")</f>
        <v/>
      </c>
      <c r="CW960" s="135" t="str">
        <f>IF($I960&lt;&gt;"",IF(S960="User Specified",V960,INDEX('Refrigerant GWPs'!$G$2:$G$156,MATCH(S960,'Refrigerant GWPs'!$A$2:$A$157,0))),"")</f>
        <v/>
      </c>
      <c r="CX960" s="138" t="str">
        <f>IF($I960&lt;&gt;"",INDEX('Device Refrigerant Leakage'!$E$2:$E$42,MATCH($Q960,'Device Refrigerant Leakage'!$B$2:$B$42,0)),"")</f>
        <v/>
      </c>
      <c r="CY960" s="138" t="str">
        <f>IF($I960&lt;&gt;"",INDEX('Device Refrigerant Leakage'!$F$2:$F$42,MATCH($Q960,'Device Refrigerant Leakage'!$B$2:$B$42,0)),"")</f>
        <v/>
      </c>
      <c r="CZ960" s="145" t="str">
        <f>IF($I960&lt;&gt;"",INDEX('Device Refrigerant Leakage'!$G$2:$G$42,MATCH($Q960,'Device Refrigerant Leakage'!$B$2:$B$42,0)),"")</f>
        <v/>
      </c>
      <c r="DA960" s="145" t="str">
        <f>IF($I960&lt;&gt;"",J960*INDEX('Device Refrigerant Leakage'!$D$2:$D$42,MATCH($Q960,'Device Refrigerant Leakage'!$B$2:$B$42,0))*CX960/2204.62*CW960,"")</f>
        <v/>
      </c>
      <c r="DB960" s="145" t="str">
        <f>IF($I960&lt;&gt;"",J960*(INDEX('Device Refrigerant Leakage'!$D$2:$D$42,MATCH($Q960,'Device Refrigerant Leakage'!$B$2:$B$42,0))-(INDEX('Device Refrigerant Leakage'!$D$2:$D$42,MATCH($Q960,'Device Refrigerant Leakage'!$B$2:$B$42,0)))*CZ960*CX960)*CY960/2204.62*CW960,"")</f>
        <v/>
      </c>
      <c r="DC960" s="135" t="str">
        <f t="shared" si="1096"/>
        <v/>
      </c>
      <c r="DE960" s="146" t="str">
        <f>IF(W960&lt;&gt;"AR","",IF(Y960="User Specified", AA960, INDEX('Refrigerant GWPs'!$G$2:$G$154,MATCH(Y960,'Refrigerant GWPs'!$A$2:$A$154,0))))</f>
        <v/>
      </c>
      <c r="DF960" s="146" t="str">
        <f>IF(W960&lt;&gt;"AR","",INDEX('Device Refrigerant Leakage'!$E$2:$E$42,MATCH(X960,'Device Refrigerant Leakage'!$B$2:$B$42,0)))</f>
        <v/>
      </c>
      <c r="DG960" s="146" t="str">
        <f>IF(W960&lt;&gt;"AR","",INDEX('Device Refrigerant Leakage'!$F$2:$F$42,MATCH(X960,'Device Refrigerant Leakage'!$B$2:$B$42,0)))</f>
        <v/>
      </c>
      <c r="DH960" s="146" t="str">
        <f>IF(W960&lt;&gt;"AR","",INDEX('Device Refrigerant Leakage'!$G$2:$G$42,MATCH(X960,'Device Refrigerant Leakage'!$B$2:$B$42,0)))</f>
        <v/>
      </c>
      <c r="DI960" s="146" t="str">
        <f>IF(W960&lt;&gt;"AR","",J960*INDEX('Device Refrigerant Leakage'!$D$2:$D$42,MATCH(X960,'Device Refrigerant Leakage'!$B$2:$B$42,0))*DF960/2204.62*DE960)</f>
        <v/>
      </c>
      <c r="DJ960" s="146" t="str">
        <f>IF(W960&lt;&gt;"AR","",J960*(INDEX('Device Refrigerant Leakage'!$D$2:$D$42,MATCH(X960,'Device Refrigerant Leakage'!$B$2:$B$42,0))-(INDEX('Device Refrigerant Leakage'!$D$2:$D$42,MATCH(X960,'Device Refrigerant Leakage'!$B$2:$B$42,0)))*DH960*DF960)*DG960/2204.62*DE960)</f>
        <v/>
      </c>
      <c r="DK960" s="146" t="str">
        <f>IF(W960&lt;&gt;"AR","",DI960*(K960-AB960)+'Fuel Sub Calcs-Deemed'!DJ960*((K960-AB960)/INDEX('Device Refrigerant Leakage'!$C$2:$C$42,MATCH('Fuel Sub Calcs-Deemed'!X960,'Device Refrigerant Leakage'!$B$2:$B$42,0))))</f>
        <v/>
      </c>
      <c r="DM960" s="56">
        <v>946</v>
      </c>
      <c r="DN960" s="67" t="e">
        <f t="shared" si="1078"/>
        <v>#N/A</v>
      </c>
      <c r="DO960" s="45" t="e">
        <f t="shared" si="1079"/>
        <v>#N/A</v>
      </c>
      <c r="DP960" s="67" t="e">
        <f t="shared" si="1080"/>
        <v>#N/A</v>
      </c>
      <c r="DQ960" s="45" t="e">
        <f t="shared" si="1081"/>
        <v>#N/A</v>
      </c>
      <c r="DR960" s="69" t="e">
        <f t="shared" si="1082"/>
        <v>#N/A</v>
      </c>
      <c r="DS960" s="34"/>
      <c r="DT960" s="67" t="e">
        <f>((BX960*CJ960)+IF($W960=MAT_AR,(BZ960*CL960),0))*(1+Reference!$E$50+Reference!$E$51)</f>
        <v>#N/A</v>
      </c>
      <c r="DU960" s="67">
        <f>((BY960*CK960)+IF($W960=MAT_AR,(CA960*CM960),0))*(1+Reference!$G$50+Reference!$G$51)</f>
        <v>0</v>
      </c>
      <c r="DV960" s="67" t="e">
        <f t="shared" si="1083"/>
        <v>#VALUE!</v>
      </c>
      <c r="DX960" s="56">
        <v>946</v>
      </c>
      <c r="DY960" s="67">
        <f t="shared" si="1084"/>
        <v>0</v>
      </c>
      <c r="DZ960" s="45" t="e">
        <f>VLOOKUP($R960,Dropdown!$C$3:$D$4,2,FALSE)</f>
        <v>#N/A</v>
      </c>
      <c r="EA960" s="68">
        <f t="shared" si="1085"/>
        <v>0</v>
      </c>
      <c r="EB960" s="68" t="str">
        <f t="shared" si="1086"/>
        <v>N/A</v>
      </c>
      <c r="EC960" s="68">
        <f t="shared" si="1087"/>
        <v>0</v>
      </c>
      <c r="ED960" s="68" t="str">
        <f t="shared" si="1125"/>
        <v>N/A</v>
      </c>
      <c r="EF960" s="56">
        <v>946</v>
      </c>
      <c r="EG960" s="46">
        <f t="shared" si="1088"/>
        <v>0</v>
      </c>
      <c r="EH960" s="68" t="e">
        <f t="shared" si="1089"/>
        <v>#N/A</v>
      </c>
      <c r="EI960" s="68" t="e">
        <f t="shared" si="1090"/>
        <v>#N/A</v>
      </c>
      <c r="EJ960" s="68" t="e">
        <f t="shared" si="1091"/>
        <v>#N/A</v>
      </c>
      <c r="EK960" s="68" t="e">
        <f t="shared" si="1092"/>
        <v>#N/A</v>
      </c>
      <c r="EL960" s="46">
        <f t="shared" si="1093"/>
        <v>0</v>
      </c>
      <c r="EM960" s="46">
        <f t="shared" si="1094"/>
        <v>0</v>
      </c>
    </row>
    <row r="961" spans="1:143">
      <c r="A961" s="89"/>
      <c r="B961" s="89"/>
      <c r="C961" s="89"/>
      <c r="D961" s="89"/>
      <c r="E961" s="89"/>
      <c r="F961" s="89"/>
      <c r="G961" s="34"/>
      <c r="H961" s="56">
        <f t="shared" si="1095"/>
        <v>947</v>
      </c>
      <c r="I961" s="165"/>
      <c r="J961" s="163"/>
      <c r="K961" s="163"/>
      <c r="L961" s="164"/>
      <c r="M961" s="155"/>
      <c r="N961" s="155"/>
      <c r="O961" s="144"/>
      <c r="P961" s="159" t="str">
        <f>IFERROR(IF(O961&lt;&gt;"User Specified",IF(O961&lt;&gt;"", INDEX('Refrigerant GWPs'!$G$2:$G$154,MATCH(O961,'Refrigerant GWPs'!$A$2:$A$154,0)),""),U961),0)</f>
        <v/>
      </c>
      <c r="Q961" s="155"/>
      <c r="R961" s="155"/>
      <c r="S961" s="144"/>
      <c r="T961" s="159" t="str">
        <f>IF(S961&lt;&gt;"User Specified",IF(AND(S961&lt;&gt;"User Specified",S961&lt;&gt;""), INDEX('Refrigerant GWPs'!$G$2:$G$154,MATCH(S961,'Refrigerant GWPs'!$A$2:$A$154,0)),""),V961)</f>
        <v/>
      </c>
      <c r="U961" s="144"/>
      <c r="V961" s="144"/>
      <c r="W961" s="155"/>
      <c r="X961" s="155"/>
      <c r="Y961" s="144"/>
      <c r="Z961" s="159" t="str">
        <f>IF(AND(Y961&lt;&gt;"User Specified",Y961&lt;&gt;""), INDEX('Refrigerant GWPs'!$G$2:$G$154,MATCH(Y961,'Refrigerant GWPs'!$A$2:$A$154,0)),"")</f>
        <v/>
      </c>
      <c r="AA961" s="155"/>
      <c r="AB961" s="156"/>
      <c r="AC961" s="66"/>
      <c r="AD961" s="66"/>
      <c r="AE961" s="66"/>
      <c r="AF961" s="66"/>
      <c r="AG961" s="66"/>
      <c r="AH961" s="66"/>
      <c r="AI961" s="34"/>
      <c r="AJ961" s="88">
        <f t="shared" si="1058"/>
        <v>0</v>
      </c>
      <c r="AK961" s="88">
        <f t="shared" si="1059"/>
        <v>0</v>
      </c>
      <c r="AL961" s="88">
        <v>0</v>
      </c>
      <c r="AM961" s="88">
        <v>0</v>
      </c>
      <c r="AN961" s="81" t="str">
        <f t="shared" si="1097"/>
        <v/>
      </c>
      <c r="AO961" s="88">
        <f t="shared" si="1060"/>
        <v>0</v>
      </c>
      <c r="AP961" s="88">
        <f t="shared" si="1061"/>
        <v>0</v>
      </c>
      <c r="AQ961" s="81" t="str">
        <f t="shared" si="1062"/>
        <v/>
      </c>
      <c r="AS961" s="41" t="b">
        <f t="shared" si="1063"/>
        <v>1</v>
      </c>
      <c r="AT961" s="38">
        <f t="shared" si="1064"/>
        <v>0</v>
      </c>
      <c r="AU961" s="60">
        <f t="shared" si="1065"/>
        <v>0</v>
      </c>
      <c r="AV961" s="41">
        <f t="shared" si="1066"/>
        <v>0</v>
      </c>
      <c r="AW961" s="41" t="b">
        <f t="shared" si="1067"/>
        <v>0</v>
      </c>
      <c r="AX961" t="str">
        <f t="shared" si="1068"/>
        <v>+00</v>
      </c>
      <c r="AY961" t="str">
        <f t="shared" si="1069"/>
        <v>+00</v>
      </c>
      <c r="BA961" s="47" t="b">
        <f t="shared" si="1098"/>
        <v>1</v>
      </c>
      <c r="BB961" s="42" t="b">
        <f t="shared" si="1099"/>
        <v>1</v>
      </c>
      <c r="BC961" s="42" t="b">
        <f t="shared" si="1100"/>
        <v>0</v>
      </c>
      <c r="BD961" s="42" t="b">
        <f t="shared" si="1101"/>
        <v>0</v>
      </c>
      <c r="BE961" s="70">
        <f t="shared" si="1102"/>
        <v>0</v>
      </c>
      <c r="BF961" s="70">
        <f t="shared" si="1103"/>
        <v>0</v>
      </c>
      <c r="BG961" s="34"/>
      <c r="BI961" s="47" t="b">
        <f t="shared" si="1104"/>
        <v>1</v>
      </c>
      <c r="BJ961" s="47" t="b">
        <f t="shared" si="1105"/>
        <v>1</v>
      </c>
      <c r="BK961" s="42" t="b">
        <f t="shared" si="1106"/>
        <v>0</v>
      </c>
      <c r="BL961" s="42" t="b">
        <f t="shared" si="1107"/>
        <v>0</v>
      </c>
      <c r="BM961" s="42">
        <f t="shared" si="1108"/>
        <v>0</v>
      </c>
      <c r="BN961" s="42">
        <f t="shared" si="1109"/>
        <v>0</v>
      </c>
      <c r="BP961" t="e">
        <f t="shared" si="1110"/>
        <v>#N/A</v>
      </c>
      <c r="BQ961" t="e">
        <f t="shared" si="1111"/>
        <v>#N/A</v>
      </c>
      <c r="BR961" t="e">
        <f t="shared" si="1112"/>
        <v>#N/A</v>
      </c>
      <c r="BT961" s="60">
        <f t="shared" si="1113"/>
        <v>0</v>
      </c>
      <c r="BU961" s="60">
        <f t="shared" si="1114"/>
        <v>0</v>
      </c>
      <c r="BV961" s="60">
        <f t="shared" si="1115"/>
        <v>0</v>
      </c>
      <c r="BW961" s="60">
        <f t="shared" si="1116"/>
        <v>0</v>
      </c>
      <c r="BX961" s="60">
        <f t="shared" si="1117"/>
        <v>0</v>
      </c>
      <c r="BY961" s="60">
        <f t="shared" si="1118"/>
        <v>0</v>
      </c>
      <c r="BZ961" s="60">
        <f t="shared" si="1119"/>
        <v>0</v>
      </c>
      <c r="CA961" s="60">
        <f t="shared" si="1120"/>
        <v>0</v>
      </c>
      <c r="CB961" s="60" t="e">
        <f t="shared" si="1070"/>
        <v>#N/A</v>
      </c>
      <c r="CC961" s="60">
        <f t="shared" si="1071"/>
        <v>100000</v>
      </c>
      <c r="CD961" s="60" t="e">
        <f t="shared" si="1072"/>
        <v>#N/A</v>
      </c>
      <c r="CE961" s="60">
        <f t="shared" si="1073"/>
        <v>100000</v>
      </c>
      <c r="CF961" s="83" t="e">
        <f t="shared" si="1121"/>
        <v>#N/A</v>
      </c>
      <c r="CG961" s="83">
        <f t="shared" si="1122"/>
        <v>0</v>
      </c>
      <c r="CH961" s="83" t="e">
        <f t="shared" si="1123"/>
        <v>#N/A</v>
      </c>
      <c r="CI961" s="83">
        <f t="shared" si="1124"/>
        <v>0</v>
      </c>
      <c r="CJ961" s="86" t="e">
        <f t="shared" si="1074"/>
        <v>#N/A</v>
      </c>
      <c r="CK961" s="82">
        <f t="shared" si="1075"/>
        <v>5.3070370403969858E-3</v>
      </c>
      <c r="CL961" s="82" t="e">
        <f t="shared" si="1076"/>
        <v>#N/A</v>
      </c>
      <c r="CM961" s="82">
        <f t="shared" si="1077"/>
        <v>5.3070370403969858E-3</v>
      </c>
      <c r="CO961" s="149" t="str">
        <f>IF($I961&lt;&gt;"",IF(O961="User Specified",U961,INDEX('Refrigerant GWPs'!$G$2:$G$156,MATCH(O961,'Refrigerant GWPs'!$A$2:$A$156,0))),"")</f>
        <v/>
      </c>
      <c r="CP961" s="138" t="str">
        <f>IF($I961&lt;&gt;"",INDEX('Device Refrigerant Leakage'!$E$2:$E$42,MATCH($M961,'Device Refrigerant Leakage'!$B$2:$B$42,0)),"")</f>
        <v/>
      </c>
      <c r="CQ961" s="138" t="str">
        <f>IF($I961&lt;&gt;"",INDEX('Device Refrigerant Leakage'!$F$2:$F$42,MATCH($M961,'Device Refrigerant Leakage'!$B$2:$B$42,0)),"")</f>
        <v/>
      </c>
      <c r="CR961" s="145" t="str">
        <f>IF($I961&lt;&gt;"",INDEX('Device Refrigerant Leakage'!$G$2:$G$42,MATCH($M961,'Device Refrigerant Leakage'!$B$2:$B$42,0)),"")</f>
        <v/>
      </c>
      <c r="CS961" s="145" t="str">
        <f>IF($I961&lt;&gt;"",INDEX('Device Refrigerant Leakage'!$D$2:$D$42,MATCH($M961,'Device Refrigerant Leakage'!$B$2:$B$42,0))*CP961/2204.62*CO961,"")</f>
        <v/>
      </c>
      <c r="CT961" s="145" t="str">
        <f>IF($I961&lt;&gt;"",J961*(INDEX('Device Refrigerant Leakage'!$D$2:$D$42,MATCH($M961,'Device Refrigerant Leakage'!$B$2:$B$42,0))-(INDEX('Device Refrigerant Leakage'!$D$2:$D$42,MATCH($M961,'Device Refrigerant Leakage'!$B$2:$B$42,0)))*CR961*CP961)*CQ961/2204.62*CO961,"")</f>
        <v/>
      </c>
      <c r="CU961" s="135" t="str">
        <f>IF($I961&lt;&gt;"",J961*IF(W961&lt;&gt;"AR",(CS961*K961)+CT961,(CS961*AB961)+CT961*(AB961/INDEX('Device Refrigerant Leakage'!$C$2:$C$42,MATCH($M961,'Device Refrigerant Leakage'!$B$2:$B$42,0)))),"")</f>
        <v/>
      </c>
      <c r="CW961" s="135" t="str">
        <f>IF($I961&lt;&gt;"",IF(S961="User Specified",V961,INDEX('Refrigerant GWPs'!$G$2:$G$156,MATCH(S961,'Refrigerant GWPs'!$A$2:$A$157,0))),"")</f>
        <v/>
      </c>
      <c r="CX961" s="138" t="str">
        <f>IF($I961&lt;&gt;"",INDEX('Device Refrigerant Leakage'!$E$2:$E$42,MATCH($Q961,'Device Refrigerant Leakage'!$B$2:$B$42,0)),"")</f>
        <v/>
      </c>
      <c r="CY961" s="138" t="str">
        <f>IF($I961&lt;&gt;"",INDEX('Device Refrigerant Leakage'!$F$2:$F$42,MATCH($Q961,'Device Refrigerant Leakage'!$B$2:$B$42,0)),"")</f>
        <v/>
      </c>
      <c r="CZ961" s="145" t="str">
        <f>IF($I961&lt;&gt;"",INDEX('Device Refrigerant Leakage'!$G$2:$G$42,MATCH($Q961,'Device Refrigerant Leakage'!$B$2:$B$42,0)),"")</f>
        <v/>
      </c>
      <c r="DA961" s="145" t="str">
        <f>IF($I961&lt;&gt;"",J961*INDEX('Device Refrigerant Leakage'!$D$2:$D$42,MATCH($Q961,'Device Refrigerant Leakage'!$B$2:$B$42,0))*CX961/2204.62*CW961,"")</f>
        <v/>
      </c>
      <c r="DB961" s="145" t="str">
        <f>IF($I961&lt;&gt;"",J961*(INDEX('Device Refrigerant Leakage'!$D$2:$D$42,MATCH($Q961,'Device Refrigerant Leakage'!$B$2:$B$42,0))-(INDEX('Device Refrigerant Leakage'!$D$2:$D$42,MATCH($Q961,'Device Refrigerant Leakage'!$B$2:$B$42,0)))*CZ961*CX961)*CY961/2204.62*CW961,"")</f>
        <v/>
      </c>
      <c r="DC961" s="135" t="str">
        <f t="shared" si="1096"/>
        <v/>
      </c>
      <c r="DE961" s="146" t="str">
        <f>IF(W961&lt;&gt;"AR","",IF(Y961="User Specified", AA961, INDEX('Refrigerant GWPs'!$G$2:$G$154,MATCH(Y961,'Refrigerant GWPs'!$A$2:$A$154,0))))</f>
        <v/>
      </c>
      <c r="DF961" s="146" t="str">
        <f>IF(W961&lt;&gt;"AR","",INDEX('Device Refrigerant Leakage'!$E$2:$E$42,MATCH(X961,'Device Refrigerant Leakage'!$B$2:$B$42,0)))</f>
        <v/>
      </c>
      <c r="DG961" s="146" t="str">
        <f>IF(W961&lt;&gt;"AR","",INDEX('Device Refrigerant Leakage'!$F$2:$F$42,MATCH(X961,'Device Refrigerant Leakage'!$B$2:$B$42,0)))</f>
        <v/>
      </c>
      <c r="DH961" s="146" t="str">
        <f>IF(W961&lt;&gt;"AR","",INDEX('Device Refrigerant Leakage'!$G$2:$G$42,MATCH(X961,'Device Refrigerant Leakage'!$B$2:$B$42,0)))</f>
        <v/>
      </c>
      <c r="DI961" s="146" t="str">
        <f>IF(W961&lt;&gt;"AR","",J961*INDEX('Device Refrigerant Leakage'!$D$2:$D$42,MATCH(X961,'Device Refrigerant Leakage'!$B$2:$B$42,0))*DF961/2204.62*DE961)</f>
        <v/>
      </c>
      <c r="DJ961" s="146" t="str">
        <f>IF(W961&lt;&gt;"AR","",J961*(INDEX('Device Refrigerant Leakage'!$D$2:$D$42,MATCH(X961,'Device Refrigerant Leakage'!$B$2:$B$42,0))-(INDEX('Device Refrigerant Leakage'!$D$2:$D$42,MATCH(X961,'Device Refrigerant Leakage'!$B$2:$B$42,0)))*DH961*DF961)*DG961/2204.62*DE961)</f>
        <v/>
      </c>
      <c r="DK961" s="146" t="str">
        <f>IF(W961&lt;&gt;"AR","",DI961*(K961-AB961)+'Fuel Sub Calcs-Deemed'!DJ961*((K961-AB961)/INDEX('Device Refrigerant Leakage'!$C$2:$C$42,MATCH('Fuel Sub Calcs-Deemed'!X961,'Device Refrigerant Leakage'!$B$2:$B$42,0))))</f>
        <v/>
      </c>
      <c r="DM961" s="56">
        <v>947</v>
      </c>
      <c r="DN961" s="67" t="e">
        <f t="shared" si="1078"/>
        <v>#N/A</v>
      </c>
      <c r="DO961" s="45" t="e">
        <f t="shared" si="1079"/>
        <v>#N/A</v>
      </c>
      <c r="DP961" s="67" t="e">
        <f t="shared" si="1080"/>
        <v>#N/A</v>
      </c>
      <c r="DQ961" s="45" t="e">
        <f t="shared" si="1081"/>
        <v>#N/A</v>
      </c>
      <c r="DR961" s="69" t="e">
        <f t="shared" si="1082"/>
        <v>#N/A</v>
      </c>
      <c r="DS961" s="34"/>
      <c r="DT961" s="67" t="e">
        <f>((BX961*CJ961)+IF($W961=MAT_AR,(BZ961*CL961),0))*(1+Reference!$E$50+Reference!$E$51)</f>
        <v>#N/A</v>
      </c>
      <c r="DU961" s="67">
        <f>((BY961*CK961)+IF($W961=MAT_AR,(CA961*CM961),0))*(1+Reference!$G$50+Reference!$G$51)</f>
        <v>0</v>
      </c>
      <c r="DV961" s="67" t="e">
        <f t="shared" si="1083"/>
        <v>#VALUE!</v>
      </c>
      <c r="DX961" s="56">
        <v>947</v>
      </c>
      <c r="DY961" s="67">
        <f t="shared" si="1084"/>
        <v>0</v>
      </c>
      <c r="DZ961" s="45" t="e">
        <f>VLOOKUP($R961,Dropdown!$C$3:$D$4,2,FALSE)</f>
        <v>#N/A</v>
      </c>
      <c r="EA961" s="68">
        <f t="shared" si="1085"/>
        <v>0</v>
      </c>
      <c r="EB961" s="68" t="str">
        <f t="shared" si="1086"/>
        <v>N/A</v>
      </c>
      <c r="EC961" s="68">
        <f t="shared" si="1087"/>
        <v>0</v>
      </c>
      <c r="ED961" s="68" t="str">
        <f t="shared" si="1125"/>
        <v>N/A</v>
      </c>
      <c r="EF961" s="56">
        <v>947</v>
      </c>
      <c r="EG961" s="46">
        <f t="shared" si="1088"/>
        <v>0</v>
      </c>
      <c r="EH961" s="68" t="e">
        <f t="shared" si="1089"/>
        <v>#N/A</v>
      </c>
      <c r="EI961" s="68" t="e">
        <f t="shared" si="1090"/>
        <v>#N/A</v>
      </c>
      <c r="EJ961" s="68" t="e">
        <f t="shared" si="1091"/>
        <v>#N/A</v>
      </c>
      <c r="EK961" s="68" t="e">
        <f t="shared" si="1092"/>
        <v>#N/A</v>
      </c>
      <c r="EL961" s="46">
        <f t="shared" si="1093"/>
        <v>0</v>
      </c>
      <c r="EM961" s="46">
        <f t="shared" si="1094"/>
        <v>0</v>
      </c>
    </row>
    <row r="962" spans="1:143">
      <c r="A962" s="89"/>
      <c r="B962" s="89"/>
      <c r="C962" s="89"/>
      <c r="D962" s="89"/>
      <c r="E962" s="89"/>
      <c r="F962" s="89"/>
      <c r="G962" s="34"/>
      <c r="H962" s="56">
        <f t="shared" si="1095"/>
        <v>948</v>
      </c>
      <c r="I962" s="165"/>
      <c r="J962" s="163"/>
      <c r="K962" s="163"/>
      <c r="L962" s="164"/>
      <c r="M962" s="155"/>
      <c r="N962" s="155"/>
      <c r="O962" s="144"/>
      <c r="P962" s="159" t="str">
        <f>IFERROR(IF(O962&lt;&gt;"User Specified",IF(O962&lt;&gt;"", INDEX('Refrigerant GWPs'!$G$2:$G$154,MATCH(O962,'Refrigerant GWPs'!$A$2:$A$154,0)),""),U962),0)</f>
        <v/>
      </c>
      <c r="Q962" s="155"/>
      <c r="R962" s="155"/>
      <c r="S962" s="144"/>
      <c r="T962" s="159" t="str">
        <f>IF(S962&lt;&gt;"User Specified",IF(AND(S962&lt;&gt;"User Specified",S962&lt;&gt;""), INDEX('Refrigerant GWPs'!$G$2:$G$154,MATCH(S962,'Refrigerant GWPs'!$A$2:$A$154,0)),""),V962)</f>
        <v/>
      </c>
      <c r="U962" s="144"/>
      <c r="V962" s="144"/>
      <c r="W962" s="155"/>
      <c r="X962" s="155"/>
      <c r="Y962" s="144"/>
      <c r="Z962" s="159" t="str">
        <f>IF(AND(Y962&lt;&gt;"User Specified",Y962&lt;&gt;""), INDEX('Refrigerant GWPs'!$G$2:$G$154,MATCH(Y962,'Refrigerant GWPs'!$A$2:$A$154,0)),"")</f>
        <v/>
      </c>
      <c r="AA962" s="155"/>
      <c r="AB962" s="156"/>
      <c r="AC962" s="66"/>
      <c r="AD962" s="66"/>
      <c r="AE962" s="66"/>
      <c r="AF962" s="66"/>
      <c r="AG962" s="66"/>
      <c r="AH962" s="66"/>
      <c r="AI962" s="34"/>
      <c r="AJ962" s="88">
        <f t="shared" si="1058"/>
        <v>0</v>
      </c>
      <c r="AK962" s="88">
        <f t="shared" si="1059"/>
        <v>0</v>
      </c>
      <c r="AL962" s="88">
        <v>0</v>
      </c>
      <c r="AM962" s="88">
        <v>0</v>
      </c>
      <c r="AN962" s="81" t="str">
        <f t="shared" si="1097"/>
        <v/>
      </c>
      <c r="AO962" s="88">
        <f t="shared" si="1060"/>
        <v>0</v>
      </c>
      <c r="AP962" s="88">
        <f t="shared" si="1061"/>
        <v>0</v>
      </c>
      <c r="AQ962" s="81" t="str">
        <f t="shared" si="1062"/>
        <v/>
      </c>
      <c r="AS962" s="41" t="b">
        <f t="shared" si="1063"/>
        <v>1</v>
      </c>
      <c r="AT962" s="38">
        <f t="shared" si="1064"/>
        <v>0</v>
      </c>
      <c r="AU962" s="60">
        <f t="shared" si="1065"/>
        <v>0</v>
      </c>
      <c r="AV962" s="41">
        <f t="shared" si="1066"/>
        <v>0</v>
      </c>
      <c r="AW962" s="41" t="b">
        <f t="shared" si="1067"/>
        <v>0</v>
      </c>
      <c r="AX962" t="str">
        <f t="shared" si="1068"/>
        <v>+00</v>
      </c>
      <c r="AY962" t="str">
        <f t="shared" si="1069"/>
        <v>+00</v>
      </c>
      <c r="BA962" s="47" t="b">
        <f t="shared" si="1098"/>
        <v>1</v>
      </c>
      <c r="BB962" s="42" t="b">
        <f t="shared" si="1099"/>
        <v>1</v>
      </c>
      <c r="BC962" s="42" t="b">
        <f t="shared" si="1100"/>
        <v>0</v>
      </c>
      <c r="BD962" s="42" t="b">
        <f t="shared" si="1101"/>
        <v>0</v>
      </c>
      <c r="BE962" s="70">
        <f t="shared" si="1102"/>
        <v>0</v>
      </c>
      <c r="BF962" s="70">
        <f t="shared" si="1103"/>
        <v>0</v>
      </c>
      <c r="BG962" s="34"/>
      <c r="BI962" s="47" t="b">
        <f t="shared" si="1104"/>
        <v>1</v>
      </c>
      <c r="BJ962" s="47" t="b">
        <f t="shared" si="1105"/>
        <v>1</v>
      </c>
      <c r="BK962" s="42" t="b">
        <f t="shared" si="1106"/>
        <v>0</v>
      </c>
      <c r="BL962" s="42" t="b">
        <f t="shared" si="1107"/>
        <v>0</v>
      </c>
      <c r="BM962" s="42">
        <f t="shared" si="1108"/>
        <v>0</v>
      </c>
      <c r="BN962" s="42">
        <f t="shared" si="1109"/>
        <v>0</v>
      </c>
      <c r="BP962" t="e">
        <f t="shared" si="1110"/>
        <v>#N/A</v>
      </c>
      <c r="BQ962" t="e">
        <f t="shared" si="1111"/>
        <v>#N/A</v>
      </c>
      <c r="BR962" t="e">
        <f t="shared" si="1112"/>
        <v>#N/A</v>
      </c>
      <c r="BT962" s="60">
        <f t="shared" si="1113"/>
        <v>0</v>
      </c>
      <c r="BU962" s="60">
        <f t="shared" si="1114"/>
        <v>0</v>
      </c>
      <c r="BV962" s="60">
        <f t="shared" si="1115"/>
        <v>0</v>
      </c>
      <c r="BW962" s="60">
        <f t="shared" si="1116"/>
        <v>0</v>
      </c>
      <c r="BX962" s="60">
        <f t="shared" si="1117"/>
        <v>0</v>
      </c>
      <c r="BY962" s="60">
        <f t="shared" si="1118"/>
        <v>0</v>
      </c>
      <c r="BZ962" s="60">
        <f t="shared" si="1119"/>
        <v>0</v>
      </c>
      <c r="CA962" s="60">
        <f t="shared" si="1120"/>
        <v>0</v>
      </c>
      <c r="CB962" s="60" t="e">
        <f t="shared" si="1070"/>
        <v>#N/A</v>
      </c>
      <c r="CC962" s="60">
        <f t="shared" si="1071"/>
        <v>100000</v>
      </c>
      <c r="CD962" s="60" t="e">
        <f t="shared" si="1072"/>
        <v>#N/A</v>
      </c>
      <c r="CE962" s="60">
        <f t="shared" si="1073"/>
        <v>100000</v>
      </c>
      <c r="CF962" s="83" t="e">
        <f t="shared" si="1121"/>
        <v>#N/A</v>
      </c>
      <c r="CG962" s="83">
        <f t="shared" si="1122"/>
        <v>0</v>
      </c>
      <c r="CH962" s="83" t="e">
        <f t="shared" si="1123"/>
        <v>#N/A</v>
      </c>
      <c r="CI962" s="83">
        <f t="shared" si="1124"/>
        <v>0</v>
      </c>
      <c r="CJ962" s="86" t="e">
        <f t="shared" si="1074"/>
        <v>#N/A</v>
      </c>
      <c r="CK962" s="82">
        <f t="shared" si="1075"/>
        <v>5.3070370403969858E-3</v>
      </c>
      <c r="CL962" s="82" t="e">
        <f t="shared" si="1076"/>
        <v>#N/A</v>
      </c>
      <c r="CM962" s="82">
        <f t="shared" si="1077"/>
        <v>5.3070370403969858E-3</v>
      </c>
      <c r="CO962" s="149" t="str">
        <f>IF($I962&lt;&gt;"",IF(O962="User Specified",U962,INDEX('Refrigerant GWPs'!$G$2:$G$156,MATCH(O962,'Refrigerant GWPs'!$A$2:$A$156,0))),"")</f>
        <v/>
      </c>
      <c r="CP962" s="138" t="str">
        <f>IF($I962&lt;&gt;"",INDEX('Device Refrigerant Leakage'!$E$2:$E$42,MATCH($M962,'Device Refrigerant Leakage'!$B$2:$B$42,0)),"")</f>
        <v/>
      </c>
      <c r="CQ962" s="138" t="str">
        <f>IF($I962&lt;&gt;"",INDEX('Device Refrigerant Leakage'!$F$2:$F$42,MATCH($M962,'Device Refrigerant Leakage'!$B$2:$B$42,0)),"")</f>
        <v/>
      </c>
      <c r="CR962" s="145" t="str">
        <f>IF($I962&lt;&gt;"",INDEX('Device Refrigerant Leakage'!$G$2:$G$42,MATCH($M962,'Device Refrigerant Leakage'!$B$2:$B$42,0)),"")</f>
        <v/>
      </c>
      <c r="CS962" s="145" t="str">
        <f>IF($I962&lt;&gt;"",INDEX('Device Refrigerant Leakage'!$D$2:$D$42,MATCH($M962,'Device Refrigerant Leakage'!$B$2:$B$42,0))*CP962/2204.62*CO962,"")</f>
        <v/>
      </c>
      <c r="CT962" s="145" t="str">
        <f>IF($I962&lt;&gt;"",J962*(INDEX('Device Refrigerant Leakage'!$D$2:$D$42,MATCH($M962,'Device Refrigerant Leakage'!$B$2:$B$42,0))-(INDEX('Device Refrigerant Leakage'!$D$2:$D$42,MATCH($M962,'Device Refrigerant Leakage'!$B$2:$B$42,0)))*CR962*CP962)*CQ962/2204.62*CO962,"")</f>
        <v/>
      </c>
      <c r="CU962" s="135" t="str">
        <f>IF($I962&lt;&gt;"",J962*IF(W962&lt;&gt;"AR",(CS962*K962)+CT962,(CS962*AB962)+CT962*(AB962/INDEX('Device Refrigerant Leakage'!$C$2:$C$42,MATCH($M962,'Device Refrigerant Leakage'!$B$2:$B$42,0)))),"")</f>
        <v/>
      </c>
      <c r="CW962" s="135" t="str">
        <f>IF($I962&lt;&gt;"",IF(S962="User Specified",V962,INDEX('Refrigerant GWPs'!$G$2:$G$156,MATCH(S962,'Refrigerant GWPs'!$A$2:$A$157,0))),"")</f>
        <v/>
      </c>
      <c r="CX962" s="138" t="str">
        <f>IF($I962&lt;&gt;"",INDEX('Device Refrigerant Leakage'!$E$2:$E$42,MATCH($Q962,'Device Refrigerant Leakage'!$B$2:$B$42,0)),"")</f>
        <v/>
      </c>
      <c r="CY962" s="138" t="str">
        <f>IF($I962&lt;&gt;"",INDEX('Device Refrigerant Leakage'!$F$2:$F$42,MATCH($Q962,'Device Refrigerant Leakage'!$B$2:$B$42,0)),"")</f>
        <v/>
      </c>
      <c r="CZ962" s="145" t="str">
        <f>IF($I962&lt;&gt;"",INDEX('Device Refrigerant Leakage'!$G$2:$G$42,MATCH($Q962,'Device Refrigerant Leakage'!$B$2:$B$42,0)),"")</f>
        <v/>
      </c>
      <c r="DA962" s="145" t="str">
        <f>IF($I962&lt;&gt;"",J962*INDEX('Device Refrigerant Leakage'!$D$2:$D$42,MATCH($Q962,'Device Refrigerant Leakage'!$B$2:$B$42,0))*CX962/2204.62*CW962,"")</f>
        <v/>
      </c>
      <c r="DB962" s="145" t="str">
        <f>IF($I962&lt;&gt;"",J962*(INDEX('Device Refrigerant Leakage'!$D$2:$D$42,MATCH($Q962,'Device Refrigerant Leakage'!$B$2:$B$42,0))-(INDEX('Device Refrigerant Leakage'!$D$2:$D$42,MATCH($Q962,'Device Refrigerant Leakage'!$B$2:$B$42,0)))*CZ962*CX962)*CY962/2204.62*CW962,"")</f>
        <v/>
      </c>
      <c r="DC962" s="135" t="str">
        <f t="shared" si="1096"/>
        <v/>
      </c>
      <c r="DE962" s="146" t="str">
        <f>IF(W962&lt;&gt;"AR","",IF(Y962="User Specified", AA962, INDEX('Refrigerant GWPs'!$G$2:$G$154,MATCH(Y962,'Refrigerant GWPs'!$A$2:$A$154,0))))</f>
        <v/>
      </c>
      <c r="DF962" s="146" t="str">
        <f>IF(W962&lt;&gt;"AR","",INDEX('Device Refrigerant Leakage'!$E$2:$E$42,MATCH(X962,'Device Refrigerant Leakage'!$B$2:$B$42,0)))</f>
        <v/>
      </c>
      <c r="DG962" s="146" t="str">
        <f>IF(W962&lt;&gt;"AR","",INDEX('Device Refrigerant Leakage'!$F$2:$F$42,MATCH(X962,'Device Refrigerant Leakage'!$B$2:$B$42,0)))</f>
        <v/>
      </c>
      <c r="DH962" s="146" t="str">
        <f>IF(W962&lt;&gt;"AR","",INDEX('Device Refrigerant Leakage'!$G$2:$G$42,MATCH(X962,'Device Refrigerant Leakage'!$B$2:$B$42,0)))</f>
        <v/>
      </c>
      <c r="DI962" s="146" t="str">
        <f>IF(W962&lt;&gt;"AR","",J962*INDEX('Device Refrigerant Leakage'!$D$2:$D$42,MATCH(X962,'Device Refrigerant Leakage'!$B$2:$B$42,0))*DF962/2204.62*DE962)</f>
        <v/>
      </c>
      <c r="DJ962" s="146" t="str">
        <f>IF(W962&lt;&gt;"AR","",J962*(INDEX('Device Refrigerant Leakage'!$D$2:$D$42,MATCH(X962,'Device Refrigerant Leakage'!$B$2:$B$42,0))-(INDEX('Device Refrigerant Leakage'!$D$2:$D$42,MATCH(X962,'Device Refrigerant Leakage'!$B$2:$B$42,0)))*DH962*DF962)*DG962/2204.62*DE962)</f>
        <v/>
      </c>
      <c r="DK962" s="146" t="str">
        <f>IF(W962&lt;&gt;"AR","",DI962*(K962-AB962)+'Fuel Sub Calcs-Deemed'!DJ962*((K962-AB962)/INDEX('Device Refrigerant Leakage'!$C$2:$C$42,MATCH('Fuel Sub Calcs-Deemed'!X962,'Device Refrigerant Leakage'!$B$2:$B$42,0))))</f>
        <v/>
      </c>
      <c r="DM962" s="56">
        <v>948</v>
      </c>
      <c r="DN962" s="67" t="e">
        <f t="shared" si="1078"/>
        <v>#N/A</v>
      </c>
      <c r="DO962" s="45" t="e">
        <f t="shared" si="1079"/>
        <v>#N/A</v>
      </c>
      <c r="DP962" s="67" t="e">
        <f t="shared" si="1080"/>
        <v>#N/A</v>
      </c>
      <c r="DQ962" s="45" t="e">
        <f t="shared" si="1081"/>
        <v>#N/A</v>
      </c>
      <c r="DR962" s="69" t="e">
        <f t="shared" si="1082"/>
        <v>#N/A</v>
      </c>
      <c r="DS962" s="34"/>
      <c r="DT962" s="67" t="e">
        <f>((BX962*CJ962)+IF($W962=MAT_AR,(BZ962*CL962),0))*(1+Reference!$E$50+Reference!$E$51)</f>
        <v>#N/A</v>
      </c>
      <c r="DU962" s="67">
        <f>((BY962*CK962)+IF($W962=MAT_AR,(CA962*CM962),0))*(1+Reference!$G$50+Reference!$G$51)</f>
        <v>0</v>
      </c>
      <c r="DV962" s="67" t="e">
        <f t="shared" si="1083"/>
        <v>#VALUE!</v>
      </c>
      <c r="DX962" s="56">
        <v>948</v>
      </c>
      <c r="DY962" s="67">
        <f t="shared" si="1084"/>
        <v>0</v>
      </c>
      <c r="DZ962" s="45" t="e">
        <f>VLOOKUP($R962,Dropdown!$C$3:$D$4,2,FALSE)</f>
        <v>#N/A</v>
      </c>
      <c r="EA962" s="68">
        <f t="shared" si="1085"/>
        <v>0</v>
      </c>
      <c r="EB962" s="68" t="str">
        <f t="shared" si="1086"/>
        <v>N/A</v>
      </c>
      <c r="EC962" s="68">
        <f t="shared" si="1087"/>
        <v>0</v>
      </c>
      <c r="ED962" s="68" t="str">
        <f t="shared" si="1125"/>
        <v>N/A</v>
      </c>
      <c r="EF962" s="56">
        <v>948</v>
      </c>
      <c r="EG962" s="46">
        <f t="shared" si="1088"/>
        <v>0</v>
      </c>
      <c r="EH962" s="68" t="e">
        <f t="shared" si="1089"/>
        <v>#N/A</v>
      </c>
      <c r="EI962" s="68" t="e">
        <f t="shared" si="1090"/>
        <v>#N/A</v>
      </c>
      <c r="EJ962" s="68" t="e">
        <f t="shared" si="1091"/>
        <v>#N/A</v>
      </c>
      <c r="EK962" s="68" t="e">
        <f t="shared" si="1092"/>
        <v>#N/A</v>
      </c>
      <c r="EL962" s="46">
        <f t="shared" si="1093"/>
        <v>0</v>
      </c>
      <c r="EM962" s="46">
        <f t="shared" si="1094"/>
        <v>0</v>
      </c>
    </row>
    <row r="963" spans="1:143">
      <c r="A963" s="89"/>
      <c r="B963" s="89"/>
      <c r="C963" s="89"/>
      <c r="D963" s="89"/>
      <c r="E963" s="89"/>
      <c r="F963" s="89"/>
      <c r="G963" s="34"/>
      <c r="H963" s="56">
        <f t="shared" si="1095"/>
        <v>949</v>
      </c>
      <c r="I963" s="165"/>
      <c r="J963" s="163"/>
      <c r="K963" s="163"/>
      <c r="L963" s="164"/>
      <c r="M963" s="155"/>
      <c r="N963" s="155"/>
      <c r="O963" s="144"/>
      <c r="P963" s="159" t="str">
        <f>IFERROR(IF(O963&lt;&gt;"User Specified",IF(O963&lt;&gt;"", INDEX('Refrigerant GWPs'!$G$2:$G$154,MATCH(O963,'Refrigerant GWPs'!$A$2:$A$154,0)),""),U963),0)</f>
        <v/>
      </c>
      <c r="Q963" s="155"/>
      <c r="R963" s="155"/>
      <c r="S963" s="144"/>
      <c r="T963" s="159" t="str">
        <f>IF(S963&lt;&gt;"User Specified",IF(AND(S963&lt;&gt;"User Specified",S963&lt;&gt;""), INDEX('Refrigerant GWPs'!$G$2:$G$154,MATCH(S963,'Refrigerant GWPs'!$A$2:$A$154,0)),""),V963)</f>
        <v/>
      </c>
      <c r="U963" s="144"/>
      <c r="V963" s="144"/>
      <c r="W963" s="155"/>
      <c r="X963" s="155"/>
      <c r="Y963" s="144"/>
      <c r="Z963" s="159" t="str">
        <f>IF(AND(Y963&lt;&gt;"User Specified",Y963&lt;&gt;""), INDEX('Refrigerant GWPs'!$G$2:$G$154,MATCH(Y963,'Refrigerant GWPs'!$A$2:$A$154,0)),"")</f>
        <v/>
      </c>
      <c r="AA963" s="155"/>
      <c r="AB963" s="156"/>
      <c r="AC963" s="66"/>
      <c r="AD963" s="66"/>
      <c r="AE963" s="66"/>
      <c r="AF963" s="66"/>
      <c r="AG963" s="66"/>
      <c r="AH963" s="66"/>
      <c r="AI963" s="34"/>
      <c r="AJ963" s="88">
        <f t="shared" si="1058"/>
        <v>0</v>
      </c>
      <c r="AK963" s="88">
        <f t="shared" si="1059"/>
        <v>0</v>
      </c>
      <c r="AL963" s="88">
        <v>0</v>
      </c>
      <c r="AM963" s="88">
        <v>0</v>
      </c>
      <c r="AN963" s="81" t="str">
        <f t="shared" si="1097"/>
        <v/>
      </c>
      <c r="AO963" s="88">
        <f t="shared" si="1060"/>
        <v>0</v>
      </c>
      <c r="AP963" s="88">
        <f t="shared" si="1061"/>
        <v>0</v>
      </c>
      <c r="AQ963" s="81" t="str">
        <f t="shared" si="1062"/>
        <v/>
      </c>
      <c r="AS963" s="41" t="b">
        <f t="shared" si="1063"/>
        <v>1</v>
      </c>
      <c r="AT963" s="38">
        <f t="shared" si="1064"/>
        <v>0</v>
      </c>
      <c r="AU963" s="60">
        <f t="shared" si="1065"/>
        <v>0</v>
      </c>
      <c r="AV963" s="41">
        <f t="shared" si="1066"/>
        <v>0</v>
      </c>
      <c r="AW963" s="41" t="b">
        <f t="shared" si="1067"/>
        <v>0</v>
      </c>
      <c r="AX963" t="str">
        <f t="shared" si="1068"/>
        <v>+00</v>
      </c>
      <c r="AY963" t="str">
        <f t="shared" si="1069"/>
        <v>+00</v>
      </c>
      <c r="BA963" s="47" t="b">
        <f t="shared" si="1098"/>
        <v>1</v>
      </c>
      <c r="BB963" s="42" t="b">
        <f t="shared" si="1099"/>
        <v>1</v>
      </c>
      <c r="BC963" s="42" t="b">
        <f t="shared" si="1100"/>
        <v>0</v>
      </c>
      <c r="BD963" s="42" t="b">
        <f t="shared" si="1101"/>
        <v>0</v>
      </c>
      <c r="BE963" s="70">
        <f t="shared" si="1102"/>
        <v>0</v>
      </c>
      <c r="BF963" s="70">
        <f t="shared" si="1103"/>
        <v>0</v>
      </c>
      <c r="BG963" s="34"/>
      <c r="BI963" s="47" t="b">
        <f t="shared" si="1104"/>
        <v>1</v>
      </c>
      <c r="BJ963" s="47" t="b">
        <f t="shared" si="1105"/>
        <v>1</v>
      </c>
      <c r="BK963" s="42" t="b">
        <f t="shared" si="1106"/>
        <v>0</v>
      </c>
      <c r="BL963" s="42" t="b">
        <f t="shared" si="1107"/>
        <v>0</v>
      </c>
      <c r="BM963" s="42">
        <f t="shared" si="1108"/>
        <v>0</v>
      </c>
      <c r="BN963" s="42">
        <f t="shared" si="1109"/>
        <v>0</v>
      </c>
      <c r="BP963" t="e">
        <f t="shared" si="1110"/>
        <v>#N/A</v>
      </c>
      <c r="BQ963" t="e">
        <f t="shared" si="1111"/>
        <v>#N/A</v>
      </c>
      <c r="BR963" t="e">
        <f t="shared" si="1112"/>
        <v>#N/A</v>
      </c>
      <c r="BT963" s="60">
        <f t="shared" si="1113"/>
        <v>0</v>
      </c>
      <c r="BU963" s="60">
        <f t="shared" si="1114"/>
        <v>0</v>
      </c>
      <c r="BV963" s="60">
        <f t="shared" si="1115"/>
        <v>0</v>
      </c>
      <c r="BW963" s="60">
        <f t="shared" si="1116"/>
        <v>0</v>
      </c>
      <c r="BX963" s="60">
        <f t="shared" si="1117"/>
        <v>0</v>
      </c>
      <c r="BY963" s="60">
        <f t="shared" si="1118"/>
        <v>0</v>
      </c>
      <c r="BZ963" s="60">
        <f t="shared" si="1119"/>
        <v>0</v>
      </c>
      <c r="CA963" s="60">
        <f t="shared" si="1120"/>
        <v>0</v>
      </c>
      <c r="CB963" s="60" t="e">
        <f t="shared" si="1070"/>
        <v>#N/A</v>
      </c>
      <c r="CC963" s="60">
        <f t="shared" si="1071"/>
        <v>100000</v>
      </c>
      <c r="CD963" s="60" t="e">
        <f t="shared" si="1072"/>
        <v>#N/A</v>
      </c>
      <c r="CE963" s="60">
        <f t="shared" si="1073"/>
        <v>100000</v>
      </c>
      <c r="CF963" s="83" t="e">
        <f t="shared" si="1121"/>
        <v>#N/A</v>
      </c>
      <c r="CG963" s="83">
        <f t="shared" si="1122"/>
        <v>0</v>
      </c>
      <c r="CH963" s="83" t="e">
        <f t="shared" si="1123"/>
        <v>#N/A</v>
      </c>
      <c r="CI963" s="83">
        <f t="shared" si="1124"/>
        <v>0</v>
      </c>
      <c r="CJ963" s="86" t="e">
        <f t="shared" si="1074"/>
        <v>#N/A</v>
      </c>
      <c r="CK963" s="82">
        <f t="shared" si="1075"/>
        <v>5.3070370403969858E-3</v>
      </c>
      <c r="CL963" s="82" t="e">
        <f t="shared" si="1076"/>
        <v>#N/A</v>
      </c>
      <c r="CM963" s="82">
        <f t="shared" si="1077"/>
        <v>5.3070370403969858E-3</v>
      </c>
      <c r="CO963" s="149" t="str">
        <f>IF($I963&lt;&gt;"",IF(O963="User Specified",U963,INDEX('Refrigerant GWPs'!$G$2:$G$156,MATCH(O963,'Refrigerant GWPs'!$A$2:$A$156,0))),"")</f>
        <v/>
      </c>
      <c r="CP963" s="138" t="str">
        <f>IF($I963&lt;&gt;"",INDEX('Device Refrigerant Leakage'!$E$2:$E$42,MATCH($M963,'Device Refrigerant Leakage'!$B$2:$B$42,0)),"")</f>
        <v/>
      </c>
      <c r="CQ963" s="138" t="str">
        <f>IF($I963&lt;&gt;"",INDEX('Device Refrigerant Leakage'!$F$2:$F$42,MATCH($M963,'Device Refrigerant Leakage'!$B$2:$B$42,0)),"")</f>
        <v/>
      </c>
      <c r="CR963" s="145" t="str">
        <f>IF($I963&lt;&gt;"",INDEX('Device Refrigerant Leakage'!$G$2:$G$42,MATCH($M963,'Device Refrigerant Leakage'!$B$2:$B$42,0)),"")</f>
        <v/>
      </c>
      <c r="CS963" s="145" t="str">
        <f>IF($I963&lt;&gt;"",INDEX('Device Refrigerant Leakage'!$D$2:$D$42,MATCH($M963,'Device Refrigerant Leakage'!$B$2:$B$42,0))*CP963/2204.62*CO963,"")</f>
        <v/>
      </c>
      <c r="CT963" s="145" t="str">
        <f>IF($I963&lt;&gt;"",J963*(INDEX('Device Refrigerant Leakage'!$D$2:$D$42,MATCH($M963,'Device Refrigerant Leakage'!$B$2:$B$42,0))-(INDEX('Device Refrigerant Leakage'!$D$2:$D$42,MATCH($M963,'Device Refrigerant Leakage'!$B$2:$B$42,0)))*CR963*CP963)*CQ963/2204.62*CO963,"")</f>
        <v/>
      </c>
      <c r="CU963" s="135" t="str">
        <f>IF($I963&lt;&gt;"",J963*IF(W963&lt;&gt;"AR",(CS963*K963)+CT963,(CS963*AB963)+CT963*(AB963/INDEX('Device Refrigerant Leakage'!$C$2:$C$42,MATCH($M963,'Device Refrigerant Leakage'!$B$2:$B$42,0)))),"")</f>
        <v/>
      </c>
      <c r="CW963" s="135" t="str">
        <f>IF($I963&lt;&gt;"",IF(S963="User Specified",V963,INDEX('Refrigerant GWPs'!$G$2:$G$156,MATCH(S963,'Refrigerant GWPs'!$A$2:$A$157,0))),"")</f>
        <v/>
      </c>
      <c r="CX963" s="138" t="str">
        <f>IF($I963&lt;&gt;"",INDEX('Device Refrigerant Leakage'!$E$2:$E$42,MATCH($Q963,'Device Refrigerant Leakage'!$B$2:$B$42,0)),"")</f>
        <v/>
      </c>
      <c r="CY963" s="138" t="str">
        <f>IF($I963&lt;&gt;"",INDEX('Device Refrigerant Leakage'!$F$2:$F$42,MATCH($Q963,'Device Refrigerant Leakage'!$B$2:$B$42,0)),"")</f>
        <v/>
      </c>
      <c r="CZ963" s="145" t="str">
        <f>IF($I963&lt;&gt;"",INDEX('Device Refrigerant Leakage'!$G$2:$G$42,MATCH($Q963,'Device Refrigerant Leakage'!$B$2:$B$42,0)),"")</f>
        <v/>
      </c>
      <c r="DA963" s="145" t="str">
        <f>IF($I963&lt;&gt;"",J963*INDEX('Device Refrigerant Leakage'!$D$2:$D$42,MATCH($Q963,'Device Refrigerant Leakage'!$B$2:$B$42,0))*CX963/2204.62*CW963,"")</f>
        <v/>
      </c>
      <c r="DB963" s="145" t="str">
        <f>IF($I963&lt;&gt;"",J963*(INDEX('Device Refrigerant Leakage'!$D$2:$D$42,MATCH($Q963,'Device Refrigerant Leakage'!$B$2:$B$42,0))-(INDEX('Device Refrigerant Leakage'!$D$2:$D$42,MATCH($Q963,'Device Refrigerant Leakage'!$B$2:$B$42,0)))*CZ963*CX963)*CY963/2204.62*CW963,"")</f>
        <v/>
      </c>
      <c r="DC963" s="135" t="str">
        <f t="shared" si="1096"/>
        <v/>
      </c>
      <c r="DE963" s="146" t="str">
        <f>IF(W963&lt;&gt;"AR","",IF(Y963="User Specified", AA963, INDEX('Refrigerant GWPs'!$G$2:$G$154,MATCH(Y963,'Refrigerant GWPs'!$A$2:$A$154,0))))</f>
        <v/>
      </c>
      <c r="DF963" s="146" t="str">
        <f>IF(W963&lt;&gt;"AR","",INDEX('Device Refrigerant Leakage'!$E$2:$E$42,MATCH(X963,'Device Refrigerant Leakage'!$B$2:$B$42,0)))</f>
        <v/>
      </c>
      <c r="DG963" s="146" t="str">
        <f>IF(W963&lt;&gt;"AR","",INDEX('Device Refrigerant Leakage'!$F$2:$F$42,MATCH(X963,'Device Refrigerant Leakage'!$B$2:$B$42,0)))</f>
        <v/>
      </c>
      <c r="DH963" s="146" t="str">
        <f>IF(W963&lt;&gt;"AR","",INDEX('Device Refrigerant Leakage'!$G$2:$G$42,MATCH(X963,'Device Refrigerant Leakage'!$B$2:$B$42,0)))</f>
        <v/>
      </c>
      <c r="DI963" s="146" t="str">
        <f>IF(W963&lt;&gt;"AR","",J963*INDEX('Device Refrigerant Leakage'!$D$2:$D$42,MATCH(X963,'Device Refrigerant Leakage'!$B$2:$B$42,0))*DF963/2204.62*DE963)</f>
        <v/>
      </c>
      <c r="DJ963" s="146" t="str">
        <f>IF(W963&lt;&gt;"AR","",J963*(INDEX('Device Refrigerant Leakage'!$D$2:$D$42,MATCH(X963,'Device Refrigerant Leakage'!$B$2:$B$42,0))-(INDEX('Device Refrigerant Leakage'!$D$2:$D$42,MATCH(X963,'Device Refrigerant Leakage'!$B$2:$B$42,0)))*DH963*DF963)*DG963/2204.62*DE963)</f>
        <v/>
      </c>
      <c r="DK963" s="146" t="str">
        <f>IF(W963&lt;&gt;"AR","",DI963*(K963-AB963)+'Fuel Sub Calcs-Deemed'!DJ963*((K963-AB963)/INDEX('Device Refrigerant Leakage'!$C$2:$C$42,MATCH('Fuel Sub Calcs-Deemed'!X963,'Device Refrigerant Leakage'!$B$2:$B$42,0))))</f>
        <v/>
      </c>
      <c r="DM963" s="56">
        <v>949</v>
      </c>
      <c r="DN963" s="67" t="e">
        <f t="shared" si="1078"/>
        <v>#N/A</v>
      </c>
      <c r="DO963" s="45" t="e">
        <f t="shared" si="1079"/>
        <v>#N/A</v>
      </c>
      <c r="DP963" s="67" t="e">
        <f t="shared" si="1080"/>
        <v>#N/A</v>
      </c>
      <c r="DQ963" s="45" t="e">
        <f t="shared" si="1081"/>
        <v>#N/A</v>
      </c>
      <c r="DR963" s="69" t="e">
        <f t="shared" si="1082"/>
        <v>#N/A</v>
      </c>
      <c r="DS963" s="34"/>
      <c r="DT963" s="67" t="e">
        <f>((BX963*CJ963)+IF($W963=MAT_AR,(BZ963*CL963),0))*(1+Reference!$E$50+Reference!$E$51)</f>
        <v>#N/A</v>
      </c>
      <c r="DU963" s="67">
        <f>((BY963*CK963)+IF($W963=MAT_AR,(CA963*CM963),0))*(1+Reference!$G$50+Reference!$G$51)</f>
        <v>0</v>
      </c>
      <c r="DV963" s="67" t="e">
        <f t="shared" si="1083"/>
        <v>#VALUE!</v>
      </c>
      <c r="DX963" s="56">
        <v>949</v>
      </c>
      <c r="DY963" s="67">
        <f t="shared" si="1084"/>
        <v>0</v>
      </c>
      <c r="DZ963" s="45" t="e">
        <f>VLOOKUP($R963,Dropdown!$C$3:$D$4,2,FALSE)</f>
        <v>#N/A</v>
      </c>
      <c r="EA963" s="68">
        <f t="shared" si="1085"/>
        <v>0</v>
      </c>
      <c r="EB963" s="68" t="str">
        <f t="shared" si="1086"/>
        <v>N/A</v>
      </c>
      <c r="EC963" s="68">
        <f t="shared" si="1087"/>
        <v>0</v>
      </c>
      <c r="ED963" s="68" t="str">
        <f t="shared" si="1125"/>
        <v>N/A</v>
      </c>
      <c r="EF963" s="56">
        <v>949</v>
      </c>
      <c r="EG963" s="46">
        <f t="shared" si="1088"/>
        <v>0</v>
      </c>
      <c r="EH963" s="68" t="e">
        <f t="shared" si="1089"/>
        <v>#N/A</v>
      </c>
      <c r="EI963" s="68" t="e">
        <f t="shared" si="1090"/>
        <v>#N/A</v>
      </c>
      <c r="EJ963" s="68" t="e">
        <f t="shared" si="1091"/>
        <v>#N/A</v>
      </c>
      <c r="EK963" s="68" t="e">
        <f t="shared" si="1092"/>
        <v>#N/A</v>
      </c>
      <c r="EL963" s="46">
        <f t="shared" si="1093"/>
        <v>0</v>
      </c>
      <c r="EM963" s="46">
        <f t="shared" si="1094"/>
        <v>0</v>
      </c>
    </row>
    <row r="964" spans="1:143">
      <c r="A964" s="89"/>
      <c r="B964" s="89"/>
      <c r="C964" s="89"/>
      <c r="D964" s="89"/>
      <c r="E964" s="89"/>
      <c r="F964" s="89"/>
      <c r="G964" s="34"/>
      <c r="H964" s="56">
        <f t="shared" si="1095"/>
        <v>950</v>
      </c>
      <c r="I964" s="165"/>
      <c r="J964" s="163"/>
      <c r="K964" s="163"/>
      <c r="L964" s="164"/>
      <c r="M964" s="155"/>
      <c r="N964" s="155"/>
      <c r="O964" s="144"/>
      <c r="P964" s="159" t="str">
        <f>IFERROR(IF(O964&lt;&gt;"User Specified",IF(O964&lt;&gt;"", INDEX('Refrigerant GWPs'!$G$2:$G$154,MATCH(O964,'Refrigerant GWPs'!$A$2:$A$154,0)),""),U964),0)</f>
        <v/>
      </c>
      <c r="Q964" s="155"/>
      <c r="R964" s="155"/>
      <c r="S964" s="144"/>
      <c r="T964" s="159" t="str">
        <f>IF(S964&lt;&gt;"User Specified",IF(AND(S964&lt;&gt;"User Specified",S964&lt;&gt;""), INDEX('Refrigerant GWPs'!$G$2:$G$154,MATCH(S964,'Refrigerant GWPs'!$A$2:$A$154,0)),""),V964)</f>
        <v/>
      </c>
      <c r="U964" s="144"/>
      <c r="V964" s="144"/>
      <c r="W964" s="155"/>
      <c r="X964" s="155"/>
      <c r="Y964" s="144"/>
      <c r="Z964" s="159" t="str">
        <f>IF(AND(Y964&lt;&gt;"User Specified",Y964&lt;&gt;""), INDEX('Refrigerant GWPs'!$G$2:$G$154,MATCH(Y964,'Refrigerant GWPs'!$A$2:$A$154,0)),"")</f>
        <v/>
      </c>
      <c r="AA964" s="155"/>
      <c r="AB964" s="156"/>
      <c r="AC964" s="66"/>
      <c r="AD964" s="66"/>
      <c r="AE964" s="66"/>
      <c r="AF964" s="66"/>
      <c r="AG964" s="66"/>
      <c r="AH964" s="66"/>
      <c r="AI964" s="34"/>
      <c r="AJ964" s="88">
        <f t="shared" si="1058"/>
        <v>0</v>
      </c>
      <c r="AK964" s="88">
        <f t="shared" si="1059"/>
        <v>0</v>
      </c>
      <c r="AL964" s="88">
        <v>0</v>
      </c>
      <c r="AM964" s="88">
        <v>0</v>
      </c>
      <c r="AN964" s="81" t="str">
        <f t="shared" si="1097"/>
        <v/>
      </c>
      <c r="AO964" s="88">
        <f t="shared" si="1060"/>
        <v>0</v>
      </c>
      <c r="AP964" s="88">
        <f t="shared" si="1061"/>
        <v>0</v>
      </c>
      <c r="AQ964" s="81" t="str">
        <f t="shared" si="1062"/>
        <v/>
      </c>
      <c r="AS964" s="41" t="b">
        <f t="shared" si="1063"/>
        <v>1</v>
      </c>
      <c r="AT964" s="38">
        <f t="shared" si="1064"/>
        <v>0</v>
      </c>
      <c r="AU964" s="60">
        <f t="shared" si="1065"/>
        <v>0</v>
      </c>
      <c r="AV964" s="41">
        <f t="shared" si="1066"/>
        <v>0</v>
      </c>
      <c r="AW964" s="41" t="b">
        <f t="shared" si="1067"/>
        <v>0</v>
      </c>
      <c r="AX964" t="str">
        <f t="shared" si="1068"/>
        <v>+00</v>
      </c>
      <c r="AY964" t="str">
        <f t="shared" si="1069"/>
        <v>+00</v>
      </c>
      <c r="BA964" s="47" t="b">
        <f t="shared" si="1098"/>
        <v>1</v>
      </c>
      <c r="BB964" s="42" t="b">
        <f t="shared" si="1099"/>
        <v>1</v>
      </c>
      <c r="BC964" s="42" t="b">
        <f t="shared" si="1100"/>
        <v>0</v>
      </c>
      <c r="BD964" s="42" t="b">
        <f t="shared" si="1101"/>
        <v>0</v>
      </c>
      <c r="BE964" s="70">
        <f t="shared" si="1102"/>
        <v>0</v>
      </c>
      <c r="BF964" s="70">
        <f t="shared" si="1103"/>
        <v>0</v>
      </c>
      <c r="BG964" s="34"/>
      <c r="BI964" s="47" t="b">
        <f t="shared" si="1104"/>
        <v>1</v>
      </c>
      <c r="BJ964" s="47" t="b">
        <f t="shared" si="1105"/>
        <v>1</v>
      </c>
      <c r="BK964" s="42" t="b">
        <f t="shared" si="1106"/>
        <v>0</v>
      </c>
      <c r="BL964" s="42" t="b">
        <f t="shared" si="1107"/>
        <v>0</v>
      </c>
      <c r="BM964" s="42">
        <f t="shared" si="1108"/>
        <v>0</v>
      </c>
      <c r="BN964" s="42">
        <f t="shared" si="1109"/>
        <v>0</v>
      </c>
      <c r="BP964" t="e">
        <f t="shared" si="1110"/>
        <v>#N/A</v>
      </c>
      <c r="BQ964" t="e">
        <f t="shared" si="1111"/>
        <v>#N/A</v>
      </c>
      <c r="BR964" t="e">
        <f t="shared" si="1112"/>
        <v>#N/A</v>
      </c>
      <c r="BT964" s="60">
        <f t="shared" si="1113"/>
        <v>0</v>
      </c>
      <c r="BU964" s="60">
        <f t="shared" si="1114"/>
        <v>0</v>
      </c>
      <c r="BV964" s="60">
        <f t="shared" si="1115"/>
        <v>0</v>
      </c>
      <c r="BW964" s="60">
        <f t="shared" si="1116"/>
        <v>0</v>
      </c>
      <c r="BX964" s="60">
        <f t="shared" si="1117"/>
        <v>0</v>
      </c>
      <c r="BY964" s="60">
        <f t="shared" si="1118"/>
        <v>0</v>
      </c>
      <c r="BZ964" s="60">
        <f t="shared" si="1119"/>
        <v>0</v>
      </c>
      <c r="CA964" s="60">
        <f t="shared" si="1120"/>
        <v>0</v>
      </c>
      <c r="CB964" s="60" t="e">
        <f t="shared" si="1070"/>
        <v>#N/A</v>
      </c>
      <c r="CC964" s="60">
        <f t="shared" si="1071"/>
        <v>100000</v>
      </c>
      <c r="CD964" s="60" t="e">
        <f t="shared" si="1072"/>
        <v>#N/A</v>
      </c>
      <c r="CE964" s="60">
        <f t="shared" si="1073"/>
        <v>100000</v>
      </c>
      <c r="CF964" s="83" t="e">
        <f t="shared" si="1121"/>
        <v>#N/A</v>
      </c>
      <c r="CG964" s="83">
        <f t="shared" si="1122"/>
        <v>0</v>
      </c>
      <c r="CH964" s="83" t="e">
        <f t="shared" si="1123"/>
        <v>#N/A</v>
      </c>
      <c r="CI964" s="83">
        <f t="shared" si="1124"/>
        <v>0</v>
      </c>
      <c r="CJ964" s="86" t="e">
        <f t="shared" si="1074"/>
        <v>#N/A</v>
      </c>
      <c r="CK964" s="82">
        <f t="shared" si="1075"/>
        <v>5.3070370403969858E-3</v>
      </c>
      <c r="CL964" s="82" t="e">
        <f t="shared" si="1076"/>
        <v>#N/A</v>
      </c>
      <c r="CM964" s="82">
        <f t="shared" si="1077"/>
        <v>5.3070370403969858E-3</v>
      </c>
      <c r="CO964" s="149" t="str">
        <f>IF($I964&lt;&gt;"",IF(O964="User Specified",U964,INDEX('Refrigerant GWPs'!$G$2:$G$156,MATCH(O964,'Refrigerant GWPs'!$A$2:$A$156,0))),"")</f>
        <v/>
      </c>
      <c r="CP964" s="138" t="str">
        <f>IF($I964&lt;&gt;"",INDEX('Device Refrigerant Leakage'!$E$2:$E$42,MATCH($M964,'Device Refrigerant Leakage'!$B$2:$B$42,0)),"")</f>
        <v/>
      </c>
      <c r="CQ964" s="138" t="str">
        <f>IF($I964&lt;&gt;"",INDEX('Device Refrigerant Leakage'!$F$2:$F$42,MATCH($M964,'Device Refrigerant Leakage'!$B$2:$B$42,0)),"")</f>
        <v/>
      </c>
      <c r="CR964" s="145" t="str">
        <f>IF($I964&lt;&gt;"",INDEX('Device Refrigerant Leakage'!$G$2:$G$42,MATCH($M964,'Device Refrigerant Leakage'!$B$2:$B$42,0)),"")</f>
        <v/>
      </c>
      <c r="CS964" s="145" t="str">
        <f>IF($I964&lt;&gt;"",INDEX('Device Refrigerant Leakage'!$D$2:$D$42,MATCH($M964,'Device Refrigerant Leakage'!$B$2:$B$42,0))*CP964/2204.62*CO964,"")</f>
        <v/>
      </c>
      <c r="CT964" s="145" t="str">
        <f>IF($I964&lt;&gt;"",J964*(INDEX('Device Refrigerant Leakage'!$D$2:$D$42,MATCH($M964,'Device Refrigerant Leakage'!$B$2:$B$42,0))-(INDEX('Device Refrigerant Leakage'!$D$2:$D$42,MATCH($M964,'Device Refrigerant Leakage'!$B$2:$B$42,0)))*CR964*CP964)*CQ964/2204.62*CO964,"")</f>
        <v/>
      </c>
      <c r="CU964" s="135" t="str">
        <f>IF($I964&lt;&gt;"",J964*IF(W964&lt;&gt;"AR",(CS964*K964)+CT964,(CS964*AB964)+CT964*(AB964/INDEX('Device Refrigerant Leakage'!$C$2:$C$42,MATCH($M964,'Device Refrigerant Leakage'!$B$2:$B$42,0)))),"")</f>
        <v/>
      </c>
      <c r="CW964" s="135" t="str">
        <f>IF($I964&lt;&gt;"",IF(S964="User Specified",V964,INDEX('Refrigerant GWPs'!$G$2:$G$156,MATCH(S964,'Refrigerant GWPs'!$A$2:$A$157,0))),"")</f>
        <v/>
      </c>
      <c r="CX964" s="138" t="str">
        <f>IF($I964&lt;&gt;"",INDEX('Device Refrigerant Leakage'!$E$2:$E$42,MATCH($Q964,'Device Refrigerant Leakage'!$B$2:$B$42,0)),"")</f>
        <v/>
      </c>
      <c r="CY964" s="138" t="str">
        <f>IF($I964&lt;&gt;"",INDEX('Device Refrigerant Leakage'!$F$2:$F$42,MATCH($Q964,'Device Refrigerant Leakage'!$B$2:$B$42,0)),"")</f>
        <v/>
      </c>
      <c r="CZ964" s="145" t="str">
        <f>IF($I964&lt;&gt;"",INDEX('Device Refrigerant Leakage'!$G$2:$G$42,MATCH($Q964,'Device Refrigerant Leakage'!$B$2:$B$42,0)),"")</f>
        <v/>
      </c>
      <c r="DA964" s="145" t="str">
        <f>IF($I964&lt;&gt;"",J964*INDEX('Device Refrigerant Leakage'!$D$2:$D$42,MATCH($Q964,'Device Refrigerant Leakage'!$B$2:$B$42,0))*CX964/2204.62*CW964,"")</f>
        <v/>
      </c>
      <c r="DB964" s="145" t="str">
        <f>IF($I964&lt;&gt;"",J964*(INDEX('Device Refrigerant Leakage'!$D$2:$D$42,MATCH($Q964,'Device Refrigerant Leakage'!$B$2:$B$42,0))-(INDEX('Device Refrigerant Leakage'!$D$2:$D$42,MATCH($Q964,'Device Refrigerant Leakage'!$B$2:$B$42,0)))*CZ964*CX964)*CY964/2204.62*CW964,"")</f>
        <v/>
      </c>
      <c r="DC964" s="135" t="str">
        <f t="shared" si="1096"/>
        <v/>
      </c>
      <c r="DE964" s="146" t="str">
        <f>IF(W964&lt;&gt;"AR","",IF(Y964="User Specified", AA964, INDEX('Refrigerant GWPs'!$G$2:$G$154,MATCH(Y964,'Refrigerant GWPs'!$A$2:$A$154,0))))</f>
        <v/>
      </c>
      <c r="DF964" s="146" t="str">
        <f>IF(W964&lt;&gt;"AR","",INDEX('Device Refrigerant Leakage'!$E$2:$E$42,MATCH(X964,'Device Refrigerant Leakage'!$B$2:$B$42,0)))</f>
        <v/>
      </c>
      <c r="DG964" s="146" t="str">
        <f>IF(W964&lt;&gt;"AR","",INDEX('Device Refrigerant Leakage'!$F$2:$F$42,MATCH(X964,'Device Refrigerant Leakage'!$B$2:$B$42,0)))</f>
        <v/>
      </c>
      <c r="DH964" s="146" t="str">
        <f>IF(W964&lt;&gt;"AR","",INDEX('Device Refrigerant Leakage'!$G$2:$G$42,MATCH(X964,'Device Refrigerant Leakage'!$B$2:$B$42,0)))</f>
        <v/>
      </c>
      <c r="DI964" s="146" t="str">
        <f>IF(W964&lt;&gt;"AR","",J964*INDEX('Device Refrigerant Leakage'!$D$2:$D$42,MATCH(X964,'Device Refrigerant Leakage'!$B$2:$B$42,0))*DF964/2204.62*DE964)</f>
        <v/>
      </c>
      <c r="DJ964" s="146" t="str">
        <f>IF(W964&lt;&gt;"AR","",J964*(INDEX('Device Refrigerant Leakage'!$D$2:$D$42,MATCH(X964,'Device Refrigerant Leakage'!$B$2:$B$42,0))-(INDEX('Device Refrigerant Leakage'!$D$2:$D$42,MATCH(X964,'Device Refrigerant Leakage'!$B$2:$B$42,0)))*DH964*DF964)*DG964/2204.62*DE964)</f>
        <v/>
      </c>
      <c r="DK964" s="146" t="str">
        <f>IF(W964&lt;&gt;"AR","",DI964*(K964-AB964)+'Fuel Sub Calcs-Deemed'!DJ964*((K964-AB964)/INDEX('Device Refrigerant Leakage'!$C$2:$C$42,MATCH('Fuel Sub Calcs-Deemed'!X964,'Device Refrigerant Leakage'!$B$2:$B$42,0))))</f>
        <v/>
      </c>
      <c r="DM964" s="56">
        <v>950</v>
      </c>
      <c r="DN964" s="67" t="e">
        <f t="shared" si="1078"/>
        <v>#N/A</v>
      </c>
      <c r="DO964" s="45" t="e">
        <f t="shared" si="1079"/>
        <v>#N/A</v>
      </c>
      <c r="DP964" s="67" t="e">
        <f t="shared" si="1080"/>
        <v>#N/A</v>
      </c>
      <c r="DQ964" s="45" t="e">
        <f t="shared" si="1081"/>
        <v>#N/A</v>
      </c>
      <c r="DR964" s="69" t="e">
        <f t="shared" si="1082"/>
        <v>#N/A</v>
      </c>
      <c r="DS964" s="34"/>
      <c r="DT964" s="67" t="e">
        <f>((BX964*CJ964)+IF($W964=MAT_AR,(BZ964*CL964),0))*(1+Reference!$E$50+Reference!$E$51)</f>
        <v>#N/A</v>
      </c>
      <c r="DU964" s="67">
        <f>((BY964*CK964)+IF($W964=MAT_AR,(CA964*CM964),0))*(1+Reference!$G$50+Reference!$G$51)</f>
        <v>0</v>
      </c>
      <c r="DV964" s="67" t="e">
        <f t="shared" si="1083"/>
        <v>#VALUE!</v>
      </c>
      <c r="DX964" s="56">
        <v>950</v>
      </c>
      <c r="DY964" s="67">
        <f t="shared" si="1084"/>
        <v>0</v>
      </c>
      <c r="DZ964" s="45" t="e">
        <f>VLOOKUP($R964,Dropdown!$C$3:$D$4,2,FALSE)</f>
        <v>#N/A</v>
      </c>
      <c r="EA964" s="68">
        <f t="shared" si="1085"/>
        <v>0</v>
      </c>
      <c r="EB964" s="68" t="str">
        <f t="shared" si="1086"/>
        <v>N/A</v>
      </c>
      <c r="EC964" s="68">
        <f t="shared" si="1087"/>
        <v>0</v>
      </c>
      <c r="ED964" s="68" t="str">
        <f t="shared" si="1125"/>
        <v>N/A</v>
      </c>
      <c r="EF964" s="56">
        <v>950</v>
      </c>
      <c r="EG964" s="46">
        <f t="shared" si="1088"/>
        <v>0</v>
      </c>
      <c r="EH964" s="68" t="e">
        <f t="shared" si="1089"/>
        <v>#N/A</v>
      </c>
      <c r="EI964" s="68" t="e">
        <f t="shared" si="1090"/>
        <v>#N/A</v>
      </c>
      <c r="EJ964" s="68" t="e">
        <f t="shared" si="1091"/>
        <v>#N/A</v>
      </c>
      <c r="EK964" s="68" t="e">
        <f t="shared" si="1092"/>
        <v>#N/A</v>
      </c>
      <c r="EL964" s="46">
        <f t="shared" si="1093"/>
        <v>0</v>
      </c>
      <c r="EM964" s="46">
        <f t="shared" si="1094"/>
        <v>0</v>
      </c>
    </row>
    <row r="965" spans="1:143">
      <c r="A965" s="89"/>
      <c r="B965" s="89"/>
      <c r="C965" s="89"/>
      <c r="D965" s="89"/>
      <c r="E965" s="89"/>
      <c r="F965" s="89"/>
      <c r="G965" s="34"/>
      <c r="H965" s="56">
        <f t="shared" si="1095"/>
        <v>951</v>
      </c>
      <c r="I965" s="165"/>
      <c r="J965" s="163"/>
      <c r="K965" s="163"/>
      <c r="L965" s="164"/>
      <c r="M965" s="155"/>
      <c r="N965" s="155"/>
      <c r="O965" s="144"/>
      <c r="P965" s="159" t="str">
        <f>IFERROR(IF(O965&lt;&gt;"User Specified",IF(O965&lt;&gt;"", INDEX('Refrigerant GWPs'!$G$2:$G$154,MATCH(O965,'Refrigerant GWPs'!$A$2:$A$154,0)),""),U965),0)</f>
        <v/>
      </c>
      <c r="Q965" s="155"/>
      <c r="R965" s="155"/>
      <c r="S965" s="144"/>
      <c r="T965" s="159" t="str">
        <f>IF(S965&lt;&gt;"User Specified",IF(AND(S965&lt;&gt;"User Specified",S965&lt;&gt;""), INDEX('Refrigerant GWPs'!$G$2:$G$154,MATCH(S965,'Refrigerant GWPs'!$A$2:$A$154,0)),""),V965)</f>
        <v/>
      </c>
      <c r="U965" s="144"/>
      <c r="V965" s="144"/>
      <c r="W965" s="155"/>
      <c r="X965" s="155"/>
      <c r="Y965" s="144"/>
      <c r="Z965" s="159" t="str">
        <f>IF(AND(Y965&lt;&gt;"User Specified",Y965&lt;&gt;""), INDEX('Refrigerant GWPs'!$G$2:$G$154,MATCH(Y965,'Refrigerant GWPs'!$A$2:$A$154,0)),"")</f>
        <v/>
      </c>
      <c r="AA965" s="155"/>
      <c r="AB965" s="156"/>
      <c r="AC965" s="66"/>
      <c r="AD965" s="66"/>
      <c r="AE965" s="66"/>
      <c r="AF965" s="66"/>
      <c r="AG965" s="66"/>
      <c r="AH965" s="66"/>
      <c r="AI965" s="34"/>
      <c r="AJ965" s="88">
        <f t="shared" si="1058"/>
        <v>0</v>
      </c>
      <c r="AK965" s="88">
        <f t="shared" si="1059"/>
        <v>0</v>
      </c>
      <c r="AL965" s="88">
        <v>0</v>
      </c>
      <c r="AM965" s="88">
        <v>0</v>
      </c>
      <c r="AN965" s="81" t="str">
        <f t="shared" si="1097"/>
        <v/>
      </c>
      <c r="AO965" s="88">
        <f t="shared" si="1060"/>
        <v>0</v>
      </c>
      <c r="AP965" s="88">
        <f t="shared" si="1061"/>
        <v>0</v>
      </c>
      <c r="AQ965" s="81" t="str">
        <f t="shared" si="1062"/>
        <v/>
      </c>
      <c r="AS965" s="41" t="b">
        <f t="shared" si="1063"/>
        <v>1</v>
      </c>
      <c r="AT965" s="38">
        <f t="shared" si="1064"/>
        <v>0</v>
      </c>
      <c r="AU965" s="60">
        <f t="shared" si="1065"/>
        <v>0</v>
      </c>
      <c r="AV965" s="41">
        <f t="shared" si="1066"/>
        <v>0</v>
      </c>
      <c r="AW965" s="41" t="b">
        <f t="shared" si="1067"/>
        <v>0</v>
      </c>
      <c r="AX965" t="str">
        <f t="shared" si="1068"/>
        <v>+00</v>
      </c>
      <c r="AY965" t="str">
        <f t="shared" si="1069"/>
        <v>+00</v>
      </c>
      <c r="BA965" s="47" t="b">
        <f t="shared" si="1098"/>
        <v>1</v>
      </c>
      <c r="BB965" s="42" t="b">
        <f t="shared" si="1099"/>
        <v>1</v>
      </c>
      <c r="BC965" s="42" t="b">
        <f t="shared" si="1100"/>
        <v>0</v>
      </c>
      <c r="BD965" s="42" t="b">
        <f t="shared" si="1101"/>
        <v>0</v>
      </c>
      <c r="BE965" s="70">
        <f t="shared" si="1102"/>
        <v>0</v>
      </c>
      <c r="BF965" s="70">
        <f t="shared" si="1103"/>
        <v>0</v>
      </c>
      <c r="BG965" s="34"/>
      <c r="BI965" s="47" t="b">
        <f t="shared" si="1104"/>
        <v>1</v>
      </c>
      <c r="BJ965" s="47" t="b">
        <f t="shared" si="1105"/>
        <v>1</v>
      </c>
      <c r="BK965" s="42" t="b">
        <f t="shared" si="1106"/>
        <v>0</v>
      </c>
      <c r="BL965" s="42" t="b">
        <f t="shared" si="1107"/>
        <v>0</v>
      </c>
      <c r="BM965" s="42">
        <f t="shared" si="1108"/>
        <v>0</v>
      </c>
      <c r="BN965" s="42">
        <f t="shared" si="1109"/>
        <v>0</v>
      </c>
      <c r="BP965" t="e">
        <f t="shared" si="1110"/>
        <v>#N/A</v>
      </c>
      <c r="BQ965" t="e">
        <f t="shared" si="1111"/>
        <v>#N/A</v>
      </c>
      <c r="BR965" t="e">
        <f t="shared" si="1112"/>
        <v>#N/A</v>
      </c>
      <c r="BT965" s="60">
        <f t="shared" si="1113"/>
        <v>0</v>
      </c>
      <c r="BU965" s="60">
        <f t="shared" si="1114"/>
        <v>0</v>
      </c>
      <c r="BV965" s="60">
        <f t="shared" si="1115"/>
        <v>0</v>
      </c>
      <c r="BW965" s="60">
        <f t="shared" si="1116"/>
        <v>0</v>
      </c>
      <c r="BX965" s="60">
        <f t="shared" si="1117"/>
        <v>0</v>
      </c>
      <c r="BY965" s="60">
        <f t="shared" si="1118"/>
        <v>0</v>
      </c>
      <c r="BZ965" s="60">
        <f t="shared" si="1119"/>
        <v>0</v>
      </c>
      <c r="CA965" s="60">
        <f t="shared" si="1120"/>
        <v>0</v>
      </c>
      <c r="CB965" s="60" t="e">
        <f t="shared" si="1070"/>
        <v>#N/A</v>
      </c>
      <c r="CC965" s="60">
        <f t="shared" si="1071"/>
        <v>100000</v>
      </c>
      <c r="CD965" s="60" t="e">
        <f t="shared" si="1072"/>
        <v>#N/A</v>
      </c>
      <c r="CE965" s="60">
        <f t="shared" si="1073"/>
        <v>100000</v>
      </c>
      <c r="CF965" s="83" t="e">
        <f t="shared" si="1121"/>
        <v>#N/A</v>
      </c>
      <c r="CG965" s="83">
        <f t="shared" si="1122"/>
        <v>0</v>
      </c>
      <c r="CH965" s="83" t="e">
        <f t="shared" si="1123"/>
        <v>#N/A</v>
      </c>
      <c r="CI965" s="83">
        <f t="shared" si="1124"/>
        <v>0</v>
      </c>
      <c r="CJ965" s="86" t="e">
        <f t="shared" si="1074"/>
        <v>#N/A</v>
      </c>
      <c r="CK965" s="82">
        <f t="shared" si="1075"/>
        <v>5.3070370403969858E-3</v>
      </c>
      <c r="CL965" s="82" t="e">
        <f t="shared" si="1076"/>
        <v>#N/A</v>
      </c>
      <c r="CM965" s="82">
        <f t="shared" si="1077"/>
        <v>5.3070370403969858E-3</v>
      </c>
      <c r="CO965" s="149" t="str">
        <f>IF($I965&lt;&gt;"",IF(O965="User Specified",U965,INDEX('Refrigerant GWPs'!$G$2:$G$156,MATCH(O965,'Refrigerant GWPs'!$A$2:$A$156,0))),"")</f>
        <v/>
      </c>
      <c r="CP965" s="138" t="str">
        <f>IF($I965&lt;&gt;"",INDEX('Device Refrigerant Leakage'!$E$2:$E$42,MATCH($M965,'Device Refrigerant Leakage'!$B$2:$B$42,0)),"")</f>
        <v/>
      </c>
      <c r="CQ965" s="138" t="str">
        <f>IF($I965&lt;&gt;"",INDEX('Device Refrigerant Leakage'!$F$2:$F$42,MATCH($M965,'Device Refrigerant Leakage'!$B$2:$B$42,0)),"")</f>
        <v/>
      </c>
      <c r="CR965" s="145" t="str">
        <f>IF($I965&lt;&gt;"",INDEX('Device Refrigerant Leakage'!$G$2:$G$42,MATCH($M965,'Device Refrigerant Leakage'!$B$2:$B$42,0)),"")</f>
        <v/>
      </c>
      <c r="CS965" s="145" t="str">
        <f>IF($I965&lt;&gt;"",INDEX('Device Refrigerant Leakage'!$D$2:$D$42,MATCH($M965,'Device Refrigerant Leakage'!$B$2:$B$42,0))*CP965/2204.62*CO965,"")</f>
        <v/>
      </c>
      <c r="CT965" s="145" t="str">
        <f>IF($I965&lt;&gt;"",J965*(INDEX('Device Refrigerant Leakage'!$D$2:$D$42,MATCH($M965,'Device Refrigerant Leakage'!$B$2:$B$42,0))-(INDEX('Device Refrigerant Leakage'!$D$2:$D$42,MATCH($M965,'Device Refrigerant Leakage'!$B$2:$B$42,0)))*CR965*CP965)*CQ965/2204.62*CO965,"")</f>
        <v/>
      </c>
      <c r="CU965" s="135" t="str">
        <f>IF($I965&lt;&gt;"",J965*IF(W965&lt;&gt;"AR",(CS965*K965)+CT965,(CS965*AB965)+CT965*(AB965/INDEX('Device Refrigerant Leakage'!$C$2:$C$42,MATCH($M965,'Device Refrigerant Leakage'!$B$2:$B$42,0)))),"")</f>
        <v/>
      </c>
      <c r="CW965" s="135" t="str">
        <f>IF($I965&lt;&gt;"",IF(S965="User Specified",V965,INDEX('Refrigerant GWPs'!$G$2:$G$156,MATCH(S965,'Refrigerant GWPs'!$A$2:$A$157,0))),"")</f>
        <v/>
      </c>
      <c r="CX965" s="138" t="str">
        <f>IF($I965&lt;&gt;"",INDEX('Device Refrigerant Leakage'!$E$2:$E$42,MATCH($Q965,'Device Refrigerant Leakage'!$B$2:$B$42,0)),"")</f>
        <v/>
      </c>
      <c r="CY965" s="138" t="str">
        <f>IF($I965&lt;&gt;"",INDEX('Device Refrigerant Leakage'!$F$2:$F$42,MATCH($Q965,'Device Refrigerant Leakage'!$B$2:$B$42,0)),"")</f>
        <v/>
      </c>
      <c r="CZ965" s="145" t="str">
        <f>IF($I965&lt;&gt;"",INDEX('Device Refrigerant Leakage'!$G$2:$G$42,MATCH($Q965,'Device Refrigerant Leakage'!$B$2:$B$42,0)),"")</f>
        <v/>
      </c>
      <c r="DA965" s="145" t="str">
        <f>IF($I965&lt;&gt;"",J965*INDEX('Device Refrigerant Leakage'!$D$2:$D$42,MATCH($Q965,'Device Refrigerant Leakage'!$B$2:$B$42,0))*CX965/2204.62*CW965,"")</f>
        <v/>
      </c>
      <c r="DB965" s="145" t="str">
        <f>IF($I965&lt;&gt;"",J965*(INDEX('Device Refrigerant Leakage'!$D$2:$D$42,MATCH($Q965,'Device Refrigerant Leakage'!$B$2:$B$42,0))-(INDEX('Device Refrigerant Leakage'!$D$2:$D$42,MATCH($Q965,'Device Refrigerant Leakage'!$B$2:$B$42,0)))*CZ965*CX965)*CY965/2204.62*CW965,"")</f>
        <v/>
      </c>
      <c r="DC965" s="135" t="str">
        <f t="shared" si="1096"/>
        <v/>
      </c>
      <c r="DE965" s="146" t="str">
        <f>IF(W965&lt;&gt;"AR","",IF(Y965="User Specified", AA965, INDEX('Refrigerant GWPs'!$G$2:$G$154,MATCH(Y965,'Refrigerant GWPs'!$A$2:$A$154,0))))</f>
        <v/>
      </c>
      <c r="DF965" s="146" t="str">
        <f>IF(W965&lt;&gt;"AR","",INDEX('Device Refrigerant Leakage'!$E$2:$E$42,MATCH(X965,'Device Refrigerant Leakage'!$B$2:$B$42,0)))</f>
        <v/>
      </c>
      <c r="DG965" s="146" t="str">
        <f>IF(W965&lt;&gt;"AR","",INDEX('Device Refrigerant Leakage'!$F$2:$F$42,MATCH(X965,'Device Refrigerant Leakage'!$B$2:$B$42,0)))</f>
        <v/>
      </c>
      <c r="DH965" s="146" t="str">
        <f>IF(W965&lt;&gt;"AR","",INDEX('Device Refrigerant Leakage'!$G$2:$G$42,MATCH(X965,'Device Refrigerant Leakage'!$B$2:$B$42,0)))</f>
        <v/>
      </c>
      <c r="DI965" s="146" t="str">
        <f>IF(W965&lt;&gt;"AR","",J965*INDEX('Device Refrigerant Leakage'!$D$2:$D$42,MATCH(X965,'Device Refrigerant Leakage'!$B$2:$B$42,0))*DF965/2204.62*DE965)</f>
        <v/>
      </c>
      <c r="DJ965" s="146" t="str">
        <f>IF(W965&lt;&gt;"AR","",J965*(INDEX('Device Refrigerant Leakage'!$D$2:$D$42,MATCH(X965,'Device Refrigerant Leakage'!$B$2:$B$42,0))-(INDEX('Device Refrigerant Leakage'!$D$2:$D$42,MATCH(X965,'Device Refrigerant Leakage'!$B$2:$B$42,0)))*DH965*DF965)*DG965/2204.62*DE965)</f>
        <v/>
      </c>
      <c r="DK965" s="146" t="str">
        <f>IF(W965&lt;&gt;"AR","",DI965*(K965-AB965)+'Fuel Sub Calcs-Deemed'!DJ965*((K965-AB965)/INDEX('Device Refrigerant Leakage'!$C$2:$C$42,MATCH('Fuel Sub Calcs-Deemed'!X965,'Device Refrigerant Leakage'!$B$2:$B$42,0))))</f>
        <v/>
      </c>
      <c r="DM965" s="56">
        <v>951</v>
      </c>
      <c r="DN965" s="67" t="e">
        <f t="shared" si="1078"/>
        <v>#N/A</v>
      </c>
      <c r="DO965" s="45" t="e">
        <f t="shared" si="1079"/>
        <v>#N/A</v>
      </c>
      <c r="DP965" s="67" t="e">
        <f t="shared" si="1080"/>
        <v>#N/A</v>
      </c>
      <c r="DQ965" s="45" t="e">
        <f t="shared" si="1081"/>
        <v>#N/A</v>
      </c>
      <c r="DR965" s="69" t="e">
        <f t="shared" si="1082"/>
        <v>#N/A</v>
      </c>
      <c r="DS965" s="34"/>
      <c r="DT965" s="67" t="e">
        <f>((BX965*CJ965)+IF($W965=MAT_AR,(BZ965*CL965),0))*(1+Reference!$E$50+Reference!$E$51)</f>
        <v>#N/A</v>
      </c>
      <c r="DU965" s="67">
        <f>((BY965*CK965)+IF($W965=MAT_AR,(CA965*CM965),0))*(1+Reference!$G$50+Reference!$G$51)</f>
        <v>0</v>
      </c>
      <c r="DV965" s="67" t="e">
        <f t="shared" si="1083"/>
        <v>#VALUE!</v>
      </c>
      <c r="DX965" s="56">
        <v>951</v>
      </c>
      <c r="DY965" s="67">
        <f t="shared" si="1084"/>
        <v>0</v>
      </c>
      <c r="DZ965" s="45" t="e">
        <f>VLOOKUP($R965,Dropdown!$C$3:$D$4,2,FALSE)</f>
        <v>#N/A</v>
      </c>
      <c r="EA965" s="68">
        <f t="shared" si="1085"/>
        <v>0</v>
      </c>
      <c r="EB965" s="68" t="str">
        <f t="shared" si="1086"/>
        <v>N/A</v>
      </c>
      <c r="EC965" s="68">
        <f t="shared" si="1087"/>
        <v>0</v>
      </c>
      <c r="ED965" s="68" t="str">
        <f t="shared" si="1125"/>
        <v>N/A</v>
      </c>
      <c r="EF965" s="56">
        <v>951</v>
      </c>
      <c r="EG965" s="46">
        <f t="shared" si="1088"/>
        <v>0</v>
      </c>
      <c r="EH965" s="68" t="e">
        <f t="shared" si="1089"/>
        <v>#N/A</v>
      </c>
      <c r="EI965" s="68" t="e">
        <f t="shared" si="1090"/>
        <v>#N/A</v>
      </c>
      <c r="EJ965" s="68" t="e">
        <f t="shared" si="1091"/>
        <v>#N/A</v>
      </c>
      <c r="EK965" s="68" t="e">
        <f t="shared" si="1092"/>
        <v>#N/A</v>
      </c>
      <c r="EL965" s="46">
        <f t="shared" si="1093"/>
        <v>0</v>
      </c>
      <c r="EM965" s="46">
        <f t="shared" si="1094"/>
        <v>0</v>
      </c>
    </row>
    <row r="966" spans="1:143">
      <c r="A966" s="89"/>
      <c r="B966" s="89"/>
      <c r="C966" s="89"/>
      <c r="D966" s="89"/>
      <c r="E966" s="89"/>
      <c r="F966" s="89"/>
      <c r="G966" s="34"/>
      <c r="H966" s="56">
        <f t="shared" si="1095"/>
        <v>952</v>
      </c>
      <c r="I966" s="165"/>
      <c r="J966" s="163"/>
      <c r="K966" s="163"/>
      <c r="L966" s="164"/>
      <c r="M966" s="155"/>
      <c r="N966" s="155"/>
      <c r="O966" s="144"/>
      <c r="P966" s="159" t="str">
        <f>IFERROR(IF(O966&lt;&gt;"User Specified",IF(O966&lt;&gt;"", INDEX('Refrigerant GWPs'!$G$2:$G$154,MATCH(O966,'Refrigerant GWPs'!$A$2:$A$154,0)),""),U966),0)</f>
        <v/>
      </c>
      <c r="Q966" s="155"/>
      <c r="R966" s="155"/>
      <c r="S966" s="144"/>
      <c r="T966" s="159" t="str">
        <f>IF(S966&lt;&gt;"User Specified",IF(AND(S966&lt;&gt;"User Specified",S966&lt;&gt;""), INDEX('Refrigerant GWPs'!$G$2:$G$154,MATCH(S966,'Refrigerant GWPs'!$A$2:$A$154,0)),""),V966)</f>
        <v/>
      </c>
      <c r="U966" s="144"/>
      <c r="V966" s="144"/>
      <c r="W966" s="155"/>
      <c r="X966" s="155"/>
      <c r="Y966" s="144"/>
      <c r="Z966" s="159" t="str">
        <f>IF(AND(Y966&lt;&gt;"User Specified",Y966&lt;&gt;""), INDEX('Refrigerant GWPs'!$G$2:$G$154,MATCH(Y966,'Refrigerant GWPs'!$A$2:$A$154,0)),"")</f>
        <v/>
      </c>
      <c r="AA966" s="155"/>
      <c r="AB966" s="156"/>
      <c r="AC966" s="66"/>
      <c r="AD966" s="66"/>
      <c r="AE966" s="66"/>
      <c r="AF966" s="66"/>
      <c r="AG966" s="66"/>
      <c r="AH966" s="66"/>
      <c r="AI966" s="34"/>
      <c r="AJ966" s="88">
        <f t="shared" si="1058"/>
        <v>0</v>
      </c>
      <c r="AK966" s="88">
        <f t="shared" si="1059"/>
        <v>0</v>
      </c>
      <c r="AL966" s="88">
        <v>0</v>
      </c>
      <c r="AM966" s="88">
        <v>0</v>
      </c>
      <c r="AN966" s="81" t="str">
        <f t="shared" si="1097"/>
        <v/>
      </c>
      <c r="AO966" s="88">
        <f t="shared" si="1060"/>
        <v>0</v>
      </c>
      <c r="AP966" s="88">
        <f t="shared" si="1061"/>
        <v>0</v>
      </c>
      <c r="AQ966" s="81" t="str">
        <f t="shared" si="1062"/>
        <v/>
      </c>
      <c r="AS966" s="41" t="b">
        <f t="shared" si="1063"/>
        <v>1</v>
      </c>
      <c r="AT966" s="38">
        <f t="shared" si="1064"/>
        <v>0</v>
      </c>
      <c r="AU966" s="60">
        <f t="shared" si="1065"/>
        <v>0</v>
      </c>
      <c r="AV966" s="41">
        <f t="shared" si="1066"/>
        <v>0</v>
      </c>
      <c r="AW966" s="41" t="b">
        <f t="shared" si="1067"/>
        <v>0</v>
      </c>
      <c r="AX966" t="str">
        <f t="shared" si="1068"/>
        <v>+00</v>
      </c>
      <c r="AY966" t="str">
        <f t="shared" si="1069"/>
        <v>+00</v>
      </c>
      <c r="BA966" s="47" t="b">
        <f t="shared" si="1098"/>
        <v>1</v>
      </c>
      <c r="BB966" s="42" t="b">
        <f t="shared" si="1099"/>
        <v>1</v>
      </c>
      <c r="BC966" s="42" t="b">
        <f t="shared" si="1100"/>
        <v>0</v>
      </c>
      <c r="BD966" s="42" t="b">
        <f t="shared" si="1101"/>
        <v>0</v>
      </c>
      <c r="BE966" s="70">
        <f t="shared" si="1102"/>
        <v>0</v>
      </c>
      <c r="BF966" s="70">
        <f t="shared" si="1103"/>
        <v>0</v>
      </c>
      <c r="BG966" s="34"/>
      <c r="BI966" s="47" t="b">
        <f t="shared" si="1104"/>
        <v>1</v>
      </c>
      <c r="BJ966" s="47" t="b">
        <f t="shared" si="1105"/>
        <v>1</v>
      </c>
      <c r="BK966" s="42" t="b">
        <f t="shared" si="1106"/>
        <v>0</v>
      </c>
      <c r="BL966" s="42" t="b">
        <f t="shared" si="1107"/>
        <v>0</v>
      </c>
      <c r="BM966" s="42">
        <f t="shared" si="1108"/>
        <v>0</v>
      </c>
      <c r="BN966" s="42">
        <f t="shared" si="1109"/>
        <v>0</v>
      </c>
      <c r="BP966" t="e">
        <f t="shared" si="1110"/>
        <v>#N/A</v>
      </c>
      <c r="BQ966" t="e">
        <f t="shared" si="1111"/>
        <v>#N/A</v>
      </c>
      <c r="BR966" t="e">
        <f t="shared" si="1112"/>
        <v>#N/A</v>
      </c>
      <c r="BT966" s="60">
        <f t="shared" si="1113"/>
        <v>0</v>
      </c>
      <c r="BU966" s="60">
        <f t="shared" si="1114"/>
        <v>0</v>
      </c>
      <c r="BV966" s="60">
        <f t="shared" si="1115"/>
        <v>0</v>
      </c>
      <c r="BW966" s="60">
        <f t="shared" si="1116"/>
        <v>0</v>
      </c>
      <c r="BX966" s="60">
        <f t="shared" si="1117"/>
        <v>0</v>
      </c>
      <c r="BY966" s="60">
        <f t="shared" si="1118"/>
        <v>0</v>
      </c>
      <c r="BZ966" s="60">
        <f t="shared" si="1119"/>
        <v>0</v>
      </c>
      <c r="CA966" s="60">
        <f t="shared" si="1120"/>
        <v>0</v>
      </c>
      <c r="CB966" s="60" t="e">
        <f t="shared" si="1070"/>
        <v>#N/A</v>
      </c>
      <c r="CC966" s="60">
        <f t="shared" si="1071"/>
        <v>100000</v>
      </c>
      <c r="CD966" s="60" t="e">
        <f t="shared" si="1072"/>
        <v>#N/A</v>
      </c>
      <c r="CE966" s="60">
        <f t="shared" si="1073"/>
        <v>100000</v>
      </c>
      <c r="CF966" s="83" t="e">
        <f t="shared" si="1121"/>
        <v>#N/A</v>
      </c>
      <c r="CG966" s="83">
        <f t="shared" si="1122"/>
        <v>0</v>
      </c>
      <c r="CH966" s="83" t="e">
        <f t="shared" si="1123"/>
        <v>#N/A</v>
      </c>
      <c r="CI966" s="83">
        <f t="shared" si="1124"/>
        <v>0</v>
      </c>
      <c r="CJ966" s="86" t="e">
        <f t="shared" si="1074"/>
        <v>#N/A</v>
      </c>
      <c r="CK966" s="82">
        <f t="shared" si="1075"/>
        <v>5.3070370403969858E-3</v>
      </c>
      <c r="CL966" s="82" t="e">
        <f t="shared" si="1076"/>
        <v>#N/A</v>
      </c>
      <c r="CM966" s="82">
        <f t="shared" si="1077"/>
        <v>5.3070370403969858E-3</v>
      </c>
      <c r="CO966" s="149" t="str">
        <f>IF($I966&lt;&gt;"",IF(O966="User Specified",U966,INDEX('Refrigerant GWPs'!$G$2:$G$156,MATCH(O966,'Refrigerant GWPs'!$A$2:$A$156,0))),"")</f>
        <v/>
      </c>
      <c r="CP966" s="138" t="str">
        <f>IF($I966&lt;&gt;"",INDEX('Device Refrigerant Leakage'!$E$2:$E$42,MATCH($M966,'Device Refrigerant Leakage'!$B$2:$B$42,0)),"")</f>
        <v/>
      </c>
      <c r="CQ966" s="138" t="str">
        <f>IF($I966&lt;&gt;"",INDEX('Device Refrigerant Leakage'!$F$2:$F$42,MATCH($M966,'Device Refrigerant Leakage'!$B$2:$B$42,0)),"")</f>
        <v/>
      </c>
      <c r="CR966" s="145" t="str">
        <f>IF($I966&lt;&gt;"",INDEX('Device Refrigerant Leakage'!$G$2:$G$42,MATCH($M966,'Device Refrigerant Leakage'!$B$2:$B$42,0)),"")</f>
        <v/>
      </c>
      <c r="CS966" s="145" t="str">
        <f>IF($I966&lt;&gt;"",INDEX('Device Refrigerant Leakage'!$D$2:$D$42,MATCH($M966,'Device Refrigerant Leakage'!$B$2:$B$42,0))*CP966/2204.62*CO966,"")</f>
        <v/>
      </c>
      <c r="CT966" s="145" t="str">
        <f>IF($I966&lt;&gt;"",J966*(INDEX('Device Refrigerant Leakage'!$D$2:$D$42,MATCH($M966,'Device Refrigerant Leakage'!$B$2:$B$42,0))-(INDEX('Device Refrigerant Leakage'!$D$2:$D$42,MATCH($M966,'Device Refrigerant Leakage'!$B$2:$B$42,0)))*CR966*CP966)*CQ966/2204.62*CO966,"")</f>
        <v/>
      </c>
      <c r="CU966" s="135" t="str">
        <f>IF($I966&lt;&gt;"",J966*IF(W966&lt;&gt;"AR",(CS966*K966)+CT966,(CS966*AB966)+CT966*(AB966/INDEX('Device Refrigerant Leakage'!$C$2:$C$42,MATCH($M966,'Device Refrigerant Leakage'!$B$2:$B$42,0)))),"")</f>
        <v/>
      </c>
      <c r="CW966" s="135" t="str">
        <f>IF($I966&lt;&gt;"",IF(S966="User Specified",V966,INDEX('Refrigerant GWPs'!$G$2:$G$156,MATCH(S966,'Refrigerant GWPs'!$A$2:$A$157,0))),"")</f>
        <v/>
      </c>
      <c r="CX966" s="138" t="str">
        <f>IF($I966&lt;&gt;"",INDEX('Device Refrigerant Leakage'!$E$2:$E$42,MATCH($Q966,'Device Refrigerant Leakage'!$B$2:$B$42,0)),"")</f>
        <v/>
      </c>
      <c r="CY966" s="138" t="str">
        <f>IF($I966&lt;&gt;"",INDEX('Device Refrigerant Leakage'!$F$2:$F$42,MATCH($Q966,'Device Refrigerant Leakage'!$B$2:$B$42,0)),"")</f>
        <v/>
      </c>
      <c r="CZ966" s="145" t="str">
        <f>IF($I966&lt;&gt;"",INDEX('Device Refrigerant Leakage'!$G$2:$G$42,MATCH($Q966,'Device Refrigerant Leakage'!$B$2:$B$42,0)),"")</f>
        <v/>
      </c>
      <c r="DA966" s="145" t="str">
        <f>IF($I966&lt;&gt;"",J966*INDEX('Device Refrigerant Leakage'!$D$2:$D$42,MATCH($Q966,'Device Refrigerant Leakage'!$B$2:$B$42,0))*CX966/2204.62*CW966,"")</f>
        <v/>
      </c>
      <c r="DB966" s="145" t="str">
        <f>IF($I966&lt;&gt;"",J966*(INDEX('Device Refrigerant Leakage'!$D$2:$D$42,MATCH($Q966,'Device Refrigerant Leakage'!$B$2:$B$42,0))-(INDEX('Device Refrigerant Leakage'!$D$2:$D$42,MATCH($Q966,'Device Refrigerant Leakage'!$B$2:$B$42,0)))*CZ966*CX966)*CY966/2204.62*CW966,"")</f>
        <v/>
      </c>
      <c r="DC966" s="135" t="str">
        <f t="shared" si="1096"/>
        <v/>
      </c>
      <c r="DE966" s="146" t="str">
        <f>IF(W966&lt;&gt;"AR","",IF(Y966="User Specified", AA966, INDEX('Refrigerant GWPs'!$G$2:$G$154,MATCH(Y966,'Refrigerant GWPs'!$A$2:$A$154,0))))</f>
        <v/>
      </c>
      <c r="DF966" s="146" t="str">
        <f>IF(W966&lt;&gt;"AR","",INDEX('Device Refrigerant Leakage'!$E$2:$E$42,MATCH(X966,'Device Refrigerant Leakage'!$B$2:$B$42,0)))</f>
        <v/>
      </c>
      <c r="DG966" s="146" t="str">
        <f>IF(W966&lt;&gt;"AR","",INDEX('Device Refrigerant Leakage'!$F$2:$F$42,MATCH(X966,'Device Refrigerant Leakage'!$B$2:$B$42,0)))</f>
        <v/>
      </c>
      <c r="DH966" s="146" t="str">
        <f>IF(W966&lt;&gt;"AR","",INDEX('Device Refrigerant Leakage'!$G$2:$G$42,MATCH(X966,'Device Refrigerant Leakage'!$B$2:$B$42,0)))</f>
        <v/>
      </c>
      <c r="DI966" s="146" t="str">
        <f>IF(W966&lt;&gt;"AR","",J966*INDEX('Device Refrigerant Leakage'!$D$2:$D$42,MATCH(X966,'Device Refrigerant Leakage'!$B$2:$B$42,0))*DF966/2204.62*DE966)</f>
        <v/>
      </c>
      <c r="DJ966" s="146" t="str">
        <f>IF(W966&lt;&gt;"AR","",J966*(INDEX('Device Refrigerant Leakage'!$D$2:$D$42,MATCH(X966,'Device Refrigerant Leakage'!$B$2:$B$42,0))-(INDEX('Device Refrigerant Leakage'!$D$2:$D$42,MATCH(X966,'Device Refrigerant Leakage'!$B$2:$B$42,0)))*DH966*DF966)*DG966/2204.62*DE966)</f>
        <v/>
      </c>
      <c r="DK966" s="146" t="str">
        <f>IF(W966&lt;&gt;"AR","",DI966*(K966-AB966)+'Fuel Sub Calcs-Deemed'!DJ966*((K966-AB966)/INDEX('Device Refrigerant Leakage'!$C$2:$C$42,MATCH('Fuel Sub Calcs-Deemed'!X966,'Device Refrigerant Leakage'!$B$2:$B$42,0))))</f>
        <v/>
      </c>
      <c r="DM966" s="56">
        <v>952</v>
      </c>
      <c r="DN966" s="67" t="e">
        <f t="shared" si="1078"/>
        <v>#N/A</v>
      </c>
      <c r="DO966" s="45" t="e">
        <f t="shared" si="1079"/>
        <v>#N/A</v>
      </c>
      <c r="DP966" s="67" t="e">
        <f t="shared" si="1080"/>
        <v>#N/A</v>
      </c>
      <c r="DQ966" s="45" t="e">
        <f t="shared" si="1081"/>
        <v>#N/A</v>
      </c>
      <c r="DR966" s="69" t="e">
        <f t="shared" si="1082"/>
        <v>#N/A</v>
      </c>
      <c r="DS966" s="34"/>
      <c r="DT966" s="67" t="e">
        <f>((BX966*CJ966)+IF($W966=MAT_AR,(BZ966*CL966),0))*(1+Reference!$E$50+Reference!$E$51)</f>
        <v>#N/A</v>
      </c>
      <c r="DU966" s="67">
        <f>((BY966*CK966)+IF($W966=MAT_AR,(CA966*CM966),0))*(1+Reference!$G$50+Reference!$G$51)</f>
        <v>0</v>
      </c>
      <c r="DV966" s="67" t="e">
        <f t="shared" si="1083"/>
        <v>#VALUE!</v>
      </c>
      <c r="DX966" s="56">
        <v>952</v>
      </c>
      <c r="DY966" s="67">
        <f t="shared" si="1084"/>
        <v>0</v>
      </c>
      <c r="DZ966" s="45" t="e">
        <f>VLOOKUP($R966,Dropdown!$C$3:$D$4,2,FALSE)</f>
        <v>#N/A</v>
      </c>
      <c r="EA966" s="68">
        <f t="shared" si="1085"/>
        <v>0</v>
      </c>
      <c r="EB966" s="68" t="str">
        <f t="shared" si="1086"/>
        <v>N/A</v>
      </c>
      <c r="EC966" s="68">
        <f t="shared" si="1087"/>
        <v>0</v>
      </c>
      <c r="ED966" s="68" t="str">
        <f t="shared" si="1125"/>
        <v>N/A</v>
      </c>
      <c r="EF966" s="56">
        <v>952</v>
      </c>
      <c r="EG966" s="46">
        <f t="shared" si="1088"/>
        <v>0</v>
      </c>
      <c r="EH966" s="68" t="e">
        <f t="shared" si="1089"/>
        <v>#N/A</v>
      </c>
      <c r="EI966" s="68" t="e">
        <f t="shared" si="1090"/>
        <v>#N/A</v>
      </c>
      <c r="EJ966" s="68" t="e">
        <f t="shared" si="1091"/>
        <v>#N/A</v>
      </c>
      <c r="EK966" s="68" t="e">
        <f t="shared" si="1092"/>
        <v>#N/A</v>
      </c>
      <c r="EL966" s="46">
        <f t="shared" si="1093"/>
        <v>0</v>
      </c>
      <c r="EM966" s="46">
        <f t="shared" si="1094"/>
        <v>0</v>
      </c>
    </row>
    <row r="967" spans="1:143">
      <c r="A967" s="89"/>
      <c r="B967" s="89"/>
      <c r="C967" s="89"/>
      <c r="D967" s="89"/>
      <c r="E967" s="89"/>
      <c r="F967" s="89"/>
      <c r="G967" s="34"/>
      <c r="H967" s="56">
        <f t="shared" si="1095"/>
        <v>953</v>
      </c>
      <c r="I967" s="165"/>
      <c r="J967" s="163"/>
      <c r="K967" s="163"/>
      <c r="L967" s="164"/>
      <c r="M967" s="155"/>
      <c r="N967" s="155"/>
      <c r="O967" s="144"/>
      <c r="P967" s="159" t="str">
        <f>IFERROR(IF(O967&lt;&gt;"User Specified",IF(O967&lt;&gt;"", INDEX('Refrigerant GWPs'!$G$2:$G$154,MATCH(O967,'Refrigerant GWPs'!$A$2:$A$154,0)),""),U967),0)</f>
        <v/>
      </c>
      <c r="Q967" s="155"/>
      <c r="R967" s="155"/>
      <c r="S967" s="144"/>
      <c r="T967" s="159" t="str">
        <f>IF(S967&lt;&gt;"User Specified",IF(AND(S967&lt;&gt;"User Specified",S967&lt;&gt;""), INDEX('Refrigerant GWPs'!$G$2:$G$154,MATCH(S967,'Refrigerant GWPs'!$A$2:$A$154,0)),""),V967)</f>
        <v/>
      </c>
      <c r="U967" s="144"/>
      <c r="V967" s="144"/>
      <c r="W967" s="155"/>
      <c r="X967" s="155"/>
      <c r="Y967" s="144"/>
      <c r="Z967" s="159" t="str">
        <f>IF(AND(Y967&lt;&gt;"User Specified",Y967&lt;&gt;""), INDEX('Refrigerant GWPs'!$G$2:$G$154,MATCH(Y967,'Refrigerant GWPs'!$A$2:$A$154,0)),"")</f>
        <v/>
      </c>
      <c r="AA967" s="155"/>
      <c r="AB967" s="156"/>
      <c r="AC967" s="66"/>
      <c r="AD967" s="66"/>
      <c r="AE967" s="66"/>
      <c r="AF967" s="66"/>
      <c r="AG967" s="66"/>
      <c r="AH967" s="66"/>
      <c r="AI967" s="34"/>
      <c r="AJ967" s="88">
        <f t="shared" si="1058"/>
        <v>0</v>
      </c>
      <c r="AK967" s="88">
        <f t="shared" si="1059"/>
        <v>0</v>
      </c>
      <c r="AL967" s="88">
        <v>0</v>
      </c>
      <c r="AM967" s="88">
        <v>0</v>
      </c>
      <c r="AN967" s="81" t="str">
        <f t="shared" si="1097"/>
        <v/>
      </c>
      <c r="AO967" s="88">
        <f t="shared" si="1060"/>
        <v>0</v>
      </c>
      <c r="AP967" s="88">
        <f t="shared" si="1061"/>
        <v>0</v>
      </c>
      <c r="AQ967" s="81" t="str">
        <f t="shared" si="1062"/>
        <v/>
      </c>
      <c r="AS967" s="41" t="b">
        <f t="shared" si="1063"/>
        <v>1</v>
      </c>
      <c r="AT967" s="38">
        <f t="shared" si="1064"/>
        <v>0</v>
      </c>
      <c r="AU967" s="60">
        <f t="shared" si="1065"/>
        <v>0</v>
      </c>
      <c r="AV967" s="41">
        <f t="shared" si="1066"/>
        <v>0</v>
      </c>
      <c r="AW967" s="41" t="b">
        <f t="shared" si="1067"/>
        <v>0</v>
      </c>
      <c r="AX967" t="str">
        <f t="shared" si="1068"/>
        <v>+00</v>
      </c>
      <c r="AY967" t="str">
        <f t="shared" si="1069"/>
        <v>+00</v>
      </c>
      <c r="BA967" s="47" t="b">
        <f t="shared" si="1098"/>
        <v>1</v>
      </c>
      <c r="BB967" s="42" t="b">
        <f t="shared" si="1099"/>
        <v>1</v>
      </c>
      <c r="BC967" s="42" t="b">
        <f t="shared" si="1100"/>
        <v>0</v>
      </c>
      <c r="BD967" s="42" t="b">
        <f t="shared" si="1101"/>
        <v>0</v>
      </c>
      <c r="BE967" s="70">
        <f t="shared" si="1102"/>
        <v>0</v>
      </c>
      <c r="BF967" s="70">
        <f t="shared" si="1103"/>
        <v>0</v>
      </c>
      <c r="BG967" s="34"/>
      <c r="BI967" s="47" t="b">
        <f t="shared" si="1104"/>
        <v>1</v>
      </c>
      <c r="BJ967" s="47" t="b">
        <f t="shared" si="1105"/>
        <v>1</v>
      </c>
      <c r="BK967" s="42" t="b">
        <f t="shared" si="1106"/>
        <v>0</v>
      </c>
      <c r="BL967" s="42" t="b">
        <f t="shared" si="1107"/>
        <v>0</v>
      </c>
      <c r="BM967" s="42">
        <f t="shared" si="1108"/>
        <v>0</v>
      </c>
      <c r="BN967" s="42">
        <f t="shared" si="1109"/>
        <v>0</v>
      </c>
      <c r="BP967" t="e">
        <f t="shared" si="1110"/>
        <v>#N/A</v>
      </c>
      <c r="BQ967" t="e">
        <f t="shared" si="1111"/>
        <v>#N/A</v>
      </c>
      <c r="BR967" t="e">
        <f t="shared" si="1112"/>
        <v>#N/A</v>
      </c>
      <c r="BT967" s="60">
        <f t="shared" si="1113"/>
        <v>0</v>
      </c>
      <c r="BU967" s="60">
        <f t="shared" si="1114"/>
        <v>0</v>
      </c>
      <c r="BV967" s="60">
        <f t="shared" si="1115"/>
        <v>0</v>
      </c>
      <c r="BW967" s="60">
        <f t="shared" si="1116"/>
        <v>0</v>
      </c>
      <c r="BX967" s="60">
        <f t="shared" si="1117"/>
        <v>0</v>
      </c>
      <c r="BY967" s="60">
        <f t="shared" si="1118"/>
        <v>0</v>
      </c>
      <c r="BZ967" s="60">
        <f t="shared" si="1119"/>
        <v>0</v>
      </c>
      <c r="CA967" s="60">
        <f t="shared" si="1120"/>
        <v>0</v>
      </c>
      <c r="CB967" s="60" t="e">
        <f t="shared" si="1070"/>
        <v>#N/A</v>
      </c>
      <c r="CC967" s="60">
        <f t="shared" si="1071"/>
        <v>100000</v>
      </c>
      <c r="CD967" s="60" t="e">
        <f t="shared" si="1072"/>
        <v>#N/A</v>
      </c>
      <c r="CE967" s="60">
        <f t="shared" si="1073"/>
        <v>100000</v>
      </c>
      <c r="CF967" s="83" t="e">
        <f t="shared" si="1121"/>
        <v>#N/A</v>
      </c>
      <c r="CG967" s="83">
        <f t="shared" si="1122"/>
        <v>0</v>
      </c>
      <c r="CH967" s="83" t="e">
        <f t="shared" si="1123"/>
        <v>#N/A</v>
      </c>
      <c r="CI967" s="83">
        <f t="shared" si="1124"/>
        <v>0</v>
      </c>
      <c r="CJ967" s="86" t="e">
        <f t="shared" si="1074"/>
        <v>#N/A</v>
      </c>
      <c r="CK967" s="82">
        <f t="shared" si="1075"/>
        <v>5.3070370403969858E-3</v>
      </c>
      <c r="CL967" s="82" t="e">
        <f t="shared" si="1076"/>
        <v>#N/A</v>
      </c>
      <c r="CM967" s="82">
        <f t="shared" si="1077"/>
        <v>5.3070370403969858E-3</v>
      </c>
      <c r="CO967" s="149" t="str">
        <f>IF($I967&lt;&gt;"",IF(O967="User Specified",U967,INDEX('Refrigerant GWPs'!$G$2:$G$156,MATCH(O967,'Refrigerant GWPs'!$A$2:$A$156,0))),"")</f>
        <v/>
      </c>
      <c r="CP967" s="138" t="str">
        <f>IF($I967&lt;&gt;"",INDEX('Device Refrigerant Leakage'!$E$2:$E$42,MATCH($M967,'Device Refrigerant Leakage'!$B$2:$B$42,0)),"")</f>
        <v/>
      </c>
      <c r="CQ967" s="138" t="str">
        <f>IF($I967&lt;&gt;"",INDEX('Device Refrigerant Leakage'!$F$2:$F$42,MATCH($M967,'Device Refrigerant Leakage'!$B$2:$B$42,0)),"")</f>
        <v/>
      </c>
      <c r="CR967" s="145" t="str">
        <f>IF($I967&lt;&gt;"",INDEX('Device Refrigerant Leakage'!$G$2:$G$42,MATCH($M967,'Device Refrigerant Leakage'!$B$2:$B$42,0)),"")</f>
        <v/>
      </c>
      <c r="CS967" s="145" t="str">
        <f>IF($I967&lt;&gt;"",INDEX('Device Refrigerant Leakage'!$D$2:$D$42,MATCH($M967,'Device Refrigerant Leakage'!$B$2:$B$42,0))*CP967/2204.62*CO967,"")</f>
        <v/>
      </c>
      <c r="CT967" s="145" t="str">
        <f>IF($I967&lt;&gt;"",J967*(INDEX('Device Refrigerant Leakage'!$D$2:$D$42,MATCH($M967,'Device Refrigerant Leakage'!$B$2:$B$42,0))-(INDEX('Device Refrigerant Leakage'!$D$2:$D$42,MATCH($M967,'Device Refrigerant Leakage'!$B$2:$B$42,0)))*CR967*CP967)*CQ967/2204.62*CO967,"")</f>
        <v/>
      </c>
      <c r="CU967" s="135" t="str">
        <f>IF($I967&lt;&gt;"",J967*IF(W967&lt;&gt;"AR",(CS967*K967)+CT967,(CS967*AB967)+CT967*(AB967/INDEX('Device Refrigerant Leakage'!$C$2:$C$42,MATCH($M967,'Device Refrigerant Leakage'!$B$2:$B$42,0)))),"")</f>
        <v/>
      </c>
      <c r="CW967" s="135" t="str">
        <f>IF($I967&lt;&gt;"",IF(S967="User Specified",V967,INDEX('Refrigerant GWPs'!$G$2:$G$156,MATCH(S967,'Refrigerant GWPs'!$A$2:$A$157,0))),"")</f>
        <v/>
      </c>
      <c r="CX967" s="138" t="str">
        <f>IF($I967&lt;&gt;"",INDEX('Device Refrigerant Leakage'!$E$2:$E$42,MATCH($Q967,'Device Refrigerant Leakage'!$B$2:$B$42,0)),"")</f>
        <v/>
      </c>
      <c r="CY967" s="138" t="str">
        <f>IF($I967&lt;&gt;"",INDEX('Device Refrigerant Leakage'!$F$2:$F$42,MATCH($Q967,'Device Refrigerant Leakage'!$B$2:$B$42,0)),"")</f>
        <v/>
      </c>
      <c r="CZ967" s="145" t="str">
        <f>IF($I967&lt;&gt;"",INDEX('Device Refrigerant Leakage'!$G$2:$G$42,MATCH($Q967,'Device Refrigerant Leakage'!$B$2:$B$42,0)),"")</f>
        <v/>
      </c>
      <c r="DA967" s="145" t="str">
        <f>IF($I967&lt;&gt;"",J967*INDEX('Device Refrigerant Leakage'!$D$2:$D$42,MATCH($Q967,'Device Refrigerant Leakage'!$B$2:$B$42,0))*CX967/2204.62*CW967,"")</f>
        <v/>
      </c>
      <c r="DB967" s="145" t="str">
        <f>IF($I967&lt;&gt;"",J967*(INDEX('Device Refrigerant Leakage'!$D$2:$D$42,MATCH($Q967,'Device Refrigerant Leakage'!$B$2:$B$42,0))-(INDEX('Device Refrigerant Leakage'!$D$2:$D$42,MATCH($Q967,'Device Refrigerant Leakage'!$B$2:$B$42,0)))*CZ967*CX967)*CY967/2204.62*CW967,"")</f>
        <v/>
      </c>
      <c r="DC967" s="135" t="str">
        <f t="shared" si="1096"/>
        <v/>
      </c>
      <c r="DE967" s="146" t="str">
        <f>IF(W967&lt;&gt;"AR","",IF(Y967="User Specified", AA967, INDEX('Refrigerant GWPs'!$G$2:$G$154,MATCH(Y967,'Refrigerant GWPs'!$A$2:$A$154,0))))</f>
        <v/>
      </c>
      <c r="DF967" s="146" t="str">
        <f>IF(W967&lt;&gt;"AR","",INDEX('Device Refrigerant Leakage'!$E$2:$E$42,MATCH(X967,'Device Refrigerant Leakage'!$B$2:$B$42,0)))</f>
        <v/>
      </c>
      <c r="DG967" s="146" t="str">
        <f>IF(W967&lt;&gt;"AR","",INDEX('Device Refrigerant Leakage'!$F$2:$F$42,MATCH(X967,'Device Refrigerant Leakage'!$B$2:$B$42,0)))</f>
        <v/>
      </c>
      <c r="DH967" s="146" t="str">
        <f>IF(W967&lt;&gt;"AR","",INDEX('Device Refrigerant Leakage'!$G$2:$G$42,MATCH(X967,'Device Refrigerant Leakage'!$B$2:$B$42,0)))</f>
        <v/>
      </c>
      <c r="DI967" s="146" t="str">
        <f>IF(W967&lt;&gt;"AR","",J967*INDEX('Device Refrigerant Leakage'!$D$2:$D$42,MATCH(X967,'Device Refrigerant Leakage'!$B$2:$B$42,0))*DF967/2204.62*DE967)</f>
        <v/>
      </c>
      <c r="DJ967" s="146" t="str">
        <f>IF(W967&lt;&gt;"AR","",J967*(INDEX('Device Refrigerant Leakage'!$D$2:$D$42,MATCH(X967,'Device Refrigerant Leakage'!$B$2:$B$42,0))-(INDEX('Device Refrigerant Leakage'!$D$2:$D$42,MATCH(X967,'Device Refrigerant Leakage'!$B$2:$B$42,0)))*DH967*DF967)*DG967/2204.62*DE967)</f>
        <v/>
      </c>
      <c r="DK967" s="146" t="str">
        <f>IF(W967&lt;&gt;"AR","",DI967*(K967-AB967)+'Fuel Sub Calcs-Deemed'!DJ967*((K967-AB967)/INDEX('Device Refrigerant Leakage'!$C$2:$C$42,MATCH('Fuel Sub Calcs-Deemed'!X967,'Device Refrigerant Leakage'!$B$2:$B$42,0))))</f>
        <v/>
      </c>
      <c r="DM967" s="56">
        <v>953</v>
      </c>
      <c r="DN967" s="67" t="e">
        <f t="shared" si="1078"/>
        <v>#N/A</v>
      </c>
      <c r="DO967" s="45" t="e">
        <f t="shared" si="1079"/>
        <v>#N/A</v>
      </c>
      <c r="DP967" s="67" t="e">
        <f t="shared" si="1080"/>
        <v>#N/A</v>
      </c>
      <c r="DQ967" s="45" t="e">
        <f t="shared" si="1081"/>
        <v>#N/A</v>
      </c>
      <c r="DR967" s="69" t="e">
        <f t="shared" si="1082"/>
        <v>#N/A</v>
      </c>
      <c r="DS967" s="34"/>
      <c r="DT967" s="67" t="e">
        <f>((BX967*CJ967)+IF($W967=MAT_AR,(BZ967*CL967),0))*(1+Reference!$E$50+Reference!$E$51)</f>
        <v>#N/A</v>
      </c>
      <c r="DU967" s="67">
        <f>((BY967*CK967)+IF($W967=MAT_AR,(CA967*CM967),0))*(1+Reference!$G$50+Reference!$G$51)</f>
        <v>0</v>
      </c>
      <c r="DV967" s="67" t="e">
        <f t="shared" si="1083"/>
        <v>#VALUE!</v>
      </c>
      <c r="DX967" s="56">
        <v>953</v>
      </c>
      <c r="DY967" s="67">
        <f t="shared" si="1084"/>
        <v>0</v>
      </c>
      <c r="DZ967" s="45" t="e">
        <f>VLOOKUP($R967,Dropdown!$C$3:$D$4,2,FALSE)</f>
        <v>#N/A</v>
      </c>
      <c r="EA967" s="68">
        <f t="shared" si="1085"/>
        <v>0</v>
      </c>
      <c r="EB967" s="68" t="str">
        <f t="shared" si="1086"/>
        <v>N/A</v>
      </c>
      <c r="EC967" s="68">
        <f t="shared" si="1087"/>
        <v>0</v>
      </c>
      <c r="ED967" s="68" t="str">
        <f t="shared" si="1125"/>
        <v>N/A</v>
      </c>
      <c r="EF967" s="56">
        <v>953</v>
      </c>
      <c r="EG967" s="46">
        <f t="shared" si="1088"/>
        <v>0</v>
      </c>
      <c r="EH967" s="68" t="e">
        <f t="shared" si="1089"/>
        <v>#N/A</v>
      </c>
      <c r="EI967" s="68" t="e">
        <f t="shared" si="1090"/>
        <v>#N/A</v>
      </c>
      <c r="EJ967" s="68" t="e">
        <f t="shared" si="1091"/>
        <v>#N/A</v>
      </c>
      <c r="EK967" s="68" t="e">
        <f t="shared" si="1092"/>
        <v>#N/A</v>
      </c>
      <c r="EL967" s="46">
        <f t="shared" si="1093"/>
        <v>0</v>
      </c>
      <c r="EM967" s="46">
        <f t="shared" si="1094"/>
        <v>0</v>
      </c>
    </row>
    <row r="968" spans="1:143">
      <c r="A968" s="89"/>
      <c r="B968" s="89"/>
      <c r="C968" s="89"/>
      <c r="D968" s="89"/>
      <c r="E968" s="89"/>
      <c r="F968" s="89"/>
      <c r="G968" s="34"/>
      <c r="H968" s="56">
        <f t="shared" si="1095"/>
        <v>954</v>
      </c>
      <c r="I968" s="165"/>
      <c r="J968" s="163"/>
      <c r="K968" s="163"/>
      <c r="L968" s="164"/>
      <c r="M968" s="155"/>
      <c r="N968" s="155"/>
      <c r="O968" s="144"/>
      <c r="P968" s="159" t="str">
        <f>IFERROR(IF(O968&lt;&gt;"User Specified",IF(O968&lt;&gt;"", INDEX('Refrigerant GWPs'!$G$2:$G$154,MATCH(O968,'Refrigerant GWPs'!$A$2:$A$154,0)),""),U968),0)</f>
        <v/>
      </c>
      <c r="Q968" s="155"/>
      <c r="R968" s="155"/>
      <c r="S968" s="144"/>
      <c r="T968" s="159" t="str">
        <f>IF(S968&lt;&gt;"User Specified",IF(AND(S968&lt;&gt;"User Specified",S968&lt;&gt;""), INDEX('Refrigerant GWPs'!$G$2:$G$154,MATCH(S968,'Refrigerant GWPs'!$A$2:$A$154,0)),""),V968)</f>
        <v/>
      </c>
      <c r="U968" s="144"/>
      <c r="V968" s="144"/>
      <c r="W968" s="155"/>
      <c r="X968" s="155"/>
      <c r="Y968" s="144"/>
      <c r="Z968" s="159" t="str">
        <f>IF(AND(Y968&lt;&gt;"User Specified",Y968&lt;&gt;""), INDEX('Refrigerant GWPs'!$G$2:$G$154,MATCH(Y968,'Refrigerant GWPs'!$A$2:$A$154,0)),"")</f>
        <v/>
      </c>
      <c r="AA968" s="155"/>
      <c r="AB968" s="156"/>
      <c r="AC968" s="66"/>
      <c r="AD968" s="66"/>
      <c r="AE968" s="66"/>
      <c r="AF968" s="66"/>
      <c r="AG968" s="66"/>
      <c r="AH968" s="66"/>
      <c r="AI968" s="34"/>
      <c r="AJ968" s="88">
        <f t="shared" si="1058"/>
        <v>0</v>
      </c>
      <c r="AK968" s="88">
        <f t="shared" si="1059"/>
        <v>0</v>
      </c>
      <c r="AL968" s="88">
        <v>0</v>
      </c>
      <c r="AM968" s="88">
        <v>0</v>
      </c>
      <c r="AN968" s="81" t="str">
        <f t="shared" si="1097"/>
        <v/>
      </c>
      <c r="AO968" s="88">
        <f t="shared" si="1060"/>
        <v>0</v>
      </c>
      <c r="AP968" s="88">
        <f t="shared" si="1061"/>
        <v>0</v>
      </c>
      <c r="AQ968" s="81" t="str">
        <f t="shared" si="1062"/>
        <v/>
      </c>
      <c r="AS968" s="41" t="b">
        <f t="shared" si="1063"/>
        <v>1</v>
      </c>
      <c r="AT968" s="38">
        <f t="shared" si="1064"/>
        <v>0</v>
      </c>
      <c r="AU968" s="60">
        <f t="shared" si="1065"/>
        <v>0</v>
      </c>
      <c r="AV968" s="41">
        <f t="shared" si="1066"/>
        <v>0</v>
      </c>
      <c r="AW968" s="41" t="b">
        <f t="shared" si="1067"/>
        <v>0</v>
      </c>
      <c r="AX968" t="str">
        <f t="shared" si="1068"/>
        <v>+00</v>
      </c>
      <c r="AY968" t="str">
        <f t="shared" si="1069"/>
        <v>+00</v>
      </c>
      <c r="BA968" s="47" t="b">
        <f t="shared" si="1098"/>
        <v>1</v>
      </c>
      <c r="BB968" s="42" t="b">
        <f t="shared" si="1099"/>
        <v>1</v>
      </c>
      <c r="BC968" s="42" t="b">
        <f t="shared" si="1100"/>
        <v>0</v>
      </c>
      <c r="BD968" s="42" t="b">
        <f t="shared" si="1101"/>
        <v>0</v>
      </c>
      <c r="BE968" s="70">
        <f t="shared" si="1102"/>
        <v>0</v>
      </c>
      <c r="BF968" s="70">
        <f t="shared" si="1103"/>
        <v>0</v>
      </c>
      <c r="BG968" s="34"/>
      <c r="BI968" s="47" t="b">
        <f t="shared" si="1104"/>
        <v>1</v>
      </c>
      <c r="BJ968" s="47" t="b">
        <f t="shared" si="1105"/>
        <v>1</v>
      </c>
      <c r="BK968" s="42" t="b">
        <f t="shared" si="1106"/>
        <v>0</v>
      </c>
      <c r="BL968" s="42" t="b">
        <f t="shared" si="1107"/>
        <v>0</v>
      </c>
      <c r="BM968" s="42">
        <f t="shared" si="1108"/>
        <v>0</v>
      </c>
      <c r="BN968" s="42">
        <f t="shared" si="1109"/>
        <v>0</v>
      </c>
      <c r="BP968" t="e">
        <f t="shared" si="1110"/>
        <v>#N/A</v>
      </c>
      <c r="BQ968" t="e">
        <f t="shared" si="1111"/>
        <v>#N/A</v>
      </c>
      <c r="BR968" t="e">
        <f t="shared" si="1112"/>
        <v>#N/A</v>
      </c>
      <c r="BT968" s="60">
        <f t="shared" si="1113"/>
        <v>0</v>
      </c>
      <c r="BU968" s="60">
        <f t="shared" si="1114"/>
        <v>0</v>
      </c>
      <c r="BV968" s="60">
        <f t="shared" si="1115"/>
        <v>0</v>
      </c>
      <c r="BW968" s="60">
        <f t="shared" si="1116"/>
        <v>0</v>
      </c>
      <c r="BX968" s="60">
        <f t="shared" si="1117"/>
        <v>0</v>
      </c>
      <c r="BY968" s="60">
        <f t="shared" si="1118"/>
        <v>0</v>
      </c>
      <c r="BZ968" s="60">
        <f t="shared" si="1119"/>
        <v>0</v>
      </c>
      <c r="CA968" s="60">
        <f t="shared" si="1120"/>
        <v>0</v>
      </c>
      <c r="CB968" s="60" t="e">
        <f t="shared" si="1070"/>
        <v>#N/A</v>
      </c>
      <c r="CC968" s="60">
        <f t="shared" si="1071"/>
        <v>100000</v>
      </c>
      <c r="CD968" s="60" t="e">
        <f t="shared" si="1072"/>
        <v>#N/A</v>
      </c>
      <c r="CE968" s="60">
        <f t="shared" si="1073"/>
        <v>100000</v>
      </c>
      <c r="CF968" s="83" t="e">
        <f t="shared" si="1121"/>
        <v>#N/A</v>
      </c>
      <c r="CG968" s="83">
        <f t="shared" si="1122"/>
        <v>0</v>
      </c>
      <c r="CH968" s="83" t="e">
        <f t="shared" si="1123"/>
        <v>#N/A</v>
      </c>
      <c r="CI968" s="83">
        <f t="shared" si="1124"/>
        <v>0</v>
      </c>
      <c r="CJ968" s="86" t="e">
        <f t="shared" si="1074"/>
        <v>#N/A</v>
      </c>
      <c r="CK968" s="82">
        <f t="shared" si="1075"/>
        <v>5.3070370403969858E-3</v>
      </c>
      <c r="CL968" s="82" t="e">
        <f t="shared" si="1076"/>
        <v>#N/A</v>
      </c>
      <c r="CM968" s="82">
        <f t="shared" si="1077"/>
        <v>5.3070370403969858E-3</v>
      </c>
      <c r="CO968" s="149" t="str">
        <f>IF($I968&lt;&gt;"",IF(O968="User Specified",U968,INDEX('Refrigerant GWPs'!$G$2:$G$156,MATCH(O968,'Refrigerant GWPs'!$A$2:$A$156,0))),"")</f>
        <v/>
      </c>
      <c r="CP968" s="138" t="str">
        <f>IF($I968&lt;&gt;"",INDEX('Device Refrigerant Leakage'!$E$2:$E$42,MATCH($M968,'Device Refrigerant Leakage'!$B$2:$B$42,0)),"")</f>
        <v/>
      </c>
      <c r="CQ968" s="138" t="str">
        <f>IF($I968&lt;&gt;"",INDEX('Device Refrigerant Leakage'!$F$2:$F$42,MATCH($M968,'Device Refrigerant Leakage'!$B$2:$B$42,0)),"")</f>
        <v/>
      </c>
      <c r="CR968" s="145" t="str">
        <f>IF($I968&lt;&gt;"",INDEX('Device Refrigerant Leakage'!$G$2:$G$42,MATCH($M968,'Device Refrigerant Leakage'!$B$2:$B$42,0)),"")</f>
        <v/>
      </c>
      <c r="CS968" s="145" t="str">
        <f>IF($I968&lt;&gt;"",INDEX('Device Refrigerant Leakage'!$D$2:$D$42,MATCH($M968,'Device Refrigerant Leakage'!$B$2:$B$42,0))*CP968/2204.62*CO968,"")</f>
        <v/>
      </c>
      <c r="CT968" s="145" t="str">
        <f>IF($I968&lt;&gt;"",J968*(INDEX('Device Refrigerant Leakage'!$D$2:$D$42,MATCH($M968,'Device Refrigerant Leakage'!$B$2:$B$42,0))-(INDEX('Device Refrigerant Leakage'!$D$2:$D$42,MATCH($M968,'Device Refrigerant Leakage'!$B$2:$B$42,0)))*CR968*CP968)*CQ968/2204.62*CO968,"")</f>
        <v/>
      </c>
      <c r="CU968" s="135" t="str">
        <f>IF($I968&lt;&gt;"",J968*IF(W968&lt;&gt;"AR",(CS968*K968)+CT968,(CS968*AB968)+CT968*(AB968/INDEX('Device Refrigerant Leakage'!$C$2:$C$42,MATCH($M968,'Device Refrigerant Leakage'!$B$2:$B$42,0)))),"")</f>
        <v/>
      </c>
      <c r="CW968" s="135" t="str">
        <f>IF($I968&lt;&gt;"",IF(S968="User Specified",V968,INDEX('Refrigerant GWPs'!$G$2:$G$156,MATCH(S968,'Refrigerant GWPs'!$A$2:$A$157,0))),"")</f>
        <v/>
      </c>
      <c r="CX968" s="138" t="str">
        <f>IF($I968&lt;&gt;"",INDEX('Device Refrigerant Leakage'!$E$2:$E$42,MATCH($Q968,'Device Refrigerant Leakage'!$B$2:$B$42,0)),"")</f>
        <v/>
      </c>
      <c r="CY968" s="138" t="str">
        <f>IF($I968&lt;&gt;"",INDEX('Device Refrigerant Leakage'!$F$2:$F$42,MATCH($Q968,'Device Refrigerant Leakage'!$B$2:$B$42,0)),"")</f>
        <v/>
      </c>
      <c r="CZ968" s="145" t="str">
        <f>IF($I968&lt;&gt;"",INDEX('Device Refrigerant Leakage'!$G$2:$G$42,MATCH($Q968,'Device Refrigerant Leakage'!$B$2:$B$42,0)),"")</f>
        <v/>
      </c>
      <c r="DA968" s="145" t="str">
        <f>IF($I968&lt;&gt;"",J968*INDEX('Device Refrigerant Leakage'!$D$2:$D$42,MATCH($Q968,'Device Refrigerant Leakage'!$B$2:$B$42,0))*CX968/2204.62*CW968,"")</f>
        <v/>
      </c>
      <c r="DB968" s="145" t="str">
        <f>IF($I968&lt;&gt;"",J968*(INDEX('Device Refrigerant Leakage'!$D$2:$D$42,MATCH($Q968,'Device Refrigerant Leakage'!$B$2:$B$42,0))-(INDEX('Device Refrigerant Leakage'!$D$2:$D$42,MATCH($Q968,'Device Refrigerant Leakage'!$B$2:$B$42,0)))*CZ968*CX968)*CY968/2204.62*CW968,"")</f>
        <v/>
      </c>
      <c r="DC968" s="135" t="str">
        <f t="shared" si="1096"/>
        <v/>
      </c>
      <c r="DE968" s="146" t="str">
        <f>IF(W968&lt;&gt;"AR","",IF(Y968="User Specified", AA968, INDEX('Refrigerant GWPs'!$G$2:$G$154,MATCH(Y968,'Refrigerant GWPs'!$A$2:$A$154,0))))</f>
        <v/>
      </c>
      <c r="DF968" s="146" t="str">
        <f>IF(W968&lt;&gt;"AR","",INDEX('Device Refrigerant Leakage'!$E$2:$E$42,MATCH(X968,'Device Refrigerant Leakage'!$B$2:$B$42,0)))</f>
        <v/>
      </c>
      <c r="DG968" s="146" t="str">
        <f>IF(W968&lt;&gt;"AR","",INDEX('Device Refrigerant Leakage'!$F$2:$F$42,MATCH(X968,'Device Refrigerant Leakage'!$B$2:$B$42,0)))</f>
        <v/>
      </c>
      <c r="DH968" s="146" t="str">
        <f>IF(W968&lt;&gt;"AR","",INDEX('Device Refrigerant Leakage'!$G$2:$G$42,MATCH(X968,'Device Refrigerant Leakage'!$B$2:$B$42,0)))</f>
        <v/>
      </c>
      <c r="DI968" s="146" t="str">
        <f>IF(W968&lt;&gt;"AR","",J968*INDEX('Device Refrigerant Leakage'!$D$2:$D$42,MATCH(X968,'Device Refrigerant Leakage'!$B$2:$B$42,0))*DF968/2204.62*DE968)</f>
        <v/>
      </c>
      <c r="DJ968" s="146" t="str">
        <f>IF(W968&lt;&gt;"AR","",J968*(INDEX('Device Refrigerant Leakage'!$D$2:$D$42,MATCH(X968,'Device Refrigerant Leakage'!$B$2:$B$42,0))-(INDEX('Device Refrigerant Leakage'!$D$2:$D$42,MATCH(X968,'Device Refrigerant Leakage'!$B$2:$B$42,0)))*DH968*DF968)*DG968/2204.62*DE968)</f>
        <v/>
      </c>
      <c r="DK968" s="146" t="str">
        <f>IF(W968&lt;&gt;"AR","",DI968*(K968-AB968)+'Fuel Sub Calcs-Deemed'!DJ968*((K968-AB968)/INDEX('Device Refrigerant Leakage'!$C$2:$C$42,MATCH('Fuel Sub Calcs-Deemed'!X968,'Device Refrigerant Leakage'!$B$2:$B$42,0))))</f>
        <v/>
      </c>
      <c r="DM968" s="56">
        <v>954</v>
      </c>
      <c r="DN968" s="67" t="e">
        <f t="shared" si="1078"/>
        <v>#N/A</v>
      </c>
      <c r="DO968" s="45" t="e">
        <f t="shared" si="1079"/>
        <v>#N/A</v>
      </c>
      <c r="DP968" s="67" t="e">
        <f t="shared" si="1080"/>
        <v>#N/A</v>
      </c>
      <c r="DQ968" s="45" t="e">
        <f t="shared" si="1081"/>
        <v>#N/A</v>
      </c>
      <c r="DR968" s="69" t="e">
        <f t="shared" si="1082"/>
        <v>#N/A</v>
      </c>
      <c r="DS968" s="34"/>
      <c r="DT968" s="67" t="e">
        <f>((BX968*CJ968)+IF($W968=MAT_AR,(BZ968*CL968),0))*(1+Reference!$E$50+Reference!$E$51)</f>
        <v>#N/A</v>
      </c>
      <c r="DU968" s="67">
        <f>((BY968*CK968)+IF($W968=MAT_AR,(CA968*CM968),0))*(1+Reference!$G$50+Reference!$G$51)</f>
        <v>0</v>
      </c>
      <c r="DV968" s="67" t="e">
        <f t="shared" si="1083"/>
        <v>#VALUE!</v>
      </c>
      <c r="DX968" s="56">
        <v>954</v>
      </c>
      <c r="DY968" s="67">
        <f t="shared" si="1084"/>
        <v>0</v>
      </c>
      <c r="DZ968" s="45" t="e">
        <f>VLOOKUP($R968,Dropdown!$C$3:$D$4,2,FALSE)</f>
        <v>#N/A</v>
      </c>
      <c r="EA968" s="68">
        <f t="shared" si="1085"/>
        <v>0</v>
      </c>
      <c r="EB968" s="68" t="str">
        <f t="shared" si="1086"/>
        <v>N/A</v>
      </c>
      <c r="EC968" s="68">
        <f t="shared" si="1087"/>
        <v>0</v>
      </c>
      <c r="ED968" s="68" t="str">
        <f t="shared" si="1125"/>
        <v>N/A</v>
      </c>
      <c r="EF968" s="56">
        <v>954</v>
      </c>
      <c r="EG968" s="46">
        <f t="shared" si="1088"/>
        <v>0</v>
      </c>
      <c r="EH968" s="68" t="e">
        <f t="shared" si="1089"/>
        <v>#N/A</v>
      </c>
      <c r="EI968" s="68" t="e">
        <f t="shared" si="1090"/>
        <v>#N/A</v>
      </c>
      <c r="EJ968" s="68" t="e">
        <f t="shared" si="1091"/>
        <v>#N/A</v>
      </c>
      <c r="EK968" s="68" t="e">
        <f t="shared" si="1092"/>
        <v>#N/A</v>
      </c>
      <c r="EL968" s="46">
        <f t="shared" si="1093"/>
        <v>0</v>
      </c>
      <c r="EM968" s="46">
        <f t="shared" si="1094"/>
        <v>0</v>
      </c>
    </row>
    <row r="969" spans="1:143">
      <c r="A969" s="89"/>
      <c r="B969" s="89"/>
      <c r="C969" s="89"/>
      <c r="D969" s="89"/>
      <c r="E969" s="89"/>
      <c r="F969" s="89"/>
      <c r="G969" s="34"/>
      <c r="H969" s="56">
        <f t="shared" si="1095"/>
        <v>955</v>
      </c>
      <c r="I969" s="165"/>
      <c r="J969" s="163"/>
      <c r="K969" s="163"/>
      <c r="L969" s="164"/>
      <c r="M969" s="155"/>
      <c r="N969" s="155"/>
      <c r="O969" s="144"/>
      <c r="P969" s="159" t="str">
        <f>IFERROR(IF(O969&lt;&gt;"User Specified",IF(O969&lt;&gt;"", INDEX('Refrigerant GWPs'!$G$2:$G$154,MATCH(O969,'Refrigerant GWPs'!$A$2:$A$154,0)),""),U969),0)</f>
        <v/>
      </c>
      <c r="Q969" s="155"/>
      <c r="R969" s="155"/>
      <c r="S969" s="144"/>
      <c r="T969" s="159" t="str">
        <f>IF(S969&lt;&gt;"User Specified",IF(AND(S969&lt;&gt;"User Specified",S969&lt;&gt;""), INDEX('Refrigerant GWPs'!$G$2:$G$154,MATCH(S969,'Refrigerant GWPs'!$A$2:$A$154,0)),""),V969)</f>
        <v/>
      </c>
      <c r="U969" s="144"/>
      <c r="V969" s="144"/>
      <c r="W969" s="155"/>
      <c r="X969" s="155"/>
      <c r="Y969" s="144"/>
      <c r="Z969" s="159" t="str">
        <f>IF(AND(Y969&lt;&gt;"User Specified",Y969&lt;&gt;""), INDEX('Refrigerant GWPs'!$G$2:$G$154,MATCH(Y969,'Refrigerant GWPs'!$A$2:$A$154,0)),"")</f>
        <v/>
      </c>
      <c r="AA969" s="155"/>
      <c r="AB969" s="156"/>
      <c r="AC969" s="66"/>
      <c r="AD969" s="66"/>
      <c r="AE969" s="66"/>
      <c r="AF969" s="66"/>
      <c r="AG969" s="66"/>
      <c r="AH969" s="66"/>
      <c r="AI969" s="34"/>
      <c r="AJ969" s="88">
        <f t="shared" si="1058"/>
        <v>0</v>
      </c>
      <c r="AK969" s="88">
        <f t="shared" si="1059"/>
        <v>0</v>
      </c>
      <c r="AL969" s="88">
        <v>0</v>
      </c>
      <c r="AM969" s="88">
        <v>0</v>
      </c>
      <c r="AN969" s="81" t="str">
        <f t="shared" si="1097"/>
        <v/>
      </c>
      <c r="AO969" s="88">
        <f t="shared" si="1060"/>
        <v>0</v>
      </c>
      <c r="AP969" s="88">
        <f t="shared" si="1061"/>
        <v>0</v>
      </c>
      <c r="AQ969" s="81" t="str">
        <f t="shared" si="1062"/>
        <v/>
      </c>
      <c r="AS969" s="41" t="b">
        <f t="shared" si="1063"/>
        <v>1</v>
      </c>
      <c r="AT969" s="38">
        <f t="shared" si="1064"/>
        <v>0</v>
      </c>
      <c r="AU969" s="60">
        <f t="shared" si="1065"/>
        <v>0</v>
      </c>
      <c r="AV969" s="41">
        <f t="shared" si="1066"/>
        <v>0</v>
      </c>
      <c r="AW969" s="41" t="b">
        <f t="shared" si="1067"/>
        <v>0</v>
      </c>
      <c r="AX969" t="str">
        <f t="shared" si="1068"/>
        <v>+00</v>
      </c>
      <c r="AY969" t="str">
        <f t="shared" si="1069"/>
        <v>+00</v>
      </c>
      <c r="BA969" s="47" t="b">
        <f t="shared" si="1098"/>
        <v>1</v>
      </c>
      <c r="BB969" s="42" t="b">
        <f t="shared" si="1099"/>
        <v>1</v>
      </c>
      <c r="BC969" s="42" t="b">
        <f t="shared" si="1100"/>
        <v>0</v>
      </c>
      <c r="BD969" s="42" t="b">
        <f t="shared" si="1101"/>
        <v>0</v>
      </c>
      <c r="BE969" s="70">
        <f t="shared" si="1102"/>
        <v>0</v>
      </c>
      <c r="BF969" s="70">
        <f t="shared" si="1103"/>
        <v>0</v>
      </c>
      <c r="BG969" s="34"/>
      <c r="BI969" s="47" t="b">
        <f t="shared" si="1104"/>
        <v>1</v>
      </c>
      <c r="BJ969" s="47" t="b">
        <f t="shared" si="1105"/>
        <v>1</v>
      </c>
      <c r="BK969" s="42" t="b">
        <f t="shared" si="1106"/>
        <v>0</v>
      </c>
      <c r="BL969" s="42" t="b">
        <f t="shared" si="1107"/>
        <v>0</v>
      </c>
      <c r="BM969" s="42">
        <f t="shared" si="1108"/>
        <v>0</v>
      </c>
      <c r="BN969" s="42">
        <f t="shared" si="1109"/>
        <v>0</v>
      </c>
      <c r="BP969" t="e">
        <f t="shared" si="1110"/>
        <v>#N/A</v>
      </c>
      <c r="BQ969" t="e">
        <f t="shared" si="1111"/>
        <v>#N/A</v>
      </c>
      <c r="BR969" t="e">
        <f t="shared" si="1112"/>
        <v>#N/A</v>
      </c>
      <c r="BT969" s="60">
        <f t="shared" si="1113"/>
        <v>0</v>
      </c>
      <c r="BU969" s="60">
        <f t="shared" si="1114"/>
        <v>0</v>
      </c>
      <c r="BV969" s="60">
        <f t="shared" si="1115"/>
        <v>0</v>
      </c>
      <c r="BW969" s="60">
        <f t="shared" si="1116"/>
        <v>0</v>
      </c>
      <c r="BX969" s="60">
        <f t="shared" si="1117"/>
        <v>0</v>
      </c>
      <c r="BY969" s="60">
        <f t="shared" si="1118"/>
        <v>0</v>
      </c>
      <c r="BZ969" s="60">
        <f t="shared" si="1119"/>
        <v>0</v>
      </c>
      <c r="CA969" s="60">
        <f t="shared" si="1120"/>
        <v>0</v>
      </c>
      <c r="CB969" s="60" t="e">
        <f t="shared" si="1070"/>
        <v>#N/A</v>
      </c>
      <c r="CC969" s="60">
        <f t="shared" si="1071"/>
        <v>100000</v>
      </c>
      <c r="CD969" s="60" t="e">
        <f t="shared" si="1072"/>
        <v>#N/A</v>
      </c>
      <c r="CE969" s="60">
        <f t="shared" si="1073"/>
        <v>100000</v>
      </c>
      <c r="CF969" s="83" t="e">
        <f t="shared" si="1121"/>
        <v>#N/A</v>
      </c>
      <c r="CG969" s="83">
        <f t="shared" si="1122"/>
        <v>0</v>
      </c>
      <c r="CH969" s="83" t="e">
        <f t="shared" si="1123"/>
        <v>#N/A</v>
      </c>
      <c r="CI969" s="83">
        <f t="shared" si="1124"/>
        <v>0</v>
      </c>
      <c r="CJ969" s="86" t="e">
        <f t="shared" si="1074"/>
        <v>#N/A</v>
      </c>
      <c r="CK969" s="82">
        <f t="shared" si="1075"/>
        <v>5.3070370403969858E-3</v>
      </c>
      <c r="CL969" s="82" t="e">
        <f t="shared" si="1076"/>
        <v>#N/A</v>
      </c>
      <c r="CM969" s="82">
        <f t="shared" si="1077"/>
        <v>5.3070370403969858E-3</v>
      </c>
      <c r="CO969" s="149" t="str">
        <f>IF($I969&lt;&gt;"",IF(O969="User Specified",U969,INDEX('Refrigerant GWPs'!$G$2:$G$156,MATCH(O969,'Refrigerant GWPs'!$A$2:$A$156,0))),"")</f>
        <v/>
      </c>
      <c r="CP969" s="138" t="str">
        <f>IF($I969&lt;&gt;"",INDEX('Device Refrigerant Leakage'!$E$2:$E$42,MATCH($M969,'Device Refrigerant Leakage'!$B$2:$B$42,0)),"")</f>
        <v/>
      </c>
      <c r="CQ969" s="138" t="str">
        <f>IF($I969&lt;&gt;"",INDEX('Device Refrigerant Leakage'!$F$2:$F$42,MATCH($M969,'Device Refrigerant Leakage'!$B$2:$B$42,0)),"")</f>
        <v/>
      </c>
      <c r="CR969" s="145" t="str">
        <f>IF($I969&lt;&gt;"",INDEX('Device Refrigerant Leakage'!$G$2:$G$42,MATCH($M969,'Device Refrigerant Leakage'!$B$2:$B$42,0)),"")</f>
        <v/>
      </c>
      <c r="CS969" s="145" t="str">
        <f>IF($I969&lt;&gt;"",INDEX('Device Refrigerant Leakage'!$D$2:$D$42,MATCH($M969,'Device Refrigerant Leakage'!$B$2:$B$42,0))*CP969/2204.62*CO969,"")</f>
        <v/>
      </c>
      <c r="CT969" s="145" t="str">
        <f>IF($I969&lt;&gt;"",J969*(INDEX('Device Refrigerant Leakage'!$D$2:$D$42,MATCH($M969,'Device Refrigerant Leakage'!$B$2:$B$42,0))-(INDEX('Device Refrigerant Leakage'!$D$2:$D$42,MATCH($M969,'Device Refrigerant Leakage'!$B$2:$B$42,0)))*CR969*CP969)*CQ969/2204.62*CO969,"")</f>
        <v/>
      </c>
      <c r="CU969" s="135" t="str">
        <f>IF($I969&lt;&gt;"",J969*IF(W969&lt;&gt;"AR",(CS969*K969)+CT969,(CS969*AB969)+CT969*(AB969/INDEX('Device Refrigerant Leakage'!$C$2:$C$42,MATCH($M969,'Device Refrigerant Leakage'!$B$2:$B$42,0)))),"")</f>
        <v/>
      </c>
      <c r="CW969" s="135" t="str">
        <f>IF($I969&lt;&gt;"",IF(S969="User Specified",V969,INDEX('Refrigerant GWPs'!$G$2:$G$156,MATCH(S969,'Refrigerant GWPs'!$A$2:$A$157,0))),"")</f>
        <v/>
      </c>
      <c r="CX969" s="138" t="str">
        <f>IF($I969&lt;&gt;"",INDEX('Device Refrigerant Leakage'!$E$2:$E$42,MATCH($Q969,'Device Refrigerant Leakage'!$B$2:$B$42,0)),"")</f>
        <v/>
      </c>
      <c r="CY969" s="138" t="str">
        <f>IF($I969&lt;&gt;"",INDEX('Device Refrigerant Leakage'!$F$2:$F$42,MATCH($Q969,'Device Refrigerant Leakage'!$B$2:$B$42,0)),"")</f>
        <v/>
      </c>
      <c r="CZ969" s="145" t="str">
        <f>IF($I969&lt;&gt;"",INDEX('Device Refrigerant Leakage'!$G$2:$G$42,MATCH($Q969,'Device Refrigerant Leakage'!$B$2:$B$42,0)),"")</f>
        <v/>
      </c>
      <c r="DA969" s="145" t="str">
        <f>IF($I969&lt;&gt;"",J969*INDEX('Device Refrigerant Leakage'!$D$2:$D$42,MATCH($Q969,'Device Refrigerant Leakage'!$B$2:$B$42,0))*CX969/2204.62*CW969,"")</f>
        <v/>
      </c>
      <c r="DB969" s="145" t="str">
        <f>IF($I969&lt;&gt;"",J969*(INDEX('Device Refrigerant Leakage'!$D$2:$D$42,MATCH($Q969,'Device Refrigerant Leakage'!$B$2:$B$42,0))-(INDEX('Device Refrigerant Leakage'!$D$2:$D$42,MATCH($Q969,'Device Refrigerant Leakage'!$B$2:$B$42,0)))*CZ969*CX969)*CY969/2204.62*CW969,"")</f>
        <v/>
      </c>
      <c r="DC969" s="135" t="str">
        <f t="shared" si="1096"/>
        <v/>
      </c>
      <c r="DE969" s="146" t="str">
        <f>IF(W969&lt;&gt;"AR","",IF(Y969="User Specified", AA969, INDEX('Refrigerant GWPs'!$G$2:$G$154,MATCH(Y969,'Refrigerant GWPs'!$A$2:$A$154,0))))</f>
        <v/>
      </c>
      <c r="DF969" s="146" t="str">
        <f>IF(W969&lt;&gt;"AR","",INDEX('Device Refrigerant Leakage'!$E$2:$E$42,MATCH(X969,'Device Refrigerant Leakage'!$B$2:$B$42,0)))</f>
        <v/>
      </c>
      <c r="DG969" s="146" t="str">
        <f>IF(W969&lt;&gt;"AR","",INDEX('Device Refrigerant Leakage'!$F$2:$F$42,MATCH(X969,'Device Refrigerant Leakage'!$B$2:$B$42,0)))</f>
        <v/>
      </c>
      <c r="DH969" s="146" t="str">
        <f>IF(W969&lt;&gt;"AR","",INDEX('Device Refrigerant Leakage'!$G$2:$G$42,MATCH(X969,'Device Refrigerant Leakage'!$B$2:$B$42,0)))</f>
        <v/>
      </c>
      <c r="DI969" s="146" t="str">
        <f>IF(W969&lt;&gt;"AR","",J969*INDEX('Device Refrigerant Leakage'!$D$2:$D$42,MATCH(X969,'Device Refrigerant Leakage'!$B$2:$B$42,0))*DF969/2204.62*DE969)</f>
        <v/>
      </c>
      <c r="DJ969" s="146" t="str">
        <f>IF(W969&lt;&gt;"AR","",J969*(INDEX('Device Refrigerant Leakage'!$D$2:$D$42,MATCH(X969,'Device Refrigerant Leakage'!$B$2:$B$42,0))-(INDEX('Device Refrigerant Leakage'!$D$2:$D$42,MATCH(X969,'Device Refrigerant Leakage'!$B$2:$B$42,0)))*DH969*DF969)*DG969/2204.62*DE969)</f>
        <v/>
      </c>
      <c r="DK969" s="146" t="str">
        <f>IF(W969&lt;&gt;"AR","",DI969*(K969-AB969)+'Fuel Sub Calcs-Deemed'!DJ969*((K969-AB969)/INDEX('Device Refrigerant Leakage'!$C$2:$C$42,MATCH('Fuel Sub Calcs-Deemed'!X969,'Device Refrigerant Leakage'!$B$2:$B$42,0))))</f>
        <v/>
      </c>
      <c r="DM969" s="56">
        <v>955</v>
      </c>
      <c r="DN969" s="67" t="e">
        <f t="shared" si="1078"/>
        <v>#N/A</v>
      </c>
      <c r="DO969" s="45" t="e">
        <f t="shared" si="1079"/>
        <v>#N/A</v>
      </c>
      <c r="DP969" s="67" t="e">
        <f t="shared" si="1080"/>
        <v>#N/A</v>
      </c>
      <c r="DQ969" s="45" t="e">
        <f t="shared" si="1081"/>
        <v>#N/A</v>
      </c>
      <c r="DR969" s="69" t="e">
        <f t="shared" si="1082"/>
        <v>#N/A</v>
      </c>
      <c r="DS969" s="34"/>
      <c r="DT969" s="67" t="e">
        <f>((BX969*CJ969)+IF($W969=MAT_AR,(BZ969*CL969),0))*(1+Reference!$E$50+Reference!$E$51)</f>
        <v>#N/A</v>
      </c>
      <c r="DU969" s="67">
        <f>((BY969*CK969)+IF($W969=MAT_AR,(CA969*CM969),0))*(1+Reference!$G$50+Reference!$G$51)</f>
        <v>0</v>
      </c>
      <c r="DV969" s="67" t="e">
        <f t="shared" si="1083"/>
        <v>#VALUE!</v>
      </c>
      <c r="DX969" s="56">
        <v>955</v>
      </c>
      <c r="DY969" s="67">
        <f t="shared" si="1084"/>
        <v>0</v>
      </c>
      <c r="DZ969" s="45" t="e">
        <f>VLOOKUP($R969,Dropdown!$C$3:$D$4,2,FALSE)</f>
        <v>#N/A</v>
      </c>
      <c r="EA969" s="68">
        <f t="shared" si="1085"/>
        <v>0</v>
      </c>
      <c r="EB969" s="68" t="str">
        <f t="shared" si="1086"/>
        <v>N/A</v>
      </c>
      <c r="EC969" s="68">
        <f t="shared" si="1087"/>
        <v>0</v>
      </c>
      <c r="ED969" s="68" t="str">
        <f t="shared" si="1125"/>
        <v>N/A</v>
      </c>
      <c r="EF969" s="56">
        <v>955</v>
      </c>
      <c r="EG969" s="46">
        <f t="shared" si="1088"/>
        <v>0</v>
      </c>
      <c r="EH969" s="68" t="e">
        <f t="shared" si="1089"/>
        <v>#N/A</v>
      </c>
      <c r="EI969" s="68" t="e">
        <f t="shared" si="1090"/>
        <v>#N/A</v>
      </c>
      <c r="EJ969" s="68" t="e">
        <f t="shared" si="1091"/>
        <v>#N/A</v>
      </c>
      <c r="EK969" s="68" t="e">
        <f t="shared" si="1092"/>
        <v>#N/A</v>
      </c>
      <c r="EL969" s="46">
        <f t="shared" si="1093"/>
        <v>0</v>
      </c>
      <c r="EM969" s="46">
        <f t="shared" si="1094"/>
        <v>0</v>
      </c>
    </row>
    <row r="970" spans="1:143">
      <c r="A970" s="89"/>
      <c r="B970" s="89"/>
      <c r="C970" s="89"/>
      <c r="D970" s="89"/>
      <c r="E970" s="89"/>
      <c r="F970" s="89"/>
      <c r="G970" s="34"/>
      <c r="H970" s="56">
        <f t="shared" si="1095"/>
        <v>956</v>
      </c>
      <c r="I970" s="165"/>
      <c r="J970" s="163"/>
      <c r="K970" s="163"/>
      <c r="L970" s="164"/>
      <c r="M970" s="155"/>
      <c r="N970" s="155"/>
      <c r="O970" s="144"/>
      <c r="P970" s="159" t="str">
        <f>IFERROR(IF(O970&lt;&gt;"User Specified",IF(O970&lt;&gt;"", INDEX('Refrigerant GWPs'!$G$2:$G$154,MATCH(O970,'Refrigerant GWPs'!$A$2:$A$154,0)),""),U970),0)</f>
        <v/>
      </c>
      <c r="Q970" s="155"/>
      <c r="R970" s="155"/>
      <c r="S970" s="144"/>
      <c r="T970" s="159" t="str">
        <f>IF(S970&lt;&gt;"User Specified",IF(AND(S970&lt;&gt;"User Specified",S970&lt;&gt;""), INDEX('Refrigerant GWPs'!$G$2:$G$154,MATCH(S970,'Refrigerant GWPs'!$A$2:$A$154,0)),""),V970)</f>
        <v/>
      </c>
      <c r="U970" s="144"/>
      <c r="V970" s="144"/>
      <c r="W970" s="155"/>
      <c r="X970" s="155"/>
      <c r="Y970" s="144"/>
      <c r="Z970" s="159" t="str">
        <f>IF(AND(Y970&lt;&gt;"User Specified",Y970&lt;&gt;""), INDEX('Refrigerant GWPs'!$G$2:$G$154,MATCH(Y970,'Refrigerant GWPs'!$A$2:$A$154,0)),"")</f>
        <v/>
      </c>
      <c r="AA970" s="155"/>
      <c r="AB970" s="156"/>
      <c r="AC970" s="66"/>
      <c r="AD970" s="66"/>
      <c r="AE970" s="66"/>
      <c r="AF970" s="66"/>
      <c r="AG970" s="66"/>
      <c r="AH970" s="66"/>
      <c r="AI970" s="34"/>
      <c r="AJ970" s="88">
        <f t="shared" si="1058"/>
        <v>0</v>
      </c>
      <c r="AK970" s="88">
        <f t="shared" si="1059"/>
        <v>0</v>
      </c>
      <c r="AL970" s="88">
        <v>0</v>
      </c>
      <c r="AM970" s="88">
        <v>0</v>
      </c>
      <c r="AN970" s="81" t="str">
        <f t="shared" si="1097"/>
        <v/>
      </c>
      <c r="AO970" s="88">
        <f t="shared" si="1060"/>
        <v>0</v>
      </c>
      <c r="AP970" s="88">
        <f t="shared" si="1061"/>
        <v>0</v>
      </c>
      <c r="AQ970" s="81" t="str">
        <f t="shared" si="1062"/>
        <v/>
      </c>
      <c r="AS970" s="41" t="b">
        <f t="shared" si="1063"/>
        <v>1</v>
      </c>
      <c r="AT970" s="38">
        <f t="shared" si="1064"/>
        <v>0</v>
      </c>
      <c r="AU970" s="60">
        <f t="shared" si="1065"/>
        <v>0</v>
      </c>
      <c r="AV970" s="41">
        <f t="shared" si="1066"/>
        <v>0</v>
      </c>
      <c r="AW970" s="41" t="b">
        <f t="shared" si="1067"/>
        <v>0</v>
      </c>
      <c r="AX970" t="str">
        <f t="shared" si="1068"/>
        <v>+00</v>
      </c>
      <c r="AY970" t="str">
        <f t="shared" si="1069"/>
        <v>+00</v>
      </c>
      <c r="BA970" s="47" t="b">
        <f t="shared" si="1098"/>
        <v>1</v>
      </c>
      <c r="BB970" s="42" t="b">
        <f t="shared" si="1099"/>
        <v>1</v>
      </c>
      <c r="BC970" s="42" t="b">
        <f t="shared" si="1100"/>
        <v>0</v>
      </c>
      <c r="BD970" s="42" t="b">
        <f t="shared" si="1101"/>
        <v>0</v>
      </c>
      <c r="BE970" s="70">
        <f t="shared" si="1102"/>
        <v>0</v>
      </c>
      <c r="BF970" s="70">
        <f t="shared" si="1103"/>
        <v>0</v>
      </c>
      <c r="BG970" s="34"/>
      <c r="BI970" s="47" t="b">
        <f t="shared" si="1104"/>
        <v>1</v>
      </c>
      <c r="BJ970" s="47" t="b">
        <f t="shared" si="1105"/>
        <v>1</v>
      </c>
      <c r="BK970" s="42" t="b">
        <f t="shared" si="1106"/>
        <v>0</v>
      </c>
      <c r="BL970" s="42" t="b">
        <f t="shared" si="1107"/>
        <v>0</v>
      </c>
      <c r="BM970" s="42">
        <f t="shared" si="1108"/>
        <v>0</v>
      </c>
      <c r="BN970" s="42">
        <f t="shared" si="1109"/>
        <v>0</v>
      </c>
      <c r="BP970" t="e">
        <f t="shared" si="1110"/>
        <v>#N/A</v>
      </c>
      <c r="BQ970" t="e">
        <f t="shared" si="1111"/>
        <v>#N/A</v>
      </c>
      <c r="BR970" t="e">
        <f t="shared" si="1112"/>
        <v>#N/A</v>
      </c>
      <c r="BT970" s="60">
        <f t="shared" si="1113"/>
        <v>0</v>
      </c>
      <c r="BU970" s="60">
        <f t="shared" si="1114"/>
        <v>0</v>
      </c>
      <c r="BV970" s="60">
        <f t="shared" si="1115"/>
        <v>0</v>
      </c>
      <c r="BW970" s="60">
        <f t="shared" si="1116"/>
        <v>0</v>
      </c>
      <c r="BX970" s="60">
        <f t="shared" si="1117"/>
        <v>0</v>
      </c>
      <c r="BY970" s="60">
        <f t="shared" si="1118"/>
        <v>0</v>
      </c>
      <c r="BZ970" s="60">
        <f t="shared" si="1119"/>
        <v>0</v>
      </c>
      <c r="CA970" s="60">
        <f t="shared" si="1120"/>
        <v>0</v>
      </c>
      <c r="CB970" s="60" t="e">
        <f t="shared" si="1070"/>
        <v>#N/A</v>
      </c>
      <c r="CC970" s="60">
        <f t="shared" si="1071"/>
        <v>100000</v>
      </c>
      <c r="CD970" s="60" t="e">
        <f t="shared" si="1072"/>
        <v>#N/A</v>
      </c>
      <c r="CE970" s="60">
        <f t="shared" si="1073"/>
        <v>100000</v>
      </c>
      <c r="CF970" s="83" t="e">
        <f t="shared" si="1121"/>
        <v>#N/A</v>
      </c>
      <c r="CG970" s="83">
        <f t="shared" si="1122"/>
        <v>0</v>
      </c>
      <c r="CH970" s="83" t="e">
        <f t="shared" si="1123"/>
        <v>#N/A</v>
      </c>
      <c r="CI970" s="83">
        <f t="shared" si="1124"/>
        <v>0</v>
      </c>
      <c r="CJ970" s="86" t="e">
        <f t="shared" si="1074"/>
        <v>#N/A</v>
      </c>
      <c r="CK970" s="82">
        <f t="shared" si="1075"/>
        <v>5.3070370403969858E-3</v>
      </c>
      <c r="CL970" s="82" t="e">
        <f t="shared" si="1076"/>
        <v>#N/A</v>
      </c>
      <c r="CM970" s="82">
        <f t="shared" si="1077"/>
        <v>5.3070370403969858E-3</v>
      </c>
      <c r="CO970" s="149" t="str">
        <f>IF($I970&lt;&gt;"",IF(O970="User Specified",U970,INDEX('Refrigerant GWPs'!$G$2:$G$156,MATCH(O970,'Refrigerant GWPs'!$A$2:$A$156,0))),"")</f>
        <v/>
      </c>
      <c r="CP970" s="138" t="str">
        <f>IF($I970&lt;&gt;"",INDEX('Device Refrigerant Leakage'!$E$2:$E$42,MATCH($M970,'Device Refrigerant Leakage'!$B$2:$B$42,0)),"")</f>
        <v/>
      </c>
      <c r="CQ970" s="138" t="str">
        <f>IF($I970&lt;&gt;"",INDEX('Device Refrigerant Leakage'!$F$2:$F$42,MATCH($M970,'Device Refrigerant Leakage'!$B$2:$B$42,0)),"")</f>
        <v/>
      </c>
      <c r="CR970" s="145" t="str">
        <f>IF($I970&lt;&gt;"",INDEX('Device Refrigerant Leakage'!$G$2:$G$42,MATCH($M970,'Device Refrigerant Leakage'!$B$2:$B$42,0)),"")</f>
        <v/>
      </c>
      <c r="CS970" s="145" t="str">
        <f>IF($I970&lt;&gt;"",INDEX('Device Refrigerant Leakage'!$D$2:$D$42,MATCH($M970,'Device Refrigerant Leakage'!$B$2:$B$42,0))*CP970/2204.62*CO970,"")</f>
        <v/>
      </c>
      <c r="CT970" s="145" t="str">
        <f>IF($I970&lt;&gt;"",J970*(INDEX('Device Refrigerant Leakage'!$D$2:$D$42,MATCH($M970,'Device Refrigerant Leakage'!$B$2:$B$42,0))-(INDEX('Device Refrigerant Leakage'!$D$2:$D$42,MATCH($M970,'Device Refrigerant Leakage'!$B$2:$B$42,0)))*CR970*CP970)*CQ970/2204.62*CO970,"")</f>
        <v/>
      </c>
      <c r="CU970" s="135" t="str">
        <f>IF($I970&lt;&gt;"",J970*IF(W970&lt;&gt;"AR",(CS970*K970)+CT970,(CS970*AB970)+CT970*(AB970/INDEX('Device Refrigerant Leakage'!$C$2:$C$42,MATCH($M970,'Device Refrigerant Leakage'!$B$2:$B$42,0)))),"")</f>
        <v/>
      </c>
      <c r="CW970" s="135" t="str">
        <f>IF($I970&lt;&gt;"",IF(S970="User Specified",V970,INDEX('Refrigerant GWPs'!$G$2:$G$156,MATCH(S970,'Refrigerant GWPs'!$A$2:$A$157,0))),"")</f>
        <v/>
      </c>
      <c r="CX970" s="138" t="str">
        <f>IF($I970&lt;&gt;"",INDEX('Device Refrigerant Leakage'!$E$2:$E$42,MATCH($Q970,'Device Refrigerant Leakage'!$B$2:$B$42,0)),"")</f>
        <v/>
      </c>
      <c r="CY970" s="138" t="str">
        <f>IF($I970&lt;&gt;"",INDEX('Device Refrigerant Leakage'!$F$2:$F$42,MATCH($Q970,'Device Refrigerant Leakage'!$B$2:$B$42,0)),"")</f>
        <v/>
      </c>
      <c r="CZ970" s="145" t="str">
        <f>IF($I970&lt;&gt;"",INDEX('Device Refrigerant Leakage'!$G$2:$G$42,MATCH($Q970,'Device Refrigerant Leakage'!$B$2:$B$42,0)),"")</f>
        <v/>
      </c>
      <c r="DA970" s="145" t="str">
        <f>IF($I970&lt;&gt;"",J970*INDEX('Device Refrigerant Leakage'!$D$2:$D$42,MATCH($Q970,'Device Refrigerant Leakage'!$B$2:$B$42,0))*CX970/2204.62*CW970,"")</f>
        <v/>
      </c>
      <c r="DB970" s="145" t="str">
        <f>IF($I970&lt;&gt;"",J970*(INDEX('Device Refrigerant Leakage'!$D$2:$D$42,MATCH($Q970,'Device Refrigerant Leakage'!$B$2:$B$42,0))-(INDEX('Device Refrigerant Leakage'!$D$2:$D$42,MATCH($Q970,'Device Refrigerant Leakage'!$B$2:$B$42,0)))*CZ970*CX970)*CY970/2204.62*CW970,"")</f>
        <v/>
      </c>
      <c r="DC970" s="135" t="str">
        <f t="shared" si="1096"/>
        <v/>
      </c>
      <c r="DE970" s="146" t="str">
        <f>IF(W970&lt;&gt;"AR","",IF(Y970="User Specified", AA970, INDEX('Refrigerant GWPs'!$G$2:$G$154,MATCH(Y970,'Refrigerant GWPs'!$A$2:$A$154,0))))</f>
        <v/>
      </c>
      <c r="DF970" s="146" t="str">
        <f>IF(W970&lt;&gt;"AR","",INDEX('Device Refrigerant Leakage'!$E$2:$E$42,MATCH(X970,'Device Refrigerant Leakage'!$B$2:$B$42,0)))</f>
        <v/>
      </c>
      <c r="DG970" s="146" t="str">
        <f>IF(W970&lt;&gt;"AR","",INDEX('Device Refrigerant Leakage'!$F$2:$F$42,MATCH(X970,'Device Refrigerant Leakage'!$B$2:$B$42,0)))</f>
        <v/>
      </c>
      <c r="DH970" s="146" t="str">
        <f>IF(W970&lt;&gt;"AR","",INDEX('Device Refrigerant Leakage'!$G$2:$G$42,MATCH(X970,'Device Refrigerant Leakage'!$B$2:$B$42,0)))</f>
        <v/>
      </c>
      <c r="DI970" s="146" t="str">
        <f>IF(W970&lt;&gt;"AR","",J970*INDEX('Device Refrigerant Leakage'!$D$2:$D$42,MATCH(X970,'Device Refrigerant Leakage'!$B$2:$B$42,0))*DF970/2204.62*DE970)</f>
        <v/>
      </c>
      <c r="DJ970" s="146" t="str">
        <f>IF(W970&lt;&gt;"AR","",J970*(INDEX('Device Refrigerant Leakage'!$D$2:$D$42,MATCH(X970,'Device Refrigerant Leakage'!$B$2:$B$42,0))-(INDEX('Device Refrigerant Leakage'!$D$2:$D$42,MATCH(X970,'Device Refrigerant Leakage'!$B$2:$B$42,0)))*DH970*DF970)*DG970/2204.62*DE970)</f>
        <v/>
      </c>
      <c r="DK970" s="146" t="str">
        <f>IF(W970&lt;&gt;"AR","",DI970*(K970-AB970)+'Fuel Sub Calcs-Deemed'!DJ970*((K970-AB970)/INDEX('Device Refrigerant Leakage'!$C$2:$C$42,MATCH('Fuel Sub Calcs-Deemed'!X970,'Device Refrigerant Leakage'!$B$2:$B$42,0))))</f>
        <v/>
      </c>
      <c r="DM970" s="56">
        <v>956</v>
      </c>
      <c r="DN970" s="67" t="e">
        <f t="shared" si="1078"/>
        <v>#N/A</v>
      </c>
      <c r="DO970" s="45" t="e">
        <f t="shared" si="1079"/>
        <v>#N/A</v>
      </c>
      <c r="DP970" s="67" t="e">
        <f t="shared" si="1080"/>
        <v>#N/A</v>
      </c>
      <c r="DQ970" s="45" t="e">
        <f t="shared" si="1081"/>
        <v>#N/A</v>
      </c>
      <c r="DR970" s="69" t="e">
        <f t="shared" si="1082"/>
        <v>#N/A</v>
      </c>
      <c r="DS970" s="34"/>
      <c r="DT970" s="67" t="e">
        <f>((BX970*CJ970)+IF($W970=MAT_AR,(BZ970*CL970),0))*(1+Reference!$E$50+Reference!$E$51)</f>
        <v>#N/A</v>
      </c>
      <c r="DU970" s="67">
        <f>((BY970*CK970)+IF($W970=MAT_AR,(CA970*CM970),0))*(1+Reference!$G$50+Reference!$G$51)</f>
        <v>0</v>
      </c>
      <c r="DV970" s="67" t="e">
        <f t="shared" si="1083"/>
        <v>#VALUE!</v>
      </c>
      <c r="DX970" s="56">
        <v>956</v>
      </c>
      <c r="DY970" s="67">
        <f t="shared" si="1084"/>
        <v>0</v>
      </c>
      <c r="DZ970" s="45" t="e">
        <f>VLOOKUP($R970,Dropdown!$C$3:$D$4,2,FALSE)</f>
        <v>#N/A</v>
      </c>
      <c r="EA970" s="68">
        <f t="shared" si="1085"/>
        <v>0</v>
      </c>
      <c r="EB970" s="68" t="str">
        <f t="shared" si="1086"/>
        <v>N/A</v>
      </c>
      <c r="EC970" s="68">
        <f t="shared" si="1087"/>
        <v>0</v>
      </c>
      <c r="ED970" s="68" t="str">
        <f t="shared" si="1125"/>
        <v>N/A</v>
      </c>
      <c r="EF970" s="56">
        <v>956</v>
      </c>
      <c r="EG970" s="46">
        <f t="shared" si="1088"/>
        <v>0</v>
      </c>
      <c r="EH970" s="68" t="e">
        <f t="shared" si="1089"/>
        <v>#N/A</v>
      </c>
      <c r="EI970" s="68" t="e">
        <f t="shared" si="1090"/>
        <v>#N/A</v>
      </c>
      <c r="EJ970" s="68" t="e">
        <f t="shared" si="1091"/>
        <v>#N/A</v>
      </c>
      <c r="EK970" s="68" t="e">
        <f t="shared" si="1092"/>
        <v>#N/A</v>
      </c>
      <c r="EL970" s="46">
        <f t="shared" si="1093"/>
        <v>0</v>
      </c>
      <c r="EM970" s="46">
        <f t="shared" si="1094"/>
        <v>0</v>
      </c>
    </row>
    <row r="971" spans="1:143">
      <c r="A971" s="89"/>
      <c r="B971" s="89"/>
      <c r="C971" s="89"/>
      <c r="D971" s="89"/>
      <c r="E971" s="89"/>
      <c r="F971" s="89"/>
      <c r="G971" s="34"/>
      <c r="H971" s="56">
        <f t="shared" si="1095"/>
        <v>957</v>
      </c>
      <c r="I971" s="165"/>
      <c r="J971" s="163"/>
      <c r="K971" s="163"/>
      <c r="L971" s="164"/>
      <c r="M971" s="155"/>
      <c r="N971" s="155"/>
      <c r="O971" s="144"/>
      <c r="P971" s="159" t="str">
        <f>IFERROR(IF(O971&lt;&gt;"User Specified",IF(O971&lt;&gt;"", INDEX('Refrigerant GWPs'!$G$2:$G$154,MATCH(O971,'Refrigerant GWPs'!$A$2:$A$154,0)),""),U971),0)</f>
        <v/>
      </c>
      <c r="Q971" s="155"/>
      <c r="R971" s="155"/>
      <c r="S971" s="144"/>
      <c r="T971" s="159" t="str">
        <f>IF(S971&lt;&gt;"User Specified",IF(AND(S971&lt;&gt;"User Specified",S971&lt;&gt;""), INDEX('Refrigerant GWPs'!$G$2:$G$154,MATCH(S971,'Refrigerant GWPs'!$A$2:$A$154,0)),""),V971)</f>
        <v/>
      </c>
      <c r="U971" s="144"/>
      <c r="V971" s="144"/>
      <c r="W971" s="155"/>
      <c r="X971" s="155"/>
      <c r="Y971" s="144"/>
      <c r="Z971" s="159" t="str">
        <f>IF(AND(Y971&lt;&gt;"User Specified",Y971&lt;&gt;""), INDEX('Refrigerant GWPs'!$G$2:$G$154,MATCH(Y971,'Refrigerant GWPs'!$A$2:$A$154,0)),"")</f>
        <v/>
      </c>
      <c r="AA971" s="155"/>
      <c r="AB971" s="156"/>
      <c r="AC971" s="66"/>
      <c r="AD971" s="66"/>
      <c r="AE971" s="66"/>
      <c r="AF971" s="66"/>
      <c r="AG971" s="66"/>
      <c r="AH971" s="66"/>
      <c r="AI971" s="34"/>
      <c r="AJ971" s="88">
        <f t="shared" si="1058"/>
        <v>0</v>
      </c>
      <c r="AK971" s="88">
        <f t="shared" si="1059"/>
        <v>0</v>
      </c>
      <c r="AL971" s="88">
        <v>0</v>
      </c>
      <c r="AM971" s="88">
        <v>0</v>
      </c>
      <c r="AN971" s="81" t="str">
        <f t="shared" si="1097"/>
        <v/>
      </c>
      <c r="AO971" s="88">
        <f t="shared" si="1060"/>
        <v>0</v>
      </c>
      <c r="AP971" s="88">
        <f t="shared" si="1061"/>
        <v>0</v>
      </c>
      <c r="AQ971" s="81" t="str">
        <f t="shared" si="1062"/>
        <v/>
      </c>
      <c r="AS971" s="41" t="b">
        <f t="shared" si="1063"/>
        <v>1</v>
      </c>
      <c r="AT971" s="38">
        <f t="shared" si="1064"/>
        <v>0</v>
      </c>
      <c r="AU971" s="60">
        <f t="shared" si="1065"/>
        <v>0</v>
      </c>
      <c r="AV971" s="41">
        <f t="shared" si="1066"/>
        <v>0</v>
      </c>
      <c r="AW971" s="41" t="b">
        <f t="shared" si="1067"/>
        <v>0</v>
      </c>
      <c r="AX971" t="str">
        <f t="shared" si="1068"/>
        <v>+00</v>
      </c>
      <c r="AY971" t="str">
        <f t="shared" si="1069"/>
        <v>+00</v>
      </c>
      <c r="BA971" s="47" t="b">
        <f t="shared" si="1098"/>
        <v>1</v>
      </c>
      <c r="BB971" s="42" t="b">
        <f t="shared" si="1099"/>
        <v>1</v>
      </c>
      <c r="BC971" s="42" t="b">
        <f t="shared" si="1100"/>
        <v>0</v>
      </c>
      <c r="BD971" s="42" t="b">
        <f t="shared" si="1101"/>
        <v>0</v>
      </c>
      <c r="BE971" s="70">
        <f t="shared" si="1102"/>
        <v>0</v>
      </c>
      <c r="BF971" s="70">
        <f t="shared" si="1103"/>
        <v>0</v>
      </c>
      <c r="BG971" s="34"/>
      <c r="BI971" s="47" t="b">
        <f t="shared" si="1104"/>
        <v>1</v>
      </c>
      <c r="BJ971" s="47" t="b">
        <f t="shared" si="1105"/>
        <v>1</v>
      </c>
      <c r="BK971" s="42" t="b">
        <f t="shared" si="1106"/>
        <v>0</v>
      </c>
      <c r="BL971" s="42" t="b">
        <f t="shared" si="1107"/>
        <v>0</v>
      </c>
      <c r="BM971" s="42">
        <f t="shared" si="1108"/>
        <v>0</v>
      </c>
      <c r="BN971" s="42">
        <f t="shared" si="1109"/>
        <v>0</v>
      </c>
      <c r="BP971" t="e">
        <f t="shared" si="1110"/>
        <v>#N/A</v>
      </c>
      <c r="BQ971" t="e">
        <f t="shared" si="1111"/>
        <v>#N/A</v>
      </c>
      <c r="BR971" t="e">
        <f t="shared" si="1112"/>
        <v>#N/A</v>
      </c>
      <c r="BT971" s="60">
        <f t="shared" si="1113"/>
        <v>0</v>
      </c>
      <c r="BU971" s="60">
        <f t="shared" si="1114"/>
        <v>0</v>
      </c>
      <c r="BV971" s="60">
        <f t="shared" si="1115"/>
        <v>0</v>
      </c>
      <c r="BW971" s="60">
        <f t="shared" si="1116"/>
        <v>0</v>
      </c>
      <c r="BX971" s="60">
        <f t="shared" si="1117"/>
        <v>0</v>
      </c>
      <c r="BY971" s="60">
        <f t="shared" si="1118"/>
        <v>0</v>
      </c>
      <c r="BZ971" s="60">
        <f t="shared" si="1119"/>
        <v>0</v>
      </c>
      <c r="CA971" s="60">
        <f t="shared" si="1120"/>
        <v>0</v>
      </c>
      <c r="CB971" s="60" t="e">
        <f t="shared" si="1070"/>
        <v>#N/A</v>
      </c>
      <c r="CC971" s="60">
        <f t="shared" si="1071"/>
        <v>100000</v>
      </c>
      <c r="CD971" s="60" t="e">
        <f t="shared" si="1072"/>
        <v>#N/A</v>
      </c>
      <c r="CE971" s="60">
        <f t="shared" si="1073"/>
        <v>100000</v>
      </c>
      <c r="CF971" s="83" t="e">
        <f t="shared" si="1121"/>
        <v>#N/A</v>
      </c>
      <c r="CG971" s="83">
        <f t="shared" si="1122"/>
        <v>0</v>
      </c>
      <c r="CH971" s="83" t="e">
        <f t="shared" si="1123"/>
        <v>#N/A</v>
      </c>
      <c r="CI971" s="83">
        <f t="shared" si="1124"/>
        <v>0</v>
      </c>
      <c r="CJ971" s="86" t="e">
        <f t="shared" si="1074"/>
        <v>#N/A</v>
      </c>
      <c r="CK971" s="82">
        <f t="shared" si="1075"/>
        <v>5.3070370403969858E-3</v>
      </c>
      <c r="CL971" s="82" t="e">
        <f t="shared" si="1076"/>
        <v>#N/A</v>
      </c>
      <c r="CM971" s="82">
        <f t="shared" si="1077"/>
        <v>5.3070370403969858E-3</v>
      </c>
      <c r="CO971" s="149" t="str">
        <f>IF($I971&lt;&gt;"",IF(O971="User Specified",U971,INDEX('Refrigerant GWPs'!$G$2:$G$156,MATCH(O971,'Refrigerant GWPs'!$A$2:$A$156,0))),"")</f>
        <v/>
      </c>
      <c r="CP971" s="138" t="str">
        <f>IF($I971&lt;&gt;"",INDEX('Device Refrigerant Leakage'!$E$2:$E$42,MATCH($M971,'Device Refrigerant Leakage'!$B$2:$B$42,0)),"")</f>
        <v/>
      </c>
      <c r="CQ971" s="138" t="str">
        <f>IF($I971&lt;&gt;"",INDEX('Device Refrigerant Leakage'!$F$2:$F$42,MATCH($M971,'Device Refrigerant Leakage'!$B$2:$B$42,0)),"")</f>
        <v/>
      </c>
      <c r="CR971" s="145" t="str">
        <f>IF($I971&lt;&gt;"",INDEX('Device Refrigerant Leakage'!$G$2:$G$42,MATCH($M971,'Device Refrigerant Leakage'!$B$2:$B$42,0)),"")</f>
        <v/>
      </c>
      <c r="CS971" s="145" t="str">
        <f>IF($I971&lt;&gt;"",INDEX('Device Refrigerant Leakage'!$D$2:$D$42,MATCH($M971,'Device Refrigerant Leakage'!$B$2:$B$42,0))*CP971/2204.62*CO971,"")</f>
        <v/>
      </c>
      <c r="CT971" s="145" t="str">
        <f>IF($I971&lt;&gt;"",J971*(INDEX('Device Refrigerant Leakage'!$D$2:$D$42,MATCH($M971,'Device Refrigerant Leakage'!$B$2:$B$42,0))-(INDEX('Device Refrigerant Leakage'!$D$2:$D$42,MATCH($M971,'Device Refrigerant Leakage'!$B$2:$B$42,0)))*CR971*CP971)*CQ971/2204.62*CO971,"")</f>
        <v/>
      </c>
      <c r="CU971" s="135" t="str">
        <f>IF($I971&lt;&gt;"",J971*IF(W971&lt;&gt;"AR",(CS971*K971)+CT971,(CS971*AB971)+CT971*(AB971/INDEX('Device Refrigerant Leakage'!$C$2:$C$42,MATCH($M971,'Device Refrigerant Leakage'!$B$2:$B$42,0)))),"")</f>
        <v/>
      </c>
      <c r="CW971" s="135" t="str">
        <f>IF($I971&lt;&gt;"",IF(S971="User Specified",V971,INDEX('Refrigerant GWPs'!$G$2:$G$156,MATCH(S971,'Refrigerant GWPs'!$A$2:$A$157,0))),"")</f>
        <v/>
      </c>
      <c r="CX971" s="138" t="str">
        <f>IF($I971&lt;&gt;"",INDEX('Device Refrigerant Leakage'!$E$2:$E$42,MATCH($Q971,'Device Refrigerant Leakage'!$B$2:$B$42,0)),"")</f>
        <v/>
      </c>
      <c r="CY971" s="138" t="str">
        <f>IF($I971&lt;&gt;"",INDEX('Device Refrigerant Leakage'!$F$2:$F$42,MATCH($Q971,'Device Refrigerant Leakage'!$B$2:$B$42,0)),"")</f>
        <v/>
      </c>
      <c r="CZ971" s="145" t="str">
        <f>IF($I971&lt;&gt;"",INDEX('Device Refrigerant Leakage'!$G$2:$G$42,MATCH($Q971,'Device Refrigerant Leakage'!$B$2:$B$42,0)),"")</f>
        <v/>
      </c>
      <c r="DA971" s="145" t="str">
        <f>IF($I971&lt;&gt;"",J971*INDEX('Device Refrigerant Leakage'!$D$2:$D$42,MATCH($Q971,'Device Refrigerant Leakage'!$B$2:$B$42,0))*CX971/2204.62*CW971,"")</f>
        <v/>
      </c>
      <c r="DB971" s="145" t="str">
        <f>IF($I971&lt;&gt;"",J971*(INDEX('Device Refrigerant Leakage'!$D$2:$D$42,MATCH($Q971,'Device Refrigerant Leakage'!$B$2:$B$42,0))-(INDEX('Device Refrigerant Leakage'!$D$2:$D$42,MATCH($Q971,'Device Refrigerant Leakage'!$B$2:$B$42,0)))*CZ971*CX971)*CY971/2204.62*CW971,"")</f>
        <v/>
      </c>
      <c r="DC971" s="135" t="str">
        <f t="shared" si="1096"/>
        <v/>
      </c>
      <c r="DE971" s="146" t="str">
        <f>IF(W971&lt;&gt;"AR","",IF(Y971="User Specified", AA971, INDEX('Refrigerant GWPs'!$G$2:$G$154,MATCH(Y971,'Refrigerant GWPs'!$A$2:$A$154,0))))</f>
        <v/>
      </c>
      <c r="DF971" s="146" t="str">
        <f>IF(W971&lt;&gt;"AR","",INDEX('Device Refrigerant Leakage'!$E$2:$E$42,MATCH(X971,'Device Refrigerant Leakage'!$B$2:$B$42,0)))</f>
        <v/>
      </c>
      <c r="DG971" s="146" t="str">
        <f>IF(W971&lt;&gt;"AR","",INDEX('Device Refrigerant Leakage'!$F$2:$F$42,MATCH(X971,'Device Refrigerant Leakage'!$B$2:$B$42,0)))</f>
        <v/>
      </c>
      <c r="DH971" s="146" t="str">
        <f>IF(W971&lt;&gt;"AR","",INDEX('Device Refrigerant Leakage'!$G$2:$G$42,MATCH(X971,'Device Refrigerant Leakage'!$B$2:$B$42,0)))</f>
        <v/>
      </c>
      <c r="DI971" s="146" t="str">
        <f>IF(W971&lt;&gt;"AR","",J971*INDEX('Device Refrigerant Leakage'!$D$2:$D$42,MATCH(X971,'Device Refrigerant Leakage'!$B$2:$B$42,0))*DF971/2204.62*DE971)</f>
        <v/>
      </c>
      <c r="DJ971" s="146" t="str">
        <f>IF(W971&lt;&gt;"AR","",J971*(INDEX('Device Refrigerant Leakage'!$D$2:$D$42,MATCH(X971,'Device Refrigerant Leakage'!$B$2:$B$42,0))-(INDEX('Device Refrigerant Leakage'!$D$2:$D$42,MATCH(X971,'Device Refrigerant Leakage'!$B$2:$B$42,0)))*DH971*DF971)*DG971/2204.62*DE971)</f>
        <v/>
      </c>
      <c r="DK971" s="146" t="str">
        <f>IF(W971&lt;&gt;"AR","",DI971*(K971-AB971)+'Fuel Sub Calcs-Deemed'!DJ971*((K971-AB971)/INDEX('Device Refrigerant Leakage'!$C$2:$C$42,MATCH('Fuel Sub Calcs-Deemed'!X971,'Device Refrigerant Leakage'!$B$2:$B$42,0))))</f>
        <v/>
      </c>
      <c r="DM971" s="56">
        <v>957</v>
      </c>
      <c r="DN971" s="67" t="e">
        <f t="shared" si="1078"/>
        <v>#N/A</v>
      </c>
      <c r="DO971" s="45" t="e">
        <f t="shared" si="1079"/>
        <v>#N/A</v>
      </c>
      <c r="DP971" s="67" t="e">
        <f t="shared" si="1080"/>
        <v>#N/A</v>
      </c>
      <c r="DQ971" s="45" t="e">
        <f t="shared" si="1081"/>
        <v>#N/A</v>
      </c>
      <c r="DR971" s="69" t="e">
        <f t="shared" si="1082"/>
        <v>#N/A</v>
      </c>
      <c r="DS971" s="34"/>
      <c r="DT971" s="67" t="e">
        <f>((BX971*CJ971)+IF($W971=MAT_AR,(BZ971*CL971),0))*(1+Reference!$E$50+Reference!$E$51)</f>
        <v>#N/A</v>
      </c>
      <c r="DU971" s="67">
        <f>((BY971*CK971)+IF($W971=MAT_AR,(CA971*CM971),0))*(1+Reference!$G$50+Reference!$G$51)</f>
        <v>0</v>
      </c>
      <c r="DV971" s="67" t="e">
        <f t="shared" si="1083"/>
        <v>#VALUE!</v>
      </c>
      <c r="DX971" s="56">
        <v>957</v>
      </c>
      <c r="DY971" s="67">
        <f t="shared" si="1084"/>
        <v>0</v>
      </c>
      <c r="DZ971" s="45" t="e">
        <f>VLOOKUP($R971,Dropdown!$C$3:$D$4,2,FALSE)</f>
        <v>#N/A</v>
      </c>
      <c r="EA971" s="68">
        <f t="shared" si="1085"/>
        <v>0</v>
      </c>
      <c r="EB971" s="68" t="str">
        <f t="shared" si="1086"/>
        <v>N/A</v>
      </c>
      <c r="EC971" s="68">
        <f t="shared" si="1087"/>
        <v>0</v>
      </c>
      <c r="ED971" s="68" t="str">
        <f t="shared" si="1125"/>
        <v>N/A</v>
      </c>
      <c r="EF971" s="56">
        <v>957</v>
      </c>
      <c r="EG971" s="46">
        <f t="shared" si="1088"/>
        <v>0</v>
      </c>
      <c r="EH971" s="68" t="e">
        <f t="shared" si="1089"/>
        <v>#N/A</v>
      </c>
      <c r="EI971" s="68" t="e">
        <f t="shared" si="1090"/>
        <v>#N/A</v>
      </c>
      <c r="EJ971" s="68" t="e">
        <f t="shared" si="1091"/>
        <v>#N/A</v>
      </c>
      <c r="EK971" s="68" t="e">
        <f t="shared" si="1092"/>
        <v>#N/A</v>
      </c>
      <c r="EL971" s="46">
        <f t="shared" si="1093"/>
        <v>0</v>
      </c>
      <c r="EM971" s="46">
        <f t="shared" si="1094"/>
        <v>0</v>
      </c>
    </row>
    <row r="972" spans="1:143">
      <c r="A972" s="89"/>
      <c r="B972" s="89"/>
      <c r="C972" s="89"/>
      <c r="D972" s="89"/>
      <c r="E972" s="89"/>
      <c r="F972" s="89"/>
      <c r="G972" s="34"/>
      <c r="H972" s="56">
        <f t="shared" si="1095"/>
        <v>958</v>
      </c>
      <c r="I972" s="165"/>
      <c r="J972" s="163"/>
      <c r="K972" s="163"/>
      <c r="L972" s="164"/>
      <c r="M972" s="155"/>
      <c r="N972" s="155"/>
      <c r="O972" s="144"/>
      <c r="P972" s="159" t="str">
        <f>IFERROR(IF(O972&lt;&gt;"User Specified",IF(O972&lt;&gt;"", INDEX('Refrigerant GWPs'!$G$2:$G$154,MATCH(O972,'Refrigerant GWPs'!$A$2:$A$154,0)),""),U972),0)</f>
        <v/>
      </c>
      <c r="Q972" s="155"/>
      <c r="R972" s="155"/>
      <c r="S972" s="144"/>
      <c r="T972" s="159" t="str">
        <f>IF(S972&lt;&gt;"User Specified",IF(AND(S972&lt;&gt;"User Specified",S972&lt;&gt;""), INDEX('Refrigerant GWPs'!$G$2:$G$154,MATCH(S972,'Refrigerant GWPs'!$A$2:$A$154,0)),""),V972)</f>
        <v/>
      </c>
      <c r="U972" s="144"/>
      <c r="V972" s="144"/>
      <c r="W972" s="155"/>
      <c r="X972" s="155"/>
      <c r="Y972" s="144"/>
      <c r="Z972" s="159" t="str">
        <f>IF(AND(Y972&lt;&gt;"User Specified",Y972&lt;&gt;""), INDEX('Refrigerant GWPs'!$G$2:$G$154,MATCH(Y972,'Refrigerant GWPs'!$A$2:$A$154,0)),"")</f>
        <v/>
      </c>
      <c r="AA972" s="155"/>
      <c r="AB972" s="156"/>
      <c r="AC972" s="66"/>
      <c r="AD972" s="66"/>
      <c r="AE972" s="66"/>
      <c r="AF972" s="66"/>
      <c r="AG972" s="66"/>
      <c r="AH972" s="66"/>
      <c r="AI972" s="34"/>
      <c r="AJ972" s="88">
        <f t="shared" si="1058"/>
        <v>0</v>
      </c>
      <c r="AK972" s="88">
        <f t="shared" si="1059"/>
        <v>0</v>
      </c>
      <c r="AL972" s="88">
        <v>0</v>
      </c>
      <c r="AM972" s="88">
        <v>0</v>
      </c>
      <c r="AN972" s="81" t="str">
        <f t="shared" si="1097"/>
        <v/>
      </c>
      <c r="AO972" s="88">
        <f t="shared" si="1060"/>
        <v>0</v>
      </c>
      <c r="AP972" s="88">
        <f t="shared" si="1061"/>
        <v>0</v>
      </c>
      <c r="AQ972" s="81" t="str">
        <f t="shared" si="1062"/>
        <v/>
      </c>
      <c r="AS972" s="41" t="b">
        <f t="shared" si="1063"/>
        <v>1</v>
      </c>
      <c r="AT972" s="38">
        <f t="shared" si="1064"/>
        <v>0</v>
      </c>
      <c r="AU972" s="60">
        <f t="shared" si="1065"/>
        <v>0</v>
      </c>
      <c r="AV972" s="41">
        <f t="shared" si="1066"/>
        <v>0</v>
      </c>
      <c r="AW972" s="41" t="b">
        <f t="shared" si="1067"/>
        <v>0</v>
      </c>
      <c r="AX972" t="str">
        <f t="shared" si="1068"/>
        <v>+00</v>
      </c>
      <c r="AY972" t="str">
        <f t="shared" si="1069"/>
        <v>+00</v>
      </c>
      <c r="BA972" s="47" t="b">
        <f t="shared" si="1098"/>
        <v>1</v>
      </c>
      <c r="BB972" s="42" t="b">
        <f t="shared" si="1099"/>
        <v>1</v>
      </c>
      <c r="BC972" s="42" t="b">
        <f t="shared" si="1100"/>
        <v>0</v>
      </c>
      <c r="BD972" s="42" t="b">
        <f t="shared" si="1101"/>
        <v>0</v>
      </c>
      <c r="BE972" s="70">
        <f t="shared" si="1102"/>
        <v>0</v>
      </c>
      <c r="BF972" s="70">
        <f t="shared" si="1103"/>
        <v>0</v>
      </c>
      <c r="BG972" s="34"/>
      <c r="BI972" s="47" t="b">
        <f t="shared" si="1104"/>
        <v>1</v>
      </c>
      <c r="BJ972" s="47" t="b">
        <f t="shared" si="1105"/>
        <v>1</v>
      </c>
      <c r="BK972" s="42" t="b">
        <f t="shared" si="1106"/>
        <v>0</v>
      </c>
      <c r="BL972" s="42" t="b">
        <f t="shared" si="1107"/>
        <v>0</v>
      </c>
      <c r="BM972" s="42">
        <f t="shared" si="1108"/>
        <v>0</v>
      </c>
      <c r="BN972" s="42">
        <f t="shared" si="1109"/>
        <v>0</v>
      </c>
      <c r="BP972" t="e">
        <f t="shared" si="1110"/>
        <v>#N/A</v>
      </c>
      <c r="BQ972" t="e">
        <f t="shared" si="1111"/>
        <v>#N/A</v>
      </c>
      <c r="BR972" t="e">
        <f t="shared" si="1112"/>
        <v>#N/A</v>
      </c>
      <c r="BT972" s="60">
        <f t="shared" si="1113"/>
        <v>0</v>
      </c>
      <c r="BU972" s="60">
        <f t="shared" si="1114"/>
        <v>0</v>
      </c>
      <c r="BV972" s="60">
        <f t="shared" si="1115"/>
        <v>0</v>
      </c>
      <c r="BW972" s="60">
        <f t="shared" si="1116"/>
        <v>0</v>
      </c>
      <c r="BX972" s="60">
        <f t="shared" si="1117"/>
        <v>0</v>
      </c>
      <c r="BY972" s="60">
        <f t="shared" si="1118"/>
        <v>0</v>
      </c>
      <c r="BZ972" s="60">
        <f t="shared" si="1119"/>
        <v>0</v>
      </c>
      <c r="CA972" s="60">
        <f t="shared" si="1120"/>
        <v>0</v>
      </c>
      <c r="CB972" s="60" t="e">
        <f t="shared" si="1070"/>
        <v>#N/A</v>
      </c>
      <c r="CC972" s="60">
        <f t="shared" si="1071"/>
        <v>100000</v>
      </c>
      <c r="CD972" s="60" t="e">
        <f t="shared" si="1072"/>
        <v>#N/A</v>
      </c>
      <c r="CE972" s="60">
        <f t="shared" si="1073"/>
        <v>100000</v>
      </c>
      <c r="CF972" s="83" t="e">
        <f t="shared" si="1121"/>
        <v>#N/A</v>
      </c>
      <c r="CG972" s="83">
        <f t="shared" si="1122"/>
        <v>0</v>
      </c>
      <c r="CH972" s="83" t="e">
        <f t="shared" si="1123"/>
        <v>#N/A</v>
      </c>
      <c r="CI972" s="83">
        <f t="shared" si="1124"/>
        <v>0</v>
      </c>
      <c r="CJ972" s="86" t="e">
        <f t="shared" si="1074"/>
        <v>#N/A</v>
      </c>
      <c r="CK972" s="82">
        <f t="shared" si="1075"/>
        <v>5.3070370403969858E-3</v>
      </c>
      <c r="CL972" s="82" t="e">
        <f t="shared" si="1076"/>
        <v>#N/A</v>
      </c>
      <c r="CM972" s="82">
        <f t="shared" si="1077"/>
        <v>5.3070370403969858E-3</v>
      </c>
      <c r="CO972" s="149" t="str">
        <f>IF($I972&lt;&gt;"",IF(O972="User Specified",U972,INDEX('Refrigerant GWPs'!$G$2:$G$156,MATCH(O972,'Refrigerant GWPs'!$A$2:$A$156,0))),"")</f>
        <v/>
      </c>
      <c r="CP972" s="138" t="str">
        <f>IF($I972&lt;&gt;"",INDEX('Device Refrigerant Leakage'!$E$2:$E$42,MATCH($M972,'Device Refrigerant Leakage'!$B$2:$B$42,0)),"")</f>
        <v/>
      </c>
      <c r="CQ972" s="138" t="str">
        <f>IF($I972&lt;&gt;"",INDEX('Device Refrigerant Leakage'!$F$2:$F$42,MATCH($M972,'Device Refrigerant Leakage'!$B$2:$B$42,0)),"")</f>
        <v/>
      </c>
      <c r="CR972" s="145" t="str">
        <f>IF($I972&lt;&gt;"",INDEX('Device Refrigerant Leakage'!$G$2:$G$42,MATCH($M972,'Device Refrigerant Leakage'!$B$2:$B$42,0)),"")</f>
        <v/>
      </c>
      <c r="CS972" s="145" t="str">
        <f>IF($I972&lt;&gt;"",INDEX('Device Refrigerant Leakage'!$D$2:$D$42,MATCH($M972,'Device Refrigerant Leakage'!$B$2:$B$42,0))*CP972/2204.62*CO972,"")</f>
        <v/>
      </c>
      <c r="CT972" s="145" t="str">
        <f>IF($I972&lt;&gt;"",J972*(INDEX('Device Refrigerant Leakage'!$D$2:$D$42,MATCH($M972,'Device Refrigerant Leakage'!$B$2:$B$42,0))-(INDEX('Device Refrigerant Leakage'!$D$2:$D$42,MATCH($M972,'Device Refrigerant Leakage'!$B$2:$B$42,0)))*CR972*CP972)*CQ972/2204.62*CO972,"")</f>
        <v/>
      </c>
      <c r="CU972" s="135" t="str">
        <f>IF($I972&lt;&gt;"",J972*IF(W972&lt;&gt;"AR",(CS972*K972)+CT972,(CS972*AB972)+CT972*(AB972/INDEX('Device Refrigerant Leakage'!$C$2:$C$42,MATCH($M972,'Device Refrigerant Leakage'!$B$2:$B$42,0)))),"")</f>
        <v/>
      </c>
      <c r="CW972" s="135" t="str">
        <f>IF($I972&lt;&gt;"",IF(S972="User Specified",V972,INDEX('Refrigerant GWPs'!$G$2:$G$156,MATCH(S972,'Refrigerant GWPs'!$A$2:$A$157,0))),"")</f>
        <v/>
      </c>
      <c r="CX972" s="138" t="str">
        <f>IF($I972&lt;&gt;"",INDEX('Device Refrigerant Leakage'!$E$2:$E$42,MATCH($Q972,'Device Refrigerant Leakage'!$B$2:$B$42,0)),"")</f>
        <v/>
      </c>
      <c r="CY972" s="138" t="str">
        <f>IF($I972&lt;&gt;"",INDEX('Device Refrigerant Leakage'!$F$2:$F$42,MATCH($Q972,'Device Refrigerant Leakage'!$B$2:$B$42,0)),"")</f>
        <v/>
      </c>
      <c r="CZ972" s="145" t="str">
        <f>IF($I972&lt;&gt;"",INDEX('Device Refrigerant Leakage'!$G$2:$G$42,MATCH($Q972,'Device Refrigerant Leakage'!$B$2:$B$42,0)),"")</f>
        <v/>
      </c>
      <c r="DA972" s="145" t="str">
        <f>IF($I972&lt;&gt;"",J972*INDEX('Device Refrigerant Leakage'!$D$2:$D$42,MATCH($Q972,'Device Refrigerant Leakage'!$B$2:$B$42,0))*CX972/2204.62*CW972,"")</f>
        <v/>
      </c>
      <c r="DB972" s="145" t="str">
        <f>IF($I972&lt;&gt;"",J972*(INDEX('Device Refrigerant Leakage'!$D$2:$D$42,MATCH($Q972,'Device Refrigerant Leakage'!$B$2:$B$42,0))-(INDEX('Device Refrigerant Leakage'!$D$2:$D$42,MATCH($Q972,'Device Refrigerant Leakage'!$B$2:$B$42,0)))*CZ972*CX972)*CY972/2204.62*CW972,"")</f>
        <v/>
      </c>
      <c r="DC972" s="135" t="str">
        <f t="shared" si="1096"/>
        <v/>
      </c>
      <c r="DE972" s="146" t="str">
        <f>IF(W972&lt;&gt;"AR","",IF(Y972="User Specified", AA972, INDEX('Refrigerant GWPs'!$G$2:$G$154,MATCH(Y972,'Refrigerant GWPs'!$A$2:$A$154,0))))</f>
        <v/>
      </c>
      <c r="DF972" s="146" t="str">
        <f>IF(W972&lt;&gt;"AR","",INDEX('Device Refrigerant Leakage'!$E$2:$E$42,MATCH(X972,'Device Refrigerant Leakage'!$B$2:$B$42,0)))</f>
        <v/>
      </c>
      <c r="DG972" s="146" t="str">
        <f>IF(W972&lt;&gt;"AR","",INDEX('Device Refrigerant Leakage'!$F$2:$F$42,MATCH(X972,'Device Refrigerant Leakage'!$B$2:$B$42,0)))</f>
        <v/>
      </c>
      <c r="DH972" s="146" t="str">
        <f>IF(W972&lt;&gt;"AR","",INDEX('Device Refrigerant Leakage'!$G$2:$G$42,MATCH(X972,'Device Refrigerant Leakage'!$B$2:$B$42,0)))</f>
        <v/>
      </c>
      <c r="DI972" s="146" t="str">
        <f>IF(W972&lt;&gt;"AR","",J972*INDEX('Device Refrigerant Leakage'!$D$2:$D$42,MATCH(X972,'Device Refrigerant Leakage'!$B$2:$B$42,0))*DF972/2204.62*DE972)</f>
        <v/>
      </c>
      <c r="DJ972" s="146" t="str">
        <f>IF(W972&lt;&gt;"AR","",J972*(INDEX('Device Refrigerant Leakage'!$D$2:$D$42,MATCH(X972,'Device Refrigerant Leakage'!$B$2:$B$42,0))-(INDEX('Device Refrigerant Leakage'!$D$2:$D$42,MATCH(X972,'Device Refrigerant Leakage'!$B$2:$B$42,0)))*DH972*DF972)*DG972/2204.62*DE972)</f>
        <v/>
      </c>
      <c r="DK972" s="146" t="str">
        <f>IF(W972&lt;&gt;"AR","",DI972*(K972-AB972)+'Fuel Sub Calcs-Deemed'!DJ972*((K972-AB972)/INDEX('Device Refrigerant Leakage'!$C$2:$C$42,MATCH('Fuel Sub Calcs-Deemed'!X972,'Device Refrigerant Leakage'!$B$2:$B$42,0))))</f>
        <v/>
      </c>
      <c r="DM972" s="56">
        <v>958</v>
      </c>
      <c r="DN972" s="67" t="e">
        <f t="shared" si="1078"/>
        <v>#N/A</v>
      </c>
      <c r="DO972" s="45" t="e">
        <f t="shared" si="1079"/>
        <v>#N/A</v>
      </c>
      <c r="DP972" s="67" t="e">
        <f t="shared" si="1080"/>
        <v>#N/A</v>
      </c>
      <c r="DQ972" s="45" t="e">
        <f t="shared" si="1081"/>
        <v>#N/A</v>
      </c>
      <c r="DR972" s="69" t="e">
        <f t="shared" si="1082"/>
        <v>#N/A</v>
      </c>
      <c r="DS972" s="34"/>
      <c r="DT972" s="67" t="e">
        <f>((BX972*CJ972)+IF($W972=MAT_AR,(BZ972*CL972),0))*(1+Reference!$E$50+Reference!$E$51)</f>
        <v>#N/A</v>
      </c>
      <c r="DU972" s="67">
        <f>((BY972*CK972)+IF($W972=MAT_AR,(CA972*CM972),0))*(1+Reference!$G$50+Reference!$G$51)</f>
        <v>0</v>
      </c>
      <c r="DV972" s="67" t="e">
        <f t="shared" si="1083"/>
        <v>#VALUE!</v>
      </c>
      <c r="DX972" s="56">
        <v>958</v>
      </c>
      <c r="DY972" s="67">
        <f t="shared" si="1084"/>
        <v>0</v>
      </c>
      <c r="DZ972" s="45" t="e">
        <f>VLOOKUP($R972,Dropdown!$C$3:$D$4,2,FALSE)</f>
        <v>#N/A</v>
      </c>
      <c r="EA972" s="68">
        <f t="shared" si="1085"/>
        <v>0</v>
      </c>
      <c r="EB972" s="68" t="str">
        <f t="shared" si="1086"/>
        <v>N/A</v>
      </c>
      <c r="EC972" s="68">
        <f t="shared" si="1087"/>
        <v>0</v>
      </c>
      <c r="ED972" s="68" t="str">
        <f t="shared" si="1125"/>
        <v>N/A</v>
      </c>
      <c r="EF972" s="56">
        <v>958</v>
      </c>
      <c r="EG972" s="46">
        <f t="shared" si="1088"/>
        <v>0</v>
      </c>
      <c r="EH972" s="68" t="e">
        <f t="shared" si="1089"/>
        <v>#N/A</v>
      </c>
      <c r="EI972" s="68" t="e">
        <f t="shared" si="1090"/>
        <v>#N/A</v>
      </c>
      <c r="EJ972" s="68" t="e">
        <f t="shared" si="1091"/>
        <v>#N/A</v>
      </c>
      <c r="EK972" s="68" t="e">
        <f t="shared" si="1092"/>
        <v>#N/A</v>
      </c>
      <c r="EL972" s="46">
        <f t="shared" si="1093"/>
        <v>0</v>
      </c>
      <c r="EM972" s="46">
        <f t="shared" si="1094"/>
        <v>0</v>
      </c>
    </row>
    <row r="973" spans="1:143">
      <c r="A973" s="89"/>
      <c r="B973" s="89"/>
      <c r="C973" s="89"/>
      <c r="D973" s="89"/>
      <c r="E973" s="89"/>
      <c r="F973" s="89"/>
      <c r="G973" s="34"/>
      <c r="H973" s="56">
        <f t="shared" si="1095"/>
        <v>959</v>
      </c>
      <c r="I973" s="165"/>
      <c r="J973" s="163"/>
      <c r="K973" s="163"/>
      <c r="L973" s="164"/>
      <c r="M973" s="155"/>
      <c r="N973" s="155"/>
      <c r="O973" s="144"/>
      <c r="P973" s="159" t="str">
        <f>IFERROR(IF(O973&lt;&gt;"User Specified",IF(O973&lt;&gt;"", INDEX('Refrigerant GWPs'!$G$2:$G$154,MATCH(O973,'Refrigerant GWPs'!$A$2:$A$154,0)),""),U973),0)</f>
        <v/>
      </c>
      <c r="Q973" s="155"/>
      <c r="R973" s="155"/>
      <c r="S973" s="144"/>
      <c r="T973" s="159" t="str">
        <f>IF(S973&lt;&gt;"User Specified",IF(AND(S973&lt;&gt;"User Specified",S973&lt;&gt;""), INDEX('Refrigerant GWPs'!$G$2:$G$154,MATCH(S973,'Refrigerant GWPs'!$A$2:$A$154,0)),""),V973)</f>
        <v/>
      </c>
      <c r="U973" s="144"/>
      <c r="V973" s="144"/>
      <c r="W973" s="155"/>
      <c r="X973" s="155"/>
      <c r="Y973" s="144"/>
      <c r="Z973" s="159" t="str">
        <f>IF(AND(Y973&lt;&gt;"User Specified",Y973&lt;&gt;""), INDEX('Refrigerant GWPs'!$G$2:$G$154,MATCH(Y973,'Refrigerant GWPs'!$A$2:$A$154,0)),"")</f>
        <v/>
      </c>
      <c r="AA973" s="155"/>
      <c r="AB973" s="156"/>
      <c r="AC973" s="66"/>
      <c r="AD973" s="66"/>
      <c r="AE973" s="66"/>
      <c r="AF973" s="66"/>
      <c r="AG973" s="66"/>
      <c r="AH973" s="66"/>
      <c r="AI973" s="34"/>
      <c r="AJ973" s="88">
        <f t="shared" si="1058"/>
        <v>0</v>
      </c>
      <c r="AK973" s="88">
        <f t="shared" si="1059"/>
        <v>0</v>
      </c>
      <c r="AL973" s="88">
        <v>0</v>
      </c>
      <c r="AM973" s="88">
        <v>0</v>
      </c>
      <c r="AN973" s="81" t="str">
        <f t="shared" si="1097"/>
        <v/>
      </c>
      <c r="AO973" s="88">
        <f t="shared" si="1060"/>
        <v>0</v>
      </c>
      <c r="AP973" s="88">
        <f t="shared" si="1061"/>
        <v>0</v>
      </c>
      <c r="AQ973" s="81" t="str">
        <f t="shared" si="1062"/>
        <v/>
      </c>
      <c r="AS973" s="41" t="b">
        <f t="shared" si="1063"/>
        <v>1</v>
      </c>
      <c r="AT973" s="38">
        <f t="shared" si="1064"/>
        <v>0</v>
      </c>
      <c r="AU973" s="60">
        <f t="shared" si="1065"/>
        <v>0</v>
      </c>
      <c r="AV973" s="41">
        <f t="shared" si="1066"/>
        <v>0</v>
      </c>
      <c r="AW973" s="41" t="b">
        <f t="shared" si="1067"/>
        <v>0</v>
      </c>
      <c r="AX973" t="str">
        <f t="shared" si="1068"/>
        <v>+00</v>
      </c>
      <c r="AY973" t="str">
        <f t="shared" si="1069"/>
        <v>+00</v>
      </c>
      <c r="BA973" s="47" t="b">
        <f t="shared" si="1098"/>
        <v>1</v>
      </c>
      <c r="BB973" s="42" t="b">
        <f t="shared" si="1099"/>
        <v>1</v>
      </c>
      <c r="BC973" s="42" t="b">
        <f t="shared" si="1100"/>
        <v>0</v>
      </c>
      <c r="BD973" s="42" t="b">
        <f t="shared" si="1101"/>
        <v>0</v>
      </c>
      <c r="BE973" s="70">
        <f t="shared" si="1102"/>
        <v>0</v>
      </c>
      <c r="BF973" s="70">
        <f t="shared" si="1103"/>
        <v>0</v>
      </c>
      <c r="BG973" s="34"/>
      <c r="BI973" s="47" t="b">
        <f t="shared" si="1104"/>
        <v>1</v>
      </c>
      <c r="BJ973" s="47" t="b">
        <f t="shared" si="1105"/>
        <v>1</v>
      </c>
      <c r="BK973" s="42" t="b">
        <f t="shared" si="1106"/>
        <v>0</v>
      </c>
      <c r="BL973" s="42" t="b">
        <f t="shared" si="1107"/>
        <v>0</v>
      </c>
      <c r="BM973" s="42">
        <f t="shared" si="1108"/>
        <v>0</v>
      </c>
      <c r="BN973" s="42">
        <f t="shared" si="1109"/>
        <v>0</v>
      </c>
      <c r="BP973" t="e">
        <f t="shared" si="1110"/>
        <v>#N/A</v>
      </c>
      <c r="BQ973" t="e">
        <f t="shared" si="1111"/>
        <v>#N/A</v>
      </c>
      <c r="BR973" t="e">
        <f t="shared" si="1112"/>
        <v>#N/A</v>
      </c>
      <c r="BT973" s="60">
        <f t="shared" si="1113"/>
        <v>0</v>
      </c>
      <c r="BU973" s="60">
        <f t="shared" si="1114"/>
        <v>0</v>
      </c>
      <c r="BV973" s="60">
        <f t="shared" si="1115"/>
        <v>0</v>
      </c>
      <c r="BW973" s="60">
        <f t="shared" si="1116"/>
        <v>0</v>
      </c>
      <c r="BX973" s="60">
        <f t="shared" si="1117"/>
        <v>0</v>
      </c>
      <c r="BY973" s="60">
        <f t="shared" si="1118"/>
        <v>0</v>
      </c>
      <c r="BZ973" s="60">
        <f t="shared" si="1119"/>
        <v>0</v>
      </c>
      <c r="CA973" s="60">
        <f t="shared" si="1120"/>
        <v>0</v>
      </c>
      <c r="CB973" s="60" t="e">
        <f t="shared" si="1070"/>
        <v>#N/A</v>
      </c>
      <c r="CC973" s="60">
        <f t="shared" si="1071"/>
        <v>100000</v>
      </c>
      <c r="CD973" s="60" t="e">
        <f t="shared" si="1072"/>
        <v>#N/A</v>
      </c>
      <c r="CE973" s="60">
        <f t="shared" si="1073"/>
        <v>100000</v>
      </c>
      <c r="CF973" s="83" t="e">
        <f t="shared" si="1121"/>
        <v>#N/A</v>
      </c>
      <c r="CG973" s="83">
        <f t="shared" si="1122"/>
        <v>0</v>
      </c>
      <c r="CH973" s="83" t="e">
        <f t="shared" si="1123"/>
        <v>#N/A</v>
      </c>
      <c r="CI973" s="83">
        <f t="shared" si="1124"/>
        <v>0</v>
      </c>
      <c r="CJ973" s="86" t="e">
        <f t="shared" si="1074"/>
        <v>#N/A</v>
      </c>
      <c r="CK973" s="82">
        <f t="shared" si="1075"/>
        <v>5.3070370403969858E-3</v>
      </c>
      <c r="CL973" s="82" t="e">
        <f t="shared" si="1076"/>
        <v>#N/A</v>
      </c>
      <c r="CM973" s="82">
        <f t="shared" si="1077"/>
        <v>5.3070370403969858E-3</v>
      </c>
      <c r="CO973" s="149" t="str">
        <f>IF($I973&lt;&gt;"",IF(O973="User Specified",U973,INDEX('Refrigerant GWPs'!$G$2:$G$156,MATCH(O973,'Refrigerant GWPs'!$A$2:$A$156,0))),"")</f>
        <v/>
      </c>
      <c r="CP973" s="138" t="str">
        <f>IF($I973&lt;&gt;"",INDEX('Device Refrigerant Leakage'!$E$2:$E$42,MATCH($M973,'Device Refrigerant Leakage'!$B$2:$B$42,0)),"")</f>
        <v/>
      </c>
      <c r="CQ973" s="138" t="str">
        <f>IF($I973&lt;&gt;"",INDEX('Device Refrigerant Leakage'!$F$2:$F$42,MATCH($M973,'Device Refrigerant Leakage'!$B$2:$B$42,0)),"")</f>
        <v/>
      </c>
      <c r="CR973" s="145" t="str">
        <f>IF($I973&lt;&gt;"",INDEX('Device Refrigerant Leakage'!$G$2:$G$42,MATCH($M973,'Device Refrigerant Leakage'!$B$2:$B$42,0)),"")</f>
        <v/>
      </c>
      <c r="CS973" s="145" t="str">
        <f>IF($I973&lt;&gt;"",INDEX('Device Refrigerant Leakage'!$D$2:$D$42,MATCH($M973,'Device Refrigerant Leakage'!$B$2:$B$42,0))*CP973/2204.62*CO973,"")</f>
        <v/>
      </c>
      <c r="CT973" s="145" t="str">
        <f>IF($I973&lt;&gt;"",J973*(INDEX('Device Refrigerant Leakage'!$D$2:$D$42,MATCH($M973,'Device Refrigerant Leakage'!$B$2:$B$42,0))-(INDEX('Device Refrigerant Leakage'!$D$2:$D$42,MATCH($M973,'Device Refrigerant Leakage'!$B$2:$B$42,0)))*CR973*CP973)*CQ973/2204.62*CO973,"")</f>
        <v/>
      </c>
      <c r="CU973" s="135" t="str">
        <f>IF($I973&lt;&gt;"",J973*IF(W973&lt;&gt;"AR",(CS973*K973)+CT973,(CS973*AB973)+CT973*(AB973/INDEX('Device Refrigerant Leakage'!$C$2:$C$42,MATCH($M973,'Device Refrigerant Leakage'!$B$2:$B$42,0)))),"")</f>
        <v/>
      </c>
      <c r="CW973" s="135" t="str">
        <f>IF($I973&lt;&gt;"",IF(S973="User Specified",V973,INDEX('Refrigerant GWPs'!$G$2:$G$156,MATCH(S973,'Refrigerant GWPs'!$A$2:$A$157,0))),"")</f>
        <v/>
      </c>
      <c r="CX973" s="138" t="str">
        <f>IF($I973&lt;&gt;"",INDEX('Device Refrigerant Leakage'!$E$2:$E$42,MATCH($Q973,'Device Refrigerant Leakage'!$B$2:$B$42,0)),"")</f>
        <v/>
      </c>
      <c r="CY973" s="138" t="str">
        <f>IF($I973&lt;&gt;"",INDEX('Device Refrigerant Leakage'!$F$2:$F$42,MATCH($Q973,'Device Refrigerant Leakage'!$B$2:$B$42,0)),"")</f>
        <v/>
      </c>
      <c r="CZ973" s="145" t="str">
        <f>IF($I973&lt;&gt;"",INDEX('Device Refrigerant Leakage'!$G$2:$G$42,MATCH($Q973,'Device Refrigerant Leakage'!$B$2:$B$42,0)),"")</f>
        <v/>
      </c>
      <c r="DA973" s="145" t="str">
        <f>IF($I973&lt;&gt;"",J973*INDEX('Device Refrigerant Leakage'!$D$2:$D$42,MATCH($Q973,'Device Refrigerant Leakage'!$B$2:$B$42,0))*CX973/2204.62*CW973,"")</f>
        <v/>
      </c>
      <c r="DB973" s="145" t="str">
        <f>IF($I973&lt;&gt;"",J973*(INDEX('Device Refrigerant Leakage'!$D$2:$D$42,MATCH($Q973,'Device Refrigerant Leakage'!$B$2:$B$42,0))-(INDEX('Device Refrigerant Leakage'!$D$2:$D$42,MATCH($Q973,'Device Refrigerant Leakage'!$B$2:$B$42,0)))*CZ973*CX973)*CY973/2204.62*CW973,"")</f>
        <v/>
      </c>
      <c r="DC973" s="135" t="str">
        <f t="shared" si="1096"/>
        <v/>
      </c>
      <c r="DE973" s="146" t="str">
        <f>IF(W973&lt;&gt;"AR","",IF(Y973="User Specified", AA973, INDEX('Refrigerant GWPs'!$G$2:$G$154,MATCH(Y973,'Refrigerant GWPs'!$A$2:$A$154,0))))</f>
        <v/>
      </c>
      <c r="DF973" s="146" t="str">
        <f>IF(W973&lt;&gt;"AR","",INDEX('Device Refrigerant Leakage'!$E$2:$E$42,MATCH(X973,'Device Refrigerant Leakage'!$B$2:$B$42,0)))</f>
        <v/>
      </c>
      <c r="DG973" s="146" t="str">
        <f>IF(W973&lt;&gt;"AR","",INDEX('Device Refrigerant Leakage'!$F$2:$F$42,MATCH(X973,'Device Refrigerant Leakage'!$B$2:$B$42,0)))</f>
        <v/>
      </c>
      <c r="DH973" s="146" t="str">
        <f>IF(W973&lt;&gt;"AR","",INDEX('Device Refrigerant Leakage'!$G$2:$G$42,MATCH(X973,'Device Refrigerant Leakage'!$B$2:$B$42,0)))</f>
        <v/>
      </c>
      <c r="DI973" s="146" t="str">
        <f>IF(W973&lt;&gt;"AR","",J973*INDEX('Device Refrigerant Leakage'!$D$2:$D$42,MATCH(X973,'Device Refrigerant Leakage'!$B$2:$B$42,0))*DF973/2204.62*DE973)</f>
        <v/>
      </c>
      <c r="DJ973" s="146" t="str">
        <f>IF(W973&lt;&gt;"AR","",J973*(INDEX('Device Refrigerant Leakage'!$D$2:$D$42,MATCH(X973,'Device Refrigerant Leakage'!$B$2:$B$42,0))-(INDEX('Device Refrigerant Leakage'!$D$2:$D$42,MATCH(X973,'Device Refrigerant Leakage'!$B$2:$B$42,0)))*DH973*DF973)*DG973/2204.62*DE973)</f>
        <v/>
      </c>
      <c r="DK973" s="146" t="str">
        <f>IF(W973&lt;&gt;"AR","",DI973*(K973-AB973)+'Fuel Sub Calcs-Deemed'!DJ973*((K973-AB973)/INDEX('Device Refrigerant Leakage'!$C$2:$C$42,MATCH('Fuel Sub Calcs-Deemed'!X973,'Device Refrigerant Leakage'!$B$2:$B$42,0))))</f>
        <v/>
      </c>
      <c r="DM973" s="56">
        <v>959</v>
      </c>
      <c r="DN973" s="67" t="e">
        <f t="shared" si="1078"/>
        <v>#N/A</v>
      </c>
      <c r="DO973" s="45" t="e">
        <f t="shared" si="1079"/>
        <v>#N/A</v>
      </c>
      <c r="DP973" s="67" t="e">
        <f t="shared" si="1080"/>
        <v>#N/A</v>
      </c>
      <c r="DQ973" s="45" t="e">
        <f t="shared" si="1081"/>
        <v>#N/A</v>
      </c>
      <c r="DR973" s="69" t="e">
        <f t="shared" si="1082"/>
        <v>#N/A</v>
      </c>
      <c r="DS973" s="34"/>
      <c r="DT973" s="67" t="e">
        <f>((BX973*CJ973)+IF($W973=MAT_AR,(BZ973*CL973),0))*(1+Reference!$E$50+Reference!$E$51)</f>
        <v>#N/A</v>
      </c>
      <c r="DU973" s="67">
        <f>((BY973*CK973)+IF($W973=MAT_AR,(CA973*CM973),0))*(1+Reference!$G$50+Reference!$G$51)</f>
        <v>0</v>
      </c>
      <c r="DV973" s="67" t="e">
        <f t="shared" si="1083"/>
        <v>#VALUE!</v>
      </c>
      <c r="DX973" s="56">
        <v>959</v>
      </c>
      <c r="DY973" s="67">
        <f t="shared" si="1084"/>
        <v>0</v>
      </c>
      <c r="DZ973" s="45" t="e">
        <f>VLOOKUP($R973,Dropdown!$C$3:$D$4,2,FALSE)</f>
        <v>#N/A</v>
      </c>
      <c r="EA973" s="68">
        <f t="shared" si="1085"/>
        <v>0</v>
      </c>
      <c r="EB973" s="68" t="str">
        <f t="shared" si="1086"/>
        <v>N/A</v>
      </c>
      <c r="EC973" s="68">
        <f t="shared" si="1087"/>
        <v>0</v>
      </c>
      <c r="ED973" s="68" t="str">
        <f t="shared" si="1125"/>
        <v>N/A</v>
      </c>
      <c r="EF973" s="56">
        <v>959</v>
      </c>
      <c r="EG973" s="46">
        <f t="shared" si="1088"/>
        <v>0</v>
      </c>
      <c r="EH973" s="68" t="e">
        <f t="shared" si="1089"/>
        <v>#N/A</v>
      </c>
      <c r="EI973" s="68" t="e">
        <f t="shared" si="1090"/>
        <v>#N/A</v>
      </c>
      <c r="EJ973" s="68" t="e">
        <f t="shared" si="1091"/>
        <v>#N/A</v>
      </c>
      <c r="EK973" s="68" t="e">
        <f t="shared" si="1092"/>
        <v>#N/A</v>
      </c>
      <c r="EL973" s="46">
        <f t="shared" si="1093"/>
        <v>0</v>
      </c>
      <c r="EM973" s="46">
        <f t="shared" si="1094"/>
        <v>0</v>
      </c>
    </row>
    <row r="974" spans="1:143">
      <c r="A974" s="89"/>
      <c r="B974" s="89"/>
      <c r="C974" s="89"/>
      <c r="D974" s="89"/>
      <c r="E974" s="89"/>
      <c r="F974" s="89"/>
      <c r="G974" s="34"/>
      <c r="H974" s="56">
        <f t="shared" si="1095"/>
        <v>960</v>
      </c>
      <c r="I974" s="165"/>
      <c r="J974" s="163"/>
      <c r="K974" s="163"/>
      <c r="L974" s="164"/>
      <c r="M974" s="155"/>
      <c r="N974" s="155"/>
      <c r="O974" s="144"/>
      <c r="P974" s="159" t="str">
        <f>IFERROR(IF(O974&lt;&gt;"User Specified",IF(O974&lt;&gt;"", INDEX('Refrigerant GWPs'!$G$2:$G$154,MATCH(O974,'Refrigerant GWPs'!$A$2:$A$154,0)),""),U974),0)</f>
        <v/>
      </c>
      <c r="Q974" s="155"/>
      <c r="R974" s="155"/>
      <c r="S974" s="144"/>
      <c r="T974" s="159" t="str">
        <f>IF(S974&lt;&gt;"User Specified",IF(AND(S974&lt;&gt;"User Specified",S974&lt;&gt;""), INDEX('Refrigerant GWPs'!$G$2:$G$154,MATCH(S974,'Refrigerant GWPs'!$A$2:$A$154,0)),""),V974)</f>
        <v/>
      </c>
      <c r="U974" s="144"/>
      <c r="V974" s="144"/>
      <c r="W974" s="155"/>
      <c r="X974" s="155"/>
      <c r="Y974" s="144"/>
      <c r="Z974" s="159" t="str">
        <f>IF(AND(Y974&lt;&gt;"User Specified",Y974&lt;&gt;""), INDEX('Refrigerant GWPs'!$G$2:$G$154,MATCH(Y974,'Refrigerant GWPs'!$A$2:$A$154,0)),"")</f>
        <v/>
      </c>
      <c r="AA974" s="155"/>
      <c r="AB974" s="156"/>
      <c r="AC974" s="66"/>
      <c r="AD974" s="66"/>
      <c r="AE974" s="66"/>
      <c r="AF974" s="66"/>
      <c r="AG974" s="66"/>
      <c r="AH974" s="66"/>
      <c r="AI974" s="34"/>
      <c r="AJ974" s="88">
        <f t="shared" si="1058"/>
        <v>0</v>
      </c>
      <c r="AK974" s="88">
        <f t="shared" si="1059"/>
        <v>0</v>
      </c>
      <c r="AL974" s="88">
        <v>0</v>
      </c>
      <c r="AM974" s="88">
        <v>0</v>
      </c>
      <c r="AN974" s="81" t="str">
        <f t="shared" si="1097"/>
        <v/>
      </c>
      <c r="AO974" s="88">
        <f t="shared" si="1060"/>
        <v>0</v>
      </c>
      <c r="AP974" s="88">
        <f t="shared" si="1061"/>
        <v>0</v>
      </c>
      <c r="AQ974" s="81" t="str">
        <f t="shared" si="1062"/>
        <v/>
      </c>
      <c r="AS974" s="41" t="b">
        <f t="shared" si="1063"/>
        <v>1</v>
      </c>
      <c r="AT974" s="38">
        <f t="shared" si="1064"/>
        <v>0</v>
      </c>
      <c r="AU974" s="60">
        <f t="shared" si="1065"/>
        <v>0</v>
      </c>
      <c r="AV974" s="41">
        <f t="shared" si="1066"/>
        <v>0</v>
      </c>
      <c r="AW974" s="41" t="b">
        <f t="shared" si="1067"/>
        <v>0</v>
      </c>
      <c r="AX974" t="str">
        <f t="shared" si="1068"/>
        <v>+00</v>
      </c>
      <c r="AY974" t="str">
        <f t="shared" si="1069"/>
        <v>+00</v>
      </c>
      <c r="BA974" s="47" t="b">
        <f t="shared" si="1098"/>
        <v>1</v>
      </c>
      <c r="BB974" s="42" t="b">
        <f t="shared" si="1099"/>
        <v>1</v>
      </c>
      <c r="BC974" s="42" t="b">
        <f t="shared" si="1100"/>
        <v>0</v>
      </c>
      <c r="BD974" s="42" t="b">
        <f t="shared" si="1101"/>
        <v>0</v>
      </c>
      <c r="BE974" s="70">
        <f t="shared" si="1102"/>
        <v>0</v>
      </c>
      <c r="BF974" s="70">
        <f t="shared" si="1103"/>
        <v>0</v>
      </c>
      <c r="BG974" s="34"/>
      <c r="BI974" s="47" t="b">
        <f t="shared" si="1104"/>
        <v>1</v>
      </c>
      <c r="BJ974" s="47" t="b">
        <f t="shared" si="1105"/>
        <v>1</v>
      </c>
      <c r="BK974" s="42" t="b">
        <f t="shared" si="1106"/>
        <v>0</v>
      </c>
      <c r="BL974" s="42" t="b">
        <f t="shared" si="1107"/>
        <v>0</v>
      </c>
      <c r="BM974" s="42">
        <f t="shared" si="1108"/>
        <v>0</v>
      </c>
      <c r="BN974" s="42">
        <f t="shared" si="1109"/>
        <v>0</v>
      </c>
      <c r="BP974" t="e">
        <f t="shared" si="1110"/>
        <v>#N/A</v>
      </c>
      <c r="BQ974" t="e">
        <f t="shared" si="1111"/>
        <v>#N/A</v>
      </c>
      <c r="BR974" t="e">
        <f t="shared" si="1112"/>
        <v>#N/A</v>
      </c>
      <c r="BT974" s="60">
        <f t="shared" si="1113"/>
        <v>0</v>
      </c>
      <c r="BU974" s="60">
        <f t="shared" si="1114"/>
        <v>0</v>
      </c>
      <c r="BV974" s="60">
        <f t="shared" si="1115"/>
        <v>0</v>
      </c>
      <c r="BW974" s="60">
        <f t="shared" si="1116"/>
        <v>0</v>
      </c>
      <c r="BX974" s="60">
        <f t="shared" si="1117"/>
        <v>0</v>
      </c>
      <c r="BY974" s="60">
        <f t="shared" si="1118"/>
        <v>0</v>
      </c>
      <c r="BZ974" s="60">
        <f t="shared" si="1119"/>
        <v>0</v>
      </c>
      <c r="CA974" s="60">
        <f t="shared" si="1120"/>
        <v>0</v>
      </c>
      <c r="CB974" s="60" t="e">
        <f t="shared" si="1070"/>
        <v>#N/A</v>
      </c>
      <c r="CC974" s="60">
        <f t="shared" si="1071"/>
        <v>100000</v>
      </c>
      <c r="CD974" s="60" t="e">
        <f t="shared" si="1072"/>
        <v>#N/A</v>
      </c>
      <c r="CE974" s="60">
        <f t="shared" si="1073"/>
        <v>100000</v>
      </c>
      <c r="CF974" s="83" t="e">
        <f t="shared" si="1121"/>
        <v>#N/A</v>
      </c>
      <c r="CG974" s="83">
        <f t="shared" si="1122"/>
        <v>0</v>
      </c>
      <c r="CH974" s="83" t="e">
        <f t="shared" si="1123"/>
        <v>#N/A</v>
      </c>
      <c r="CI974" s="83">
        <f t="shared" si="1124"/>
        <v>0</v>
      </c>
      <c r="CJ974" s="86" t="e">
        <f t="shared" si="1074"/>
        <v>#N/A</v>
      </c>
      <c r="CK974" s="82">
        <f t="shared" si="1075"/>
        <v>5.3070370403969858E-3</v>
      </c>
      <c r="CL974" s="82" t="e">
        <f t="shared" si="1076"/>
        <v>#N/A</v>
      </c>
      <c r="CM974" s="82">
        <f t="shared" si="1077"/>
        <v>5.3070370403969858E-3</v>
      </c>
      <c r="CO974" s="149" t="str">
        <f>IF($I974&lt;&gt;"",IF(O974="User Specified",U974,INDEX('Refrigerant GWPs'!$G$2:$G$156,MATCH(O974,'Refrigerant GWPs'!$A$2:$A$156,0))),"")</f>
        <v/>
      </c>
      <c r="CP974" s="138" t="str">
        <f>IF($I974&lt;&gt;"",INDEX('Device Refrigerant Leakage'!$E$2:$E$42,MATCH($M974,'Device Refrigerant Leakage'!$B$2:$B$42,0)),"")</f>
        <v/>
      </c>
      <c r="CQ974" s="138" t="str">
        <f>IF($I974&lt;&gt;"",INDEX('Device Refrigerant Leakage'!$F$2:$F$42,MATCH($M974,'Device Refrigerant Leakage'!$B$2:$B$42,0)),"")</f>
        <v/>
      </c>
      <c r="CR974" s="145" t="str">
        <f>IF($I974&lt;&gt;"",INDEX('Device Refrigerant Leakage'!$G$2:$G$42,MATCH($M974,'Device Refrigerant Leakage'!$B$2:$B$42,0)),"")</f>
        <v/>
      </c>
      <c r="CS974" s="145" t="str">
        <f>IF($I974&lt;&gt;"",INDEX('Device Refrigerant Leakage'!$D$2:$D$42,MATCH($M974,'Device Refrigerant Leakage'!$B$2:$B$42,0))*CP974/2204.62*CO974,"")</f>
        <v/>
      </c>
      <c r="CT974" s="145" t="str">
        <f>IF($I974&lt;&gt;"",J974*(INDEX('Device Refrigerant Leakage'!$D$2:$D$42,MATCH($M974,'Device Refrigerant Leakage'!$B$2:$B$42,0))-(INDEX('Device Refrigerant Leakage'!$D$2:$D$42,MATCH($M974,'Device Refrigerant Leakage'!$B$2:$B$42,0)))*CR974*CP974)*CQ974/2204.62*CO974,"")</f>
        <v/>
      </c>
      <c r="CU974" s="135" t="str">
        <f>IF($I974&lt;&gt;"",J974*IF(W974&lt;&gt;"AR",(CS974*K974)+CT974,(CS974*AB974)+CT974*(AB974/INDEX('Device Refrigerant Leakage'!$C$2:$C$42,MATCH($M974,'Device Refrigerant Leakage'!$B$2:$B$42,0)))),"")</f>
        <v/>
      </c>
      <c r="CW974" s="135" t="str">
        <f>IF($I974&lt;&gt;"",IF(S974="User Specified",V974,INDEX('Refrigerant GWPs'!$G$2:$G$156,MATCH(S974,'Refrigerant GWPs'!$A$2:$A$157,0))),"")</f>
        <v/>
      </c>
      <c r="CX974" s="138" t="str">
        <f>IF($I974&lt;&gt;"",INDEX('Device Refrigerant Leakage'!$E$2:$E$42,MATCH($Q974,'Device Refrigerant Leakage'!$B$2:$B$42,0)),"")</f>
        <v/>
      </c>
      <c r="CY974" s="138" t="str">
        <f>IF($I974&lt;&gt;"",INDEX('Device Refrigerant Leakage'!$F$2:$F$42,MATCH($Q974,'Device Refrigerant Leakage'!$B$2:$B$42,0)),"")</f>
        <v/>
      </c>
      <c r="CZ974" s="145" t="str">
        <f>IF($I974&lt;&gt;"",INDEX('Device Refrigerant Leakage'!$G$2:$G$42,MATCH($Q974,'Device Refrigerant Leakage'!$B$2:$B$42,0)),"")</f>
        <v/>
      </c>
      <c r="DA974" s="145" t="str">
        <f>IF($I974&lt;&gt;"",J974*INDEX('Device Refrigerant Leakage'!$D$2:$D$42,MATCH($Q974,'Device Refrigerant Leakage'!$B$2:$B$42,0))*CX974/2204.62*CW974,"")</f>
        <v/>
      </c>
      <c r="DB974" s="145" t="str">
        <f>IF($I974&lt;&gt;"",J974*(INDEX('Device Refrigerant Leakage'!$D$2:$D$42,MATCH($Q974,'Device Refrigerant Leakage'!$B$2:$B$42,0))-(INDEX('Device Refrigerant Leakage'!$D$2:$D$42,MATCH($Q974,'Device Refrigerant Leakage'!$B$2:$B$42,0)))*CZ974*CX974)*CY974/2204.62*CW974,"")</f>
        <v/>
      </c>
      <c r="DC974" s="135" t="str">
        <f t="shared" si="1096"/>
        <v/>
      </c>
      <c r="DE974" s="146" t="str">
        <f>IF(W974&lt;&gt;"AR","",IF(Y974="User Specified", AA974, INDEX('Refrigerant GWPs'!$G$2:$G$154,MATCH(Y974,'Refrigerant GWPs'!$A$2:$A$154,0))))</f>
        <v/>
      </c>
      <c r="DF974" s="146" t="str">
        <f>IF(W974&lt;&gt;"AR","",INDEX('Device Refrigerant Leakage'!$E$2:$E$42,MATCH(X974,'Device Refrigerant Leakage'!$B$2:$B$42,0)))</f>
        <v/>
      </c>
      <c r="DG974" s="146" t="str">
        <f>IF(W974&lt;&gt;"AR","",INDEX('Device Refrigerant Leakage'!$F$2:$F$42,MATCH(X974,'Device Refrigerant Leakage'!$B$2:$B$42,0)))</f>
        <v/>
      </c>
      <c r="DH974" s="146" t="str">
        <f>IF(W974&lt;&gt;"AR","",INDEX('Device Refrigerant Leakage'!$G$2:$G$42,MATCH(X974,'Device Refrigerant Leakage'!$B$2:$B$42,0)))</f>
        <v/>
      </c>
      <c r="DI974" s="146" t="str">
        <f>IF(W974&lt;&gt;"AR","",J974*INDEX('Device Refrigerant Leakage'!$D$2:$D$42,MATCH(X974,'Device Refrigerant Leakage'!$B$2:$B$42,0))*DF974/2204.62*DE974)</f>
        <v/>
      </c>
      <c r="DJ974" s="146" t="str">
        <f>IF(W974&lt;&gt;"AR","",J974*(INDEX('Device Refrigerant Leakage'!$D$2:$D$42,MATCH(X974,'Device Refrigerant Leakage'!$B$2:$B$42,0))-(INDEX('Device Refrigerant Leakage'!$D$2:$D$42,MATCH(X974,'Device Refrigerant Leakage'!$B$2:$B$42,0)))*DH974*DF974)*DG974/2204.62*DE974)</f>
        <v/>
      </c>
      <c r="DK974" s="146" t="str">
        <f>IF(W974&lt;&gt;"AR","",DI974*(K974-AB974)+'Fuel Sub Calcs-Deemed'!DJ974*((K974-AB974)/INDEX('Device Refrigerant Leakage'!$C$2:$C$42,MATCH('Fuel Sub Calcs-Deemed'!X974,'Device Refrigerant Leakage'!$B$2:$B$42,0))))</f>
        <v/>
      </c>
      <c r="DM974" s="56">
        <v>960</v>
      </c>
      <c r="DN974" s="67" t="e">
        <f t="shared" si="1078"/>
        <v>#N/A</v>
      </c>
      <c r="DO974" s="45" t="e">
        <f t="shared" si="1079"/>
        <v>#N/A</v>
      </c>
      <c r="DP974" s="67" t="e">
        <f t="shared" si="1080"/>
        <v>#N/A</v>
      </c>
      <c r="DQ974" s="45" t="e">
        <f t="shared" si="1081"/>
        <v>#N/A</v>
      </c>
      <c r="DR974" s="69" t="e">
        <f t="shared" si="1082"/>
        <v>#N/A</v>
      </c>
      <c r="DS974" s="34"/>
      <c r="DT974" s="67" t="e">
        <f>((BX974*CJ974)+IF($W974=MAT_AR,(BZ974*CL974),0))*(1+Reference!$E$50+Reference!$E$51)</f>
        <v>#N/A</v>
      </c>
      <c r="DU974" s="67">
        <f>((BY974*CK974)+IF($W974=MAT_AR,(CA974*CM974),0))*(1+Reference!$G$50+Reference!$G$51)</f>
        <v>0</v>
      </c>
      <c r="DV974" s="67" t="e">
        <f t="shared" si="1083"/>
        <v>#VALUE!</v>
      </c>
      <c r="DX974" s="56">
        <v>960</v>
      </c>
      <c r="DY974" s="67">
        <f t="shared" si="1084"/>
        <v>0</v>
      </c>
      <c r="DZ974" s="45" t="e">
        <f>VLOOKUP($R974,Dropdown!$C$3:$D$4,2,FALSE)</f>
        <v>#N/A</v>
      </c>
      <c r="EA974" s="68">
        <f t="shared" si="1085"/>
        <v>0</v>
      </c>
      <c r="EB974" s="68" t="str">
        <f t="shared" si="1086"/>
        <v>N/A</v>
      </c>
      <c r="EC974" s="68">
        <f t="shared" si="1087"/>
        <v>0</v>
      </c>
      <c r="ED974" s="68" t="str">
        <f t="shared" si="1125"/>
        <v>N/A</v>
      </c>
      <c r="EF974" s="56">
        <v>960</v>
      </c>
      <c r="EG974" s="46">
        <f t="shared" si="1088"/>
        <v>0</v>
      </c>
      <c r="EH974" s="68" t="e">
        <f t="shared" si="1089"/>
        <v>#N/A</v>
      </c>
      <c r="EI974" s="68" t="e">
        <f t="shared" si="1090"/>
        <v>#N/A</v>
      </c>
      <c r="EJ974" s="68" t="e">
        <f t="shared" si="1091"/>
        <v>#N/A</v>
      </c>
      <c r="EK974" s="68" t="e">
        <f t="shared" si="1092"/>
        <v>#N/A</v>
      </c>
      <c r="EL974" s="46">
        <f t="shared" si="1093"/>
        <v>0</v>
      </c>
      <c r="EM974" s="46">
        <f t="shared" si="1094"/>
        <v>0</v>
      </c>
    </row>
    <row r="975" spans="1:143">
      <c r="A975" s="89"/>
      <c r="B975" s="89"/>
      <c r="C975" s="89"/>
      <c r="D975" s="89"/>
      <c r="E975" s="89"/>
      <c r="F975" s="89"/>
      <c r="G975" s="34"/>
      <c r="H975" s="56">
        <f t="shared" si="1095"/>
        <v>961</v>
      </c>
      <c r="I975" s="165"/>
      <c r="J975" s="163"/>
      <c r="K975" s="163"/>
      <c r="L975" s="164"/>
      <c r="M975" s="155"/>
      <c r="N975" s="155"/>
      <c r="O975" s="144"/>
      <c r="P975" s="159" t="str">
        <f>IFERROR(IF(O975&lt;&gt;"User Specified",IF(O975&lt;&gt;"", INDEX('Refrigerant GWPs'!$G$2:$G$154,MATCH(O975,'Refrigerant GWPs'!$A$2:$A$154,0)),""),U975),0)</f>
        <v/>
      </c>
      <c r="Q975" s="155"/>
      <c r="R975" s="155"/>
      <c r="S975" s="144"/>
      <c r="T975" s="159" t="str">
        <f>IF(S975&lt;&gt;"User Specified",IF(AND(S975&lt;&gt;"User Specified",S975&lt;&gt;""), INDEX('Refrigerant GWPs'!$G$2:$G$154,MATCH(S975,'Refrigerant GWPs'!$A$2:$A$154,0)),""),V975)</f>
        <v/>
      </c>
      <c r="U975" s="144"/>
      <c r="V975" s="144"/>
      <c r="W975" s="155"/>
      <c r="X975" s="155"/>
      <c r="Y975" s="144"/>
      <c r="Z975" s="159" t="str">
        <f>IF(AND(Y975&lt;&gt;"User Specified",Y975&lt;&gt;""), INDEX('Refrigerant GWPs'!$G$2:$G$154,MATCH(Y975,'Refrigerant GWPs'!$A$2:$A$154,0)),"")</f>
        <v/>
      </c>
      <c r="AA975" s="155"/>
      <c r="AB975" s="156"/>
      <c r="AC975" s="66"/>
      <c r="AD975" s="66"/>
      <c r="AE975" s="66"/>
      <c r="AF975" s="66"/>
      <c r="AG975" s="66"/>
      <c r="AH975" s="66"/>
      <c r="AI975" s="34"/>
      <c r="AJ975" s="88">
        <f t="shared" ref="AJ975:AJ1014" si="1126">IF($W975=MAT_AR,AC975,AF975)</f>
        <v>0</v>
      </c>
      <c r="AK975" s="88">
        <f t="shared" ref="AK975:AK1014" si="1127">IF($W975=MAT_AR,AE975,AH975)</f>
        <v>0</v>
      </c>
      <c r="AL975" s="88">
        <v>0</v>
      </c>
      <c r="AM975" s="88">
        <v>0</v>
      </c>
      <c r="AN975" s="81" t="str">
        <f t="shared" si="1097"/>
        <v/>
      </c>
      <c r="AO975" s="88">
        <f t="shared" ref="AO975:AO1014" si="1128">IF($W975=MAT_AR,AF975,0)</f>
        <v>0</v>
      </c>
      <c r="AP975" s="88">
        <f t="shared" ref="AP975:AP1014" si="1129">IF($W975=MAT_AR,AH975,0)</f>
        <v>0</v>
      </c>
      <c r="AQ975" s="81" t="str">
        <f t="shared" ref="AQ975:AQ1014" si="1130">IF(AND(W975=MAT_AR,OR(BK975:BL975)),"Warning: Need to enter baseline and measure consumption","")</f>
        <v/>
      </c>
      <c r="AS975" s="41" t="b">
        <f t="shared" ref="AS975:AS1014" si="1131">NOT(W975=MAT_AR)</f>
        <v>1</v>
      </c>
      <c r="AT975" s="38">
        <f t="shared" ref="AT975:AT1014" si="1132">IF(W975=MAT_AR,AB975,K975)</f>
        <v>0</v>
      </c>
      <c r="AU975" s="60">
        <f t="shared" ref="AU975:AU1014" si="1133">K975-AT975</f>
        <v>0</v>
      </c>
      <c r="AV975" s="41">
        <f t="shared" ref="AV975:AV1014" si="1134">IF(W975=MAT_AR,AB975,0)</f>
        <v>0</v>
      </c>
      <c r="AW975" s="41" t="b">
        <f t="shared" ref="AW975:AW1014" si="1135">AND(NOT(ISBLANK(I975)),NOT(ISBLANK(J975)),NOT(ISBLANK(K975)),NOT(ISBLANK(L975)),NOT(ISBLANK(N975)),NOT(ISBLANK(R975)),NOT(OR(BC975:BD975)),NOT(ISBLANK(W975)))</f>
        <v>0</v>
      </c>
      <c r="AX975" t="str">
        <f t="shared" ref="AX975:AX1014" si="1136">$L975&amp;"+"&amp;TEXT(ROUND($AT975,0),"00")</f>
        <v>+00</v>
      </c>
      <c r="AY975" t="str">
        <f t="shared" ref="AY975:AY1014" si="1137">TEXT(ROUND($L975+$AT975,0),"#")&amp;"+"&amp;TEXT(ROUND($AU975,0),"00")</f>
        <v>+00</v>
      </c>
      <c r="BA975" s="47" t="b">
        <f t="shared" si="1098"/>
        <v>1</v>
      </c>
      <c r="BB975" s="42" t="b">
        <f t="shared" si="1099"/>
        <v>1</v>
      </c>
      <c r="BC975" s="42" t="b">
        <f t="shared" si="1100"/>
        <v>0</v>
      </c>
      <c r="BD975" s="42" t="b">
        <f t="shared" si="1101"/>
        <v>0</v>
      </c>
      <c r="BE975" s="70">
        <f t="shared" si="1102"/>
        <v>0</v>
      </c>
      <c r="BF975" s="70">
        <f t="shared" si="1103"/>
        <v>0</v>
      </c>
      <c r="BG975" s="34"/>
      <c r="BI975" s="47" t="b">
        <f t="shared" si="1104"/>
        <v>1</v>
      </c>
      <c r="BJ975" s="47" t="b">
        <f t="shared" si="1105"/>
        <v>1</v>
      </c>
      <c r="BK975" s="42" t="b">
        <f t="shared" si="1106"/>
        <v>0</v>
      </c>
      <c r="BL975" s="42" t="b">
        <f t="shared" si="1107"/>
        <v>0</v>
      </c>
      <c r="BM975" s="42">
        <f t="shared" si="1108"/>
        <v>0</v>
      </c>
      <c r="BN975" s="42">
        <f t="shared" si="1109"/>
        <v>0</v>
      </c>
      <c r="BP975" t="e">
        <f t="shared" si="1110"/>
        <v>#N/A</v>
      </c>
      <c r="BQ975" t="e">
        <f t="shared" si="1111"/>
        <v>#N/A</v>
      </c>
      <c r="BR975" t="e">
        <f t="shared" si="1112"/>
        <v>#N/A</v>
      </c>
      <c r="BT975" s="60">
        <f t="shared" si="1113"/>
        <v>0</v>
      </c>
      <c r="BU975" s="60">
        <f t="shared" si="1114"/>
        <v>0</v>
      </c>
      <c r="BV975" s="60">
        <f t="shared" si="1115"/>
        <v>0</v>
      </c>
      <c r="BW975" s="60">
        <f t="shared" si="1116"/>
        <v>0</v>
      </c>
      <c r="BX975" s="60">
        <f t="shared" si="1117"/>
        <v>0</v>
      </c>
      <c r="BY975" s="60">
        <f t="shared" si="1118"/>
        <v>0</v>
      </c>
      <c r="BZ975" s="60">
        <f t="shared" si="1119"/>
        <v>0</v>
      </c>
      <c r="CA975" s="60">
        <f t="shared" si="1120"/>
        <v>0</v>
      </c>
      <c r="CB975" s="60" t="e">
        <f t="shared" ref="CB975:CB1014" si="1138">INDEX(AFL_Source_Energy_Btu_per_kWh,MATCH($AX975,AFL_IndexB,0))</f>
        <v>#N/A</v>
      </c>
      <c r="CC975" s="60">
        <f t="shared" ref="CC975:CC1014" si="1139">Btu_therm</f>
        <v>100000</v>
      </c>
      <c r="CD975" s="60" t="e">
        <f t="shared" ref="CD975:CD1014" si="1140">INDEX(AFL_Source_Energy_Btu_per_kWh,MATCH($AY975,AFL_IndexB,0))</f>
        <v>#N/A</v>
      </c>
      <c r="CE975" s="60">
        <f t="shared" ref="CE975:CE1014" si="1141">Btu_therm</f>
        <v>100000</v>
      </c>
      <c r="CF975" s="83" t="e">
        <f t="shared" si="1121"/>
        <v>#N/A</v>
      </c>
      <c r="CG975" s="83">
        <f t="shared" si="1122"/>
        <v>0</v>
      </c>
      <c r="CH975" s="83" t="e">
        <f t="shared" si="1123"/>
        <v>#N/A</v>
      </c>
      <c r="CI975" s="83">
        <f t="shared" si="1124"/>
        <v>0</v>
      </c>
      <c r="CJ975" s="86" t="e">
        <f t="shared" ref="CJ975:CJ1014" si="1142">INDEX(AFL_Emissions_Intensity_metric_tonnes_per_MWh,MATCH($AX975,AFL_IndexB,0))/1000</f>
        <v>#N/A</v>
      </c>
      <c r="CK975" s="82">
        <f t="shared" ref="CK975:CK1014" si="1143">NG_metric_tonne_CO2_therm</f>
        <v>5.3070370403969858E-3</v>
      </c>
      <c r="CL975" s="82" t="e">
        <f t="shared" ref="CL975:CL1014" si="1144">INDEX(AFL_Emissions_Intensity_metric_tonnes_per_MWh,MATCH($AY975,AFL_IndexB,0))/1000</f>
        <v>#N/A</v>
      </c>
      <c r="CM975" s="82">
        <f t="shared" ref="CM975:CM1014" si="1145">NG_metric_tonne_CO2_therm</f>
        <v>5.3070370403969858E-3</v>
      </c>
      <c r="CO975" s="149" t="str">
        <f>IF($I975&lt;&gt;"",IF(O975="User Specified",U975,INDEX('Refrigerant GWPs'!$G$2:$G$156,MATCH(O975,'Refrigerant GWPs'!$A$2:$A$156,0))),"")</f>
        <v/>
      </c>
      <c r="CP975" s="138" t="str">
        <f>IF($I975&lt;&gt;"",INDEX('Device Refrigerant Leakage'!$E$2:$E$42,MATCH($M975,'Device Refrigerant Leakage'!$B$2:$B$42,0)),"")</f>
        <v/>
      </c>
      <c r="CQ975" s="138" t="str">
        <f>IF($I975&lt;&gt;"",INDEX('Device Refrigerant Leakage'!$F$2:$F$42,MATCH($M975,'Device Refrigerant Leakage'!$B$2:$B$42,0)),"")</f>
        <v/>
      </c>
      <c r="CR975" s="145" t="str">
        <f>IF($I975&lt;&gt;"",INDEX('Device Refrigerant Leakage'!$G$2:$G$42,MATCH($M975,'Device Refrigerant Leakage'!$B$2:$B$42,0)),"")</f>
        <v/>
      </c>
      <c r="CS975" s="145" t="str">
        <f>IF($I975&lt;&gt;"",INDEX('Device Refrigerant Leakage'!$D$2:$D$42,MATCH($M975,'Device Refrigerant Leakage'!$B$2:$B$42,0))*CP975/2204.62*CO975,"")</f>
        <v/>
      </c>
      <c r="CT975" s="145" t="str">
        <f>IF($I975&lt;&gt;"",J975*(INDEX('Device Refrigerant Leakage'!$D$2:$D$42,MATCH($M975,'Device Refrigerant Leakage'!$B$2:$B$42,0))-(INDEX('Device Refrigerant Leakage'!$D$2:$D$42,MATCH($M975,'Device Refrigerant Leakage'!$B$2:$B$42,0)))*CR975*CP975)*CQ975/2204.62*CO975,"")</f>
        <v/>
      </c>
      <c r="CU975" s="135" t="str">
        <f>IF($I975&lt;&gt;"",J975*IF(W975&lt;&gt;"AR",(CS975*K975)+CT975,(CS975*AB975)+CT975*(AB975/INDEX('Device Refrigerant Leakage'!$C$2:$C$42,MATCH($M975,'Device Refrigerant Leakage'!$B$2:$B$42,0)))),"")</f>
        <v/>
      </c>
      <c r="CW975" s="135" t="str">
        <f>IF($I975&lt;&gt;"",IF(S975="User Specified",V975,INDEX('Refrigerant GWPs'!$G$2:$G$156,MATCH(S975,'Refrigerant GWPs'!$A$2:$A$157,0))),"")</f>
        <v/>
      </c>
      <c r="CX975" s="138" t="str">
        <f>IF($I975&lt;&gt;"",INDEX('Device Refrigerant Leakage'!$E$2:$E$42,MATCH($Q975,'Device Refrigerant Leakage'!$B$2:$B$42,0)),"")</f>
        <v/>
      </c>
      <c r="CY975" s="138" t="str">
        <f>IF($I975&lt;&gt;"",INDEX('Device Refrigerant Leakage'!$F$2:$F$42,MATCH($Q975,'Device Refrigerant Leakage'!$B$2:$B$42,0)),"")</f>
        <v/>
      </c>
      <c r="CZ975" s="145" t="str">
        <f>IF($I975&lt;&gt;"",INDEX('Device Refrigerant Leakage'!$G$2:$G$42,MATCH($Q975,'Device Refrigerant Leakage'!$B$2:$B$42,0)),"")</f>
        <v/>
      </c>
      <c r="DA975" s="145" t="str">
        <f>IF($I975&lt;&gt;"",J975*INDEX('Device Refrigerant Leakage'!$D$2:$D$42,MATCH($Q975,'Device Refrigerant Leakage'!$B$2:$B$42,0))*CX975/2204.62*CW975,"")</f>
        <v/>
      </c>
      <c r="DB975" s="145" t="str">
        <f>IF($I975&lt;&gt;"",J975*(INDEX('Device Refrigerant Leakage'!$D$2:$D$42,MATCH($Q975,'Device Refrigerant Leakage'!$B$2:$B$42,0))-(INDEX('Device Refrigerant Leakage'!$D$2:$D$42,MATCH($Q975,'Device Refrigerant Leakage'!$B$2:$B$42,0)))*CZ975*CX975)*CY975/2204.62*CW975,"")</f>
        <v/>
      </c>
      <c r="DC975" s="135" t="str">
        <f t="shared" si="1096"/>
        <v/>
      </c>
      <c r="DE975" s="146" t="str">
        <f>IF(W975&lt;&gt;"AR","",IF(Y975="User Specified", AA975, INDEX('Refrigerant GWPs'!$G$2:$G$154,MATCH(Y975,'Refrigerant GWPs'!$A$2:$A$154,0))))</f>
        <v/>
      </c>
      <c r="DF975" s="146" t="str">
        <f>IF(W975&lt;&gt;"AR","",INDEX('Device Refrigerant Leakage'!$E$2:$E$42,MATCH(X975,'Device Refrigerant Leakage'!$B$2:$B$42,0)))</f>
        <v/>
      </c>
      <c r="DG975" s="146" t="str">
        <f>IF(W975&lt;&gt;"AR","",INDEX('Device Refrigerant Leakage'!$F$2:$F$42,MATCH(X975,'Device Refrigerant Leakage'!$B$2:$B$42,0)))</f>
        <v/>
      </c>
      <c r="DH975" s="146" t="str">
        <f>IF(W975&lt;&gt;"AR","",INDEX('Device Refrigerant Leakage'!$G$2:$G$42,MATCH(X975,'Device Refrigerant Leakage'!$B$2:$B$42,0)))</f>
        <v/>
      </c>
      <c r="DI975" s="146" t="str">
        <f>IF(W975&lt;&gt;"AR","",J975*INDEX('Device Refrigerant Leakage'!$D$2:$D$42,MATCH(X975,'Device Refrigerant Leakage'!$B$2:$B$42,0))*DF975/2204.62*DE975)</f>
        <v/>
      </c>
      <c r="DJ975" s="146" t="str">
        <f>IF(W975&lt;&gt;"AR","",J975*(INDEX('Device Refrigerant Leakage'!$D$2:$D$42,MATCH(X975,'Device Refrigerant Leakage'!$B$2:$B$42,0))-(INDEX('Device Refrigerant Leakage'!$D$2:$D$42,MATCH(X975,'Device Refrigerant Leakage'!$B$2:$B$42,0)))*DH975*DF975)*DG975/2204.62*DE975)</f>
        <v/>
      </c>
      <c r="DK975" s="146" t="str">
        <f>IF(W975&lt;&gt;"AR","",DI975*(K975-AB975)+'Fuel Sub Calcs-Deemed'!DJ975*((K975-AB975)/INDEX('Device Refrigerant Leakage'!$C$2:$C$42,MATCH('Fuel Sub Calcs-Deemed'!X975,'Device Refrigerant Leakage'!$B$2:$B$42,0))))</f>
        <v/>
      </c>
      <c r="DM975" s="56">
        <v>961</v>
      </c>
      <c r="DN975" s="67" t="e">
        <f t="shared" ref="DN975:DN1014" si="1146">(CB975*BX975+BY975*CE975)/10^6+IF($W975=MAT_AR,(BZ975*CD975+CA975*CE975)/10^6,0)</f>
        <v>#N/A</v>
      </c>
      <c r="DO975" s="45" t="e">
        <f t="shared" ref="DO975:DO1014" si="1147">IF(BP975,"PASS","FAIL")</f>
        <v>#N/A</v>
      </c>
      <c r="DP975" s="67" t="e">
        <f t="shared" ref="DP975:DP1014" si="1148">(DT975+DU975+DV975)</f>
        <v>#N/A</v>
      </c>
      <c r="DQ975" s="45" t="e">
        <f t="shared" ref="DQ975:DQ1014" si="1149">IF(BQ975,"PASS","FAIL")</f>
        <v>#N/A</v>
      </c>
      <c r="DR975" s="69" t="e">
        <f t="shared" ref="DR975:DR1014" si="1150">IF(BR975,"Eligible","Not eligible")</f>
        <v>#N/A</v>
      </c>
      <c r="DS975" s="34"/>
      <c r="DT975" s="67" t="e">
        <f>((BX975*CJ975)+IF($W975=MAT_AR,(BZ975*CL975),0))*(1+Reference!$E$50+Reference!$E$51)</f>
        <v>#N/A</v>
      </c>
      <c r="DU975" s="67">
        <f>((BY975*CK975)+IF($W975=MAT_AR,(CA975*CM975),0))*(1+Reference!$G$50+Reference!$G$51)</f>
        <v>0</v>
      </c>
      <c r="DV975" s="67" t="e">
        <f t="shared" ref="DV975:DV1014" si="1151">IF(W975="NR",CU975-DC975,(CU975+DK975)-DC975)</f>
        <v>#VALUE!</v>
      </c>
      <c r="DX975" s="56">
        <v>961</v>
      </c>
      <c r="DY975" s="67">
        <f t="shared" ref="DY975:DY1014" si="1152">(Btu_per_kWh*BT975+Btu_therm*BU975)/10^6</f>
        <v>0</v>
      </c>
      <c r="DZ975" s="45" t="e">
        <f>VLOOKUP($R975,Dropdown!$C$3:$D$4,2,FALSE)</f>
        <v>#N/A</v>
      </c>
      <c r="EA975" s="68">
        <f t="shared" ref="EA975:EA1014" si="1153">IF($R975=fuel_electricity,$DY975*10^6/Btu_per_kWh,0)</f>
        <v>0</v>
      </c>
      <c r="EB975" s="68" t="str">
        <f t="shared" ref="EB975:EB1014" si="1154">IF($R975=fuel_natural_gas,$DY975/MMBtu_per_therm,"N/A")</f>
        <v>N/A</v>
      </c>
      <c r="EC975" s="68">
        <f t="shared" ref="EC975:EC1014" si="1155">IF($R975=fuel_electricity,"N/A",AJ975)</f>
        <v>0</v>
      </c>
      <c r="ED975" s="68" t="str">
        <f t="shared" si="1125"/>
        <v>N/A</v>
      </c>
      <c r="EF975" s="56">
        <v>961</v>
      </c>
      <c r="EG975" s="46">
        <f t="shared" ref="EG975:EG1014" si="1156">J975</f>
        <v>0</v>
      </c>
      <c r="EH975" s="68" t="e">
        <f t="shared" ref="EH975:EH982" si="1157">IF($BR975,BE975,0)</f>
        <v>#N/A</v>
      </c>
      <c r="EI975" s="68" t="e">
        <f t="shared" ref="EI975:EI982" si="1158">IF($BR975,BF975,0)</f>
        <v>#N/A</v>
      </c>
      <c r="EJ975" s="68" t="e">
        <f t="shared" ref="EJ975:EJ982" si="1159">IF($BR975,BM975,0)</f>
        <v>#N/A</v>
      </c>
      <c r="EK975" s="68" t="e">
        <f t="shared" ref="EK975:EK982" si="1160">IF($BR975,BN975,0)</f>
        <v>#N/A</v>
      </c>
      <c r="EL975" s="46">
        <f t="shared" ref="EL975:EL1014" si="1161">K975</f>
        <v>0</v>
      </c>
      <c r="EM975" s="46">
        <f t="shared" ref="EM975:EM982" si="1162">AV975</f>
        <v>0</v>
      </c>
    </row>
    <row r="976" spans="1:143">
      <c r="A976" s="89"/>
      <c r="B976" s="89"/>
      <c r="C976" s="89"/>
      <c r="D976" s="89"/>
      <c r="E976" s="89"/>
      <c r="F976" s="89"/>
      <c r="G976" s="34"/>
      <c r="H976" s="56">
        <f t="shared" ref="H976:H1014" si="1163">ROW($H976)-ROW($H$14)</f>
        <v>962</v>
      </c>
      <c r="I976" s="165"/>
      <c r="J976" s="163"/>
      <c r="K976" s="163"/>
      <c r="L976" s="164"/>
      <c r="M976" s="155"/>
      <c r="N976" s="155"/>
      <c r="O976" s="144"/>
      <c r="P976" s="159" t="str">
        <f>IFERROR(IF(O976&lt;&gt;"User Specified",IF(O976&lt;&gt;"", INDEX('Refrigerant GWPs'!$G$2:$G$154,MATCH(O976,'Refrigerant GWPs'!$A$2:$A$154,0)),""),U976),0)</f>
        <v/>
      </c>
      <c r="Q976" s="155"/>
      <c r="R976" s="155"/>
      <c r="S976" s="144"/>
      <c r="T976" s="159" t="str">
        <f>IF(S976&lt;&gt;"User Specified",IF(AND(S976&lt;&gt;"User Specified",S976&lt;&gt;""), INDEX('Refrigerant GWPs'!$G$2:$G$154,MATCH(S976,'Refrigerant GWPs'!$A$2:$A$154,0)),""),V976)</f>
        <v/>
      </c>
      <c r="U976" s="144"/>
      <c r="V976" s="144"/>
      <c r="W976" s="155"/>
      <c r="X976" s="155"/>
      <c r="Y976" s="144"/>
      <c r="Z976" s="159" t="str">
        <f>IF(AND(Y976&lt;&gt;"User Specified",Y976&lt;&gt;""), INDEX('Refrigerant GWPs'!$G$2:$G$154,MATCH(Y976,'Refrigerant GWPs'!$A$2:$A$154,0)),"")</f>
        <v/>
      </c>
      <c r="AA976" s="155"/>
      <c r="AB976" s="156"/>
      <c r="AC976" s="66"/>
      <c r="AD976" s="66"/>
      <c r="AE976" s="66"/>
      <c r="AF976" s="66"/>
      <c r="AG976" s="66"/>
      <c r="AH976" s="66"/>
      <c r="AI976" s="34"/>
      <c r="AJ976" s="88">
        <f t="shared" si="1126"/>
        <v>0</v>
      </c>
      <c r="AK976" s="88">
        <f t="shared" si="1127"/>
        <v>0</v>
      </c>
      <c r="AL976" s="88">
        <v>0</v>
      </c>
      <c r="AM976" s="88">
        <v>0</v>
      </c>
      <c r="AN976" s="81" t="str">
        <f t="shared" si="1097"/>
        <v/>
      </c>
      <c r="AO976" s="88">
        <f t="shared" si="1128"/>
        <v>0</v>
      </c>
      <c r="AP976" s="88">
        <f t="shared" si="1129"/>
        <v>0</v>
      </c>
      <c r="AQ976" s="81" t="str">
        <f t="shared" si="1130"/>
        <v/>
      </c>
      <c r="AS976" s="41" t="b">
        <f t="shared" si="1131"/>
        <v>1</v>
      </c>
      <c r="AT976" s="38">
        <f t="shared" si="1132"/>
        <v>0</v>
      </c>
      <c r="AU976" s="60">
        <f t="shared" si="1133"/>
        <v>0</v>
      </c>
      <c r="AV976" s="41">
        <f t="shared" si="1134"/>
        <v>0</v>
      </c>
      <c r="AW976" s="41" t="b">
        <f t="shared" si="1135"/>
        <v>0</v>
      </c>
      <c r="AX976" t="str">
        <f t="shared" si="1136"/>
        <v>+00</v>
      </c>
      <c r="AY976" t="str">
        <f t="shared" si="1137"/>
        <v>+00</v>
      </c>
      <c r="BA976" s="47" t="b">
        <f t="shared" si="1098"/>
        <v>1</v>
      </c>
      <c r="BB976" s="42" t="b">
        <f t="shared" si="1099"/>
        <v>1</v>
      </c>
      <c r="BC976" s="42" t="b">
        <f t="shared" si="1100"/>
        <v>0</v>
      </c>
      <c r="BD976" s="42" t="b">
        <f t="shared" si="1101"/>
        <v>0</v>
      </c>
      <c r="BE976" s="70">
        <f t="shared" si="1102"/>
        <v>0</v>
      </c>
      <c r="BF976" s="70">
        <f t="shared" si="1103"/>
        <v>0</v>
      </c>
      <c r="BG976" s="34"/>
      <c r="BI976" s="47" t="b">
        <f t="shared" si="1104"/>
        <v>1</v>
      </c>
      <c r="BJ976" s="47" t="b">
        <f t="shared" si="1105"/>
        <v>1</v>
      </c>
      <c r="BK976" s="42" t="b">
        <f t="shared" si="1106"/>
        <v>0</v>
      </c>
      <c r="BL976" s="42" t="b">
        <f t="shared" si="1107"/>
        <v>0</v>
      </c>
      <c r="BM976" s="42">
        <f t="shared" si="1108"/>
        <v>0</v>
      </c>
      <c r="BN976" s="42">
        <f t="shared" si="1109"/>
        <v>0</v>
      </c>
      <c r="BP976" t="e">
        <f t="shared" si="1110"/>
        <v>#N/A</v>
      </c>
      <c r="BQ976" t="e">
        <f t="shared" si="1111"/>
        <v>#N/A</v>
      </c>
      <c r="BR976" t="e">
        <f t="shared" si="1112"/>
        <v>#N/A</v>
      </c>
      <c r="BT976" s="60">
        <f t="shared" si="1113"/>
        <v>0</v>
      </c>
      <c r="BU976" s="60">
        <f t="shared" si="1114"/>
        <v>0</v>
      </c>
      <c r="BV976" s="60">
        <f t="shared" si="1115"/>
        <v>0</v>
      </c>
      <c r="BW976" s="60">
        <f t="shared" si="1116"/>
        <v>0</v>
      </c>
      <c r="BX976" s="60">
        <f t="shared" si="1117"/>
        <v>0</v>
      </c>
      <c r="BY976" s="60">
        <f t="shared" si="1118"/>
        <v>0</v>
      </c>
      <c r="BZ976" s="60">
        <f t="shared" si="1119"/>
        <v>0</v>
      </c>
      <c r="CA976" s="60">
        <f t="shared" si="1120"/>
        <v>0</v>
      </c>
      <c r="CB976" s="60" t="e">
        <f t="shared" si="1138"/>
        <v>#N/A</v>
      </c>
      <c r="CC976" s="60">
        <f t="shared" si="1139"/>
        <v>100000</v>
      </c>
      <c r="CD976" s="60" t="e">
        <f t="shared" si="1140"/>
        <v>#N/A</v>
      </c>
      <c r="CE976" s="60">
        <f t="shared" si="1141"/>
        <v>100000</v>
      </c>
      <c r="CF976" s="83" t="e">
        <f t="shared" si="1121"/>
        <v>#N/A</v>
      </c>
      <c r="CG976" s="83">
        <f t="shared" si="1122"/>
        <v>0</v>
      </c>
      <c r="CH976" s="83" t="e">
        <f t="shared" si="1123"/>
        <v>#N/A</v>
      </c>
      <c r="CI976" s="83">
        <f t="shared" si="1124"/>
        <v>0</v>
      </c>
      <c r="CJ976" s="86" t="e">
        <f t="shared" si="1142"/>
        <v>#N/A</v>
      </c>
      <c r="CK976" s="82">
        <f t="shared" si="1143"/>
        <v>5.3070370403969858E-3</v>
      </c>
      <c r="CL976" s="82" t="e">
        <f t="shared" si="1144"/>
        <v>#N/A</v>
      </c>
      <c r="CM976" s="82">
        <f t="shared" si="1145"/>
        <v>5.3070370403969858E-3</v>
      </c>
      <c r="CO976" s="149" t="str">
        <f>IF($I976&lt;&gt;"",IF(O976="User Specified",U976,INDEX('Refrigerant GWPs'!$G$2:$G$156,MATCH(O976,'Refrigerant GWPs'!$A$2:$A$156,0))),"")</f>
        <v/>
      </c>
      <c r="CP976" s="138" t="str">
        <f>IF($I976&lt;&gt;"",INDEX('Device Refrigerant Leakage'!$E$2:$E$42,MATCH($M976,'Device Refrigerant Leakage'!$B$2:$B$42,0)),"")</f>
        <v/>
      </c>
      <c r="CQ976" s="138" t="str">
        <f>IF($I976&lt;&gt;"",INDEX('Device Refrigerant Leakage'!$F$2:$F$42,MATCH($M976,'Device Refrigerant Leakage'!$B$2:$B$42,0)),"")</f>
        <v/>
      </c>
      <c r="CR976" s="145" t="str">
        <f>IF($I976&lt;&gt;"",INDEX('Device Refrigerant Leakage'!$G$2:$G$42,MATCH($M976,'Device Refrigerant Leakage'!$B$2:$B$42,0)),"")</f>
        <v/>
      </c>
      <c r="CS976" s="145" t="str">
        <f>IF($I976&lt;&gt;"",INDEX('Device Refrigerant Leakage'!$D$2:$D$42,MATCH($M976,'Device Refrigerant Leakage'!$B$2:$B$42,0))*CP976/2204.62*CO976,"")</f>
        <v/>
      </c>
      <c r="CT976" s="145" t="str">
        <f>IF($I976&lt;&gt;"",J976*(INDEX('Device Refrigerant Leakage'!$D$2:$D$42,MATCH($M976,'Device Refrigerant Leakage'!$B$2:$B$42,0))-(INDEX('Device Refrigerant Leakage'!$D$2:$D$42,MATCH($M976,'Device Refrigerant Leakage'!$B$2:$B$42,0)))*CR976*CP976)*CQ976/2204.62*CO976,"")</f>
        <v/>
      </c>
      <c r="CU976" s="135" t="str">
        <f>IF($I976&lt;&gt;"",J976*IF(W976&lt;&gt;"AR",(CS976*K976)+CT976,(CS976*AB976)+CT976*(AB976/INDEX('Device Refrigerant Leakage'!$C$2:$C$42,MATCH($M976,'Device Refrigerant Leakage'!$B$2:$B$42,0)))),"")</f>
        <v/>
      </c>
      <c r="CW976" s="135" t="str">
        <f>IF($I976&lt;&gt;"",IF(S976="User Specified",V976,INDEX('Refrigerant GWPs'!$G$2:$G$156,MATCH(S976,'Refrigerant GWPs'!$A$2:$A$157,0))),"")</f>
        <v/>
      </c>
      <c r="CX976" s="138" t="str">
        <f>IF($I976&lt;&gt;"",INDEX('Device Refrigerant Leakage'!$E$2:$E$42,MATCH($Q976,'Device Refrigerant Leakage'!$B$2:$B$42,0)),"")</f>
        <v/>
      </c>
      <c r="CY976" s="138" t="str">
        <f>IF($I976&lt;&gt;"",INDEX('Device Refrigerant Leakage'!$F$2:$F$42,MATCH($Q976,'Device Refrigerant Leakage'!$B$2:$B$42,0)),"")</f>
        <v/>
      </c>
      <c r="CZ976" s="145" t="str">
        <f>IF($I976&lt;&gt;"",INDEX('Device Refrigerant Leakage'!$G$2:$G$42,MATCH($Q976,'Device Refrigerant Leakage'!$B$2:$B$42,0)),"")</f>
        <v/>
      </c>
      <c r="DA976" s="145" t="str">
        <f>IF($I976&lt;&gt;"",J976*INDEX('Device Refrigerant Leakage'!$D$2:$D$42,MATCH($Q976,'Device Refrigerant Leakage'!$B$2:$B$42,0))*CX976/2204.62*CW976,"")</f>
        <v/>
      </c>
      <c r="DB976" s="145" t="str">
        <f>IF($I976&lt;&gt;"",J976*(INDEX('Device Refrigerant Leakage'!$D$2:$D$42,MATCH($Q976,'Device Refrigerant Leakage'!$B$2:$B$42,0))-(INDEX('Device Refrigerant Leakage'!$D$2:$D$42,MATCH($Q976,'Device Refrigerant Leakage'!$B$2:$B$42,0)))*CZ976*CX976)*CY976/2204.62*CW976,"")</f>
        <v/>
      </c>
      <c r="DC976" s="135" t="str">
        <f t="shared" ref="DC976:DC1014" si="1164">IF($I976&lt;&gt;"",(DA976*K976)+DB976,"")</f>
        <v/>
      </c>
      <c r="DE976" s="146" t="str">
        <f>IF(W976&lt;&gt;"AR","",IF(Y976="User Specified", AA976, INDEX('Refrigerant GWPs'!$G$2:$G$154,MATCH(Y976,'Refrigerant GWPs'!$A$2:$A$154,0))))</f>
        <v/>
      </c>
      <c r="DF976" s="146" t="str">
        <f>IF(W976&lt;&gt;"AR","",INDEX('Device Refrigerant Leakage'!$E$2:$E$42,MATCH(X976,'Device Refrigerant Leakage'!$B$2:$B$42,0)))</f>
        <v/>
      </c>
      <c r="DG976" s="146" t="str">
        <f>IF(W976&lt;&gt;"AR","",INDEX('Device Refrigerant Leakage'!$F$2:$F$42,MATCH(X976,'Device Refrigerant Leakage'!$B$2:$B$42,0)))</f>
        <v/>
      </c>
      <c r="DH976" s="146" t="str">
        <f>IF(W976&lt;&gt;"AR","",INDEX('Device Refrigerant Leakage'!$G$2:$G$42,MATCH(X976,'Device Refrigerant Leakage'!$B$2:$B$42,0)))</f>
        <v/>
      </c>
      <c r="DI976" s="146" t="str">
        <f>IF(W976&lt;&gt;"AR","",J976*INDEX('Device Refrigerant Leakage'!$D$2:$D$42,MATCH(X976,'Device Refrigerant Leakage'!$B$2:$B$42,0))*DF976/2204.62*DE976)</f>
        <v/>
      </c>
      <c r="DJ976" s="146" t="str">
        <f>IF(W976&lt;&gt;"AR","",J976*(INDEX('Device Refrigerant Leakage'!$D$2:$D$42,MATCH(X976,'Device Refrigerant Leakage'!$B$2:$B$42,0))-(INDEX('Device Refrigerant Leakage'!$D$2:$D$42,MATCH(X976,'Device Refrigerant Leakage'!$B$2:$B$42,0)))*DH976*DF976)*DG976/2204.62*DE976)</f>
        <v/>
      </c>
      <c r="DK976" s="146" t="str">
        <f>IF(W976&lt;&gt;"AR","",DI976*(K976-AB976)+'Fuel Sub Calcs-Deemed'!DJ976*((K976-AB976)/INDEX('Device Refrigerant Leakage'!$C$2:$C$42,MATCH('Fuel Sub Calcs-Deemed'!X976,'Device Refrigerant Leakage'!$B$2:$B$42,0))))</f>
        <v/>
      </c>
      <c r="DM976" s="56">
        <v>962</v>
      </c>
      <c r="DN976" s="67" t="e">
        <f t="shared" si="1146"/>
        <v>#N/A</v>
      </c>
      <c r="DO976" s="45" t="e">
        <f t="shared" si="1147"/>
        <v>#N/A</v>
      </c>
      <c r="DP976" s="67" t="e">
        <f t="shared" si="1148"/>
        <v>#N/A</v>
      </c>
      <c r="DQ976" s="45" t="e">
        <f t="shared" si="1149"/>
        <v>#N/A</v>
      </c>
      <c r="DR976" s="69" t="e">
        <f t="shared" si="1150"/>
        <v>#N/A</v>
      </c>
      <c r="DS976" s="34"/>
      <c r="DT976" s="67" t="e">
        <f>((BX976*CJ976)+IF($W976=MAT_AR,(BZ976*CL976),0))*(1+Reference!$E$50+Reference!$E$51)</f>
        <v>#N/A</v>
      </c>
      <c r="DU976" s="67">
        <f>((BY976*CK976)+IF($W976=MAT_AR,(CA976*CM976),0))*(1+Reference!$G$50+Reference!$G$51)</f>
        <v>0</v>
      </c>
      <c r="DV976" s="67" t="e">
        <f t="shared" si="1151"/>
        <v>#VALUE!</v>
      </c>
      <c r="DX976" s="56">
        <v>962</v>
      </c>
      <c r="DY976" s="67">
        <f t="shared" si="1152"/>
        <v>0</v>
      </c>
      <c r="DZ976" s="45" t="e">
        <f>VLOOKUP($R976,Dropdown!$C$3:$D$4,2,FALSE)</f>
        <v>#N/A</v>
      </c>
      <c r="EA976" s="68">
        <f t="shared" si="1153"/>
        <v>0</v>
      </c>
      <c r="EB976" s="68" t="str">
        <f t="shared" si="1154"/>
        <v>N/A</v>
      </c>
      <c r="EC976" s="68">
        <f t="shared" si="1155"/>
        <v>0</v>
      </c>
      <c r="ED976" s="68" t="str">
        <f t="shared" si="1125"/>
        <v>N/A</v>
      </c>
      <c r="EF976" s="56">
        <v>962</v>
      </c>
      <c r="EG976" s="46">
        <f t="shared" si="1156"/>
        <v>0</v>
      </c>
      <c r="EH976" s="68" t="e">
        <f t="shared" si="1157"/>
        <v>#N/A</v>
      </c>
      <c r="EI976" s="68" t="e">
        <f t="shared" si="1158"/>
        <v>#N/A</v>
      </c>
      <c r="EJ976" s="68" t="e">
        <f t="shared" si="1159"/>
        <v>#N/A</v>
      </c>
      <c r="EK976" s="68" t="e">
        <f t="shared" si="1160"/>
        <v>#N/A</v>
      </c>
      <c r="EL976" s="46">
        <f t="shared" si="1161"/>
        <v>0</v>
      </c>
      <c r="EM976" s="46">
        <f t="shared" si="1162"/>
        <v>0</v>
      </c>
    </row>
    <row r="977" spans="1:143">
      <c r="A977" s="89"/>
      <c r="B977" s="89"/>
      <c r="C977" s="89"/>
      <c r="D977" s="89"/>
      <c r="E977" s="89"/>
      <c r="F977" s="89"/>
      <c r="G977" s="34"/>
      <c r="H977" s="56">
        <f t="shared" si="1163"/>
        <v>963</v>
      </c>
      <c r="I977" s="165"/>
      <c r="J977" s="163"/>
      <c r="K977" s="163"/>
      <c r="L977" s="164"/>
      <c r="M977" s="155"/>
      <c r="N977" s="155"/>
      <c r="O977" s="144"/>
      <c r="P977" s="159" t="str">
        <f>IFERROR(IF(O977&lt;&gt;"User Specified",IF(O977&lt;&gt;"", INDEX('Refrigerant GWPs'!$G$2:$G$154,MATCH(O977,'Refrigerant GWPs'!$A$2:$A$154,0)),""),U977),0)</f>
        <v/>
      </c>
      <c r="Q977" s="155"/>
      <c r="R977" s="155"/>
      <c r="S977" s="144"/>
      <c r="T977" s="159" t="str">
        <f>IF(S977&lt;&gt;"User Specified",IF(AND(S977&lt;&gt;"User Specified",S977&lt;&gt;""), INDEX('Refrigerant GWPs'!$G$2:$G$154,MATCH(S977,'Refrigerant GWPs'!$A$2:$A$154,0)),""),V977)</f>
        <v/>
      </c>
      <c r="U977" s="144"/>
      <c r="V977" s="144"/>
      <c r="W977" s="155"/>
      <c r="X977" s="155"/>
      <c r="Y977" s="144"/>
      <c r="Z977" s="159" t="str">
        <f>IF(AND(Y977&lt;&gt;"User Specified",Y977&lt;&gt;""), INDEX('Refrigerant GWPs'!$G$2:$G$154,MATCH(Y977,'Refrigerant GWPs'!$A$2:$A$154,0)),"")</f>
        <v/>
      </c>
      <c r="AA977" s="155"/>
      <c r="AB977" s="156"/>
      <c r="AC977" s="66"/>
      <c r="AD977" s="66"/>
      <c r="AE977" s="66"/>
      <c r="AF977" s="66"/>
      <c r="AG977" s="66"/>
      <c r="AH977" s="66"/>
      <c r="AI977" s="34"/>
      <c r="AJ977" s="88">
        <f t="shared" si="1126"/>
        <v>0</v>
      </c>
      <c r="AK977" s="88">
        <f t="shared" si="1127"/>
        <v>0</v>
      </c>
      <c r="AL977" s="88">
        <v>0</v>
      </c>
      <c r="AM977" s="88">
        <v>0</v>
      </c>
      <c r="AN977" s="81" t="str">
        <f t="shared" si="1097"/>
        <v/>
      </c>
      <c r="AO977" s="88">
        <f t="shared" si="1128"/>
        <v>0</v>
      </c>
      <c r="AP977" s="88">
        <f t="shared" si="1129"/>
        <v>0</v>
      </c>
      <c r="AQ977" s="81" t="str">
        <f t="shared" si="1130"/>
        <v/>
      </c>
      <c r="AS977" s="41" t="b">
        <f t="shared" si="1131"/>
        <v>1</v>
      </c>
      <c r="AT977" s="38">
        <f t="shared" si="1132"/>
        <v>0</v>
      </c>
      <c r="AU977" s="60">
        <f t="shared" si="1133"/>
        <v>0</v>
      </c>
      <c r="AV977" s="41">
        <f t="shared" si="1134"/>
        <v>0</v>
      </c>
      <c r="AW977" s="41" t="b">
        <f t="shared" si="1135"/>
        <v>0</v>
      </c>
      <c r="AX977" t="str">
        <f t="shared" si="1136"/>
        <v>+00</v>
      </c>
      <c r="AY977" t="str">
        <f t="shared" si="1137"/>
        <v>+00</v>
      </c>
      <c r="BA977" s="47" t="b">
        <f t="shared" si="1098"/>
        <v>1</v>
      </c>
      <c r="BB977" s="42" t="b">
        <f t="shared" si="1099"/>
        <v>1</v>
      </c>
      <c r="BC977" s="42" t="b">
        <f t="shared" si="1100"/>
        <v>0</v>
      </c>
      <c r="BD977" s="42" t="b">
        <f t="shared" si="1101"/>
        <v>0</v>
      </c>
      <c r="BE977" s="70">
        <f t="shared" si="1102"/>
        <v>0</v>
      </c>
      <c r="BF977" s="70">
        <f t="shared" si="1103"/>
        <v>0</v>
      </c>
      <c r="BG977" s="34"/>
      <c r="BI977" s="47" t="b">
        <f t="shared" si="1104"/>
        <v>1</v>
      </c>
      <c r="BJ977" s="47" t="b">
        <f t="shared" si="1105"/>
        <v>1</v>
      </c>
      <c r="BK977" s="42" t="b">
        <f t="shared" si="1106"/>
        <v>0</v>
      </c>
      <c r="BL977" s="42" t="b">
        <f t="shared" si="1107"/>
        <v>0</v>
      </c>
      <c r="BM977" s="42">
        <f t="shared" si="1108"/>
        <v>0</v>
      </c>
      <c r="BN977" s="42">
        <f t="shared" si="1109"/>
        <v>0</v>
      </c>
      <c r="BP977" t="e">
        <f t="shared" si="1110"/>
        <v>#N/A</v>
      </c>
      <c r="BQ977" t="e">
        <f t="shared" si="1111"/>
        <v>#N/A</v>
      </c>
      <c r="BR977" t="e">
        <f t="shared" si="1112"/>
        <v>#N/A</v>
      </c>
      <c r="BT977" s="60">
        <f t="shared" si="1113"/>
        <v>0</v>
      </c>
      <c r="BU977" s="60">
        <f t="shared" si="1114"/>
        <v>0</v>
      </c>
      <c r="BV977" s="60">
        <f t="shared" si="1115"/>
        <v>0</v>
      </c>
      <c r="BW977" s="60">
        <f t="shared" si="1116"/>
        <v>0</v>
      </c>
      <c r="BX977" s="60">
        <f t="shared" si="1117"/>
        <v>0</v>
      </c>
      <c r="BY977" s="60">
        <f t="shared" si="1118"/>
        <v>0</v>
      </c>
      <c r="BZ977" s="60">
        <f t="shared" si="1119"/>
        <v>0</v>
      </c>
      <c r="CA977" s="60">
        <f t="shared" si="1120"/>
        <v>0</v>
      </c>
      <c r="CB977" s="60" t="e">
        <f t="shared" si="1138"/>
        <v>#N/A</v>
      </c>
      <c r="CC977" s="60">
        <f t="shared" si="1139"/>
        <v>100000</v>
      </c>
      <c r="CD977" s="60" t="e">
        <f t="shared" si="1140"/>
        <v>#N/A</v>
      </c>
      <c r="CE977" s="60">
        <f t="shared" si="1141"/>
        <v>100000</v>
      </c>
      <c r="CF977" s="83" t="e">
        <f t="shared" si="1121"/>
        <v>#N/A</v>
      </c>
      <c r="CG977" s="83">
        <f t="shared" si="1122"/>
        <v>0</v>
      </c>
      <c r="CH977" s="83" t="e">
        <f t="shared" si="1123"/>
        <v>#N/A</v>
      </c>
      <c r="CI977" s="83">
        <f t="shared" si="1124"/>
        <v>0</v>
      </c>
      <c r="CJ977" s="86" t="e">
        <f t="shared" si="1142"/>
        <v>#N/A</v>
      </c>
      <c r="CK977" s="82">
        <f t="shared" si="1143"/>
        <v>5.3070370403969858E-3</v>
      </c>
      <c r="CL977" s="82" t="e">
        <f t="shared" si="1144"/>
        <v>#N/A</v>
      </c>
      <c r="CM977" s="82">
        <f t="shared" si="1145"/>
        <v>5.3070370403969858E-3</v>
      </c>
      <c r="CO977" s="149" t="str">
        <f>IF($I977&lt;&gt;"",IF(O977="User Specified",U977,INDEX('Refrigerant GWPs'!$G$2:$G$156,MATCH(O977,'Refrigerant GWPs'!$A$2:$A$156,0))),"")</f>
        <v/>
      </c>
      <c r="CP977" s="138" t="str">
        <f>IF($I977&lt;&gt;"",INDEX('Device Refrigerant Leakage'!$E$2:$E$42,MATCH($M977,'Device Refrigerant Leakage'!$B$2:$B$42,0)),"")</f>
        <v/>
      </c>
      <c r="CQ977" s="138" t="str">
        <f>IF($I977&lt;&gt;"",INDEX('Device Refrigerant Leakage'!$F$2:$F$42,MATCH($M977,'Device Refrigerant Leakage'!$B$2:$B$42,0)),"")</f>
        <v/>
      </c>
      <c r="CR977" s="145" t="str">
        <f>IF($I977&lt;&gt;"",INDEX('Device Refrigerant Leakage'!$G$2:$G$42,MATCH($M977,'Device Refrigerant Leakage'!$B$2:$B$42,0)),"")</f>
        <v/>
      </c>
      <c r="CS977" s="145" t="str">
        <f>IF($I977&lt;&gt;"",INDEX('Device Refrigerant Leakage'!$D$2:$D$42,MATCH($M977,'Device Refrigerant Leakage'!$B$2:$B$42,0))*CP977/2204.62*CO977,"")</f>
        <v/>
      </c>
      <c r="CT977" s="145" t="str">
        <f>IF($I977&lt;&gt;"",J977*(INDEX('Device Refrigerant Leakage'!$D$2:$D$42,MATCH($M977,'Device Refrigerant Leakage'!$B$2:$B$42,0))-(INDEX('Device Refrigerant Leakage'!$D$2:$D$42,MATCH($M977,'Device Refrigerant Leakage'!$B$2:$B$42,0)))*CR977*CP977)*CQ977/2204.62*CO977,"")</f>
        <v/>
      </c>
      <c r="CU977" s="135" t="str">
        <f>IF($I977&lt;&gt;"",J977*IF(W977&lt;&gt;"AR",(CS977*K977)+CT977,(CS977*AB977)+CT977*(AB977/INDEX('Device Refrigerant Leakage'!$C$2:$C$42,MATCH($M977,'Device Refrigerant Leakage'!$B$2:$B$42,0)))),"")</f>
        <v/>
      </c>
      <c r="CW977" s="135" t="str">
        <f>IF($I977&lt;&gt;"",IF(S977="User Specified",V977,INDEX('Refrigerant GWPs'!$G$2:$G$156,MATCH(S977,'Refrigerant GWPs'!$A$2:$A$157,0))),"")</f>
        <v/>
      </c>
      <c r="CX977" s="138" t="str">
        <f>IF($I977&lt;&gt;"",INDEX('Device Refrigerant Leakage'!$E$2:$E$42,MATCH($Q977,'Device Refrigerant Leakage'!$B$2:$B$42,0)),"")</f>
        <v/>
      </c>
      <c r="CY977" s="138" t="str">
        <f>IF($I977&lt;&gt;"",INDEX('Device Refrigerant Leakage'!$F$2:$F$42,MATCH($Q977,'Device Refrigerant Leakage'!$B$2:$B$42,0)),"")</f>
        <v/>
      </c>
      <c r="CZ977" s="145" t="str">
        <f>IF($I977&lt;&gt;"",INDEX('Device Refrigerant Leakage'!$G$2:$G$42,MATCH($Q977,'Device Refrigerant Leakage'!$B$2:$B$42,0)),"")</f>
        <v/>
      </c>
      <c r="DA977" s="145" t="str">
        <f>IF($I977&lt;&gt;"",J977*INDEX('Device Refrigerant Leakage'!$D$2:$D$42,MATCH($Q977,'Device Refrigerant Leakage'!$B$2:$B$42,0))*CX977/2204.62*CW977,"")</f>
        <v/>
      </c>
      <c r="DB977" s="145" t="str">
        <f>IF($I977&lt;&gt;"",J977*(INDEX('Device Refrigerant Leakage'!$D$2:$D$42,MATCH($Q977,'Device Refrigerant Leakage'!$B$2:$B$42,0))-(INDEX('Device Refrigerant Leakage'!$D$2:$D$42,MATCH($Q977,'Device Refrigerant Leakage'!$B$2:$B$42,0)))*CZ977*CX977)*CY977/2204.62*CW977,"")</f>
        <v/>
      </c>
      <c r="DC977" s="135" t="str">
        <f t="shared" si="1164"/>
        <v/>
      </c>
      <c r="DE977" s="146" t="str">
        <f>IF(W977&lt;&gt;"AR","",IF(Y977="User Specified", AA977, INDEX('Refrigerant GWPs'!$G$2:$G$154,MATCH(Y977,'Refrigerant GWPs'!$A$2:$A$154,0))))</f>
        <v/>
      </c>
      <c r="DF977" s="146" t="str">
        <f>IF(W977&lt;&gt;"AR","",INDEX('Device Refrigerant Leakage'!$E$2:$E$42,MATCH(X977,'Device Refrigerant Leakage'!$B$2:$B$42,0)))</f>
        <v/>
      </c>
      <c r="DG977" s="146" t="str">
        <f>IF(W977&lt;&gt;"AR","",INDEX('Device Refrigerant Leakage'!$F$2:$F$42,MATCH(X977,'Device Refrigerant Leakage'!$B$2:$B$42,0)))</f>
        <v/>
      </c>
      <c r="DH977" s="146" t="str">
        <f>IF(W977&lt;&gt;"AR","",INDEX('Device Refrigerant Leakage'!$G$2:$G$42,MATCH(X977,'Device Refrigerant Leakage'!$B$2:$B$42,0)))</f>
        <v/>
      </c>
      <c r="DI977" s="146" t="str">
        <f>IF(W977&lt;&gt;"AR","",J977*INDEX('Device Refrigerant Leakage'!$D$2:$D$42,MATCH(X977,'Device Refrigerant Leakage'!$B$2:$B$42,0))*DF977/2204.62*DE977)</f>
        <v/>
      </c>
      <c r="DJ977" s="146" t="str">
        <f>IF(W977&lt;&gt;"AR","",J977*(INDEX('Device Refrigerant Leakage'!$D$2:$D$42,MATCH(X977,'Device Refrigerant Leakage'!$B$2:$B$42,0))-(INDEX('Device Refrigerant Leakage'!$D$2:$D$42,MATCH(X977,'Device Refrigerant Leakage'!$B$2:$B$42,0)))*DH977*DF977)*DG977/2204.62*DE977)</f>
        <v/>
      </c>
      <c r="DK977" s="146" t="str">
        <f>IF(W977&lt;&gt;"AR","",DI977*(K977-AB977)+'Fuel Sub Calcs-Deemed'!DJ977*((K977-AB977)/INDEX('Device Refrigerant Leakage'!$C$2:$C$42,MATCH('Fuel Sub Calcs-Deemed'!X977,'Device Refrigerant Leakage'!$B$2:$B$42,0))))</f>
        <v/>
      </c>
      <c r="DM977" s="56">
        <v>963</v>
      </c>
      <c r="DN977" s="67" t="e">
        <f t="shared" si="1146"/>
        <v>#N/A</v>
      </c>
      <c r="DO977" s="45" t="e">
        <f t="shared" si="1147"/>
        <v>#N/A</v>
      </c>
      <c r="DP977" s="67" t="e">
        <f t="shared" si="1148"/>
        <v>#N/A</v>
      </c>
      <c r="DQ977" s="45" t="e">
        <f t="shared" si="1149"/>
        <v>#N/A</v>
      </c>
      <c r="DR977" s="69" t="e">
        <f t="shared" si="1150"/>
        <v>#N/A</v>
      </c>
      <c r="DS977" s="34"/>
      <c r="DT977" s="67" t="e">
        <f>((BX977*CJ977)+IF($W977=MAT_AR,(BZ977*CL977),0))*(1+Reference!$E$50+Reference!$E$51)</f>
        <v>#N/A</v>
      </c>
      <c r="DU977" s="67">
        <f>((BY977*CK977)+IF($W977=MAT_AR,(CA977*CM977),0))*(1+Reference!$G$50+Reference!$G$51)</f>
        <v>0</v>
      </c>
      <c r="DV977" s="67" t="e">
        <f t="shared" si="1151"/>
        <v>#VALUE!</v>
      </c>
      <c r="DX977" s="56">
        <v>963</v>
      </c>
      <c r="DY977" s="67">
        <f t="shared" si="1152"/>
        <v>0</v>
      </c>
      <c r="DZ977" s="45" t="e">
        <f>VLOOKUP($R977,Dropdown!$C$3:$D$4,2,FALSE)</f>
        <v>#N/A</v>
      </c>
      <c r="EA977" s="68">
        <f t="shared" si="1153"/>
        <v>0</v>
      </c>
      <c r="EB977" s="68" t="str">
        <f t="shared" si="1154"/>
        <v>N/A</v>
      </c>
      <c r="EC977" s="68">
        <f t="shared" si="1155"/>
        <v>0</v>
      </c>
      <c r="ED977" s="68" t="str">
        <f t="shared" si="1125"/>
        <v>N/A</v>
      </c>
      <c r="EF977" s="56">
        <v>963</v>
      </c>
      <c r="EG977" s="46">
        <f t="shared" si="1156"/>
        <v>0</v>
      </c>
      <c r="EH977" s="68" t="e">
        <f t="shared" si="1157"/>
        <v>#N/A</v>
      </c>
      <c r="EI977" s="68" t="e">
        <f t="shared" si="1158"/>
        <v>#N/A</v>
      </c>
      <c r="EJ977" s="68" t="e">
        <f t="shared" si="1159"/>
        <v>#N/A</v>
      </c>
      <c r="EK977" s="68" t="e">
        <f t="shared" si="1160"/>
        <v>#N/A</v>
      </c>
      <c r="EL977" s="46">
        <f t="shared" si="1161"/>
        <v>0</v>
      </c>
      <c r="EM977" s="46">
        <f t="shared" si="1162"/>
        <v>0</v>
      </c>
    </row>
    <row r="978" spans="1:143">
      <c r="A978" s="89"/>
      <c r="B978" s="89"/>
      <c r="C978" s="89"/>
      <c r="D978" s="89"/>
      <c r="E978" s="89"/>
      <c r="F978" s="89"/>
      <c r="G978" s="34"/>
      <c r="H978" s="56">
        <f t="shared" si="1163"/>
        <v>964</v>
      </c>
      <c r="I978" s="165"/>
      <c r="J978" s="163"/>
      <c r="K978" s="163"/>
      <c r="L978" s="164"/>
      <c r="M978" s="155"/>
      <c r="N978" s="155"/>
      <c r="O978" s="144"/>
      <c r="P978" s="159" t="str">
        <f>IFERROR(IF(O978&lt;&gt;"User Specified",IF(O978&lt;&gt;"", INDEX('Refrigerant GWPs'!$G$2:$G$154,MATCH(O978,'Refrigerant GWPs'!$A$2:$A$154,0)),""),U978),0)</f>
        <v/>
      </c>
      <c r="Q978" s="155"/>
      <c r="R978" s="155"/>
      <c r="S978" s="144"/>
      <c r="T978" s="159" t="str">
        <f>IF(S978&lt;&gt;"User Specified",IF(AND(S978&lt;&gt;"User Specified",S978&lt;&gt;""), INDEX('Refrigerant GWPs'!$G$2:$G$154,MATCH(S978,'Refrigerant GWPs'!$A$2:$A$154,0)),""),V978)</f>
        <v/>
      </c>
      <c r="U978" s="144"/>
      <c r="V978" s="144"/>
      <c r="W978" s="155"/>
      <c r="X978" s="155"/>
      <c r="Y978" s="144"/>
      <c r="Z978" s="159" t="str">
        <f>IF(AND(Y978&lt;&gt;"User Specified",Y978&lt;&gt;""), INDEX('Refrigerant GWPs'!$G$2:$G$154,MATCH(Y978,'Refrigerant GWPs'!$A$2:$A$154,0)),"")</f>
        <v/>
      </c>
      <c r="AA978" s="155"/>
      <c r="AB978" s="156"/>
      <c r="AC978" s="66"/>
      <c r="AD978" s="66"/>
      <c r="AE978" s="66"/>
      <c r="AF978" s="66"/>
      <c r="AG978" s="66"/>
      <c r="AH978" s="66"/>
      <c r="AI978" s="34"/>
      <c r="AJ978" s="88">
        <f t="shared" si="1126"/>
        <v>0</v>
      </c>
      <c r="AK978" s="88">
        <f t="shared" si="1127"/>
        <v>0</v>
      </c>
      <c r="AL978" s="88">
        <v>0</v>
      </c>
      <c r="AM978" s="88">
        <v>0</v>
      </c>
      <c r="AN978" s="81" t="str">
        <f t="shared" si="1097"/>
        <v/>
      </c>
      <c r="AO978" s="88">
        <f t="shared" si="1128"/>
        <v>0</v>
      </c>
      <c r="AP978" s="88">
        <f t="shared" si="1129"/>
        <v>0</v>
      </c>
      <c r="AQ978" s="81" t="str">
        <f t="shared" si="1130"/>
        <v/>
      </c>
      <c r="AS978" s="41" t="b">
        <f t="shared" si="1131"/>
        <v>1</v>
      </c>
      <c r="AT978" s="38">
        <f t="shared" si="1132"/>
        <v>0</v>
      </c>
      <c r="AU978" s="60">
        <f t="shared" si="1133"/>
        <v>0</v>
      </c>
      <c r="AV978" s="41">
        <f t="shared" si="1134"/>
        <v>0</v>
      </c>
      <c r="AW978" s="41" t="b">
        <f t="shared" si="1135"/>
        <v>0</v>
      </c>
      <c r="AX978" t="str">
        <f t="shared" si="1136"/>
        <v>+00</v>
      </c>
      <c r="AY978" t="str">
        <f t="shared" si="1137"/>
        <v>+00</v>
      </c>
      <c r="BA978" s="47" t="b">
        <f t="shared" si="1098"/>
        <v>1</v>
      </c>
      <c r="BB978" s="42" t="b">
        <f t="shared" si="1099"/>
        <v>1</v>
      </c>
      <c r="BC978" s="42" t="b">
        <f t="shared" si="1100"/>
        <v>0</v>
      </c>
      <c r="BD978" s="42" t="b">
        <f t="shared" si="1101"/>
        <v>0</v>
      </c>
      <c r="BE978" s="70">
        <f t="shared" si="1102"/>
        <v>0</v>
      </c>
      <c r="BF978" s="70">
        <f t="shared" si="1103"/>
        <v>0</v>
      </c>
      <c r="BG978" s="34"/>
      <c r="BI978" s="47" t="b">
        <f t="shared" si="1104"/>
        <v>1</v>
      </c>
      <c r="BJ978" s="47" t="b">
        <f t="shared" si="1105"/>
        <v>1</v>
      </c>
      <c r="BK978" s="42" t="b">
        <f t="shared" si="1106"/>
        <v>0</v>
      </c>
      <c r="BL978" s="42" t="b">
        <f t="shared" si="1107"/>
        <v>0</v>
      </c>
      <c r="BM978" s="42">
        <f t="shared" si="1108"/>
        <v>0</v>
      </c>
      <c r="BN978" s="42">
        <f t="shared" si="1109"/>
        <v>0</v>
      </c>
      <c r="BP978" t="e">
        <f t="shared" si="1110"/>
        <v>#N/A</v>
      </c>
      <c r="BQ978" t="e">
        <f t="shared" si="1111"/>
        <v>#N/A</v>
      </c>
      <c r="BR978" t="e">
        <f t="shared" si="1112"/>
        <v>#N/A</v>
      </c>
      <c r="BT978" s="60">
        <f t="shared" si="1113"/>
        <v>0</v>
      </c>
      <c r="BU978" s="60">
        <f t="shared" si="1114"/>
        <v>0</v>
      </c>
      <c r="BV978" s="60">
        <f t="shared" si="1115"/>
        <v>0</v>
      </c>
      <c r="BW978" s="60">
        <f t="shared" si="1116"/>
        <v>0</v>
      </c>
      <c r="BX978" s="60">
        <f t="shared" si="1117"/>
        <v>0</v>
      </c>
      <c r="BY978" s="60">
        <f t="shared" si="1118"/>
        <v>0</v>
      </c>
      <c r="BZ978" s="60">
        <f t="shared" si="1119"/>
        <v>0</v>
      </c>
      <c r="CA978" s="60">
        <f t="shared" si="1120"/>
        <v>0</v>
      </c>
      <c r="CB978" s="60" t="e">
        <f t="shared" si="1138"/>
        <v>#N/A</v>
      </c>
      <c r="CC978" s="60">
        <f t="shared" si="1139"/>
        <v>100000</v>
      </c>
      <c r="CD978" s="60" t="e">
        <f t="shared" si="1140"/>
        <v>#N/A</v>
      </c>
      <c r="CE978" s="60">
        <f t="shared" si="1141"/>
        <v>100000</v>
      </c>
      <c r="CF978" s="83" t="e">
        <f t="shared" si="1121"/>
        <v>#N/A</v>
      </c>
      <c r="CG978" s="83">
        <f t="shared" si="1122"/>
        <v>0</v>
      </c>
      <c r="CH978" s="83" t="e">
        <f t="shared" si="1123"/>
        <v>#N/A</v>
      </c>
      <c r="CI978" s="83">
        <f t="shared" si="1124"/>
        <v>0</v>
      </c>
      <c r="CJ978" s="86" t="e">
        <f t="shared" si="1142"/>
        <v>#N/A</v>
      </c>
      <c r="CK978" s="82">
        <f t="shared" si="1143"/>
        <v>5.3070370403969858E-3</v>
      </c>
      <c r="CL978" s="82" t="e">
        <f t="shared" si="1144"/>
        <v>#N/A</v>
      </c>
      <c r="CM978" s="82">
        <f t="shared" si="1145"/>
        <v>5.3070370403969858E-3</v>
      </c>
      <c r="CO978" s="149" t="str">
        <f>IF($I978&lt;&gt;"",IF(O978="User Specified",U978,INDEX('Refrigerant GWPs'!$G$2:$G$156,MATCH(O978,'Refrigerant GWPs'!$A$2:$A$156,0))),"")</f>
        <v/>
      </c>
      <c r="CP978" s="138" t="str">
        <f>IF($I978&lt;&gt;"",INDEX('Device Refrigerant Leakage'!$E$2:$E$42,MATCH($M978,'Device Refrigerant Leakage'!$B$2:$B$42,0)),"")</f>
        <v/>
      </c>
      <c r="CQ978" s="138" t="str">
        <f>IF($I978&lt;&gt;"",INDEX('Device Refrigerant Leakage'!$F$2:$F$42,MATCH($M978,'Device Refrigerant Leakage'!$B$2:$B$42,0)),"")</f>
        <v/>
      </c>
      <c r="CR978" s="145" t="str">
        <f>IF($I978&lt;&gt;"",INDEX('Device Refrigerant Leakage'!$G$2:$G$42,MATCH($M978,'Device Refrigerant Leakage'!$B$2:$B$42,0)),"")</f>
        <v/>
      </c>
      <c r="CS978" s="145" t="str">
        <f>IF($I978&lt;&gt;"",INDEX('Device Refrigerant Leakage'!$D$2:$D$42,MATCH($M978,'Device Refrigerant Leakage'!$B$2:$B$42,0))*CP978/2204.62*CO978,"")</f>
        <v/>
      </c>
      <c r="CT978" s="145" t="str">
        <f>IF($I978&lt;&gt;"",J978*(INDEX('Device Refrigerant Leakage'!$D$2:$D$42,MATCH($M978,'Device Refrigerant Leakage'!$B$2:$B$42,0))-(INDEX('Device Refrigerant Leakage'!$D$2:$D$42,MATCH($M978,'Device Refrigerant Leakage'!$B$2:$B$42,0)))*CR978*CP978)*CQ978/2204.62*CO978,"")</f>
        <v/>
      </c>
      <c r="CU978" s="135" t="str">
        <f>IF($I978&lt;&gt;"",J978*IF(W978&lt;&gt;"AR",(CS978*K978)+CT978,(CS978*AB978)+CT978*(AB978/INDEX('Device Refrigerant Leakage'!$C$2:$C$42,MATCH($M978,'Device Refrigerant Leakage'!$B$2:$B$42,0)))),"")</f>
        <v/>
      </c>
      <c r="CW978" s="135" t="str">
        <f>IF($I978&lt;&gt;"",IF(S978="User Specified",V978,INDEX('Refrigerant GWPs'!$G$2:$G$156,MATCH(S978,'Refrigerant GWPs'!$A$2:$A$157,0))),"")</f>
        <v/>
      </c>
      <c r="CX978" s="138" t="str">
        <f>IF($I978&lt;&gt;"",INDEX('Device Refrigerant Leakage'!$E$2:$E$42,MATCH($Q978,'Device Refrigerant Leakage'!$B$2:$B$42,0)),"")</f>
        <v/>
      </c>
      <c r="CY978" s="138" t="str">
        <f>IF($I978&lt;&gt;"",INDEX('Device Refrigerant Leakage'!$F$2:$F$42,MATCH($Q978,'Device Refrigerant Leakage'!$B$2:$B$42,0)),"")</f>
        <v/>
      </c>
      <c r="CZ978" s="145" t="str">
        <f>IF($I978&lt;&gt;"",INDEX('Device Refrigerant Leakage'!$G$2:$G$42,MATCH($Q978,'Device Refrigerant Leakage'!$B$2:$B$42,0)),"")</f>
        <v/>
      </c>
      <c r="DA978" s="145" t="str">
        <f>IF($I978&lt;&gt;"",J978*INDEX('Device Refrigerant Leakage'!$D$2:$D$42,MATCH($Q978,'Device Refrigerant Leakage'!$B$2:$B$42,0))*CX978/2204.62*CW978,"")</f>
        <v/>
      </c>
      <c r="DB978" s="145" t="str">
        <f>IF($I978&lt;&gt;"",J978*(INDEX('Device Refrigerant Leakage'!$D$2:$D$42,MATCH($Q978,'Device Refrigerant Leakage'!$B$2:$B$42,0))-(INDEX('Device Refrigerant Leakage'!$D$2:$D$42,MATCH($Q978,'Device Refrigerant Leakage'!$B$2:$B$42,0)))*CZ978*CX978)*CY978/2204.62*CW978,"")</f>
        <v/>
      </c>
      <c r="DC978" s="135" t="str">
        <f t="shared" si="1164"/>
        <v/>
      </c>
      <c r="DE978" s="146" t="str">
        <f>IF(W978&lt;&gt;"AR","",IF(Y978="User Specified", AA978, INDEX('Refrigerant GWPs'!$G$2:$G$154,MATCH(Y978,'Refrigerant GWPs'!$A$2:$A$154,0))))</f>
        <v/>
      </c>
      <c r="DF978" s="146" t="str">
        <f>IF(W978&lt;&gt;"AR","",INDEX('Device Refrigerant Leakage'!$E$2:$E$42,MATCH(X978,'Device Refrigerant Leakage'!$B$2:$B$42,0)))</f>
        <v/>
      </c>
      <c r="DG978" s="146" t="str">
        <f>IF(W978&lt;&gt;"AR","",INDEX('Device Refrigerant Leakage'!$F$2:$F$42,MATCH(X978,'Device Refrigerant Leakage'!$B$2:$B$42,0)))</f>
        <v/>
      </c>
      <c r="DH978" s="146" t="str">
        <f>IF(W978&lt;&gt;"AR","",INDEX('Device Refrigerant Leakage'!$G$2:$G$42,MATCH(X978,'Device Refrigerant Leakage'!$B$2:$B$42,0)))</f>
        <v/>
      </c>
      <c r="DI978" s="146" t="str">
        <f>IF(W978&lt;&gt;"AR","",J978*INDEX('Device Refrigerant Leakage'!$D$2:$D$42,MATCH(X978,'Device Refrigerant Leakage'!$B$2:$B$42,0))*DF978/2204.62*DE978)</f>
        <v/>
      </c>
      <c r="DJ978" s="146" t="str">
        <f>IF(W978&lt;&gt;"AR","",J978*(INDEX('Device Refrigerant Leakage'!$D$2:$D$42,MATCH(X978,'Device Refrigerant Leakage'!$B$2:$B$42,0))-(INDEX('Device Refrigerant Leakage'!$D$2:$D$42,MATCH(X978,'Device Refrigerant Leakage'!$B$2:$B$42,0)))*DH978*DF978)*DG978/2204.62*DE978)</f>
        <v/>
      </c>
      <c r="DK978" s="146" t="str">
        <f>IF(W978&lt;&gt;"AR","",DI978*(K978-AB978)+'Fuel Sub Calcs-Deemed'!DJ978*((K978-AB978)/INDEX('Device Refrigerant Leakage'!$C$2:$C$42,MATCH('Fuel Sub Calcs-Deemed'!X978,'Device Refrigerant Leakage'!$B$2:$B$42,0))))</f>
        <v/>
      </c>
      <c r="DM978" s="56">
        <v>964</v>
      </c>
      <c r="DN978" s="67" t="e">
        <f t="shared" si="1146"/>
        <v>#N/A</v>
      </c>
      <c r="DO978" s="45" t="e">
        <f t="shared" si="1147"/>
        <v>#N/A</v>
      </c>
      <c r="DP978" s="67" t="e">
        <f t="shared" si="1148"/>
        <v>#N/A</v>
      </c>
      <c r="DQ978" s="45" t="e">
        <f t="shared" si="1149"/>
        <v>#N/A</v>
      </c>
      <c r="DR978" s="69" t="e">
        <f t="shared" si="1150"/>
        <v>#N/A</v>
      </c>
      <c r="DS978" s="34"/>
      <c r="DT978" s="67" t="e">
        <f>((BX978*CJ978)+IF($W978=MAT_AR,(BZ978*CL978),0))*(1+Reference!$E$50+Reference!$E$51)</f>
        <v>#N/A</v>
      </c>
      <c r="DU978" s="67">
        <f>((BY978*CK978)+IF($W978=MAT_AR,(CA978*CM978),0))*(1+Reference!$G$50+Reference!$G$51)</f>
        <v>0</v>
      </c>
      <c r="DV978" s="67" t="e">
        <f t="shared" si="1151"/>
        <v>#VALUE!</v>
      </c>
      <c r="DX978" s="56">
        <v>964</v>
      </c>
      <c r="DY978" s="67">
        <f t="shared" si="1152"/>
        <v>0</v>
      </c>
      <c r="DZ978" s="45" t="e">
        <f>VLOOKUP($R978,Dropdown!$C$3:$D$4,2,FALSE)</f>
        <v>#N/A</v>
      </c>
      <c r="EA978" s="68">
        <f t="shared" si="1153"/>
        <v>0</v>
      </c>
      <c r="EB978" s="68" t="str">
        <f t="shared" si="1154"/>
        <v>N/A</v>
      </c>
      <c r="EC978" s="68">
        <f t="shared" si="1155"/>
        <v>0</v>
      </c>
      <c r="ED978" s="68" t="str">
        <f t="shared" si="1125"/>
        <v>N/A</v>
      </c>
      <c r="EF978" s="56">
        <v>964</v>
      </c>
      <c r="EG978" s="46">
        <f t="shared" si="1156"/>
        <v>0</v>
      </c>
      <c r="EH978" s="68" t="e">
        <f t="shared" si="1157"/>
        <v>#N/A</v>
      </c>
      <c r="EI978" s="68" t="e">
        <f t="shared" si="1158"/>
        <v>#N/A</v>
      </c>
      <c r="EJ978" s="68" t="e">
        <f t="shared" si="1159"/>
        <v>#N/A</v>
      </c>
      <c r="EK978" s="68" t="e">
        <f t="shared" si="1160"/>
        <v>#N/A</v>
      </c>
      <c r="EL978" s="46">
        <f t="shared" si="1161"/>
        <v>0</v>
      </c>
      <c r="EM978" s="46">
        <f t="shared" si="1162"/>
        <v>0</v>
      </c>
    </row>
    <row r="979" spans="1:143">
      <c r="A979" s="89"/>
      <c r="B979" s="89"/>
      <c r="C979" s="89"/>
      <c r="D979" s="89"/>
      <c r="E979" s="89"/>
      <c r="F979" s="89"/>
      <c r="G979" s="34"/>
      <c r="H979" s="56">
        <f t="shared" si="1163"/>
        <v>965</v>
      </c>
      <c r="I979" s="165"/>
      <c r="J979" s="163"/>
      <c r="K979" s="163"/>
      <c r="L979" s="164"/>
      <c r="M979" s="155"/>
      <c r="N979" s="155"/>
      <c r="O979" s="144"/>
      <c r="P979" s="159" t="str">
        <f>IFERROR(IF(O979&lt;&gt;"User Specified",IF(O979&lt;&gt;"", INDEX('Refrigerant GWPs'!$G$2:$G$154,MATCH(O979,'Refrigerant GWPs'!$A$2:$A$154,0)),""),U979),0)</f>
        <v/>
      </c>
      <c r="Q979" s="155"/>
      <c r="R979" s="155"/>
      <c r="S979" s="144"/>
      <c r="T979" s="159" t="str">
        <f>IF(S979&lt;&gt;"User Specified",IF(AND(S979&lt;&gt;"User Specified",S979&lt;&gt;""), INDEX('Refrigerant GWPs'!$G$2:$G$154,MATCH(S979,'Refrigerant GWPs'!$A$2:$A$154,0)),""),V979)</f>
        <v/>
      </c>
      <c r="U979" s="144"/>
      <c r="V979" s="144"/>
      <c r="W979" s="155"/>
      <c r="X979" s="155"/>
      <c r="Y979" s="144"/>
      <c r="Z979" s="159" t="str">
        <f>IF(AND(Y979&lt;&gt;"User Specified",Y979&lt;&gt;""), INDEX('Refrigerant GWPs'!$G$2:$G$154,MATCH(Y979,'Refrigerant GWPs'!$A$2:$A$154,0)),"")</f>
        <v/>
      </c>
      <c r="AA979" s="155"/>
      <c r="AB979" s="156"/>
      <c r="AC979" s="66"/>
      <c r="AD979" s="66"/>
      <c r="AE979" s="66"/>
      <c r="AF979" s="66"/>
      <c r="AG979" s="66"/>
      <c r="AH979" s="66"/>
      <c r="AI979" s="34"/>
      <c r="AJ979" s="88">
        <f t="shared" si="1126"/>
        <v>0</v>
      </c>
      <c r="AK979" s="88">
        <f t="shared" si="1127"/>
        <v>0</v>
      </c>
      <c r="AL979" s="88">
        <v>0</v>
      </c>
      <c r="AM979" s="88">
        <v>0</v>
      </c>
      <c r="AN979" s="81" t="str">
        <f t="shared" si="1097"/>
        <v/>
      </c>
      <c r="AO979" s="88">
        <f t="shared" si="1128"/>
        <v>0</v>
      </c>
      <c r="AP979" s="88">
        <f t="shared" si="1129"/>
        <v>0</v>
      </c>
      <c r="AQ979" s="81" t="str">
        <f t="shared" si="1130"/>
        <v/>
      </c>
      <c r="AS979" s="41" t="b">
        <f t="shared" si="1131"/>
        <v>1</v>
      </c>
      <c r="AT979" s="38">
        <f t="shared" si="1132"/>
        <v>0</v>
      </c>
      <c r="AU979" s="60">
        <f t="shared" si="1133"/>
        <v>0</v>
      </c>
      <c r="AV979" s="41">
        <f t="shared" si="1134"/>
        <v>0</v>
      </c>
      <c r="AW979" s="41" t="b">
        <f t="shared" si="1135"/>
        <v>0</v>
      </c>
      <c r="AX979" t="str">
        <f t="shared" si="1136"/>
        <v>+00</v>
      </c>
      <c r="AY979" t="str">
        <f t="shared" si="1137"/>
        <v>+00</v>
      </c>
      <c r="BA979" s="47" t="b">
        <f t="shared" si="1098"/>
        <v>1</v>
      </c>
      <c r="BB979" s="42" t="b">
        <f t="shared" si="1099"/>
        <v>1</v>
      </c>
      <c r="BC979" s="42" t="b">
        <f t="shared" si="1100"/>
        <v>0</v>
      </c>
      <c r="BD979" s="42" t="b">
        <f t="shared" si="1101"/>
        <v>0</v>
      </c>
      <c r="BE979" s="70">
        <f t="shared" si="1102"/>
        <v>0</v>
      </c>
      <c r="BF979" s="70">
        <f t="shared" si="1103"/>
        <v>0</v>
      </c>
      <c r="BG979" s="34"/>
      <c r="BI979" s="47" t="b">
        <f t="shared" si="1104"/>
        <v>1</v>
      </c>
      <c r="BJ979" s="47" t="b">
        <f t="shared" si="1105"/>
        <v>1</v>
      </c>
      <c r="BK979" s="42" t="b">
        <f t="shared" si="1106"/>
        <v>0</v>
      </c>
      <c r="BL979" s="42" t="b">
        <f t="shared" si="1107"/>
        <v>0</v>
      </c>
      <c r="BM979" s="42">
        <f t="shared" si="1108"/>
        <v>0</v>
      </c>
      <c r="BN979" s="42">
        <f t="shared" si="1109"/>
        <v>0</v>
      </c>
      <c r="BP979" t="e">
        <f t="shared" si="1110"/>
        <v>#N/A</v>
      </c>
      <c r="BQ979" t="e">
        <f t="shared" si="1111"/>
        <v>#N/A</v>
      </c>
      <c r="BR979" t="e">
        <f t="shared" si="1112"/>
        <v>#N/A</v>
      </c>
      <c r="BT979" s="60">
        <f t="shared" si="1113"/>
        <v>0</v>
      </c>
      <c r="BU979" s="60">
        <f t="shared" si="1114"/>
        <v>0</v>
      </c>
      <c r="BV979" s="60">
        <f t="shared" si="1115"/>
        <v>0</v>
      </c>
      <c r="BW979" s="60">
        <f t="shared" si="1116"/>
        <v>0</v>
      </c>
      <c r="BX979" s="60">
        <f t="shared" si="1117"/>
        <v>0</v>
      </c>
      <c r="BY979" s="60">
        <f t="shared" si="1118"/>
        <v>0</v>
      </c>
      <c r="BZ979" s="60">
        <f t="shared" si="1119"/>
        <v>0</v>
      </c>
      <c r="CA979" s="60">
        <f t="shared" si="1120"/>
        <v>0</v>
      </c>
      <c r="CB979" s="60" t="e">
        <f t="shared" si="1138"/>
        <v>#N/A</v>
      </c>
      <c r="CC979" s="60">
        <f t="shared" si="1139"/>
        <v>100000</v>
      </c>
      <c r="CD979" s="60" t="e">
        <f t="shared" si="1140"/>
        <v>#N/A</v>
      </c>
      <c r="CE979" s="60">
        <f t="shared" si="1141"/>
        <v>100000</v>
      </c>
      <c r="CF979" s="83" t="e">
        <f t="shared" si="1121"/>
        <v>#N/A</v>
      </c>
      <c r="CG979" s="83">
        <f t="shared" si="1122"/>
        <v>0</v>
      </c>
      <c r="CH979" s="83" t="e">
        <f t="shared" si="1123"/>
        <v>#N/A</v>
      </c>
      <c r="CI979" s="83">
        <f t="shared" si="1124"/>
        <v>0</v>
      </c>
      <c r="CJ979" s="86" t="e">
        <f t="shared" si="1142"/>
        <v>#N/A</v>
      </c>
      <c r="CK979" s="82">
        <f t="shared" si="1143"/>
        <v>5.3070370403969858E-3</v>
      </c>
      <c r="CL979" s="82" t="e">
        <f t="shared" si="1144"/>
        <v>#N/A</v>
      </c>
      <c r="CM979" s="82">
        <f t="shared" si="1145"/>
        <v>5.3070370403969858E-3</v>
      </c>
      <c r="CO979" s="149" t="str">
        <f>IF($I979&lt;&gt;"",IF(O979="User Specified",U979,INDEX('Refrigerant GWPs'!$G$2:$G$156,MATCH(O979,'Refrigerant GWPs'!$A$2:$A$156,0))),"")</f>
        <v/>
      </c>
      <c r="CP979" s="138" t="str">
        <f>IF($I979&lt;&gt;"",INDEX('Device Refrigerant Leakage'!$E$2:$E$42,MATCH($M979,'Device Refrigerant Leakage'!$B$2:$B$42,0)),"")</f>
        <v/>
      </c>
      <c r="CQ979" s="138" t="str">
        <f>IF($I979&lt;&gt;"",INDEX('Device Refrigerant Leakage'!$F$2:$F$42,MATCH($M979,'Device Refrigerant Leakage'!$B$2:$B$42,0)),"")</f>
        <v/>
      </c>
      <c r="CR979" s="145" t="str">
        <f>IF($I979&lt;&gt;"",INDEX('Device Refrigerant Leakage'!$G$2:$G$42,MATCH($M979,'Device Refrigerant Leakage'!$B$2:$B$42,0)),"")</f>
        <v/>
      </c>
      <c r="CS979" s="145" t="str">
        <f>IF($I979&lt;&gt;"",INDEX('Device Refrigerant Leakage'!$D$2:$D$42,MATCH($M979,'Device Refrigerant Leakage'!$B$2:$B$42,0))*CP979/2204.62*CO979,"")</f>
        <v/>
      </c>
      <c r="CT979" s="145" t="str">
        <f>IF($I979&lt;&gt;"",J979*(INDEX('Device Refrigerant Leakage'!$D$2:$D$42,MATCH($M979,'Device Refrigerant Leakage'!$B$2:$B$42,0))-(INDEX('Device Refrigerant Leakage'!$D$2:$D$42,MATCH($M979,'Device Refrigerant Leakage'!$B$2:$B$42,0)))*CR979*CP979)*CQ979/2204.62*CO979,"")</f>
        <v/>
      </c>
      <c r="CU979" s="135" t="str">
        <f>IF($I979&lt;&gt;"",J979*IF(W979&lt;&gt;"AR",(CS979*K979)+CT979,(CS979*AB979)+CT979*(AB979/INDEX('Device Refrigerant Leakage'!$C$2:$C$42,MATCH($M979,'Device Refrigerant Leakage'!$B$2:$B$42,0)))),"")</f>
        <v/>
      </c>
      <c r="CW979" s="135" t="str">
        <f>IF($I979&lt;&gt;"",IF(S979="User Specified",V979,INDEX('Refrigerant GWPs'!$G$2:$G$156,MATCH(S979,'Refrigerant GWPs'!$A$2:$A$157,0))),"")</f>
        <v/>
      </c>
      <c r="CX979" s="138" t="str">
        <f>IF($I979&lt;&gt;"",INDEX('Device Refrigerant Leakage'!$E$2:$E$42,MATCH($Q979,'Device Refrigerant Leakage'!$B$2:$B$42,0)),"")</f>
        <v/>
      </c>
      <c r="CY979" s="138" t="str">
        <f>IF($I979&lt;&gt;"",INDEX('Device Refrigerant Leakage'!$F$2:$F$42,MATCH($Q979,'Device Refrigerant Leakage'!$B$2:$B$42,0)),"")</f>
        <v/>
      </c>
      <c r="CZ979" s="145" t="str">
        <f>IF($I979&lt;&gt;"",INDEX('Device Refrigerant Leakage'!$G$2:$G$42,MATCH($Q979,'Device Refrigerant Leakage'!$B$2:$B$42,0)),"")</f>
        <v/>
      </c>
      <c r="DA979" s="145" t="str">
        <f>IF($I979&lt;&gt;"",J979*INDEX('Device Refrigerant Leakage'!$D$2:$D$42,MATCH($Q979,'Device Refrigerant Leakage'!$B$2:$B$42,0))*CX979/2204.62*CW979,"")</f>
        <v/>
      </c>
      <c r="DB979" s="145" t="str">
        <f>IF($I979&lt;&gt;"",J979*(INDEX('Device Refrigerant Leakage'!$D$2:$D$42,MATCH($Q979,'Device Refrigerant Leakage'!$B$2:$B$42,0))-(INDEX('Device Refrigerant Leakage'!$D$2:$D$42,MATCH($Q979,'Device Refrigerant Leakage'!$B$2:$B$42,0)))*CZ979*CX979)*CY979/2204.62*CW979,"")</f>
        <v/>
      </c>
      <c r="DC979" s="135" t="str">
        <f t="shared" si="1164"/>
        <v/>
      </c>
      <c r="DE979" s="146" t="str">
        <f>IF(W979&lt;&gt;"AR","",IF(Y979="User Specified", AA979, INDEX('Refrigerant GWPs'!$G$2:$G$154,MATCH(Y979,'Refrigerant GWPs'!$A$2:$A$154,0))))</f>
        <v/>
      </c>
      <c r="DF979" s="146" t="str">
        <f>IF(W979&lt;&gt;"AR","",INDEX('Device Refrigerant Leakage'!$E$2:$E$42,MATCH(X979,'Device Refrigerant Leakage'!$B$2:$B$42,0)))</f>
        <v/>
      </c>
      <c r="DG979" s="146" t="str">
        <f>IF(W979&lt;&gt;"AR","",INDEX('Device Refrigerant Leakage'!$F$2:$F$42,MATCH(X979,'Device Refrigerant Leakage'!$B$2:$B$42,0)))</f>
        <v/>
      </c>
      <c r="DH979" s="146" t="str">
        <f>IF(W979&lt;&gt;"AR","",INDEX('Device Refrigerant Leakage'!$G$2:$G$42,MATCH(X979,'Device Refrigerant Leakage'!$B$2:$B$42,0)))</f>
        <v/>
      </c>
      <c r="DI979" s="146" t="str">
        <f>IF(W979&lt;&gt;"AR","",J979*INDEX('Device Refrigerant Leakage'!$D$2:$D$42,MATCH(X979,'Device Refrigerant Leakage'!$B$2:$B$42,0))*DF979/2204.62*DE979)</f>
        <v/>
      </c>
      <c r="DJ979" s="146" t="str">
        <f>IF(W979&lt;&gt;"AR","",J979*(INDEX('Device Refrigerant Leakage'!$D$2:$D$42,MATCH(X979,'Device Refrigerant Leakage'!$B$2:$B$42,0))-(INDEX('Device Refrigerant Leakage'!$D$2:$D$42,MATCH(X979,'Device Refrigerant Leakage'!$B$2:$B$42,0)))*DH979*DF979)*DG979/2204.62*DE979)</f>
        <v/>
      </c>
      <c r="DK979" s="146" t="str">
        <f>IF(W979&lt;&gt;"AR","",DI979*(K979-AB979)+'Fuel Sub Calcs-Deemed'!DJ979*((K979-AB979)/INDEX('Device Refrigerant Leakage'!$C$2:$C$42,MATCH('Fuel Sub Calcs-Deemed'!X979,'Device Refrigerant Leakage'!$B$2:$B$42,0))))</f>
        <v/>
      </c>
      <c r="DM979" s="56">
        <v>965</v>
      </c>
      <c r="DN979" s="67" t="e">
        <f t="shared" si="1146"/>
        <v>#N/A</v>
      </c>
      <c r="DO979" s="45" t="e">
        <f t="shared" si="1147"/>
        <v>#N/A</v>
      </c>
      <c r="DP979" s="67" t="e">
        <f t="shared" si="1148"/>
        <v>#N/A</v>
      </c>
      <c r="DQ979" s="45" t="e">
        <f t="shared" si="1149"/>
        <v>#N/A</v>
      </c>
      <c r="DR979" s="69" t="e">
        <f t="shared" si="1150"/>
        <v>#N/A</v>
      </c>
      <c r="DS979" s="34"/>
      <c r="DT979" s="67" t="e">
        <f>((BX979*CJ979)+IF($W979=MAT_AR,(BZ979*CL979),0))*(1+Reference!$E$50+Reference!$E$51)</f>
        <v>#N/A</v>
      </c>
      <c r="DU979" s="67">
        <f>((BY979*CK979)+IF($W979=MAT_AR,(CA979*CM979),0))*(1+Reference!$G$50+Reference!$G$51)</f>
        <v>0</v>
      </c>
      <c r="DV979" s="67" t="e">
        <f t="shared" si="1151"/>
        <v>#VALUE!</v>
      </c>
      <c r="DX979" s="56">
        <v>965</v>
      </c>
      <c r="DY979" s="67">
        <f t="shared" si="1152"/>
        <v>0</v>
      </c>
      <c r="DZ979" s="45" t="e">
        <f>VLOOKUP($R979,Dropdown!$C$3:$D$4,2,FALSE)</f>
        <v>#N/A</v>
      </c>
      <c r="EA979" s="68">
        <f t="shared" si="1153"/>
        <v>0</v>
      </c>
      <c r="EB979" s="68" t="str">
        <f t="shared" si="1154"/>
        <v>N/A</v>
      </c>
      <c r="EC979" s="68">
        <f t="shared" si="1155"/>
        <v>0</v>
      </c>
      <c r="ED979" s="68" t="str">
        <f t="shared" si="1125"/>
        <v>N/A</v>
      </c>
      <c r="EF979" s="56">
        <v>965</v>
      </c>
      <c r="EG979" s="46">
        <f t="shared" si="1156"/>
        <v>0</v>
      </c>
      <c r="EH979" s="68" t="e">
        <f t="shared" si="1157"/>
        <v>#N/A</v>
      </c>
      <c r="EI979" s="68" t="e">
        <f t="shared" si="1158"/>
        <v>#N/A</v>
      </c>
      <c r="EJ979" s="68" t="e">
        <f t="shared" si="1159"/>
        <v>#N/A</v>
      </c>
      <c r="EK979" s="68" t="e">
        <f t="shared" si="1160"/>
        <v>#N/A</v>
      </c>
      <c r="EL979" s="46">
        <f t="shared" si="1161"/>
        <v>0</v>
      </c>
      <c r="EM979" s="46">
        <f t="shared" si="1162"/>
        <v>0</v>
      </c>
    </row>
    <row r="980" spans="1:143">
      <c r="A980" s="89"/>
      <c r="B980" s="89"/>
      <c r="C980" s="89"/>
      <c r="D980" s="89"/>
      <c r="E980" s="89"/>
      <c r="F980" s="89"/>
      <c r="G980" s="34"/>
      <c r="H980" s="56">
        <f t="shared" si="1163"/>
        <v>966</v>
      </c>
      <c r="I980" s="165"/>
      <c r="J980" s="163"/>
      <c r="K980" s="163"/>
      <c r="L980" s="164"/>
      <c r="M980" s="155"/>
      <c r="N980" s="155"/>
      <c r="O980" s="144"/>
      <c r="P980" s="159" t="str">
        <f>IFERROR(IF(O980&lt;&gt;"User Specified",IF(O980&lt;&gt;"", INDEX('Refrigerant GWPs'!$G$2:$G$154,MATCH(O980,'Refrigerant GWPs'!$A$2:$A$154,0)),""),U980),0)</f>
        <v/>
      </c>
      <c r="Q980" s="155"/>
      <c r="R980" s="155"/>
      <c r="S980" s="144"/>
      <c r="T980" s="159" t="str">
        <f>IF(S980&lt;&gt;"User Specified",IF(AND(S980&lt;&gt;"User Specified",S980&lt;&gt;""), INDEX('Refrigerant GWPs'!$G$2:$G$154,MATCH(S980,'Refrigerant GWPs'!$A$2:$A$154,0)),""),V980)</f>
        <v/>
      </c>
      <c r="U980" s="144"/>
      <c r="V980" s="144"/>
      <c r="W980" s="155"/>
      <c r="X980" s="155"/>
      <c r="Y980" s="144"/>
      <c r="Z980" s="159" t="str">
        <f>IF(AND(Y980&lt;&gt;"User Specified",Y980&lt;&gt;""), INDEX('Refrigerant GWPs'!$G$2:$G$154,MATCH(Y980,'Refrigerant GWPs'!$A$2:$A$154,0)),"")</f>
        <v/>
      </c>
      <c r="AA980" s="155"/>
      <c r="AB980" s="156"/>
      <c r="AC980" s="66"/>
      <c r="AD980" s="66"/>
      <c r="AE980" s="66"/>
      <c r="AF980" s="66"/>
      <c r="AG980" s="66"/>
      <c r="AH980" s="66"/>
      <c r="AI980" s="34"/>
      <c r="AJ980" s="88">
        <f t="shared" si="1126"/>
        <v>0</v>
      </c>
      <c r="AK980" s="88">
        <f t="shared" si="1127"/>
        <v>0</v>
      </c>
      <c r="AL980" s="88">
        <v>0</v>
      </c>
      <c r="AM980" s="88">
        <v>0</v>
      </c>
      <c r="AN980" s="81" t="str">
        <f t="shared" si="1097"/>
        <v/>
      </c>
      <c r="AO980" s="88">
        <f t="shared" si="1128"/>
        <v>0</v>
      </c>
      <c r="AP980" s="88">
        <f t="shared" si="1129"/>
        <v>0</v>
      </c>
      <c r="AQ980" s="81" t="str">
        <f t="shared" si="1130"/>
        <v/>
      </c>
      <c r="AS980" s="41" t="b">
        <f t="shared" si="1131"/>
        <v>1</v>
      </c>
      <c r="AT980" s="38">
        <f t="shared" si="1132"/>
        <v>0</v>
      </c>
      <c r="AU980" s="60">
        <f t="shared" si="1133"/>
        <v>0</v>
      </c>
      <c r="AV980" s="41">
        <f t="shared" si="1134"/>
        <v>0</v>
      </c>
      <c r="AW980" s="41" t="b">
        <f t="shared" si="1135"/>
        <v>0</v>
      </c>
      <c r="AX980" t="str">
        <f t="shared" si="1136"/>
        <v>+00</v>
      </c>
      <c r="AY980" t="str">
        <f t="shared" si="1137"/>
        <v>+00</v>
      </c>
      <c r="BA980" s="47" t="b">
        <f t="shared" si="1098"/>
        <v>1</v>
      </c>
      <c r="BB980" s="42" t="b">
        <f t="shared" si="1099"/>
        <v>1</v>
      </c>
      <c r="BC980" s="42" t="b">
        <f t="shared" si="1100"/>
        <v>0</v>
      </c>
      <c r="BD980" s="42" t="b">
        <f t="shared" si="1101"/>
        <v>0</v>
      </c>
      <c r="BE980" s="70">
        <f t="shared" si="1102"/>
        <v>0</v>
      </c>
      <c r="BF980" s="70">
        <f t="shared" si="1103"/>
        <v>0</v>
      </c>
      <c r="BG980" s="34"/>
      <c r="BI980" s="47" t="b">
        <f t="shared" si="1104"/>
        <v>1</v>
      </c>
      <c r="BJ980" s="47" t="b">
        <f t="shared" si="1105"/>
        <v>1</v>
      </c>
      <c r="BK980" s="42" t="b">
        <f t="shared" si="1106"/>
        <v>0</v>
      </c>
      <c r="BL980" s="42" t="b">
        <f t="shared" si="1107"/>
        <v>0</v>
      </c>
      <c r="BM980" s="42">
        <f t="shared" si="1108"/>
        <v>0</v>
      </c>
      <c r="BN980" s="42">
        <f t="shared" si="1109"/>
        <v>0</v>
      </c>
      <c r="BP980" t="e">
        <f t="shared" si="1110"/>
        <v>#N/A</v>
      </c>
      <c r="BQ980" t="e">
        <f t="shared" si="1111"/>
        <v>#N/A</v>
      </c>
      <c r="BR980" t="e">
        <f t="shared" si="1112"/>
        <v>#N/A</v>
      </c>
      <c r="BT980" s="60">
        <f t="shared" si="1113"/>
        <v>0</v>
      </c>
      <c r="BU980" s="60">
        <f t="shared" si="1114"/>
        <v>0</v>
      </c>
      <c r="BV980" s="60">
        <f t="shared" si="1115"/>
        <v>0</v>
      </c>
      <c r="BW980" s="60">
        <f t="shared" si="1116"/>
        <v>0</v>
      </c>
      <c r="BX980" s="60">
        <f t="shared" si="1117"/>
        <v>0</v>
      </c>
      <c r="BY980" s="60">
        <f t="shared" si="1118"/>
        <v>0</v>
      </c>
      <c r="BZ980" s="60">
        <f t="shared" si="1119"/>
        <v>0</v>
      </c>
      <c r="CA980" s="60">
        <f t="shared" si="1120"/>
        <v>0</v>
      </c>
      <c r="CB980" s="60" t="e">
        <f t="shared" si="1138"/>
        <v>#N/A</v>
      </c>
      <c r="CC980" s="60">
        <f t="shared" si="1139"/>
        <v>100000</v>
      </c>
      <c r="CD980" s="60" t="e">
        <f t="shared" si="1140"/>
        <v>#N/A</v>
      </c>
      <c r="CE980" s="60">
        <f t="shared" si="1141"/>
        <v>100000</v>
      </c>
      <c r="CF980" s="83" t="e">
        <f t="shared" si="1121"/>
        <v>#N/A</v>
      </c>
      <c r="CG980" s="83">
        <f t="shared" si="1122"/>
        <v>0</v>
      </c>
      <c r="CH980" s="83" t="e">
        <f t="shared" si="1123"/>
        <v>#N/A</v>
      </c>
      <c r="CI980" s="83">
        <f t="shared" si="1124"/>
        <v>0</v>
      </c>
      <c r="CJ980" s="86" t="e">
        <f t="shared" si="1142"/>
        <v>#N/A</v>
      </c>
      <c r="CK980" s="82">
        <f t="shared" si="1143"/>
        <v>5.3070370403969858E-3</v>
      </c>
      <c r="CL980" s="82" t="e">
        <f t="shared" si="1144"/>
        <v>#N/A</v>
      </c>
      <c r="CM980" s="82">
        <f t="shared" si="1145"/>
        <v>5.3070370403969858E-3</v>
      </c>
      <c r="CO980" s="149" t="str">
        <f>IF($I980&lt;&gt;"",IF(O980="User Specified",U980,INDEX('Refrigerant GWPs'!$G$2:$G$156,MATCH(O980,'Refrigerant GWPs'!$A$2:$A$156,0))),"")</f>
        <v/>
      </c>
      <c r="CP980" s="138" t="str">
        <f>IF($I980&lt;&gt;"",INDEX('Device Refrigerant Leakage'!$E$2:$E$42,MATCH($M980,'Device Refrigerant Leakage'!$B$2:$B$42,0)),"")</f>
        <v/>
      </c>
      <c r="CQ980" s="138" t="str">
        <f>IF($I980&lt;&gt;"",INDEX('Device Refrigerant Leakage'!$F$2:$F$42,MATCH($M980,'Device Refrigerant Leakage'!$B$2:$B$42,0)),"")</f>
        <v/>
      </c>
      <c r="CR980" s="145" t="str">
        <f>IF($I980&lt;&gt;"",INDEX('Device Refrigerant Leakage'!$G$2:$G$42,MATCH($M980,'Device Refrigerant Leakage'!$B$2:$B$42,0)),"")</f>
        <v/>
      </c>
      <c r="CS980" s="145" t="str">
        <f>IF($I980&lt;&gt;"",INDEX('Device Refrigerant Leakage'!$D$2:$D$42,MATCH($M980,'Device Refrigerant Leakage'!$B$2:$B$42,0))*CP980/2204.62*CO980,"")</f>
        <v/>
      </c>
      <c r="CT980" s="145" t="str">
        <f>IF($I980&lt;&gt;"",J980*(INDEX('Device Refrigerant Leakage'!$D$2:$D$42,MATCH($M980,'Device Refrigerant Leakage'!$B$2:$B$42,0))-(INDEX('Device Refrigerant Leakage'!$D$2:$D$42,MATCH($M980,'Device Refrigerant Leakage'!$B$2:$B$42,0)))*CR980*CP980)*CQ980/2204.62*CO980,"")</f>
        <v/>
      </c>
      <c r="CU980" s="135" t="str">
        <f>IF($I980&lt;&gt;"",J980*IF(W980&lt;&gt;"AR",(CS980*K980)+CT980,(CS980*AB980)+CT980*(AB980/INDEX('Device Refrigerant Leakage'!$C$2:$C$42,MATCH($M980,'Device Refrigerant Leakage'!$B$2:$B$42,0)))),"")</f>
        <v/>
      </c>
      <c r="CW980" s="135" t="str">
        <f>IF($I980&lt;&gt;"",IF(S980="User Specified",V980,INDEX('Refrigerant GWPs'!$G$2:$G$156,MATCH(S980,'Refrigerant GWPs'!$A$2:$A$157,0))),"")</f>
        <v/>
      </c>
      <c r="CX980" s="138" t="str">
        <f>IF($I980&lt;&gt;"",INDEX('Device Refrigerant Leakage'!$E$2:$E$42,MATCH($Q980,'Device Refrigerant Leakage'!$B$2:$B$42,0)),"")</f>
        <v/>
      </c>
      <c r="CY980" s="138" t="str">
        <f>IF($I980&lt;&gt;"",INDEX('Device Refrigerant Leakage'!$F$2:$F$42,MATCH($Q980,'Device Refrigerant Leakage'!$B$2:$B$42,0)),"")</f>
        <v/>
      </c>
      <c r="CZ980" s="145" t="str">
        <f>IF($I980&lt;&gt;"",INDEX('Device Refrigerant Leakage'!$G$2:$G$42,MATCH($Q980,'Device Refrigerant Leakage'!$B$2:$B$42,0)),"")</f>
        <v/>
      </c>
      <c r="DA980" s="145" t="str">
        <f>IF($I980&lt;&gt;"",J980*INDEX('Device Refrigerant Leakage'!$D$2:$D$42,MATCH($Q980,'Device Refrigerant Leakage'!$B$2:$B$42,0))*CX980/2204.62*CW980,"")</f>
        <v/>
      </c>
      <c r="DB980" s="145" t="str">
        <f>IF($I980&lt;&gt;"",J980*(INDEX('Device Refrigerant Leakage'!$D$2:$D$42,MATCH($Q980,'Device Refrigerant Leakage'!$B$2:$B$42,0))-(INDEX('Device Refrigerant Leakage'!$D$2:$D$42,MATCH($Q980,'Device Refrigerant Leakage'!$B$2:$B$42,0)))*CZ980*CX980)*CY980/2204.62*CW980,"")</f>
        <v/>
      </c>
      <c r="DC980" s="135" t="str">
        <f t="shared" si="1164"/>
        <v/>
      </c>
      <c r="DE980" s="146" t="str">
        <f>IF(W980&lt;&gt;"AR","",IF(Y980="User Specified", AA980, INDEX('Refrigerant GWPs'!$G$2:$G$154,MATCH(Y980,'Refrigerant GWPs'!$A$2:$A$154,0))))</f>
        <v/>
      </c>
      <c r="DF980" s="146" t="str">
        <f>IF(W980&lt;&gt;"AR","",INDEX('Device Refrigerant Leakage'!$E$2:$E$42,MATCH(X980,'Device Refrigerant Leakage'!$B$2:$B$42,0)))</f>
        <v/>
      </c>
      <c r="DG980" s="146" t="str">
        <f>IF(W980&lt;&gt;"AR","",INDEX('Device Refrigerant Leakage'!$F$2:$F$42,MATCH(X980,'Device Refrigerant Leakage'!$B$2:$B$42,0)))</f>
        <v/>
      </c>
      <c r="DH980" s="146" t="str">
        <f>IF(W980&lt;&gt;"AR","",INDEX('Device Refrigerant Leakage'!$G$2:$G$42,MATCH(X980,'Device Refrigerant Leakage'!$B$2:$B$42,0)))</f>
        <v/>
      </c>
      <c r="DI980" s="146" t="str">
        <f>IF(W980&lt;&gt;"AR","",J980*INDEX('Device Refrigerant Leakage'!$D$2:$D$42,MATCH(X980,'Device Refrigerant Leakage'!$B$2:$B$42,0))*DF980/2204.62*DE980)</f>
        <v/>
      </c>
      <c r="DJ980" s="146" t="str">
        <f>IF(W980&lt;&gt;"AR","",J980*(INDEX('Device Refrigerant Leakage'!$D$2:$D$42,MATCH(X980,'Device Refrigerant Leakage'!$B$2:$B$42,0))-(INDEX('Device Refrigerant Leakage'!$D$2:$D$42,MATCH(X980,'Device Refrigerant Leakage'!$B$2:$B$42,0)))*DH980*DF980)*DG980/2204.62*DE980)</f>
        <v/>
      </c>
      <c r="DK980" s="146" t="str">
        <f>IF(W980&lt;&gt;"AR","",DI980*(K980-AB980)+'Fuel Sub Calcs-Deemed'!DJ980*((K980-AB980)/INDEX('Device Refrigerant Leakage'!$C$2:$C$42,MATCH('Fuel Sub Calcs-Deemed'!X980,'Device Refrigerant Leakage'!$B$2:$B$42,0))))</f>
        <v/>
      </c>
      <c r="DM980" s="56">
        <v>966</v>
      </c>
      <c r="DN980" s="67" t="e">
        <f t="shared" si="1146"/>
        <v>#N/A</v>
      </c>
      <c r="DO980" s="45" t="e">
        <f t="shared" si="1147"/>
        <v>#N/A</v>
      </c>
      <c r="DP980" s="67" t="e">
        <f t="shared" si="1148"/>
        <v>#N/A</v>
      </c>
      <c r="DQ980" s="45" t="e">
        <f t="shared" si="1149"/>
        <v>#N/A</v>
      </c>
      <c r="DR980" s="69" t="e">
        <f t="shared" si="1150"/>
        <v>#N/A</v>
      </c>
      <c r="DS980" s="34"/>
      <c r="DT980" s="67" t="e">
        <f>((BX980*CJ980)+IF($W980=MAT_AR,(BZ980*CL980),0))*(1+Reference!$E$50+Reference!$E$51)</f>
        <v>#N/A</v>
      </c>
      <c r="DU980" s="67">
        <f>((BY980*CK980)+IF($W980=MAT_AR,(CA980*CM980),0))*(1+Reference!$G$50+Reference!$G$51)</f>
        <v>0</v>
      </c>
      <c r="DV980" s="67" t="e">
        <f t="shared" si="1151"/>
        <v>#VALUE!</v>
      </c>
      <c r="DX980" s="56">
        <v>966</v>
      </c>
      <c r="DY980" s="67">
        <f t="shared" si="1152"/>
        <v>0</v>
      </c>
      <c r="DZ980" s="45" t="e">
        <f>VLOOKUP($R980,Dropdown!$C$3:$D$4,2,FALSE)</f>
        <v>#N/A</v>
      </c>
      <c r="EA980" s="68">
        <f t="shared" si="1153"/>
        <v>0</v>
      </c>
      <c r="EB980" s="68" t="str">
        <f t="shared" si="1154"/>
        <v>N/A</v>
      </c>
      <c r="EC980" s="68">
        <f t="shared" si="1155"/>
        <v>0</v>
      </c>
      <c r="ED980" s="68" t="str">
        <f t="shared" si="1125"/>
        <v>N/A</v>
      </c>
      <c r="EF980" s="56">
        <v>966</v>
      </c>
      <c r="EG980" s="46">
        <f t="shared" si="1156"/>
        <v>0</v>
      </c>
      <c r="EH980" s="68" t="e">
        <f t="shared" si="1157"/>
        <v>#N/A</v>
      </c>
      <c r="EI980" s="68" t="e">
        <f t="shared" si="1158"/>
        <v>#N/A</v>
      </c>
      <c r="EJ980" s="68" t="e">
        <f t="shared" si="1159"/>
        <v>#N/A</v>
      </c>
      <c r="EK980" s="68" t="e">
        <f t="shared" si="1160"/>
        <v>#N/A</v>
      </c>
      <c r="EL980" s="46">
        <f t="shared" si="1161"/>
        <v>0</v>
      </c>
      <c r="EM980" s="46">
        <f t="shared" si="1162"/>
        <v>0</v>
      </c>
    </row>
    <row r="981" spans="1:143">
      <c r="A981" s="89"/>
      <c r="B981" s="89"/>
      <c r="C981" s="89"/>
      <c r="D981" s="89"/>
      <c r="E981" s="89"/>
      <c r="F981" s="89"/>
      <c r="G981" s="34"/>
      <c r="H981" s="56">
        <f t="shared" si="1163"/>
        <v>967</v>
      </c>
      <c r="I981" s="165"/>
      <c r="J981" s="163"/>
      <c r="K981" s="163"/>
      <c r="L981" s="164"/>
      <c r="M981" s="155"/>
      <c r="N981" s="155"/>
      <c r="O981" s="144"/>
      <c r="P981" s="159" t="str">
        <f>IFERROR(IF(O981&lt;&gt;"User Specified",IF(O981&lt;&gt;"", INDEX('Refrigerant GWPs'!$G$2:$G$154,MATCH(O981,'Refrigerant GWPs'!$A$2:$A$154,0)),""),U981),0)</f>
        <v/>
      </c>
      <c r="Q981" s="155"/>
      <c r="R981" s="155"/>
      <c r="S981" s="144"/>
      <c r="T981" s="159" t="str">
        <f>IF(S981&lt;&gt;"User Specified",IF(AND(S981&lt;&gt;"User Specified",S981&lt;&gt;""), INDEX('Refrigerant GWPs'!$G$2:$G$154,MATCH(S981,'Refrigerant GWPs'!$A$2:$A$154,0)),""),V981)</f>
        <v/>
      </c>
      <c r="U981" s="144"/>
      <c r="V981" s="144"/>
      <c r="W981" s="155"/>
      <c r="X981" s="155"/>
      <c r="Y981" s="144"/>
      <c r="Z981" s="159" t="str">
        <f>IF(AND(Y981&lt;&gt;"User Specified",Y981&lt;&gt;""), INDEX('Refrigerant GWPs'!$G$2:$G$154,MATCH(Y981,'Refrigerant GWPs'!$A$2:$A$154,0)),"")</f>
        <v/>
      </c>
      <c r="AA981" s="155"/>
      <c r="AB981" s="156"/>
      <c r="AC981" s="66"/>
      <c r="AD981" s="66"/>
      <c r="AE981" s="66"/>
      <c r="AF981" s="66"/>
      <c r="AG981" s="66"/>
      <c r="AH981" s="66"/>
      <c r="AI981" s="34"/>
      <c r="AJ981" s="88">
        <f t="shared" si="1126"/>
        <v>0</v>
      </c>
      <c r="AK981" s="88">
        <f t="shared" si="1127"/>
        <v>0</v>
      </c>
      <c r="AL981" s="88">
        <v>0</v>
      </c>
      <c r="AM981" s="88">
        <v>0</v>
      </c>
      <c r="AN981" s="81" t="str">
        <f t="shared" si="1097"/>
        <v/>
      </c>
      <c r="AO981" s="88">
        <f t="shared" si="1128"/>
        <v>0</v>
      </c>
      <c r="AP981" s="88">
        <f t="shared" si="1129"/>
        <v>0</v>
      </c>
      <c r="AQ981" s="81" t="str">
        <f t="shared" si="1130"/>
        <v/>
      </c>
      <c r="AS981" s="41" t="b">
        <f t="shared" si="1131"/>
        <v>1</v>
      </c>
      <c r="AT981" s="38">
        <f t="shared" si="1132"/>
        <v>0</v>
      </c>
      <c r="AU981" s="60">
        <f t="shared" si="1133"/>
        <v>0</v>
      </c>
      <c r="AV981" s="41">
        <f t="shared" si="1134"/>
        <v>0</v>
      </c>
      <c r="AW981" s="41" t="b">
        <f t="shared" si="1135"/>
        <v>0</v>
      </c>
      <c r="AX981" t="str">
        <f t="shared" si="1136"/>
        <v>+00</v>
      </c>
      <c r="AY981" t="str">
        <f t="shared" si="1137"/>
        <v>+00</v>
      </c>
      <c r="BA981" s="47" t="b">
        <f t="shared" si="1098"/>
        <v>1</v>
      </c>
      <c r="BB981" s="42" t="b">
        <f t="shared" si="1099"/>
        <v>1</v>
      </c>
      <c r="BC981" s="42" t="b">
        <f t="shared" si="1100"/>
        <v>0</v>
      </c>
      <c r="BD981" s="42" t="b">
        <f t="shared" si="1101"/>
        <v>0</v>
      </c>
      <c r="BE981" s="70">
        <f t="shared" si="1102"/>
        <v>0</v>
      </c>
      <c r="BF981" s="70">
        <f t="shared" si="1103"/>
        <v>0</v>
      </c>
      <c r="BG981" s="34"/>
      <c r="BI981" s="47" t="b">
        <f t="shared" si="1104"/>
        <v>1</v>
      </c>
      <c r="BJ981" s="47" t="b">
        <f t="shared" si="1105"/>
        <v>1</v>
      </c>
      <c r="BK981" s="42" t="b">
        <f t="shared" si="1106"/>
        <v>0</v>
      </c>
      <c r="BL981" s="42" t="b">
        <f t="shared" si="1107"/>
        <v>0</v>
      </c>
      <c r="BM981" s="42">
        <f t="shared" si="1108"/>
        <v>0</v>
      </c>
      <c r="BN981" s="42">
        <f t="shared" si="1109"/>
        <v>0</v>
      </c>
      <c r="BP981" t="e">
        <f t="shared" si="1110"/>
        <v>#N/A</v>
      </c>
      <c r="BQ981" t="e">
        <f t="shared" si="1111"/>
        <v>#N/A</v>
      </c>
      <c r="BR981" t="e">
        <f t="shared" si="1112"/>
        <v>#N/A</v>
      </c>
      <c r="BT981" s="60">
        <f t="shared" si="1113"/>
        <v>0</v>
      </c>
      <c r="BU981" s="60">
        <f t="shared" si="1114"/>
        <v>0</v>
      </c>
      <c r="BV981" s="60">
        <f t="shared" si="1115"/>
        <v>0</v>
      </c>
      <c r="BW981" s="60">
        <f t="shared" si="1116"/>
        <v>0</v>
      </c>
      <c r="BX981" s="60">
        <f t="shared" si="1117"/>
        <v>0</v>
      </c>
      <c r="BY981" s="60">
        <f t="shared" si="1118"/>
        <v>0</v>
      </c>
      <c r="BZ981" s="60">
        <f t="shared" si="1119"/>
        <v>0</v>
      </c>
      <c r="CA981" s="60">
        <f t="shared" si="1120"/>
        <v>0</v>
      </c>
      <c r="CB981" s="60" t="e">
        <f t="shared" si="1138"/>
        <v>#N/A</v>
      </c>
      <c r="CC981" s="60">
        <f t="shared" si="1139"/>
        <v>100000</v>
      </c>
      <c r="CD981" s="60" t="e">
        <f t="shared" si="1140"/>
        <v>#N/A</v>
      </c>
      <c r="CE981" s="60">
        <f t="shared" si="1141"/>
        <v>100000</v>
      </c>
      <c r="CF981" s="83" t="e">
        <f t="shared" si="1121"/>
        <v>#N/A</v>
      </c>
      <c r="CG981" s="83">
        <f t="shared" si="1122"/>
        <v>0</v>
      </c>
      <c r="CH981" s="83" t="e">
        <f t="shared" si="1123"/>
        <v>#N/A</v>
      </c>
      <c r="CI981" s="83">
        <f t="shared" si="1124"/>
        <v>0</v>
      </c>
      <c r="CJ981" s="86" t="e">
        <f t="shared" si="1142"/>
        <v>#N/A</v>
      </c>
      <c r="CK981" s="82">
        <f t="shared" si="1143"/>
        <v>5.3070370403969858E-3</v>
      </c>
      <c r="CL981" s="82" t="e">
        <f t="shared" si="1144"/>
        <v>#N/A</v>
      </c>
      <c r="CM981" s="82">
        <f t="shared" si="1145"/>
        <v>5.3070370403969858E-3</v>
      </c>
      <c r="CO981" s="149" t="str">
        <f>IF($I981&lt;&gt;"",IF(O981="User Specified",U981,INDEX('Refrigerant GWPs'!$G$2:$G$156,MATCH(O981,'Refrigerant GWPs'!$A$2:$A$156,0))),"")</f>
        <v/>
      </c>
      <c r="CP981" s="138" t="str">
        <f>IF($I981&lt;&gt;"",INDEX('Device Refrigerant Leakage'!$E$2:$E$42,MATCH($M981,'Device Refrigerant Leakage'!$B$2:$B$42,0)),"")</f>
        <v/>
      </c>
      <c r="CQ981" s="138" t="str">
        <f>IF($I981&lt;&gt;"",INDEX('Device Refrigerant Leakage'!$F$2:$F$42,MATCH($M981,'Device Refrigerant Leakage'!$B$2:$B$42,0)),"")</f>
        <v/>
      </c>
      <c r="CR981" s="145" t="str">
        <f>IF($I981&lt;&gt;"",INDEX('Device Refrigerant Leakage'!$G$2:$G$42,MATCH($M981,'Device Refrigerant Leakage'!$B$2:$B$42,0)),"")</f>
        <v/>
      </c>
      <c r="CS981" s="145" t="str">
        <f>IF($I981&lt;&gt;"",INDEX('Device Refrigerant Leakage'!$D$2:$D$42,MATCH($M981,'Device Refrigerant Leakage'!$B$2:$B$42,0))*CP981/2204.62*CO981,"")</f>
        <v/>
      </c>
      <c r="CT981" s="145" t="str">
        <f>IF($I981&lt;&gt;"",J981*(INDEX('Device Refrigerant Leakage'!$D$2:$D$42,MATCH($M981,'Device Refrigerant Leakage'!$B$2:$B$42,0))-(INDEX('Device Refrigerant Leakage'!$D$2:$D$42,MATCH($M981,'Device Refrigerant Leakage'!$B$2:$B$42,0)))*CR981*CP981)*CQ981/2204.62*CO981,"")</f>
        <v/>
      </c>
      <c r="CU981" s="135" t="str">
        <f>IF($I981&lt;&gt;"",J981*IF(W981&lt;&gt;"AR",(CS981*K981)+CT981,(CS981*AB981)+CT981*(AB981/INDEX('Device Refrigerant Leakage'!$C$2:$C$42,MATCH($M981,'Device Refrigerant Leakage'!$B$2:$B$42,0)))),"")</f>
        <v/>
      </c>
      <c r="CW981" s="135" t="str">
        <f>IF($I981&lt;&gt;"",IF(S981="User Specified",V981,INDEX('Refrigerant GWPs'!$G$2:$G$156,MATCH(S981,'Refrigerant GWPs'!$A$2:$A$157,0))),"")</f>
        <v/>
      </c>
      <c r="CX981" s="138" t="str">
        <f>IF($I981&lt;&gt;"",INDEX('Device Refrigerant Leakage'!$E$2:$E$42,MATCH($Q981,'Device Refrigerant Leakage'!$B$2:$B$42,0)),"")</f>
        <v/>
      </c>
      <c r="CY981" s="138" t="str">
        <f>IF($I981&lt;&gt;"",INDEX('Device Refrigerant Leakage'!$F$2:$F$42,MATCH($Q981,'Device Refrigerant Leakage'!$B$2:$B$42,0)),"")</f>
        <v/>
      </c>
      <c r="CZ981" s="145" t="str">
        <f>IF($I981&lt;&gt;"",INDEX('Device Refrigerant Leakage'!$G$2:$G$42,MATCH($Q981,'Device Refrigerant Leakage'!$B$2:$B$42,0)),"")</f>
        <v/>
      </c>
      <c r="DA981" s="145" t="str">
        <f>IF($I981&lt;&gt;"",J981*INDEX('Device Refrigerant Leakage'!$D$2:$D$42,MATCH($Q981,'Device Refrigerant Leakage'!$B$2:$B$42,0))*CX981/2204.62*CW981,"")</f>
        <v/>
      </c>
      <c r="DB981" s="145" t="str">
        <f>IF($I981&lt;&gt;"",J981*(INDEX('Device Refrigerant Leakage'!$D$2:$D$42,MATCH($Q981,'Device Refrigerant Leakage'!$B$2:$B$42,0))-(INDEX('Device Refrigerant Leakage'!$D$2:$D$42,MATCH($Q981,'Device Refrigerant Leakage'!$B$2:$B$42,0)))*CZ981*CX981)*CY981/2204.62*CW981,"")</f>
        <v/>
      </c>
      <c r="DC981" s="135" t="str">
        <f t="shared" si="1164"/>
        <v/>
      </c>
      <c r="DE981" s="146" t="str">
        <f>IF(W981&lt;&gt;"AR","",IF(Y981="User Specified", AA981, INDEX('Refrigerant GWPs'!$G$2:$G$154,MATCH(Y981,'Refrigerant GWPs'!$A$2:$A$154,0))))</f>
        <v/>
      </c>
      <c r="DF981" s="146" t="str">
        <f>IF(W981&lt;&gt;"AR","",INDEX('Device Refrigerant Leakage'!$E$2:$E$42,MATCH(X981,'Device Refrigerant Leakage'!$B$2:$B$42,0)))</f>
        <v/>
      </c>
      <c r="DG981" s="146" t="str">
        <f>IF(W981&lt;&gt;"AR","",INDEX('Device Refrigerant Leakage'!$F$2:$F$42,MATCH(X981,'Device Refrigerant Leakage'!$B$2:$B$42,0)))</f>
        <v/>
      </c>
      <c r="DH981" s="146" t="str">
        <f>IF(W981&lt;&gt;"AR","",INDEX('Device Refrigerant Leakage'!$G$2:$G$42,MATCH(X981,'Device Refrigerant Leakage'!$B$2:$B$42,0)))</f>
        <v/>
      </c>
      <c r="DI981" s="146" t="str">
        <f>IF(W981&lt;&gt;"AR","",J981*INDEX('Device Refrigerant Leakage'!$D$2:$D$42,MATCH(X981,'Device Refrigerant Leakage'!$B$2:$B$42,0))*DF981/2204.62*DE981)</f>
        <v/>
      </c>
      <c r="DJ981" s="146" t="str">
        <f>IF(W981&lt;&gt;"AR","",J981*(INDEX('Device Refrigerant Leakage'!$D$2:$D$42,MATCH(X981,'Device Refrigerant Leakage'!$B$2:$B$42,0))-(INDEX('Device Refrigerant Leakage'!$D$2:$D$42,MATCH(X981,'Device Refrigerant Leakage'!$B$2:$B$42,0)))*DH981*DF981)*DG981/2204.62*DE981)</f>
        <v/>
      </c>
      <c r="DK981" s="146" t="str">
        <f>IF(W981&lt;&gt;"AR","",DI981*(K981-AB981)+'Fuel Sub Calcs-Deemed'!DJ981*((K981-AB981)/INDEX('Device Refrigerant Leakage'!$C$2:$C$42,MATCH('Fuel Sub Calcs-Deemed'!X981,'Device Refrigerant Leakage'!$B$2:$B$42,0))))</f>
        <v/>
      </c>
      <c r="DM981" s="56">
        <v>967</v>
      </c>
      <c r="DN981" s="67" t="e">
        <f t="shared" si="1146"/>
        <v>#N/A</v>
      </c>
      <c r="DO981" s="45" t="e">
        <f t="shared" si="1147"/>
        <v>#N/A</v>
      </c>
      <c r="DP981" s="67" t="e">
        <f t="shared" si="1148"/>
        <v>#N/A</v>
      </c>
      <c r="DQ981" s="45" t="e">
        <f t="shared" si="1149"/>
        <v>#N/A</v>
      </c>
      <c r="DR981" s="69" t="e">
        <f t="shared" si="1150"/>
        <v>#N/A</v>
      </c>
      <c r="DS981" s="34"/>
      <c r="DT981" s="67" t="e">
        <f>((BX981*CJ981)+IF($W981=MAT_AR,(BZ981*CL981),0))*(1+Reference!$E$50+Reference!$E$51)</f>
        <v>#N/A</v>
      </c>
      <c r="DU981" s="67">
        <f>((BY981*CK981)+IF($W981=MAT_AR,(CA981*CM981),0))*(1+Reference!$G$50+Reference!$G$51)</f>
        <v>0</v>
      </c>
      <c r="DV981" s="67" t="e">
        <f t="shared" si="1151"/>
        <v>#VALUE!</v>
      </c>
      <c r="DX981" s="56">
        <v>967</v>
      </c>
      <c r="DY981" s="67">
        <f t="shared" si="1152"/>
        <v>0</v>
      </c>
      <c r="DZ981" s="45" t="e">
        <f>VLOOKUP($R981,Dropdown!$C$3:$D$4,2,FALSE)</f>
        <v>#N/A</v>
      </c>
      <c r="EA981" s="68">
        <f t="shared" si="1153"/>
        <v>0</v>
      </c>
      <c r="EB981" s="68" t="str">
        <f t="shared" si="1154"/>
        <v>N/A</v>
      </c>
      <c r="EC981" s="68">
        <f t="shared" si="1155"/>
        <v>0</v>
      </c>
      <c r="ED981" s="68" t="str">
        <f t="shared" si="1125"/>
        <v>N/A</v>
      </c>
      <c r="EF981" s="56">
        <v>967</v>
      </c>
      <c r="EG981" s="46">
        <f t="shared" si="1156"/>
        <v>0</v>
      </c>
      <c r="EH981" s="68" t="e">
        <f t="shared" si="1157"/>
        <v>#N/A</v>
      </c>
      <c r="EI981" s="68" t="e">
        <f t="shared" si="1158"/>
        <v>#N/A</v>
      </c>
      <c r="EJ981" s="68" t="e">
        <f t="shared" si="1159"/>
        <v>#N/A</v>
      </c>
      <c r="EK981" s="68" t="e">
        <f t="shared" si="1160"/>
        <v>#N/A</v>
      </c>
      <c r="EL981" s="46">
        <f t="shared" si="1161"/>
        <v>0</v>
      </c>
      <c r="EM981" s="46">
        <f t="shared" si="1162"/>
        <v>0</v>
      </c>
    </row>
    <row r="982" spans="1:143">
      <c r="A982" s="89"/>
      <c r="B982" s="89"/>
      <c r="C982" s="89"/>
      <c r="D982" s="89"/>
      <c r="E982" s="89"/>
      <c r="F982" s="89"/>
      <c r="G982" s="34"/>
      <c r="H982" s="56">
        <f t="shared" si="1163"/>
        <v>968</v>
      </c>
      <c r="I982" s="165"/>
      <c r="J982" s="163"/>
      <c r="K982" s="163"/>
      <c r="L982" s="164"/>
      <c r="M982" s="155"/>
      <c r="N982" s="155"/>
      <c r="O982" s="144"/>
      <c r="P982" s="159" t="str">
        <f>IFERROR(IF(O982&lt;&gt;"User Specified",IF(O982&lt;&gt;"", INDEX('Refrigerant GWPs'!$G$2:$G$154,MATCH(O982,'Refrigerant GWPs'!$A$2:$A$154,0)),""),U982),0)</f>
        <v/>
      </c>
      <c r="Q982" s="155"/>
      <c r="R982" s="155"/>
      <c r="S982" s="144"/>
      <c r="T982" s="159" t="str">
        <f>IF(S982&lt;&gt;"User Specified",IF(AND(S982&lt;&gt;"User Specified",S982&lt;&gt;""), INDEX('Refrigerant GWPs'!$G$2:$G$154,MATCH(S982,'Refrigerant GWPs'!$A$2:$A$154,0)),""),V982)</f>
        <v/>
      </c>
      <c r="U982" s="144"/>
      <c r="V982" s="144"/>
      <c r="W982" s="155"/>
      <c r="X982" s="155"/>
      <c r="Y982" s="144"/>
      <c r="Z982" s="159" t="str">
        <f>IF(AND(Y982&lt;&gt;"User Specified",Y982&lt;&gt;""), INDEX('Refrigerant GWPs'!$G$2:$G$154,MATCH(Y982,'Refrigerant GWPs'!$A$2:$A$154,0)),"")</f>
        <v/>
      </c>
      <c r="AA982" s="155"/>
      <c r="AB982" s="156"/>
      <c r="AC982" s="66"/>
      <c r="AD982" s="66"/>
      <c r="AE982" s="66"/>
      <c r="AF982" s="66"/>
      <c r="AG982" s="66"/>
      <c r="AH982" s="66"/>
      <c r="AI982" s="34"/>
      <c r="AJ982" s="88">
        <f t="shared" si="1126"/>
        <v>0</v>
      </c>
      <c r="AK982" s="88">
        <f t="shared" si="1127"/>
        <v>0</v>
      </c>
      <c r="AL982" s="88">
        <v>0</v>
      </c>
      <c r="AM982" s="88">
        <v>0</v>
      </c>
      <c r="AN982" s="81" t="str">
        <f t="shared" si="1097"/>
        <v/>
      </c>
      <c r="AO982" s="88">
        <f t="shared" si="1128"/>
        <v>0</v>
      </c>
      <c r="AP982" s="88">
        <f t="shared" si="1129"/>
        <v>0</v>
      </c>
      <c r="AQ982" s="81" t="str">
        <f t="shared" si="1130"/>
        <v/>
      </c>
      <c r="AS982" s="41" t="b">
        <f t="shared" si="1131"/>
        <v>1</v>
      </c>
      <c r="AT982" s="38">
        <f t="shared" si="1132"/>
        <v>0</v>
      </c>
      <c r="AU982" s="60">
        <f t="shared" si="1133"/>
        <v>0</v>
      </c>
      <c r="AV982" s="41">
        <f t="shared" si="1134"/>
        <v>0</v>
      </c>
      <c r="AW982" s="41" t="b">
        <f t="shared" si="1135"/>
        <v>0</v>
      </c>
      <c r="AX982" t="str">
        <f t="shared" si="1136"/>
        <v>+00</v>
      </c>
      <c r="AY982" t="str">
        <f t="shared" si="1137"/>
        <v>+00</v>
      </c>
      <c r="BA982" s="47" t="b">
        <f t="shared" si="1098"/>
        <v>1</v>
      </c>
      <c r="BB982" s="42" t="b">
        <f t="shared" si="1099"/>
        <v>1</v>
      </c>
      <c r="BC982" s="42" t="b">
        <f t="shared" si="1100"/>
        <v>0</v>
      </c>
      <c r="BD982" s="42" t="b">
        <f t="shared" si="1101"/>
        <v>0</v>
      </c>
      <c r="BE982" s="70">
        <f t="shared" si="1102"/>
        <v>0</v>
      </c>
      <c r="BF982" s="70">
        <f t="shared" si="1103"/>
        <v>0</v>
      </c>
      <c r="BG982" s="34"/>
      <c r="BI982" s="47" t="b">
        <f t="shared" si="1104"/>
        <v>1</v>
      </c>
      <c r="BJ982" s="47" t="b">
        <f t="shared" si="1105"/>
        <v>1</v>
      </c>
      <c r="BK982" s="42" t="b">
        <f t="shared" si="1106"/>
        <v>0</v>
      </c>
      <c r="BL982" s="42" t="b">
        <f t="shared" si="1107"/>
        <v>0</v>
      </c>
      <c r="BM982" s="42">
        <f t="shared" si="1108"/>
        <v>0</v>
      </c>
      <c r="BN982" s="42">
        <f t="shared" si="1109"/>
        <v>0</v>
      </c>
      <c r="BP982" t="e">
        <f t="shared" si="1110"/>
        <v>#N/A</v>
      </c>
      <c r="BQ982" t="e">
        <f t="shared" si="1111"/>
        <v>#N/A</v>
      </c>
      <c r="BR982" t="e">
        <f t="shared" si="1112"/>
        <v>#N/A</v>
      </c>
      <c r="BT982" s="60">
        <f t="shared" si="1113"/>
        <v>0</v>
      </c>
      <c r="BU982" s="60">
        <f t="shared" si="1114"/>
        <v>0</v>
      </c>
      <c r="BV982" s="60">
        <f t="shared" si="1115"/>
        <v>0</v>
      </c>
      <c r="BW982" s="60">
        <f t="shared" si="1116"/>
        <v>0</v>
      </c>
      <c r="BX982" s="60">
        <f t="shared" si="1117"/>
        <v>0</v>
      </c>
      <c r="BY982" s="60">
        <f t="shared" si="1118"/>
        <v>0</v>
      </c>
      <c r="BZ982" s="60">
        <f t="shared" si="1119"/>
        <v>0</v>
      </c>
      <c r="CA982" s="60">
        <f t="shared" si="1120"/>
        <v>0</v>
      </c>
      <c r="CB982" s="60" t="e">
        <f t="shared" si="1138"/>
        <v>#N/A</v>
      </c>
      <c r="CC982" s="60">
        <f t="shared" si="1139"/>
        <v>100000</v>
      </c>
      <c r="CD982" s="60" t="e">
        <f t="shared" si="1140"/>
        <v>#N/A</v>
      </c>
      <c r="CE982" s="60">
        <f t="shared" si="1141"/>
        <v>100000</v>
      </c>
      <c r="CF982" s="83" t="e">
        <f t="shared" si="1121"/>
        <v>#N/A</v>
      </c>
      <c r="CG982" s="83">
        <f t="shared" si="1122"/>
        <v>0</v>
      </c>
      <c r="CH982" s="83" t="e">
        <f t="shared" si="1123"/>
        <v>#N/A</v>
      </c>
      <c r="CI982" s="83">
        <f t="shared" si="1124"/>
        <v>0</v>
      </c>
      <c r="CJ982" s="86" t="e">
        <f t="shared" si="1142"/>
        <v>#N/A</v>
      </c>
      <c r="CK982" s="82">
        <f t="shared" si="1143"/>
        <v>5.3070370403969858E-3</v>
      </c>
      <c r="CL982" s="82" t="e">
        <f t="shared" si="1144"/>
        <v>#N/A</v>
      </c>
      <c r="CM982" s="82">
        <f t="shared" si="1145"/>
        <v>5.3070370403969858E-3</v>
      </c>
      <c r="CO982" s="149" t="str">
        <f>IF($I982&lt;&gt;"",IF(O982="User Specified",U982,INDEX('Refrigerant GWPs'!$G$2:$G$156,MATCH(O982,'Refrigerant GWPs'!$A$2:$A$156,0))),"")</f>
        <v/>
      </c>
      <c r="CP982" s="138" t="str">
        <f>IF($I982&lt;&gt;"",INDEX('Device Refrigerant Leakage'!$E$2:$E$42,MATCH($M982,'Device Refrigerant Leakage'!$B$2:$B$42,0)),"")</f>
        <v/>
      </c>
      <c r="CQ982" s="138" t="str">
        <f>IF($I982&lt;&gt;"",INDEX('Device Refrigerant Leakage'!$F$2:$F$42,MATCH($M982,'Device Refrigerant Leakage'!$B$2:$B$42,0)),"")</f>
        <v/>
      </c>
      <c r="CR982" s="145" t="str">
        <f>IF($I982&lt;&gt;"",INDEX('Device Refrigerant Leakage'!$G$2:$G$42,MATCH($M982,'Device Refrigerant Leakage'!$B$2:$B$42,0)),"")</f>
        <v/>
      </c>
      <c r="CS982" s="145" t="str">
        <f>IF($I982&lt;&gt;"",INDEX('Device Refrigerant Leakage'!$D$2:$D$42,MATCH($M982,'Device Refrigerant Leakage'!$B$2:$B$42,0))*CP982/2204.62*CO982,"")</f>
        <v/>
      </c>
      <c r="CT982" s="145" t="str">
        <f>IF($I982&lt;&gt;"",J982*(INDEX('Device Refrigerant Leakage'!$D$2:$D$42,MATCH($M982,'Device Refrigerant Leakage'!$B$2:$B$42,0))-(INDEX('Device Refrigerant Leakage'!$D$2:$D$42,MATCH($M982,'Device Refrigerant Leakage'!$B$2:$B$42,0)))*CR982*CP982)*CQ982/2204.62*CO982,"")</f>
        <v/>
      </c>
      <c r="CU982" s="135" t="str">
        <f>IF($I982&lt;&gt;"",J982*IF(W982&lt;&gt;"AR",(CS982*K982)+CT982,(CS982*AB982)+CT982*(AB982/INDEX('Device Refrigerant Leakage'!$C$2:$C$42,MATCH($M982,'Device Refrigerant Leakage'!$B$2:$B$42,0)))),"")</f>
        <v/>
      </c>
      <c r="CW982" s="135" t="str">
        <f>IF($I982&lt;&gt;"",IF(S982="User Specified",V982,INDEX('Refrigerant GWPs'!$G$2:$G$156,MATCH(S982,'Refrigerant GWPs'!$A$2:$A$157,0))),"")</f>
        <v/>
      </c>
      <c r="CX982" s="138" t="str">
        <f>IF($I982&lt;&gt;"",INDEX('Device Refrigerant Leakage'!$E$2:$E$42,MATCH($Q982,'Device Refrigerant Leakage'!$B$2:$B$42,0)),"")</f>
        <v/>
      </c>
      <c r="CY982" s="138" t="str">
        <f>IF($I982&lt;&gt;"",INDEX('Device Refrigerant Leakage'!$F$2:$F$42,MATCH($Q982,'Device Refrigerant Leakage'!$B$2:$B$42,0)),"")</f>
        <v/>
      </c>
      <c r="CZ982" s="145" t="str">
        <f>IF($I982&lt;&gt;"",INDEX('Device Refrigerant Leakage'!$G$2:$G$42,MATCH($Q982,'Device Refrigerant Leakage'!$B$2:$B$42,0)),"")</f>
        <v/>
      </c>
      <c r="DA982" s="145" t="str">
        <f>IF($I982&lt;&gt;"",J982*INDEX('Device Refrigerant Leakage'!$D$2:$D$42,MATCH($Q982,'Device Refrigerant Leakage'!$B$2:$B$42,0))*CX982/2204.62*CW982,"")</f>
        <v/>
      </c>
      <c r="DB982" s="145" t="str">
        <f>IF($I982&lt;&gt;"",J982*(INDEX('Device Refrigerant Leakage'!$D$2:$D$42,MATCH($Q982,'Device Refrigerant Leakage'!$B$2:$B$42,0))-(INDEX('Device Refrigerant Leakage'!$D$2:$D$42,MATCH($Q982,'Device Refrigerant Leakage'!$B$2:$B$42,0)))*CZ982*CX982)*CY982/2204.62*CW982,"")</f>
        <v/>
      </c>
      <c r="DC982" s="135" t="str">
        <f t="shared" si="1164"/>
        <v/>
      </c>
      <c r="DE982" s="146" t="str">
        <f>IF(W982&lt;&gt;"AR","",IF(Y982="User Specified", AA982, INDEX('Refrigerant GWPs'!$G$2:$G$154,MATCH(Y982,'Refrigerant GWPs'!$A$2:$A$154,0))))</f>
        <v/>
      </c>
      <c r="DF982" s="146" t="str">
        <f>IF(W982&lt;&gt;"AR","",INDEX('Device Refrigerant Leakage'!$E$2:$E$42,MATCH(X982,'Device Refrigerant Leakage'!$B$2:$B$42,0)))</f>
        <v/>
      </c>
      <c r="DG982" s="146" t="str">
        <f>IF(W982&lt;&gt;"AR","",INDEX('Device Refrigerant Leakage'!$F$2:$F$42,MATCH(X982,'Device Refrigerant Leakage'!$B$2:$B$42,0)))</f>
        <v/>
      </c>
      <c r="DH982" s="146" t="str">
        <f>IF(W982&lt;&gt;"AR","",INDEX('Device Refrigerant Leakage'!$G$2:$G$42,MATCH(X982,'Device Refrigerant Leakage'!$B$2:$B$42,0)))</f>
        <v/>
      </c>
      <c r="DI982" s="146" t="str">
        <f>IF(W982&lt;&gt;"AR","",J982*INDEX('Device Refrigerant Leakage'!$D$2:$D$42,MATCH(X982,'Device Refrigerant Leakage'!$B$2:$B$42,0))*DF982/2204.62*DE982)</f>
        <v/>
      </c>
      <c r="DJ982" s="146" t="str">
        <f>IF(W982&lt;&gt;"AR","",J982*(INDEX('Device Refrigerant Leakage'!$D$2:$D$42,MATCH(X982,'Device Refrigerant Leakage'!$B$2:$B$42,0))-(INDEX('Device Refrigerant Leakage'!$D$2:$D$42,MATCH(X982,'Device Refrigerant Leakage'!$B$2:$B$42,0)))*DH982*DF982)*DG982/2204.62*DE982)</f>
        <v/>
      </c>
      <c r="DK982" s="146" t="str">
        <f>IF(W982&lt;&gt;"AR","",DI982*(K982-AB982)+'Fuel Sub Calcs-Deemed'!DJ982*((K982-AB982)/INDEX('Device Refrigerant Leakage'!$C$2:$C$42,MATCH('Fuel Sub Calcs-Deemed'!X982,'Device Refrigerant Leakage'!$B$2:$B$42,0))))</f>
        <v/>
      </c>
      <c r="DM982" s="56">
        <v>968</v>
      </c>
      <c r="DN982" s="67" t="e">
        <f t="shared" si="1146"/>
        <v>#N/A</v>
      </c>
      <c r="DO982" s="45" t="e">
        <f t="shared" si="1147"/>
        <v>#N/A</v>
      </c>
      <c r="DP982" s="67" t="e">
        <f t="shared" si="1148"/>
        <v>#N/A</v>
      </c>
      <c r="DQ982" s="45" t="e">
        <f t="shared" si="1149"/>
        <v>#N/A</v>
      </c>
      <c r="DR982" s="69" t="e">
        <f t="shared" si="1150"/>
        <v>#N/A</v>
      </c>
      <c r="DS982" s="34"/>
      <c r="DT982" s="67" t="e">
        <f>((BX982*CJ982)+IF($W982=MAT_AR,(BZ982*CL982),0))*(1+Reference!$E$50+Reference!$E$51)</f>
        <v>#N/A</v>
      </c>
      <c r="DU982" s="67">
        <f>((BY982*CK982)+IF($W982=MAT_AR,(CA982*CM982),0))*(1+Reference!$G$50+Reference!$G$51)</f>
        <v>0</v>
      </c>
      <c r="DV982" s="67" t="e">
        <f t="shared" si="1151"/>
        <v>#VALUE!</v>
      </c>
      <c r="DX982" s="56">
        <v>968</v>
      </c>
      <c r="DY982" s="67">
        <f t="shared" si="1152"/>
        <v>0</v>
      </c>
      <c r="DZ982" s="45" t="e">
        <f>VLOOKUP($R982,Dropdown!$C$3:$D$4,2,FALSE)</f>
        <v>#N/A</v>
      </c>
      <c r="EA982" s="68">
        <f t="shared" si="1153"/>
        <v>0</v>
      </c>
      <c r="EB982" s="68" t="str">
        <f t="shared" si="1154"/>
        <v>N/A</v>
      </c>
      <c r="EC982" s="68">
        <f t="shared" si="1155"/>
        <v>0</v>
      </c>
      <c r="ED982" s="68" t="str">
        <f t="shared" si="1125"/>
        <v>N/A</v>
      </c>
      <c r="EF982" s="56">
        <v>968</v>
      </c>
      <c r="EG982" s="46">
        <f t="shared" si="1156"/>
        <v>0</v>
      </c>
      <c r="EH982" s="68" t="e">
        <f t="shared" si="1157"/>
        <v>#N/A</v>
      </c>
      <c r="EI982" s="68" t="e">
        <f t="shared" si="1158"/>
        <v>#N/A</v>
      </c>
      <c r="EJ982" s="68" t="e">
        <f t="shared" si="1159"/>
        <v>#N/A</v>
      </c>
      <c r="EK982" s="68" t="e">
        <f t="shared" si="1160"/>
        <v>#N/A</v>
      </c>
      <c r="EL982" s="46">
        <f t="shared" si="1161"/>
        <v>0</v>
      </c>
      <c r="EM982" s="46">
        <f t="shared" si="1162"/>
        <v>0</v>
      </c>
    </row>
    <row r="983" spans="1:143">
      <c r="A983" s="89"/>
      <c r="B983" s="89"/>
      <c r="C983" s="89"/>
      <c r="D983" s="89"/>
      <c r="E983" s="89"/>
      <c r="F983" s="89"/>
      <c r="G983" s="34"/>
      <c r="H983" s="56">
        <f t="shared" si="1163"/>
        <v>969</v>
      </c>
      <c r="I983" s="165"/>
      <c r="J983" s="163"/>
      <c r="K983" s="163"/>
      <c r="L983" s="164"/>
      <c r="M983" s="155"/>
      <c r="N983" s="155"/>
      <c r="O983" s="144"/>
      <c r="P983" s="159" t="str">
        <f>IFERROR(IF(O983&lt;&gt;"User Specified",IF(O983&lt;&gt;"", INDEX('Refrigerant GWPs'!$G$2:$G$154,MATCH(O983,'Refrigerant GWPs'!$A$2:$A$154,0)),""),U983),0)</f>
        <v/>
      </c>
      <c r="Q983" s="155"/>
      <c r="R983" s="155"/>
      <c r="S983" s="144"/>
      <c r="T983" s="159" t="str">
        <f>IF(S983&lt;&gt;"User Specified",IF(AND(S983&lt;&gt;"User Specified",S983&lt;&gt;""), INDEX('Refrigerant GWPs'!$G$2:$G$154,MATCH(S983,'Refrigerant GWPs'!$A$2:$A$154,0)),""),V983)</f>
        <v/>
      </c>
      <c r="U983" s="144"/>
      <c r="V983" s="144"/>
      <c r="W983" s="155"/>
      <c r="X983" s="155"/>
      <c r="Y983" s="144"/>
      <c r="Z983" s="159" t="str">
        <f>IF(AND(Y983&lt;&gt;"User Specified",Y983&lt;&gt;""), INDEX('Refrigerant GWPs'!$G$2:$G$154,MATCH(Y983,'Refrigerant GWPs'!$A$2:$A$154,0)),"")</f>
        <v/>
      </c>
      <c r="AA983" s="155"/>
      <c r="AB983" s="156"/>
      <c r="AC983" s="66"/>
      <c r="AD983" s="66"/>
      <c r="AE983" s="66"/>
      <c r="AF983" s="66"/>
      <c r="AG983" s="66"/>
      <c r="AH983" s="66"/>
      <c r="AI983" s="34"/>
      <c r="AJ983" s="88">
        <f t="shared" si="1126"/>
        <v>0</v>
      </c>
      <c r="AK983" s="88">
        <f t="shared" si="1127"/>
        <v>0</v>
      </c>
      <c r="AL983" s="88">
        <v>0</v>
      </c>
      <c r="AM983" s="88">
        <v>0</v>
      </c>
      <c r="AN983" s="81" t="str">
        <f t="shared" ref="AN983:AN1014" si="1165">IF(OR(BC983:BD983),"Warning: Need to enter baseline and measure consumption","")</f>
        <v/>
      </c>
      <c r="AO983" s="88">
        <f t="shared" si="1128"/>
        <v>0</v>
      </c>
      <c r="AP983" s="88">
        <f t="shared" si="1129"/>
        <v>0</v>
      </c>
      <c r="AQ983" s="81" t="str">
        <f t="shared" si="1130"/>
        <v/>
      </c>
      <c r="AS983" s="41" t="b">
        <f t="shared" si="1131"/>
        <v>1</v>
      </c>
      <c r="AT983" s="38">
        <f t="shared" si="1132"/>
        <v>0</v>
      </c>
      <c r="AU983" s="60">
        <f t="shared" si="1133"/>
        <v>0</v>
      </c>
      <c r="AV983" s="41">
        <f t="shared" si="1134"/>
        <v>0</v>
      </c>
      <c r="AW983" s="41" t="b">
        <f t="shared" si="1135"/>
        <v>0</v>
      </c>
      <c r="AX983" t="str">
        <f t="shared" si="1136"/>
        <v>+00</v>
      </c>
      <c r="AY983" t="str">
        <f t="shared" si="1137"/>
        <v>+00</v>
      </c>
      <c r="BA983" s="47" t="b">
        <f t="shared" ref="BA983:BA1014" si="1166">NOT(OR(ISBLANK(AJ983),ISBLANK(AL983)))</f>
        <v>1</v>
      </c>
      <c r="BB983" s="42" t="b">
        <f t="shared" ref="BB983:BB1014" si="1167">NOT(OR(ISBLANK(AK983),ISBLANK(AM983)))</f>
        <v>1</v>
      </c>
      <c r="BC983" s="42" t="b">
        <f t="shared" ref="BC983:BC1014" si="1168">AND(NOT(BA983))</f>
        <v>0</v>
      </c>
      <c r="BD983" s="42" t="b">
        <f t="shared" ref="BD983:BD1014" si="1169">AND(NOT(BB983))</f>
        <v>0</v>
      </c>
      <c r="BE983" s="70">
        <f t="shared" ref="BE983:BE1014" si="1170">AJ983-AL983</f>
        <v>0</v>
      </c>
      <c r="BF983" s="70">
        <f t="shared" ref="BF983:BF1014" si="1171">AK983-AM983</f>
        <v>0</v>
      </c>
      <c r="BG983" s="34"/>
      <c r="BI983" s="47" t="b">
        <f t="shared" ref="BI983:BI1014" si="1172">NOT(OR(ISBLANK(AL983),ISBLANK(AO983)))</f>
        <v>1</v>
      </c>
      <c r="BJ983" s="47" t="b">
        <f t="shared" ref="BJ983:BJ1014" si="1173">NOT(OR(ISBLANK(AM983),ISBLANK(AP983)))</f>
        <v>1</v>
      </c>
      <c r="BK983" s="42" t="b">
        <f t="shared" ref="BK983:BK1014" si="1174">AND(NOT(BI983))</f>
        <v>0</v>
      </c>
      <c r="BL983" s="42" t="b">
        <f t="shared" ref="BL983:BL1014" si="1175">AND(NOT(BJ983))</f>
        <v>0</v>
      </c>
      <c r="BM983" s="42">
        <f t="shared" ref="BM983:BM1014" si="1176">IF(NOT(OR(ISBLANK(AO983),ISBLANK(AL983))),AO983-AL983,0)</f>
        <v>0</v>
      </c>
      <c r="BN983" s="42">
        <f t="shared" ref="BN983:BN1014" si="1177">IF(NOT(OR(ISBLANK(AP983),ISBLANK(AM983))),AP983-AM983,0)</f>
        <v>0</v>
      </c>
      <c r="BP983" t="e">
        <f t="shared" ref="BP983:BP1014" si="1178">(DN983&gt;=0)</f>
        <v>#N/A</v>
      </c>
      <c r="BQ983" t="e">
        <f t="shared" ref="BQ983:BQ1014" si="1179">(DP983&gt;=0)</f>
        <v>#N/A</v>
      </c>
      <c r="BR983" t="e">
        <f t="shared" ref="BR983:BR1014" si="1180">AND(BP983,BQ983)</f>
        <v>#N/A</v>
      </c>
      <c r="BT983" s="60">
        <f t="shared" ref="BT983:BT1014" si="1181">$J983*BE983</f>
        <v>0</v>
      </c>
      <c r="BU983" s="60">
        <f t="shared" ref="BU983:BU1014" si="1182">$J983*BF983</f>
        <v>0</v>
      </c>
      <c r="BV983" s="60">
        <f t="shared" ref="BV983:BV1014" si="1183">$J983*BM983</f>
        <v>0</v>
      </c>
      <c r="BW983" s="60">
        <f t="shared" ref="BW983:BW1014" si="1184">$J983*BN983</f>
        <v>0</v>
      </c>
      <c r="BX983" s="60">
        <f t="shared" ref="BX983:BX1014" si="1185">$AT983*BT983</f>
        <v>0</v>
      </c>
      <c r="BY983" s="60">
        <f t="shared" ref="BY983:BY1014" si="1186">$AT983*BU983</f>
        <v>0</v>
      </c>
      <c r="BZ983" s="60">
        <f t="shared" ref="BZ983:BZ1014" si="1187">$AU983*BV983</f>
        <v>0</v>
      </c>
      <c r="CA983" s="60">
        <f t="shared" ref="CA983:CA1014" si="1188">$AU983*BW983</f>
        <v>0</v>
      </c>
      <c r="CB983" s="60" t="e">
        <f t="shared" si="1138"/>
        <v>#N/A</v>
      </c>
      <c r="CC983" s="60">
        <f t="shared" si="1139"/>
        <v>100000</v>
      </c>
      <c r="CD983" s="60" t="e">
        <f t="shared" si="1140"/>
        <v>#N/A</v>
      </c>
      <c r="CE983" s="60">
        <f t="shared" si="1141"/>
        <v>100000</v>
      </c>
      <c r="CF983" s="83" t="e">
        <f t="shared" ref="CF983:CF1014" si="1189">$AT983*CB983/1000000</f>
        <v>#N/A</v>
      </c>
      <c r="CG983" s="83">
        <f t="shared" ref="CG983:CG1014" si="1190">$AT983*CC983/1000000</f>
        <v>0</v>
      </c>
      <c r="CH983" s="83" t="e">
        <f t="shared" ref="CH983:CH1014" si="1191">$AU983*CD983/1000000</f>
        <v>#N/A</v>
      </c>
      <c r="CI983" s="83">
        <f t="shared" ref="CI983:CI1014" si="1192">$AU983*CE983/1000000</f>
        <v>0</v>
      </c>
      <c r="CJ983" s="86" t="e">
        <f t="shared" si="1142"/>
        <v>#N/A</v>
      </c>
      <c r="CK983" s="82">
        <f t="shared" si="1143"/>
        <v>5.3070370403969858E-3</v>
      </c>
      <c r="CL983" s="82" t="e">
        <f t="shared" si="1144"/>
        <v>#N/A</v>
      </c>
      <c r="CM983" s="82">
        <f t="shared" si="1145"/>
        <v>5.3070370403969858E-3</v>
      </c>
      <c r="CO983" s="149" t="str">
        <f>IF($I983&lt;&gt;"",IF(O983="User Specified",U983,INDEX('Refrigerant GWPs'!$G$2:$G$156,MATCH(O983,'Refrigerant GWPs'!$A$2:$A$156,0))),"")</f>
        <v/>
      </c>
      <c r="CP983" s="138" t="str">
        <f>IF($I983&lt;&gt;"",INDEX('Device Refrigerant Leakage'!$E$2:$E$42,MATCH($M983,'Device Refrigerant Leakage'!$B$2:$B$42,0)),"")</f>
        <v/>
      </c>
      <c r="CQ983" s="138" t="str">
        <f>IF($I983&lt;&gt;"",INDEX('Device Refrigerant Leakage'!$F$2:$F$42,MATCH($M983,'Device Refrigerant Leakage'!$B$2:$B$42,0)),"")</f>
        <v/>
      </c>
      <c r="CR983" s="145" t="str">
        <f>IF($I983&lt;&gt;"",INDEX('Device Refrigerant Leakage'!$G$2:$G$42,MATCH($M983,'Device Refrigerant Leakage'!$B$2:$B$42,0)),"")</f>
        <v/>
      </c>
      <c r="CS983" s="145" t="str">
        <f>IF($I983&lt;&gt;"",INDEX('Device Refrigerant Leakage'!$D$2:$D$42,MATCH($M983,'Device Refrigerant Leakage'!$B$2:$B$42,0))*CP983/2204.62*CO983,"")</f>
        <v/>
      </c>
      <c r="CT983" s="145" t="str">
        <f>IF($I983&lt;&gt;"",J983*(INDEX('Device Refrigerant Leakage'!$D$2:$D$42,MATCH($M983,'Device Refrigerant Leakage'!$B$2:$B$42,0))-(INDEX('Device Refrigerant Leakage'!$D$2:$D$42,MATCH($M983,'Device Refrigerant Leakage'!$B$2:$B$42,0)))*CR983*CP983)*CQ983/2204.62*CO983,"")</f>
        <v/>
      </c>
      <c r="CU983" s="135" t="str">
        <f>IF($I983&lt;&gt;"",J983*IF(W983&lt;&gt;"AR",(CS983*K983)+CT983,(CS983*AB983)+CT983*(AB983/INDEX('Device Refrigerant Leakage'!$C$2:$C$42,MATCH($M983,'Device Refrigerant Leakage'!$B$2:$B$42,0)))),"")</f>
        <v/>
      </c>
      <c r="CW983" s="135" t="str">
        <f>IF($I983&lt;&gt;"",IF(S983="User Specified",V983,INDEX('Refrigerant GWPs'!$G$2:$G$156,MATCH(S983,'Refrigerant GWPs'!$A$2:$A$157,0))),"")</f>
        <v/>
      </c>
      <c r="CX983" s="138" t="str">
        <f>IF($I983&lt;&gt;"",INDEX('Device Refrigerant Leakage'!$E$2:$E$42,MATCH($Q983,'Device Refrigerant Leakage'!$B$2:$B$42,0)),"")</f>
        <v/>
      </c>
      <c r="CY983" s="138" t="str">
        <f>IF($I983&lt;&gt;"",INDEX('Device Refrigerant Leakage'!$F$2:$F$42,MATCH($Q983,'Device Refrigerant Leakage'!$B$2:$B$42,0)),"")</f>
        <v/>
      </c>
      <c r="CZ983" s="145" t="str">
        <f>IF($I983&lt;&gt;"",INDEX('Device Refrigerant Leakage'!$G$2:$G$42,MATCH($Q983,'Device Refrigerant Leakage'!$B$2:$B$42,0)),"")</f>
        <v/>
      </c>
      <c r="DA983" s="145" t="str">
        <f>IF($I983&lt;&gt;"",J983*INDEX('Device Refrigerant Leakage'!$D$2:$D$42,MATCH($Q983,'Device Refrigerant Leakage'!$B$2:$B$42,0))*CX983/2204.62*CW983,"")</f>
        <v/>
      </c>
      <c r="DB983" s="145" t="str">
        <f>IF($I983&lt;&gt;"",J983*(INDEX('Device Refrigerant Leakage'!$D$2:$D$42,MATCH($Q983,'Device Refrigerant Leakage'!$B$2:$B$42,0))-(INDEX('Device Refrigerant Leakage'!$D$2:$D$42,MATCH($Q983,'Device Refrigerant Leakage'!$B$2:$B$42,0)))*CZ983*CX983)*CY983/2204.62*CW983,"")</f>
        <v/>
      </c>
      <c r="DC983" s="135" t="str">
        <f t="shared" si="1164"/>
        <v/>
      </c>
      <c r="DE983" s="146" t="str">
        <f>IF(W983&lt;&gt;"AR","",IF(Y983="User Specified", AA983, INDEX('Refrigerant GWPs'!$G$2:$G$154,MATCH(Y983,'Refrigerant GWPs'!$A$2:$A$154,0))))</f>
        <v/>
      </c>
      <c r="DF983" s="146" t="str">
        <f>IF(W983&lt;&gt;"AR","",INDEX('Device Refrigerant Leakage'!$E$2:$E$42,MATCH(X983,'Device Refrigerant Leakage'!$B$2:$B$42,0)))</f>
        <v/>
      </c>
      <c r="DG983" s="146" t="str">
        <f>IF(W983&lt;&gt;"AR","",INDEX('Device Refrigerant Leakage'!$F$2:$F$42,MATCH(X983,'Device Refrigerant Leakage'!$B$2:$B$42,0)))</f>
        <v/>
      </c>
      <c r="DH983" s="146" t="str">
        <f>IF(W983&lt;&gt;"AR","",INDEX('Device Refrigerant Leakage'!$G$2:$G$42,MATCH(X983,'Device Refrigerant Leakage'!$B$2:$B$42,0)))</f>
        <v/>
      </c>
      <c r="DI983" s="146" t="str">
        <f>IF(W983&lt;&gt;"AR","",J983*INDEX('Device Refrigerant Leakage'!$D$2:$D$42,MATCH(X983,'Device Refrigerant Leakage'!$B$2:$B$42,0))*DF983/2204.62*DE983)</f>
        <v/>
      </c>
      <c r="DJ983" s="146" t="str">
        <f>IF(W983&lt;&gt;"AR","",J983*(INDEX('Device Refrigerant Leakage'!$D$2:$D$42,MATCH(X983,'Device Refrigerant Leakage'!$B$2:$B$42,0))-(INDEX('Device Refrigerant Leakage'!$D$2:$D$42,MATCH(X983,'Device Refrigerant Leakage'!$B$2:$B$42,0)))*DH983*DF983)*DG983/2204.62*DE983)</f>
        <v/>
      </c>
      <c r="DK983" s="146" t="str">
        <f>IF(W983&lt;&gt;"AR","",DI983*(K983-AB983)+'Fuel Sub Calcs-Deemed'!DJ983*((K983-AB983)/INDEX('Device Refrigerant Leakage'!$C$2:$C$42,MATCH('Fuel Sub Calcs-Deemed'!X983,'Device Refrigerant Leakage'!$B$2:$B$42,0))))</f>
        <v/>
      </c>
      <c r="DM983" s="56">
        <v>969</v>
      </c>
      <c r="DN983" s="67" t="e">
        <f t="shared" si="1146"/>
        <v>#N/A</v>
      </c>
      <c r="DO983" s="45" t="e">
        <f t="shared" si="1147"/>
        <v>#N/A</v>
      </c>
      <c r="DP983" s="67" t="e">
        <f t="shared" si="1148"/>
        <v>#N/A</v>
      </c>
      <c r="DQ983" s="45" t="e">
        <f t="shared" si="1149"/>
        <v>#N/A</v>
      </c>
      <c r="DR983" s="69" t="e">
        <f t="shared" si="1150"/>
        <v>#N/A</v>
      </c>
      <c r="DS983" s="34"/>
      <c r="DT983" s="67" t="e">
        <f>((BX983*CJ983)+IF($W983=MAT_AR,(BZ983*CL983),0))*(1+Reference!$E$50+Reference!$E$51)</f>
        <v>#N/A</v>
      </c>
      <c r="DU983" s="67">
        <f>((BY983*CK983)+IF($W983=MAT_AR,(CA983*CM983),0))*(1+Reference!$G$50+Reference!$G$51)</f>
        <v>0</v>
      </c>
      <c r="DV983" s="67" t="e">
        <f t="shared" si="1151"/>
        <v>#VALUE!</v>
      </c>
      <c r="DX983" s="56">
        <v>969</v>
      </c>
      <c r="DY983" s="67">
        <f t="shared" si="1152"/>
        <v>0</v>
      </c>
      <c r="DZ983" s="45" t="e">
        <f>VLOOKUP($R983,Dropdown!$C$3:$D$4,2,FALSE)</f>
        <v>#N/A</v>
      </c>
      <c r="EA983" s="68">
        <f t="shared" si="1153"/>
        <v>0</v>
      </c>
      <c r="EB983" s="68" t="str">
        <f t="shared" si="1154"/>
        <v>N/A</v>
      </c>
      <c r="EC983" s="68">
        <f t="shared" si="1155"/>
        <v>0</v>
      </c>
      <c r="ED983" s="68" t="str">
        <f t="shared" ref="ED983:ED1014" si="1193">IF($R983=fuel_electricity,DY983*10^6/Btu_therm,"N/A")</f>
        <v>N/A</v>
      </c>
      <c r="EF983" s="56">
        <v>969</v>
      </c>
      <c r="EG983" s="46">
        <f t="shared" si="1156"/>
        <v>0</v>
      </c>
      <c r="EH983" s="68" t="e">
        <f t="shared" ref="EH983:EH1014" si="1194">IF($BR983,BE983,0)</f>
        <v>#N/A</v>
      </c>
      <c r="EI983" s="68" t="e">
        <f t="shared" ref="EI983:EI1014" si="1195">IF($BR983,BF983,0)</f>
        <v>#N/A</v>
      </c>
      <c r="EJ983" s="68" t="e">
        <f t="shared" ref="EJ983:EJ1014" si="1196">IF($BR983,BM983,0)</f>
        <v>#N/A</v>
      </c>
      <c r="EK983" s="68" t="e">
        <f t="shared" ref="EK983:EK1014" si="1197">IF($BR983,BN983,0)</f>
        <v>#N/A</v>
      </c>
      <c r="EL983" s="46">
        <f t="shared" si="1161"/>
        <v>0</v>
      </c>
      <c r="EM983" s="46">
        <f t="shared" ref="EM983:EM1014" si="1198">AV983</f>
        <v>0</v>
      </c>
    </row>
    <row r="984" spans="1:143">
      <c r="A984" s="89"/>
      <c r="B984" s="89"/>
      <c r="C984" s="89"/>
      <c r="D984" s="89"/>
      <c r="E984" s="89"/>
      <c r="F984" s="89"/>
      <c r="G984" s="34"/>
      <c r="H984" s="56">
        <f t="shared" si="1163"/>
        <v>970</v>
      </c>
      <c r="I984" s="165"/>
      <c r="J984" s="163"/>
      <c r="K984" s="163"/>
      <c r="L984" s="164"/>
      <c r="M984" s="155"/>
      <c r="N984" s="155"/>
      <c r="O984" s="144"/>
      <c r="P984" s="159" t="str">
        <f>IFERROR(IF(O984&lt;&gt;"User Specified",IF(O984&lt;&gt;"", INDEX('Refrigerant GWPs'!$G$2:$G$154,MATCH(O984,'Refrigerant GWPs'!$A$2:$A$154,0)),""),U984),0)</f>
        <v/>
      </c>
      <c r="Q984" s="155"/>
      <c r="R984" s="155"/>
      <c r="S984" s="144"/>
      <c r="T984" s="159" t="str">
        <f>IF(S984&lt;&gt;"User Specified",IF(AND(S984&lt;&gt;"User Specified",S984&lt;&gt;""), INDEX('Refrigerant GWPs'!$G$2:$G$154,MATCH(S984,'Refrigerant GWPs'!$A$2:$A$154,0)),""),V984)</f>
        <v/>
      </c>
      <c r="U984" s="144"/>
      <c r="V984" s="144"/>
      <c r="W984" s="155"/>
      <c r="X984" s="155"/>
      <c r="Y984" s="144"/>
      <c r="Z984" s="159" t="str">
        <f>IF(AND(Y984&lt;&gt;"User Specified",Y984&lt;&gt;""), INDEX('Refrigerant GWPs'!$G$2:$G$154,MATCH(Y984,'Refrigerant GWPs'!$A$2:$A$154,0)),"")</f>
        <v/>
      </c>
      <c r="AA984" s="155"/>
      <c r="AB984" s="156"/>
      <c r="AC984" s="66"/>
      <c r="AD984" s="66"/>
      <c r="AE984" s="66"/>
      <c r="AF984" s="66"/>
      <c r="AG984" s="66"/>
      <c r="AH984" s="66"/>
      <c r="AI984" s="34"/>
      <c r="AJ984" s="88">
        <f t="shared" si="1126"/>
        <v>0</v>
      </c>
      <c r="AK984" s="88">
        <f t="shared" si="1127"/>
        <v>0</v>
      </c>
      <c r="AL984" s="88">
        <v>0</v>
      </c>
      <c r="AM984" s="88">
        <v>0</v>
      </c>
      <c r="AN984" s="81" t="str">
        <f t="shared" si="1165"/>
        <v/>
      </c>
      <c r="AO984" s="88">
        <f t="shared" si="1128"/>
        <v>0</v>
      </c>
      <c r="AP984" s="88">
        <f t="shared" si="1129"/>
        <v>0</v>
      </c>
      <c r="AQ984" s="81" t="str">
        <f t="shared" si="1130"/>
        <v/>
      </c>
      <c r="AS984" s="41" t="b">
        <f t="shared" si="1131"/>
        <v>1</v>
      </c>
      <c r="AT984" s="38">
        <f t="shared" si="1132"/>
        <v>0</v>
      </c>
      <c r="AU984" s="60">
        <f t="shared" si="1133"/>
        <v>0</v>
      </c>
      <c r="AV984" s="41">
        <f t="shared" si="1134"/>
        <v>0</v>
      </c>
      <c r="AW984" s="41" t="b">
        <f t="shared" si="1135"/>
        <v>0</v>
      </c>
      <c r="AX984" t="str">
        <f t="shared" si="1136"/>
        <v>+00</v>
      </c>
      <c r="AY984" t="str">
        <f t="shared" si="1137"/>
        <v>+00</v>
      </c>
      <c r="BA984" s="47" t="b">
        <f t="shared" si="1166"/>
        <v>1</v>
      </c>
      <c r="BB984" s="42" t="b">
        <f t="shared" si="1167"/>
        <v>1</v>
      </c>
      <c r="BC984" s="42" t="b">
        <f t="shared" si="1168"/>
        <v>0</v>
      </c>
      <c r="BD984" s="42" t="b">
        <f t="shared" si="1169"/>
        <v>0</v>
      </c>
      <c r="BE984" s="70">
        <f t="shared" si="1170"/>
        <v>0</v>
      </c>
      <c r="BF984" s="70">
        <f t="shared" si="1171"/>
        <v>0</v>
      </c>
      <c r="BG984" s="34"/>
      <c r="BI984" s="47" t="b">
        <f t="shared" si="1172"/>
        <v>1</v>
      </c>
      <c r="BJ984" s="47" t="b">
        <f t="shared" si="1173"/>
        <v>1</v>
      </c>
      <c r="BK984" s="42" t="b">
        <f t="shared" si="1174"/>
        <v>0</v>
      </c>
      <c r="BL984" s="42" t="b">
        <f t="shared" si="1175"/>
        <v>0</v>
      </c>
      <c r="BM984" s="42">
        <f t="shared" si="1176"/>
        <v>0</v>
      </c>
      <c r="BN984" s="42">
        <f t="shared" si="1177"/>
        <v>0</v>
      </c>
      <c r="BP984" t="e">
        <f t="shared" si="1178"/>
        <v>#N/A</v>
      </c>
      <c r="BQ984" t="e">
        <f t="shared" si="1179"/>
        <v>#N/A</v>
      </c>
      <c r="BR984" t="e">
        <f t="shared" si="1180"/>
        <v>#N/A</v>
      </c>
      <c r="BT984" s="60">
        <f t="shared" si="1181"/>
        <v>0</v>
      </c>
      <c r="BU984" s="60">
        <f t="shared" si="1182"/>
        <v>0</v>
      </c>
      <c r="BV984" s="60">
        <f t="shared" si="1183"/>
        <v>0</v>
      </c>
      <c r="BW984" s="60">
        <f t="shared" si="1184"/>
        <v>0</v>
      </c>
      <c r="BX984" s="60">
        <f t="shared" si="1185"/>
        <v>0</v>
      </c>
      <c r="BY984" s="60">
        <f t="shared" si="1186"/>
        <v>0</v>
      </c>
      <c r="BZ984" s="60">
        <f t="shared" si="1187"/>
        <v>0</v>
      </c>
      <c r="CA984" s="60">
        <f t="shared" si="1188"/>
        <v>0</v>
      </c>
      <c r="CB984" s="60" t="e">
        <f t="shared" si="1138"/>
        <v>#N/A</v>
      </c>
      <c r="CC984" s="60">
        <f t="shared" si="1139"/>
        <v>100000</v>
      </c>
      <c r="CD984" s="60" t="e">
        <f t="shared" si="1140"/>
        <v>#N/A</v>
      </c>
      <c r="CE984" s="60">
        <f t="shared" si="1141"/>
        <v>100000</v>
      </c>
      <c r="CF984" s="83" t="e">
        <f t="shared" si="1189"/>
        <v>#N/A</v>
      </c>
      <c r="CG984" s="83">
        <f t="shared" si="1190"/>
        <v>0</v>
      </c>
      <c r="CH984" s="83" t="e">
        <f t="shared" si="1191"/>
        <v>#N/A</v>
      </c>
      <c r="CI984" s="83">
        <f t="shared" si="1192"/>
        <v>0</v>
      </c>
      <c r="CJ984" s="86" t="e">
        <f t="shared" si="1142"/>
        <v>#N/A</v>
      </c>
      <c r="CK984" s="82">
        <f t="shared" si="1143"/>
        <v>5.3070370403969858E-3</v>
      </c>
      <c r="CL984" s="82" t="e">
        <f t="shared" si="1144"/>
        <v>#N/A</v>
      </c>
      <c r="CM984" s="82">
        <f t="shared" si="1145"/>
        <v>5.3070370403969858E-3</v>
      </c>
      <c r="CO984" s="149" t="str">
        <f>IF($I984&lt;&gt;"",IF(O984="User Specified",U984,INDEX('Refrigerant GWPs'!$G$2:$G$156,MATCH(O984,'Refrigerant GWPs'!$A$2:$A$156,0))),"")</f>
        <v/>
      </c>
      <c r="CP984" s="138" t="str">
        <f>IF($I984&lt;&gt;"",INDEX('Device Refrigerant Leakage'!$E$2:$E$42,MATCH($M984,'Device Refrigerant Leakage'!$B$2:$B$42,0)),"")</f>
        <v/>
      </c>
      <c r="CQ984" s="138" t="str">
        <f>IF($I984&lt;&gt;"",INDEX('Device Refrigerant Leakage'!$F$2:$F$42,MATCH($M984,'Device Refrigerant Leakage'!$B$2:$B$42,0)),"")</f>
        <v/>
      </c>
      <c r="CR984" s="145" t="str">
        <f>IF($I984&lt;&gt;"",INDEX('Device Refrigerant Leakage'!$G$2:$G$42,MATCH($M984,'Device Refrigerant Leakage'!$B$2:$B$42,0)),"")</f>
        <v/>
      </c>
      <c r="CS984" s="145" t="str">
        <f>IF($I984&lt;&gt;"",INDEX('Device Refrigerant Leakage'!$D$2:$D$42,MATCH($M984,'Device Refrigerant Leakage'!$B$2:$B$42,0))*CP984/2204.62*CO984,"")</f>
        <v/>
      </c>
      <c r="CT984" s="145" t="str">
        <f>IF($I984&lt;&gt;"",J984*(INDEX('Device Refrigerant Leakage'!$D$2:$D$42,MATCH($M984,'Device Refrigerant Leakage'!$B$2:$B$42,0))-(INDEX('Device Refrigerant Leakage'!$D$2:$D$42,MATCH($M984,'Device Refrigerant Leakage'!$B$2:$B$42,0)))*CR984*CP984)*CQ984/2204.62*CO984,"")</f>
        <v/>
      </c>
      <c r="CU984" s="135" t="str">
        <f>IF($I984&lt;&gt;"",J984*IF(W984&lt;&gt;"AR",(CS984*K984)+CT984,(CS984*AB984)+CT984*(AB984/INDEX('Device Refrigerant Leakage'!$C$2:$C$42,MATCH($M984,'Device Refrigerant Leakage'!$B$2:$B$42,0)))),"")</f>
        <v/>
      </c>
      <c r="CW984" s="135" t="str">
        <f>IF($I984&lt;&gt;"",IF(S984="User Specified",V984,INDEX('Refrigerant GWPs'!$G$2:$G$156,MATCH(S984,'Refrigerant GWPs'!$A$2:$A$157,0))),"")</f>
        <v/>
      </c>
      <c r="CX984" s="138" t="str">
        <f>IF($I984&lt;&gt;"",INDEX('Device Refrigerant Leakage'!$E$2:$E$42,MATCH($Q984,'Device Refrigerant Leakage'!$B$2:$B$42,0)),"")</f>
        <v/>
      </c>
      <c r="CY984" s="138" t="str">
        <f>IF($I984&lt;&gt;"",INDEX('Device Refrigerant Leakage'!$F$2:$F$42,MATCH($Q984,'Device Refrigerant Leakage'!$B$2:$B$42,0)),"")</f>
        <v/>
      </c>
      <c r="CZ984" s="145" t="str">
        <f>IF($I984&lt;&gt;"",INDEX('Device Refrigerant Leakage'!$G$2:$G$42,MATCH($Q984,'Device Refrigerant Leakage'!$B$2:$B$42,0)),"")</f>
        <v/>
      </c>
      <c r="DA984" s="145" t="str">
        <f>IF($I984&lt;&gt;"",J984*INDEX('Device Refrigerant Leakage'!$D$2:$D$42,MATCH($Q984,'Device Refrigerant Leakage'!$B$2:$B$42,0))*CX984/2204.62*CW984,"")</f>
        <v/>
      </c>
      <c r="DB984" s="145" t="str">
        <f>IF($I984&lt;&gt;"",J984*(INDEX('Device Refrigerant Leakage'!$D$2:$D$42,MATCH($Q984,'Device Refrigerant Leakage'!$B$2:$B$42,0))-(INDEX('Device Refrigerant Leakage'!$D$2:$D$42,MATCH($Q984,'Device Refrigerant Leakage'!$B$2:$B$42,0)))*CZ984*CX984)*CY984/2204.62*CW984,"")</f>
        <v/>
      </c>
      <c r="DC984" s="135" t="str">
        <f t="shared" si="1164"/>
        <v/>
      </c>
      <c r="DE984" s="146" t="str">
        <f>IF(W984&lt;&gt;"AR","",IF(Y984="User Specified", AA984, INDEX('Refrigerant GWPs'!$G$2:$G$154,MATCH(Y984,'Refrigerant GWPs'!$A$2:$A$154,0))))</f>
        <v/>
      </c>
      <c r="DF984" s="146" t="str">
        <f>IF(W984&lt;&gt;"AR","",INDEX('Device Refrigerant Leakage'!$E$2:$E$42,MATCH(X984,'Device Refrigerant Leakage'!$B$2:$B$42,0)))</f>
        <v/>
      </c>
      <c r="DG984" s="146" t="str">
        <f>IF(W984&lt;&gt;"AR","",INDEX('Device Refrigerant Leakage'!$F$2:$F$42,MATCH(X984,'Device Refrigerant Leakage'!$B$2:$B$42,0)))</f>
        <v/>
      </c>
      <c r="DH984" s="146" t="str">
        <f>IF(W984&lt;&gt;"AR","",INDEX('Device Refrigerant Leakage'!$G$2:$G$42,MATCH(X984,'Device Refrigerant Leakage'!$B$2:$B$42,0)))</f>
        <v/>
      </c>
      <c r="DI984" s="146" t="str">
        <f>IF(W984&lt;&gt;"AR","",J984*INDEX('Device Refrigerant Leakage'!$D$2:$D$42,MATCH(X984,'Device Refrigerant Leakage'!$B$2:$B$42,0))*DF984/2204.62*DE984)</f>
        <v/>
      </c>
      <c r="DJ984" s="146" t="str">
        <f>IF(W984&lt;&gt;"AR","",J984*(INDEX('Device Refrigerant Leakage'!$D$2:$D$42,MATCH(X984,'Device Refrigerant Leakage'!$B$2:$B$42,0))-(INDEX('Device Refrigerant Leakage'!$D$2:$D$42,MATCH(X984,'Device Refrigerant Leakage'!$B$2:$B$42,0)))*DH984*DF984)*DG984/2204.62*DE984)</f>
        <v/>
      </c>
      <c r="DK984" s="146" t="str">
        <f>IF(W984&lt;&gt;"AR","",DI984*(K984-AB984)+'Fuel Sub Calcs-Deemed'!DJ984*((K984-AB984)/INDEX('Device Refrigerant Leakage'!$C$2:$C$42,MATCH('Fuel Sub Calcs-Deemed'!X984,'Device Refrigerant Leakage'!$B$2:$B$42,0))))</f>
        <v/>
      </c>
      <c r="DM984" s="56">
        <v>970</v>
      </c>
      <c r="DN984" s="67" t="e">
        <f t="shared" si="1146"/>
        <v>#N/A</v>
      </c>
      <c r="DO984" s="45" t="e">
        <f t="shared" si="1147"/>
        <v>#N/A</v>
      </c>
      <c r="DP984" s="67" t="e">
        <f t="shared" si="1148"/>
        <v>#N/A</v>
      </c>
      <c r="DQ984" s="45" t="e">
        <f t="shared" si="1149"/>
        <v>#N/A</v>
      </c>
      <c r="DR984" s="69" t="e">
        <f t="shared" si="1150"/>
        <v>#N/A</v>
      </c>
      <c r="DS984" s="34"/>
      <c r="DT984" s="67" t="e">
        <f>((BX984*CJ984)+IF($W984=MAT_AR,(BZ984*CL984),0))*(1+Reference!$E$50+Reference!$E$51)</f>
        <v>#N/A</v>
      </c>
      <c r="DU984" s="67">
        <f>((BY984*CK984)+IF($W984=MAT_AR,(CA984*CM984),0))*(1+Reference!$G$50+Reference!$G$51)</f>
        <v>0</v>
      </c>
      <c r="DV984" s="67" t="e">
        <f t="shared" si="1151"/>
        <v>#VALUE!</v>
      </c>
      <c r="DX984" s="56">
        <v>970</v>
      </c>
      <c r="DY984" s="67">
        <f t="shared" si="1152"/>
        <v>0</v>
      </c>
      <c r="DZ984" s="45" t="e">
        <f>VLOOKUP($R984,Dropdown!$C$3:$D$4,2,FALSE)</f>
        <v>#N/A</v>
      </c>
      <c r="EA984" s="68">
        <f t="shared" si="1153"/>
        <v>0</v>
      </c>
      <c r="EB984" s="68" t="str">
        <f t="shared" si="1154"/>
        <v>N/A</v>
      </c>
      <c r="EC984" s="68">
        <f t="shared" si="1155"/>
        <v>0</v>
      </c>
      <c r="ED984" s="68" t="str">
        <f t="shared" si="1193"/>
        <v>N/A</v>
      </c>
      <c r="EF984" s="56">
        <v>970</v>
      </c>
      <c r="EG984" s="46">
        <f t="shared" si="1156"/>
        <v>0</v>
      </c>
      <c r="EH984" s="68" t="e">
        <f t="shared" si="1194"/>
        <v>#N/A</v>
      </c>
      <c r="EI984" s="68" t="e">
        <f t="shared" si="1195"/>
        <v>#N/A</v>
      </c>
      <c r="EJ984" s="68" t="e">
        <f t="shared" si="1196"/>
        <v>#N/A</v>
      </c>
      <c r="EK984" s="68" t="e">
        <f t="shared" si="1197"/>
        <v>#N/A</v>
      </c>
      <c r="EL984" s="46">
        <f t="shared" si="1161"/>
        <v>0</v>
      </c>
      <c r="EM984" s="46">
        <f t="shared" si="1198"/>
        <v>0</v>
      </c>
    </row>
    <row r="985" spans="1:143">
      <c r="A985" s="89"/>
      <c r="B985" s="89"/>
      <c r="C985" s="89"/>
      <c r="D985" s="89"/>
      <c r="E985" s="89"/>
      <c r="F985" s="89"/>
      <c r="G985" s="34"/>
      <c r="H985" s="56">
        <f t="shared" si="1163"/>
        <v>971</v>
      </c>
      <c r="I985" s="165"/>
      <c r="J985" s="163"/>
      <c r="K985" s="163"/>
      <c r="L985" s="164"/>
      <c r="M985" s="155"/>
      <c r="N985" s="155"/>
      <c r="O985" s="144"/>
      <c r="P985" s="159" t="str">
        <f>IFERROR(IF(O985&lt;&gt;"User Specified",IF(O985&lt;&gt;"", INDEX('Refrigerant GWPs'!$G$2:$G$154,MATCH(O985,'Refrigerant GWPs'!$A$2:$A$154,0)),""),U985),0)</f>
        <v/>
      </c>
      <c r="Q985" s="155"/>
      <c r="R985" s="155"/>
      <c r="S985" s="144"/>
      <c r="T985" s="159" t="str">
        <f>IF(S985&lt;&gt;"User Specified",IF(AND(S985&lt;&gt;"User Specified",S985&lt;&gt;""), INDEX('Refrigerant GWPs'!$G$2:$G$154,MATCH(S985,'Refrigerant GWPs'!$A$2:$A$154,0)),""),V985)</f>
        <v/>
      </c>
      <c r="U985" s="144"/>
      <c r="V985" s="144"/>
      <c r="W985" s="155"/>
      <c r="X985" s="155"/>
      <c r="Y985" s="144"/>
      <c r="Z985" s="159" t="str">
        <f>IF(AND(Y985&lt;&gt;"User Specified",Y985&lt;&gt;""), INDEX('Refrigerant GWPs'!$G$2:$G$154,MATCH(Y985,'Refrigerant GWPs'!$A$2:$A$154,0)),"")</f>
        <v/>
      </c>
      <c r="AA985" s="155"/>
      <c r="AB985" s="156"/>
      <c r="AC985" s="66"/>
      <c r="AD985" s="66"/>
      <c r="AE985" s="66"/>
      <c r="AF985" s="66"/>
      <c r="AG985" s="66"/>
      <c r="AH985" s="66"/>
      <c r="AI985" s="34"/>
      <c r="AJ985" s="88">
        <f t="shared" si="1126"/>
        <v>0</v>
      </c>
      <c r="AK985" s="88">
        <f t="shared" si="1127"/>
        <v>0</v>
      </c>
      <c r="AL985" s="88">
        <v>0</v>
      </c>
      <c r="AM985" s="88">
        <v>0</v>
      </c>
      <c r="AN985" s="81" t="str">
        <f t="shared" si="1165"/>
        <v/>
      </c>
      <c r="AO985" s="88">
        <f t="shared" si="1128"/>
        <v>0</v>
      </c>
      <c r="AP985" s="88">
        <f t="shared" si="1129"/>
        <v>0</v>
      </c>
      <c r="AQ985" s="81" t="str">
        <f t="shared" si="1130"/>
        <v/>
      </c>
      <c r="AS985" s="41" t="b">
        <f t="shared" si="1131"/>
        <v>1</v>
      </c>
      <c r="AT985" s="38">
        <f t="shared" si="1132"/>
        <v>0</v>
      </c>
      <c r="AU985" s="60">
        <f t="shared" si="1133"/>
        <v>0</v>
      </c>
      <c r="AV985" s="41">
        <f t="shared" si="1134"/>
        <v>0</v>
      </c>
      <c r="AW985" s="41" t="b">
        <f t="shared" si="1135"/>
        <v>0</v>
      </c>
      <c r="AX985" t="str">
        <f t="shared" si="1136"/>
        <v>+00</v>
      </c>
      <c r="AY985" t="str">
        <f t="shared" si="1137"/>
        <v>+00</v>
      </c>
      <c r="BA985" s="47" t="b">
        <f t="shared" si="1166"/>
        <v>1</v>
      </c>
      <c r="BB985" s="42" t="b">
        <f t="shared" si="1167"/>
        <v>1</v>
      </c>
      <c r="BC985" s="42" t="b">
        <f t="shared" si="1168"/>
        <v>0</v>
      </c>
      <c r="BD985" s="42" t="b">
        <f t="shared" si="1169"/>
        <v>0</v>
      </c>
      <c r="BE985" s="70">
        <f t="shared" si="1170"/>
        <v>0</v>
      </c>
      <c r="BF985" s="70">
        <f t="shared" si="1171"/>
        <v>0</v>
      </c>
      <c r="BG985" s="34"/>
      <c r="BI985" s="47" t="b">
        <f t="shared" si="1172"/>
        <v>1</v>
      </c>
      <c r="BJ985" s="47" t="b">
        <f t="shared" si="1173"/>
        <v>1</v>
      </c>
      <c r="BK985" s="42" t="b">
        <f t="shared" si="1174"/>
        <v>0</v>
      </c>
      <c r="BL985" s="42" t="b">
        <f t="shared" si="1175"/>
        <v>0</v>
      </c>
      <c r="BM985" s="42">
        <f t="shared" si="1176"/>
        <v>0</v>
      </c>
      <c r="BN985" s="42">
        <f t="shared" si="1177"/>
        <v>0</v>
      </c>
      <c r="BP985" t="e">
        <f t="shared" si="1178"/>
        <v>#N/A</v>
      </c>
      <c r="BQ985" t="e">
        <f t="shared" si="1179"/>
        <v>#N/A</v>
      </c>
      <c r="BR985" t="e">
        <f t="shared" si="1180"/>
        <v>#N/A</v>
      </c>
      <c r="BT985" s="60">
        <f t="shared" si="1181"/>
        <v>0</v>
      </c>
      <c r="BU985" s="60">
        <f t="shared" si="1182"/>
        <v>0</v>
      </c>
      <c r="BV985" s="60">
        <f t="shared" si="1183"/>
        <v>0</v>
      </c>
      <c r="BW985" s="60">
        <f t="shared" si="1184"/>
        <v>0</v>
      </c>
      <c r="BX985" s="60">
        <f t="shared" si="1185"/>
        <v>0</v>
      </c>
      <c r="BY985" s="60">
        <f t="shared" si="1186"/>
        <v>0</v>
      </c>
      <c r="BZ985" s="60">
        <f t="shared" si="1187"/>
        <v>0</v>
      </c>
      <c r="CA985" s="60">
        <f t="shared" si="1188"/>
        <v>0</v>
      </c>
      <c r="CB985" s="60" t="e">
        <f t="shared" si="1138"/>
        <v>#N/A</v>
      </c>
      <c r="CC985" s="60">
        <f t="shared" si="1139"/>
        <v>100000</v>
      </c>
      <c r="CD985" s="60" t="e">
        <f t="shared" si="1140"/>
        <v>#N/A</v>
      </c>
      <c r="CE985" s="60">
        <f t="shared" si="1141"/>
        <v>100000</v>
      </c>
      <c r="CF985" s="83" t="e">
        <f t="shared" si="1189"/>
        <v>#N/A</v>
      </c>
      <c r="CG985" s="83">
        <f t="shared" si="1190"/>
        <v>0</v>
      </c>
      <c r="CH985" s="83" t="e">
        <f t="shared" si="1191"/>
        <v>#N/A</v>
      </c>
      <c r="CI985" s="83">
        <f t="shared" si="1192"/>
        <v>0</v>
      </c>
      <c r="CJ985" s="86" t="e">
        <f t="shared" si="1142"/>
        <v>#N/A</v>
      </c>
      <c r="CK985" s="82">
        <f t="shared" si="1143"/>
        <v>5.3070370403969858E-3</v>
      </c>
      <c r="CL985" s="82" t="e">
        <f t="shared" si="1144"/>
        <v>#N/A</v>
      </c>
      <c r="CM985" s="82">
        <f t="shared" si="1145"/>
        <v>5.3070370403969858E-3</v>
      </c>
      <c r="CO985" s="149" t="str">
        <f>IF($I985&lt;&gt;"",IF(O985="User Specified",U985,INDEX('Refrigerant GWPs'!$G$2:$G$156,MATCH(O985,'Refrigerant GWPs'!$A$2:$A$156,0))),"")</f>
        <v/>
      </c>
      <c r="CP985" s="138" t="str">
        <f>IF($I985&lt;&gt;"",INDEX('Device Refrigerant Leakage'!$E$2:$E$42,MATCH($M985,'Device Refrigerant Leakage'!$B$2:$B$42,0)),"")</f>
        <v/>
      </c>
      <c r="CQ985" s="138" t="str">
        <f>IF($I985&lt;&gt;"",INDEX('Device Refrigerant Leakage'!$F$2:$F$42,MATCH($M985,'Device Refrigerant Leakage'!$B$2:$B$42,0)),"")</f>
        <v/>
      </c>
      <c r="CR985" s="145" t="str">
        <f>IF($I985&lt;&gt;"",INDEX('Device Refrigerant Leakage'!$G$2:$G$42,MATCH($M985,'Device Refrigerant Leakage'!$B$2:$B$42,0)),"")</f>
        <v/>
      </c>
      <c r="CS985" s="145" t="str">
        <f>IF($I985&lt;&gt;"",INDEX('Device Refrigerant Leakage'!$D$2:$D$42,MATCH($M985,'Device Refrigerant Leakage'!$B$2:$B$42,0))*CP985/2204.62*CO985,"")</f>
        <v/>
      </c>
      <c r="CT985" s="145" t="str">
        <f>IF($I985&lt;&gt;"",J985*(INDEX('Device Refrigerant Leakage'!$D$2:$D$42,MATCH($M985,'Device Refrigerant Leakage'!$B$2:$B$42,0))-(INDEX('Device Refrigerant Leakage'!$D$2:$D$42,MATCH($M985,'Device Refrigerant Leakage'!$B$2:$B$42,0)))*CR985*CP985)*CQ985/2204.62*CO985,"")</f>
        <v/>
      </c>
      <c r="CU985" s="135" t="str">
        <f>IF($I985&lt;&gt;"",J985*IF(W985&lt;&gt;"AR",(CS985*K985)+CT985,(CS985*AB985)+CT985*(AB985/INDEX('Device Refrigerant Leakage'!$C$2:$C$42,MATCH($M985,'Device Refrigerant Leakage'!$B$2:$B$42,0)))),"")</f>
        <v/>
      </c>
      <c r="CW985" s="135" t="str">
        <f>IF($I985&lt;&gt;"",IF(S985="User Specified",V985,INDEX('Refrigerant GWPs'!$G$2:$G$156,MATCH(S985,'Refrigerant GWPs'!$A$2:$A$157,0))),"")</f>
        <v/>
      </c>
      <c r="CX985" s="138" t="str">
        <f>IF($I985&lt;&gt;"",INDEX('Device Refrigerant Leakage'!$E$2:$E$42,MATCH($Q985,'Device Refrigerant Leakage'!$B$2:$B$42,0)),"")</f>
        <v/>
      </c>
      <c r="CY985" s="138" t="str">
        <f>IF($I985&lt;&gt;"",INDEX('Device Refrigerant Leakage'!$F$2:$F$42,MATCH($Q985,'Device Refrigerant Leakage'!$B$2:$B$42,0)),"")</f>
        <v/>
      </c>
      <c r="CZ985" s="145" t="str">
        <f>IF($I985&lt;&gt;"",INDEX('Device Refrigerant Leakage'!$G$2:$G$42,MATCH($Q985,'Device Refrigerant Leakage'!$B$2:$B$42,0)),"")</f>
        <v/>
      </c>
      <c r="DA985" s="145" t="str">
        <f>IF($I985&lt;&gt;"",J985*INDEX('Device Refrigerant Leakage'!$D$2:$D$42,MATCH($Q985,'Device Refrigerant Leakage'!$B$2:$B$42,0))*CX985/2204.62*CW985,"")</f>
        <v/>
      </c>
      <c r="DB985" s="145" t="str">
        <f>IF($I985&lt;&gt;"",J985*(INDEX('Device Refrigerant Leakage'!$D$2:$D$42,MATCH($Q985,'Device Refrigerant Leakage'!$B$2:$B$42,0))-(INDEX('Device Refrigerant Leakage'!$D$2:$D$42,MATCH($Q985,'Device Refrigerant Leakage'!$B$2:$B$42,0)))*CZ985*CX985)*CY985/2204.62*CW985,"")</f>
        <v/>
      </c>
      <c r="DC985" s="135" t="str">
        <f t="shared" si="1164"/>
        <v/>
      </c>
      <c r="DE985" s="146" t="str">
        <f>IF(W985&lt;&gt;"AR","",IF(Y985="User Specified", AA985, INDEX('Refrigerant GWPs'!$G$2:$G$154,MATCH(Y985,'Refrigerant GWPs'!$A$2:$A$154,0))))</f>
        <v/>
      </c>
      <c r="DF985" s="146" t="str">
        <f>IF(W985&lt;&gt;"AR","",INDEX('Device Refrigerant Leakage'!$E$2:$E$42,MATCH(X985,'Device Refrigerant Leakage'!$B$2:$B$42,0)))</f>
        <v/>
      </c>
      <c r="DG985" s="146" t="str">
        <f>IF(W985&lt;&gt;"AR","",INDEX('Device Refrigerant Leakage'!$F$2:$F$42,MATCH(X985,'Device Refrigerant Leakage'!$B$2:$B$42,0)))</f>
        <v/>
      </c>
      <c r="DH985" s="146" t="str">
        <f>IF(W985&lt;&gt;"AR","",INDEX('Device Refrigerant Leakage'!$G$2:$G$42,MATCH(X985,'Device Refrigerant Leakage'!$B$2:$B$42,0)))</f>
        <v/>
      </c>
      <c r="DI985" s="146" t="str">
        <f>IF(W985&lt;&gt;"AR","",J985*INDEX('Device Refrigerant Leakage'!$D$2:$D$42,MATCH(X985,'Device Refrigerant Leakage'!$B$2:$B$42,0))*DF985/2204.62*DE985)</f>
        <v/>
      </c>
      <c r="DJ985" s="146" t="str">
        <f>IF(W985&lt;&gt;"AR","",J985*(INDEX('Device Refrigerant Leakage'!$D$2:$D$42,MATCH(X985,'Device Refrigerant Leakage'!$B$2:$B$42,0))-(INDEX('Device Refrigerant Leakage'!$D$2:$D$42,MATCH(X985,'Device Refrigerant Leakage'!$B$2:$B$42,0)))*DH985*DF985)*DG985/2204.62*DE985)</f>
        <v/>
      </c>
      <c r="DK985" s="146" t="str">
        <f>IF(W985&lt;&gt;"AR","",DI985*(K985-AB985)+'Fuel Sub Calcs-Deemed'!DJ985*((K985-AB985)/INDEX('Device Refrigerant Leakage'!$C$2:$C$42,MATCH('Fuel Sub Calcs-Deemed'!X985,'Device Refrigerant Leakage'!$B$2:$B$42,0))))</f>
        <v/>
      </c>
      <c r="DM985" s="56">
        <v>971</v>
      </c>
      <c r="DN985" s="67" t="e">
        <f t="shared" si="1146"/>
        <v>#N/A</v>
      </c>
      <c r="DO985" s="45" t="e">
        <f t="shared" si="1147"/>
        <v>#N/A</v>
      </c>
      <c r="DP985" s="67" t="e">
        <f t="shared" si="1148"/>
        <v>#N/A</v>
      </c>
      <c r="DQ985" s="45" t="e">
        <f t="shared" si="1149"/>
        <v>#N/A</v>
      </c>
      <c r="DR985" s="69" t="e">
        <f t="shared" si="1150"/>
        <v>#N/A</v>
      </c>
      <c r="DS985" s="34"/>
      <c r="DT985" s="67" t="e">
        <f>((BX985*CJ985)+IF($W985=MAT_AR,(BZ985*CL985),0))*(1+Reference!$E$50+Reference!$E$51)</f>
        <v>#N/A</v>
      </c>
      <c r="DU985" s="67">
        <f>((BY985*CK985)+IF($W985=MAT_AR,(CA985*CM985),0))*(1+Reference!$G$50+Reference!$G$51)</f>
        <v>0</v>
      </c>
      <c r="DV985" s="67" t="e">
        <f t="shared" si="1151"/>
        <v>#VALUE!</v>
      </c>
      <c r="DX985" s="56">
        <v>971</v>
      </c>
      <c r="DY985" s="67">
        <f t="shared" si="1152"/>
        <v>0</v>
      </c>
      <c r="DZ985" s="45" t="e">
        <f>VLOOKUP($R985,Dropdown!$C$3:$D$4,2,FALSE)</f>
        <v>#N/A</v>
      </c>
      <c r="EA985" s="68">
        <f t="shared" si="1153"/>
        <v>0</v>
      </c>
      <c r="EB985" s="68" t="str">
        <f t="shared" si="1154"/>
        <v>N/A</v>
      </c>
      <c r="EC985" s="68">
        <f t="shared" si="1155"/>
        <v>0</v>
      </c>
      <c r="ED985" s="68" t="str">
        <f t="shared" si="1193"/>
        <v>N/A</v>
      </c>
      <c r="EF985" s="56">
        <v>971</v>
      </c>
      <c r="EG985" s="46">
        <f t="shared" si="1156"/>
        <v>0</v>
      </c>
      <c r="EH985" s="68" t="e">
        <f t="shared" si="1194"/>
        <v>#N/A</v>
      </c>
      <c r="EI985" s="68" t="e">
        <f t="shared" si="1195"/>
        <v>#N/A</v>
      </c>
      <c r="EJ985" s="68" t="e">
        <f t="shared" si="1196"/>
        <v>#N/A</v>
      </c>
      <c r="EK985" s="68" t="e">
        <f t="shared" si="1197"/>
        <v>#N/A</v>
      </c>
      <c r="EL985" s="46">
        <f t="shared" si="1161"/>
        <v>0</v>
      </c>
      <c r="EM985" s="46">
        <f t="shared" si="1198"/>
        <v>0</v>
      </c>
    </row>
    <row r="986" spans="1:143">
      <c r="A986" s="89"/>
      <c r="B986" s="89"/>
      <c r="C986" s="89"/>
      <c r="D986" s="89"/>
      <c r="E986" s="89"/>
      <c r="F986" s="89"/>
      <c r="G986" s="34"/>
      <c r="H986" s="56">
        <f t="shared" si="1163"/>
        <v>972</v>
      </c>
      <c r="I986" s="165"/>
      <c r="J986" s="163"/>
      <c r="K986" s="163"/>
      <c r="L986" s="164"/>
      <c r="M986" s="155"/>
      <c r="N986" s="155"/>
      <c r="O986" s="144"/>
      <c r="P986" s="159" t="str">
        <f>IFERROR(IF(O986&lt;&gt;"User Specified",IF(O986&lt;&gt;"", INDEX('Refrigerant GWPs'!$G$2:$G$154,MATCH(O986,'Refrigerant GWPs'!$A$2:$A$154,0)),""),U986),0)</f>
        <v/>
      </c>
      <c r="Q986" s="155"/>
      <c r="R986" s="155"/>
      <c r="S986" s="144"/>
      <c r="T986" s="159" t="str">
        <f>IF(S986&lt;&gt;"User Specified",IF(AND(S986&lt;&gt;"User Specified",S986&lt;&gt;""), INDEX('Refrigerant GWPs'!$G$2:$G$154,MATCH(S986,'Refrigerant GWPs'!$A$2:$A$154,0)),""),V986)</f>
        <v/>
      </c>
      <c r="U986" s="144"/>
      <c r="V986" s="144"/>
      <c r="W986" s="155"/>
      <c r="X986" s="155"/>
      <c r="Y986" s="144"/>
      <c r="Z986" s="159" t="str">
        <f>IF(AND(Y986&lt;&gt;"User Specified",Y986&lt;&gt;""), INDEX('Refrigerant GWPs'!$G$2:$G$154,MATCH(Y986,'Refrigerant GWPs'!$A$2:$A$154,0)),"")</f>
        <v/>
      </c>
      <c r="AA986" s="155"/>
      <c r="AB986" s="156"/>
      <c r="AC986" s="66"/>
      <c r="AD986" s="66"/>
      <c r="AE986" s="66"/>
      <c r="AF986" s="66"/>
      <c r="AG986" s="66"/>
      <c r="AH986" s="66"/>
      <c r="AI986" s="34"/>
      <c r="AJ986" s="88">
        <f t="shared" si="1126"/>
        <v>0</v>
      </c>
      <c r="AK986" s="88">
        <f t="shared" si="1127"/>
        <v>0</v>
      </c>
      <c r="AL986" s="88">
        <v>0</v>
      </c>
      <c r="AM986" s="88">
        <v>0</v>
      </c>
      <c r="AN986" s="81" t="str">
        <f t="shared" si="1165"/>
        <v/>
      </c>
      <c r="AO986" s="88">
        <f t="shared" si="1128"/>
        <v>0</v>
      </c>
      <c r="AP986" s="88">
        <f t="shared" si="1129"/>
        <v>0</v>
      </c>
      <c r="AQ986" s="81" t="str">
        <f t="shared" si="1130"/>
        <v/>
      </c>
      <c r="AS986" s="41" t="b">
        <f t="shared" si="1131"/>
        <v>1</v>
      </c>
      <c r="AT986" s="38">
        <f t="shared" si="1132"/>
        <v>0</v>
      </c>
      <c r="AU986" s="60">
        <f t="shared" si="1133"/>
        <v>0</v>
      </c>
      <c r="AV986" s="41">
        <f t="shared" si="1134"/>
        <v>0</v>
      </c>
      <c r="AW986" s="41" t="b">
        <f t="shared" si="1135"/>
        <v>0</v>
      </c>
      <c r="AX986" t="str">
        <f t="shared" si="1136"/>
        <v>+00</v>
      </c>
      <c r="AY986" t="str">
        <f t="shared" si="1137"/>
        <v>+00</v>
      </c>
      <c r="BA986" s="47" t="b">
        <f t="shared" si="1166"/>
        <v>1</v>
      </c>
      <c r="BB986" s="42" t="b">
        <f t="shared" si="1167"/>
        <v>1</v>
      </c>
      <c r="BC986" s="42" t="b">
        <f t="shared" si="1168"/>
        <v>0</v>
      </c>
      <c r="BD986" s="42" t="b">
        <f t="shared" si="1169"/>
        <v>0</v>
      </c>
      <c r="BE986" s="70">
        <f t="shared" si="1170"/>
        <v>0</v>
      </c>
      <c r="BF986" s="70">
        <f t="shared" si="1171"/>
        <v>0</v>
      </c>
      <c r="BG986" s="34"/>
      <c r="BI986" s="47" t="b">
        <f t="shared" si="1172"/>
        <v>1</v>
      </c>
      <c r="BJ986" s="47" t="b">
        <f t="shared" si="1173"/>
        <v>1</v>
      </c>
      <c r="BK986" s="42" t="b">
        <f t="shared" si="1174"/>
        <v>0</v>
      </c>
      <c r="BL986" s="42" t="b">
        <f t="shared" si="1175"/>
        <v>0</v>
      </c>
      <c r="BM986" s="42">
        <f t="shared" si="1176"/>
        <v>0</v>
      </c>
      <c r="BN986" s="42">
        <f t="shared" si="1177"/>
        <v>0</v>
      </c>
      <c r="BP986" t="e">
        <f t="shared" si="1178"/>
        <v>#N/A</v>
      </c>
      <c r="BQ986" t="e">
        <f t="shared" si="1179"/>
        <v>#N/A</v>
      </c>
      <c r="BR986" t="e">
        <f t="shared" si="1180"/>
        <v>#N/A</v>
      </c>
      <c r="BT986" s="60">
        <f t="shared" si="1181"/>
        <v>0</v>
      </c>
      <c r="BU986" s="60">
        <f t="shared" si="1182"/>
        <v>0</v>
      </c>
      <c r="BV986" s="60">
        <f t="shared" si="1183"/>
        <v>0</v>
      </c>
      <c r="BW986" s="60">
        <f t="shared" si="1184"/>
        <v>0</v>
      </c>
      <c r="BX986" s="60">
        <f t="shared" si="1185"/>
        <v>0</v>
      </c>
      <c r="BY986" s="60">
        <f t="shared" si="1186"/>
        <v>0</v>
      </c>
      <c r="BZ986" s="60">
        <f t="shared" si="1187"/>
        <v>0</v>
      </c>
      <c r="CA986" s="60">
        <f t="shared" si="1188"/>
        <v>0</v>
      </c>
      <c r="CB986" s="60" t="e">
        <f t="shared" si="1138"/>
        <v>#N/A</v>
      </c>
      <c r="CC986" s="60">
        <f t="shared" si="1139"/>
        <v>100000</v>
      </c>
      <c r="CD986" s="60" t="e">
        <f t="shared" si="1140"/>
        <v>#N/A</v>
      </c>
      <c r="CE986" s="60">
        <f t="shared" si="1141"/>
        <v>100000</v>
      </c>
      <c r="CF986" s="83" t="e">
        <f t="shared" si="1189"/>
        <v>#N/A</v>
      </c>
      <c r="CG986" s="83">
        <f t="shared" si="1190"/>
        <v>0</v>
      </c>
      <c r="CH986" s="83" t="e">
        <f t="shared" si="1191"/>
        <v>#N/A</v>
      </c>
      <c r="CI986" s="83">
        <f t="shared" si="1192"/>
        <v>0</v>
      </c>
      <c r="CJ986" s="86" t="e">
        <f t="shared" si="1142"/>
        <v>#N/A</v>
      </c>
      <c r="CK986" s="82">
        <f t="shared" si="1143"/>
        <v>5.3070370403969858E-3</v>
      </c>
      <c r="CL986" s="82" t="e">
        <f t="shared" si="1144"/>
        <v>#N/A</v>
      </c>
      <c r="CM986" s="82">
        <f t="shared" si="1145"/>
        <v>5.3070370403969858E-3</v>
      </c>
      <c r="CO986" s="149" t="str">
        <f>IF($I986&lt;&gt;"",IF(O986="User Specified",U986,INDEX('Refrigerant GWPs'!$G$2:$G$156,MATCH(O986,'Refrigerant GWPs'!$A$2:$A$156,0))),"")</f>
        <v/>
      </c>
      <c r="CP986" s="138" t="str">
        <f>IF($I986&lt;&gt;"",INDEX('Device Refrigerant Leakage'!$E$2:$E$42,MATCH($M986,'Device Refrigerant Leakage'!$B$2:$B$42,0)),"")</f>
        <v/>
      </c>
      <c r="CQ986" s="138" t="str">
        <f>IF($I986&lt;&gt;"",INDEX('Device Refrigerant Leakage'!$F$2:$F$42,MATCH($M986,'Device Refrigerant Leakage'!$B$2:$B$42,0)),"")</f>
        <v/>
      </c>
      <c r="CR986" s="145" t="str">
        <f>IF($I986&lt;&gt;"",INDEX('Device Refrigerant Leakage'!$G$2:$G$42,MATCH($M986,'Device Refrigerant Leakage'!$B$2:$B$42,0)),"")</f>
        <v/>
      </c>
      <c r="CS986" s="145" t="str">
        <f>IF($I986&lt;&gt;"",INDEX('Device Refrigerant Leakage'!$D$2:$D$42,MATCH($M986,'Device Refrigerant Leakage'!$B$2:$B$42,0))*CP986/2204.62*CO986,"")</f>
        <v/>
      </c>
      <c r="CT986" s="145" t="str">
        <f>IF($I986&lt;&gt;"",J986*(INDEX('Device Refrigerant Leakage'!$D$2:$D$42,MATCH($M986,'Device Refrigerant Leakage'!$B$2:$B$42,0))-(INDEX('Device Refrigerant Leakage'!$D$2:$D$42,MATCH($M986,'Device Refrigerant Leakage'!$B$2:$B$42,0)))*CR986*CP986)*CQ986/2204.62*CO986,"")</f>
        <v/>
      </c>
      <c r="CU986" s="135" t="str">
        <f>IF($I986&lt;&gt;"",J986*IF(W986&lt;&gt;"AR",(CS986*K986)+CT986,(CS986*AB986)+CT986*(AB986/INDEX('Device Refrigerant Leakage'!$C$2:$C$42,MATCH($M986,'Device Refrigerant Leakage'!$B$2:$B$42,0)))),"")</f>
        <v/>
      </c>
      <c r="CW986" s="135" t="str">
        <f>IF($I986&lt;&gt;"",IF(S986="User Specified",V986,INDEX('Refrigerant GWPs'!$G$2:$G$156,MATCH(S986,'Refrigerant GWPs'!$A$2:$A$157,0))),"")</f>
        <v/>
      </c>
      <c r="CX986" s="138" t="str">
        <f>IF($I986&lt;&gt;"",INDEX('Device Refrigerant Leakage'!$E$2:$E$42,MATCH($Q986,'Device Refrigerant Leakage'!$B$2:$B$42,0)),"")</f>
        <v/>
      </c>
      <c r="CY986" s="138" t="str">
        <f>IF($I986&lt;&gt;"",INDEX('Device Refrigerant Leakage'!$F$2:$F$42,MATCH($Q986,'Device Refrigerant Leakage'!$B$2:$B$42,0)),"")</f>
        <v/>
      </c>
      <c r="CZ986" s="145" t="str">
        <f>IF($I986&lt;&gt;"",INDEX('Device Refrigerant Leakage'!$G$2:$G$42,MATCH($Q986,'Device Refrigerant Leakage'!$B$2:$B$42,0)),"")</f>
        <v/>
      </c>
      <c r="DA986" s="145" t="str">
        <f>IF($I986&lt;&gt;"",J986*INDEX('Device Refrigerant Leakage'!$D$2:$D$42,MATCH($Q986,'Device Refrigerant Leakage'!$B$2:$B$42,0))*CX986/2204.62*CW986,"")</f>
        <v/>
      </c>
      <c r="DB986" s="145" t="str">
        <f>IF($I986&lt;&gt;"",J986*(INDEX('Device Refrigerant Leakage'!$D$2:$D$42,MATCH($Q986,'Device Refrigerant Leakage'!$B$2:$B$42,0))-(INDEX('Device Refrigerant Leakage'!$D$2:$D$42,MATCH($Q986,'Device Refrigerant Leakage'!$B$2:$B$42,0)))*CZ986*CX986)*CY986/2204.62*CW986,"")</f>
        <v/>
      </c>
      <c r="DC986" s="135" t="str">
        <f t="shared" si="1164"/>
        <v/>
      </c>
      <c r="DE986" s="146" t="str">
        <f>IF(W986&lt;&gt;"AR","",IF(Y986="User Specified", AA986, INDEX('Refrigerant GWPs'!$G$2:$G$154,MATCH(Y986,'Refrigerant GWPs'!$A$2:$A$154,0))))</f>
        <v/>
      </c>
      <c r="DF986" s="146" t="str">
        <f>IF(W986&lt;&gt;"AR","",INDEX('Device Refrigerant Leakage'!$E$2:$E$42,MATCH(X986,'Device Refrigerant Leakage'!$B$2:$B$42,0)))</f>
        <v/>
      </c>
      <c r="DG986" s="146" t="str">
        <f>IF(W986&lt;&gt;"AR","",INDEX('Device Refrigerant Leakage'!$F$2:$F$42,MATCH(X986,'Device Refrigerant Leakage'!$B$2:$B$42,0)))</f>
        <v/>
      </c>
      <c r="DH986" s="146" t="str">
        <f>IF(W986&lt;&gt;"AR","",INDEX('Device Refrigerant Leakage'!$G$2:$G$42,MATCH(X986,'Device Refrigerant Leakage'!$B$2:$B$42,0)))</f>
        <v/>
      </c>
      <c r="DI986" s="146" t="str">
        <f>IF(W986&lt;&gt;"AR","",J986*INDEX('Device Refrigerant Leakage'!$D$2:$D$42,MATCH(X986,'Device Refrigerant Leakage'!$B$2:$B$42,0))*DF986/2204.62*DE986)</f>
        <v/>
      </c>
      <c r="DJ986" s="146" t="str">
        <f>IF(W986&lt;&gt;"AR","",J986*(INDEX('Device Refrigerant Leakage'!$D$2:$D$42,MATCH(X986,'Device Refrigerant Leakage'!$B$2:$B$42,0))-(INDEX('Device Refrigerant Leakage'!$D$2:$D$42,MATCH(X986,'Device Refrigerant Leakage'!$B$2:$B$42,0)))*DH986*DF986)*DG986/2204.62*DE986)</f>
        <v/>
      </c>
      <c r="DK986" s="146" t="str">
        <f>IF(W986&lt;&gt;"AR","",DI986*(K986-AB986)+'Fuel Sub Calcs-Deemed'!DJ986*((K986-AB986)/INDEX('Device Refrigerant Leakage'!$C$2:$C$42,MATCH('Fuel Sub Calcs-Deemed'!X986,'Device Refrigerant Leakage'!$B$2:$B$42,0))))</f>
        <v/>
      </c>
      <c r="DM986" s="56">
        <v>972</v>
      </c>
      <c r="DN986" s="67" t="e">
        <f t="shared" si="1146"/>
        <v>#N/A</v>
      </c>
      <c r="DO986" s="45" t="e">
        <f t="shared" si="1147"/>
        <v>#N/A</v>
      </c>
      <c r="DP986" s="67" t="e">
        <f t="shared" si="1148"/>
        <v>#N/A</v>
      </c>
      <c r="DQ986" s="45" t="e">
        <f t="shared" si="1149"/>
        <v>#N/A</v>
      </c>
      <c r="DR986" s="69" t="e">
        <f t="shared" si="1150"/>
        <v>#N/A</v>
      </c>
      <c r="DS986" s="34"/>
      <c r="DT986" s="67" t="e">
        <f>((BX986*CJ986)+IF($W986=MAT_AR,(BZ986*CL986),0))*(1+Reference!$E$50+Reference!$E$51)</f>
        <v>#N/A</v>
      </c>
      <c r="DU986" s="67">
        <f>((BY986*CK986)+IF($W986=MAT_AR,(CA986*CM986),0))*(1+Reference!$G$50+Reference!$G$51)</f>
        <v>0</v>
      </c>
      <c r="DV986" s="67" t="e">
        <f t="shared" si="1151"/>
        <v>#VALUE!</v>
      </c>
      <c r="DX986" s="56">
        <v>972</v>
      </c>
      <c r="DY986" s="67">
        <f t="shared" si="1152"/>
        <v>0</v>
      </c>
      <c r="DZ986" s="45" t="e">
        <f>VLOOKUP($R986,Dropdown!$C$3:$D$4,2,FALSE)</f>
        <v>#N/A</v>
      </c>
      <c r="EA986" s="68">
        <f t="shared" si="1153"/>
        <v>0</v>
      </c>
      <c r="EB986" s="68" t="str">
        <f t="shared" si="1154"/>
        <v>N/A</v>
      </c>
      <c r="EC986" s="68">
        <f t="shared" si="1155"/>
        <v>0</v>
      </c>
      <c r="ED986" s="68" t="str">
        <f t="shared" si="1193"/>
        <v>N/A</v>
      </c>
      <c r="EF986" s="56">
        <v>972</v>
      </c>
      <c r="EG986" s="46">
        <f t="shared" si="1156"/>
        <v>0</v>
      </c>
      <c r="EH986" s="68" t="e">
        <f t="shared" si="1194"/>
        <v>#N/A</v>
      </c>
      <c r="EI986" s="68" t="e">
        <f t="shared" si="1195"/>
        <v>#N/A</v>
      </c>
      <c r="EJ986" s="68" t="e">
        <f t="shared" si="1196"/>
        <v>#N/A</v>
      </c>
      <c r="EK986" s="68" t="e">
        <f t="shared" si="1197"/>
        <v>#N/A</v>
      </c>
      <c r="EL986" s="46">
        <f t="shared" si="1161"/>
        <v>0</v>
      </c>
      <c r="EM986" s="46">
        <f t="shared" si="1198"/>
        <v>0</v>
      </c>
    </row>
    <row r="987" spans="1:143">
      <c r="A987" s="89"/>
      <c r="B987" s="89"/>
      <c r="C987" s="89"/>
      <c r="D987" s="89"/>
      <c r="E987" s="89"/>
      <c r="F987" s="89"/>
      <c r="G987" s="34"/>
      <c r="H987" s="56">
        <f t="shared" si="1163"/>
        <v>973</v>
      </c>
      <c r="I987" s="165"/>
      <c r="J987" s="163"/>
      <c r="K987" s="163"/>
      <c r="L987" s="164"/>
      <c r="M987" s="155"/>
      <c r="N987" s="155"/>
      <c r="O987" s="144"/>
      <c r="P987" s="159" t="str">
        <f>IFERROR(IF(O987&lt;&gt;"User Specified",IF(O987&lt;&gt;"", INDEX('Refrigerant GWPs'!$G$2:$G$154,MATCH(O987,'Refrigerant GWPs'!$A$2:$A$154,0)),""),U987),0)</f>
        <v/>
      </c>
      <c r="Q987" s="155"/>
      <c r="R987" s="155"/>
      <c r="S987" s="144"/>
      <c r="T987" s="159" t="str">
        <f>IF(S987&lt;&gt;"User Specified",IF(AND(S987&lt;&gt;"User Specified",S987&lt;&gt;""), INDEX('Refrigerant GWPs'!$G$2:$G$154,MATCH(S987,'Refrigerant GWPs'!$A$2:$A$154,0)),""),V987)</f>
        <v/>
      </c>
      <c r="U987" s="144"/>
      <c r="V987" s="144"/>
      <c r="W987" s="155"/>
      <c r="X987" s="155"/>
      <c r="Y987" s="144"/>
      <c r="Z987" s="159" t="str">
        <f>IF(AND(Y987&lt;&gt;"User Specified",Y987&lt;&gt;""), INDEX('Refrigerant GWPs'!$G$2:$G$154,MATCH(Y987,'Refrigerant GWPs'!$A$2:$A$154,0)),"")</f>
        <v/>
      </c>
      <c r="AA987" s="155"/>
      <c r="AB987" s="156"/>
      <c r="AC987" s="66"/>
      <c r="AD987" s="66"/>
      <c r="AE987" s="66"/>
      <c r="AF987" s="66"/>
      <c r="AG987" s="66"/>
      <c r="AH987" s="66"/>
      <c r="AI987" s="34"/>
      <c r="AJ987" s="88">
        <f t="shared" si="1126"/>
        <v>0</v>
      </c>
      <c r="AK987" s="88">
        <f t="shared" si="1127"/>
        <v>0</v>
      </c>
      <c r="AL987" s="88">
        <v>0</v>
      </c>
      <c r="AM987" s="88">
        <v>0</v>
      </c>
      <c r="AN987" s="81" t="str">
        <f t="shared" si="1165"/>
        <v/>
      </c>
      <c r="AO987" s="88">
        <f t="shared" si="1128"/>
        <v>0</v>
      </c>
      <c r="AP987" s="88">
        <f t="shared" si="1129"/>
        <v>0</v>
      </c>
      <c r="AQ987" s="81" t="str">
        <f t="shared" si="1130"/>
        <v/>
      </c>
      <c r="AS987" s="41" t="b">
        <f t="shared" si="1131"/>
        <v>1</v>
      </c>
      <c r="AT987" s="38">
        <f t="shared" si="1132"/>
        <v>0</v>
      </c>
      <c r="AU987" s="60">
        <f t="shared" si="1133"/>
        <v>0</v>
      </c>
      <c r="AV987" s="41">
        <f t="shared" si="1134"/>
        <v>0</v>
      </c>
      <c r="AW987" s="41" t="b">
        <f t="shared" si="1135"/>
        <v>0</v>
      </c>
      <c r="AX987" t="str">
        <f t="shared" si="1136"/>
        <v>+00</v>
      </c>
      <c r="AY987" t="str">
        <f t="shared" si="1137"/>
        <v>+00</v>
      </c>
      <c r="BA987" s="47" t="b">
        <f t="shared" si="1166"/>
        <v>1</v>
      </c>
      <c r="BB987" s="42" t="b">
        <f t="shared" si="1167"/>
        <v>1</v>
      </c>
      <c r="BC987" s="42" t="b">
        <f t="shared" si="1168"/>
        <v>0</v>
      </c>
      <c r="BD987" s="42" t="b">
        <f t="shared" si="1169"/>
        <v>0</v>
      </c>
      <c r="BE987" s="70">
        <f t="shared" si="1170"/>
        <v>0</v>
      </c>
      <c r="BF987" s="70">
        <f t="shared" si="1171"/>
        <v>0</v>
      </c>
      <c r="BG987" s="34"/>
      <c r="BI987" s="47" t="b">
        <f t="shared" si="1172"/>
        <v>1</v>
      </c>
      <c r="BJ987" s="47" t="b">
        <f t="shared" si="1173"/>
        <v>1</v>
      </c>
      <c r="BK987" s="42" t="b">
        <f t="shared" si="1174"/>
        <v>0</v>
      </c>
      <c r="BL987" s="42" t="b">
        <f t="shared" si="1175"/>
        <v>0</v>
      </c>
      <c r="BM987" s="42">
        <f t="shared" si="1176"/>
        <v>0</v>
      </c>
      <c r="BN987" s="42">
        <f t="shared" si="1177"/>
        <v>0</v>
      </c>
      <c r="BP987" t="e">
        <f t="shared" si="1178"/>
        <v>#N/A</v>
      </c>
      <c r="BQ987" t="e">
        <f t="shared" si="1179"/>
        <v>#N/A</v>
      </c>
      <c r="BR987" t="e">
        <f t="shared" si="1180"/>
        <v>#N/A</v>
      </c>
      <c r="BT987" s="60">
        <f t="shared" si="1181"/>
        <v>0</v>
      </c>
      <c r="BU987" s="60">
        <f t="shared" si="1182"/>
        <v>0</v>
      </c>
      <c r="BV987" s="60">
        <f t="shared" si="1183"/>
        <v>0</v>
      </c>
      <c r="BW987" s="60">
        <f t="shared" si="1184"/>
        <v>0</v>
      </c>
      <c r="BX987" s="60">
        <f t="shared" si="1185"/>
        <v>0</v>
      </c>
      <c r="BY987" s="60">
        <f t="shared" si="1186"/>
        <v>0</v>
      </c>
      <c r="BZ987" s="60">
        <f t="shared" si="1187"/>
        <v>0</v>
      </c>
      <c r="CA987" s="60">
        <f t="shared" si="1188"/>
        <v>0</v>
      </c>
      <c r="CB987" s="60" t="e">
        <f t="shared" si="1138"/>
        <v>#N/A</v>
      </c>
      <c r="CC987" s="60">
        <f t="shared" si="1139"/>
        <v>100000</v>
      </c>
      <c r="CD987" s="60" t="e">
        <f t="shared" si="1140"/>
        <v>#N/A</v>
      </c>
      <c r="CE987" s="60">
        <f t="shared" si="1141"/>
        <v>100000</v>
      </c>
      <c r="CF987" s="83" t="e">
        <f t="shared" si="1189"/>
        <v>#N/A</v>
      </c>
      <c r="CG987" s="83">
        <f t="shared" si="1190"/>
        <v>0</v>
      </c>
      <c r="CH987" s="83" t="e">
        <f t="shared" si="1191"/>
        <v>#N/A</v>
      </c>
      <c r="CI987" s="83">
        <f t="shared" si="1192"/>
        <v>0</v>
      </c>
      <c r="CJ987" s="86" t="e">
        <f t="shared" si="1142"/>
        <v>#N/A</v>
      </c>
      <c r="CK987" s="82">
        <f t="shared" si="1143"/>
        <v>5.3070370403969858E-3</v>
      </c>
      <c r="CL987" s="82" t="e">
        <f t="shared" si="1144"/>
        <v>#N/A</v>
      </c>
      <c r="CM987" s="82">
        <f t="shared" si="1145"/>
        <v>5.3070370403969858E-3</v>
      </c>
      <c r="CO987" s="149" t="str">
        <f>IF($I987&lt;&gt;"",IF(O987="User Specified",U987,INDEX('Refrigerant GWPs'!$G$2:$G$156,MATCH(O987,'Refrigerant GWPs'!$A$2:$A$156,0))),"")</f>
        <v/>
      </c>
      <c r="CP987" s="138" t="str">
        <f>IF($I987&lt;&gt;"",INDEX('Device Refrigerant Leakage'!$E$2:$E$42,MATCH($M987,'Device Refrigerant Leakage'!$B$2:$B$42,0)),"")</f>
        <v/>
      </c>
      <c r="CQ987" s="138" t="str">
        <f>IF($I987&lt;&gt;"",INDEX('Device Refrigerant Leakage'!$F$2:$F$42,MATCH($M987,'Device Refrigerant Leakage'!$B$2:$B$42,0)),"")</f>
        <v/>
      </c>
      <c r="CR987" s="145" t="str">
        <f>IF($I987&lt;&gt;"",INDEX('Device Refrigerant Leakage'!$G$2:$G$42,MATCH($M987,'Device Refrigerant Leakage'!$B$2:$B$42,0)),"")</f>
        <v/>
      </c>
      <c r="CS987" s="145" t="str">
        <f>IF($I987&lt;&gt;"",INDEX('Device Refrigerant Leakage'!$D$2:$D$42,MATCH($M987,'Device Refrigerant Leakage'!$B$2:$B$42,0))*CP987/2204.62*CO987,"")</f>
        <v/>
      </c>
      <c r="CT987" s="145" t="str">
        <f>IF($I987&lt;&gt;"",J987*(INDEX('Device Refrigerant Leakage'!$D$2:$D$42,MATCH($M987,'Device Refrigerant Leakage'!$B$2:$B$42,0))-(INDEX('Device Refrigerant Leakage'!$D$2:$D$42,MATCH($M987,'Device Refrigerant Leakage'!$B$2:$B$42,0)))*CR987*CP987)*CQ987/2204.62*CO987,"")</f>
        <v/>
      </c>
      <c r="CU987" s="135" t="str">
        <f>IF($I987&lt;&gt;"",J987*IF(W987&lt;&gt;"AR",(CS987*K987)+CT987,(CS987*AB987)+CT987*(AB987/INDEX('Device Refrigerant Leakage'!$C$2:$C$42,MATCH($M987,'Device Refrigerant Leakage'!$B$2:$B$42,0)))),"")</f>
        <v/>
      </c>
      <c r="CW987" s="135" t="str">
        <f>IF($I987&lt;&gt;"",IF(S987="User Specified",V987,INDEX('Refrigerant GWPs'!$G$2:$G$156,MATCH(S987,'Refrigerant GWPs'!$A$2:$A$157,0))),"")</f>
        <v/>
      </c>
      <c r="CX987" s="138" t="str">
        <f>IF($I987&lt;&gt;"",INDEX('Device Refrigerant Leakage'!$E$2:$E$42,MATCH($Q987,'Device Refrigerant Leakage'!$B$2:$B$42,0)),"")</f>
        <v/>
      </c>
      <c r="CY987" s="138" t="str">
        <f>IF($I987&lt;&gt;"",INDEX('Device Refrigerant Leakage'!$F$2:$F$42,MATCH($Q987,'Device Refrigerant Leakage'!$B$2:$B$42,0)),"")</f>
        <v/>
      </c>
      <c r="CZ987" s="145" t="str">
        <f>IF($I987&lt;&gt;"",INDEX('Device Refrigerant Leakage'!$G$2:$G$42,MATCH($Q987,'Device Refrigerant Leakage'!$B$2:$B$42,0)),"")</f>
        <v/>
      </c>
      <c r="DA987" s="145" t="str">
        <f>IF($I987&lt;&gt;"",J987*INDEX('Device Refrigerant Leakage'!$D$2:$D$42,MATCH($Q987,'Device Refrigerant Leakage'!$B$2:$B$42,0))*CX987/2204.62*CW987,"")</f>
        <v/>
      </c>
      <c r="DB987" s="145" t="str">
        <f>IF($I987&lt;&gt;"",J987*(INDEX('Device Refrigerant Leakage'!$D$2:$D$42,MATCH($Q987,'Device Refrigerant Leakage'!$B$2:$B$42,0))-(INDEX('Device Refrigerant Leakage'!$D$2:$D$42,MATCH($Q987,'Device Refrigerant Leakage'!$B$2:$B$42,0)))*CZ987*CX987)*CY987/2204.62*CW987,"")</f>
        <v/>
      </c>
      <c r="DC987" s="135" t="str">
        <f t="shared" si="1164"/>
        <v/>
      </c>
      <c r="DE987" s="146" t="str">
        <f>IF(W987&lt;&gt;"AR","",IF(Y987="User Specified", AA987, INDEX('Refrigerant GWPs'!$G$2:$G$154,MATCH(Y987,'Refrigerant GWPs'!$A$2:$A$154,0))))</f>
        <v/>
      </c>
      <c r="DF987" s="146" t="str">
        <f>IF(W987&lt;&gt;"AR","",INDEX('Device Refrigerant Leakage'!$E$2:$E$42,MATCH(X987,'Device Refrigerant Leakage'!$B$2:$B$42,0)))</f>
        <v/>
      </c>
      <c r="DG987" s="146" t="str">
        <f>IF(W987&lt;&gt;"AR","",INDEX('Device Refrigerant Leakage'!$F$2:$F$42,MATCH(X987,'Device Refrigerant Leakage'!$B$2:$B$42,0)))</f>
        <v/>
      </c>
      <c r="DH987" s="146" t="str">
        <f>IF(W987&lt;&gt;"AR","",INDEX('Device Refrigerant Leakage'!$G$2:$G$42,MATCH(X987,'Device Refrigerant Leakage'!$B$2:$B$42,0)))</f>
        <v/>
      </c>
      <c r="DI987" s="146" t="str">
        <f>IF(W987&lt;&gt;"AR","",J987*INDEX('Device Refrigerant Leakage'!$D$2:$D$42,MATCH(X987,'Device Refrigerant Leakage'!$B$2:$B$42,0))*DF987/2204.62*DE987)</f>
        <v/>
      </c>
      <c r="DJ987" s="146" t="str">
        <f>IF(W987&lt;&gt;"AR","",J987*(INDEX('Device Refrigerant Leakage'!$D$2:$D$42,MATCH(X987,'Device Refrigerant Leakage'!$B$2:$B$42,0))-(INDEX('Device Refrigerant Leakage'!$D$2:$D$42,MATCH(X987,'Device Refrigerant Leakage'!$B$2:$B$42,0)))*DH987*DF987)*DG987/2204.62*DE987)</f>
        <v/>
      </c>
      <c r="DK987" s="146" t="str">
        <f>IF(W987&lt;&gt;"AR","",DI987*(K987-AB987)+'Fuel Sub Calcs-Deemed'!DJ987*((K987-AB987)/INDEX('Device Refrigerant Leakage'!$C$2:$C$42,MATCH('Fuel Sub Calcs-Deemed'!X987,'Device Refrigerant Leakage'!$B$2:$B$42,0))))</f>
        <v/>
      </c>
      <c r="DM987" s="56">
        <v>973</v>
      </c>
      <c r="DN987" s="67" t="e">
        <f t="shared" si="1146"/>
        <v>#N/A</v>
      </c>
      <c r="DO987" s="45" t="e">
        <f t="shared" si="1147"/>
        <v>#N/A</v>
      </c>
      <c r="DP987" s="67" t="e">
        <f t="shared" si="1148"/>
        <v>#N/A</v>
      </c>
      <c r="DQ987" s="45" t="e">
        <f t="shared" si="1149"/>
        <v>#N/A</v>
      </c>
      <c r="DR987" s="69" t="e">
        <f t="shared" si="1150"/>
        <v>#N/A</v>
      </c>
      <c r="DS987" s="34"/>
      <c r="DT987" s="67" t="e">
        <f>((BX987*CJ987)+IF($W987=MAT_AR,(BZ987*CL987),0))*(1+Reference!$E$50+Reference!$E$51)</f>
        <v>#N/A</v>
      </c>
      <c r="DU987" s="67">
        <f>((BY987*CK987)+IF($W987=MAT_AR,(CA987*CM987),0))*(1+Reference!$G$50+Reference!$G$51)</f>
        <v>0</v>
      </c>
      <c r="DV987" s="67" t="e">
        <f t="shared" si="1151"/>
        <v>#VALUE!</v>
      </c>
      <c r="DX987" s="56">
        <v>973</v>
      </c>
      <c r="DY987" s="67">
        <f t="shared" si="1152"/>
        <v>0</v>
      </c>
      <c r="DZ987" s="45" t="e">
        <f>VLOOKUP($R987,Dropdown!$C$3:$D$4,2,FALSE)</f>
        <v>#N/A</v>
      </c>
      <c r="EA987" s="68">
        <f t="shared" si="1153"/>
        <v>0</v>
      </c>
      <c r="EB987" s="68" t="str">
        <f t="shared" si="1154"/>
        <v>N/A</v>
      </c>
      <c r="EC987" s="68">
        <f t="shared" si="1155"/>
        <v>0</v>
      </c>
      <c r="ED987" s="68" t="str">
        <f t="shared" si="1193"/>
        <v>N/A</v>
      </c>
      <c r="EF987" s="56">
        <v>973</v>
      </c>
      <c r="EG987" s="46">
        <f t="shared" si="1156"/>
        <v>0</v>
      </c>
      <c r="EH987" s="68" t="e">
        <f t="shared" si="1194"/>
        <v>#N/A</v>
      </c>
      <c r="EI987" s="68" t="e">
        <f t="shared" si="1195"/>
        <v>#N/A</v>
      </c>
      <c r="EJ987" s="68" t="e">
        <f t="shared" si="1196"/>
        <v>#N/A</v>
      </c>
      <c r="EK987" s="68" t="e">
        <f t="shared" si="1197"/>
        <v>#N/A</v>
      </c>
      <c r="EL987" s="46">
        <f t="shared" si="1161"/>
        <v>0</v>
      </c>
      <c r="EM987" s="46">
        <f t="shared" si="1198"/>
        <v>0</v>
      </c>
    </row>
    <row r="988" spans="1:143">
      <c r="A988" s="89"/>
      <c r="B988" s="89"/>
      <c r="C988" s="89"/>
      <c r="D988" s="89"/>
      <c r="E988" s="89"/>
      <c r="F988" s="89"/>
      <c r="G988" s="34"/>
      <c r="H988" s="56">
        <f t="shared" si="1163"/>
        <v>974</v>
      </c>
      <c r="I988" s="165"/>
      <c r="J988" s="163"/>
      <c r="K988" s="163"/>
      <c r="L988" s="164"/>
      <c r="M988" s="155"/>
      <c r="N988" s="155"/>
      <c r="O988" s="144"/>
      <c r="P988" s="159" t="str">
        <f>IFERROR(IF(O988&lt;&gt;"User Specified",IF(O988&lt;&gt;"", INDEX('Refrigerant GWPs'!$G$2:$G$154,MATCH(O988,'Refrigerant GWPs'!$A$2:$A$154,0)),""),U988),0)</f>
        <v/>
      </c>
      <c r="Q988" s="155"/>
      <c r="R988" s="155"/>
      <c r="S988" s="144"/>
      <c r="T988" s="159" t="str">
        <f>IF(S988&lt;&gt;"User Specified",IF(AND(S988&lt;&gt;"User Specified",S988&lt;&gt;""), INDEX('Refrigerant GWPs'!$G$2:$G$154,MATCH(S988,'Refrigerant GWPs'!$A$2:$A$154,0)),""),V988)</f>
        <v/>
      </c>
      <c r="U988" s="144"/>
      <c r="V988" s="144"/>
      <c r="W988" s="155"/>
      <c r="X988" s="155"/>
      <c r="Y988" s="144"/>
      <c r="Z988" s="159" t="str">
        <f>IF(AND(Y988&lt;&gt;"User Specified",Y988&lt;&gt;""), INDEX('Refrigerant GWPs'!$G$2:$G$154,MATCH(Y988,'Refrigerant GWPs'!$A$2:$A$154,0)),"")</f>
        <v/>
      </c>
      <c r="AA988" s="155"/>
      <c r="AB988" s="156"/>
      <c r="AC988" s="66"/>
      <c r="AD988" s="66"/>
      <c r="AE988" s="66"/>
      <c r="AF988" s="66"/>
      <c r="AG988" s="66"/>
      <c r="AH988" s="66"/>
      <c r="AI988" s="34"/>
      <c r="AJ988" s="88">
        <f t="shared" si="1126"/>
        <v>0</v>
      </c>
      <c r="AK988" s="88">
        <f t="shared" si="1127"/>
        <v>0</v>
      </c>
      <c r="AL988" s="88">
        <v>0</v>
      </c>
      <c r="AM988" s="88">
        <v>0</v>
      </c>
      <c r="AN988" s="81" t="str">
        <f t="shared" si="1165"/>
        <v/>
      </c>
      <c r="AO988" s="88">
        <f t="shared" si="1128"/>
        <v>0</v>
      </c>
      <c r="AP988" s="88">
        <f t="shared" si="1129"/>
        <v>0</v>
      </c>
      <c r="AQ988" s="81" t="str">
        <f t="shared" si="1130"/>
        <v/>
      </c>
      <c r="AS988" s="41" t="b">
        <f t="shared" si="1131"/>
        <v>1</v>
      </c>
      <c r="AT988" s="38">
        <f t="shared" si="1132"/>
        <v>0</v>
      </c>
      <c r="AU988" s="60">
        <f t="shared" si="1133"/>
        <v>0</v>
      </c>
      <c r="AV988" s="41">
        <f t="shared" si="1134"/>
        <v>0</v>
      </c>
      <c r="AW988" s="41" t="b">
        <f t="shared" si="1135"/>
        <v>0</v>
      </c>
      <c r="AX988" t="str">
        <f t="shared" si="1136"/>
        <v>+00</v>
      </c>
      <c r="AY988" t="str">
        <f t="shared" si="1137"/>
        <v>+00</v>
      </c>
      <c r="BA988" s="47" t="b">
        <f t="shared" si="1166"/>
        <v>1</v>
      </c>
      <c r="BB988" s="42" t="b">
        <f t="shared" si="1167"/>
        <v>1</v>
      </c>
      <c r="BC988" s="42" t="b">
        <f t="shared" si="1168"/>
        <v>0</v>
      </c>
      <c r="BD988" s="42" t="b">
        <f t="shared" si="1169"/>
        <v>0</v>
      </c>
      <c r="BE988" s="70">
        <f t="shared" si="1170"/>
        <v>0</v>
      </c>
      <c r="BF988" s="70">
        <f t="shared" si="1171"/>
        <v>0</v>
      </c>
      <c r="BG988" s="34"/>
      <c r="BI988" s="47" t="b">
        <f t="shared" si="1172"/>
        <v>1</v>
      </c>
      <c r="BJ988" s="47" t="b">
        <f t="shared" si="1173"/>
        <v>1</v>
      </c>
      <c r="BK988" s="42" t="b">
        <f t="shared" si="1174"/>
        <v>0</v>
      </c>
      <c r="BL988" s="42" t="b">
        <f t="shared" si="1175"/>
        <v>0</v>
      </c>
      <c r="BM988" s="42">
        <f t="shared" si="1176"/>
        <v>0</v>
      </c>
      <c r="BN988" s="42">
        <f t="shared" si="1177"/>
        <v>0</v>
      </c>
      <c r="BP988" t="e">
        <f t="shared" si="1178"/>
        <v>#N/A</v>
      </c>
      <c r="BQ988" t="e">
        <f t="shared" si="1179"/>
        <v>#N/A</v>
      </c>
      <c r="BR988" t="e">
        <f t="shared" si="1180"/>
        <v>#N/A</v>
      </c>
      <c r="BT988" s="60">
        <f t="shared" si="1181"/>
        <v>0</v>
      </c>
      <c r="BU988" s="60">
        <f t="shared" si="1182"/>
        <v>0</v>
      </c>
      <c r="BV988" s="60">
        <f t="shared" si="1183"/>
        <v>0</v>
      </c>
      <c r="BW988" s="60">
        <f t="shared" si="1184"/>
        <v>0</v>
      </c>
      <c r="BX988" s="60">
        <f t="shared" si="1185"/>
        <v>0</v>
      </c>
      <c r="BY988" s="60">
        <f t="shared" si="1186"/>
        <v>0</v>
      </c>
      <c r="BZ988" s="60">
        <f t="shared" si="1187"/>
        <v>0</v>
      </c>
      <c r="CA988" s="60">
        <f t="shared" si="1188"/>
        <v>0</v>
      </c>
      <c r="CB988" s="60" t="e">
        <f t="shared" si="1138"/>
        <v>#N/A</v>
      </c>
      <c r="CC988" s="60">
        <f t="shared" si="1139"/>
        <v>100000</v>
      </c>
      <c r="CD988" s="60" t="e">
        <f t="shared" si="1140"/>
        <v>#N/A</v>
      </c>
      <c r="CE988" s="60">
        <f t="shared" si="1141"/>
        <v>100000</v>
      </c>
      <c r="CF988" s="83" t="e">
        <f t="shared" si="1189"/>
        <v>#N/A</v>
      </c>
      <c r="CG988" s="83">
        <f t="shared" si="1190"/>
        <v>0</v>
      </c>
      <c r="CH988" s="83" t="e">
        <f t="shared" si="1191"/>
        <v>#N/A</v>
      </c>
      <c r="CI988" s="83">
        <f t="shared" si="1192"/>
        <v>0</v>
      </c>
      <c r="CJ988" s="86" t="e">
        <f t="shared" si="1142"/>
        <v>#N/A</v>
      </c>
      <c r="CK988" s="82">
        <f t="shared" si="1143"/>
        <v>5.3070370403969858E-3</v>
      </c>
      <c r="CL988" s="82" t="e">
        <f t="shared" si="1144"/>
        <v>#N/A</v>
      </c>
      <c r="CM988" s="82">
        <f t="shared" si="1145"/>
        <v>5.3070370403969858E-3</v>
      </c>
      <c r="CO988" s="149" t="str">
        <f>IF($I988&lt;&gt;"",IF(O988="User Specified",U988,INDEX('Refrigerant GWPs'!$G$2:$G$156,MATCH(O988,'Refrigerant GWPs'!$A$2:$A$156,0))),"")</f>
        <v/>
      </c>
      <c r="CP988" s="138" t="str">
        <f>IF($I988&lt;&gt;"",INDEX('Device Refrigerant Leakage'!$E$2:$E$42,MATCH($M988,'Device Refrigerant Leakage'!$B$2:$B$42,0)),"")</f>
        <v/>
      </c>
      <c r="CQ988" s="138" t="str">
        <f>IF($I988&lt;&gt;"",INDEX('Device Refrigerant Leakage'!$F$2:$F$42,MATCH($M988,'Device Refrigerant Leakage'!$B$2:$B$42,0)),"")</f>
        <v/>
      </c>
      <c r="CR988" s="145" t="str">
        <f>IF($I988&lt;&gt;"",INDEX('Device Refrigerant Leakage'!$G$2:$G$42,MATCH($M988,'Device Refrigerant Leakage'!$B$2:$B$42,0)),"")</f>
        <v/>
      </c>
      <c r="CS988" s="145" t="str">
        <f>IF($I988&lt;&gt;"",INDEX('Device Refrigerant Leakage'!$D$2:$D$42,MATCH($M988,'Device Refrigerant Leakage'!$B$2:$B$42,0))*CP988/2204.62*CO988,"")</f>
        <v/>
      </c>
      <c r="CT988" s="145" t="str">
        <f>IF($I988&lt;&gt;"",J988*(INDEX('Device Refrigerant Leakage'!$D$2:$D$42,MATCH($M988,'Device Refrigerant Leakage'!$B$2:$B$42,0))-(INDEX('Device Refrigerant Leakage'!$D$2:$D$42,MATCH($M988,'Device Refrigerant Leakage'!$B$2:$B$42,0)))*CR988*CP988)*CQ988/2204.62*CO988,"")</f>
        <v/>
      </c>
      <c r="CU988" s="135" t="str">
        <f>IF($I988&lt;&gt;"",J988*IF(W988&lt;&gt;"AR",(CS988*K988)+CT988,(CS988*AB988)+CT988*(AB988/INDEX('Device Refrigerant Leakage'!$C$2:$C$42,MATCH($M988,'Device Refrigerant Leakage'!$B$2:$B$42,0)))),"")</f>
        <v/>
      </c>
      <c r="CW988" s="135" t="str">
        <f>IF($I988&lt;&gt;"",IF(S988="User Specified",V988,INDEX('Refrigerant GWPs'!$G$2:$G$156,MATCH(S988,'Refrigerant GWPs'!$A$2:$A$157,0))),"")</f>
        <v/>
      </c>
      <c r="CX988" s="138" t="str">
        <f>IF($I988&lt;&gt;"",INDEX('Device Refrigerant Leakage'!$E$2:$E$42,MATCH($Q988,'Device Refrigerant Leakage'!$B$2:$B$42,0)),"")</f>
        <v/>
      </c>
      <c r="CY988" s="138" t="str">
        <f>IF($I988&lt;&gt;"",INDEX('Device Refrigerant Leakage'!$F$2:$F$42,MATCH($Q988,'Device Refrigerant Leakage'!$B$2:$B$42,0)),"")</f>
        <v/>
      </c>
      <c r="CZ988" s="145" t="str">
        <f>IF($I988&lt;&gt;"",INDEX('Device Refrigerant Leakage'!$G$2:$G$42,MATCH($Q988,'Device Refrigerant Leakage'!$B$2:$B$42,0)),"")</f>
        <v/>
      </c>
      <c r="DA988" s="145" t="str">
        <f>IF($I988&lt;&gt;"",J988*INDEX('Device Refrigerant Leakage'!$D$2:$D$42,MATCH($Q988,'Device Refrigerant Leakage'!$B$2:$B$42,0))*CX988/2204.62*CW988,"")</f>
        <v/>
      </c>
      <c r="DB988" s="145" t="str">
        <f>IF($I988&lt;&gt;"",J988*(INDEX('Device Refrigerant Leakage'!$D$2:$D$42,MATCH($Q988,'Device Refrigerant Leakage'!$B$2:$B$42,0))-(INDEX('Device Refrigerant Leakage'!$D$2:$D$42,MATCH($Q988,'Device Refrigerant Leakage'!$B$2:$B$42,0)))*CZ988*CX988)*CY988/2204.62*CW988,"")</f>
        <v/>
      </c>
      <c r="DC988" s="135" t="str">
        <f t="shared" si="1164"/>
        <v/>
      </c>
      <c r="DE988" s="146" t="str">
        <f>IF(W988&lt;&gt;"AR","",IF(Y988="User Specified", AA988, INDEX('Refrigerant GWPs'!$G$2:$G$154,MATCH(Y988,'Refrigerant GWPs'!$A$2:$A$154,0))))</f>
        <v/>
      </c>
      <c r="DF988" s="146" t="str">
        <f>IF(W988&lt;&gt;"AR","",INDEX('Device Refrigerant Leakage'!$E$2:$E$42,MATCH(X988,'Device Refrigerant Leakage'!$B$2:$B$42,0)))</f>
        <v/>
      </c>
      <c r="DG988" s="146" t="str">
        <f>IF(W988&lt;&gt;"AR","",INDEX('Device Refrigerant Leakage'!$F$2:$F$42,MATCH(X988,'Device Refrigerant Leakage'!$B$2:$B$42,0)))</f>
        <v/>
      </c>
      <c r="DH988" s="146" t="str">
        <f>IF(W988&lt;&gt;"AR","",INDEX('Device Refrigerant Leakage'!$G$2:$G$42,MATCH(X988,'Device Refrigerant Leakage'!$B$2:$B$42,0)))</f>
        <v/>
      </c>
      <c r="DI988" s="146" t="str">
        <f>IF(W988&lt;&gt;"AR","",J988*INDEX('Device Refrigerant Leakage'!$D$2:$D$42,MATCH(X988,'Device Refrigerant Leakage'!$B$2:$B$42,0))*DF988/2204.62*DE988)</f>
        <v/>
      </c>
      <c r="DJ988" s="146" t="str">
        <f>IF(W988&lt;&gt;"AR","",J988*(INDEX('Device Refrigerant Leakage'!$D$2:$D$42,MATCH(X988,'Device Refrigerant Leakage'!$B$2:$B$42,0))-(INDEX('Device Refrigerant Leakage'!$D$2:$D$42,MATCH(X988,'Device Refrigerant Leakage'!$B$2:$B$42,0)))*DH988*DF988)*DG988/2204.62*DE988)</f>
        <v/>
      </c>
      <c r="DK988" s="146" t="str">
        <f>IF(W988&lt;&gt;"AR","",DI988*(K988-AB988)+'Fuel Sub Calcs-Deemed'!DJ988*((K988-AB988)/INDEX('Device Refrigerant Leakage'!$C$2:$C$42,MATCH('Fuel Sub Calcs-Deemed'!X988,'Device Refrigerant Leakage'!$B$2:$B$42,0))))</f>
        <v/>
      </c>
      <c r="DM988" s="56">
        <v>974</v>
      </c>
      <c r="DN988" s="67" t="e">
        <f t="shared" si="1146"/>
        <v>#N/A</v>
      </c>
      <c r="DO988" s="45" t="e">
        <f t="shared" si="1147"/>
        <v>#N/A</v>
      </c>
      <c r="DP988" s="67" t="e">
        <f t="shared" si="1148"/>
        <v>#N/A</v>
      </c>
      <c r="DQ988" s="45" t="e">
        <f t="shared" si="1149"/>
        <v>#N/A</v>
      </c>
      <c r="DR988" s="69" t="e">
        <f t="shared" si="1150"/>
        <v>#N/A</v>
      </c>
      <c r="DS988" s="34"/>
      <c r="DT988" s="67" t="e">
        <f>((BX988*CJ988)+IF($W988=MAT_AR,(BZ988*CL988),0))*(1+Reference!$E$50+Reference!$E$51)</f>
        <v>#N/A</v>
      </c>
      <c r="DU988" s="67">
        <f>((BY988*CK988)+IF($W988=MAT_AR,(CA988*CM988),0))*(1+Reference!$G$50+Reference!$G$51)</f>
        <v>0</v>
      </c>
      <c r="DV988" s="67" t="e">
        <f t="shared" si="1151"/>
        <v>#VALUE!</v>
      </c>
      <c r="DX988" s="56">
        <v>974</v>
      </c>
      <c r="DY988" s="67">
        <f t="shared" si="1152"/>
        <v>0</v>
      </c>
      <c r="DZ988" s="45" t="e">
        <f>VLOOKUP($R988,Dropdown!$C$3:$D$4,2,FALSE)</f>
        <v>#N/A</v>
      </c>
      <c r="EA988" s="68">
        <f t="shared" si="1153"/>
        <v>0</v>
      </c>
      <c r="EB988" s="68" t="str">
        <f t="shared" si="1154"/>
        <v>N/A</v>
      </c>
      <c r="EC988" s="68">
        <f t="shared" si="1155"/>
        <v>0</v>
      </c>
      <c r="ED988" s="68" t="str">
        <f t="shared" si="1193"/>
        <v>N/A</v>
      </c>
      <c r="EF988" s="56">
        <v>974</v>
      </c>
      <c r="EG988" s="46">
        <f t="shared" si="1156"/>
        <v>0</v>
      </c>
      <c r="EH988" s="68" t="e">
        <f t="shared" si="1194"/>
        <v>#N/A</v>
      </c>
      <c r="EI988" s="68" t="e">
        <f t="shared" si="1195"/>
        <v>#N/A</v>
      </c>
      <c r="EJ988" s="68" t="e">
        <f t="shared" si="1196"/>
        <v>#N/A</v>
      </c>
      <c r="EK988" s="68" t="e">
        <f t="shared" si="1197"/>
        <v>#N/A</v>
      </c>
      <c r="EL988" s="46">
        <f t="shared" si="1161"/>
        <v>0</v>
      </c>
      <c r="EM988" s="46">
        <f t="shared" si="1198"/>
        <v>0</v>
      </c>
    </row>
    <row r="989" spans="1:143">
      <c r="A989" s="89"/>
      <c r="B989" s="89"/>
      <c r="C989" s="89"/>
      <c r="D989" s="89"/>
      <c r="E989" s="89"/>
      <c r="F989" s="89"/>
      <c r="G989" s="34"/>
      <c r="H989" s="56">
        <f t="shared" si="1163"/>
        <v>975</v>
      </c>
      <c r="I989" s="165"/>
      <c r="J989" s="163"/>
      <c r="K989" s="163"/>
      <c r="L989" s="164"/>
      <c r="M989" s="155"/>
      <c r="N989" s="155"/>
      <c r="O989" s="144"/>
      <c r="P989" s="159" t="str">
        <f>IFERROR(IF(O989&lt;&gt;"User Specified",IF(O989&lt;&gt;"", INDEX('Refrigerant GWPs'!$G$2:$G$154,MATCH(O989,'Refrigerant GWPs'!$A$2:$A$154,0)),""),U989),0)</f>
        <v/>
      </c>
      <c r="Q989" s="155"/>
      <c r="R989" s="155"/>
      <c r="S989" s="144"/>
      <c r="T989" s="159" t="str">
        <f>IF(S989&lt;&gt;"User Specified",IF(AND(S989&lt;&gt;"User Specified",S989&lt;&gt;""), INDEX('Refrigerant GWPs'!$G$2:$G$154,MATCH(S989,'Refrigerant GWPs'!$A$2:$A$154,0)),""),V989)</f>
        <v/>
      </c>
      <c r="U989" s="144"/>
      <c r="V989" s="144"/>
      <c r="W989" s="155"/>
      <c r="X989" s="155"/>
      <c r="Y989" s="144"/>
      <c r="Z989" s="159" t="str">
        <f>IF(AND(Y989&lt;&gt;"User Specified",Y989&lt;&gt;""), INDEX('Refrigerant GWPs'!$G$2:$G$154,MATCH(Y989,'Refrigerant GWPs'!$A$2:$A$154,0)),"")</f>
        <v/>
      </c>
      <c r="AA989" s="155"/>
      <c r="AB989" s="156"/>
      <c r="AC989" s="66"/>
      <c r="AD989" s="66"/>
      <c r="AE989" s="66"/>
      <c r="AF989" s="66"/>
      <c r="AG989" s="66"/>
      <c r="AH989" s="66"/>
      <c r="AI989" s="34"/>
      <c r="AJ989" s="88">
        <f t="shared" si="1126"/>
        <v>0</v>
      </c>
      <c r="AK989" s="88">
        <f t="shared" si="1127"/>
        <v>0</v>
      </c>
      <c r="AL989" s="88">
        <v>0</v>
      </c>
      <c r="AM989" s="88">
        <v>0</v>
      </c>
      <c r="AN989" s="81" t="str">
        <f t="shared" si="1165"/>
        <v/>
      </c>
      <c r="AO989" s="88">
        <f t="shared" si="1128"/>
        <v>0</v>
      </c>
      <c r="AP989" s="88">
        <f t="shared" si="1129"/>
        <v>0</v>
      </c>
      <c r="AQ989" s="81" t="str">
        <f t="shared" si="1130"/>
        <v/>
      </c>
      <c r="AS989" s="41" t="b">
        <f t="shared" si="1131"/>
        <v>1</v>
      </c>
      <c r="AT989" s="38">
        <f t="shared" si="1132"/>
        <v>0</v>
      </c>
      <c r="AU989" s="60">
        <f t="shared" si="1133"/>
        <v>0</v>
      </c>
      <c r="AV989" s="41">
        <f t="shared" si="1134"/>
        <v>0</v>
      </c>
      <c r="AW989" s="41" t="b">
        <f t="shared" si="1135"/>
        <v>0</v>
      </c>
      <c r="AX989" t="str">
        <f t="shared" si="1136"/>
        <v>+00</v>
      </c>
      <c r="AY989" t="str">
        <f t="shared" si="1137"/>
        <v>+00</v>
      </c>
      <c r="BA989" s="47" t="b">
        <f t="shared" si="1166"/>
        <v>1</v>
      </c>
      <c r="BB989" s="42" t="b">
        <f t="shared" si="1167"/>
        <v>1</v>
      </c>
      <c r="BC989" s="42" t="b">
        <f t="shared" si="1168"/>
        <v>0</v>
      </c>
      <c r="BD989" s="42" t="b">
        <f t="shared" si="1169"/>
        <v>0</v>
      </c>
      <c r="BE989" s="70">
        <f t="shared" si="1170"/>
        <v>0</v>
      </c>
      <c r="BF989" s="70">
        <f t="shared" si="1171"/>
        <v>0</v>
      </c>
      <c r="BG989" s="34"/>
      <c r="BI989" s="47" t="b">
        <f t="shared" si="1172"/>
        <v>1</v>
      </c>
      <c r="BJ989" s="47" t="b">
        <f t="shared" si="1173"/>
        <v>1</v>
      </c>
      <c r="BK989" s="42" t="b">
        <f t="shared" si="1174"/>
        <v>0</v>
      </c>
      <c r="BL989" s="42" t="b">
        <f t="shared" si="1175"/>
        <v>0</v>
      </c>
      <c r="BM989" s="42">
        <f t="shared" si="1176"/>
        <v>0</v>
      </c>
      <c r="BN989" s="42">
        <f t="shared" si="1177"/>
        <v>0</v>
      </c>
      <c r="BP989" t="e">
        <f t="shared" si="1178"/>
        <v>#N/A</v>
      </c>
      <c r="BQ989" t="e">
        <f t="shared" si="1179"/>
        <v>#N/A</v>
      </c>
      <c r="BR989" t="e">
        <f t="shared" si="1180"/>
        <v>#N/A</v>
      </c>
      <c r="BT989" s="60">
        <f t="shared" si="1181"/>
        <v>0</v>
      </c>
      <c r="BU989" s="60">
        <f t="shared" si="1182"/>
        <v>0</v>
      </c>
      <c r="BV989" s="60">
        <f t="shared" si="1183"/>
        <v>0</v>
      </c>
      <c r="BW989" s="60">
        <f t="shared" si="1184"/>
        <v>0</v>
      </c>
      <c r="BX989" s="60">
        <f t="shared" si="1185"/>
        <v>0</v>
      </c>
      <c r="BY989" s="60">
        <f t="shared" si="1186"/>
        <v>0</v>
      </c>
      <c r="BZ989" s="60">
        <f t="shared" si="1187"/>
        <v>0</v>
      </c>
      <c r="CA989" s="60">
        <f t="shared" si="1188"/>
        <v>0</v>
      </c>
      <c r="CB989" s="60" t="e">
        <f t="shared" si="1138"/>
        <v>#N/A</v>
      </c>
      <c r="CC989" s="60">
        <f t="shared" si="1139"/>
        <v>100000</v>
      </c>
      <c r="CD989" s="60" t="e">
        <f t="shared" si="1140"/>
        <v>#N/A</v>
      </c>
      <c r="CE989" s="60">
        <f t="shared" si="1141"/>
        <v>100000</v>
      </c>
      <c r="CF989" s="83" t="e">
        <f t="shared" si="1189"/>
        <v>#N/A</v>
      </c>
      <c r="CG989" s="83">
        <f t="shared" si="1190"/>
        <v>0</v>
      </c>
      <c r="CH989" s="83" t="e">
        <f t="shared" si="1191"/>
        <v>#N/A</v>
      </c>
      <c r="CI989" s="83">
        <f t="shared" si="1192"/>
        <v>0</v>
      </c>
      <c r="CJ989" s="86" t="e">
        <f t="shared" si="1142"/>
        <v>#N/A</v>
      </c>
      <c r="CK989" s="82">
        <f t="shared" si="1143"/>
        <v>5.3070370403969858E-3</v>
      </c>
      <c r="CL989" s="82" t="e">
        <f t="shared" si="1144"/>
        <v>#N/A</v>
      </c>
      <c r="CM989" s="82">
        <f t="shared" si="1145"/>
        <v>5.3070370403969858E-3</v>
      </c>
      <c r="CO989" s="149" t="str">
        <f>IF($I989&lt;&gt;"",IF(O989="User Specified",U989,INDEX('Refrigerant GWPs'!$G$2:$G$156,MATCH(O989,'Refrigerant GWPs'!$A$2:$A$156,0))),"")</f>
        <v/>
      </c>
      <c r="CP989" s="138" t="str">
        <f>IF($I989&lt;&gt;"",INDEX('Device Refrigerant Leakage'!$E$2:$E$42,MATCH($M989,'Device Refrigerant Leakage'!$B$2:$B$42,0)),"")</f>
        <v/>
      </c>
      <c r="CQ989" s="138" t="str">
        <f>IF($I989&lt;&gt;"",INDEX('Device Refrigerant Leakage'!$F$2:$F$42,MATCH($M989,'Device Refrigerant Leakage'!$B$2:$B$42,0)),"")</f>
        <v/>
      </c>
      <c r="CR989" s="145" t="str">
        <f>IF($I989&lt;&gt;"",INDEX('Device Refrigerant Leakage'!$G$2:$G$42,MATCH($M989,'Device Refrigerant Leakage'!$B$2:$B$42,0)),"")</f>
        <v/>
      </c>
      <c r="CS989" s="145" t="str">
        <f>IF($I989&lt;&gt;"",INDEX('Device Refrigerant Leakage'!$D$2:$D$42,MATCH($M989,'Device Refrigerant Leakage'!$B$2:$B$42,0))*CP989/2204.62*CO989,"")</f>
        <v/>
      </c>
      <c r="CT989" s="145" t="str">
        <f>IF($I989&lt;&gt;"",J989*(INDEX('Device Refrigerant Leakage'!$D$2:$D$42,MATCH($M989,'Device Refrigerant Leakage'!$B$2:$B$42,0))-(INDEX('Device Refrigerant Leakage'!$D$2:$D$42,MATCH($M989,'Device Refrigerant Leakage'!$B$2:$B$42,0)))*CR989*CP989)*CQ989/2204.62*CO989,"")</f>
        <v/>
      </c>
      <c r="CU989" s="135" t="str">
        <f>IF($I989&lt;&gt;"",J989*IF(W989&lt;&gt;"AR",(CS989*K989)+CT989,(CS989*AB989)+CT989*(AB989/INDEX('Device Refrigerant Leakage'!$C$2:$C$42,MATCH($M989,'Device Refrigerant Leakage'!$B$2:$B$42,0)))),"")</f>
        <v/>
      </c>
      <c r="CW989" s="135" t="str">
        <f>IF($I989&lt;&gt;"",IF(S989="User Specified",V989,INDEX('Refrigerant GWPs'!$G$2:$G$156,MATCH(S989,'Refrigerant GWPs'!$A$2:$A$157,0))),"")</f>
        <v/>
      </c>
      <c r="CX989" s="138" t="str">
        <f>IF($I989&lt;&gt;"",INDEX('Device Refrigerant Leakage'!$E$2:$E$42,MATCH($Q989,'Device Refrigerant Leakage'!$B$2:$B$42,0)),"")</f>
        <v/>
      </c>
      <c r="CY989" s="138" t="str">
        <f>IF($I989&lt;&gt;"",INDEX('Device Refrigerant Leakage'!$F$2:$F$42,MATCH($Q989,'Device Refrigerant Leakage'!$B$2:$B$42,0)),"")</f>
        <v/>
      </c>
      <c r="CZ989" s="145" t="str">
        <f>IF($I989&lt;&gt;"",INDEX('Device Refrigerant Leakage'!$G$2:$G$42,MATCH($Q989,'Device Refrigerant Leakage'!$B$2:$B$42,0)),"")</f>
        <v/>
      </c>
      <c r="DA989" s="145" t="str">
        <f>IF($I989&lt;&gt;"",J989*INDEX('Device Refrigerant Leakage'!$D$2:$D$42,MATCH($Q989,'Device Refrigerant Leakage'!$B$2:$B$42,0))*CX989/2204.62*CW989,"")</f>
        <v/>
      </c>
      <c r="DB989" s="145" t="str">
        <f>IF($I989&lt;&gt;"",J989*(INDEX('Device Refrigerant Leakage'!$D$2:$D$42,MATCH($Q989,'Device Refrigerant Leakage'!$B$2:$B$42,0))-(INDEX('Device Refrigerant Leakage'!$D$2:$D$42,MATCH($Q989,'Device Refrigerant Leakage'!$B$2:$B$42,0)))*CZ989*CX989)*CY989/2204.62*CW989,"")</f>
        <v/>
      </c>
      <c r="DC989" s="135" t="str">
        <f t="shared" si="1164"/>
        <v/>
      </c>
      <c r="DE989" s="146" t="str">
        <f>IF(W989&lt;&gt;"AR","",IF(Y989="User Specified", AA989, INDEX('Refrigerant GWPs'!$G$2:$G$154,MATCH(Y989,'Refrigerant GWPs'!$A$2:$A$154,0))))</f>
        <v/>
      </c>
      <c r="DF989" s="146" t="str">
        <f>IF(W989&lt;&gt;"AR","",INDEX('Device Refrigerant Leakage'!$E$2:$E$42,MATCH(X989,'Device Refrigerant Leakage'!$B$2:$B$42,0)))</f>
        <v/>
      </c>
      <c r="DG989" s="146" t="str">
        <f>IF(W989&lt;&gt;"AR","",INDEX('Device Refrigerant Leakage'!$F$2:$F$42,MATCH(X989,'Device Refrigerant Leakage'!$B$2:$B$42,0)))</f>
        <v/>
      </c>
      <c r="DH989" s="146" t="str">
        <f>IF(W989&lt;&gt;"AR","",INDEX('Device Refrigerant Leakage'!$G$2:$G$42,MATCH(X989,'Device Refrigerant Leakage'!$B$2:$B$42,0)))</f>
        <v/>
      </c>
      <c r="DI989" s="146" t="str">
        <f>IF(W989&lt;&gt;"AR","",J989*INDEX('Device Refrigerant Leakage'!$D$2:$D$42,MATCH(X989,'Device Refrigerant Leakage'!$B$2:$B$42,0))*DF989/2204.62*DE989)</f>
        <v/>
      </c>
      <c r="DJ989" s="146" t="str">
        <f>IF(W989&lt;&gt;"AR","",J989*(INDEX('Device Refrigerant Leakage'!$D$2:$D$42,MATCH(X989,'Device Refrigerant Leakage'!$B$2:$B$42,0))-(INDEX('Device Refrigerant Leakage'!$D$2:$D$42,MATCH(X989,'Device Refrigerant Leakage'!$B$2:$B$42,0)))*DH989*DF989)*DG989/2204.62*DE989)</f>
        <v/>
      </c>
      <c r="DK989" s="146" t="str">
        <f>IF(W989&lt;&gt;"AR","",DI989*(K989-AB989)+'Fuel Sub Calcs-Deemed'!DJ989*((K989-AB989)/INDEX('Device Refrigerant Leakage'!$C$2:$C$42,MATCH('Fuel Sub Calcs-Deemed'!X989,'Device Refrigerant Leakage'!$B$2:$B$42,0))))</f>
        <v/>
      </c>
      <c r="DM989" s="56">
        <v>975</v>
      </c>
      <c r="DN989" s="67" t="e">
        <f t="shared" si="1146"/>
        <v>#N/A</v>
      </c>
      <c r="DO989" s="45" t="e">
        <f t="shared" si="1147"/>
        <v>#N/A</v>
      </c>
      <c r="DP989" s="67" t="e">
        <f t="shared" si="1148"/>
        <v>#N/A</v>
      </c>
      <c r="DQ989" s="45" t="e">
        <f t="shared" si="1149"/>
        <v>#N/A</v>
      </c>
      <c r="DR989" s="69" t="e">
        <f t="shared" si="1150"/>
        <v>#N/A</v>
      </c>
      <c r="DS989" s="34"/>
      <c r="DT989" s="67" t="e">
        <f>((BX989*CJ989)+IF($W989=MAT_AR,(BZ989*CL989),0))*(1+Reference!$E$50+Reference!$E$51)</f>
        <v>#N/A</v>
      </c>
      <c r="DU989" s="67">
        <f>((BY989*CK989)+IF($W989=MAT_AR,(CA989*CM989),0))*(1+Reference!$G$50+Reference!$G$51)</f>
        <v>0</v>
      </c>
      <c r="DV989" s="67" t="e">
        <f t="shared" si="1151"/>
        <v>#VALUE!</v>
      </c>
      <c r="DX989" s="56">
        <v>975</v>
      </c>
      <c r="DY989" s="67">
        <f t="shared" si="1152"/>
        <v>0</v>
      </c>
      <c r="DZ989" s="45" t="e">
        <f>VLOOKUP($R989,Dropdown!$C$3:$D$4,2,FALSE)</f>
        <v>#N/A</v>
      </c>
      <c r="EA989" s="68">
        <f t="shared" si="1153"/>
        <v>0</v>
      </c>
      <c r="EB989" s="68" t="str">
        <f t="shared" si="1154"/>
        <v>N/A</v>
      </c>
      <c r="EC989" s="68">
        <f t="shared" si="1155"/>
        <v>0</v>
      </c>
      <c r="ED989" s="68" t="str">
        <f t="shared" si="1193"/>
        <v>N/A</v>
      </c>
      <c r="EF989" s="56">
        <v>975</v>
      </c>
      <c r="EG989" s="46">
        <f t="shared" si="1156"/>
        <v>0</v>
      </c>
      <c r="EH989" s="68" t="e">
        <f t="shared" si="1194"/>
        <v>#N/A</v>
      </c>
      <c r="EI989" s="68" t="e">
        <f t="shared" si="1195"/>
        <v>#N/A</v>
      </c>
      <c r="EJ989" s="68" t="e">
        <f t="shared" si="1196"/>
        <v>#N/A</v>
      </c>
      <c r="EK989" s="68" t="e">
        <f t="shared" si="1197"/>
        <v>#N/A</v>
      </c>
      <c r="EL989" s="46">
        <f t="shared" si="1161"/>
        <v>0</v>
      </c>
      <c r="EM989" s="46">
        <f t="shared" si="1198"/>
        <v>0</v>
      </c>
    </row>
    <row r="990" spans="1:143">
      <c r="A990" s="89"/>
      <c r="B990" s="89"/>
      <c r="C990" s="89"/>
      <c r="D990" s="89"/>
      <c r="E990" s="89"/>
      <c r="F990" s="89"/>
      <c r="G990" s="34"/>
      <c r="H990" s="56">
        <f t="shared" si="1163"/>
        <v>976</v>
      </c>
      <c r="I990" s="165"/>
      <c r="J990" s="163"/>
      <c r="K990" s="163"/>
      <c r="L990" s="164"/>
      <c r="M990" s="155"/>
      <c r="N990" s="155"/>
      <c r="O990" s="144"/>
      <c r="P990" s="159" t="str">
        <f>IFERROR(IF(O990&lt;&gt;"User Specified",IF(O990&lt;&gt;"", INDEX('Refrigerant GWPs'!$G$2:$G$154,MATCH(O990,'Refrigerant GWPs'!$A$2:$A$154,0)),""),U990),0)</f>
        <v/>
      </c>
      <c r="Q990" s="155"/>
      <c r="R990" s="155"/>
      <c r="S990" s="144"/>
      <c r="T990" s="159" t="str">
        <f>IF(S990&lt;&gt;"User Specified",IF(AND(S990&lt;&gt;"User Specified",S990&lt;&gt;""), INDEX('Refrigerant GWPs'!$G$2:$G$154,MATCH(S990,'Refrigerant GWPs'!$A$2:$A$154,0)),""),V990)</f>
        <v/>
      </c>
      <c r="U990" s="144"/>
      <c r="V990" s="144"/>
      <c r="W990" s="155"/>
      <c r="X990" s="155"/>
      <c r="Y990" s="144"/>
      <c r="Z990" s="159" t="str">
        <f>IF(AND(Y990&lt;&gt;"User Specified",Y990&lt;&gt;""), INDEX('Refrigerant GWPs'!$G$2:$G$154,MATCH(Y990,'Refrigerant GWPs'!$A$2:$A$154,0)),"")</f>
        <v/>
      </c>
      <c r="AA990" s="155"/>
      <c r="AB990" s="156"/>
      <c r="AC990" s="66"/>
      <c r="AD990" s="66"/>
      <c r="AE990" s="66"/>
      <c r="AF990" s="66"/>
      <c r="AG990" s="66"/>
      <c r="AH990" s="66"/>
      <c r="AI990" s="34"/>
      <c r="AJ990" s="88">
        <f t="shared" si="1126"/>
        <v>0</v>
      </c>
      <c r="AK990" s="88">
        <f t="shared" si="1127"/>
        <v>0</v>
      </c>
      <c r="AL990" s="88">
        <v>0</v>
      </c>
      <c r="AM990" s="88">
        <v>0</v>
      </c>
      <c r="AN990" s="81" t="str">
        <f t="shared" si="1165"/>
        <v/>
      </c>
      <c r="AO990" s="88">
        <f t="shared" si="1128"/>
        <v>0</v>
      </c>
      <c r="AP990" s="88">
        <f t="shared" si="1129"/>
        <v>0</v>
      </c>
      <c r="AQ990" s="81" t="str">
        <f t="shared" si="1130"/>
        <v/>
      </c>
      <c r="AS990" s="41" t="b">
        <f t="shared" si="1131"/>
        <v>1</v>
      </c>
      <c r="AT990" s="38">
        <f t="shared" si="1132"/>
        <v>0</v>
      </c>
      <c r="AU990" s="60">
        <f t="shared" si="1133"/>
        <v>0</v>
      </c>
      <c r="AV990" s="41">
        <f t="shared" si="1134"/>
        <v>0</v>
      </c>
      <c r="AW990" s="41" t="b">
        <f t="shared" si="1135"/>
        <v>0</v>
      </c>
      <c r="AX990" t="str">
        <f t="shared" si="1136"/>
        <v>+00</v>
      </c>
      <c r="AY990" t="str">
        <f t="shared" si="1137"/>
        <v>+00</v>
      </c>
      <c r="BA990" s="47" t="b">
        <f t="shared" si="1166"/>
        <v>1</v>
      </c>
      <c r="BB990" s="42" t="b">
        <f t="shared" si="1167"/>
        <v>1</v>
      </c>
      <c r="BC990" s="42" t="b">
        <f t="shared" si="1168"/>
        <v>0</v>
      </c>
      <c r="BD990" s="42" t="b">
        <f t="shared" si="1169"/>
        <v>0</v>
      </c>
      <c r="BE990" s="70">
        <f t="shared" si="1170"/>
        <v>0</v>
      </c>
      <c r="BF990" s="70">
        <f t="shared" si="1171"/>
        <v>0</v>
      </c>
      <c r="BG990" s="34"/>
      <c r="BI990" s="47" t="b">
        <f t="shared" si="1172"/>
        <v>1</v>
      </c>
      <c r="BJ990" s="47" t="b">
        <f t="shared" si="1173"/>
        <v>1</v>
      </c>
      <c r="BK990" s="42" t="b">
        <f t="shared" si="1174"/>
        <v>0</v>
      </c>
      <c r="BL990" s="42" t="b">
        <f t="shared" si="1175"/>
        <v>0</v>
      </c>
      <c r="BM990" s="42">
        <f t="shared" si="1176"/>
        <v>0</v>
      </c>
      <c r="BN990" s="42">
        <f t="shared" si="1177"/>
        <v>0</v>
      </c>
      <c r="BP990" t="e">
        <f t="shared" si="1178"/>
        <v>#N/A</v>
      </c>
      <c r="BQ990" t="e">
        <f t="shared" si="1179"/>
        <v>#N/A</v>
      </c>
      <c r="BR990" t="e">
        <f t="shared" si="1180"/>
        <v>#N/A</v>
      </c>
      <c r="BT990" s="60">
        <f t="shared" si="1181"/>
        <v>0</v>
      </c>
      <c r="BU990" s="60">
        <f t="shared" si="1182"/>
        <v>0</v>
      </c>
      <c r="BV990" s="60">
        <f t="shared" si="1183"/>
        <v>0</v>
      </c>
      <c r="BW990" s="60">
        <f t="shared" si="1184"/>
        <v>0</v>
      </c>
      <c r="BX990" s="60">
        <f t="shared" si="1185"/>
        <v>0</v>
      </c>
      <c r="BY990" s="60">
        <f t="shared" si="1186"/>
        <v>0</v>
      </c>
      <c r="BZ990" s="60">
        <f t="shared" si="1187"/>
        <v>0</v>
      </c>
      <c r="CA990" s="60">
        <f t="shared" si="1188"/>
        <v>0</v>
      </c>
      <c r="CB990" s="60" t="e">
        <f t="shared" si="1138"/>
        <v>#N/A</v>
      </c>
      <c r="CC990" s="60">
        <f t="shared" si="1139"/>
        <v>100000</v>
      </c>
      <c r="CD990" s="60" t="e">
        <f t="shared" si="1140"/>
        <v>#N/A</v>
      </c>
      <c r="CE990" s="60">
        <f t="shared" si="1141"/>
        <v>100000</v>
      </c>
      <c r="CF990" s="83" t="e">
        <f t="shared" si="1189"/>
        <v>#N/A</v>
      </c>
      <c r="CG990" s="83">
        <f t="shared" si="1190"/>
        <v>0</v>
      </c>
      <c r="CH990" s="83" t="e">
        <f t="shared" si="1191"/>
        <v>#N/A</v>
      </c>
      <c r="CI990" s="83">
        <f t="shared" si="1192"/>
        <v>0</v>
      </c>
      <c r="CJ990" s="86" t="e">
        <f t="shared" si="1142"/>
        <v>#N/A</v>
      </c>
      <c r="CK990" s="82">
        <f t="shared" si="1143"/>
        <v>5.3070370403969858E-3</v>
      </c>
      <c r="CL990" s="82" t="e">
        <f t="shared" si="1144"/>
        <v>#N/A</v>
      </c>
      <c r="CM990" s="82">
        <f t="shared" si="1145"/>
        <v>5.3070370403969858E-3</v>
      </c>
      <c r="CO990" s="149" t="str">
        <f>IF($I990&lt;&gt;"",IF(O990="User Specified",U990,INDEX('Refrigerant GWPs'!$G$2:$G$156,MATCH(O990,'Refrigerant GWPs'!$A$2:$A$156,0))),"")</f>
        <v/>
      </c>
      <c r="CP990" s="138" t="str">
        <f>IF($I990&lt;&gt;"",INDEX('Device Refrigerant Leakage'!$E$2:$E$42,MATCH($M990,'Device Refrigerant Leakage'!$B$2:$B$42,0)),"")</f>
        <v/>
      </c>
      <c r="CQ990" s="138" t="str">
        <f>IF($I990&lt;&gt;"",INDEX('Device Refrigerant Leakage'!$F$2:$F$42,MATCH($M990,'Device Refrigerant Leakage'!$B$2:$B$42,0)),"")</f>
        <v/>
      </c>
      <c r="CR990" s="145" t="str">
        <f>IF($I990&lt;&gt;"",INDEX('Device Refrigerant Leakage'!$G$2:$G$42,MATCH($M990,'Device Refrigerant Leakage'!$B$2:$B$42,0)),"")</f>
        <v/>
      </c>
      <c r="CS990" s="145" t="str">
        <f>IF($I990&lt;&gt;"",INDEX('Device Refrigerant Leakage'!$D$2:$D$42,MATCH($M990,'Device Refrigerant Leakage'!$B$2:$B$42,0))*CP990/2204.62*CO990,"")</f>
        <v/>
      </c>
      <c r="CT990" s="145" t="str">
        <f>IF($I990&lt;&gt;"",J990*(INDEX('Device Refrigerant Leakage'!$D$2:$D$42,MATCH($M990,'Device Refrigerant Leakage'!$B$2:$B$42,0))-(INDEX('Device Refrigerant Leakage'!$D$2:$D$42,MATCH($M990,'Device Refrigerant Leakage'!$B$2:$B$42,0)))*CR990*CP990)*CQ990/2204.62*CO990,"")</f>
        <v/>
      </c>
      <c r="CU990" s="135" t="str">
        <f>IF($I990&lt;&gt;"",J990*IF(W990&lt;&gt;"AR",(CS990*K990)+CT990,(CS990*AB990)+CT990*(AB990/INDEX('Device Refrigerant Leakage'!$C$2:$C$42,MATCH($M990,'Device Refrigerant Leakage'!$B$2:$B$42,0)))),"")</f>
        <v/>
      </c>
      <c r="CW990" s="135" t="str">
        <f>IF($I990&lt;&gt;"",IF(S990="User Specified",V990,INDEX('Refrigerant GWPs'!$G$2:$G$156,MATCH(S990,'Refrigerant GWPs'!$A$2:$A$157,0))),"")</f>
        <v/>
      </c>
      <c r="CX990" s="138" t="str">
        <f>IF($I990&lt;&gt;"",INDEX('Device Refrigerant Leakage'!$E$2:$E$42,MATCH($Q990,'Device Refrigerant Leakage'!$B$2:$B$42,0)),"")</f>
        <v/>
      </c>
      <c r="CY990" s="138" t="str">
        <f>IF($I990&lt;&gt;"",INDEX('Device Refrigerant Leakage'!$F$2:$F$42,MATCH($Q990,'Device Refrigerant Leakage'!$B$2:$B$42,0)),"")</f>
        <v/>
      </c>
      <c r="CZ990" s="145" t="str">
        <f>IF($I990&lt;&gt;"",INDEX('Device Refrigerant Leakage'!$G$2:$G$42,MATCH($Q990,'Device Refrigerant Leakage'!$B$2:$B$42,0)),"")</f>
        <v/>
      </c>
      <c r="DA990" s="145" t="str">
        <f>IF($I990&lt;&gt;"",J990*INDEX('Device Refrigerant Leakage'!$D$2:$D$42,MATCH($Q990,'Device Refrigerant Leakage'!$B$2:$B$42,0))*CX990/2204.62*CW990,"")</f>
        <v/>
      </c>
      <c r="DB990" s="145" t="str">
        <f>IF($I990&lt;&gt;"",J990*(INDEX('Device Refrigerant Leakage'!$D$2:$D$42,MATCH($Q990,'Device Refrigerant Leakage'!$B$2:$B$42,0))-(INDEX('Device Refrigerant Leakage'!$D$2:$D$42,MATCH($Q990,'Device Refrigerant Leakage'!$B$2:$B$42,0)))*CZ990*CX990)*CY990/2204.62*CW990,"")</f>
        <v/>
      </c>
      <c r="DC990" s="135" t="str">
        <f t="shared" si="1164"/>
        <v/>
      </c>
      <c r="DE990" s="146" t="str">
        <f>IF(W990&lt;&gt;"AR","",IF(Y990="User Specified", AA990, INDEX('Refrigerant GWPs'!$G$2:$G$154,MATCH(Y990,'Refrigerant GWPs'!$A$2:$A$154,0))))</f>
        <v/>
      </c>
      <c r="DF990" s="146" t="str">
        <f>IF(W990&lt;&gt;"AR","",INDEX('Device Refrigerant Leakage'!$E$2:$E$42,MATCH(X990,'Device Refrigerant Leakage'!$B$2:$B$42,0)))</f>
        <v/>
      </c>
      <c r="DG990" s="146" t="str">
        <f>IF(W990&lt;&gt;"AR","",INDEX('Device Refrigerant Leakage'!$F$2:$F$42,MATCH(X990,'Device Refrigerant Leakage'!$B$2:$B$42,0)))</f>
        <v/>
      </c>
      <c r="DH990" s="146" t="str">
        <f>IF(W990&lt;&gt;"AR","",INDEX('Device Refrigerant Leakage'!$G$2:$G$42,MATCH(X990,'Device Refrigerant Leakage'!$B$2:$B$42,0)))</f>
        <v/>
      </c>
      <c r="DI990" s="146" t="str">
        <f>IF(W990&lt;&gt;"AR","",J990*INDEX('Device Refrigerant Leakage'!$D$2:$D$42,MATCH(X990,'Device Refrigerant Leakage'!$B$2:$B$42,0))*DF990/2204.62*DE990)</f>
        <v/>
      </c>
      <c r="DJ990" s="146" t="str">
        <f>IF(W990&lt;&gt;"AR","",J990*(INDEX('Device Refrigerant Leakage'!$D$2:$D$42,MATCH(X990,'Device Refrigerant Leakage'!$B$2:$B$42,0))-(INDEX('Device Refrigerant Leakage'!$D$2:$D$42,MATCH(X990,'Device Refrigerant Leakage'!$B$2:$B$42,0)))*DH990*DF990)*DG990/2204.62*DE990)</f>
        <v/>
      </c>
      <c r="DK990" s="146" t="str">
        <f>IF(W990&lt;&gt;"AR","",DI990*(K990-AB990)+'Fuel Sub Calcs-Deemed'!DJ990*((K990-AB990)/INDEX('Device Refrigerant Leakage'!$C$2:$C$42,MATCH('Fuel Sub Calcs-Deemed'!X990,'Device Refrigerant Leakage'!$B$2:$B$42,0))))</f>
        <v/>
      </c>
      <c r="DM990" s="56">
        <v>976</v>
      </c>
      <c r="DN990" s="67" t="e">
        <f t="shared" si="1146"/>
        <v>#N/A</v>
      </c>
      <c r="DO990" s="45" t="e">
        <f t="shared" si="1147"/>
        <v>#N/A</v>
      </c>
      <c r="DP990" s="67" t="e">
        <f t="shared" si="1148"/>
        <v>#N/A</v>
      </c>
      <c r="DQ990" s="45" t="e">
        <f t="shared" si="1149"/>
        <v>#N/A</v>
      </c>
      <c r="DR990" s="69" t="e">
        <f t="shared" si="1150"/>
        <v>#N/A</v>
      </c>
      <c r="DS990" s="34"/>
      <c r="DT990" s="67" t="e">
        <f>((BX990*CJ990)+IF($W990=MAT_AR,(BZ990*CL990),0))*(1+Reference!$E$50+Reference!$E$51)</f>
        <v>#N/A</v>
      </c>
      <c r="DU990" s="67">
        <f>((BY990*CK990)+IF($W990=MAT_AR,(CA990*CM990),0))*(1+Reference!$G$50+Reference!$G$51)</f>
        <v>0</v>
      </c>
      <c r="DV990" s="67" t="e">
        <f t="shared" si="1151"/>
        <v>#VALUE!</v>
      </c>
      <c r="DX990" s="56">
        <v>976</v>
      </c>
      <c r="DY990" s="67">
        <f t="shared" si="1152"/>
        <v>0</v>
      </c>
      <c r="DZ990" s="45" t="e">
        <f>VLOOKUP($R990,Dropdown!$C$3:$D$4,2,FALSE)</f>
        <v>#N/A</v>
      </c>
      <c r="EA990" s="68">
        <f t="shared" si="1153"/>
        <v>0</v>
      </c>
      <c r="EB990" s="68" t="str">
        <f t="shared" si="1154"/>
        <v>N/A</v>
      </c>
      <c r="EC990" s="68">
        <f t="shared" si="1155"/>
        <v>0</v>
      </c>
      <c r="ED990" s="68" t="str">
        <f t="shared" si="1193"/>
        <v>N/A</v>
      </c>
      <c r="EF990" s="56">
        <v>976</v>
      </c>
      <c r="EG990" s="46">
        <f t="shared" si="1156"/>
        <v>0</v>
      </c>
      <c r="EH990" s="68" t="e">
        <f t="shared" si="1194"/>
        <v>#N/A</v>
      </c>
      <c r="EI990" s="68" t="e">
        <f t="shared" si="1195"/>
        <v>#N/A</v>
      </c>
      <c r="EJ990" s="68" t="e">
        <f t="shared" si="1196"/>
        <v>#N/A</v>
      </c>
      <c r="EK990" s="68" t="e">
        <f t="shared" si="1197"/>
        <v>#N/A</v>
      </c>
      <c r="EL990" s="46">
        <f t="shared" si="1161"/>
        <v>0</v>
      </c>
      <c r="EM990" s="46">
        <f t="shared" si="1198"/>
        <v>0</v>
      </c>
    </row>
    <row r="991" spans="1:143">
      <c r="A991" s="89"/>
      <c r="B991" s="89"/>
      <c r="C991" s="89"/>
      <c r="D991" s="89"/>
      <c r="E991" s="89"/>
      <c r="F991" s="89"/>
      <c r="G991" s="34"/>
      <c r="H991" s="56">
        <f t="shared" si="1163"/>
        <v>977</v>
      </c>
      <c r="I991" s="165"/>
      <c r="J991" s="163"/>
      <c r="K991" s="163"/>
      <c r="L991" s="164"/>
      <c r="M991" s="155"/>
      <c r="N991" s="155"/>
      <c r="O991" s="144"/>
      <c r="P991" s="159" t="str">
        <f>IFERROR(IF(O991&lt;&gt;"User Specified",IF(O991&lt;&gt;"", INDEX('Refrigerant GWPs'!$G$2:$G$154,MATCH(O991,'Refrigerant GWPs'!$A$2:$A$154,0)),""),U991),0)</f>
        <v/>
      </c>
      <c r="Q991" s="155"/>
      <c r="R991" s="155"/>
      <c r="S991" s="144"/>
      <c r="T991" s="159" t="str">
        <f>IF(S991&lt;&gt;"User Specified",IF(AND(S991&lt;&gt;"User Specified",S991&lt;&gt;""), INDEX('Refrigerant GWPs'!$G$2:$G$154,MATCH(S991,'Refrigerant GWPs'!$A$2:$A$154,0)),""),V991)</f>
        <v/>
      </c>
      <c r="U991" s="144"/>
      <c r="V991" s="144"/>
      <c r="W991" s="155"/>
      <c r="X991" s="155"/>
      <c r="Y991" s="144"/>
      <c r="Z991" s="159" t="str">
        <f>IF(AND(Y991&lt;&gt;"User Specified",Y991&lt;&gt;""), INDEX('Refrigerant GWPs'!$G$2:$G$154,MATCH(Y991,'Refrigerant GWPs'!$A$2:$A$154,0)),"")</f>
        <v/>
      </c>
      <c r="AA991" s="155"/>
      <c r="AB991" s="156"/>
      <c r="AC991" s="66"/>
      <c r="AD991" s="66"/>
      <c r="AE991" s="66"/>
      <c r="AF991" s="66"/>
      <c r="AG991" s="66"/>
      <c r="AH991" s="66"/>
      <c r="AI991" s="34"/>
      <c r="AJ991" s="88">
        <f t="shared" si="1126"/>
        <v>0</v>
      </c>
      <c r="AK991" s="88">
        <f t="shared" si="1127"/>
        <v>0</v>
      </c>
      <c r="AL991" s="88">
        <v>0</v>
      </c>
      <c r="AM991" s="88">
        <v>0</v>
      </c>
      <c r="AN991" s="81" t="str">
        <f t="shared" si="1165"/>
        <v/>
      </c>
      <c r="AO991" s="88">
        <f t="shared" si="1128"/>
        <v>0</v>
      </c>
      <c r="AP991" s="88">
        <f t="shared" si="1129"/>
        <v>0</v>
      </c>
      <c r="AQ991" s="81" t="str">
        <f t="shared" si="1130"/>
        <v/>
      </c>
      <c r="AS991" s="41" t="b">
        <f t="shared" si="1131"/>
        <v>1</v>
      </c>
      <c r="AT991" s="38">
        <f t="shared" si="1132"/>
        <v>0</v>
      </c>
      <c r="AU991" s="60">
        <f t="shared" si="1133"/>
        <v>0</v>
      </c>
      <c r="AV991" s="41">
        <f t="shared" si="1134"/>
        <v>0</v>
      </c>
      <c r="AW991" s="41" t="b">
        <f t="shared" si="1135"/>
        <v>0</v>
      </c>
      <c r="AX991" t="str">
        <f t="shared" si="1136"/>
        <v>+00</v>
      </c>
      <c r="AY991" t="str">
        <f t="shared" si="1137"/>
        <v>+00</v>
      </c>
      <c r="BA991" s="47" t="b">
        <f t="shared" si="1166"/>
        <v>1</v>
      </c>
      <c r="BB991" s="42" t="b">
        <f t="shared" si="1167"/>
        <v>1</v>
      </c>
      <c r="BC991" s="42" t="b">
        <f t="shared" si="1168"/>
        <v>0</v>
      </c>
      <c r="BD991" s="42" t="b">
        <f t="shared" si="1169"/>
        <v>0</v>
      </c>
      <c r="BE991" s="70">
        <f t="shared" si="1170"/>
        <v>0</v>
      </c>
      <c r="BF991" s="70">
        <f t="shared" si="1171"/>
        <v>0</v>
      </c>
      <c r="BG991" s="34"/>
      <c r="BI991" s="47" t="b">
        <f t="shared" si="1172"/>
        <v>1</v>
      </c>
      <c r="BJ991" s="47" t="b">
        <f t="shared" si="1173"/>
        <v>1</v>
      </c>
      <c r="BK991" s="42" t="b">
        <f t="shared" si="1174"/>
        <v>0</v>
      </c>
      <c r="BL991" s="42" t="b">
        <f t="shared" si="1175"/>
        <v>0</v>
      </c>
      <c r="BM991" s="42">
        <f t="shared" si="1176"/>
        <v>0</v>
      </c>
      <c r="BN991" s="42">
        <f t="shared" si="1177"/>
        <v>0</v>
      </c>
      <c r="BP991" t="e">
        <f t="shared" si="1178"/>
        <v>#N/A</v>
      </c>
      <c r="BQ991" t="e">
        <f t="shared" si="1179"/>
        <v>#N/A</v>
      </c>
      <c r="BR991" t="e">
        <f t="shared" si="1180"/>
        <v>#N/A</v>
      </c>
      <c r="BT991" s="60">
        <f t="shared" si="1181"/>
        <v>0</v>
      </c>
      <c r="BU991" s="60">
        <f t="shared" si="1182"/>
        <v>0</v>
      </c>
      <c r="BV991" s="60">
        <f t="shared" si="1183"/>
        <v>0</v>
      </c>
      <c r="BW991" s="60">
        <f t="shared" si="1184"/>
        <v>0</v>
      </c>
      <c r="BX991" s="60">
        <f t="shared" si="1185"/>
        <v>0</v>
      </c>
      <c r="BY991" s="60">
        <f t="shared" si="1186"/>
        <v>0</v>
      </c>
      <c r="BZ991" s="60">
        <f t="shared" si="1187"/>
        <v>0</v>
      </c>
      <c r="CA991" s="60">
        <f t="shared" si="1188"/>
        <v>0</v>
      </c>
      <c r="CB991" s="60" t="e">
        <f t="shared" si="1138"/>
        <v>#N/A</v>
      </c>
      <c r="CC991" s="60">
        <f t="shared" si="1139"/>
        <v>100000</v>
      </c>
      <c r="CD991" s="60" t="e">
        <f t="shared" si="1140"/>
        <v>#N/A</v>
      </c>
      <c r="CE991" s="60">
        <f t="shared" si="1141"/>
        <v>100000</v>
      </c>
      <c r="CF991" s="83" t="e">
        <f t="shared" si="1189"/>
        <v>#N/A</v>
      </c>
      <c r="CG991" s="83">
        <f t="shared" si="1190"/>
        <v>0</v>
      </c>
      <c r="CH991" s="83" t="e">
        <f t="shared" si="1191"/>
        <v>#N/A</v>
      </c>
      <c r="CI991" s="83">
        <f t="shared" si="1192"/>
        <v>0</v>
      </c>
      <c r="CJ991" s="86" t="e">
        <f t="shared" si="1142"/>
        <v>#N/A</v>
      </c>
      <c r="CK991" s="82">
        <f t="shared" si="1143"/>
        <v>5.3070370403969858E-3</v>
      </c>
      <c r="CL991" s="82" t="e">
        <f t="shared" si="1144"/>
        <v>#N/A</v>
      </c>
      <c r="CM991" s="82">
        <f t="shared" si="1145"/>
        <v>5.3070370403969858E-3</v>
      </c>
      <c r="CO991" s="149" t="str">
        <f>IF($I991&lt;&gt;"",IF(O991="User Specified",U991,INDEX('Refrigerant GWPs'!$G$2:$G$156,MATCH(O991,'Refrigerant GWPs'!$A$2:$A$156,0))),"")</f>
        <v/>
      </c>
      <c r="CP991" s="138" t="str">
        <f>IF($I991&lt;&gt;"",INDEX('Device Refrigerant Leakage'!$E$2:$E$42,MATCH($M991,'Device Refrigerant Leakage'!$B$2:$B$42,0)),"")</f>
        <v/>
      </c>
      <c r="CQ991" s="138" t="str">
        <f>IF($I991&lt;&gt;"",INDEX('Device Refrigerant Leakage'!$F$2:$F$42,MATCH($M991,'Device Refrigerant Leakage'!$B$2:$B$42,0)),"")</f>
        <v/>
      </c>
      <c r="CR991" s="145" t="str">
        <f>IF($I991&lt;&gt;"",INDEX('Device Refrigerant Leakage'!$G$2:$G$42,MATCH($M991,'Device Refrigerant Leakage'!$B$2:$B$42,0)),"")</f>
        <v/>
      </c>
      <c r="CS991" s="145" t="str">
        <f>IF($I991&lt;&gt;"",INDEX('Device Refrigerant Leakage'!$D$2:$D$42,MATCH($M991,'Device Refrigerant Leakage'!$B$2:$B$42,0))*CP991/2204.62*CO991,"")</f>
        <v/>
      </c>
      <c r="CT991" s="145" t="str">
        <f>IF($I991&lt;&gt;"",J991*(INDEX('Device Refrigerant Leakage'!$D$2:$D$42,MATCH($M991,'Device Refrigerant Leakage'!$B$2:$B$42,0))-(INDEX('Device Refrigerant Leakage'!$D$2:$D$42,MATCH($M991,'Device Refrigerant Leakage'!$B$2:$B$42,0)))*CR991*CP991)*CQ991/2204.62*CO991,"")</f>
        <v/>
      </c>
      <c r="CU991" s="135" t="str">
        <f>IF($I991&lt;&gt;"",J991*IF(W991&lt;&gt;"AR",(CS991*K991)+CT991,(CS991*AB991)+CT991*(AB991/INDEX('Device Refrigerant Leakage'!$C$2:$C$42,MATCH($M991,'Device Refrigerant Leakage'!$B$2:$B$42,0)))),"")</f>
        <v/>
      </c>
      <c r="CW991" s="135" t="str">
        <f>IF($I991&lt;&gt;"",IF(S991="User Specified",V991,INDEX('Refrigerant GWPs'!$G$2:$G$156,MATCH(S991,'Refrigerant GWPs'!$A$2:$A$157,0))),"")</f>
        <v/>
      </c>
      <c r="CX991" s="138" t="str">
        <f>IF($I991&lt;&gt;"",INDEX('Device Refrigerant Leakage'!$E$2:$E$42,MATCH($Q991,'Device Refrigerant Leakage'!$B$2:$B$42,0)),"")</f>
        <v/>
      </c>
      <c r="CY991" s="138" t="str">
        <f>IF($I991&lt;&gt;"",INDEX('Device Refrigerant Leakage'!$F$2:$F$42,MATCH($Q991,'Device Refrigerant Leakage'!$B$2:$B$42,0)),"")</f>
        <v/>
      </c>
      <c r="CZ991" s="145" t="str">
        <f>IF($I991&lt;&gt;"",INDEX('Device Refrigerant Leakage'!$G$2:$G$42,MATCH($Q991,'Device Refrigerant Leakage'!$B$2:$B$42,0)),"")</f>
        <v/>
      </c>
      <c r="DA991" s="145" t="str">
        <f>IF($I991&lt;&gt;"",J991*INDEX('Device Refrigerant Leakage'!$D$2:$D$42,MATCH($Q991,'Device Refrigerant Leakage'!$B$2:$B$42,0))*CX991/2204.62*CW991,"")</f>
        <v/>
      </c>
      <c r="DB991" s="145" t="str">
        <f>IF($I991&lt;&gt;"",J991*(INDEX('Device Refrigerant Leakage'!$D$2:$D$42,MATCH($Q991,'Device Refrigerant Leakage'!$B$2:$B$42,0))-(INDEX('Device Refrigerant Leakage'!$D$2:$D$42,MATCH($Q991,'Device Refrigerant Leakage'!$B$2:$B$42,0)))*CZ991*CX991)*CY991/2204.62*CW991,"")</f>
        <v/>
      </c>
      <c r="DC991" s="135" t="str">
        <f t="shared" si="1164"/>
        <v/>
      </c>
      <c r="DE991" s="146" t="str">
        <f>IF(W991&lt;&gt;"AR","",IF(Y991="User Specified", AA991, INDEX('Refrigerant GWPs'!$G$2:$G$154,MATCH(Y991,'Refrigerant GWPs'!$A$2:$A$154,0))))</f>
        <v/>
      </c>
      <c r="DF991" s="146" t="str">
        <f>IF(W991&lt;&gt;"AR","",INDEX('Device Refrigerant Leakage'!$E$2:$E$42,MATCH(X991,'Device Refrigerant Leakage'!$B$2:$B$42,0)))</f>
        <v/>
      </c>
      <c r="DG991" s="146" t="str">
        <f>IF(W991&lt;&gt;"AR","",INDEX('Device Refrigerant Leakage'!$F$2:$F$42,MATCH(X991,'Device Refrigerant Leakage'!$B$2:$B$42,0)))</f>
        <v/>
      </c>
      <c r="DH991" s="146" t="str">
        <f>IF(W991&lt;&gt;"AR","",INDEX('Device Refrigerant Leakage'!$G$2:$G$42,MATCH(X991,'Device Refrigerant Leakage'!$B$2:$B$42,0)))</f>
        <v/>
      </c>
      <c r="DI991" s="146" t="str">
        <f>IF(W991&lt;&gt;"AR","",J991*INDEX('Device Refrigerant Leakage'!$D$2:$D$42,MATCH(X991,'Device Refrigerant Leakage'!$B$2:$B$42,0))*DF991/2204.62*DE991)</f>
        <v/>
      </c>
      <c r="DJ991" s="146" t="str">
        <f>IF(W991&lt;&gt;"AR","",J991*(INDEX('Device Refrigerant Leakage'!$D$2:$D$42,MATCH(X991,'Device Refrigerant Leakage'!$B$2:$B$42,0))-(INDEX('Device Refrigerant Leakage'!$D$2:$D$42,MATCH(X991,'Device Refrigerant Leakage'!$B$2:$B$42,0)))*DH991*DF991)*DG991/2204.62*DE991)</f>
        <v/>
      </c>
      <c r="DK991" s="146" t="str">
        <f>IF(W991&lt;&gt;"AR","",DI991*(K991-AB991)+'Fuel Sub Calcs-Deemed'!DJ991*((K991-AB991)/INDEX('Device Refrigerant Leakage'!$C$2:$C$42,MATCH('Fuel Sub Calcs-Deemed'!X991,'Device Refrigerant Leakage'!$B$2:$B$42,0))))</f>
        <v/>
      </c>
      <c r="DM991" s="56">
        <v>977</v>
      </c>
      <c r="DN991" s="67" t="e">
        <f t="shared" si="1146"/>
        <v>#N/A</v>
      </c>
      <c r="DO991" s="45" t="e">
        <f t="shared" si="1147"/>
        <v>#N/A</v>
      </c>
      <c r="DP991" s="67" t="e">
        <f t="shared" si="1148"/>
        <v>#N/A</v>
      </c>
      <c r="DQ991" s="45" t="e">
        <f t="shared" si="1149"/>
        <v>#N/A</v>
      </c>
      <c r="DR991" s="69" t="e">
        <f t="shared" si="1150"/>
        <v>#N/A</v>
      </c>
      <c r="DS991" s="34"/>
      <c r="DT991" s="67" t="e">
        <f>((BX991*CJ991)+IF($W991=MAT_AR,(BZ991*CL991),0))*(1+Reference!$E$50+Reference!$E$51)</f>
        <v>#N/A</v>
      </c>
      <c r="DU991" s="67">
        <f>((BY991*CK991)+IF($W991=MAT_AR,(CA991*CM991),0))*(1+Reference!$G$50+Reference!$G$51)</f>
        <v>0</v>
      </c>
      <c r="DV991" s="67" t="e">
        <f t="shared" si="1151"/>
        <v>#VALUE!</v>
      </c>
      <c r="DX991" s="56">
        <v>977</v>
      </c>
      <c r="DY991" s="67">
        <f t="shared" si="1152"/>
        <v>0</v>
      </c>
      <c r="DZ991" s="45" t="e">
        <f>VLOOKUP($R991,Dropdown!$C$3:$D$4,2,FALSE)</f>
        <v>#N/A</v>
      </c>
      <c r="EA991" s="68">
        <f t="shared" si="1153"/>
        <v>0</v>
      </c>
      <c r="EB991" s="68" t="str">
        <f t="shared" si="1154"/>
        <v>N/A</v>
      </c>
      <c r="EC991" s="68">
        <f t="shared" si="1155"/>
        <v>0</v>
      </c>
      <c r="ED991" s="68" t="str">
        <f t="shared" si="1193"/>
        <v>N/A</v>
      </c>
      <c r="EF991" s="56">
        <v>977</v>
      </c>
      <c r="EG991" s="46">
        <f t="shared" si="1156"/>
        <v>0</v>
      </c>
      <c r="EH991" s="68" t="e">
        <f t="shared" si="1194"/>
        <v>#N/A</v>
      </c>
      <c r="EI991" s="68" t="e">
        <f t="shared" si="1195"/>
        <v>#N/A</v>
      </c>
      <c r="EJ991" s="68" t="e">
        <f t="shared" si="1196"/>
        <v>#N/A</v>
      </c>
      <c r="EK991" s="68" t="e">
        <f t="shared" si="1197"/>
        <v>#N/A</v>
      </c>
      <c r="EL991" s="46">
        <f t="shared" si="1161"/>
        <v>0</v>
      </c>
      <c r="EM991" s="46">
        <f t="shared" si="1198"/>
        <v>0</v>
      </c>
    </row>
    <row r="992" spans="1:143">
      <c r="A992" s="89"/>
      <c r="B992" s="89"/>
      <c r="C992" s="89"/>
      <c r="D992" s="89"/>
      <c r="E992" s="89"/>
      <c r="F992" s="89"/>
      <c r="G992" s="34"/>
      <c r="H992" s="56">
        <f t="shared" si="1163"/>
        <v>978</v>
      </c>
      <c r="I992" s="165"/>
      <c r="J992" s="163"/>
      <c r="K992" s="163"/>
      <c r="L992" s="164"/>
      <c r="M992" s="155"/>
      <c r="N992" s="155"/>
      <c r="O992" s="144"/>
      <c r="P992" s="159" t="str">
        <f>IFERROR(IF(O992&lt;&gt;"User Specified",IF(O992&lt;&gt;"", INDEX('Refrigerant GWPs'!$G$2:$G$154,MATCH(O992,'Refrigerant GWPs'!$A$2:$A$154,0)),""),U992),0)</f>
        <v/>
      </c>
      <c r="Q992" s="155"/>
      <c r="R992" s="155"/>
      <c r="S992" s="144"/>
      <c r="T992" s="159" t="str">
        <f>IF(S992&lt;&gt;"User Specified",IF(AND(S992&lt;&gt;"User Specified",S992&lt;&gt;""), INDEX('Refrigerant GWPs'!$G$2:$G$154,MATCH(S992,'Refrigerant GWPs'!$A$2:$A$154,0)),""),V992)</f>
        <v/>
      </c>
      <c r="U992" s="144"/>
      <c r="V992" s="144"/>
      <c r="W992" s="155"/>
      <c r="X992" s="155"/>
      <c r="Y992" s="144"/>
      <c r="Z992" s="159" t="str">
        <f>IF(AND(Y992&lt;&gt;"User Specified",Y992&lt;&gt;""), INDEX('Refrigerant GWPs'!$G$2:$G$154,MATCH(Y992,'Refrigerant GWPs'!$A$2:$A$154,0)),"")</f>
        <v/>
      </c>
      <c r="AA992" s="155"/>
      <c r="AB992" s="156"/>
      <c r="AC992" s="66"/>
      <c r="AD992" s="66"/>
      <c r="AE992" s="66"/>
      <c r="AF992" s="66"/>
      <c r="AG992" s="66"/>
      <c r="AH992" s="66"/>
      <c r="AI992" s="34"/>
      <c r="AJ992" s="88">
        <f t="shared" si="1126"/>
        <v>0</v>
      </c>
      <c r="AK992" s="88">
        <f t="shared" si="1127"/>
        <v>0</v>
      </c>
      <c r="AL992" s="88">
        <v>0</v>
      </c>
      <c r="AM992" s="88">
        <v>0</v>
      </c>
      <c r="AN992" s="81" t="str">
        <f t="shared" si="1165"/>
        <v/>
      </c>
      <c r="AO992" s="88">
        <f t="shared" si="1128"/>
        <v>0</v>
      </c>
      <c r="AP992" s="88">
        <f t="shared" si="1129"/>
        <v>0</v>
      </c>
      <c r="AQ992" s="81" t="str">
        <f t="shared" si="1130"/>
        <v/>
      </c>
      <c r="AS992" s="41" t="b">
        <f t="shared" si="1131"/>
        <v>1</v>
      </c>
      <c r="AT992" s="38">
        <f t="shared" si="1132"/>
        <v>0</v>
      </c>
      <c r="AU992" s="60">
        <f t="shared" si="1133"/>
        <v>0</v>
      </c>
      <c r="AV992" s="41">
        <f t="shared" si="1134"/>
        <v>0</v>
      </c>
      <c r="AW992" s="41" t="b">
        <f t="shared" si="1135"/>
        <v>0</v>
      </c>
      <c r="AX992" t="str">
        <f t="shared" si="1136"/>
        <v>+00</v>
      </c>
      <c r="AY992" t="str">
        <f t="shared" si="1137"/>
        <v>+00</v>
      </c>
      <c r="BA992" s="47" t="b">
        <f t="shared" si="1166"/>
        <v>1</v>
      </c>
      <c r="BB992" s="42" t="b">
        <f t="shared" si="1167"/>
        <v>1</v>
      </c>
      <c r="BC992" s="42" t="b">
        <f t="shared" si="1168"/>
        <v>0</v>
      </c>
      <c r="BD992" s="42" t="b">
        <f t="shared" si="1169"/>
        <v>0</v>
      </c>
      <c r="BE992" s="70">
        <f t="shared" si="1170"/>
        <v>0</v>
      </c>
      <c r="BF992" s="70">
        <f t="shared" si="1171"/>
        <v>0</v>
      </c>
      <c r="BG992" s="34"/>
      <c r="BI992" s="47" t="b">
        <f t="shared" si="1172"/>
        <v>1</v>
      </c>
      <c r="BJ992" s="47" t="b">
        <f t="shared" si="1173"/>
        <v>1</v>
      </c>
      <c r="BK992" s="42" t="b">
        <f t="shared" si="1174"/>
        <v>0</v>
      </c>
      <c r="BL992" s="42" t="b">
        <f t="shared" si="1175"/>
        <v>0</v>
      </c>
      <c r="BM992" s="42">
        <f t="shared" si="1176"/>
        <v>0</v>
      </c>
      <c r="BN992" s="42">
        <f t="shared" si="1177"/>
        <v>0</v>
      </c>
      <c r="BP992" t="e">
        <f t="shared" si="1178"/>
        <v>#N/A</v>
      </c>
      <c r="BQ992" t="e">
        <f t="shared" si="1179"/>
        <v>#N/A</v>
      </c>
      <c r="BR992" t="e">
        <f t="shared" si="1180"/>
        <v>#N/A</v>
      </c>
      <c r="BT992" s="60">
        <f t="shared" si="1181"/>
        <v>0</v>
      </c>
      <c r="BU992" s="60">
        <f t="shared" si="1182"/>
        <v>0</v>
      </c>
      <c r="BV992" s="60">
        <f t="shared" si="1183"/>
        <v>0</v>
      </c>
      <c r="BW992" s="60">
        <f t="shared" si="1184"/>
        <v>0</v>
      </c>
      <c r="BX992" s="60">
        <f t="shared" si="1185"/>
        <v>0</v>
      </c>
      <c r="BY992" s="60">
        <f t="shared" si="1186"/>
        <v>0</v>
      </c>
      <c r="BZ992" s="60">
        <f t="shared" si="1187"/>
        <v>0</v>
      </c>
      <c r="CA992" s="60">
        <f t="shared" si="1188"/>
        <v>0</v>
      </c>
      <c r="CB992" s="60" t="e">
        <f t="shared" si="1138"/>
        <v>#N/A</v>
      </c>
      <c r="CC992" s="60">
        <f t="shared" si="1139"/>
        <v>100000</v>
      </c>
      <c r="CD992" s="60" t="e">
        <f t="shared" si="1140"/>
        <v>#N/A</v>
      </c>
      <c r="CE992" s="60">
        <f t="shared" si="1141"/>
        <v>100000</v>
      </c>
      <c r="CF992" s="83" t="e">
        <f t="shared" si="1189"/>
        <v>#N/A</v>
      </c>
      <c r="CG992" s="83">
        <f t="shared" si="1190"/>
        <v>0</v>
      </c>
      <c r="CH992" s="83" t="e">
        <f t="shared" si="1191"/>
        <v>#N/A</v>
      </c>
      <c r="CI992" s="83">
        <f t="shared" si="1192"/>
        <v>0</v>
      </c>
      <c r="CJ992" s="86" t="e">
        <f t="shared" si="1142"/>
        <v>#N/A</v>
      </c>
      <c r="CK992" s="82">
        <f t="shared" si="1143"/>
        <v>5.3070370403969858E-3</v>
      </c>
      <c r="CL992" s="82" t="e">
        <f t="shared" si="1144"/>
        <v>#N/A</v>
      </c>
      <c r="CM992" s="82">
        <f t="shared" si="1145"/>
        <v>5.3070370403969858E-3</v>
      </c>
      <c r="CO992" s="149" t="str">
        <f>IF($I992&lt;&gt;"",IF(O992="User Specified",U992,INDEX('Refrigerant GWPs'!$G$2:$G$156,MATCH(O992,'Refrigerant GWPs'!$A$2:$A$156,0))),"")</f>
        <v/>
      </c>
      <c r="CP992" s="138" t="str">
        <f>IF($I992&lt;&gt;"",INDEX('Device Refrigerant Leakage'!$E$2:$E$42,MATCH($M992,'Device Refrigerant Leakage'!$B$2:$B$42,0)),"")</f>
        <v/>
      </c>
      <c r="CQ992" s="138" t="str">
        <f>IF($I992&lt;&gt;"",INDEX('Device Refrigerant Leakage'!$F$2:$F$42,MATCH($M992,'Device Refrigerant Leakage'!$B$2:$B$42,0)),"")</f>
        <v/>
      </c>
      <c r="CR992" s="145" t="str">
        <f>IF($I992&lt;&gt;"",INDEX('Device Refrigerant Leakage'!$G$2:$G$42,MATCH($M992,'Device Refrigerant Leakage'!$B$2:$B$42,0)),"")</f>
        <v/>
      </c>
      <c r="CS992" s="145" t="str">
        <f>IF($I992&lt;&gt;"",INDEX('Device Refrigerant Leakage'!$D$2:$D$42,MATCH($M992,'Device Refrigerant Leakage'!$B$2:$B$42,0))*CP992/2204.62*CO992,"")</f>
        <v/>
      </c>
      <c r="CT992" s="145" t="str">
        <f>IF($I992&lt;&gt;"",J992*(INDEX('Device Refrigerant Leakage'!$D$2:$D$42,MATCH($M992,'Device Refrigerant Leakage'!$B$2:$B$42,0))-(INDEX('Device Refrigerant Leakage'!$D$2:$D$42,MATCH($M992,'Device Refrigerant Leakage'!$B$2:$B$42,0)))*CR992*CP992)*CQ992/2204.62*CO992,"")</f>
        <v/>
      </c>
      <c r="CU992" s="135" t="str">
        <f>IF($I992&lt;&gt;"",J992*IF(W992&lt;&gt;"AR",(CS992*K992)+CT992,(CS992*AB992)+CT992*(AB992/INDEX('Device Refrigerant Leakage'!$C$2:$C$42,MATCH($M992,'Device Refrigerant Leakage'!$B$2:$B$42,0)))),"")</f>
        <v/>
      </c>
      <c r="CW992" s="135" t="str">
        <f>IF($I992&lt;&gt;"",IF(S992="User Specified",V992,INDEX('Refrigerant GWPs'!$G$2:$G$156,MATCH(S992,'Refrigerant GWPs'!$A$2:$A$157,0))),"")</f>
        <v/>
      </c>
      <c r="CX992" s="138" t="str">
        <f>IF($I992&lt;&gt;"",INDEX('Device Refrigerant Leakage'!$E$2:$E$42,MATCH($Q992,'Device Refrigerant Leakage'!$B$2:$B$42,0)),"")</f>
        <v/>
      </c>
      <c r="CY992" s="138" t="str">
        <f>IF($I992&lt;&gt;"",INDEX('Device Refrigerant Leakage'!$F$2:$F$42,MATCH($Q992,'Device Refrigerant Leakage'!$B$2:$B$42,0)),"")</f>
        <v/>
      </c>
      <c r="CZ992" s="145" t="str">
        <f>IF($I992&lt;&gt;"",INDEX('Device Refrigerant Leakage'!$G$2:$G$42,MATCH($Q992,'Device Refrigerant Leakage'!$B$2:$B$42,0)),"")</f>
        <v/>
      </c>
      <c r="DA992" s="145" t="str">
        <f>IF($I992&lt;&gt;"",J992*INDEX('Device Refrigerant Leakage'!$D$2:$D$42,MATCH($Q992,'Device Refrigerant Leakage'!$B$2:$B$42,0))*CX992/2204.62*CW992,"")</f>
        <v/>
      </c>
      <c r="DB992" s="145" t="str">
        <f>IF($I992&lt;&gt;"",J992*(INDEX('Device Refrigerant Leakage'!$D$2:$D$42,MATCH($Q992,'Device Refrigerant Leakage'!$B$2:$B$42,0))-(INDEX('Device Refrigerant Leakage'!$D$2:$D$42,MATCH($Q992,'Device Refrigerant Leakage'!$B$2:$B$42,0)))*CZ992*CX992)*CY992/2204.62*CW992,"")</f>
        <v/>
      </c>
      <c r="DC992" s="135" t="str">
        <f t="shared" si="1164"/>
        <v/>
      </c>
      <c r="DE992" s="146" t="str">
        <f>IF(W992&lt;&gt;"AR","",IF(Y992="User Specified", AA992, INDEX('Refrigerant GWPs'!$G$2:$G$154,MATCH(Y992,'Refrigerant GWPs'!$A$2:$A$154,0))))</f>
        <v/>
      </c>
      <c r="DF992" s="146" t="str">
        <f>IF(W992&lt;&gt;"AR","",INDEX('Device Refrigerant Leakage'!$E$2:$E$42,MATCH(X992,'Device Refrigerant Leakage'!$B$2:$B$42,0)))</f>
        <v/>
      </c>
      <c r="DG992" s="146" t="str">
        <f>IF(W992&lt;&gt;"AR","",INDEX('Device Refrigerant Leakage'!$F$2:$F$42,MATCH(X992,'Device Refrigerant Leakage'!$B$2:$B$42,0)))</f>
        <v/>
      </c>
      <c r="DH992" s="146" t="str">
        <f>IF(W992&lt;&gt;"AR","",INDEX('Device Refrigerant Leakage'!$G$2:$G$42,MATCH(X992,'Device Refrigerant Leakage'!$B$2:$B$42,0)))</f>
        <v/>
      </c>
      <c r="DI992" s="146" t="str">
        <f>IF(W992&lt;&gt;"AR","",J992*INDEX('Device Refrigerant Leakage'!$D$2:$D$42,MATCH(X992,'Device Refrigerant Leakage'!$B$2:$B$42,0))*DF992/2204.62*DE992)</f>
        <v/>
      </c>
      <c r="DJ992" s="146" t="str">
        <f>IF(W992&lt;&gt;"AR","",J992*(INDEX('Device Refrigerant Leakage'!$D$2:$D$42,MATCH(X992,'Device Refrigerant Leakage'!$B$2:$B$42,0))-(INDEX('Device Refrigerant Leakage'!$D$2:$D$42,MATCH(X992,'Device Refrigerant Leakage'!$B$2:$B$42,0)))*DH992*DF992)*DG992/2204.62*DE992)</f>
        <v/>
      </c>
      <c r="DK992" s="146" t="str">
        <f>IF(W992&lt;&gt;"AR","",DI992*(K992-AB992)+'Fuel Sub Calcs-Deemed'!DJ992*((K992-AB992)/INDEX('Device Refrigerant Leakage'!$C$2:$C$42,MATCH('Fuel Sub Calcs-Deemed'!X992,'Device Refrigerant Leakage'!$B$2:$B$42,0))))</f>
        <v/>
      </c>
      <c r="DM992" s="56">
        <v>978</v>
      </c>
      <c r="DN992" s="67" t="e">
        <f t="shared" si="1146"/>
        <v>#N/A</v>
      </c>
      <c r="DO992" s="45" t="e">
        <f t="shared" si="1147"/>
        <v>#N/A</v>
      </c>
      <c r="DP992" s="67" t="e">
        <f t="shared" si="1148"/>
        <v>#N/A</v>
      </c>
      <c r="DQ992" s="45" t="e">
        <f t="shared" si="1149"/>
        <v>#N/A</v>
      </c>
      <c r="DR992" s="69" t="e">
        <f t="shared" si="1150"/>
        <v>#N/A</v>
      </c>
      <c r="DS992" s="34"/>
      <c r="DT992" s="67" t="e">
        <f>((BX992*CJ992)+IF($W992=MAT_AR,(BZ992*CL992),0))*(1+Reference!$E$50+Reference!$E$51)</f>
        <v>#N/A</v>
      </c>
      <c r="DU992" s="67">
        <f>((BY992*CK992)+IF($W992=MAT_AR,(CA992*CM992),0))*(1+Reference!$G$50+Reference!$G$51)</f>
        <v>0</v>
      </c>
      <c r="DV992" s="67" t="e">
        <f t="shared" si="1151"/>
        <v>#VALUE!</v>
      </c>
      <c r="DX992" s="56">
        <v>978</v>
      </c>
      <c r="DY992" s="67">
        <f t="shared" si="1152"/>
        <v>0</v>
      </c>
      <c r="DZ992" s="45" t="e">
        <f>VLOOKUP($R992,Dropdown!$C$3:$D$4,2,FALSE)</f>
        <v>#N/A</v>
      </c>
      <c r="EA992" s="68">
        <f t="shared" si="1153"/>
        <v>0</v>
      </c>
      <c r="EB992" s="68" t="str">
        <f t="shared" si="1154"/>
        <v>N/A</v>
      </c>
      <c r="EC992" s="68">
        <f t="shared" si="1155"/>
        <v>0</v>
      </c>
      <c r="ED992" s="68" t="str">
        <f t="shared" si="1193"/>
        <v>N/A</v>
      </c>
      <c r="EF992" s="56">
        <v>978</v>
      </c>
      <c r="EG992" s="46">
        <f t="shared" si="1156"/>
        <v>0</v>
      </c>
      <c r="EH992" s="68" t="e">
        <f t="shared" si="1194"/>
        <v>#N/A</v>
      </c>
      <c r="EI992" s="68" t="e">
        <f t="shared" si="1195"/>
        <v>#N/A</v>
      </c>
      <c r="EJ992" s="68" t="e">
        <f t="shared" si="1196"/>
        <v>#N/A</v>
      </c>
      <c r="EK992" s="68" t="e">
        <f t="shared" si="1197"/>
        <v>#N/A</v>
      </c>
      <c r="EL992" s="46">
        <f t="shared" si="1161"/>
        <v>0</v>
      </c>
      <c r="EM992" s="46">
        <f t="shared" si="1198"/>
        <v>0</v>
      </c>
    </row>
    <row r="993" spans="1:143">
      <c r="A993" s="89"/>
      <c r="B993" s="89"/>
      <c r="C993" s="89"/>
      <c r="D993" s="89"/>
      <c r="E993" s="89"/>
      <c r="F993" s="89"/>
      <c r="G993" s="34"/>
      <c r="H993" s="56">
        <f t="shared" si="1163"/>
        <v>979</v>
      </c>
      <c r="I993" s="165"/>
      <c r="J993" s="163"/>
      <c r="K993" s="163"/>
      <c r="L993" s="164"/>
      <c r="M993" s="155"/>
      <c r="N993" s="155"/>
      <c r="O993" s="144"/>
      <c r="P993" s="159" t="str">
        <f>IFERROR(IF(O993&lt;&gt;"User Specified",IF(O993&lt;&gt;"", INDEX('Refrigerant GWPs'!$G$2:$G$154,MATCH(O993,'Refrigerant GWPs'!$A$2:$A$154,0)),""),U993),0)</f>
        <v/>
      </c>
      <c r="Q993" s="155"/>
      <c r="R993" s="155"/>
      <c r="S993" s="144"/>
      <c r="T993" s="159" t="str">
        <f>IF(S993&lt;&gt;"User Specified",IF(AND(S993&lt;&gt;"User Specified",S993&lt;&gt;""), INDEX('Refrigerant GWPs'!$G$2:$G$154,MATCH(S993,'Refrigerant GWPs'!$A$2:$A$154,0)),""),V993)</f>
        <v/>
      </c>
      <c r="U993" s="144"/>
      <c r="V993" s="144"/>
      <c r="W993" s="155"/>
      <c r="X993" s="155"/>
      <c r="Y993" s="144"/>
      <c r="Z993" s="159" t="str">
        <f>IF(AND(Y993&lt;&gt;"User Specified",Y993&lt;&gt;""), INDEX('Refrigerant GWPs'!$G$2:$G$154,MATCH(Y993,'Refrigerant GWPs'!$A$2:$A$154,0)),"")</f>
        <v/>
      </c>
      <c r="AA993" s="155"/>
      <c r="AB993" s="156"/>
      <c r="AC993" s="66"/>
      <c r="AD993" s="66"/>
      <c r="AE993" s="66"/>
      <c r="AF993" s="66"/>
      <c r="AG993" s="66"/>
      <c r="AH993" s="66"/>
      <c r="AI993" s="34"/>
      <c r="AJ993" s="88">
        <f t="shared" si="1126"/>
        <v>0</v>
      </c>
      <c r="AK993" s="88">
        <f t="shared" si="1127"/>
        <v>0</v>
      </c>
      <c r="AL993" s="88">
        <v>0</v>
      </c>
      <c r="AM993" s="88">
        <v>0</v>
      </c>
      <c r="AN993" s="81" t="str">
        <f t="shared" si="1165"/>
        <v/>
      </c>
      <c r="AO993" s="88">
        <f t="shared" si="1128"/>
        <v>0</v>
      </c>
      <c r="AP993" s="88">
        <f t="shared" si="1129"/>
        <v>0</v>
      </c>
      <c r="AQ993" s="81" t="str">
        <f t="shared" si="1130"/>
        <v/>
      </c>
      <c r="AS993" s="41" t="b">
        <f t="shared" si="1131"/>
        <v>1</v>
      </c>
      <c r="AT993" s="38">
        <f t="shared" si="1132"/>
        <v>0</v>
      </c>
      <c r="AU993" s="60">
        <f t="shared" si="1133"/>
        <v>0</v>
      </c>
      <c r="AV993" s="41">
        <f t="shared" si="1134"/>
        <v>0</v>
      </c>
      <c r="AW993" s="41" t="b">
        <f t="shared" si="1135"/>
        <v>0</v>
      </c>
      <c r="AX993" t="str">
        <f t="shared" si="1136"/>
        <v>+00</v>
      </c>
      <c r="AY993" t="str">
        <f t="shared" si="1137"/>
        <v>+00</v>
      </c>
      <c r="BA993" s="47" t="b">
        <f t="shared" si="1166"/>
        <v>1</v>
      </c>
      <c r="BB993" s="42" t="b">
        <f t="shared" si="1167"/>
        <v>1</v>
      </c>
      <c r="BC993" s="42" t="b">
        <f t="shared" si="1168"/>
        <v>0</v>
      </c>
      <c r="BD993" s="42" t="b">
        <f t="shared" si="1169"/>
        <v>0</v>
      </c>
      <c r="BE993" s="70">
        <f t="shared" si="1170"/>
        <v>0</v>
      </c>
      <c r="BF993" s="70">
        <f t="shared" si="1171"/>
        <v>0</v>
      </c>
      <c r="BG993" s="34"/>
      <c r="BI993" s="47" t="b">
        <f t="shared" si="1172"/>
        <v>1</v>
      </c>
      <c r="BJ993" s="47" t="b">
        <f t="shared" si="1173"/>
        <v>1</v>
      </c>
      <c r="BK993" s="42" t="b">
        <f t="shared" si="1174"/>
        <v>0</v>
      </c>
      <c r="BL993" s="42" t="b">
        <f t="shared" si="1175"/>
        <v>0</v>
      </c>
      <c r="BM993" s="42">
        <f t="shared" si="1176"/>
        <v>0</v>
      </c>
      <c r="BN993" s="42">
        <f t="shared" si="1177"/>
        <v>0</v>
      </c>
      <c r="BP993" t="e">
        <f t="shared" si="1178"/>
        <v>#N/A</v>
      </c>
      <c r="BQ993" t="e">
        <f t="shared" si="1179"/>
        <v>#N/A</v>
      </c>
      <c r="BR993" t="e">
        <f t="shared" si="1180"/>
        <v>#N/A</v>
      </c>
      <c r="BT993" s="60">
        <f t="shared" si="1181"/>
        <v>0</v>
      </c>
      <c r="BU993" s="60">
        <f t="shared" si="1182"/>
        <v>0</v>
      </c>
      <c r="BV993" s="60">
        <f t="shared" si="1183"/>
        <v>0</v>
      </c>
      <c r="BW993" s="60">
        <f t="shared" si="1184"/>
        <v>0</v>
      </c>
      <c r="BX993" s="60">
        <f t="shared" si="1185"/>
        <v>0</v>
      </c>
      <c r="BY993" s="60">
        <f t="shared" si="1186"/>
        <v>0</v>
      </c>
      <c r="BZ993" s="60">
        <f t="shared" si="1187"/>
        <v>0</v>
      </c>
      <c r="CA993" s="60">
        <f t="shared" si="1188"/>
        <v>0</v>
      </c>
      <c r="CB993" s="60" t="e">
        <f t="shared" si="1138"/>
        <v>#N/A</v>
      </c>
      <c r="CC993" s="60">
        <f t="shared" si="1139"/>
        <v>100000</v>
      </c>
      <c r="CD993" s="60" t="e">
        <f t="shared" si="1140"/>
        <v>#N/A</v>
      </c>
      <c r="CE993" s="60">
        <f t="shared" si="1141"/>
        <v>100000</v>
      </c>
      <c r="CF993" s="83" t="e">
        <f t="shared" si="1189"/>
        <v>#N/A</v>
      </c>
      <c r="CG993" s="83">
        <f t="shared" si="1190"/>
        <v>0</v>
      </c>
      <c r="CH993" s="83" t="e">
        <f t="shared" si="1191"/>
        <v>#N/A</v>
      </c>
      <c r="CI993" s="83">
        <f t="shared" si="1192"/>
        <v>0</v>
      </c>
      <c r="CJ993" s="86" t="e">
        <f t="shared" si="1142"/>
        <v>#N/A</v>
      </c>
      <c r="CK993" s="82">
        <f t="shared" si="1143"/>
        <v>5.3070370403969858E-3</v>
      </c>
      <c r="CL993" s="82" t="e">
        <f t="shared" si="1144"/>
        <v>#N/A</v>
      </c>
      <c r="CM993" s="82">
        <f t="shared" si="1145"/>
        <v>5.3070370403969858E-3</v>
      </c>
      <c r="CO993" s="149" t="str">
        <f>IF($I993&lt;&gt;"",IF(O993="User Specified",U993,INDEX('Refrigerant GWPs'!$G$2:$G$156,MATCH(O993,'Refrigerant GWPs'!$A$2:$A$156,0))),"")</f>
        <v/>
      </c>
      <c r="CP993" s="138" t="str">
        <f>IF($I993&lt;&gt;"",INDEX('Device Refrigerant Leakage'!$E$2:$E$42,MATCH($M993,'Device Refrigerant Leakage'!$B$2:$B$42,0)),"")</f>
        <v/>
      </c>
      <c r="CQ993" s="138" t="str">
        <f>IF($I993&lt;&gt;"",INDEX('Device Refrigerant Leakage'!$F$2:$F$42,MATCH($M993,'Device Refrigerant Leakage'!$B$2:$B$42,0)),"")</f>
        <v/>
      </c>
      <c r="CR993" s="145" t="str">
        <f>IF($I993&lt;&gt;"",INDEX('Device Refrigerant Leakage'!$G$2:$G$42,MATCH($M993,'Device Refrigerant Leakage'!$B$2:$B$42,0)),"")</f>
        <v/>
      </c>
      <c r="CS993" s="145" t="str">
        <f>IF($I993&lt;&gt;"",INDEX('Device Refrigerant Leakage'!$D$2:$D$42,MATCH($M993,'Device Refrigerant Leakage'!$B$2:$B$42,0))*CP993/2204.62*CO993,"")</f>
        <v/>
      </c>
      <c r="CT993" s="145" t="str">
        <f>IF($I993&lt;&gt;"",J993*(INDEX('Device Refrigerant Leakage'!$D$2:$D$42,MATCH($M993,'Device Refrigerant Leakage'!$B$2:$B$42,0))-(INDEX('Device Refrigerant Leakage'!$D$2:$D$42,MATCH($M993,'Device Refrigerant Leakage'!$B$2:$B$42,0)))*CR993*CP993)*CQ993/2204.62*CO993,"")</f>
        <v/>
      </c>
      <c r="CU993" s="135" t="str">
        <f>IF($I993&lt;&gt;"",J993*IF(W993&lt;&gt;"AR",(CS993*K993)+CT993,(CS993*AB993)+CT993*(AB993/INDEX('Device Refrigerant Leakage'!$C$2:$C$42,MATCH($M993,'Device Refrigerant Leakage'!$B$2:$B$42,0)))),"")</f>
        <v/>
      </c>
      <c r="CW993" s="135" t="str">
        <f>IF($I993&lt;&gt;"",IF(S993="User Specified",V993,INDEX('Refrigerant GWPs'!$G$2:$G$156,MATCH(S993,'Refrigerant GWPs'!$A$2:$A$157,0))),"")</f>
        <v/>
      </c>
      <c r="CX993" s="138" t="str">
        <f>IF($I993&lt;&gt;"",INDEX('Device Refrigerant Leakage'!$E$2:$E$42,MATCH($Q993,'Device Refrigerant Leakage'!$B$2:$B$42,0)),"")</f>
        <v/>
      </c>
      <c r="CY993" s="138" t="str">
        <f>IF($I993&lt;&gt;"",INDEX('Device Refrigerant Leakage'!$F$2:$F$42,MATCH($Q993,'Device Refrigerant Leakage'!$B$2:$B$42,0)),"")</f>
        <v/>
      </c>
      <c r="CZ993" s="145" t="str">
        <f>IF($I993&lt;&gt;"",INDEX('Device Refrigerant Leakage'!$G$2:$G$42,MATCH($Q993,'Device Refrigerant Leakage'!$B$2:$B$42,0)),"")</f>
        <v/>
      </c>
      <c r="DA993" s="145" t="str">
        <f>IF($I993&lt;&gt;"",J993*INDEX('Device Refrigerant Leakage'!$D$2:$D$42,MATCH($Q993,'Device Refrigerant Leakage'!$B$2:$B$42,0))*CX993/2204.62*CW993,"")</f>
        <v/>
      </c>
      <c r="DB993" s="145" t="str">
        <f>IF($I993&lt;&gt;"",J993*(INDEX('Device Refrigerant Leakage'!$D$2:$D$42,MATCH($Q993,'Device Refrigerant Leakage'!$B$2:$B$42,0))-(INDEX('Device Refrigerant Leakage'!$D$2:$D$42,MATCH($Q993,'Device Refrigerant Leakage'!$B$2:$B$42,0)))*CZ993*CX993)*CY993/2204.62*CW993,"")</f>
        <v/>
      </c>
      <c r="DC993" s="135" t="str">
        <f t="shared" si="1164"/>
        <v/>
      </c>
      <c r="DE993" s="146" t="str">
        <f>IF(W993&lt;&gt;"AR","",IF(Y993="User Specified", AA993, INDEX('Refrigerant GWPs'!$G$2:$G$154,MATCH(Y993,'Refrigerant GWPs'!$A$2:$A$154,0))))</f>
        <v/>
      </c>
      <c r="DF993" s="146" t="str">
        <f>IF(W993&lt;&gt;"AR","",INDEX('Device Refrigerant Leakage'!$E$2:$E$42,MATCH(X993,'Device Refrigerant Leakage'!$B$2:$B$42,0)))</f>
        <v/>
      </c>
      <c r="DG993" s="146" t="str">
        <f>IF(W993&lt;&gt;"AR","",INDEX('Device Refrigerant Leakage'!$F$2:$F$42,MATCH(X993,'Device Refrigerant Leakage'!$B$2:$B$42,0)))</f>
        <v/>
      </c>
      <c r="DH993" s="146" t="str">
        <f>IF(W993&lt;&gt;"AR","",INDEX('Device Refrigerant Leakage'!$G$2:$G$42,MATCH(X993,'Device Refrigerant Leakage'!$B$2:$B$42,0)))</f>
        <v/>
      </c>
      <c r="DI993" s="146" t="str">
        <f>IF(W993&lt;&gt;"AR","",J993*INDEX('Device Refrigerant Leakage'!$D$2:$D$42,MATCH(X993,'Device Refrigerant Leakage'!$B$2:$B$42,0))*DF993/2204.62*DE993)</f>
        <v/>
      </c>
      <c r="DJ993" s="146" t="str">
        <f>IF(W993&lt;&gt;"AR","",J993*(INDEX('Device Refrigerant Leakage'!$D$2:$D$42,MATCH(X993,'Device Refrigerant Leakage'!$B$2:$B$42,0))-(INDEX('Device Refrigerant Leakage'!$D$2:$D$42,MATCH(X993,'Device Refrigerant Leakage'!$B$2:$B$42,0)))*DH993*DF993)*DG993/2204.62*DE993)</f>
        <v/>
      </c>
      <c r="DK993" s="146" t="str">
        <f>IF(W993&lt;&gt;"AR","",DI993*(K993-AB993)+'Fuel Sub Calcs-Deemed'!DJ993*((K993-AB993)/INDEX('Device Refrigerant Leakage'!$C$2:$C$42,MATCH('Fuel Sub Calcs-Deemed'!X993,'Device Refrigerant Leakage'!$B$2:$B$42,0))))</f>
        <v/>
      </c>
      <c r="DM993" s="56">
        <v>979</v>
      </c>
      <c r="DN993" s="67" t="e">
        <f t="shared" si="1146"/>
        <v>#N/A</v>
      </c>
      <c r="DO993" s="45" t="e">
        <f t="shared" si="1147"/>
        <v>#N/A</v>
      </c>
      <c r="DP993" s="67" t="e">
        <f t="shared" si="1148"/>
        <v>#N/A</v>
      </c>
      <c r="DQ993" s="45" t="e">
        <f t="shared" si="1149"/>
        <v>#N/A</v>
      </c>
      <c r="DR993" s="69" t="e">
        <f t="shared" si="1150"/>
        <v>#N/A</v>
      </c>
      <c r="DS993" s="34"/>
      <c r="DT993" s="67" t="e">
        <f>((BX993*CJ993)+IF($W993=MAT_AR,(BZ993*CL993),0))*(1+Reference!$E$50+Reference!$E$51)</f>
        <v>#N/A</v>
      </c>
      <c r="DU993" s="67">
        <f>((BY993*CK993)+IF($W993=MAT_AR,(CA993*CM993),0))*(1+Reference!$G$50+Reference!$G$51)</f>
        <v>0</v>
      </c>
      <c r="DV993" s="67" t="e">
        <f t="shared" si="1151"/>
        <v>#VALUE!</v>
      </c>
      <c r="DX993" s="56">
        <v>979</v>
      </c>
      <c r="DY993" s="67">
        <f t="shared" si="1152"/>
        <v>0</v>
      </c>
      <c r="DZ993" s="45" t="e">
        <f>VLOOKUP($R993,Dropdown!$C$3:$D$4,2,FALSE)</f>
        <v>#N/A</v>
      </c>
      <c r="EA993" s="68">
        <f t="shared" si="1153"/>
        <v>0</v>
      </c>
      <c r="EB993" s="68" t="str">
        <f t="shared" si="1154"/>
        <v>N/A</v>
      </c>
      <c r="EC993" s="68">
        <f t="shared" si="1155"/>
        <v>0</v>
      </c>
      <c r="ED993" s="68" t="str">
        <f t="shared" si="1193"/>
        <v>N/A</v>
      </c>
      <c r="EF993" s="56">
        <v>979</v>
      </c>
      <c r="EG993" s="46">
        <f t="shared" si="1156"/>
        <v>0</v>
      </c>
      <c r="EH993" s="68" t="e">
        <f t="shared" si="1194"/>
        <v>#N/A</v>
      </c>
      <c r="EI993" s="68" t="e">
        <f t="shared" si="1195"/>
        <v>#N/A</v>
      </c>
      <c r="EJ993" s="68" t="e">
        <f t="shared" si="1196"/>
        <v>#N/A</v>
      </c>
      <c r="EK993" s="68" t="e">
        <f t="shared" si="1197"/>
        <v>#N/A</v>
      </c>
      <c r="EL993" s="46">
        <f t="shared" si="1161"/>
        <v>0</v>
      </c>
      <c r="EM993" s="46">
        <f t="shared" si="1198"/>
        <v>0</v>
      </c>
    </row>
    <row r="994" spans="1:143">
      <c r="A994" s="89"/>
      <c r="B994" s="89"/>
      <c r="C994" s="89"/>
      <c r="D994" s="89"/>
      <c r="E994" s="89"/>
      <c r="F994" s="89"/>
      <c r="G994" s="34"/>
      <c r="H994" s="56">
        <f t="shared" si="1163"/>
        <v>980</v>
      </c>
      <c r="I994" s="165"/>
      <c r="J994" s="163"/>
      <c r="K994" s="163"/>
      <c r="L994" s="164"/>
      <c r="M994" s="155"/>
      <c r="N994" s="155"/>
      <c r="O994" s="144"/>
      <c r="P994" s="159" t="str">
        <f>IFERROR(IF(O994&lt;&gt;"User Specified",IF(O994&lt;&gt;"", INDEX('Refrigerant GWPs'!$G$2:$G$154,MATCH(O994,'Refrigerant GWPs'!$A$2:$A$154,0)),""),U994),0)</f>
        <v/>
      </c>
      <c r="Q994" s="155"/>
      <c r="R994" s="155"/>
      <c r="S994" s="144"/>
      <c r="T994" s="159" t="str">
        <f>IF(S994&lt;&gt;"User Specified",IF(AND(S994&lt;&gt;"User Specified",S994&lt;&gt;""), INDEX('Refrigerant GWPs'!$G$2:$G$154,MATCH(S994,'Refrigerant GWPs'!$A$2:$A$154,0)),""),V994)</f>
        <v/>
      </c>
      <c r="U994" s="144"/>
      <c r="V994" s="144"/>
      <c r="W994" s="155"/>
      <c r="X994" s="155"/>
      <c r="Y994" s="144"/>
      <c r="Z994" s="159" t="str">
        <f>IF(AND(Y994&lt;&gt;"User Specified",Y994&lt;&gt;""), INDEX('Refrigerant GWPs'!$G$2:$G$154,MATCH(Y994,'Refrigerant GWPs'!$A$2:$A$154,0)),"")</f>
        <v/>
      </c>
      <c r="AA994" s="155"/>
      <c r="AB994" s="156"/>
      <c r="AC994" s="66"/>
      <c r="AD994" s="66"/>
      <c r="AE994" s="66"/>
      <c r="AF994" s="66"/>
      <c r="AG994" s="66"/>
      <c r="AH994" s="66"/>
      <c r="AI994" s="34"/>
      <c r="AJ994" s="88">
        <f t="shared" si="1126"/>
        <v>0</v>
      </c>
      <c r="AK994" s="88">
        <f t="shared" si="1127"/>
        <v>0</v>
      </c>
      <c r="AL994" s="88">
        <v>0</v>
      </c>
      <c r="AM994" s="88">
        <v>0</v>
      </c>
      <c r="AN994" s="81" t="str">
        <f t="shared" si="1165"/>
        <v/>
      </c>
      <c r="AO994" s="88">
        <f t="shared" si="1128"/>
        <v>0</v>
      </c>
      <c r="AP994" s="88">
        <f t="shared" si="1129"/>
        <v>0</v>
      </c>
      <c r="AQ994" s="81" t="str">
        <f t="shared" si="1130"/>
        <v/>
      </c>
      <c r="AS994" s="41" t="b">
        <f t="shared" si="1131"/>
        <v>1</v>
      </c>
      <c r="AT994" s="38">
        <f t="shared" si="1132"/>
        <v>0</v>
      </c>
      <c r="AU994" s="60">
        <f t="shared" si="1133"/>
        <v>0</v>
      </c>
      <c r="AV994" s="41">
        <f t="shared" si="1134"/>
        <v>0</v>
      </c>
      <c r="AW994" s="41" t="b">
        <f t="shared" si="1135"/>
        <v>0</v>
      </c>
      <c r="AX994" t="str">
        <f t="shared" si="1136"/>
        <v>+00</v>
      </c>
      <c r="AY994" t="str">
        <f t="shared" si="1137"/>
        <v>+00</v>
      </c>
      <c r="BA994" s="47" t="b">
        <f t="shared" si="1166"/>
        <v>1</v>
      </c>
      <c r="BB994" s="42" t="b">
        <f t="shared" si="1167"/>
        <v>1</v>
      </c>
      <c r="BC994" s="42" t="b">
        <f t="shared" si="1168"/>
        <v>0</v>
      </c>
      <c r="BD994" s="42" t="b">
        <f t="shared" si="1169"/>
        <v>0</v>
      </c>
      <c r="BE994" s="70">
        <f t="shared" si="1170"/>
        <v>0</v>
      </c>
      <c r="BF994" s="70">
        <f t="shared" si="1171"/>
        <v>0</v>
      </c>
      <c r="BG994" s="34"/>
      <c r="BI994" s="47" t="b">
        <f t="shared" si="1172"/>
        <v>1</v>
      </c>
      <c r="BJ994" s="47" t="b">
        <f t="shared" si="1173"/>
        <v>1</v>
      </c>
      <c r="BK994" s="42" t="b">
        <f t="shared" si="1174"/>
        <v>0</v>
      </c>
      <c r="BL994" s="42" t="b">
        <f t="shared" si="1175"/>
        <v>0</v>
      </c>
      <c r="BM994" s="42">
        <f t="shared" si="1176"/>
        <v>0</v>
      </c>
      <c r="BN994" s="42">
        <f t="shared" si="1177"/>
        <v>0</v>
      </c>
      <c r="BP994" t="e">
        <f t="shared" si="1178"/>
        <v>#N/A</v>
      </c>
      <c r="BQ994" t="e">
        <f t="shared" si="1179"/>
        <v>#N/A</v>
      </c>
      <c r="BR994" t="e">
        <f t="shared" si="1180"/>
        <v>#N/A</v>
      </c>
      <c r="BT994" s="60">
        <f t="shared" si="1181"/>
        <v>0</v>
      </c>
      <c r="BU994" s="60">
        <f t="shared" si="1182"/>
        <v>0</v>
      </c>
      <c r="BV994" s="60">
        <f t="shared" si="1183"/>
        <v>0</v>
      </c>
      <c r="BW994" s="60">
        <f t="shared" si="1184"/>
        <v>0</v>
      </c>
      <c r="BX994" s="60">
        <f t="shared" si="1185"/>
        <v>0</v>
      </c>
      <c r="BY994" s="60">
        <f t="shared" si="1186"/>
        <v>0</v>
      </c>
      <c r="BZ994" s="60">
        <f t="shared" si="1187"/>
        <v>0</v>
      </c>
      <c r="CA994" s="60">
        <f t="shared" si="1188"/>
        <v>0</v>
      </c>
      <c r="CB994" s="60" t="e">
        <f t="shared" si="1138"/>
        <v>#N/A</v>
      </c>
      <c r="CC994" s="60">
        <f t="shared" si="1139"/>
        <v>100000</v>
      </c>
      <c r="CD994" s="60" t="e">
        <f t="shared" si="1140"/>
        <v>#N/A</v>
      </c>
      <c r="CE994" s="60">
        <f t="shared" si="1141"/>
        <v>100000</v>
      </c>
      <c r="CF994" s="83" t="e">
        <f t="shared" si="1189"/>
        <v>#N/A</v>
      </c>
      <c r="CG994" s="83">
        <f t="shared" si="1190"/>
        <v>0</v>
      </c>
      <c r="CH994" s="83" t="e">
        <f t="shared" si="1191"/>
        <v>#N/A</v>
      </c>
      <c r="CI994" s="83">
        <f t="shared" si="1192"/>
        <v>0</v>
      </c>
      <c r="CJ994" s="86" t="e">
        <f t="shared" si="1142"/>
        <v>#N/A</v>
      </c>
      <c r="CK994" s="82">
        <f t="shared" si="1143"/>
        <v>5.3070370403969858E-3</v>
      </c>
      <c r="CL994" s="82" t="e">
        <f t="shared" si="1144"/>
        <v>#N/A</v>
      </c>
      <c r="CM994" s="82">
        <f t="shared" si="1145"/>
        <v>5.3070370403969858E-3</v>
      </c>
      <c r="CO994" s="149" t="str">
        <f>IF($I994&lt;&gt;"",IF(O994="User Specified",U994,INDEX('Refrigerant GWPs'!$G$2:$G$156,MATCH(O994,'Refrigerant GWPs'!$A$2:$A$156,0))),"")</f>
        <v/>
      </c>
      <c r="CP994" s="138" t="str">
        <f>IF($I994&lt;&gt;"",INDEX('Device Refrigerant Leakage'!$E$2:$E$42,MATCH($M994,'Device Refrigerant Leakage'!$B$2:$B$42,0)),"")</f>
        <v/>
      </c>
      <c r="CQ994" s="138" t="str">
        <f>IF($I994&lt;&gt;"",INDEX('Device Refrigerant Leakage'!$F$2:$F$42,MATCH($M994,'Device Refrigerant Leakage'!$B$2:$B$42,0)),"")</f>
        <v/>
      </c>
      <c r="CR994" s="145" t="str">
        <f>IF($I994&lt;&gt;"",INDEX('Device Refrigerant Leakage'!$G$2:$G$42,MATCH($M994,'Device Refrigerant Leakage'!$B$2:$B$42,0)),"")</f>
        <v/>
      </c>
      <c r="CS994" s="145" t="str">
        <f>IF($I994&lt;&gt;"",INDEX('Device Refrigerant Leakage'!$D$2:$D$42,MATCH($M994,'Device Refrigerant Leakage'!$B$2:$B$42,0))*CP994/2204.62*CO994,"")</f>
        <v/>
      </c>
      <c r="CT994" s="145" t="str">
        <f>IF($I994&lt;&gt;"",J994*(INDEX('Device Refrigerant Leakage'!$D$2:$D$42,MATCH($M994,'Device Refrigerant Leakage'!$B$2:$B$42,0))-(INDEX('Device Refrigerant Leakage'!$D$2:$D$42,MATCH($M994,'Device Refrigerant Leakage'!$B$2:$B$42,0)))*CR994*CP994)*CQ994/2204.62*CO994,"")</f>
        <v/>
      </c>
      <c r="CU994" s="135" t="str">
        <f>IF($I994&lt;&gt;"",J994*IF(W994&lt;&gt;"AR",(CS994*K994)+CT994,(CS994*AB994)+CT994*(AB994/INDEX('Device Refrigerant Leakage'!$C$2:$C$42,MATCH($M994,'Device Refrigerant Leakage'!$B$2:$B$42,0)))),"")</f>
        <v/>
      </c>
      <c r="CW994" s="135" t="str">
        <f>IF($I994&lt;&gt;"",IF(S994="User Specified",V994,INDEX('Refrigerant GWPs'!$G$2:$G$156,MATCH(S994,'Refrigerant GWPs'!$A$2:$A$157,0))),"")</f>
        <v/>
      </c>
      <c r="CX994" s="138" t="str">
        <f>IF($I994&lt;&gt;"",INDEX('Device Refrigerant Leakage'!$E$2:$E$42,MATCH($Q994,'Device Refrigerant Leakage'!$B$2:$B$42,0)),"")</f>
        <v/>
      </c>
      <c r="CY994" s="138" t="str">
        <f>IF($I994&lt;&gt;"",INDEX('Device Refrigerant Leakage'!$F$2:$F$42,MATCH($Q994,'Device Refrigerant Leakage'!$B$2:$B$42,0)),"")</f>
        <v/>
      </c>
      <c r="CZ994" s="145" t="str">
        <f>IF($I994&lt;&gt;"",INDEX('Device Refrigerant Leakage'!$G$2:$G$42,MATCH($Q994,'Device Refrigerant Leakage'!$B$2:$B$42,0)),"")</f>
        <v/>
      </c>
      <c r="DA994" s="145" t="str">
        <f>IF($I994&lt;&gt;"",J994*INDEX('Device Refrigerant Leakage'!$D$2:$D$42,MATCH($Q994,'Device Refrigerant Leakage'!$B$2:$B$42,0))*CX994/2204.62*CW994,"")</f>
        <v/>
      </c>
      <c r="DB994" s="145" t="str">
        <f>IF($I994&lt;&gt;"",J994*(INDEX('Device Refrigerant Leakage'!$D$2:$D$42,MATCH($Q994,'Device Refrigerant Leakage'!$B$2:$B$42,0))-(INDEX('Device Refrigerant Leakage'!$D$2:$D$42,MATCH($Q994,'Device Refrigerant Leakage'!$B$2:$B$42,0)))*CZ994*CX994)*CY994/2204.62*CW994,"")</f>
        <v/>
      </c>
      <c r="DC994" s="135" t="str">
        <f t="shared" si="1164"/>
        <v/>
      </c>
      <c r="DE994" s="146" t="str">
        <f>IF(W994&lt;&gt;"AR","",IF(Y994="User Specified", AA994, INDEX('Refrigerant GWPs'!$G$2:$G$154,MATCH(Y994,'Refrigerant GWPs'!$A$2:$A$154,0))))</f>
        <v/>
      </c>
      <c r="DF994" s="146" t="str">
        <f>IF(W994&lt;&gt;"AR","",INDEX('Device Refrigerant Leakage'!$E$2:$E$42,MATCH(X994,'Device Refrigerant Leakage'!$B$2:$B$42,0)))</f>
        <v/>
      </c>
      <c r="DG994" s="146" t="str">
        <f>IF(W994&lt;&gt;"AR","",INDEX('Device Refrigerant Leakage'!$F$2:$F$42,MATCH(X994,'Device Refrigerant Leakage'!$B$2:$B$42,0)))</f>
        <v/>
      </c>
      <c r="DH994" s="146" t="str">
        <f>IF(W994&lt;&gt;"AR","",INDEX('Device Refrigerant Leakage'!$G$2:$G$42,MATCH(X994,'Device Refrigerant Leakage'!$B$2:$B$42,0)))</f>
        <v/>
      </c>
      <c r="DI994" s="146" t="str">
        <f>IF(W994&lt;&gt;"AR","",J994*INDEX('Device Refrigerant Leakage'!$D$2:$D$42,MATCH(X994,'Device Refrigerant Leakage'!$B$2:$B$42,0))*DF994/2204.62*DE994)</f>
        <v/>
      </c>
      <c r="DJ994" s="146" t="str">
        <f>IF(W994&lt;&gt;"AR","",J994*(INDEX('Device Refrigerant Leakage'!$D$2:$D$42,MATCH(X994,'Device Refrigerant Leakage'!$B$2:$B$42,0))-(INDEX('Device Refrigerant Leakage'!$D$2:$D$42,MATCH(X994,'Device Refrigerant Leakage'!$B$2:$B$42,0)))*DH994*DF994)*DG994/2204.62*DE994)</f>
        <v/>
      </c>
      <c r="DK994" s="146" t="str">
        <f>IF(W994&lt;&gt;"AR","",DI994*(K994-AB994)+'Fuel Sub Calcs-Deemed'!DJ994*((K994-AB994)/INDEX('Device Refrigerant Leakage'!$C$2:$C$42,MATCH('Fuel Sub Calcs-Deemed'!X994,'Device Refrigerant Leakage'!$B$2:$B$42,0))))</f>
        <v/>
      </c>
      <c r="DM994" s="56">
        <v>980</v>
      </c>
      <c r="DN994" s="67" t="e">
        <f t="shared" si="1146"/>
        <v>#N/A</v>
      </c>
      <c r="DO994" s="45" t="e">
        <f t="shared" si="1147"/>
        <v>#N/A</v>
      </c>
      <c r="DP994" s="67" t="e">
        <f t="shared" si="1148"/>
        <v>#N/A</v>
      </c>
      <c r="DQ994" s="45" t="e">
        <f t="shared" si="1149"/>
        <v>#N/A</v>
      </c>
      <c r="DR994" s="69" t="e">
        <f t="shared" si="1150"/>
        <v>#N/A</v>
      </c>
      <c r="DS994" s="34"/>
      <c r="DT994" s="67" t="e">
        <f>((BX994*CJ994)+IF($W994=MAT_AR,(BZ994*CL994),0))*(1+Reference!$E$50+Reference!$E$51)</f>
        <v>#N/A</v>
      </c>
      <c r="DU994" s="67">
        <f>((BY994*CK994)+IF($W994=MAT_AR,(CA994*CM994),0))*(1+Reference!$G$50+Reference!$G$51)</f>
        <v>0</v>
      </c>
      <c r="DV994" s="67" t="e">
        <f t="shared" si="1151"/>
        <v>#VALUE!</v>
      </c>
      <c r="DX994" s="56">
        <v>980</v>
      </c>
      <c r="DY994" s="67">
        <f t="shared" si="1152"/>
        <v>0</v>
      </c>
      <c r="DZ994" s="45" t="e">
        <f>VLOOKUP($R994,Dropdown!$C$3:$D$4,2,FALSE)</f>
        <v>#N/A</v>
      </c>
      <c r="EA994" s="68">
        <f t="shared" si="1153"/>
        <v>0</v>
      </c>
      <c r="EB994" s="68" t="str">
        <f t="shared" si="1154"/>
        <v>N/A</v>
      </c>
      <c r="EC994" s="68">
        <f t="shared" si="1155"/>
        <v>0</v>
      </c>
      <c r="ED994" s="68" t="str">
        <f t="shared" si="1193"/>
        <v>N/A</v>
      </c>
      <c r="EF994" s="56">
        <v>980</v>
      </c>
      <c r="EG994" s="46">
        <f t="shared" si="1156"/>
        <v>0</v>
      </c>
      <c r="EH994" s="68" t="e">
        <f t="shared" si="1194"/>
        <v>#N/A</v>
      </c>
      <c r="EI994" s="68" t="e">
        <f t="shared" si="1195"/>
        <v>#N/A</v>
      </c>
      <c r="EJ994" s="68" t="e">
        <f t="shared" si="1196"/>
        <v>#N/A</v>
      </c>
      <c r="EK994" s="68" t="e">
        <f t="shared" si="1197"/>
        <v>#N/A</v>
      </c>
      <c r="EL994" s="46">
        <f t="shared" si="1161"/>
        <v>0</v>
      </c>
      <c r="EM994" s="46">
        <f t="shared" si="1198"/>
        <v>0</v>
      </c>
    </row>
    <row r="995" spans="1:143">
      <c r="A995" s="89"/>
      <c r="B995" s="89"/>
      <c r="C995" s="89"/>
      <c r="D995" s="89"/>
      <c r="E995" s="89"/>
      <c r="F995" s="89"/>
      <c r="G995" s="34"/>
      <c r="H995" s="56">
        <f t="shared" si="1163"/>
        <v>981</v>
      </c>
      <c r="I995" s="165"/>
      <c r="J995" s="163"/>
      <c r="K995" s="163"/>
      <c r="L995" s="164"/>
      <c r="M995" s="155"/>
      <c r="N995" s="155"/>
      <c r="O995" s="144"/>
      <c r="P995" s="159" t="str">
        <f>IFERROR(IF(O995&lt;&gt;"User Specified",IF(O995&lt;&gt;"", INDEX('Refrigerant GWPs'!$G$2:$G$154,MATCH(O995,'Refrigerant GWPs'!$A$2:$A$154,0)),""),U995),0)</f>
        <v/>
      </c>
      <c r="Q995" s="155"/>
      <c r="R995" s="155"/>
      <c r="S995" s="144"/>
      <c r="T995" s="159" t="str">
        <f>IF(S995&lt;&gt;"User Specified",IF(AND(S995&lt;&gt;"User Specified",S995&lt;&gt;""), INDEX('Refrigerant GWPs'!$G$2:$G$154,MATCH(S995,'Refrigerant GWPs'!$A$2:$A$154,0)),""),V995)</f>
        <v/>
      </c>
      <c r="U995" s="144"/>
      <c r="V995" s="144"/>
      <c r="W995" s="155"/>
      <c r="X995" s="155"/>
      <c r="Y995" s="144"/>
      <c r="Z995" s="159" t="str">
        <f>IF(AND(Y995&lt;&gt;"User Specified",Y995&lt;&gt;""), INDEX('Refrigerant GWPs'!$G$2:$G$154,MATCH(Y995,'Refrigerant GWPs'!$A$2:$A$154,0)),"")</f>
        <v/>
      </c>
      <c r="AA995" s="155"/>
      <c r="AB995" s="156"/>
      <c r="AC995" s="66"/>
      <c r="AD995" s="66"/>
      <c r="AE995" s="66"/>
      <c r="AF995" s="66"/>
      <c r="AG995" s="66"/>
      <c r="AH995" s="66"/>
      <c r="AI995" s="34"/>
      <c r="AJ995" s="88">
        <f t="shared" si="1126"/>
        <v>0</v>
      </c>
      <c r="AK995" s="88">
        <f t="shared" si="1127"/>
        <v>0</v>
      </c>
      <c r="AL995" s="88">
        <v>0</v>
      </c>
      <c r="AM995" s="88">
        <v>0</v>
      </c>
      <c r="AN995" s="81" t="str">
        <f t="shared" si="1165"/>
        <v/>
      </c>
      <c r="AO995" s="88">
        <f t="shared" si="1128"/>
        <v>0</v>
      </c>
      <c r="AP995" s="88">
        <f t="shared" si="1129"/>
        <v>0</v>
      </c>
      <c r="AQ995" s="81" t="str">
        <f t="shared" si="1130"/>
        <v/>
      </c>
      <c r="AS995" s="41" t="b">
        <f t="shared" si="1131"/>
        <v>1</v>
      </c>
      <c r="AT995" s="38">
        <f t="shared" si="1132"/>
        <v>0</v>
      </c>
      <c r="AU995" s="60">
        <f t="shared" si="1133"/>
        <v>0</v>
      </c>
      <c r="AV995" s="41">
        <f t="shared" si="1134"/>
        <v>0</v>
      </c>
      <c r="AW995" s="41" t="b">
        <f t="shared" si="1135"/>
        <v>0</v>
      </c>
      <c r="AX995" t="str">
        <f t="shared" si="1136"/>
        <v>+00</v>
      </c>
      <c r="AY995" t="str">
        <f t="shared" si="1137"/>
        <v>+00</v>
      </c>
      <c r="BA995" s="47" t="b">
        <f t="shared" si="1166"/>
        <v>1</v>
      </c>
      <c r="BB995" s="42" t="b">
        <f t="shared" si="1167"/>
        <v>1</v>
      </c>
      <c r="BC995" s="42" t="b">
        <f t="shared" si="1168"/>
        <v>0</v>
      </c>
      <c r="BD995" s="42" t="b">
        <f t="shared" si="1169"/>
        <v>0</v>
      </c>
      <c r="BE995" s="70">
        <f t="shared" si="1170"/>
        <v>0</v>
      </c>
      <c r="BF995" s="70">
        <f t="shared" si="1171"/>
        <v>0</v>
      </c>
      <c r="BG995" s="34"/>
      <c r="BI995" s="47" t="b">
        <f t="shared" si="1172"/>
        <v>1</v>
      </c>
      <c r="BJ995" s="47" t="b">
        <f t="shared" si="1173"/>
        <v>1</v>
      </c>
      <c r="BK995" s="42" t="b">
        <f t="shared" si="1174"/>
        <v>0</v>
      </c>
      <c r="BL995" s="42" t="b">
        <f t="shared" si="1175"/>
        <v>0</v>
      </c>
      <c r="BM995" s="42">
        <f t="shared" si="1176"/>
        <v>0</v>
      </c>
      <c r="BN995" s="42">
        <f t="shared" si="1177"/>
        <v>0</v>
      </c>
      <c r="BP995" t="e">
        <f t="shared" si="1178"/>
        <v>#N/A</v>
      </c>
      <c r="BQ995" t="e">
        <f t="shared" si="1179"/>
        <v>#N/A</v>
      </c>
      <c r="BR995" t="e">
        <f t="shared" si="1180"/>
        <v>#N/A</v>
      </c>
      <c r="BT995" s="60">
        <f t="shared" si="1181"/>
        <v>0</v>
      </c>
      <c r="BU995" s="60">
        <f t="shared" si="1182"/>
        <v>0</v>
      </c>
      <c r="BV995" s="60">
        <f t="shared" si="1183"/>
        <v>0</v>
      </c>
      <c r="BW995" s="60">
        <f t="shared" si="1184"/>
        <v>0</v>
      </c>
      <c r="BX995" s="60">
        <f t="shared" si="1185"/>
        <v>0</v>
      </c>
      <c r="BY995" s="60">
        <f t="shared" si="1186"/>
        <v>0</v>
      </c>
      <c r="BZ995" s="60">
        <f t="shared" si="1187"/>
        <v>0</v>
      </c>
      <c r="CA995" s="60">
        <f t="shared" si="1188"/>
        <v>0</v>
      </c>
      <c r="CB995" s="60" t="e">
        <f t="shared" si="1138"/>
        <v>#N/A</v>
      </c>
      <c r="CC995" s="60">
        <f t="shared" si="1139"/>
        <v>100000</v>
      </c>
      <c r="CD995" s="60" t="e">
        <f t="shared" si="1140"/>
        <v>#N/A</v>
      </c>
      <c r="CE995" s="60">
        <f t="shared" si="1141"/>
        <v>100000</v>
      </c>
      <c r="CF995" s="83" t="e">
        <f t="shared" si="1189"/>
        <v>#N/A</v>
      </c>
      <c r="CG995" s="83">
        <f t="shared" si="1190"/>
        <v>0</v>
      </c>
      <c r="CH995" s="83" t="e">
        <f t="shared" si="1191"/>
        <v>#N/A</v>
      </c>
      <c r="CI995" s="83">
        <f t="shared" si="1192"/>
        <v>0</v>
      </c>
      <c r="CJ995" s="86" t="e">
        <f t="shared" si="1142"/>
        <v>#N/A</v>
      </c>
      <c r="CK995" s="82">
        <f t="shared" si="1143"/>
        <v>5.3070370403969858E-3</v>
      </c>
      <c r="CL995" s="82" t="e">
        <f t="shared" si="1144"/>
        <v>#N/A</v>
      </c>
      <c r="CM995" s="82">
        <f t="shared" si="1145"/>
        <v>5.3070370403969858E-3</v>
      </c>
      <c r="CO995" s="149" t="str">
        <f>IF($I995&lt;&gt;"",IF(O995="User Specified",U995,INDEX('Refrigerant GWPs'!$G$2:$G$156,MATCH(O995,'Refrigerant GWPs'!$A$2:$A$156,0))),"")</f>
        <v/>
      </c>
      <c r="CP995" s="138" t="str">
        <f>IF($I995&lt;&gt;"",INDEX('Device Refrigerant Leakage'!$E$2:$E$42,MATCH($M995,'Device Refrigerant Leakage'!$B$2:$B$42,0)),"")</f>
        <v/>
      </c>
      <c r="CQ995" s="138" t="str">
        <f>IF($I995&lt;&gt;"",INDEX('Device Refrigerant Leakage'!$F$2:$F$42,MATCH($M995,'Device Refrigerant Leakage'!$B$2:$B$42,0)),"")</f>
        <v/>
      </c>
      <c r="CR995" s="145" t="str">
        <f>IF($I995&lt;&gt;"",INDEX('Device Refrigerant Leakage'!$G$2:$G$42,MATCH($M995,'Device Refrigerant Leakage'!$B$2:$B$42,0)),"")</f>
        <v/>
      </c>
      <c r="CS995" s="145" t="str">
        <f>IF($I995&lt;&gt;"",INDEX('Device Refrigerant Leakage'!$D$2:$D$42,MATCH($M995,'Device Refrigerant Leakage'!$B$2:$B$42,0))*CP995/2204.62*CO995,"")</f>
        <v/>
      </c>
      <c r="CT995" s="145" t="str">
        <f>IF($I995&lt;&gt;"",J995*(INDEX('Device Refrigerant Leakage'!$D$2:$D$42,MATCH($M995,'Device Refrigerant Leakage'!$B$2:$B$42,0))-(INDEX('Device Refrigerant Leakage'!$D$2:$D$42,MATCH($M995,'Device Refrigerant Leakage'!$B$2:$B$42,0)))*CR995*CP995)*CQ995/2204.62*CO995,"")</f>
        <v/>
      </c>
      <c r="CU995" s="135" t="str">
        <f>IF($I995&lt;&gt;"",J995*IF(W995&lt;&gt;"AR",(CS995*K995)+CT995,(CS995*AB995)+CT995*(AB995/INDEX('Device Refrigerant Leakage'!$C$2:$C$42,MATCH($M995,'Device Refrigerant Leakage'!$B$2:$B$42,0)))),"")</f>
        <v/>
      </c>
      <c r="CW995" s="135" t="str">
        <f>IF($I995&lt;&gt;"",IF(S995="User Specified",V995,INDEX('Refrigerant GWPs'!$G$2:$G$156,MATCH(S995,'Refrigerant GWPs'!$A$2:$A$157,0))),"")</f>
        <v/>
      </c>
      <c r="CX995" s="138" t="str">
        <f>IF($I995&lt;&gt;"",INDEX('Device Refrigerant Leakage'!$E$2:$E$42,MATCH($Q995,'Device Refrigerant Leakage'!$B$2:$B$42,0)),"")</f>
        <v/>
      </c>
      <c r="CY995" s="138" t="str">
        <f>IF($I995&lt;&gt;"",INDEX('Device Refrigerant Leakage'!$F$2:$F$42,MATCH($Q995,'Device Refrigerant Leakage'!$B$2:$B$42,0)),"")</f>
        <v/>
      </c>
      <c r="CZ995" s="145" t="str">
        <f>IF($I995&lt;&gt;"",INDEX('Device Refrigerant Leakage'!$G$2:$G$42,MATCH($Q995,'Device Refrigerant Leakage'!$B$2:$B$42,0)),"")</f>
        <v/>
      </c>
      <c r="DA995" s="145" t="str">
        <f>IF($I995&lt;&gt;"",J995*INDEX('Device Refrigerant Leakage'!$D$2:$D$42,MATCH($Q995,'Device Refrigerant Leakage'!$B$2:$B$42,0))*CX995/2204.62*CW995,"")</f>
        <v/>
      </c>
      <c r="DB995" s="145" t="str">
        <f>IF($I995&lt;&gt;"",J995*(INDEX('Device Refrigerant Leakage'!$D$2:$D$42,MATCH($Q995,'Device Refrigerant Leakage'!$B$2:$B$42,0))-(INDEX('Device Refrigerant Leakage'!$D$2:$D$42,MATCH($Q995,'Device Refrigerant Leakage'!$B$2:$B$42,0)))*CZ995*CX995)*CY995/2204.62*CW995,"")</f>
        <v/>
      </c>
      <c r="DC995" s="135" t="str">
        <f t="shared" si="1164"/>
        <v/>
      </c>
      <c r="DE995" s="146" t="str">
        <f>IF(W995&lt;&gt;"AR","",IF(Y995="User Specified", AA995, INDEX('Refrigerant GWPs'!$G$2:$G$154,MATCH(Y995,'Refrigerant GWPs'!$A$2:$A$154,0))))</f>
        <v/>
      </c>
      <c r="DF995" s="146" t="str">
        <f>IF(W995&lt;&gt;"AR","",INDEX('Device Refrigerant Leakage'!$E$2:$E$42,MATCH(X995,'Device Refrigerant Leakage'!$B$2:$B$42,0)))</f>
        <v/>
      </c>
      <c r="DG995" s="146" t="str">
        <f>IF(W995&lt;&gt;"AR","",INDEX('Device Refrigerant Leakage'!$F$2:$F$42,MATCH(X995,'Device Refrigerant Leakage'!$B$2:$B$42,0)))</f>
        <v/>
      </c>
      <c r="DH995" s="146" t="str">
        <f>IF(W995&lt;&gt;"AR","",INDEX('Device Refrigerant Leakage'!$G$2:$G$42,MATCH(X995,'Device Refrigerant Leakage'!$B$2:$B$42,0)))</f>
        <v/>
      </c>
      <c r="DI995" s="146" t="str">
        <f>IF(W995&lt;&gt;"AR","",J995*INDEX('Device Refrigerant Leakage'!$D$2:$D$42,MATCH(X995,'Device Refrigerant Leakage'!$B$2:$B$42,0))*DF995/2204.62*DE995)</f>
        <v/>
      </c>
      <c r="DJ995" s="146" t="str">
        <f>IF(W995&lt;&gt;"AR","",J995*(INDEX('Device Refrigerant Leakage'!$D$2:$D$42,MATCH(X995,'Device Refrigerant Leakage'!$B$2:$B$42,0))-(INDEX('Device Refrigerant Leakage'!$D$2:$D$42,MATCH(X995,'Device Refrigerant Leakage'!$B$2:$B$42,0)))*DH995*DF995)*DG995/2204.62*DE995)</f>
        <v/>
      </c>
      <c r="DK995" s="146" t="str">
        <f>IF(W995&lt;&gt;"AR","",DI995*(K995-AB995)+'Fuel Sub Calcs-Deemed'!DJ995*((K995-AB995)/INDEX('Device Refrigerant Leakage'!$C$2:$C$42,MATCH('Fuel Sub Calcs-Deemed'!X995,'Device Refrigerant Leakage'!$B$2:$B$42,0))))</f>
        <v/>
      </c>
      <c r="DM995" s="56">
        <v>981</v>
      </c>
      <c r="DN995" s="67" t="e">
        <f t="shared" si="1146"/>
        <v>#N/A</v>
      </c>
      <c r="DO995" s="45" t="e">
        <f t="shared" si="1147"/>
        <v>#N/A</v>
      </c>
      <c r="DP995" s="67" t="e">
        <f t="shared" si="1148"/>
        <v>#N/A</v>
      </c>
      <c r="DQ995" s="45" t="e">
        <f t="shared" si="1149"/>
        <v>#N/A</v>
      </c>
      <c r="DR995" s="69" t="e">
        <f t="shared" si="1150"/>
        <v>#N/A</v>
      </c>
      <c r="DS995" s="34"/>
      <c r="DT995" s="67" t="e">
        <f>((BX995*CJ995)+IF($W995=MAT_AR,(BZ995*CL995),0))*(1+Reference!$E$50+Reference!$E$51)</f>
        <v>#N/A</v>
      </c>
      <c r="DU995" s="67">
        <f>((BY995*CK995)+IF($W995=MAT_AR,(CA995*CM995),0))*(1+Reference!$G$50+Reference!$G$51)</f>
        <v>0</v>
      </c>
      <c r="DV995" s="67" t="e">
        <f t="shared" si="1151"/>
        <v>#VALUE!</v>
      </c>
      <c r="DX995" s="56">
        <v>981</v>
      </c>
      <c r="DY995" s="67">
        <f t="shared" si="1152"/>
        <v>0</v>
      </c>
      <c r="DZ995" s="45" t="e">
        <f>VLOOKUP($R995,Dropdown!$C$3:$D$4,2,FALSE)</f>
        <v>#N/A</v>
      </c>
      <c r="EA995" s="68">
        <f t="shared" si="1153"/>
        <v>0</v>
      </c>
      <c r="EB995" s="68" t="str">
        <f t="shared" si="1154"/>
        <v>N/A</v>
      </c>
      <c r="EC995" s="68">
        <f t="shared" si="1155"/>
        <v>0</v>
      </c>
      <c r="ED995" s="68" t="str">
        <f t="shared" si="1193"/>
        <v>N/A</v>
      </c>
      <c r="EF995" s="56">
        <v>981</v>
      </c>
      <c r="EG995" s="46">
        <f t="shared" si="1156"/>
        <v>0</v>
      </c>
      <c r="EH995" s="68" t="e">
        <f t="shared" si="1194"/>
        <v>#N/A</v>
      </c>
      <c r="EI995" s="68" t="e">
        <f t="shared" si="1195"/>
        <v>#N/A</v>
      </c>
      <c r="EJ995" s="68" t="e">
        <f t="shared" si="1196"/>
        <v>#N/A</v>
      </c>
      <c r="EK995" s="68" t="e">
        <f t="shared" si="1197"/>
        <v>#N/A</v>
      </c>
      <c r="EL995" s="46">
        <f t="shared" si="1161"/>
        <v>0</v>
      </c>
      <c r="EM995" s="46">
        <f t="shared" si="1198"/>
        <v>0</v>
      </c>
    </row>
    <row r="996" spans="1:143">
      <c r="A996" s="89"/>
      <c r="B996" s="89"/>
      <c r="C996" s="89"/>
      <c r="D996" s="89"/>
      <c r="E996" s="89"/>
      <c r="F996" s="89"/>
      <c r="G996" s="34"/>
      <c r="H996" s="56">
        <f t="shared" si="1163"/>
        <v>982</v>
      </c>
      <c r="I996" s="165"/>
      <c r="J996" s="163"/>
      <c r="K996" s="163"/>
      <c r="L996" s="164"/>
      <c r="M996" s="155"/>
      <c r="N996" s="155"/>
      <c r="O996" s="144"/>
      <c r="P996" s="159" t="str">
        <f>IFERROR(IF(O996&lt;&gt;"User Specified",IF(O996&lt;&gt;"", INDEX('Refrigerant GWPs'!$G$2:$G$154,MATCH(O996,'Refrigerant GWPs'!$A$2:$A$154,0)),""),U996),0)</f>
        <v/>
      </c>
      <c r="Q996" s="155"/>
      <c r="R996" s="155"/>
      <c r="S996" s="144"/>
      <c r="T996" s="159" t="str">
        <f>IF(S996&lt;&gt;"User Specified",IF(AND(S996&lt;&gt;"User Specified",S996&lt;&gt;""), INDEX('Refrigerant GWPs'!$G$2:$G$154,MATCH(S996,'Refrigerant GWPs'!$A$2:$A$154,0)),""),V996)</f>
        <v/>
      </c>
      <c r="U996" s="144"/>
      <c r="V996" s="144"/>
      <c r="W996" s="155"/>
      <c r="X996" s="155"/>
      <c r="Y996" s="144"/>
      <c r="Z996" s="159" t="str">
        <f>IF(AND(Y996&lt;&gt;"User Specified",Y996&lt;&gt;""), INDEX('Refrigerant GWPs'!$G$2:$G$154,MATCH(Y996,'Refrigerant GWPs'!$A$2:$A$154,0)),"")</f>
        <v/>
      </c>
      <c r="AA996" s="155"/>
      <c r="AB996" s="156"/>
      <c r="AC996" s="66"/>
      <c r="AD996" s="66"/>
      <c r="AE996" s="66"/>
      <c r="AF996" s="66"/>
      <c r="AG996" s="66"/>
      <c r="AH996" s="66"/>
      <c r="AI996" s="34"/>
      <c r="AJ996" s="88">
        <f t="shared" si="1126"/>
        <v>0</v>
      </c>
      <c r="AK996" s="88">
        <f t="shared" si="1127"/>
        <v>0</v>
      </c>
      <c r="AL996" s="88">
        <v>0</v>
      </c>
      <c r="AM996" s="88">
        <v>0</v>
      </c>
      <c r="AN996" s="81" t="str">
        <f t="shared" si="1165"/>
        <v/>
      </c>
      <c r="AO996" s="88">
        <f t="shared" si="1128"/>
        <v>0</v>
      </c>
      <c r="AP996" s="88">
        <f t="shared" si="1129"/>
        <v>0</v>
      </c>
      <c r="AQ996" s="81" t="str">
        <f t="shared" si="1130"/>
        <v/>
      </c>
      <c r="AS996" s="41" t="b">
        <f t="shared" si="1131"/>
        <v>1</v>
      </c>
      <c r="AT996" s="38">
        <f t="shared" si="1132"/>
        <v>0</v>
      </c>
      <c r="AU996" s="60">
        <f t="shared" si="1133"/>
        <v>0</v>
      </c>
      <c r="AV996" s="41">
        <f t="shared" si="1134"/>
        <v>0</v>
      </c>
      <c r="AW996" s="41" t="b">
        <f t="shared" si="1135"/>
        <v>0</v>
      </c>
      <c r="AX996" t="str">
        <f t="shared" si="1136"/>
        <v>+00</v>
      </c>
      <c r="AY996" t="str">
        <f t="shared" si="1137"/>
        <v>+00</v>
      </c>
      <c r="BA996" s="47" t="b">
        <f t="shared" si="1166"/>
        <v>1</v>
      </c>
      <c r="BB996" s="42" t="b">
        <f t="shared" si="1167"/>
        <v>1</v>
      </c>
      <c r="BC996" s="42" t="b">
        <f t="shared" si="1168"/>
        <v>0</v>
      </c>
      <c r="BD996" s="42" t="b">
        <f t="shared" si="1169"/>
        <v>0</v>
      </c>
      <c r="BE996" s="70">
        <f t="shared" si="1170"/>
        <v>0</v>
      </c>
      <c r="BF996" s="70">
        <f t="shared" si="1171"/>
        <v>0</v>
      </c>
      <c r="BG996" s="34"/>
      <c r="BI996" s="47" t="b">
        <f t="shared" si="1172"/>
        <v>1</v>
      </c>
      <c r="BJ996" s="47" t="b">
        <f t="shared" si="1173"/>
        <v>1</v>
      </c>
      <c r="BK996" s="42" t="b">
        <f t="shared" si="1174"/>
        <v>0</v>
      </c>
      <c r="BL996" s="42" t="b">
        <f t="shared" si="1175"/>
        <v>0</v>
      </c>
      <c r="BM996" s="42">
        <f t="shared" si="1176"/>
        <v>0</v>
      </c>
      <c r="BN996" s="42">
        <f t="shared" si="1177"/>
        <v>0</v>
      </c>
      <c r="BP996" t="e">
        <f t="shared" si="1178"/>
        <v>#N/A</v>
      </c>
      <c r="BQ996" t="e">
        <f t="shared" si="1179"/>
        <v>#N/A</v>
      </c>
      <c r="BR996" t="e">
        <f t="shared" si="1180"/>
        <v>#N/A</v>
      </c>
      <c r="BT996" s="60">
        <f t="shared" si="1181"/>
        <v>0</v>
      </c>
      <c r="BU996" s="60">
        <f t="shared" si="1182"/>
        <v>0</v>
      </c>
      <c r="BV996" s="60">
        <f t="shared" si="1183"/>
        <v>0</v>
      </c>
      <c r="BW996" s="60">
        <f t="shared" si="1184"/>
        <v>0</v>
      </c>
      <c r="BX996" s="60">
        <f t="shared" si="1185"/>
        <v>0</v>
      </c>
      <c r="BY996" s="60">
        <f t="shared" si="1186"/>
        <v>0</v>
      </c>
      <c r="BZ996" s="60">
        <f t="shared" si="1187"/>
        <v>0</v>
      </c>
      <c r="CA996" s="60">
        <f t="shared" si="1188"/>
        <v>0</v>
      </c>
      <c r="CB996" s="60" t="e">
        <f t="shared" si="1138"/>
        <v>#N/A</v>
      </c>
      <c r="CC996" s="60">
        <f t="shared" si="1139"/>
        <v>100000</v>
      </c>
      <c r="CD996" s="60" t="e">
        <f t="shared" si="1140"/>
        <v>#N/A</v>
      </c>
      <c r="CE996" s="60">
        <f t="shared" si="1141"/>
        <v>100000</v>
      </c>
      <c r="CF996" s="83" t="e">
        <f t="shared" si="1189"/>
        <v>#N/A</v>
      </c>
      <c r="CG996" s="83">
        <f t="shared" si="1190"/>
        <v>0</v>
      </c>
      <c r="CH996" s="83" t="e">
        <f t="shared" si="1191"/>
        <v>#N/A</v>
      </c>
      <c r="CI996" s="83">
        <f t="shared" si="1192"/>
        <v>0</v>
      </c>
      <c r="CJ996" s="86" t="e">
        <f t="shared" si="1142"/>
        <v>#N/A</v>
      </c>
      <c r="CK996" s="82">
        <f t="shared" si="1143"/>
        <v>5.3070370403969858E-3</v>
      </c>
      <c r="CL996" s="82" t="e">
        <f t="shared" si="1144"/>
        <v>#N/A</v>
      </c>
      <c r="CM996" s="82">
        <f t="shared" si="1145"/>
        <v>5.3070370403969858E-3</v>
      </c>
      <c r="CO996" s="149" t="str">
        <f>IF($I996&lt;&gt;"",IF(O996="User Specified",U996,INDEX('Refrigerant GWPs'!$G$2:$G$156,MATCH(O996,'Refrigerant GWPs'!$A$2:$A$156,0))),"")</f>
        <v/>
      </c>
      <c r="CP996" s="138" t="str">
        <f>IF($I996&lt;&gt;"",INDEX('Device Refrigerant Leakage'!$E$2:$E$42,MATCH($M996,'Device Refrigerant Leakage'!$B$2:$B$42,0)),"")</f>
        <v/>
      </c>
      <c r="CQ996" s="138" t="str">
        <f>IF($I996&lt;&gt;"",INDEX('Device Refrigerant Leakage'!$F$2:$F$42,MATCH($M996,'Device Refrigerant Leakage'!$B$2:$B$42,0)),"")</f>
        <v/>
      </c>
      <c r="CR996" s="145" t="str">
        <f>IF($I996&lt;&gt;"",INDEX('Device Refrigerant Leakage'!$G$2:$G$42,MATCH($M996,'Device Refrigerant Leakage'!$B$2:$B$42,0)),"")</f>
        <v/>
      </c>
      <c r="CS996" s="145" t="str">
        <f>IF($I996&lt;&gt;"",INDEX('Device Refrigerant Leakage'!$D$2:$D$42,MATCH($M996,'Device Refrigerant Leakage'!$B$2:$B$42,0))*CP996/2204.62*CO996,"")</f>
        <v/>
      </c>
      <c r="CT996" s="145" t="str">
        <f>IF($I996&lt;&gt;"",J996*(INDEX('Device Refrigerant Leakage'!$D$2:$D$42,MATCH($M996,'Device Refrigerant Leakage'!$B$2:$B$42,0))-(INDEX('Device Refrigerant Leakage'!$D$2:$D$42,MATCH($M996,'Device Refrigerant Leakage'!$B$2:$B$42,0)))*CR996*CP996)*CQ996/2204.62*CO996,"")</f>
        <v/>
      </c>
      <c r="CU996" s="135" t="str">
        <f>IF($I996&lt;&gt;"",J996*IF(W996&lt;&gt;"AR",(CS996*K996)+CT996,(CS996*AB996)+CT996*(AB996/INDEX('Device Refrigerant Leakage'!$C$2:$C$42,MATCH($M996,'Device Refrigerant Leakage'!$B$2:$B$42,0)))),"")</f>
        <v/>
      </c>
      <c r="CW996" s="135" t="str">
        <f>IF($I996&lt;&gt;"",IF(S996="User Specified",V996,INDEX('Refrigerant GWPs'!$G$2:$G$156,MATCH(S996,'Refrigerant GWPs'!$A$2:$A$157,0))),"")</f>
        <v/>
      </c>
      <c r="CX996" s="138" t="str">
        <f>IF($I996&lt;&gt;"",INDEX('Device Refrigerant Leakage'!$E$2:$E$42,MATCH($Q996,'Device Refrigerant Leakage'!$B$2:$B$42,0)),"")</f>
        <v/>
      </c>
      <c r="CY996" s="138" t="str">
        <f>IF($I996&lt;&gt;"",INDEX('Device Refrigerant Leakage'!$F$2:$F$42,MATCH($Q996,'Device Refrigerant Leakage'!$B$2:$B$42,0)),"")</f>
        <v/>
      </c>
      <c r="CZ996" s="145" t="str">
        <f>IF($I996&lt;&gt;"",INDEX('Device Refrigerant Leakage'!$G$2:$G$42,MATCH($Q996,'Device Refrigerant Leakage'!$B$2:$B$42,0)),"")</f>
        <v/>
      </c>
      <c r="DA996" s="145" t="str">
        <f>IF($I996&lt;&gt;"",J996*INDEX('Device Refrigerant Leakage'!$D$2:$D$42,MATCH($Q996,'Device Refrigerant Leakage'!$B$2:$B$42,0))*CX996/2204.62*CW996,"")</f>
        <v/>
      </c>
      <c r="DB996" s="145" t="str">
        <f>IF($I996&lt;&gt;"",J996*(INDEX('Device Refrigerant Leakage'!$D$2:$D$42,MATCH($Q996,'Device Refrigerant Leakage'!$B$2:$B$42,0))-(INDEX('Device Refrigerant Leakage'!$D$2:$D$42,MATCH($Q996,'Device Refrigerant Leakage'!$B$2:$B$42,0)))*CZ996*CX996)*CY996/2204.62*CW996,"")</f>
        <v/>
      </c>
      <c r="DC996" s="135" t="str">
        <f t="shared" si="1164"/>
        <v/>
      </c>
      <c r="DE996" s="146" t="str">
        <f>IF(W996&lt;&gt;"AR","",IF(Y996="User Specified", AA996, INDEX('Refrigerant GWPs'!$G$2:$G$154,MATCH(Y996,'Refrigerant GWPs'!$A$2:$A$154,0))))</f>
        <v/>
      </c>
      <c r="DF996" s="146" t="str">
        <f>IF(W996&lt;&gt;"AR","",INDEX('Device Refrigerant Leakage'!$E$2:$E$42,MATCH(X996,'Device Refrigerant Leakage'!$B$2:$B$42,0)))</f>
        <v/>
      </c>
      <c r="DG996" s="146" t="str">
        <f>IF(W996&lt;&gt;"AR","",INDEX('Device Refrigerant Leakage'!$F$2:$F$42,MATCH(X996,'Device Refrigerant Leakage'!$B$2:$B$42,0)))</f>
        <v/>
      </c>
      <c r="DH996" s="146" t="str">
        <f>IF(W996&lt;&gt;"AR","",INDEX('Device Refrigerant Leakage'!$G$2:$G$42,MATCH(X996,'Device Refrigerant Leakage'!$B$2:$B$42,0)))</f>
        <v/>
      </c>
      <c r="DI996" s="146" t="str">
        <f>IF(W996&lt;&gt;"AR","",J996*INDEX('Device Refrigerant Leakage'!$D$2:$D$42,MATCH(X996,'Device Refrigerant Leakage'!$B$2:$B$42,0))*DF996/2204.62*DE996)</f>
        <v/>
      </c>
      <c r="DJ996" s="146" t="str">
        <f>IF(W996&lt;&gt;"AR","",J996*(INDEX('Device Refrigerant Leakage'!$D$2:$D$42,MATCH(X996,'Device Refrigerant Leakage'!$B$2:$B$42,0))-(INDEX('Device Refrigerant Leakage'!$D$2:$D$42,MATCH(X996,'Device Refrigerant Leakage'!$B$2:$B$42,0)))*DH996*DF996)*DG996/2204.62*DE996)</f>
        <v/>
      </c>
      <c r="DK996" s="146" t="str">
        <f>IF(W996&lt;&gt;"AR","",DI996*(K996-AB996)+'Fuel Sub Calcs-Deemed'!DJ996*((K996-AB996)/INDEX('Device Refrigerant Leakage'!$C$2:$C$42,MATCH('Fuel Sub Calcs-Deemed'!X996,'Device Refrigerant Leakage'!$B$2:$B$42,0))))</f>
        <v/>
      </c>
      <c r="DM996" s="56">
        <v>982</v>
      </c>
      <c r="DN996" s="67" t="e">
        <f t="shared" si="1146"/>
        <v>#N/A</v>
      </c>
      <c r="DO996" s="45" t="e">
        <f t="shared" si="1147"/>
        <v>#N/A</v>
      </c>
      <c r="DP996" s="67" t="e">
        <f t="shared" si="1148"/>
        <v>#N/A</v>
      </c>
      <c r="DQ996" s="45" t="e">
        <f t="shared" si="1149"/>
        <v>#N/A</v>
      </c>
      <c r="DR996" s="69" t="e">
        <f t="shared" si="1150"/>
        <v>#N/A</v>
      </c>
      <c r="DS996" s="34"/>
      <c r="DT996" s="67" t="e">
        <f>((BX996*CJ996)+IF($W996=MAT_AR,(BZ996*CL996),0))*(1+Reference!$E$50+Reference!$E$51)</f>
        <v>#N/A</v>
      </c>
      <c r="DU996" s="67">
        <f>((BY996*CK996)+IF($W996=MAT_AR,(CA996*CM996),0))*(1+Reference!$G$50+Reference!$G$51)</f>
        <v>0</v>
      </c>
      <c r="DV996" s="67" t="e">
        <f t="shared" si="1151"/>
        <v>#VALUE!</v>
      </c>
      <c r="DX996" s="56">
        <v>982</v>
      </c>
      <c r="DY996" s="67">
        <f t="shared" si="1152"/>
        <v>0</v>
      </c>
      <c r="DZ996" s="45" t="e">
        <f>VLOOKUP($R996,Dropdown!$C$3:$D$4,2,FALSE)</f>
        <v>#N/A</v>
      </c>
      <c r="EA996" s="68">
        <f t="shared" si="1153"/>
        <v>0</v>
      </c>
      <c r="EB996" s="68" t="str">
        <f t="shared" si="1154"/>
        <v>N/A</v>
      </c>
      <c r="EC996" s="68">
        <f t="shared" si="1155"/>
        <v>0</v>
      </c>
      <c r="ED996" s="68" t="str">
        <f t="shared" si="1193"/>
        <v>N/A</v>
      </c>
      <c r="EF996" s="56">
        <v>982</v>
      </c>
      <c r="EG996" s="46">
        <f t="shared" si="1156"/>
        <v>0</v>
      </c>
      <c r="EH996" s="68" t="e">
        <f t="shared" si="1194"/>
        <v>#N/A</v>
      </c>
      <c r="EI996" s="68" t="e">
        <f t="shared" si="1195"/>
        <v>#N/A</v>
      </c>
      <c r="EJ996" s="68" t="e">
        <f t="shared" si="1196"/>
        <v>#N/A</v>
      </c>
      <c r="EK996" s="68" t="e">
        <f t="shared" si="1197"/>
        <v>#N/A</v>
      </c>
      <c r="EL996" s="46">
        <f t="shared" si="1161"/>
        <v>0</v>
      </c>
      <c r="EM996" s="46">
        <f t="shared" si="1198"/>
        <v>0</v>
      </c>
    </row>
    <row r="997" spans="1:143">
      <c r="A997" s="89"/>
      <c r="B997" s="89"/>
      <c r="C997" s="89"/>
      <c r="D997" s="89"/>
      <c r="E997" s="89"/>
      <c r="F997" s="89"/>
      <c r="G997" s="34"/>
      <c r="H997" s="56">
        <f t="shared" si="1163"/>
        <v>983</v>
      </c>
      <c r="I997" s="165"/>
      <c r="J997" s="163"/>
      <c r="K997" s="163"/>
      <c r="L997" s="164"/>
      <c r="M997" s="155"/>
      <c r="N997" s="155"/>
      <c r="O997" s="144"/>
      <c r="P997" s="159" t="str">
        <f>IFERROR(IF(O997&lt;&gt;"User Specified",IF(O997&lt;&gt;"", INDEX('Refrigerant GWPs'!$G$2:$G$154,MATCH(O997,'Refrigerant GWPs'!$A$2:$A$154,0)),""),U997),0)</f>
        <v/>
      </c>
      <c r="Q997" s="155"/>
      <c r="R997" s="155"/>
      <c r="S997" s="144"/>
      <c r="T997" s="159" t="str">
        <f>IF(S997&lt;&gt;"User Specified",IF(AND(S997&lt;&gt;"User Specified",S997&lt;&gt;""), INDEX('Refrigerant GWPs'!$G$2:$G$154,MATCH(S997,'Refrigerant GWPs'!$A$2:$A$154,0)),""),V997)</f>
        <v/>
      </c>
      <c r="U997" s="144"/>
      <c r="V997" s="144"/>
      <c r="W997" s="155"/>
      <c r="X997" s="155"/>
      <c r="Y997" s="144"/>
      <c r="Z997" s="159" t="str">
        <f>IF(AND(Y997&lt;&gt;"User Specified",Y997&lt;&gt;""), INDEX('Refrigerant GWPs'!$G$2:$G$154,MATCH(Y997,'Refrigerant GWPs'!$A$2:$A$154,0)),"")</f>
        <v/>
      </c>
      <c r="AA997" s="155"/>
      <c r="AB997" s="156"/>
      <c r="AC997" s="66"/>
      <c r="AD997" s="66"/>
      <c r="AE997" s="66"/>
      <c r="AF997" s="66"/>
      <c r="AG997" s="66"/>
      <c r="AH997" s="66"/>
      <c r="AI997" s="34"/>
      <c r="AJ997" s="88">
        <f t="shared" si="1126"/>
        <v>0</v>
      </c>
      <c r="AK997" s="88">
        <f t="shared" si="1127"/>
        <v>0</v>
      </c>
      <c r="AL997" s="88">
        <v>0</v>
      </c>
      <c r="AM997" s="88">
        <v>0</v>
      </c>
      <c r="AN997" s="81" t="str">
        <f t="shared" si="1165"/>
        <v/>
      </c>
      <c r="AO997" s="88">
        <f t="shared" si="1128"/>
        <v>0</v>
      </c>
      <c r="AP997" s="88">
        <f t="shared" si="1129"/>
        <v>0</v>
      </c>
      <c r="AQ997" s="81" t="str">
        <f t="shared" si="1130"/>
        <v/>
      </c>
      <c r="AS997" s="41" t="b">
        <f t="shared" si="1131"/>
        <v>1</v>
      </c>
      <c r="AT997" s="38">
        <f t="shared" si="1132"/>
        <v>0</v>
      </c>
      <c r="AU997" s="60">
        <f t="shared" si="1133"/>
        <v>0</v>
      </c>
      <c r="AV997" s="41">
        <f t="shared" si="1134"/>
        <v>0</v>
      </c>
      <c r="AW997" s="41" t="b">
        <f t="shared" si="1135"/>
        <v>0</v>
      </c>
      <c r="AX997" t="str">
        <f t="shared" si="1136"/>
        <v>+00</v>
      </c>
      <c r="AY997" t="str">
        <f t="shared" si="1137"/>
        <v>+00</v>
      </c>
      <c r="BA997" s="47" t="b">
        <f t="shared" si="1166"/>
        <v>1</v>
      </c>
      <c r="BB997" s="42" t="b">
        <f t="shared" si="1167"/>
        <v>1</v>
      </c>
      <c r="BC997" s="42" t="b">
        <f t="shared" si="1168"/>
        <v>0</v>
      </c>
      <c r="BD997" s="42" t="b">
        <f t="shared" si="1169"/>
        <v>0</v>
      </c>
      <c r="BE997" s="70">
        <f t="shared" si="1170"/>
        <v>0</v>
      </c>
      <c r="BF997" s="70">
        <f t="shared" si="1171"/>
        <v>0</v>
      </c>
      <c r="BG997" s="34"/>
      <c r="BI997" s="47" t="b">
        <f t="shared" si="1172"/>
        <v>1</v>
      </c>
      <c r="BJ997" s="47" t="b">
        <f t="shared" si="1173"/>
        <v>1</v>
      </c>
      <c r="BK997" s="42" t="b">
        <f t="shared" si="1174"/>
        <v>0</v>
      </c>
      <c r="BL997" s="42" t="b">
        <f t="shared" si="1175"/>
        <v>0</v>
      </c>
      <c r="BM997" s="42">
        <f t="shared" si="1176"/>
        <v>0</v>
      </c>
      <c r="BN997" s="42">
        <f t="shared" si="1177"/>
        <v>0</v>
      </c>
      <c r="BP997" t="e">
        <f t="shared" si="1178"/>
        <v>#N/A</v>
      </c>
      <c r="BQ997" t="e">
        <f t="shared" si="1179"/>
        <v>#N/A</v>
      </c>
      <c r="BR997" t="e">
        <f t="shared" si="1180"/>
        <v>#N/A</v>
      </c>
      <c r="BT997" s="60">
        <f t="shared" si="1181"/>
        <v>0</v>
      </c>
      <c r="BU997" s="60">
        <f t="shared" si="1182"/>
        <v>0</v>
      </c>
      <c r="BV997" s="60">
        <f t="shared" si="1183"/>
        <v>0</v>
      </c>
      <c r="BW997" s="60">
        <f t="shared" si="1184"/>
        <v>0</v>
      </c>
      <c r="BX997" s="60">
        <f t="shared" si="1185"/>
        <v>0</v>
      </c>
      <c r="BY997" s="60">
        <f t="shared" si="1186"/>
        <v>0</v>
      </c>
      <c r="BZ997" s="60">
        <f t="shared" si="1187"/>
        <v>0</v>
      </c>
      <c r="CA997" s="60">
        <f t="shared" si="1188"/>
        <v>0</v>
      </c>
      <c r="CB997" s="60" t="e">
        <f t="shared" si="1138"/>
        <v>#N/A</v>
      </c>
      <c r="CC997" s="60">
        <f t="shared" si="1139"/>
        <v>100000</v>
      </c>
      <c r="CD997" s="60" t="e">
        <f t="shared" si="1140"/>
        <v>#N/A</v>
      </c>
      <c r="CE997" s="60">
        <f t="shared" si="1141"/>
        <v>100000</v>
      </c>
      <c r="CF997" s="83" t="e">
        <f t="shared" si="1189"/>
        <v>#N/A</v>
      </c>
      <c r="CG997" s="83">
        <f t="shared" si="1190"/>
        <v>0</v>
      </c>
      <c r="CH997" s="83" t="e">
        <f t="shared" si="1191"/>
        <v>#N/A</v>
      </c>
      <c r="CI997" s="83">
        <f t="shared" si="1192"/>
        <v>0</v>
      </c>
      <c r="CJ997" s="86" t="e">
        <f t="shared" si="1142"/>
        <v>#N/A</v>
      </c>
      <c r="CK997" s="82">
        <f t="shared" si="1143"/>
        <v>5.3070370403969858E-3</v>
      </c>
      <c r="CL997" s="82" t="e">
        <f t="shared" si="1144"/>
        <v>#N/A</v>
      </c>
      <c r="CM997" s="82">
        <f t="shared" si="1145"/>
        <v>5.3070370403969858E-3</v>
      </c>
      <c r="CO997" s="149" t="str">
        <f>IF($I997&lt;&gt;"",IF(O997="User Specified",U997,INDEX('Refrigerant GWPs'!$G$2:$G$156,MATCH(O997,'Refrigerant GWPs'!$A$2:$A$156,0))),"")</f>
        <v/>
      </c>
      <c r="CP997" s="138" t="str">
        <f>IF($I997&lt;&gt;"",INDEX('Device Refrigerant Leakage'!$E$2:$E$42,MATCH($M997,'Device Refrigerant Leakage'!$B$2:$B$42,0)),"")</f>
        <v/>
      </c>
      <c r="CQ997" s="138" t="str">
        <f>IF($I997&lt;&gt;"",INDEX('Device Refrigerant Leakage'!$F$2:$F$42,MATCH($M997,'Device Refrigerant Leakage'!$B$2:$B$42,0)),"")</f>
        <v/>
      </c>
      <c r="CR997" s="145" t="str">
        <f>IF($I997&lt;&gt;"",INDEX('Device Refrigerant Leakage'!$G$2:$G$42,MATCH($M997,'Device Refrigerant Leakage'!$B$2:$B$42,0)),"")</f>
        <v/>
      </c>
      <c r="CS997" s="145" t="str">
        <f>IF($I997&lt;&gt;"",INDEX('Device Refrigerant Leakage'!$D$2:$D$42,MATCH($M997,'Device Refrigerant Leakage'!$B$2:$B$42,0))*CP997/2204.62*CO997,"")</f>
        <v/>
      </c>
      <c r="CT997" s="145" t="str">
        <f>IF($I997&lt;&gt;"",J997*(INDEX('Device Refrigerant Leakage'!$D$2:$D$42,MATCH($M997,'Device Refrigerant Leakage'!$B$2:$B$42,0))-(INDEX('Device Refrigerant Leakage'!$D$2:$D$42,MATCH($M997,'Device Refrigerant Leakage'!$B$2:$B$42,0)))*CR997*CP997)*CQ997/2204.62*CO997,"")</f>
        <v/>
      </c>
      <c r="CU997" s="135" t="str">
        <f>IF($I997&lt;&gt;"",J997*IF(W997&lt;&gt;"AR",(CS997*K997)+CT997,(CS997*AB997)+CT997*(AB997/INDEX('Device Refrigerant Leakage'!$C$2:$C$42,MATCH($M997,'Device Refrigerant Leakage'!$B$2:$B$42,0)))),"")</f>
        <v/>
      </c>
      <c r="CW997" s="135" t="str">
        <f>IF($I997&lt;&gt;"",IF(S997="User Specified",V997,INDEX('Refrigerant GWPs'!$G$2:$G$156,MATCH(S997,'Refrigerant GWPs'!$A$2:$A$157,0))),"")</f>
        <v/>
      </c>
      <c r="CX997" s="138" t="str">
        <f>IF($I997&lt;&gt;"",INDEX('Device Refrigerant Leakage'!$E$2:$E$42,MATCH($Q997,'Device Refrigerant Leakage'!$B$2:$B$42,0)),"")</f>
        <v/>
      </c>
      <c r="CY997" s="138" t="str">
        <f>IF($I997&lt;&gt;"",INDEX('Device Refrigerant Leakage'!$F$2:$F$42,MATCH($Q997,'Device Refrigerant Leakage'!$B$2:$B$42,0)),"")</f>
        <v/>
      </c>
      <c r="CZ997" s="145" t="str">
        <f>IF($I997&lt;&gt;"",INDEX('Device Refrigerant Leakage'!$G$2:$G$42,MATCH($Q997,'Device Refrigerant Leakage'!$B$2:$B$42,0)),"")</f>
        <v/>
      </c>
      <c r="DA997" s="145" t="str">
        <f>IF($I997&lt;&gt;"",J997*INDEX('Device Refrigerant Leakage'!$D$2:$D$42,MATCH($Q997,'Device Refrigerant Leakage'!$B$2:$B$42,0))*CX997/2204.62*CW997,"")</f>
        <v/>
      </c>
      <c r="DB997" s="145" t="str">
        <f>IF($I997&lt;&gt;"",J997*(INDEX('Device Refrigerant Leakage'!$D$2:$D$42,MATCH($Q997,'Device Refrigerant Leakage'!$B$2:$B$42,0))-(INDEX('Device Refrigerant Leakage'!$D$2:$D$42,MATCH($Q997,'Device Refrigerant Leakage'!$B$2:$B$42,0)))*CZ997*CX997)*CY997/2204.62*CW997,"")</f>
        <v/>
      </c>
      <c r="DC997" s="135" t="str">
        <f t="shared" si="1164"/>
        <v/>
      </c>
      <c r="DE997" s="146" t="str">
        <f>IF(W997&lt;&gt;"AR","",IF(Y997="User Specified", AA997, INDEX('Refrigerant GWPs'!$G$2:$G$154,MATCH(Y997,'Refrigerant GWPs'!$A$2:$A$154,0))))</f>
        <v/>
      </c>
      <c r="DF997" s="146" t="str">
        <f>IF(W997&lt;&gt;"AR","",INDEX('Device Refrigerant Leakage'!$E$2:$E$42,MATCH(X997,'Device Refrigerant Leakage'!$B$2:$B$42,0)))</f>
        <v/>
      </c>
      <c r="DG997" s="146" t="str">
        <f>IF(W997&lt;&gt;"AR","",INDEX('Device Refrigerant Leakage'!$F$2:$F$42,MATCH(X997,'Device Refrigerant Leakage'!$B$2:$B$42,0)))</f>
        <v/>
      </c>
      <c r="DH997" s="146" t="str">
        <f>IF(W997&lt;&gt;"AR","",INDEX('Device Refrigerant Leakage'!$G$2:$G$42,MATCH(X997,'Device Refrigerant Leakage'!$B$2:$B$42,0)))</f>
        <v/>
      </c>
      <c r="DI997" s="146" t="str">
        <f>IF(W997&lt;&gt;"AR","",J997*INDEX('Device Refrigerant Leakage'!$D$2:$D$42,MATCH(X997,'Device Refrigerant Leakage'!$B$2:$B$42,0))*DF997/2204.62*DE997)</f>
        <v/>
      </c>
      <c r="DJ997" s="146" t="str">
        <f>IF(W997&lt;&gt;"AR","",J997*(INDEX('Device Refrigerant Leakage'!$D$2:$D$42,MATCH(X997,'Device Refrigerant Leakage'!$B$2:$B$42,0))-(INDEX('Device Refrigerant Leakage'!$D$2:$D$42,MATCH(X997,'Device Refrigerant Leakage'!$B$2:$B$42,0)))*DH997*DF997)*DG997/2204.62*DE997)</f>
        <v/>
      </c>
      <c r="DK997" s="146" t="str">
        <f>IF(W997&lt;&gt;"AR","",DI997*(K997-AB997)+'Fuel Sub Calcs-Deemed'!DJ997*((K997-AB997)/INDEX('Device Refrigerant Leakage'!$C$2:$C$42,MATCH('Fuel Sub Calcs-Deemed'!X997,'Device Refrigerant Leakage'!$B$2:$B$42,0))))</f>
        <v/>
      </c>
      <c r="DM997" s="56">
        <v>983</v>
      </c>
      <c r="DN997" s="67" t="e">
        <f t="shared" si="1146"/>
        <v>#N/A</v>
      </c>
      <c r="DO997" s="45" t="e">
        <f t="shared" si="1147"/>
        <v>#N/A</v>
      </c>
      <c r="DP997" s="67" t="e">
        <f t="shared" si="1148"/>
        <v>#N/A</v>
      </c>
      <c r="DQ997" s="45" t="e">
        <f t="shared" si="1149"/>
        <v>#N/A</v>
      </c>
      <c r="DR997" s="69" t="e">
        <f t="shared" si="1150"/>
        <v>#N/A</v>
      </c>
      <c r="DS997" s="34"/>
      <c r="DT997" s="67" t="e">
        <f>((BX997*CJ997)+IF($W997=MAT_AR,(BZ997*CL997),0))*(1+Reference!$E$50+Reference!$E$51)</f>
        <v>#N/A</v>
      </c>
      <c r="DU997" s="67">
        <f>((BY997*CK997)+IF($W997=MAT_AR,(CA997*CM997),0))*(1+Reference!$G$50+Reference!$G$51)</f>
        <v>0</v>
      </c>
      <c r="DV997" s="67" t="e">
        <f t="shared" si="1151"/>
        <v>#VALUE!</v>
      </c>
      <c r="DX997" s="56">
        <v>983</v>
      </c>
      <c r="DY997" s="67">
        <f t="shared" si="1152"/>
        <v>0</v>
      </c>
      <c r="DZ997" s="45" t="e">
        <f>VLOOKUP($R997,Dropdown!$C$3:$D$4,2,FALSE)</f>
        <v>#N/A</v>
      </c>
      <c r="EA997" s="68">
        <f t="shared" si="1153"/>
        <v>0</v>
      </c>
      <c r="EB997" s="68" t="str">
        <f t="shared" si="1154"/>
        <v>N/A</v>
      </c>
      <c r="EC997" s="68">
        <f t="shared" si="1155"/>
        <v>0</v>
      </c>
      <c r="ED997" s="68" t="str">
        <f t="shared" si="1193"/>
        <v>N/A</v>
      </c>
      <c r="EF997" s="56">
        <v>983</v>
      </c>
      <c r="EG997" s="46">
        <f t="shared" si="1156"/>
        <v>0</v>
      </c>
      <c r="EH997" s="68" t="e">
        <f t="shared" si="1194"/>
        <v>#N/A</v>
      </c>
      <c r="EI997" s="68" t="e">
        <f t="shared" si="1195"/>
        <v>#N/A</v>
      </c>
      <c r="EJ997" s="68" t="e">
        <f t="shared" si="1196"/>
        <v>#N/A</v>
      </c>
      <c r="EK997" s="68" t="e">
        <f t="shared" si="1197"/>
        <v>#N/A</v>
      </c>
      <c r="EL997" s="46">
        <f t="shared" si="1161"/>
        <v>0</v>
      </c>
      <c r="EM997" s="46">
        <f t="shared" si="1198"/>
        <v>0</v>
      </c>
    </row>
    <row r="998" spans="1:143">
      <c r="A998" s="89"/>
      <c r="B998" s="89"/>
      <c r="C998" s="89"/>
      <c r="D998" s="89"/>
      <c r="E998" s="89"/>
      <c r="F998" s="89"/>
      <c r="G998" s="34"/>
      <c r="H998" s="56">
        <f t="shared" si="1163"/>
        <v>984</v>
      </c>
      <c r="I998" s="165"/>
      <c r="J998" s="163"/>
      <c r="K998" s="163"/>
      <c r="L998" s="164"/>
      <c r="M998" s="155"/>
      <c r="N998" s="155"/>
      <c r="O998" s="144"/>
      <c r="P998" s="159" t="str">
        <f>IFERROR(IF(O998&lt;&gt;"User Specified",IF(O998&lt;&gt;"", INDEX('Refrigerant GWPs'!$G$2:$G$154,MATCH(O998,'Refrigerant GWPs'!$A$2:$A$154,0)),""),U998),0)</f>
        <v/>
      </c>
      <c r="Q998" s="155"/>
      <c r="R998" s="155"/>
      <c r="S998" s="144"/>
      <c r="T998" s="159" t="str">
        <f>IF(S998&lt;&gt;"User Specified",IF(AND(S998&lt;&gt;"User Specified",S998&lt;&gt;""), INDEX('Refrigerant GWPs'!$G$2:$G$154,MATCH(S998,'Refrigerant GWPs'!$A$2:$A$154,0)),""),V998)</f>
        <v/>
      </c>
      <c r="U998" s="144"/>
      <c r="V998" s="144"/>
      <c r="W998" s="155"/>
      <c r="X998" s="155"/>
      <c r="Y998" s="144"/>
      <c r="Z998" s="159" t="str">
        <f>IF(AND(Y998&lt;&gt;"User Specified",Y998&lt;&gt;""), INDEX('Refrigerant GWPs'!$G$2:$G$154,MATCH(Y998,'Refrigerant GWPs'!$A$2:$A$154,0)),"")</f>
        <v/>
      </c>
      <c r="AA998" s="155"/>
      <c r="AB998" s="156"/>
      <c r="AC998" s="66"/>
      <c r="AD998" s="66"/>
      <c r="AE998" s="66"/>
      <c r="AF998" s="66"/>
      <c r="AG998" s="66"/>
      <c r="AH998" s="66"/>
      <c r="AI998" s="34"/>
      <c r="AJ998" s="88">
        <f t="shared" si="1126"/>
        <v>0</v>
      </c>
      <c r="AK998" s="88">
        <f t="shared" si="1127"/>
        <v>0</v>
      </c>
      <c r="AL998" s="88">
        <v>0</v>
      </c>
      <c r="AM998" s="88">
        <v>0</v>
      </c>
      <c r="AN998" s="81" t="str">
        <f t="shared" si="1165"/>
        <v/>
      </c>
      <c r="AO998" s="88">
        <f t="shared" si="1128"/>
        <v>0</v>
      </c>
      <c r="AP998" s="88">
        <f t="shared" si="1129"/>
        <v>0</v>
      </c>
      <c r="AQ998" s="81" t="str">
        <f t="shared" si="1130"/>
        <v/>
      </c>
      <c r="AS998" s="41" t="b">
        <f t="shared" si="1131"/>
        <v>1</v>
      </c>
      <c r="AT998" s="38">
        <f t="shared" si="1132"/>
        <v>0</v>
      </c>
      <c r="AU998" s="60">
        <f t="shared" si="1133"/>
        <v>0</v>
      </c>
      <c r="AV998" s="41">
        <f t="shared" si="1134"/>
        <v>0</v>
      </c>
      <c r="AW998" s="41" t="b">
        <f t="shared" si="1135"/>
        <v>0</v>
      </c>
      <c r="AX998" t="str">
        <f t="shared" si="1136"/>
        <v>+00</v>
      </c>
      <c r="AY998" t="str">
        <f t="shared" si="1137"/>
        <v>+00</v>
      </c>
      <c r="BA998" s="47" t="b">
        <f t="shared" si="1166"/>
        <v>1</v>
      </c>
      <c r="BB998" s="42" t="b">
        <f t="shared" si="1167"/>
        <v>1</v>
      </c>
      <c r="BC998" s="42" t="b">
        <f t="shared" si="1168"/>
        <v>0</v>
      </c>
      <c r="BD998" s="42" t="b">
        <f t="shared" si="1169"/>
        <v>0</v>
      </c>
      <c r="BE998" s="70">
        <f t="shared" si="1170"/>
        <v>0</v>
      </c>
      <c r="BF998" s="70">
        <f t="shared" si="1171"/>
        <v>0</v>
      </c>
      <c r="BG998" s="34"/>
      <c r="BI998" s="47" t="b">
        <f t="shared" si="1172"/>
        <v>1</v>
      </c>
      <c r="BJ998" s="47" t="b">
        <f t="shared" si="1173"/>
        <v>1</v>
      </c>
      <c r="BK998" s="42" t="b">
        <f t="shared" si="1174"/>
        <v>0</v>
      </c>
      <c r="BL998" s="42" t="b">
        <f t="shared" si="1175"/>
        <v>0</v>
      </c>
      <c r="BM998" s="42">
        <f t="shared" si="1176"/>
        <v>0</v>
      </c>
      <c r="BN998" s="42">
        <f t="shared" si="1177"/>
        <v>0</v>
      </c>
      <c r="BP998" t="e">
        <f t="shared" si="1178"/>
        <v>#N/A</v>
      </c>
      <c r="BQ998" t="e">
        <f t="shared" si="1179"/>
        <v>#N/A</v>
      </c>
      <c r="BR998" t="e">
        <f t="shared" si="1180"/>
        <v>#N/A</v>
      </c>
      <c r="BT998" s="60">
        <f t="shared" si="1181"/>
        <v>0</v>
      </c>
      <c r="BU998" s="60">
        <f t="shared" si="1182"/>
        <v>0</v>
      </c>
      <c r="BV998" s="60">
        <f t="shared" si="1183"/>
        <v>0</v>
      </c>
      <c r="BW998" s="60">
        <f t="shared" si="1184"/>
        <v>0</v>
      </c>
      <c r="BX998" s="60">
        <f t="shared" si="1185"/>
        <v>0</v>
      </c>
      <c r="BY998" s="60">
        <f t="shared" si="1186"/>
        <v>0</v>
      </c>
      <c r="BZ998" s="60">
        <f t="shared" si="1187"/>
        <v>0</v>
      </c>
      <c r="CA998" s="60">
        <f t="shared" si="1188"/>
        <v>0</v>
      </c>
      <c r="CB998" s="60" t="e">
        <f t="shared" si="1138"/>
        <v>#N/A</v>
      </c>
      <c r="CC998" s="60">
        <f t="shared" si="1139"/>
        <v>100000</v>
      </c>
      <c r="CD998" s="60" t="e">
        <f t="shared" si="1140"/>
        <v>#N/A</v>
      </c>
      <c r="CE998" s="60">
        <f t="shared" si="1141"/>
        <v>100000</v>
      </c>
      <c r="CF998" s="83" t="e">
        <f t="shared" si="1189"/>
        <v>#N/A</v>
      </c>
      <c r="CG998" s="83">
        <f t="shared" si="1190"/>
        <v>0</v>
      </c>
      <c r="CH998" s="83" t="e">
        <f t="shared" si="1191"/>
        <v>#N/A</v>
      </c>
      <c r="CI998" s="83">
        <f t="shared" si="1192"/>
        <v>0</v>
      </c>
      <c r="CJ998" s="86" t="e">
        <f t="shared" si="1142"/>
        <v>#N/A</v>
      </c>
      <c r="CK998" s="82">
        <f t="shared" si="1143"/>
        <v>5.3070370403969858E-3</v>
      </c>
      <c r="CL998" s="82" t="e">
        <f t="shared" si="1144"/>
        <v>#N/A</v>
      </c>
      <c r="CM998" s="82">
        <f t="shared" si="1145"/>
        <v>5.3070370403969858E-3</v>
      </c>
      <c r="CO998" s="149" t="str">
        <f>IF($I998&lt;&gt;"",IF(O998="User Specified",U998,INDEX('Refrigerant GWPs'!$G$2:$G$156,MATCH(O998,'Refrigerant GWPs'!$A$2:$A$156,0))),"")</f>
        <v/>
      </c>
      <c r="CP998" s="138" t="str">
        <f>IF($I998&lt;&gt;"",INDEX('Device Refrigerant Leakage'!$E$2:$E$42,MATCH($M998,'Device Refrigerant Leakage'!$B$2:$B$42,0)),"")</f>
        <v/>
      </c>
      <c r="CQ998" s="138" t="str">
        <f>IF($I998&lt;&gt;"",INDEX('Device Refrigerant Leakage'!$F$2:$F$42,MATCH($M998,'Device Refrigerant Leakage'!$B$2:$B$42,0)),"")</f>
        <v/>
      </c>
      <c r="CR998" s="145" t="str">
        <f>IF($I998&lt;&gt;"",INDEX('Device Refrigerant Leakage'!$G$2:$G$42,MATCH($M998,'Device Refrigerant Leakage'!$B$2:$B$42,0)),"")</f>
        <v/>
      </c>
      <c r="CS998" s="145" t="str">
        <f>IF($I998&lt;&gt;"",INDEX('Device Refrigerant Leakage'!$D$2:$D$42,MATCH($M998,'Device Refrigerant Leakage'!$B$2:$B$42,0))*CP998/2204.62*CO998,"")</f>
        <v/>
      </c>
      <c r="CT998" s="145" t="str">
        <f>IF($I998&lt;&gt;"",J998*(INDEX('Device Refrigerant Leakage'!$D$2:$D$42,MATCH($M998,'Device Refrigerant Leakage'!$B$2:$B$42,0))-(INDEX('Device Refrigerant Leakage'!$D$2:$D$42,MATCH($M998,'Device Refrigerant Leakage'!$B$2:$B$42,0)))*CR998*CP998)*CQ998/2204.62*CO998,"")</f>
        <v/>
      </c>
      <c r="CU998" s="135" t="str">
        <f>IF($I998&lt;&gt;"",J998*IF(W998&lt;&gt;"AR",(CS998*K998)+CT998,(CS998*AB998)+CT998*(AB998/INDEX('Device Refrigerant Leakage'!$C$2:$C$42,MATCH($M998,'Device Refrigerant Leakage'!$B$2:$B$42,0)))),"")</f>
        <v/>
      </c>
      <c r="CW998" s="135" t="str">
        <f>IF($I998&lt;&gt;"",IF(S998="User Specified",V998,INDEX('Refrigerant GWPs'!$G$2:$G$156,MATCH(S998,'Refrigerant GWPs'!$A$2:$A$157,0))),"")</f>
        <v/>
      </c>
      <c r="CX998" s="138" t="str">
        <f>IF($I998&lt;&gt;"",INDEX('Device Refrigerant Leakage'!$E$2:$E$42,MATCH($Q998,'Device Refrigerant Leakage'!$B$2:$B$42,0)),"")</f>
        <v/>
      </c>
      <c r="CY998" s="138" t="str">
        <f>IF($I998&lt;&gt;"",INDEX('Device Refrigerant Leakage'!$F$2:$F$42,MATCH($Q998,'Device Refrigerant Leakage'!$B$2:$B$42,0)),"")</f>
        <v/>
      </c>
      <c r="CZ998" s="145" t="str">
        <f>IF($I998&lt;&gt;"",INDEX('Device Refrigerant Leakage'!$G$2:$G$42,MATCH($Q998,'Device Refrigerant Leakage'!$B$2:$B$42,0)),"")</f>
        <v/>
      </c>
      <c r="DA998" s="145" t="str">
        <f>IF($I998&lt;&gt;"",J998*INDEX('Device Refrigerant Leakage'!$D$2:$D$42,MATCH($Q998,'Device Refrigerant Leakage'!$B$2:$B$42,0))*CX998/2204.62*CW998,"")</f>
        <v/>
      </c>
      <c r="DB998" s="145" t="str">
        <f>IF($I998&lt;&gt;"",J998*(INDEX('Device Refrigerant Leakage'!$D$2:$D$42,MATCH($Q998,'Device Refrigerant Leakage'!$B$2:$B$42,0))-(INDEX('Device Refrigerant Leakage'!$D$2:$D$42,MATCH($Q998,'Device Refrigerant Leakage'!$B$2:$B$42,0)))*CZ998*CX998)*CY998/2204.62*CW998,"")</f>
        <v/>
      </c>
      <c r="DC998" s="135" t="str">
        <f t="shared" si="1164"/>
        <v/>
      </c>
      <c r="DE998" s="146" t="str">
        <f>IF(W998&lt;&gt;"AR","",IF(Y998="User Specified", AA998, INDEX('Refrigerant GWPs'!$G$2:$G$154,MATCH(Y998,'Refrigerant GWPs'!$A$2:$A$154,0))))</f>
        <v/>
      </c>
      <c r="DF998" s="146" t="str">
        <f>IF(W998&lt;&gt;"AR","",INDEX('Device Refrigerant Leakage'!$E$2:$E$42,MATCH(X998,'Device Refrigerant Leakage'!$B$2:$B$42,0)))</f>
        <v/>
      </c>
      <c r="DG998" s="146" t="str">
        <f>IF(W998&lt;&gt;"AR","",INDEX('Device Refrigerant Leakage'!$F$2:$F$42,MATCH(X998,'Device Refrigerant Leakage'!$B$2:$B$42,0)))</f>
        <v/>
      </c>
      <c r="DH998" s="146" t="str">
        <f>IF(W998&lt;&gt;"AR","",INDEX('Device Refrigerant Leakage'!$G$2:$G$42,MATCH(X998,'Device Refrigerant Leakage'!$B$2:$B$42,0)))</f>
        <v/>
      </c>
      <c r="DI998" s="146" t="str">
        <f>IF(W998&lt;&gt;"AR","",J998*INDEX('Device Refrigerant Leakage'!$D$2:$D$42,MATCH(X998,'Device Refrigerant Leakage'!$B$2:$B$42,0))*DF998/2204.62*DE998)</f>
        <v/>
      </c>
      <c r="DJ998" s="146" t="str">
        <f>IF(W998&lt;&gt;"AR","",J998*(INDEX('Device Refrigerant Leakage'!$D$2:$D$42,MATCH(X998,'Device Refrigerant Leakage'!$B$2:$B$42,0))-(INDEX('Device Refrigerant Leakage'!$D$2:$D$42,MATCH(X998,'Device Refrigerant Leakage'!$B$2:$B$42,0)))*DH998*DF998)*DG998/2204.62*DE998)</f>
        <v/>
      </c>
      <c r="DK998" s="146" t="str">
        <f>IF(W998&lt;&gt;"AR","",DI998*(K998-AB998)+'Fuel Sub Calcs-Deemed'!DJ998*((K998-AB998)/INDEX('Device Refrigerant Leakage'!$C$2:$C$42,MATCH('Fuel Sub Calcs-Deemed'!X998,'Device Refrigerant Leakage'!$B$2:$B$42,0))))</f>
        <v/>
      </c>
      <c r="DM998" s="56">
        <v>984</v>
      </c>
      <c r="DN998" s="67" t="e">
        <f t="shared" si="1146"/>
        <v>#N/A</v>
      </c>
      <c r="DO998" s="45" t="e">
        <f t="shared" si="1147"/>
        <v>#N/A</v>
      </c>
      <c r="DP998" s="67" t="e">
        <f t="shared" si="1148"/>
        <v>#N/A</v>
      </c>
      <c r="DQ998" s="45" t="e">
        <f t="shared" si="1149"/>
        <v>#N/A</v>
      </c>
      <c r="DR998" s="69" t="e">
        <f t="shared" si="1150"/>
        <v>#N/A</v>
      </c>
      <c r="DS998" s="34"/>
      <c r="DT998" s="67" t="e">
        <f>((BX998*CJ998)+IF($W998=MAT_AR,(BZ998*CL998),0))*(1+Reference!$E$50+Reference!$E$51)</f>
        <v>#N/A</v>
      </c>
      <c r="DU998" s="67">
        <f>((BY998*CK998)+IF($W998=MAT_AR,(CA998*CM998),0))*(1+Reference!$G$50+Reference!$G$51)</f>
        <v>0</v>
      </c>
      <c r="DV998" s="67" t="e">
        <f t="shared" si="1151"/>
        <v>#VALUE!</v>
      </c>
      <c r="DX998" s="56">
        <v>984</v>
      </c>
      <c r="DY998" s="67">
        <f t="shared" si="1152"/>
        <v>0</v>
      </c>
      <c r="DZ998" s="45" t="e">
        <f>VLOOKUP($R998,Dropdown!$C$3:$D$4,2,FALSE)</f>
        <v>#N/A</v>
      </c>
      <c r="EA998" s="68">
        <f t="shared" si="1153"/>
        <v>0</v>
      </c>
      <c r="EB998" s="68" t="str">
        <f t="shared" si="1154"/>
        <v>N/A</v>
      </c>
      <c r="EC998" s="68">
        <f t="shared" si="1155"/>
        <v>0</v>
      </c>
      <c r="ED998" s="68" t="str">
        <f t="shared" si="1193"/>
        <v>N/A</v>
      </c>
      <c r="EF998" s="56">
        <v>984</v>
      </c>
      <c r="EG998" s="46">
        <f t="shared" si="1156"/>
        <v>0</v>
      </c>
      <c r="EH998" s="68" t="e">
        <f t="shared" si="1194"/>
        <v>#N/A</v>
      </c>
      <c r="EI998" s="68" t="e">
        <f t="shared" si="1195"/>
        <v>#N/A</v>
      </c>
      <c r="EJ998" s="68" t="e">
        <f t="shared" si="1196"/>
        <v>#N/A</v>
      </c>
      <c r="EK998" s="68" t="e">
        <f t="shared" si="1197"/>
        <v>#N/A</v>
      </c>
      <c r="EL998" s="46">
        <f t="shared" si="1161"/>
        <v>0</v>
      </c>
      <c r="EM998" s="46">
        <f t="shared" si="1198"/>
        <v>0</v>
      </c>
    </row>
    <row r="999" spans="1:143">
      <c r="A999" s="89"/>
      <c r="B999" s="89"/>
      <c r="C999" s="89"/>
      <c r="D999" s="89"/>
      <c r="E999" s="89"/>
      <c r="F999" s="89"/>
      <c r="G999" s="34"/>
      <c r="H999" s="56">
        <f t="shared" si="1163"/>
        <v>985</v>
      </c>
      <c r="I999" s="165"/>
      <c r="J999" s="163"/>
      <c r="K999" s="163"/>
      <c r="L999" s="164"/>
      <c r="M999" s="155"/>
      <c r="N999" s="155"/>
      <c r="O999" s="144"/>
      <c r="P999" s="159" t="str">
        <f>IFERROR(IF(O999&lt;&gt;"User Specified",IF(O999&lt;&gt;"", INDEX('Refrigerant GWPs'!$G$2:$G$154,MATCH(O999,'Refrigerant GWPs'!$A$2:$A$154,0)),""),U999),0)</f>
        <v/>
      </c>
      <c r="Q999" s="155"/>
      <c r="R999" s="155"/>
      <c r="S999" s="144"/>
      <c r="T999" s="159" t="str">
        <f>IF(S999&lt;&gt;"User Specified",IF(AND(S999&lt;&gt;"User Specified",S999&lt;&gt;""), INDEX('Refrigerant GWPs'!$G$2:$G$154,MATCH(S999,'Refrigerant GWPs'!$A$2:$A$154,0)),""),V999)</f>
        <v/>
      </c>
      <c r="U999" s="144"/>
      <c r="V999" s="144"/>
      <c r="W999" s="155"/>
      <c r="X999" s="155"/>
      <c r="Y999" s="144"/>
      <c r="Z999" s="159" t="str">
        <f>IF(AND(Y999&lt;&gt;"User Specified",Y999&lt;&gt;""), INDEX('Refrigerant GWPs'!$G$2:$G$154,MATCH(Y999,'Refrigerant GWPs'!$A$2:$A$154,0)),"")</f>
        <v/>
      </c>
      <c r="AA999" s="155"/>
      <c r="AB999" s="156"/>
      <c r="AC999" s="66"/>
      <c r="AD999" s="66"/>
      <c r="AE999" s="66"/>
      <c r="AF999" s="66"/>
      <c r="AG999" s="66"/>
      <c r="AH999" s="66"/>
      <c r="AI999" s="34"/>
      <c r="AJ999" s="88">
        <f t="shared" si="1126"/>
        <v>0</v>
      </c>
      <c r="AK999" s="88">
        <f t="shared" si="1127"/>
        <v>0</v>
      </c>
      <c r="AL999" s="88">
        <v>0</v>
      </c>
      <c r="AM999" s="88">
        <v>0</v>
      </c>
      <c r="AN999" s="81" t="str">
        <f t="shared" si="1165"/>
        <v/>
      </c>
      <c r="AO999" s="88">
        <f t="shared" si="1128"/>
        <v>0</v>
      </c>
      <c r="AP999" s="88">
        <f t="shared" si="1129"/>
        <v>0</v>
      </c>
      <c r="AQ999" s="81" t="str">
        <f t="shared" si="1130"/>
        <v/>
      </c>
      <c r="AS999" s="41" t="b">
        <f t="shared" si="1131"/>
        <v>1</v>
      </c>
      <c r="AT999" s="38">
        <f t="shared" si="1132"/>
        <v>0</v>
      </c>
      <c r="AU999" s="60">
        <f t="shared" si="1133"/>
        <v>0</v>
      </c>
      <c r="AV999" s="41">
        <f t="shared" si="1134"/>
        <v>0</v>
      </c>
      <c r="AW999" s="41" t="b">
        <f t="shared" si="1135"/>
        <v>0</v>
      </c>
      <c r="AX999" t="str">
        <f t="shared" si="1136"/>
        <v>+00</v>
      </c>
      <c r="AY999" t="str">
        <f t="shared" si="1137"/>
        <v>+00</v>
      </c>
      <c r="BA999" s="47" t="b">
        <f t="shared" si="1166"/>
        <v>1</v>
      </c>
      <c r="BB999" s="42" t="b">
        <f t="shared" si="1167"/>
        <v>1</v>
      </c>
      <c r="BC999" s="42" t="b">
        <f t="shared" si="1168"/>
        <v>0</v>
      </c>
      <c r="BD999" s="42" t="b">
        <f t="shared" si="1169"/>
        <v>0</v>
      </c>
      <c r="BE999" s="70">
        <f t="shared" si="1170"/>
        <v>0</v>
      </c>
      <c r="BF999" s="70">
        <f t="shared" si="1171"/>
        <v>0</v>
      </c>
      <c r="BG999" s="34"/>
      <c r="BI999" s="47" t="b">
        <f t="shared" si="1172"/>
        <v>1</v>
      </c>
      <c r="BJ999" s="47" t="b">
        <f t="shared" si="1173"/>
        <v>1</v>
      </c>
      <c r="BK999" s="42" t="b">
        <f t="shared" si="1174"/>
        <v>0</v>
      </c>
      <c r="BL999" s="42" t="b">
        <f t="shared" si="1175"/>
        <v>0</v>
      </c>
      <c r="BM999" s="42">
        <f t="shared" si="1176"/>
        <v>0</v>
      </c>
      <c r="BN999" s="42">
        <f t="shared" si="1177"/>
        <v>0</v>
      </c>
      <c r="BP999" t="e">
        <f t="shared" si="1178"/>
        <v>#N/A</v>
      </c>
      <c r="BQ999" t="e">
        <f t="shared" si="1179"/>
        <v>#N/A</v>
      </c>
      <c r="BR999" t="e">
        <f t="shared" si="1180"/>
        <v>#N/A</v>
      </c>
      <c r="BT999" s="60">
        <f t="shared" si="1181"/>
        <v>0</v>
      </c>
      <c r="BU999" s="60">
        <f t="shared" si="1182"/>
        <v>0</v>
      </c>
      <c r="BV999" s="60">
        <f t="shared" si="1183"/>
        <v>0</v>
      </c>
      <c r="BW999" s="60">
        <f t="shared" si="1184"/>
        <v>0</v>
      </c>
      <c r="BX999" s="60">
        <f t="shared" si="1185"/>
        <v>0</v>
      </c>
      <c r="BY999" s="60">
        <f t="shared" si="1186"/>
        <v>0</v>
      </c>
      <c r="BZ999" s="60">
        <f t="shared" si="1187"/>
        <v>0</v>
      </c>
      <c r="CA999" s="60">
        <f t="shared" si="1188"/>
        <v>0</v>
      </c>
      <c r="CB999" s="60" t="e">
        <f t="shared" si="1138"/>
        <v>#N/A</v>
      </c>
      <c r="CC999" s="60">
        <f t="shared" si="1139"/>
        <v>100000</v>
      </c>
      <c r="CD999" s="60" t="e">
        <f t="shared" si="1140"/>
        <v>#N/A</v>
      </c>
      <c r="CE999" s="60">
        <f t="shared" si="1141"/>
        <v>100000</v>
      </c>
      <c r="CF999" s="83" t="e">
        <f t="shared" si="1189"/>
        <v>#N/A</v>
      </c>
      <c r="CG999" s="83">
        <f t="shared" si="1190"/>
        <v>0</v>
      </c>
      <c r="CH999" s="83" t="e">
        <f t="shared" si="1191"/>
        <v>#N/A</v>
      </c>
      <c r="CI999" s="83">
        <f t="shared" si="1192"/>
        <v>0</v>
      </c>
      <c r="CJ999" s="86" t="e">
        <f t="shared" si="1142"/>
        <v>#N/A</v>
      </c>
      <c r="CK999" s="82">
        <f t="shared" si="1143"/>
        <v>5.3070370403969858E-3</v>
      </c>
      <c r="CL999" s="82" t="e">
        <f t="shared" si="1144"/>
        <v>#N/A</v>
      </c>
      <c r="CM999" s="82">
        <f t="shared" si="1145"/>
        <v>5.3070370403969858E-3</v>
      </c>
      <c r="CO999" s="149" t="str">
        <f>IF($I999&lt;&gt;"",IF(O999="User Specified",U999,INDEX('Refrigerant GWPs'!$G$2:$G$156,MATCH(O999,'Refrigerant GWPs'!$A$2:$A$156,0))),"")</f>
        <v/>
      </c>
      <c r="CP999" s="138" t="str">
        <f>IF($I999&lt;&gt;"",INDEX('Device Refrigerant Leakage'!$E$2:$E$42,MATCH($M999,'Device Refrigerant Leakage'!$B$2:$B$42,0)),"")</f>
        <v/>
      </c>
      <c r="CQ999" s="138" t="str">
        <f>IF($I999&lt;&gt;"",INDEX('Device Refrigerant Leakage'!$F$2:$F$42,MATCH($M999,'Device Refrigerant Leakage'!$B$2:$B$42,0)),"")</f>
        <v/>
      </c>
      <c r="CR999" s="145" t="str">
        <f>IF($I999&lt;&gt;"",INDEX('Device Refrigerant Leakage'!$G$2:$G$42,MATCH($M999,'Device Refrigerant Leakage'!$B$2:$B$42,0)),"")</f>
        <v/>
      </c>
      <c r="CS999" s="145" t="str">
        <f>IF($I999&lt;&gt;"",INDEX('Device Refrigerant Leakage'!$D$2:$D$42,MATCH($M999,'Device Refrigerant Leakage'!$B$2:$B$42,0))*CP999/2204.62*CO999,"")</f>
        <v/>
      </c>
      <c r="CT999" s="145" t="str">
        <f>IF($I999&lt;&gt;"",J999*(INDEX('Device Refrigerant Leakage'!$D$2:$D$42,MATCH($M999,'Device Refrigerant Leakage'!$B$2:$B$42,0))-(INDEX('Device Refrigerant Leakage'!$D$2:$D$42,MATCH($M999,'Device Refrigerant Leakage'!$B$2:$B$42,0)))*CR999*CP999)*CQ999/2204.62*CO999,"")</f>
        <v/>
      </c>
      <c r="CU999" s="135" t="str">
        <f>IF($I999&lt;&gt;"",J999*IF(W999&lt;&gt;"AR",(CS999*K999)+CT999,(CS999*AB999)+CT999*(AB999/INDEX('Device Refrigerant Leakage'!$C$2:$C$42,MATCH($M999,'Device Refrigerant Leakage'!$B$2:$B$42,0)))),"")</f>
        <v/>
      </c>
      <c r="CW999" s="135" t="str">
        <f>IF($I999&lt;&gt;"",IF(S999="User Specified",V999,INDEX('Refrigerant GWPs'!$G$2:$G$156,MATCH(S999,'Refrigerant GWPs'!$A$2:$A$157,0))),"")</f>
        <v/>
      </c>
      <c r="CX999" s="138" t="str">
        <f>IF($I999&lt;&gt;"",INDEX('Device Refrigerant Leakage'!$E$2:$E$42,MATCH($Q999,'Device Refrigerant Leakage'!$B$2:$B$42,0)),"")</f>
        <v/>
      </c>
      <c r="CY999" s="138" t="str">
        <f>IF($I999&lt;&gt;"",INDEX('Device Refrigerant Leakage'!$F$2:$F$42,MATCH($Q999,'Device Refrigerant Leakage'!$B$2:$B$42,0)),"")</f>
        <v/>
      </c>
      <c r="CZ999" s="145" t="str">
        <f>IF($I999&lt;&gt;"",INDEX('Device Refrigerant Leakage'!$G$2:$G$42,MATCH($Q999,'Device Refrigerant Leakage'!$B$2:$B$42,0)),"")</f>
        <v/>
      </c>
      <c r="DA999" s="145" t="str">
        <f>IF($I999&lt;&gt;"",J999*INDEX('Device Refrigerant Leakage'!$D$2:$D$42,MATCH($Q999,'Device Refrigerant Leakage'!$B$2:$B$42,0))*CX999/2204.62*CW999,"")</f>
        <v/>
      </c>
      <c r="DB999" s="145" t="str">
        <f>IF($I999&lt;&gt;"",J999*(INDEX('Device Refrigerant Leakage'!$D$2:$D$42,MATCH($Q999,'Device Refrigerant Leakage'!$B$2:$B$42,0))-(INDEX('Device Refrigerant Leakage'!$D$2:$D$42,MATCH($Q999,'Device Refrigerant Leakage'!$B$2:$B$42,0)))*CZ999*CX999)*CY999/2204.62*CW999,"")</f>
        <v/>
      </c>
      <c r="DC999" s="135" t="str">
        <f t="shared" si="1164"/>
        <v/>
      </c>
      <c r="DE999" s="146" t="str">
        <f>IF(W999&lt;&gt;"AR","",IF(Y999="User Specified", AA999, INDEX('Refrigerant GWPs'!$G$2:$G$154,MATCH(Y999,'Refrigerant GWPs'!$A$2:$A$154,0))))</f>
        <v/>
      </c>
      <c r="DF999" s="146" t="str">
        <f>IF(W999&lt;&gt;"AR","",INDEX('Device Refrigerant Leakage'!$E$2:$E$42,MATCH(X999,'Device Refrigerant Leakage'!$B$2:$B$42,0)))</f>
        <v/>
      </c>
      <c r="DG999" s="146" t="str">
        <f>IF(W999&lt;&gt;"AR","",INDEX('Device Refrigerant Leakage'!$F$2:$F$42,MATCH(X999,'Device Refrigerant Leakage'!$B$2:$B$42,0)))</f>
        <v/>
      </c>
      <c r="DH999" s="146" t="str">
        <f>IF(W999&lt;&gt;"AR","",INDEX('Device Refrigerant Leakage'!$G$2:$G$42,MATCH(X999,'Device Refrigerant Leakage'!$B$2:$B$42,0)))</f>
        <v/>
      </c>
      <c r="DI999" s="146" t="str">
        <f>IF(W999&lt;&gt;"AR","",J999*INDEX('Device Refrigerant Leakage'!$D$2:$D$42,MATCH(X999,'Device Refrigerant Leakage'!$B$2:$B$42,0))*DF999/2204.62*DE999)</f>
        <v/>
      </c>
      <c r="DJ999" s="146" t="str">
        <f>IF(W999&lt;&gt;"AR","",J999*(INDEX('Device Refrigerant Leakage'!$D$2:$D$42,MATCH(X999,'Device Refrigerant Leakage'!$B$2:$B$42,0))-(INDEX('Device Refrigerant Leakage'!$D$2:$D$42,MATCH(X999,'Device Refrigerant Leakage'!$B$2:$B$42,0)))*DH999*DF999)*DG999/2204.62*DE999)</f>
        <v/>
      </c>
      <c r="DK999" s="146" t="str">
        <f>IF(W999&lt;&gt;"AR","",DI999*(K999-AB999)+'Fuel Sub Calcs-Deemed'!DJ999*((K999-AB999)/INDEX('Device Refrigerant Leakage'!$C$2:$C$42,MATCH('Fuel Sub Calcs-Deemed'!X999,'Device Refrigerant Leakage'!$B$2:$B$42,0))))</f>
        <v/>
      </c>
      <c r="DM999" s="56">
        <v>985</v>
      </c>
      <c r="DN999" s="67" t="e">
        <f t="shared" si="1146"/>
        <v>#N/A</v>
      </c>
      <c r="DO999" s="45" t="e">
        <f t="shared" si="1147"/>
        <v>#N/A</v>
      </c>
      <c r="DP999" s="67" t="e">
        <f t="shared" si="1148"/>
        <v>#N/A</v>
      </c>
      <c r="DQ999" s="45" t="e">
        <f t="shared" si="1149"/>
        <v>#N/A</v>
      </c>
      <c r="DR999" s="69" t="e">
        <f t="shared" si="1150"/>
        <v>#N/A</v>
      </c>
      <c r="DS999" s="34"/>
      <c r="DT999" s="67" t="e">
        <f>((BX999*CJ999)+IF($W999=MAT_AR,(BZ999*CL999),0))*(1+Reference!$E$50+Reference!$E$51)</f>
        <v>#N/A</v>
      </c>
      <c r="DU999" s="67">
        <f>((BY999*CK999)+IF($W999=MAT_AR,(CA999*CM999),0))*(1+Reference!$G$50+Reference!$G$51)</f>
        <v>0</v>
      </c>
      <c r="DV999" s="67" t="e">
        <f t="shared" si="1151"/>
        <v>#VALUE!</v>
      </c>
      <c r="DX999" s="56">
        <v>985</v>
      </c>
      <c r="DY999" s="67">
        <f t="shared" si="1152"/>
        <v>0</v>
      </c>
      <c r="DZ999" s="45" t="e">
        <f>VLOOKUP($R999,Dropdown!$C$3:$D$4,2,FALSE)</f>
        <v>#N/A</v>
      </c>
      <c r="EA999" s="68">
        <f t="shared" si="1153"/>
        <v>0</v>
      </c>
      <c r="EB999" s="68" t="str">
        <f t="shared" si="1154"/>
        <v>N/A</v>
      </c>
      <c r="EC999" s="68">
        <f t="shared" si="1155"/>
        <v>0</v>
      </c>
      <c r="ED999" s="68" t="str">
        <f t="shared" si="1193"/>
        <v>N/A</v>
      </c>
      <c r="EF999" s="56">
        <v>985</v>
      </c>
      <c r="EG999" s="46">
        <f t="shared" si="1156"/>
        <v>0</v>
      </c>
      <c r="EH999" s="68" t="e">
        <f t="shared" si="1194"/>
        <v>#N/A</v>
      </c>
      <c r="EI999" s="68" t="e">
        <f t="shared" si="1195"/>
        <v>#N/A</v>
      </c>
      <c r="EJ999" s="68" t="e">
        <f t="shared" si="1196"/>
        <v>#N/A</v>
      </c>
      <c r="EK999" s="68" t="e">
        <f t="shared" si="1197"/>
        <v>#N/A</v>
      </c>
      <c r="EL999" s="46">
        <f t="shared" si="1161"/>
        <v>0</v>
      </c>
      <c r="EM999" s="46">
        <f t="shared" si="1198"/>
        <v>0</v>
      </c>
    </row>
    <row r="1000" spans="1:143">
      <c r="A1000" s="89"/>
      <c r="B1000" s="89"/>
      <c r="C1000" s="89"/>
      <c r="D1000" s="89"/>
      <c r="E1000" s="89"/>
      <c r="F1000" s="89"/>
      <c r="G1000" s="34"/>
      <c r="H1000" s="56">
        <f t="shared" si="1163"/>
        <v>986</v>
      </c>
      <c r="I1000" s="165"/>
      <c r="J1000" s="163"/>
      <c r="K1000" s="163"/>
      <c r="L1000" s="164"/>
      <c r="M1000" s="155"/>
      <c r="N1000" s="155"/>
      <c r="O1000" s="144"/>
      <c r="P1000" s="159" t="str">
        <f>IFERROR(IF(O1000&lt;&gt;"User Specified",IF(O1000&lt;&gt;"", INDEX('Refrigerant GWPs'!$G$2:$G$154,MATCH(O1000,'Refrigerant GWPs'!$A$2:$A$154,0)),""),U1000),0)</f>
        <v/>
      </c>
      <c r="Q1000" s="155"/>
      <c r="R1000" s="155"/>
      <c r="S1000" s="144"/>
      <c r="T1000" s="159" t="str">
        <f>IF(S1000&lt;&gt;"User Specified",IF(AND(S1000&lt;&gt;"User Specified",S1000&lt;&gt;""), INDEX('Refrigerant GWPs'!$G$2:$G$154,MATCH(S1000,'Refrigerant GWPs'!$A$2:$A$154,0)),""),V1000)</f>
        <v/>
      </c>
      <c r="U1000" s="144"/>
      <c r="V1000" s="144"/>
      <c r="W1000" s="155"/>
      <c r="X1000" s="155"/>
      <c r="Y1000" s="144"/>
      <c r="Z1000" s="159" t="str">
        <f>IF(AND(Y1000&lt;&gt;"User Specified",Y1000&lt;&gt;""), INDEX('Refrigerant GWPs'!$G$2:$G$154,MATCH(Y1000,'Refrigerant GWPs'!$A$2:$A$154,0)),"")</f>
        <v/>
      </c>
      <c r="AA1000" s="155"/>
      <c r="AB1000" s="156"/>
      <c r="AC1000" s="66"/>
      <c r="AD1000" s="66"/>
      <c r="AE1000" s="66"/>
      <c r="AF1000" s="66"/>
      <c r="AG1000" s="66"/>
      <c r="AH1000" s="66"/>
      <c r="AI1000" s="34"/>
      <c r="AJ1000" s="88">
        <f t="shared" si="1126"/>
        <v>0</v>
      </c>
      <c r="AK1000" s="88">
        <f t="shared" si="1127"/>
        <v>0</v>
      </c>
      <c r="AL1000" s="88">
        <v>0</v>
      </c>
      <c r="AM1000" s="88">
        <v>0</v>
      </c>
      <c r="AN1000" s="81" t="str">
        <f t="shared" si="1165"/>
        <v/>
      </c>
      <c r="AO1000" s="88">
        <f t="shared" si="1128"/>
        <v>0</v>
      </c>
      <c r="AP1000" s="88">
        <f t="shared" si="1129"/>
        <v>0</v>
      </c>
      <c r="AQ1000" s="81" t="str">
        <f t="shared" si="1130"/>
        <v/>
      </c>
      <c r="AS1000" s="41" t="b">
        <f t="shared" si="1131"/>
        <v>1</v>
      </c>
      <c r="AT1000" s="38">
        <f t="shared" si="1132"/>
        <v>0</v>
      </c>
      <c r="AU1000" s="60">
        <f t="shared" si="1133"/>
        <v>0</v>
      </c>
      <c r="AV1000" s="41">
        <f t="shared" si="1134"/>
        <v>0</v>
      </c>
      <c r="AW1000" s="41" t="b">
        <f t="shared" si="1135"/>
        <v>0</v>
      </c>
      <c r="AX1000" t="str">
        <f t="shared" si="1136"/>
        <v>+00</v>
      </c>
      <c r="AY1000" t="str">
        <f t="shared" si="1137"/>
        <v>+00</v>
      </c>
      <c r="BA1000" s="47" t="b">
        <f t="shared" si="1166"/>
        <v>1</v>
      </c>
      <c r="BB1000" s="42" t="b">
        <f t="shared" si="1167"/>
        <v>1</v>
      </c>
      <c r="BC1000" s="42" t="b">
        <f t="shared" si="1168"/>
        <v>0</v>
      </c>
      <c r="BD1000" s="42" t="b">
        <f t="shared" si="1169"/>
        <v>0</v>
      </c>
      <c r="BE1000" s="70">
        <f t="shared" si="1170"/>
        <v>0</v>
      </c>
      <c r="BF1000" s="70">
        <f t="shared" si="1171"/>
        <v>0</v>
      </c>
      <c r="BG1000" s="34"/>
      <c r="BI1000" s="47" t="b">
        <f t="shared" si="1172"/>
        <v>1</v>
      </c>
      <c r="BJ1000" s="47" t="b">
        <f t="shared" si="1173"/>
        <v>1</v>
      </c>
      <c r="BK1000" s="42" t="b">
        <f t="shared" si="1174"/>
        <v>0</v>
      </c>
      <c r="BL1000" s="42" t="b">
        <f t="shared" si="1175"/>
        <v>0</v>
      </c>
      <c r="BM1000" s="42">
        <f t="shared" si="1176"/>
        <v>0</v>
      </c>
      <c r="BN1000" s="42">
        <f t="shared" si="1177"/>
        <v>0</v>
      </c>
      <c r="BP1000" t="e">
        <f t="shared" si="1178"/>
        <v>#N/A</v>
      </c>
      <c r="BQ1000" t="e">
        <f t="shared" si="1179"/>
        <v>#N/A</v>
      </c>
      <c r="BR1000" t="e">
        <f t="shared" si="1180"/>
        <v>#N/A</v>
      </c>
      <c r="BT1000" s="60">
        <f t="shared" si="1181"/>
        <v>0</v>
      </c>
      <c r="BU1000" s="60">
        <f t="shared" si="1182"/>
        <v>0</v>
      </c>
      <c r="BV1000" s="60">
        <f t="shared" si="1183"/>
        <v>0</v>
      </c>
      <c r="BW1000" s="60">
        <f t="shared" si="1184"/>
        <v>0</v>
      </c>
      <c r="BX1000" s="60">
        <f t="shared" si="1185"/>
        <v>0</v>
      </c>
      <c r="BY1000" s="60">
        <f t="shared" si="1186"/>
        <v>0</v>
      </c>
      <c r="BZ1000" s="60">
        <f t="shared" si="1187"/>
        <v>0</v>
      </c>
      <c r="CA1000" s="60">
        <f t="shared" si="1188"/>
        <v>0</v>
      </c>
      <c r="CB1000" s="60" t="e">
        <f t="shared" si="1138"/>
        <v>#N/A</v>
      </c>
      <c r="CC1000" s="60">
        <f t="shared" si="1139"/>
        <v>100000</v>
      </c>
      <c r="CD1000" s="60" t="e">
        <f t="shared" si="1140"/>
        <v>#N/A</v>
      </c>
      <c r="CE1000" s="60">
        <f t="shared" si="1141"/>
        <v>100000</v>
      </c>
      <c r="CF1000" s="83" t="e">
        <f t="shared" si="1189"/>
        <v>#N/A</v>
      </c>
      <c r="CG1000" s="83">
        <f t="shared" si="1190"/>
        <v>0</v>
      </c>
      <c r="CH1000" s="83" t="e">
        <f t="shared" si="1191"/>
        <v>#N/A</v>
      </c>
      <c r="CI1000" s="83">
        <f t="shared" si="1192"/>
        <v>0</v>
      </c>
      <c r="CJ1000" s="86" t="e">
        <f t="shared" si="1142"/>
        <v>#N/A</v>
      </c>
      <c r="CK1000" s="82">
        <f t="shared" si="1143"/>
        <v>5.3070370403969858E-3</v>
      </c>
      <c r="CL1000" s="82" t="e">
        <f t="shared" si="1144"/>
        <v>#N/A</v>
      </c>
      <c r="CM1000" s="82">
        <f t="shared" si="1145"/>
        <v>5.3070370403969858E-3</v>
      </c>
      <c r="CO1000" s="149" t="str">
        <f>IF($I1000&lt;&gt;"",IF(O1000="User Specified",U1000,INDEX('Refrigerant GWPs'!$G$2:$G$156,MATCH(O1000,'Refrigerant GWPs'!$A$2:$A$156,0))),"")</f>
        <v/>
      </c>
      <c r="CP1000" s="138" t="str">
        <f>IF($I1000&lt;&gt;"",INDEX('Device Refrigerant Leakage'!$E$2:$E$42,MATCH($M1000,'Device Refrigerant Leakage'!$B$2:$B$42,0)),"")</f>
        <v/>
      </c>
      <c r="CQ1000" s="138" t="str">
        <f>IF($I1000&lt;&gt;"",INDEX('Device Refrigerant Leakage'!$F$2:$F$42,MATCH($M1000,'Device Refrigerant Leakage'!$B$2:$B$42,0)),"")</f>
        <v/>
      </c>
      <c r="CR1000" s="145" t="str">
        <f>IF($I1000&lt;&gt;"",INDEX('Device Refrigerant Leakage'!$G$2:$G$42,MATCH($M1000,'Device Refrigerant Leakage'!$B$2:$B$42,0)),"")</f>
        <v/>
      </c>
      <c r="CS1000" s="145" t="str">
        <f>IF($I1000&lt;&gt;"",INDEX('Device Refrigerant Leakage'!$D$2:$D$42,MATCH($M1000,'Device Refrigerant Leakage'!$B$2:$B$42,0))*CP1000/2204.62*CO1000,"")</f>
        <v/>
      </c>
      <c r="CT1000" s="145" t="str">
        <f>IF($I1000&lt;&gt;"",J1000*(INDEX('Device Refrigerant Leakage'!$D$2:$D$42,MATCH($M1000,'Device Refrigerant Leakage'!$B$2:$B$42,0))-(INDEX('Device Refrigerant Leakage'!$D$2:$D$42,MATCH($M1000,'Device Refrigerant Leakage'!$B$2:$B$42,0)))*CR1000*CP1000)*CQ1000/2204.62*CO1000,"")</f>
        <v/>
      </c>
      <c r="CU1000" s="135" t="str">
        <f>IF($I1000&lt;&gt;"",J1000*IF(W1000&lt;&gt;"AR",(CS1000*K1000)+CT1000,(CS1000*AB1000)+CT1000*(AB1000/INDEX('Device Refrigerant Leakage'!$C$2:$C$42,MATCH($M1000,'Device Refrigerant Leakage'!$B$2:$B$42,0)))),"")</f>
        <v/>
      </c>
      <c r="CW1000" s="135" t="str">
        <f>IF($I1000&lt;&gt;"",IF(S1000="User Specified",V1000,INDEX('Refrigerant GWPs'!$G$2:$G$156,MATCH(S1000,'Refrigerant GWPs'!$A$2:$A$157,0))),"")</f>
        <v/>
      </c>
      <c r="CX1000" s="138" t="str">
        <f>IF($I1000&lt;&gt;"",INDEX('Device Refrigerant Leakage'!$E$2:$E$42,MATCH($Q1000,'Device Refrigerant Leakage'!$B$2:$B$42,0)),"")</f>
        <v/>
      </c>
      <c r="CY1000" s="138" t="str">
        <f>IF($I1000&lt;&gt;"",INDEX('Device Refrigerant Leakage'!$F$2:$F$42,MATCH($Q1000,'Device Refrigerant Leakage'!$B$2:$B$42,0)),"")</f>
        <v/>
      </c>
      <c r="CZ1000" s="145" t="str">
        <f>IF($I1000&lt;&gt;"",INDEX('Device Refrigerant Leakage'!$G$2:$G$42,MATCH($Q1000,'Device Refrigerant Leakage'!$B$2:$B$42,0)),"")</f>
        <v/>
      </c>
      <c r="DA1000" s="145" t="str">
        <f>IF($I1000&lt;&gt;"",J1000*INDEX('Device Refrigerant Leakage'!$D$2:$D$42,MATCH($Q1000,'Device Refrigerant Leakage'!$B$2:$B$42,0))*CX1000/2204.62*CW1000,"")</f>
        <v/>
      </c>
      <c r="DB1000" s="145" t="str">
        <f>IF($I1000&lt;&gt;"",J1000*(INDEX('Device Refrigerant Leakage'!$D$2:$D$42,MATCH($Q1000,'Device Refrigerant Leakage'!$B$2:$B$42,0))-(INDEX('Device Refrigerant Leakage'!$D$2:$D$42,MATCH($Q1000,'Device Refrigerant Leakage'!$B$2:$B$42,0)))*CZ1000*CX1000)*CY1000/2204.62*CW1000,"")</f>
        <v/>
      </c>
      <c r="DC1000" s="135" t="str">
        <f t="shared" si="1164"/>
        <v/>
      </c>
      <c r="DE1000" s="146" t="str">
        <f>IF(W1000&lt;&gt;"AR","",IF(Y1000="User Specified", AA1000, INDEX('Refrigerant GWPs'!$G$2:$G$154,MATCH(Y1000,'Refrigerant GWPs'!$A$2:$A$154,0))))</f>
        <v/>
      </c>
      <c r="DF1000" s="146" t="str">
        <f>IF(W1000&lt;&gt;"AR","",INDEX('Device Refrigerant Leakage'!$E$2:$E$42,MATCH(X1000,'Device Refrigerant Leakage'!$B$2:$B$42,0)))</f>
        <v/>
      </c>
      <c r="DG1000" s="146" t="str">
        <f>IF(W1000&lt;&gt;"AR","",INDEX('Device Refrigerant Leakage'!$F$2:$F$42,MATCH(X1000,'Device Refrigerant Leakage'!$B$2:$B$42,0)))</f>
        <v/>
      </c>
      <c r="DH1000" s="146" t="str">
        <f>IF(W1000&lt;&gt;"AR","",INDEX('Device Refrigerant Leakage'!$G$2:$G$42,MATCH(X1000,'Device Refrigerant Leakage'!$B$2:$B$42,0)))</f>
        <v/>
      </c>
      <c r="DI1000" s="146" t="str">
        <f>IF(W1000&lt;&gt;"AR","",J1000*INDEX('Device Refrigerant Leakage'!$D$2:$D$42,MATCH(X1000,'Device Refrigerant Leakage'!$B$2:$B$42,0))*DF1000/2204.62*DE1000)</f>
        <v/>
      </c>
      <c r="DJ1000" s="146" t="str">
        <f>IF(W1000&lt;&gt;"AR","",J1000*(INDEX('Device Refrigerant Leakage'!$D$2:$D$42,MATCH(X1000,'Device Refrigerant Leakage'!$B$2:$B$42,0))-(INDEX('Device Refrigerant Leakage'!$D$2:$D$42,MATCH(X1000,'Device Refrigerant Leakage'!$B$2:$B$42,0)))*DH1000*DF1000)*DG1000/2204.62*DE1000)</f>
        <v/>
      </c>
      <c r="DK1000" s="146" t="str">
        <f>IF(W1000&lt;&gt;"AR","",DI1000*(K1000-AB1000)+'Fuel Sub Calcs-Deemed'!DJ1000*((K1000-AB1000)/INDEX('Device Refrigerant Leakage'!$C$2:$C$42,MATCH('Fuel Sub Calcs-Deemed'!X1000,'Device Refrigerant Leakage'!$B$2:$B$42,0))))</f>
        <v/>
      </c>
      <c r="DM1000" s="56">
        <v>986</v>
      </c>
      <c r="DN1000" s="67" t="e">
        <f t="shared" si="1146"/>
        <v>#N/A</v>
      </c>
      <c r="DO1000" s="45" t="e">
        <f t="shared" si="1147"/>
        <v>#N/A</v>
      </c>
      <c r="DP1000" s="67" t="e">
        <f t="shared" si="1148"/>
        <v>#N/A</v>
      </c>
      <c r="DQ1000" s="45" t="e">
        <f t="shared" si="1149"/>
        <v>#N/A</v>
      </c>
      <c r="DR1000" s="69" t="e">
        <f t="shared" si="1150"/>
        <v>#N/A</v>
      </c>
      <c r="DS1000" s="34"/>
      <c r="DT1000" s="67" t="e">
        <f>((BX1000*CJ1000)+IF($W1000=MAT_AR,(BZ1000*CL1000),0))*(1+Reference!$E$50+Reference!$E$51)</f>
        <v>#N/A</v>
      </c>
      <c r="DU1000" s="67">
        <f>((BY1000*CK1000)+IF($W1000=MAT_AR,(CA1000*CM1000),0))*(1+Reference!$G$50+Reference!$G$51)</f>
        <v>0</v>
      </c>
      <c r="DV1000" s="67" t="e">
        <f t="shared" si="1151"/>
        <v>#VALUE!</v>
      </c>
      <c r="DX1000" s="56">
        <v>986</v>
      </c>
      <c r="DY1000" s="67">
        <f t="shared" si="1152"/>
        <v>0</v>
      </c>
      <c r="DZ1000" s="45" t="e">
        <f>VLOOKUP($R1000,Dropdown!$C$3:$D$4,2,FALSE)</f>
        <v>#N/A</v>
      </c>
      <c r="EA1000" s="68">
        <f t="shared" si="1153"/>
        <v>0</v>
      </c>
      <c r="EB1000" s="68" t="str">
        <f t="shared" si="1154"/>
        <v>N/A</v>
      </c>
      <c r="EC1000" s="68">
        <f t="shared" si="1155"/>
        <v>0</v>
      </c>
      <c r="ED1000" s="68" t="str">
        <f t="shared" si="1193"/>
        <v>N/A</v>
      </c>
      <c r="EF1000" s="56">
        <v>986</v>
      </c>
      <c r="EG1000" s="46">
        <f t="shared" si="1156"/>
        <v>0</v>
      </c>
      <c r="EH1000" s="68" t="e">
        <f t="shared" si="1194"/>
        <v>#N/A</v>
      </c>
      <c r="EI1000" s="68" t="e">
        <f t="shared" si="1195"/>
        <v>#N/A</v>
      </c>
      <c r="EJ1000" s="68" t="e">
        <f t="shared" si="1196"/>
        <v>#N/A</v>
      </c>
      <c r="EK1000" s="68" t="e">
        <f t="shared" si="1197"/>
        <v>#N/A</v>
      </c>
      <c r="EL1000" s="46">
        <f t="shared" si="1161"/>
        <v>0</v>
      </c>
      <c r="EM1000" s="46">
        <f t="shared" si="1198"/>
        <v>0</v>
      </c>
    </row>
    <row r="1001" spans="1:143">
      <c r="A1001" s="89"/>
      <c r="B1001" s="89"/>
      <c r="C1001" s="89"/>
      <c r="D1001" s="89"/>
      <c r="E1001" s="89"/>
      <c r="F1001" s="89"/>
      <c r="G1001" s="34"/>
      <c r="H1001" s="56">
        <f t="shared" si="1163"/>
        <v>987</v>
      </c>
      <c r="I1001" s="165"/>
      <c r="J1001" s="163"/>
      <c r="K1001" s="163"/>
      <c r="L1001" s="164"/>
      <c r="M1001" s="155"/>
      <c r="N1001" s="155"/>
      <c r="O1001" s="144"/>
      <c r="P1001" s="159" t="str">
        <f>IFERROR(IF(O1001&lt;&gt;"User Specified",IF(O1001&lt;&gt;"", INDEX('Refrigerant GWPs'!$G$2:$G$154,MATCH(O1001,'Refrigerant GWPs'!$A$2:$A$154,0)),""),U1001),0)</f>
        <v/>
      </c>
      <c r="Q1001" s="155"/>
      <c r="R1001" s="155"/>
      <c r="S1001" s="144"/>
      <c r="T1001" s="159" t="str">
        <f>IF(S1001&lt;&gt;"User Specified",IF(AND(S1001&lt;&gt;"User Specified",S1001&lt;&gt;""), INDEX('Refrigerant GWPs'!$G$2:$G$154,MATCH(S1001,'Refrigerant GWPs'!$A$2:$A$154,0)),""),V1001)</f>
        <v/>
      </c>
      <c r="U1001" s="144"/>
      <c r="V1001" s="144"/>
      <c r="W1001" s="155"/>
      <c r="X1001" s="155"/>
      <c r="Y1001" s="144"/>
      <c r="Z1001" s="159" t="str">
        <f>IF(AND(Y1001&lt;&gt;"User Specified",Y1001&lt;&gt;""), INDEX('Refrigerant GWPs'!$G$2:$G$154,MATCH(Y1001,'Refrigerant GWPs'!$A$2:$A$154,0)),"")</f>
        <v/>
      </c>
      <c r="AA1001" s="155"/>
      <c r="AB1001" s="156"/>
      <c r="AC1001" s="66"/>
      <c r="AD1001" s="66"/>
      <c r="AE1001" s="66"/>
      <c r="AF1001" s="66"/>
      <c r="AG1001" s="66"/>
      <c r="AH1001" s="66"/>
      <c r="AI1001" s="34"/>
      <c r="AJ1001" s="88">
        <f t="shared" si="1126"/>
        <v>0</v>
      </c>
      <c r="AK1001" s="88">
        <f t="shared" si="1127"/>
        <v>0</v>
      </c>
      <c r="AL1001" s="88">
        <v>0</v>
      </c>
      <c r="AM1001" s="88">
        <v>0</v>
      </c>
      <c r="AN1001" s="81" t="str">
        <f t="shared" si="1165"/>
        <v/>
      </c>
      <c r="AO1001" s="88">
        <f t="shared" si="1128"/>
        <v>0</v>
      </c>
      <c r="AP1001" s="88">
        <f t="shared" si="1129"/>
        <v>0</v>
      </c>
      <c r="AQ1001" s="81" t="str">
        <f t="shared" si="1130"/>
        <v/>
      </c>
      <c r="AS1001" s="41" t="b">
        <f t="shared" si="1131"/>
        <v>1</v>
      </c>
      <c r="AT1001" s="38">
        <f t="shared" si="1132"/>
        <v>0</v>
      </c>
      <c r="AU1001" s="60">
        <f t="shared" si="1133"/>
        <v>0</v>
      </c>
      <c r="AV1001" s="41">
        <f t="shared" si="1134"/>
        <v>0</v>
      </c>
      <c r="AW1001" s="41" t="b">
        <f t="shared" si="1135"/>
        <v>0</v>
      </c>
      <c r="AX1001" t="str">
        <f t="shared" si="1136"/>
        <v>+00</v>
      </c>
      <c r="AY1001" t="str">
        <f t="shared" si="1137"/>
        <v>+00</v>
      </c>
      <c r="BA1001" s="47" t="b">
        <f t="shared" si="1166"/>
        <v>1</v>
      </c>
      <c r="BB1001" s="42" t="b">
        <f t="shared" si="1167"/>
        <v>1</v>
      </c>
      <c r="BC1001" s="42" t="b">
        <f t="shared" si="1168"/>
        <v>0</v>
      </c>
      <c r="BD1001" s="42" t="b">
        <f t="shared" si="1169"/>
        <v>0</v>
      </c>
      <c r="BE1001" s="70">
        <f t="shared" si="1170"/>
        <v>0</v>
      </c>
      <c r="BF1001" s="70">
        <f t="shared" si="1171"/>
        <v>0</v>
      </c>
      <c r="BG1001" s="34"/>
      <c r="BI1001" s="47" t="b">
        <f t="shared" si="1172"/>
        <v>1</v>
      </c>
      <c r="BJ1001" s="47" t="b">
        <f t="shared" si="1173"/>
        <v>1</v>
      </c>
      <c r="BK1001" s="42" t="b">
        <f t="shared" si="1174"/>
        <v>0</v>
      </c>
      <c r="BL1001" s="42" t="b">
        <f t="shared" si="1175"/>
        <v>0</v>
      </c>
      <c r="BM1001" s="42">
        <f t="shared" si="1176"/>
        <v>0</v>
      </c>
      <c r="BN1001" s="42">
        <f t="shared" si="1177"/>
        <v>0</v>
      </c>
      <c r="BP1001" t="e">
        <f t="shared" si="1178"/>
        <v>#N/A</v>
      </c>
      <c r="BQ1001" t="e">
        <f t="shared" si="1179"/>
        <v>#N/A</v>
      </c>
      <c r="BR1001" t="e">
        <f t="shared" si="1180"/>
        <v>#N/A</v>
      </c>
      <c r="BT1001" s="60">
        <f t="shared" si="1181"/>
        <v>0</v>
      </c>
      <c r="BU1001" s="60">
        <f t="shared" si="1182"/>
        <v>0</v>
      </c>
      <c r="BV1001" s="60">
        <f t="shared" si="1183"/>
        <v>0</v>
      </c>
      <c r="BW1001" s="60">
        <f t="shared" si="1184"/>
        <v>0</v>
      </c>
      <c r="BX1001" s="60">
        <f t="shared" si="1185"/>
        <v>0</v>
      </c>
      <c r="BY1001" s="60">
        <f t="shared" si="1186"/>
        <v>0</v>
      </c>
      <c r="BZ1001" s="60">
        <f t="shared" si="1187"/>
        <v>0</v>
      </c>
      <c r="CA1001" s="60">
        <f t="shared" si="1188"/>
        <v>0</v>
      </c>
      <c r="CB1001" s="60" t="e">
        <f t="shared" si="1138"/>
        <v>#N/A</v>
      </c>
      <c r="CC1001" s="60">
        <f t="shared" si="1139"/>
        <v>100000</v>
      </c>
      <c r="CD1001" s="60" t="e">
        <f t="shared" si="1140"/>
        <v>#N/A</v>
      </c>
      <c r="CE1001" s="60">
        <f t="shared" si="1141"/>
        <v>100000</v>
      </c>
      <c r="CF1001" s="83" t="e">
        <f t="shared" si="1189"/>
        <v>#N/A</v>
      </c>
      <c r="CG1001" s="83">
        <f t="shared" si="1190"/>
        <v>0</v>
      </c>
      <c r="CH1001" s="83" t="e">
        <f t="shared" si="1191"/>
        <v>#N/A</v>
      </c>
      <c r="CI1001" s="83">
        <f t="shared" si="1192"/>
        <v>0</v>
      </c>
      <c r="CJ1001" s="86" t="e">
        <f t="shared" si="1142"/>
        <v>#N/A</v>
      </c>
      <c r="CK1001" s="82">
        <f t="shared" si="1143"/>
        <v>5.3070370403969858E-3</v>
      </c>
      <c r="CL1001" s="82" t="e">
        <f t="shared" si="1144"/>
        <v>#N/A</v>
      </c>
      <c r="CM1001" s="82">
        <f t="shared" si="1145"/>
        <v>5.3070370403969858E-3</v>
      </c>
      <c r="CO1001" s="149" t="str">
        <f>IF($I1001&lt;&gt;"",IF(O1001="User Specified",U1001,INDEX('Refrigerant GWPs'!$G$2:$G$156,MATCH(O1001,'Refrigerant GWPs'!$A$2:$A$156,0))),"")</f>
        <v/>
      </c>
      <c r="CP1001" s="138" t="str">
        <f>IF($I1001&lt;&gt;"",INDEX('Device Refrigerant Leakage'!$E$2:$E$42,MATCH($M1001,'Device Refrigerant Leakage'!$B$2:$B$42,0)),"")</f>
        <v/>
      </c>
      <c r="CQ1001" s="138" t="str">
        <f>IF($I1001&lt;&gt;"",INDEX('Device Refrigerant Leakage'!$F$2:$F$42,MATCH($M1001,'Device Refrigerant Leakage'!$B$2:$B$42,0)),"")</f>
        <v/>
      </c>
      <c r="CR1001" s="145" t="str">
        <f>IF($I1001&lt;&gt;"",INDEX('Device Refrigerant Leakage'!$G$2:$G$42,MATCH($M1001,'Device Refrigerant Leakage'!$B$2:$B$42,0)),"")</f>
        <v/>
      </c>
      <c r="CS1001" s="145" t="str">
        <f>IF($I1001&lt;&gt;"",INDEX('Device Refrigerant Leakage'!$D$2:$D$42,MATCH($M1001,'Device Refrigerant Leakage'!$B$2:$B$42,0))*CP1001/2204.62*CO1001,"")</f>
        <v/>
      </c>
      <c r="CT1001" s="145" t="str">
        <f>IF($I1001&lt;&gt;"",J1001*(INDEX('Device Refrigerant Leakage'!$D$2:$D$42,MATCH($M1001,'Device Refrigerant Leakage'!$B$2:$B$42,0))-(INDEX('Device Refrigerant Leakage'!$D$2:$D$42,MATCH($M1001,'Device Refrigerant Leakage'!$B$2:$B$42,0)))*CR1001*CP1001)*CQ1001/2204.62*CO1001,"")</f>
        <v/>
      </c>
      <c r="CU1001" s="135" t="str">
        <f>IF($I1001&lt;&gt;"",J1001*IF(W1001&lt;&gt;"AR",(CS1001*K1001)+CT1001,(CS1001*AB1001)+CT1001*(AB1001/INDEX('Device Refrigerant Leakage'!$C$2:$C$42,MATCH($M1001,'Device Refrigerant Leakage'!$B$2:$B$42,0)))),"")</f>
        <v/>
      </c>
      <c r="CW1001" s="135" t="str">
        <f>IF($I1001&lt;&gt;"",IF(S1001="User Specified",V1001,INDEX('Refrigerant GWPs'!$G$2:$G$156,MATCH(S1001,'Refrigerant GWPs'!$A$2:$A$157,0))),"")</f>
        <v/>
      </c>
      <c r="CX1001" s="138" t="str">
        <f>IF($I1001&lt;&gt;"",INDEX('Device Refrigerant Leakage'!$E$2:$E$42,MATCH($Q1001,'Device Refrigerant Leakage'!$B$2:$B$42,0)),"")</f>
        <v/>
      </c>
      <c r="CY1001" s="138" t="str">
        <f>IF($I1001&lt;&gt;"",INDEX('Device Refrigerant Leakage'!$F$2:$F$42,MATCH($Q1001,'Device Refrigerant Leakage'!$B$2:$B$42,0)),"")</f>
        <v/>
      </c>
      <c r="CZ1001" s="145" t="str">
        <f>IF($I1001&lt;&gt;"",INDEX('Device Refrigerant Leakage'!$G$2:$G$42,MATCH($Q1001,'Device Refrigerant Leakage'!$B$2:$B$42,0)),"")</f>
        <v/>
      </c>
      <c r="DA1001" s="145" t="str">
        <f>IF($I1001&lt;&gt;"",J1001*INDEX('Device Refrigerant Leakage'!$D$2:$D$42,MATCH($Q1001,'Device Refrigerant Leakage'!$B$2:$B$42,0))*CX1001/2204.62*CW1001,"")</f>
        <v/>
      </c>
      <c r="DB1001" s="145" t="str">
        <f>IF($I1001&lt;&gt;"",J1001*(INDEX('Device Refrigerant Leakage'!$D$2:$D$42,MATCH($Q1001,'Device Refrigerant Leakage'!$B$2:$B$42,0))-(INDEX('Device Refrigerant Leakage'!$D$2:$D$42,MATCH($Q1001,'Device Refrigerant Leakage'!$B$2:$B$42,0)))*CZ1001*CX1001)*CY1001/2204.62*CW1001,"")</f>
        <v/>
      </c>
      <c r="DC1001" s="135" t="str">
        <f t="shared" si="1164"/>
        <v/>
      </c>
      <c r="DE1001" s="146" t="str">
        <f>IF(W1001&lt;&gt;"AR","",IF(Y1001="User Specified", AA1001, INDEX('Refrigerant GWPs'!$G$2:$G$154,MATCH(Y1001,'Refrigerant GWPs'!$A$2:$A$154,0))))</f>
        <v/>
      </c>
      <c r="DF1001" s="146" t="str">
        <f>IF(W1001&lt;&gt;"AR","",INDEX('Device Refrigerant Leakage'!$E$2:$E$42,MATCH(X1001,'Device Refrigerant Leakage'!$B$2:$B$42,0)))</f>
        <v/>
      </c>
      <c r="DG1001" s="146" t="str">
        <f>IF(W1001&lt;&gt;"AR","",INDEX('Device Refrigerant Leakage'!$F$2:$F$42,MATCH(X1001,'Device Refrigerant Leakage'!$B$2:$B$42,0)))</f>
        <v/>
      </c>
      <c r="DH1001" s="146" t="str">
        <f>IF(W1001&lt;&gt;"AR","",INDEX('Device Refrigerant Leakage'!$G$2:$G$42,MATCH(X1001,'Device Refrigerant Leakage'!$B$2:$B$42,0)))</f>
        <v/>
      </c>
      <c r="DI1001" s="146" t="str">
        <f>IF(W1001&lt;&gt;"AR","",J1001*INDEX('Device Refrigerant Leakage'!$D$2:$D$42,MATCH(X1001,'Device Refrigerant Leakage'!$B$2:$B$42,0))*DF1001/2204.62*DE1001)</f>
        <v/>
      </c>
      <c r="DJ1001" s="146" t="str">
        <f>IF(W1001&lt;&gt;"AR","",J1001*(INDEX('Device Refrigerant Leakage'!$D$2:$D$42,MATCH(X1001,'Device Refrigerant Leakage'!$B$2:$B$42,0))-(INDEX('Device Refrigerant Leakage'!$D$2:$D$42,MATCH(X1001,'Device Refrigerant Leakage'!$B$2:$B$42,0)))*DH1001*DF1001)*DG1001/2204.62*DE1001)</f>
        <v/>
      </c>
      <c r="DK1001" s="146" t="str">
        <f>IF(W1001&lt;&gt;"AR","",DI1001*(K1001-AB1001)+'Fuel Sub Calcs-Deemed'!DJ1001*((K1001-AB1001)/INDEX('Device Refrigerant Leakage'!$C$2:$C$42,MATCH('Fuel Sub Calcs-Deemed'!X1001,'Device Refrigerant Leakage'!$B$2:$B$42,0))))</f>
        <v/>
      </c>
      <c r="DM1001" s="56">
        <v>987</v>
      </c>
      <c r="DN1001" s="67" t="e">
        <f t="shared" si="1146"/>
        <v>#N/A</v>
      </c>
      <c r="DO1001" s="45" t="e">
        <f t="shared" si="1147"/>
        <v>#N/A</v>
      </c>
      <c r="DP1001" s="67" t="e">
        <f t="shared" si="1148"/>
        <v>#N/A</v>
      </c>
      <c r="DQ1001" s="45" t="e">
        <f t="shared" si="1149"/>
        <v>#N/A</v>
      </c>
      <c r="DR1001" s="69" t="e">
        <f t="shared" si="1150"/>
        <v>#N/A</v>
      </c>
      <c r="DS1001" s="34"/>
      <c r="DT1001" s="67" t="e">
        <f>((BX1001*CJ1001)+IF($W1001=MAT_AR,(BZ1001*CL1001),0))*(1+Reference!$E$50+Reference!$E$51)</f>
        <v>#N/A</v>
      </c>
      <c r="DU1001" s="67">
        <f>((BY1001*CK1001)+IF($W1001=MAT_AR,(CA1001*CM1001),0))*(1+Reference!$G$50+Reference!$G$51)</f>
        <v>0</v>
      </c>
      <c r="DV1001" s="67" t="e">
        <f t="shared" si="1151"/>
        <v>#VALUE!</v>
      </c>
      <c r="DX1001" s="56">
        <v>987</v>
      </c>
      <c r="DY1001" s="67">
        <f t="shared" si="1152"/>
        <v>0</v>
      </c>
      <c r="DZ1001" s="45" t="e">
        <f>VLOOKUP($R1001,Dropdown!$C$3:$D$4,2,FALSE)</f>
        <v>#N/A</v>
      </c>
      <c r="EA1001" s="68">
        <f t="shared" si="1153"/>
        <v>0</v>
      </c>
      <c r="EB1001" s="68" t="str">
        <f t="shared" si="1154"/>
        <v>N/A</v>
      </c>
      <c r="EC1001" s="68">
        <f t="shared" si="1155"/>
        <v>0</v>
      </c>
      <c r="ED1001" s="68" t="str">
        <f t="shared" si="1193"/>
        <v>N/A</v>
      </c>
      <c r="EF1001" s="56">
        <v>987</v>
      </c>
      <c r="EG1001" s="46">
        <f t="shared" si="1156"/>
        <v>0</v>
      </c>
      <c r="EH1001" s="68" t="e">
        <f t="shared" si="1194"/>
        <v>#N/A</v>
      </c>
      <c r="EI1001" s="68" t="e">
        <f t="shared" si="1195"/>
        <v>#N/A</v>
      </c>
      <c r="EJ1001" s="68" t="e">
        <f t="shared" si="1196"/>
        <v>#N/A</v>
      </c>
      <c r="EK1001" s="68" t="e">
        <f t="shared" si="1197"/>
        <v>#N/A</v>
      </c>
      <c r="EL1001" s="46">
        <f t="shared" si="1161"/>
        <v>0</v>
      </c>
      <c r="EM1001" s="46">
        <f t="shared" si="1198"/>
        <v>0</v>
      </c>
    </row>
    <row r="1002" spans="1:143">
      <c r="A1002" s="89"/>
      <c r="B1002" s="89"/>
      <c r="C1002" s="89"/>
      <c r="D1002" s="89"/>
      <c r="E1002" s="89"/>
      <c r="F1002" s="89"/>
      <c r="G1002" s="34"/>
      <c r="H1002" s="56">
        <f t="shared" si="1163"/>
        <v>988</v>
      </c>
      <c r="I1002" s="165"/>
      <c r="J1002" s="163"/>
      <c r="K1002" s="163"/>
      <c r="L1002" s="164"/>
      <c r="M1002" s="155"/>
      <c r="N1002" s="155"/>
      <c r="O1002" s="144"/>
      <c r="P1002" s="159" t="str">
        <f>IFERROR(IF(O1002&lt;&gt;"User Specified",IF(O1002&lt;&gt;"", INDEX('Refrigerant GWPs'!$G$2:$G$154,MATCH(O1002,'Refrigerant GWPs'!$A$2:$A$154,0)),""),U1002),0)</f>
        <v/>
      </c>
      <c r="Q1002" s="155"/>
      <c r="R1002" s="155"/>
      <c r="S1002" s="144"/>
      <c r="T1002" s="159" t="str">
        <f>IF(S1002&lt;&gt;"User Specified",IF(AND(S1002&lt;&gt;"User Specified",S1002&lt;&gt;""), INDEX('Refrigerant GWPs'!$G$2:$G$154,MATCH(S1002,'Refrigerant GWPs'!$A$2:$A$154,0)),""),V1002)</f>
        <v/>
      </c>
      <c r="U1002" s="144"/>
      <c r="V1002" s="144"/>
      <c r="W1002" s="155"/>
      <c r="X1002" s="155"/>
      <c r="Y1002" s="144"/>
      <c r="Z1002" s="159" t="str">
        <f>IF(AND(Y1002&lt;&gt;"User Specified",Y1002&lt;&gt;""), INDEX('Refrigerant GWPs'!$G$2:$G$154,MATCH(Y1002,'Refrigerant GWPs'!$A$2:$A$154,0)),"")</f>
        <v/>
      </c>
      <c r="AA1002" s="155"/>
      <c r="AB1002" s="156"/>
      <c r="AC1002" s="66"/>
      <c r="AD1002" s="66"/>
      <c r="AE1002" s="66"/>
      <c r="AF1002" s="66"/>
      <c r="AG1002" s="66"/>
      <c r="AH1002" s="66"/>
      <c r="AI1002" s="34"/>
      <c r="AJ1002" s="88">
        <f t="shared" si="1126"/>
        <v>0</v>
      </c>
      <c r="AK1002" s="88">
        <f t="shared" si="1127"/>
        <v>0</v>
      </c>
      <c r="AL1002" s="88">
        <v>0</v>
      </c>
      <c r="AM1002" s="88">
        <v>0</v>
      </c>
      <c r="AN1002" s="81" t="str">
        <f t="shared" si="1165"/>
        <v/>
      </c>
      <c r="AO1002" s="88">
        <f t="shared" si="1128"/>
        <v>0</v>
      </c>
      <c r="AP1002" s="88">
        <f t="shared" si="1129"/>
        <v>0</v>
      </c>
      <c r="AQ1002" s="81" t="str">
        <f t="shared" si="1130"/>
        <v/>
      </c>
      <c r="AS1002" s="41" t="b">
        <f t="shared" si="1131"/>
        <v>1</v>
      </c>
      <c r="AT1002" s="38">
        <f t="shared" si="1132"/>
        <v>0</v>
      </c>
      <c r="AU1002" s="60">
        <f t="shared" si="1133"/>
        <v>0</v>
      </c>
      <c r="AV1002" s="41">
        <f t="shared" si="1134"/>
        <v>0</v>
      </c>
      <c r="AW1002" s="41" t="b">
        <f t="shared" si="1135"/>
        <v>0</v>
      </c>
      <c r="AX1002" t="str">
        <f t="shared" si="1136"/>
        <v>+00</v>
      </c>
      <c r="AY1002" t="str">
        <f t="shared" si="1137"/>
        <v>+00</v>
      </c>
      <c r="BA1002" s="47" t="b">
        <f t="shared" si="1166"/>
        <v>1</v>
      </c>
      <c r="BB1002" s="42" t="b">
        <f t="shared" si="1167"/>
        <v>1</v>
      </c>
      <c r="BC1002" s="42" t="b">
        <f t="shared" si="1168"/>
        <v>0</v>
      </c>
      <c r="BD1002" s="42" t="b">
        <f t="shared" si="1169"/>
        <v>0</v>
      </c>
      <c r="BE1002" s="70">
        <f t="shared" si="1170"/>
        <v>0</v>
      </c>
      <c r="BF1002" s="70">
        <f t="shared" si="1171"/>
        <v>0</v>
      </c>
      <c r="BG1002" s="34"/>
      <c r="BI1002" s="47" t="b">
        <f t="shared" si="1172"/>
        <v>1</v>
      </c>
      <c r="BJ1002" s="47" t="b">
        <f t="shared" si="1173"/>
        <v>1</v>
      </c>
      <c r="BK1002" s="42" t="b">
        <f t="shared" si="1174"/>
        <v>0</v>
      </c>
      <c r="BL1002" s="42" t="b">
        <f t="shared" si="1175"/>
        <v>0</v>
      </c>
      <c r="BM1002" s="42">
        <f t="shared" si="1176"/>
        <v>0</v>
      </c>
      <c r="BN1002" s="42">
        <f t="shared" si="1177"/>
        <v>0</v>
      </c>
      <c r="BP1002" t="e">
        <f t="shared" si="1178"/>
        <v>#N/A</v>
      </c>
      <c r="BQ1002" t="e">
        <f t="shared" si="1179"/>
        <v>#N/A</v>
      </c>
      <c r="BR1002" t="e">
        <f t="shared" si="1180"/>
        <v>#N/A</v>
      </c>
      <c r="BT1002" s="60">
        <f t="shared" si="1181"/>
        <v>0</v>
      </c>
      <c r="BU1002" s="60">
        <f t="shared" si="1182"/>
        <v>0</v>
      </c>
      <c r="BV1002" s="60">
        <f t="shared" si="1183"/>
        <v>0</v>
      </c>
      <c r="BW1002" s="60">
        <f t="shared" si="1184"/>
        <v>0</v>
      </c>
      <c r="BX1002" s="60">
        <f t="shared" si="1185"/>
        <v>0</v>
      </c>
      <c r="BY1002" s="60">
        <f t="shared" si="1186"/>
        <v>0</v>
      </c>
      <c r="BZ1002" s="60">
        <f t="shared" si="1187"/>
        <v>0</v>
      </c>
      <c r="CA1002" s="60">
        <f t="shared" si="1188"/>
        <v>0</v>
      </c>
      <c r="CB1002" s="60" t="e">
        <f t="shared" si="1138"/>
        <v>#N/A</v>
      </c>
      <c r="CC1002" s="60">
        <f t="shared" si="1139"/>
        <v>100000</v>
      </c>
      <c r="CD1002" s="60" t="e">
        <f t="shared" si="1140"/>
        <v>#N/A</v>
      </c>
      <c r="CE1002" s="60">
        <f t="shared" si="1141"/>
        <v>100000</v>
      </c>
      <c r="CF1002" s="83" t="e">
        <f t="shared" si="1189"/>
        <v>#N/A</v>
      </c>
      <c r="CG1002" s="83">
        <f t="shared" si="1190"/>
        <v>0</v>
      </c>
      <c r="CH1002" s="83" t="e">
        <f t="shared" si="1191"/>
        <v>#N/A</v>
      </c>
      <c r="CI1002" s="83">
        <f t="shared" si="1192"/>
        <v>0</v>
      </c>
      <c r="CJ1002" s="86" t="e">
        <f t="shared" si="1142"/>
        <v>#N/A</v>
      </c>
      <c r="CK1002" s="82">
        <f t="shared" si="1143"/>
        <v>5.3070370403969858E-3</v>
      </c>
      <c r="CL1002" s="82" t="e">
        <f t="shared" si="1144"/>
        <v>#N/A</v>
      </c>
      <c r="CM1002" s="82">
        <f t="shared" si="1145"/>
        <v>5.3070370403969858E-3</v>
      </c>
      <c r="CO1002" s="149" t="str">
        <f>IF($I1002&lt;&gt;"",IF(O1002="User Specified",U1002,INDEX('Refrigerant GWPs'!$G$2:$G$156,MATCH(O1002,'Refrigerant GWPs'!$A$2:$A$156,0))),"")</f>
        <v/>
      </c>
      <c r="CP1002" s="138" t="str">
        <f>IF($I1002&lt;&gt;"",INDEX('Device Refrigerant Leakage'!$E$2:$E$42,MATCH($M1002,'Device Refrigerant Leakage'!$B$2:$B$42,0)),"")</f>
        <v/>
      </c>
      <c r="CQ1002" s="138" t="str">
        <f>IF($I1002&lt;&gt;"",INDEX('Device Refrigerant Leakage'!$F$2:$F$42,MATCH($M1002,'Device Refrigerant Leakage'!$B$2:$B$42,0)),"")</f>
        <v/>
      </c>
      <c r="CR1002" s="145" t="str">
        <f>IF($I1002&lt;&gt;"",INDEX('Device Refrigerant Leakage'!$G$2:$G$42,MATCH($M1002,'Device Refrigerant Leakage'!$B$2:$B$42,0)),"")</f>
        <v/>
      </c>
      <c r="CS1002" s="145" t="str">
        <f>IF($I1002&lt;&gt;"",INDEX('Device Refrigerant Leakage'!$D$2:$D$42,MATCH($M1002,'Device Refrigerant Leakage'!$B$2:$B$42,0))*CP1002/2204.62*CO1002,"")</f>
        <v/>
      </c>
      <c r="CT1002" s="145" t="str">
        <f>IF($I1002&lt;&gt;"",J1002*(INDEX('Device Refrigerant Leakage'!$D$2:$D$42,MATCH($M1002,'Device Refrigerant Leakage'!$B$2:$B$42,0))-(INDEX('Device Refrigerant Leakage'!$D$2:$D$42,MATCH($M1002,'Device Refrigerant Leakage'!$B$2:$B$42,0)))*CR1002*CP1002)*CQ1002/2204.62*CO1002,"")</f>
        <v/>
      </c>
      <c r="CU1002" s="135" t="str">
        <f>IF($I1002&lt;&gt;"",J1002*IF(W1002&lt;&gt;"AR",(CS1002*K1002)+CT1002,(CS1002*AB1002)+CT1002*(AB1002/INDEX('Device Refrigerant Leakage'!$C$2:$C$42,MATCH($M1002,'Device Refrigerant Leakage'!$B$2:$B$42,0)))),"")</f>
        <v/>
      </c>
      <c r="CW1002" s="135" t="str">
        <f>IF($I1002&lt;&gt;"",IF(S1002="User Specified",V1002,INDEX('Refrigerant GWPs'!$G$2:$G$156,MATCH(S1002,'Refrigerant GWPs'!$A$2:$A$157,0))),"")</f>
        <v/>
      </c>
      <c r="CX1002" s="138" t="str">
        <f>IF($I1002&lt;&gt;"",INDEX('Device Refrigerant Leakage'!$E$2:$E$42,MATCH($Q1002,'Device Refrigerant Leakage'!$B$2:$B$42,0)),"")</f>
        <v/>
      </c>
      <c r="CY1002" s="138" t="str">
        <f>IF($I1002&lt;&gt;"",INDEX('Device Refrigerant Leakage'!$F$2:$F$42,MATCH($Q1002,'Device Refrigerant Leakage'!$B$2:$B$42,0)),"")</f>
        <v/>
      </c>
      <c r="CZ1002" s="145" t="str">
        <f>IF($I1002&lt;&gt;"",INDEX('Device Refrigerant Leakage'!$G$2:$G$42,MATCH($Q1002,'Device Refrigerant Leakage'!$B$2:$B$42,0)),"")</f>
        <v/>
      </c>
      <c r="DA1002" s="145" t="str">
        <f>IF($I1002&lt;&gt;"",J1002*INDEX('Device Refrigerant Leakage'!$D$2:$D$42,MATCH($Q1002,'Device Refrigerant Leakage'!$B$2:$B$42,0))*CX1002/2204.62*CW1002,"")</f>
        <v/>
      </c>
      <c r="DB1002" s="145" t="str">
        <f>IF($I1002&lt;&gt;"",J1002*(INDEX('Device Refrigerant Leakage'!$D$2:$D$42,MATCH($Q1002,'Device Refrigerant Leakage'!$B$2:$B$42,0))-(INDEX('Device Refrigerant Leakage'!$D$2:$D$42,MATCH($Q1002,'Device Refrigerant Leakage'!$B$2:$B$42,0)))*CZ1002*CX1002)*CY1002/2204.62*CW1002,"")</f>
        <v/>
      </c>
      <c r="DC1002" s="135" t="str">
        <f t="shared" si="1164"/>
        <v/>
      </c>
      <c r="DE1002" s="146" t="str">
        <f>IF(W1002&lt;&gt;"AR","",IF(Y1002="User Specified", AA1002, INDEX('Refrigerant GWPs'!$G$2:$G$154,MATCH(Y1002,'Refrigerant GWPs'!$A$2:$A$154,0))))</f>
        <v/>
      </c>
      <c r="DF1002" s="146" t="str">
        <f>IF(W1002&lt;&gt;"AR","",INDEX('Device Refrigerant Leakage'!$E$2:$E$42,MATCH(X1002,'Device Refrigerant Leakage'!$B$2:$B$42,0)))</f>
        <v/>
      </c>
      <c r="DG1002" s="146" t="str">
        <f>IF(W1002&lt;&gt;"AR","",INDEX('Device Refrigerant Leakage'!$F$2:$F$42,MATCH(X1002,'Device Refrigerant Leakage'!$B$2:$B$42,0)))</f>
        <v/>
      </c>
      <c r="DH1002" s="146" t="str">
        <f>IF(W1002&lt;&gt;"AR","",INDEX('Device Refrigerant Leakage'!$G$2:$G$42,MATCH(X1002,'Device Refrigerant Leakage'!$B$2:$B$42,0)))</f>
        <v/>
      </c>
      <c r="DI1002" s="146" t="str">
        <f>IF(W1002&lt;&gt;"AR","",J1002*INDEX('Device Refrigerant Leakage'!$D$2:$D$42,MATCH(X1002,'Device Refrigerant Leakage'!$B$2:$B$42,0))*DF1002/2204.62*DE1002)</f>
        <v/>
      </c>
      <c r="DJ1002" s="146" t="str">
        <f>IF(W1002&lt;&gt;"AR","",J1002*(INDEX('Device Refrigerant Leakage'!$D$2:$D$42,MATCH(X1002,'Device Refrigerant Leakage'!$B$2:$B$42,0))-(INDEX('Device Refrigerant Leakage'!$D$2:$D$42,MATCH(X1002,'Device Refrigerant Leakage'!$B$2:$B$42,0)))*DH1002*DF1002)*DG1002/2204.62*DE1002)</f>
        <v/>
      </c>
      <c r="DK1002" s="146" t="str">
        <f>IF(W1002&lt;&gt;"AR","",DI1002*(K1002-AB1002)+'Fuel Sub Calcs-Deemed'!DJ1002*((K1002-AB1002)/INDEX('Device Refrigerant Leakage'!$C$2:$C$42,MATCH('Fuel Sub Calcs-Deemed'!X1002,'Device Refrigerant Leakage'!$B$2:$B$42,0))))</f>
        <v/>
      </c>
      <c r="DM1002" s="56">
        <v>988</v>
      </c>
      <c r="DN1002" s="67" t="e">
        <f t="shared" si="1146"/>
        <v>#N/A</v>
      </c>
      <c r="DO1002" s="45" t="e">
        <f t="shared" si="1147"/>
        <v>#N/A</v>
      </c>
      <c r="DP1002" s="67" t="e">
        <f t="shared" si="1148"/>
        <v>#N/A</v>
      </c>
      <c r="DQ1002" s="45" t="e">
        <f t="shared" si="1149"/>
        <v>#N/A</v>
      </c>
      <c r="DR1002" s="69" t="e">
        <f t="shared" si="1150"/>
        <v>#N/A</v>
      </c>
      <c r="DS1002" s="34"/>
      <c r="DT1002" s="67" t="e">
        <f>((BX1002*CJ1002)+IF($W1002=MAT_AR,(BZ1002*CL1002),0))*(1+Reference!$E$50+Reference!$E$51)</f>
        <v>#N/A</v>
      </c>
      <c r="DU1002" s="67">
        <f>((BY1002*CK1002)+IF($W1002=MAT_AR,(CA1002*CM1002),0))*(1+Reference!$G$50+Reference!$G$51)</f>
        <v>0</v>
      </c>
      <c r="DV1002" s="67" t="e">
        <f t="shared" si="1151"/>
        <v>#VALUE!</v>
      </c>
      <c r="DX1002" s="56">
        <v>988</v>
      </c>
      <c r="DY1002" s="67">
        <f t="shared" si="1152"/>
        <v>0</v>
      </c>
      <c r="DZ1002" s="45" t="e">
        <f>VLOOKUP($R1002,Dropdown!$C$3:$D$4,2,FALSE)</f>
        <v>#N/A</v>
      </c>
      <c r="EA1002" s="68">
        <f t="shared" si="1153"/>
        <v>0</v>
      </c>
      <c r="EB1002" s="68" t="str">
        <f t="shared" si="1154"/>
        <v>N/A</v>
      </c>
      <c r="EC1002" s="68">
        <f t="shared" si="1155"/>
        <v>0</v>
      </c>
      <c r="ED1002" s="68" t="str">
        <f t="shared" si="1193"/>
        <v>N/A</v>
      </c>
      <c r="EF1002" s="56">
        <v>988</v>
      </c>
      <c r="EG1002" s="46">
        <f t="shared" si="1156"/>
        <v>0</v>
      </c>
      <c r="EH1002" s="68" t="e">
        <f t="shared" si="1194"/>
        <v>#N/A</v>
      </c>
      <c r="EI1002" s="68" t="e">
        <f t="shared" si="1195"/>
        <v>#N/A</v>
      </c>
      <c r="EJ1002" s="68" t="e">
        <f t="shared" si="1196"/>
        <v>#N/A</v>
      </c>
      <c r="EK1002" s="68" t="e">
        <f t="shared" si="1197"/>
        <v>#N/A</v>
      </c>
      <c r="EL1002" s="46">
        <f t="shared" si="1161"/>
        <v>0</v>
      </c>
      <c r="EM1002" s="46">
        <f t="shared" si="1198"/>
        <v>0</v>
      </c>
    </row>
    <row r="1003" spans="1:143">
      <c r="A1003" s="89"/>
      <c r="B1003" s="89"/>
      <c r="C1003" s="89"/>
      <c r="D1003" s="89"/>
      <c r="E1003" s="89"/>
      <c r="F1003" s="89"/>
      <c r="G1003" s="34"/>
      <c r="H1003" s="56">
        <f t="shared" si="1163"/>
        <v>989</v>
      </c>
      <c r="I1003" s="165"/>
      <c r="J1003" s="163"/>
      <c r="K1003" s="163"/>
      <c r="L1003" s="164"/>
      <c r="M1003" s="155"/>
      <c r="N1003" s="155"/>
      <c r="O1003" s="144"/>
      <c r="P1003" s="159" t="str">
        <f>IFERROR(IF(O1003&lt;&gt;"User Specified",IF(O1003&lt;&gt;"", INDEX('Refrigerant GWPs'!$G$2:$G$154,MATCH(O1003,'Refrigerant GWPs'!$A$2:$A$154,0)),""),U1003),0)</f>
        <v/>
      </c>
      <c r="Q1003" s="155"/>
      <c r="R1003" s="155"/>
      <c r="S1003" s="144"/>
      <c r="T1003" s="159" t="str">
        <f>IF(S1003&lt;&gt;"User Specified",IF(AND(S1003&lt;&gt;"User Specified",S1003&lt;&gt;""), INDEX('Refrigerant GWPs'!$G$2:$G$154,MATCH(S1003,'Refrigerant GWPs'!$A$2:$A$154,0)),""),V1003)</f>
        <v/>
      </c>
      <c r="U1003" s="144"/>
      <c r="V1003" s="144"/>
      <c r="W1003" s="155"/>
      <c r="X1003" s="155"/>
      <c r="Y1003" s="144"/>
      <c r="Z1003" s="159" t="str">
        <f>IF(AND(Y1003&lt;&gt;"User Specified",Y1003&lt;&gt;""), INDEX('Refrigerant GWPs'!$G$2:$G$154,MATCH(Y1003,'Refrigerant GWPs'!$A$2:$A$154,0)),"")</f>
        <v/>
      </c>
      <c r="AA1003" s="155"/>
      <c r="AB1003" s="156"/>
      <c r="AC1003" s="66"/>
      <c r="AD1003" s="66"/>
      <c r="AE1003" s="66"/>
      <c r="AF1003" s="66"/>
      <c r="AG1003" s="66"/>
      <c r="AH1003" s="66"/>
      <c r="AI1003" s="34"/>
      <c r="AJ1003" s="88">
        <f t="shared" si="1126"/>
        <v>0</v>
      </c>
      <c r="AK1003" s="88">
        <f t="shared" si="1127"/>
        <v>0</v>
      </c>
      <c r="AL1003" s="88">
        <v>0</v>
      </c>
      <c r="AM1003" s="88">
        <v>0</v>
      </c>
      <c r="AN1003" s="81" t="str">
        <f t="shared" si="1165"/>
        <v/>
      </c>
      <c r="AO1003" s="88">
        <f t="shared" si="1128"/>
        <v>0</v>
      </c>
      <c r="AP1003" s="88">
        <f t="shared" si="1129"/>
        <v>0</v>
      </c>
      <c r="AQ1003" s="81" t="str">
        <f t="shared" si="1130"/>
        <v/>
      </c>
      <c r="AS1003" s="41" t="b">
        <f t="shared" si="1131"/>
        <v>1</v>
      </c>
      <c r="AT1003" s="38">
        <f t="shared" si="1132"/>
        <v>0</v>
      </c>
      <c r="AU1003" s="60">
        <f t="shared" si="1133"/>
        <v>0</v>
      </c>
      <c r="AV1003" s="41">
        <f t="shared" si="1134"/>
        <v>0</v>
      </c>
      <c r="AW1003" s="41" t="b">
        <f t="shared" si="1135"/>
        <v>0</v>
      </c>
      <c r="AX1003" t="str">
        <f t="shared" si="1136"/>
        <v>+00</v>
      </c>
      <c r="AY1003" t="str">
        <f t="shared" si="1137"/>
        <v>+00</v>
      </c>
      <c r="BA1003" s="47" t="b">
        <f t="shared" si="1166"/>
        <v>1</v>
      </c>
      <c r="BB1003" s="42" t="b">
        <f t="shared" si="1167"/>
        <v>1</v>
      </c>
      <c r="BC1003" s="42" t="b">
        <f t="shared" si="1168"/>
        <v>0</v>
      </c>
      <c r="BD1003" s="42" t="b">
        <f t="shared" si="1169"/>
        <v>0</v>
      </c>
      <c r="BE1003" s="70">
        <f t="shared" si="1170"/>
        <v>0</v>
      </c>
      <c r="BF1003" s="70">
        <f t="shared" si="1171"/>
        <v>0</v>
      </c>
      <c r="BG1003" s="34"/>
      <c r="BI1003" s="47" t="b">
        <f t="shared" si="1172"/>
        <v>1</v>
      </c>
      <c r="BJ1003" s="47" t="b">
        <f t="shared" si="1173"/>
        <v>1</v>
      </c>
      <c r="BK1003" s="42" t="b">
        <f t="shared" si="1174"/>
        <v>0</v>
      </c>
      <c r="BL1003" s="42" t="b">
        <f t="shared" si="1175"/>
        <v>0</v>
      </c>
      <c r="BM1003" s="42">
        <f t="shared" si="1176"/>
        <v>0</v>
      </c>
      <c r="BN1003" s="42">
        <f t="shared" si="1177"/>
        <v>0</v>
      </c>
      <c r="BP1003" t="e">
        <f t="shared" si="1178"/>
        <v>#N/A</v>
      </c>
      <c r="BQ1003" t="e">
        <f t="shared" si="1179"/>
        <v>#N/A</v>
      </c>
      <c r="BR1003" t="e">
        <f t="shared" si="1180"/>
        <v>#N/A</v>
      </c>
      <c r="BT1003" s="60">
        <f t="shared" si="1181"/>
        <v>0</v>
      </c>
      <c r="BU1003" s="60">
        <f t="shared" si="1182"/>
        <v>0</v>
      </c>
      <c r="BV1003" s="60">
        <f t="shared" si="1183"/>
        <v>0</v>
      </c>
      <c r="BW1003" s="60">
        <f t="shared" si="1184"/>
        <v>0</v>
      </c>
      <c r="BX1003" s="60">
        <f t="shared" si="1185"/>
        <v>0</v>
      </c>
      <c r="BY1003" s="60">
        <f t="shared" si="1186"/>
        <v>0</v>
      </c>
      <c r="BZ1003" s="60">
        <f t="shared" si="1187"/>
        <v>0</v>
      </c>
      <c r="CA1003" s="60">
        <f t="shared" si="1188"/>
        <v>0</v>
      </c>
      <c r="CB1003" s="60" t="e">
        <f t="shared" si="1138"/>
        <v>#N/A</v>
      </c>
      <c r="CC1003" s="60">
        <f t="shared" si="1139"/>
        <v>100000</v>
      </c>
      <c r="CD1003" s="60" t="e">
        <f t="shared" si="1140"/>
        <v>#N/A</v>
      </c>
      <c r="CE1003" s="60">
        <f t="shared" si="1141"/>
        <v>100000</v>
      </c>
      <c r="CF1003" s="83" t="e">
        <f t="shared" si="1189"/>
        <v>#N/A</v>
      </c>
      <c r="CG1003" s="83">
        <f t="shared" si="1190"/>
        <v>0</v>
      </c>
      <c r="CH1003" s="83" t="e">
        <f t="shared" si="1191"/>
        <v>#N/A</v>
      </c>
      <c r="CI1003" s="83">
        <f t="shared" si="1192"/>
        <v>0</v>
      </c>
      <c r="CJ1003" s="86" t="e">
        <f t="shared" si="1142"/>
        <v>#N/A</v>
      </c>
      <c r="CK1003" s="82">
        <f t="shared" si="1143"/>
        <v>5.3070370403969858E-3</v>
      </c>
      <c r="CL1003" s="82" t="e">
        <f t="shared" si="1144"/>
        <v>#N/A</v>
      </c>
      <c r="CM1003" s="82">
        <f t="shared" si="1145"/>
        <v>5.3070370403969858E-3</v>
      </c>
      <c r="CO1003" s="149" t="str">
        <f>IF($I1003&lt;&gt;"",IF(O1003="User Specified",U1003,INDEX('Refrigerant GWPs'!$G$2:$G$156,MATCH(O1003,'Refrigerant GWPs'!$A$2:$A$156,0))),"")</f>
        <v/>
      </c>
      <c r="CP1003" s="138" t="str">
        <f>IF($I1003&lt;&gt;"",INDEX('Device Refrigerant Leakage'!$E$2:$E$42,MATCH($M1003,'Device Refrigerant Leakage'!$B$2:$B$42,0)),"")</f>
        <v/>
      </c>
      <c r="CQ1003" s="138" t="str">
        <f>IF($I1003&lt;&gt;"",INDEX('Device Refrigerant Leakage'!$F$2:$F$42,MATCH($M1003,'Device Refrigerant Leakage'!$B$2:$B$42,0)),"")</f>
        <v/>
      </c>
      <c r="CR1003" s="145" t="str">
        <f>IF($I1003&lt;&gt;"",INDEX('Device Refrigerant Leakage'!$G$2:$G$42,MATCH($M1003,'Device Refrigerant Leakage'!$B$2:$B$42,0)),"")</f>
        <v/>
      </c>
      <c r="CS1003" s="145" t="str">
        <f>IF($I1003&lt;&gt;"",INDEX('Device Refrigerant Leakage'!$D$2:$D$42,MATCH($M1003,'Device Refrigerant Leakage'!$B$2:$B$42,0))*CP1003/2204.62*CO1003,"")</f>
        <v/>
      </c>
      <c r="CT1003" s="145" t="str">
        <f>IF($I1003&lt;&gt;"",J1003*(INDEX('Device Refrigerant Leakage'!$D$2:$D$42,MATCH($M1003,'Device Refrigerant Leakage'!$B$2:$B$42,0))-(INDEX('Device Refrigerant Leakage'!$D$2:$D$42,MATCH($M1003,'Device Refrigerant Leakage'!$B$2:$B$42,0)))*CR1003*CP1003)*CQ1003/2204.62*CO1003,"")</f>
        <v/>
      </c>
      <c r="CU1003" s="135" t="str">
        <f>IF($I1003&lt;&gt;"",J1003*IF(W1003&lt;&gt;"AR",(CS1003*K1003)+CT1003,(CS1003*AB1003)+CT1003*(AB1003/INDEX('Device Refrigerant Leakage'!$C$2:$C$42,MATCH($M1003,'Device Refrigerant Leakage'!$B$2:$B$42,0)))),"")</f>
        <v/>
      </c>
      <c r="CW1003" s="135" t="str">
        <f>IF($I1003&lt;&gt;"",IF(S1003="User Specified",V1003,INDEX('Refrigerant GWPs'!$G$2:$G$156,MATCH(S1003,'Refrigerant GWPs'!$A$2:$A$157,0))),"")</f>
        <v/>
      </c>
      <c r="CX1003" s="138" t="str">
        <f>IF($I1003&lt;&gt;"",INDEX('Device Refrigerant Leakage'!$E$2:$E$42,MATCH($Q1003,'Device Refrigerant Leakage'!$B$2:$B$42,0)),"")</f>
        <v/>
      </c>
      <c r="CY1003" s="138" t="str">
        <f>IF($I1003&lt;&gt;"",INDEX('Device Refrigerant Leakage'!$F$2:$F$42,MATCH($Q1003,'Device Refrigerant Leakage'!$B$2:$B$42,0)),"")</f>
        <v/>
      </c>
      <c r="CZ1003" s="145" t="str">
        <f>IF($I1003&lt;&gt;"",INDEX('Device Refrigerant Leakage'!$G$2:$G$42,MATCH($Q1003,'Device Refrigerant Leakage'!$B$2:$B$42,0)),"")</f>
        <v/>
      </c>
      <c r="DA1003" s="145" t="str">
        <f>IF($I1003&lt;&gt;"",J1003*INDEX('Device Refrigerant Leakage'!$D$2:$D$42,MATCH($Q1003,'Device Refrigerant Leakage'!$B$2:$B$42,0))*CX1003/2204.62*CW1003,"")</f>
        <v/>
      </c>
      <c r="DB1003" s="145" t="str">
        <f>IF($I1003&lt;&gt;"",J1003*(INDEX('Device Refrigerant Leakage'!$D$2:$D$42,MATCH($Q1003,'Device Refrigerant Leakage'!$B$2:$B$42,0))-(INDEX('Device Refrigerant Leakage'!$D$2:$D$42,MATCH($Q1003,'Device Refrigerant Leakage'!$B$2:$B$42,0)))*CZ1003*CX1003)*CY1003/2204.62*CW1003,"")</f>
        <v/>
      </c>
      <c r="DC1003" s="135" t="str">
        <f t="shared" si="1164"/>
        <v/>
      </c>
      <c r="DE1003" s="146" t="str">
        <f>IF(W1003&lt;&gt;"AR","",IF(Y1003="User Specified", AA1003, INDEX('Refrigerant GWPs'!$G$2:$G$154,MATCH(Y1003,'Refrigerant GWPs'!$A$2:$A$154,0))))</f>
        <v/>
      </c>
      <c r="DF1003" s="146" t="str">
        <f>IF(W1003&lt;&gt;"AR","",INDEX('Device Refrigerant Leakage'!$E$2:$E$42,MATCH(X1003,'Device Refrigerant Leakage'!$B$2:$B$42,0)))</f>
        <v/>
      </c>
      <c r="DG1003" s="146" t="str">
        <f>IF(W1003&lt;&gt;"AR","",INDEX('Device Refrigerant Leakage'!$F$2:$F$42,MATCH(X1003,'Device Refrigerant Leakage'!$B$2:$B$42,0)))</f>
        <v/>
      </c>
      <c r="DH1003" s="146" t="str">
        <f>IF(W1003&lt;&gt;"AR","",INDEX('Device Refrigerant Leakage'!$G$2:$G$42,MATCH(X1003,'Device Refrigerant Leakage'!$B$2:$B$42,0)))</f>
        <v/>
      </c>
      <c r="DI1003" s="146" t="str">
        <f>IF(W1003&lt;&gt;"AR","",J1003*INDEX('Device Refrigerant Leakage'!$D$2:$D$42,MATCH(X1003,'Device Refrigerant Leakage'!$B$2:$B$42,0))*DF1003/2204.62*DE1003)</f>
        <v/>
      </c>
      <c r="DJ1003" s="146" t="str">
        <f>IF(W1003&lt;&gt;"AR","",J1003*(INDEX('Device Refrigerant Leakage'!$D$2:$D$42,MATCH(X1003,'Device Refrigerant Leakage'!$B$2:$B$42,0))-(INDEX('Device Refrigerant Leakage'!$D$2:$D$42,MATCH(X1003,'Device Refrigerant Leakage'!$B$2:$B$42,0)))*DH1003*DF1003)*DG1003/2204.62*DE1003)</f>
        <v/>
      </c>
      <c r="DK1003" s="146" t="str">
        <f>IF(W1003&lt;&gt;"AR","",DI1003*(K1003-AB1003)+'Fuel Sub Calcs-Deemed'!DJ1003*((K1003-AB1003)/INDEX('Device Refrigerant Leakage'!$C$2:$C$42,MATCH('Fuel Sub Calcs-Deemed'!X1003,'Device Refrigerant Leakage'!$B$2:$B$42,0))))</f>
        <v/>
      </c>
      <c r="DM1003" s="56">
        <v>989</v>
      </c>
      <c r="DN1003" s="67" t="e">
        <f t="shared" si="1146"/>
        <v>#N/A</v>
      </c>
      <c r="DO1003" s="45" t="e">
        <f t="shared" si="1147"/>
        <v>#N/A</v>
      </c>
      <c r="DP1003" s="67" t="e">
        <f t="shared" si="1148"/>
        <v>#N/A</v>
      </c>
      <c r="DQ1003" s="45" t="e">
        <f t="shared" si="1149"/>
        <v>#N/A</v>
      </c>
      <c r="DR1003" s="69" t="e">
        <f t="shared" si="1150"/>
        <v>#N/A</v>
      </c>
      <c r="DS1003" s="34"/>
      <c r="DT1003" s="67" t="e">
        <f>((BX1003*CJ1003)+IF($W1003=MAT_AR,(BZ1003*CL1003),0))*(1+Reference!$E$50+Reference!$E$51)</f>
        <v>#N/A</v>
      </c>
      <c r="DU1003" s="67">
        <f>((BY1003*CK1003)+IF($W1003=MAT_AR,(CA1003*CM1003),0))*(1+Reference!$G$50+Reference!$G$51)</f>
        <v>0</v>
      </c>
      <c r="DV1003" s="67" t="e">
        <f t="shared" si="1151"/>
        <v>#VALUE!</v>
      </c>
      <c r="DX1003" s="56">
        <v>989</v>
      </c>
      <c r="DY1003" s="67">
        <f t="shared" si="1152"/>
        <v>0</v>
      </c>
      <c r="DZ1003" s="45" t="e">
        <f>VLOOKUP($R1003,Dropdown!$C$3:$D$4,2,FALSE)</f>
        <v>#N/A</v>
      </c>
      <c r="EA1003" s="68">
        <f t="shared" si="1153"/>
        <v>0</v>
      </c>
      <c r="EB1003" s="68" t="str">
        <f t="shared" si="1154"/>
        <v>N/A</v>
      </c>
      <c r="EC1003" s="68">
        <f t="shared" si="1155"/>
        <v>0</v>
      </c>
      <c r="ED1003" s="68" t="str">
        <f t="shared" si="1193"/>
        <v>N/A</v>
      </c>
      <c r="EF1003" s="56">
        <v>989</v>
      </c>
      <c r="EG1003" s="46">
        <f t="shared" si="1156"/>
        <v>0</v>
      </c>
      <c r="EH1003" s="68" t="e">
        <f t="shared" si="1194"/>
        <v>#N/A</v>
      </c>
      <c r="EI1003" s="68" t="e">
        <f t="shared" si="1195"/>
        <v>#N/A</v>
      </c>
      <c r="EJ1003" s="68" t="e">
        <f t="shared" si="1196"/>
        <v>#N/A</v>
      </c>
      <c r="EK1003" s="68" t="e">
        <f t="shared" si="1197"/>
        <v>#N/A</v>
      </c>
      <c r="EL1003" s="46">
        <f t="shared" si="1161"/>
        <v>0</v>
      </c>
      <c r="EM1003" s="46">
        <f t="shared" si="1198"/>
        <v>0</v>
      </c>
    </row>
    <row r="1004" spans="1:143">
      <c r="A1004" s="89"/>
      <c r="B1004" s="89"/>
      <c r="C1004" s="89"/>
      <c r="D1004" s="89"/>
      <c r="E1004" s="89"/>
      <c r="F1004" s="89"/>
      <c r="G1004" s="34"/>
      <c r="H1004" s="56">
        <f t="shared" si="1163"/>
        <v>990</v>
      </c>
      <c r="I1004" s="165"/>
      <c r="J1004" s="163"/>
      <c r="K1004" s="163"/>
      <c r="L1004" s="164"/>
      <c r="M1004" s="155"/>
      <c r="N1004" s="155"/>
      <c r="O1004" s="144"/>
      <c r="P1004" s="159" t="str">
        <f>IFERROR(IF(O1004&lt;&gt;"User Specified",IF(O1004&lt;&gt;"", INDEX('Refrigerant GWPs'!$G$2:$G$154,MATCH(O1004,'Refrigerant GWPs'!$A$2:$A$154,0)),""),U1004),0)</f>
        <v/>
      </c>
      <c r="Q1004" s="155"/>
      <c r="R1004" s="155"/>
      <c r="S1004" s="144"/>
      <c r="T1004" s="159" t="str">
        <f>IF(S1004&lt;&gt;"User Specified",IF(AND(S1004&lt;&gt;"User Specified",S1004&lt;&gt;""), INDEX('Refrigerant GWPs'!$G$2:$G$154,MATCH(S1004,'Refrigerant GWPs'!$A$2:$A$154,0)),""),V1004)</f>
        <v/>
      </c>
      <c r="U1004" s="144"/>
      <c r="V1004" s="144"/>
      <c r="W1004" s="155"/>
      <c r="X1004" s="155"/>
      <c r="Y1004" s="144"/>
      <c r="Z1004" s="159" t="str">
        <f>IF(AND(Y1004&lt;&gt;"User Specified",Y1004&lt;&gt;""), INDEX('Refrigerant GWPs'!$G$2:$G$154,MATCH(Y1004,'Refrigerant GWPs'!$A$2:$A$154,0)),"")</f>
        <v/>
      </c>
      <c r="AA1004" s="155"/>
      <c r="AB1004" s="156"/>
      <c r="AC1004" s="66"/>
      <c r="AD1004" s="66"/>
      <c r="AE1004" s="66"/>
      <c r="AF1004" s="66"/>
      <c r="AG1004" s="66"/>
      <c r="AH1004" s="66"/>
      <c r="AI1004" s="34"/>
      <c r="AJ1004" s="88">
        <f t="shared" si="1126"/>
        <v>0</v>
      </c>
      <c r="AK1004" s="88">
        <f t="shared" si="1127"/>
        <v>0</v>
      </c>
      <c r="AL1004" s="88">
        <v>0</v>
      </c>
      <c r="AM1004" s="88">
        <v>0</v>
      </c>
      <c r="AN1004" s="81" t="str">
        <f t="shared" si="1165"/>
        <v/>
      </c>
      <c r="AO1004" s="88">
        <f t="shared" si="1128"/>
        <v>0</v>
      </c>
      <c r="AP1004" s="88">
        <f t="shared" si="1129"/>
        <v>0</v>
      </c>
      <c r="AQ1004" s="81" t="str">
        <f t="shared" si="1130"/>
        <v/>
      </c>
      <c r="AS1004" s="41" t="b">
        <f t="shared" si="1131"/>
        <v>1</v>
      </c>
      <c r="AT1004" s="38">
        <f t="shared" si="1132"/>
        <v>0</v>
      </c>
      <c r="AU1004" s="60">
        <f t="shared" si="1133"/>
        <v>0</v>
      </c>
      <c r="AV1004" s="41">
        <f t="shared" si="1134"/>
        <v>0</v>
      </c>
      <c r="AW1004" s="41" t="b">
        <f t="shared" si="1135"/>
        <v>0</v>
      </c>
      <c r="AX1004" t="str">
        <f t="shared" si="1136"/>
        <v>+00</v>
      </c>
      <c r="AY1004" t="str">
        <f t="shared" si="1137"/>
        <v>+00</v>
      </c>
      <c r="BA1004" s="47" t="b">
        <f t="shared" si="1166"/>
        <v>1</v>
      </c>
      <c r="BB1004" s="42" t="b">
        <f t="shared" si="1167"/>
        <v>1</v>
      </c>
      <c r="BC1004" s="42" t="b">
        <f t="shared" si="1168"/>
        <v>0</v>
      </c>
      <c r="BD1004" s="42" t="b">
        <f t="shared" si="1169"/>
        <v>0</v>
      </c>
      <c r="BE1004" s="70">
        <f t="shared" si="1170"/>
        <v>0</v>
      </c>
      <c r="BF1004" s="70">
        <f t="shared" si="1171"/>
        <v>0</v>
      </c>
      <c r="BG1004" s="34"/>
      <c r="BI1004" s="47" t="b">
        <f t="shared" si="1172"/>
        <v>1</v>
      </c>
      <c r="BJ1004" s="47" t="b">
        <f t="shared" si="1173"/>
        <v>1</v>
      </c>
      <c r="BK1004" s="42" t="b">
        <f t="shared" si="1174"/>
        <v>0</v>
      </c>
      <c r="BL1004" s="42" t="b">
        <f t="shared" si="1175"/>
        <v>0</v>
      </c>
      <c r="BM1004" s="42">
        <f t="shared" si="1176"/>
        <v>0</v>
      </c>
      <c r="BN1004" s="42">
        <f t="shared" si="1177"/>
        <v>0</v>
      </c>
      <c r="BP1004" t="e">
        <f t="shared" si="1178"/>
        <v>#N/A</v>
      </c>
      <c r="BQ1004" t="e">
        <f t="shared" si="1179"/>
        <v>#N/A</v>
      </c>
      <c r="BR1004" t="e">
        <f t="shared" si="1180"/>
        <v>#N/A</v>
      </c>
      <c r="BT1004" s="60">
        <f t="shared" si="1181"/>
        <v>0</v>
      </c>
      <c r="BU1004" s="60">
        <f t="shared" si="1182"/>
        <v>0</v>
      </c>
      <c r="BV1004" s="60">
        <f t="shared" si="1183"/>
        <v>0</v>
      </c>
      <c r="BW1004" s="60">
        <f t="shared" si="1184"/>
        <v>0</v>
      </c>
      <c r="BX1004" s="60">
        <f t="shared" si="1185"/>
        <v>0</v>
      </c>
      <c r="BY1004" s="60">
        <f t="shared" si="1186"/>
        <v>0</v>
      </c>
      <c r="BZ1004" s="60">
        <f t="shared" si="1187"/>
        <v>0</v>
      </c>
      <c r="CA1004" s="60">
        <f t="shared" si="1188"/>
        <v>0</v>
      </c>
      <c r="CB1004" s="60" t="e">
        <f t="shared" si="1138"/>
        <v>#N/A</v>
      </c>
      <c r="CC1004" s="60">
        <f t="shared" si="1139"/>
        <v>100000</v>
      </c>
      <c r="CD1004" s="60" t="e">
        <f t="shared" si="1140"/>
        <v>#N/A</v>
      </c>
      <c r="CE1004" s="60">
        <f t="shared" si="1141"/>
        <v>100000</v>
      </c>
      <c r="CF1004" s="83" t="e">
        <f t="shared" si="1189"/>
        <v>#N/A</v>
      </c>
      <c r="CG1004" s="83">
        <f t="shared" si="1190"/>
        <v>0</v>
      </c>
      <c r="CH1004" s="83" t="e">
        <f t="shared" si="1191"/>
        <v>#N/A</v>
      </c>
      <c r="CI1004" s="83">
        <f t="shared" si="1192"/>
        <v>0</v>
      </c>
      <c r="CJ1004" s="86" t="e">
        <f t="shared" si="1142"/>
        <v>#N/A</v>
      </c>
      <c r="CK1004" s="82">
        <f t="shared" si="1143"/>
        <v>5.3070370403969858E-3</v>
      </c>
      <c r="CL1004" s="82" t="e">
        <f t="shared" si="1144"/>
        <v>#N/A</v>
      </c>
      <c r="CM1004" s="82">
        <f t="shared" si="1145"/>
        <v>5.3070370403969858E-3</v>
      </c>
      <c r="CO1004" s="149" t="str">
        <f>IF($I1004&lt;&gt;"",IF(O1004="User Specified",U1004,INDEX('Refrigerant GWPs'!$G$2:$G$156,MATCH(O1004,'Refrigerant GWPs'!$A$2:$A$156,0))),"")</f>
        <v/>
      </c>
      <c r="CP1004" s="138" t="str">
        <f>IF($I1004&lt;&gt;"",INDEX('Device Refrigerant Leakage'!$E$2:$E$42,MATCH($M1004,'Device Refrigerant Leakage'!$B$2:$B$42,0)),"")</f>
        <v/>
      </c>
      <c r="CQ1004" s="138" t="str">
        <f>IF($I1004&lt;&gt;"",INDEX('Device Refrigerant Leakage'!$F$2:$F$42,MATCH($M1004,'Device Refrigerant Leakage'!$B$2:$B$42,0)),"")</f>
        <v/>
      </c>
      <c r="CR1004" s="145" t="str">
        <f>IF($I1004&lt;&gt;"",INDEX('Device Refrigerant Leakage'!$G$2:$G$42,MATCH($M1004,'Device Refrigerant Leakage'!$B$2:$B$42,0)),"")</f>
        <v/>
      </c>
      <c r="CS1004" s="145" t="str">
        <f>IF($I1004&lt;&gt;"",INDEX('Device Refrigerant Leakage'!$D$2:$D$42,MATCH($M1004,'Device Refrigerant Leakage'!$B$2:$B$42,0))*CP1004/2204.62*CO1004,"")</f>
        <v/>
      </c>
      <c r="CT1004" s="145" t="str">
        <f>IF($I1004&lt;&gt;"",J1004*(INDEX('Device Refrigerant Leakage'!$D$2:$D$42,MATCH($M1004,'Device Refrigerant Leakage'!$B$2:$B$42,0))-(INDEX('Device Refrigerant Leakage'!$D$2:$D$42,MATCH($M1004,'Device Refrigerant Leakage'!$B$2:$B$42,0)))*CR1004*CP1004)*CQ1004/2204.62*CO1004,"")</f>
        <v/>
      </c>
      <c r="CU1004" s="135" t="str">
        <f>IF($I1004&lt;&gt;"",J1004*IF(W1004&lt;&gt;"AR",(CS1004*K1004)+CT1004,(CS1004*AB1004)+CT1004*(AB1004/INDEX('Device Refrigerant Leakage'!$C$2:$C$42,MATCH($M1004,'Device Refrigerant Leakage'!$B$2:$B$42,0)))),"")</f>
        <v/>
      </c>
      <c r="CW1004" s="135" t="str">
        <f>IF($I1004&lt;&gt;"",IF(S1004="User Specified",V1004,INDEX('Refrigerant GWPs'!$G$2:$G$156,MATCH(S1004,'Refrigerant GWPs'!$A$2:$A$157,0))),"")</f>
        <v/>
      </c>
      <c r="CX1004" s="138" t="str">
        <f>IF($I1004&lt;&gt;"",INDEX('Device Refrigerant Leakage'!$E$2:$E$42,MATCH($Q1004,'Device Refrigerant Leakage'!$B$2:$B$42,0)),"")</f>
        <v/>
      </c>
      <c r="CY1004" s="138" t="str">
        <f>IF($I1004&lt;&gt;"",INDEX('Device Refrigerant Leakage'!$F$2:$F$42,MATCH($Q1004,'Device Refrigerant Leakage'!$B$2:$B$42,0)),"")</f>
        <v/>
      </c>
      <c r="CZ1004" s="145" t="str">
        <f>IF($I1004&lt;&gt;"",INDEX('Device Refrigerant Leakage'!$G$2:$G$42,MATCH($Q1004,'Device Refrigerant Leakage'!$B$2:$B$42,0)),"")</f>
        <v/>
      </c>
      <c r="DA1004" s="145" t="str">
        <f>IF($I1004&lt;&gt;"",J1004*INDEX('Device Refrigerant Leakage'!$D$2:$D$42,MATCH($Q1004,'Device Refrigerant Leakage'!$B$2:$B$42,0))*CX1004/2204.62*CW1004,"")</f>
        <v/>
      </c>
      <c r="DB1004" s="145" t="str">
        <f>IF($I1004&lt;&gt;"",J1004*(INDEX('Device Refrigerant Leakage'!$D$2:$D$42,MATCH($Q1004,'Device Refrigerant Leakage'!$B$2:$B$42,0))-(INDEX('Device Refrigerant Leakage'!$D$2:$D$42,MATCH($Q1004,'Device Refrigerant Leakage'!$B$2:$B$42,0)))*CZ1004*CX1004)*CY1004/2204.62*CW1004,"")</f>
        <v/>
      </c>
      <c r="DC1004" s="135" t="str">
        <f t="shared" si="1164"/>
        <v/>
      </c>
      <c r="DE1004" s="146" t="str">
        <f>IF(W1004&lt;&gt;"AR","",IF(Y1004="User Specified", AA1004, INDEX('Refrigerant GWPs'!$G$2:$G$154,MATCH(Y1004,'Refrigerant GWPs'!$A$2:$A$154,0))))</f>
        <v/>
      </c>
      <c r="DF1004" s="146" t="str">
        <f>IF(W1004&lt;&gt;"AR","",INDEX('Device Refrigerant Leakage'!$E$2:$E$42,MATCH(X1004,'Device Refrigerant Leakage'!$B$2:$B$42,0)))</f>
        <v/>
      </c>
      <c r="DG1004" s="146" t="str">
        <f>IF(W1004&lt;&gt;"AR","",INDEX('Device Refrigerant Leakage'!$F$2:$F$42,MATCH(X1004,'Device Refrigerant Leakage'!$B$2:$B$42,0)))</f>
        <v/>
      </c>
      <c r="DH1004" s="146" t="str">
        <f>IF(W1004&lt;&gt;"AR","",INDEX('Device Refrigerant Leakage'!$G$2:$G$42,MATCH(X1004,'Device Refrigerant Leakage'!$B$2:$B$42,0)))</f>
        <v/>
      </c>
      <c r="DI1004" s="146" t="str">
        <f>IF(W1004&lt;&gt;"AR","",J1004*INDEX('Device Refrigerant Leakage'!$D$2:$D$42,MATCH(X1004,'Device Refrigerant Leakage'!$B$2:$B$42,0))*DF1004/2204.62*DE1004)</f>
        <v/>
      </c>
      <c r="DJ1004" s="146" t="str">
        <f>IF(W1004&lt;&gt;"AR","",J1004*(INDEX('Device Refrigerant Leakage'!$D$2:$D$42,MATCH(X1004,'Device Refrigerant Leakage'!$B$2:$B$42,0))-(INDEX('Device Refrigerant Leakage'!$D$2:$D$42,MATCH(X1004,'Device Refrigerant Leakage'!$B$2:$B$42,0)))*DH1004*DF1004)*DG1004/2204.62*DE1004)</f>
        <v/>
      </c>
      <c r="DK1004" s="146" t="str">
        <f>IF(W1004&lt;&gt;"AR","",DI1004*(K1004-AB1004)+'Fuel Sub Calcs-Deemed'!DJ1004*((K1004-AB1004)/INDEX('Device Refrigerant Leakage'!$C$2:$C$42,MATCH('Fuel Sub Calcs-Deemed'!X1004,'Device Refrigerant Leakage'!$B$2:$B$42,0))))</f>
        <v/>
      </c>
      <c r="DM1004" s="56">
        <v>990</v>
      </c>
      <c r="DN1004" s="67" t="e">
        <f t="shared" si="1146"/>
        <v>#N/A</v>
      </c>
      <c r="DO1004" s="45" t="e">
        <f t="shared" si="1147"/>
        <v>#N/A</v>
      </c>
      <c r="DP1004" s="67" t="e">
        <f t="shared" si="1148"/>
        <v>#N/A</v>
      </c>
      <c r="DQ1004" s="45" t="e">
        <f t="shared" si="1149"/>
        <v>#N/A</v>
      </c>
      <c r="DR1004" s="69" t="e">
        <f t="shared" si="1150"/>
        <v>#N/A</v>
      </c>
      <c r="DS1004" s="34"/>
      <c r="DT1004" s="67" t="e">
        <f>((BX1004*CJ1004)+IF($W1004=MAT_AR,(BZ1004*CL1004),0))*(1+Reference!$E$50+Reference!$E$51)</f>
        <v>#N/A</v>
      </c>
      <c r="DU1004" s="67">
        <f>((BY1004*CK1004)+IF($W1004=MAT_AR,(CA1004*CM1004),0))*(1+Reference!$G$50+Reference!$G$51)</f>
        <v>0</v>
      </c>
      <c r="DV1004" s="67" t="e">
        <f t="shared" si="1151"/>
        <v>#VALUE!</v>
      </c>
      <c r="DX1004" s="56">
        <v>990</v>
      </c>
      <c r="DY1004" s="67">
        <f t="shared" si="1152"/>
        <v>0</v>
      </c>
      <c r="DZ1004" s="45" t="e">
        <f>VLOOKUP($R1004,Dropdown!$C$3:$D$4,2,FALSE)</f>
        <v>#N/A</v>
      </c>
      <c r="EA1004" s="68">
        <f t="shared" si="1153"/>
        <v>0</v>
      </c>
      <c r="EB1004" s="68" t="str">
        <f t="shared" si="1154"/>
        <v>N/A</v>
      </c>
      <c r="EC1004" s="68">
        <f t="shared" si="1155"/>
        <v>0</v>
      </c>
      <c r="ED1004" s="68" t="str">
        <f t="shared" si="1193"/>
        <v>N/A</v>
      </c>
      <c r="EF1004" s="56">
        <v>990</v>
      </c>
      <c r="EG1004" s="46">
        <f t="shared" si="1156"/>
        <v>0</v>
      </c>
      <c r="EH1004" s="68" t="e">
        <f t="shared" si="1194"/>
        <v>#N/A</v>
      </c>
      <c r="EI1004" s="68" t="e">
        <f t="shared" si="1195"/>
        <v>#N/A</v>
      </c>
      <c r="EJ1004" s="68" t="e">
        <f t="shared" si="1196"/>
        <v>#N/A</v>
      </c>
      <c r="EK1004" s="68" t="e">
        <f t="shared" si="1197"/>
        <v>#N/A</v>
      </c>
      <c r="EL1004" s="46">
        <f t="shared" si="1161"/>
        <v>0</v>
      </c>
      <c r="EM1004" s="46">
        <f t="shared" si="1198"/>
        <v>0</v>
      </c>
    </row>
    <row r="1005" spans="1:143">
      <c r="A1005" s="89"/>
      <c r="B1005" s="89"/>
      <c r="C1005" s="89"/>
      <c r="D1005" s="89"/>
      <c r="E1005" s="89"/>
      <c r="F1005" s="89"/>
      <c r="G1005" s="34"/>
      <c r="H1005" s="56">
        <f t="shared" si="1163"/>
        <v>991</v>
      </c>
      <c r="I1005" s="165"/>
      <c r="J1005" s="163"/>
      <c r="K1005" s="163"/>
      <c r="L1005" s="164"/>
      <c r="M1005" s="155"/>
      <c r="N1005" s="155"/>
      <c r="O1005" s="144"/>
      <c r="P1005" s="159" t="str">
        <f>IFERROR(IF(O1005&lt;&gt;"User Specified",IF(O1005&lt;&gt;"", INDEX('Refrigerant GWPs'!$G$2:$G$154,MATCH(O1005,'Refrigerant GWPs'!$A$2:$A$154,0)),""),U1005),0)</f>
        <v/>
      </c>
      <c r="Q1005" s="155"/>
      <c r="R1005" s="155"/>
      <c r="S1005" s="144"/>
      <c r="T1005" s="159" t="str">
        <f>IF(S1005&lt;&gt;"User Specified",IF(AND(S1005&lt;&gt;"User Specified",S1005&lt;&gt;""), INDEX('Refrigerant GWPs'!$G$2:$G$154,MATCH(S1005,'Refrigerant GWPs'!$A$2:$A$154,0)),""),V1005)</f>
        <v/>
      </c>
      <c r="U1005" s="144"/>
      <c r="V1005" s="144"/>
      <c r="W1005" s="155"/>
      <c r="X1005" s="155"/>
      <c r="Y1005" s="144"/>
      <c r="Z1005" s="159" t="str">
        <f>IF(AND(Y1005&lt;&gt;"User Specified",Y1005&lt;&gt;""), INDEX('Refrigerant GWPs'!$G$2:$G$154,MATCH(Y1005,'Refrigerant GWPs'!$A$2:$A$154,0)),"")</f>
        <v/>
      </c>
      <c r="AA1005" s="155"/>
      <c r="AB1005" s="156"/>
      <c r="AC1005" s="66"/>
      <c r="AD1005" s="66"/>
      <c r="AE1005" s="66"/>
      <c r="AF1005" s="66"/>
      <c r="AG1005" s="66"/>
      <c r="AH1005" s="66"/>
      <c r="AI1005" s="34"/>
      <c r="AJ1005" s="88">
        <f t="shared" si="1126"/>
        <v>0</v>
      </c>
      <c r="AK1005" s="88">
        <f t="shared" si="1127"/>
        <v>0</v>
      </c>
      <c r="AL1005" s="88">
        <v>0</v>
      </c>
      <c r="AM1005" s="88">
        <v>0</v>
      </c>
      <c r="AN1005" s="81" t="str">
        <f t="shared" si="1165"/>
        <v/>
      </c>
      <c r="AO1005" s="88">
        <f t="shared" si="1128"/>
        <v>0</v>
      </c>
      <c r="AP1005" s="88">
        <f t="shared" si="1129"/>
        <v>0</v>
      </c>
      <c r="AQ1005" s="81" t="str">
        <f t="shared" si="1130"/>
        <v/>
      </c>
      <c r="AS1005" s="41" t="b">
        <f t="shared" si="1131"/>
        <v>1</v>
      </c>
      <c r="AT1005" s="38">
        <f t="shared" si="1132"/>
        <v>0</v>
      </c>
      <c r="AU1005" s="60">
        <f t="shared" si="1133"/>
        <v>0</v>
      </c>
      <c r="AV1005" s="41">
        <f t="shared" si="1134"/>
        <v>0</v>
      </c>
      <c r="AW1005" s="41" t="b">
        <f t="shared" si="1135"/>
        <v>0</v>
      </c>
      <c r="AX1005" t="str">
        <f t="shared" si="1136"/>
        <v>+00</v>
      </c>
      <c r="AY1005" t="str">
        <f t="shared" si="1137"/>
        <v>+00</v>
      </c>
      <c r="BA1005" s="47" t="b">
        <f t="shared" si="1166"/>
        <v>1</v>
      </c>
      <c r="BB1005" s="42" t="b">
        <f t="shared" si="1167"/>
        <v>1</v>
      </c>
      <c r="BC1005" s="42" t="b">
        <f t="shared" si="1168"/>
        <v>0</v>
      </c>
      <c r="BD1005" s="42" t="b">
        <f t="shared" si="1169"/>
        <v>0</v>
      </c>
      <c r="BE1005" s="70">
        <f t="shared" si="1170"/>
        <v>0</v>
      </c>
      <c r="BF1005" s="70">
        <f t="shared" si="1171"/>
        <v>0</v>
      </c>
      <c r="BG1005" s="34"/>
      <c r="BI1005" s="47" t="b">
        <f t="shared" si="1172"/>
        <v>1</v>
      </c>
      <c r="BJ1005" s="47" t="b">
        <f t="shared" si="1173"/>
        <v>1</v>
      </c>
      <c r="BK1005" s="42" t="b">
        <f t="shared" si="1174"/>
        <v>0</v>
      </c>
      <c r="BL1005" s="42" t="b">
        <f t="shared" si="1175"/>
        <v>0</v>
      </c>
      <c r="BM1005" s="42">
        <f t="shared" si="1176"/>
        <v>0</v>
      </c>
      <c r="BN1005" s="42">
        <f t="shared" si="1177"/>
        <v>0</v>
      </c>
      <c r="BP1005" t="e">
        <f t="shared" si="1178"/>
        <v>#N/A</v>
      </c>
      <c r="BQ1005" t="e">
        <f t="shared" si="1179"/>
        <v>#N/A</v>
      </c>
      <c r="BR1005" t="e">
        <f t="shared" si="1180"/>
        <v>#N/A</v>
      </c>
      <c r="BT1005" s="60">
        <f t="shared" si="1181"/>
        <v>0</v>
      </c>
      <c r="BU1005" s="60">
        <f t="shared" si="1182"/>
        <v>0</v>
      </c>
      <c r="BV1005" s="60">
        <f t="shared" si="1183"/>
        <v>0</v>
      </c>
      <c r="BW1005" s="60">
        <f t="shared" si="1184"/>
        <v>0</v>
      </c>
      <c r="BX1005" s="60">
        <f t="shared" si="1185"/>
        <v>0</v>
      </c>
      <c r="BY1005" s="60">
        <f t="shared" si="1186"/>
        <v>0</v>
      </c>
      <c r="BZ1005" s="60">
        <f t="shared" si="1187"/>
        <v>0</v>
      </c>
      <c r="CA1005" s="60">
        <f t="shared" si="1188"/>
        <v>0</v>
      </c>
      <c r="CB1005" s="60" t="e">
        <f t="shared" si="1138"/>
        <v>#N/A</v>
      </c>
      <c r="CC1005" s="60">
        <f t="shared" si="1139"/>
        <v>100000</v>
      </c>
      <c r="CD1005" s="60" t="e">
        <f t="shared" si="1140"/>
        <v>#N/A</v>
      </c>
      <c r="CE1005" s="60">
        <f t="shared" si="1141"/>
        <v>100000</v>
      </c>
      <c r="CF1005" s="83" t="e">
        <f t="shared" si="1189"/>
        <v>#N/A</v>
      </c>
      <c r="CG1005" s="83">
        <f t="shared" si="1190"/>
        <v>0</v>
      </c>
      <c r="CH1005" s="83" t="e">
        <f t="shared" si="1191"/>
        <v>#N/A</v>
      </c>
      <c r="CI1005" s="83">
        <f t="shared" si="1192"/>
        <v>0</v>
      </c>
      <c r="CJ1005" s="86" t="e">
        <f t="shared" si="1142"/>
        <v>#N/A</v>
      </c>
      <c r="CK1005" s="82">
        <f t="shared" si="1143"/>
        <v>5.3070370403969858E-3</v>
      </c>
      <c r="CL1005" s="82" t="e">
        <f t="shared" si="1144"/>
        <v>#N/A</v>
      </c>
      <c r="CM1005" s="82">
        <f t="shared" si="1145"/>
        <v>5.3070370403969858E-3</v>
      </c>
      <c r="CO1005" s="149" t="str">
        <f>IF($I1005&lt;&gt;"",IF(O1005="User Specified",U1005,INDEX('Refrigerant GWPs'!$G$2:$G$156,MATCH(O1005,'Refrigerant GWPs'!$A$2:$A$156,0))),"")</f>
        <v/>
      </c>
      <c r="CP1005" s="138" t="str">
        <f>IF($I1005&lt;&gt;"",INDEX('Device Refrigerant Leakage'!$E$2:$E$42,MATCH($M1005,'Device Refrigerant Leakage'!$B$2:$B$42,0)),"")</f>
        <v/>
      </c>
      <c r="CQ1005" s="138" t="str">
        <f>IF($I1005&lt;&gt;"",INDEX('Device Refrigerant Leakage'!$F$2:$F$42,MATCH($M1005,'Device Refrigerant Leakage'!$B$2:$B$42,0)),"")</f>
        <v/>
      </c>
      <c r="CR1005" s="145" t="str">
        <f>IF($I1005&lt;&gt;"",INDEX('Device Refrigerant Leakage'!$G$2:$G$42,MATCH($M1005,'Device Refrigerant Leakage'!$B$2:$B$42,0)),"")</f>
        <v/>
      </c>
      <c r="CS1005" s="145" t="str">
        <f>IF($I1005&lt;&gt;"",INDEX('Device Refrigerant Leakage'!$D$2:$D$42,MATCH($M1005,'Device Refrigerant Leakage'!$B$2:$B$42,0))*CP1005/2204.62*CO1005,"")</f>
        <v/>
      </c>
      <c r="CT1005" s="145" t="str">
        <f>IF($I1005&lt;&gt;"",J1005*(INDEX('Device Refrigerant Leakage'!$D$2:$D$42,MATCH($M1005,'Device Refrigerant Leakage'!$B$2:$B$42,0))-(INDEX('Device Refrigerant Leakage'!$D$2:$D$42,MATCH($M1005,'Device Refrigerant Leakage'!$B$2:$B$42,0)))*CR1005*CP1005)*CQ1005/2204.62*CO1005,"")</f>
        <v/>
      </c>
      <c r="CU1005" s="135" t="str">
        <f>IF($I1005&lt;&gt;"",J1005*IF(W1005&lt;&gt;"AR",(CS1005*K1005)+CT1005,(CS1005*AB1005)+CT1005*(AB1005/INDEX('Device Refrigerant Leakage'!$C$2:$C$42,MATCH($M1005,'Device Refrigerant Leakage'!$B$2:$B$42,0)))),"")</f>
        <v/>
      </c>
      <c r="CW1005" s="135" t="str">
        <f>IF($I1005&lt;&gt;"",IF(S1005="User Specified",V1005,INDEX('Refrigerant GWPs'!$G$2:$G$156,MATCH(S1005,'Refrigerant GWPs'!$A$2:$A$157,0))),"")</f>
        <v/>
      </c>
      <c r="CX1005" s="138" t="str">
        <f>IF($I1005&lt;&gt;"",INDEX('Device Refrigerant Leakage'!$E$2:$E$42,MATCH($Q1005,'Device Refrigerant Leakage'!$B$2:$B$42,0)),"")</f>
        <v/>
      </c>
      <c r="CY1005" s="138" t="str">
        <f>IF($I1005&lt;&gt;"",INDEX('Device Refrigerant Leakage'!$F$2:$F$42,MATCH($Q1005,'Device Refrigerant Leakage'!$B$2:$B$42,0)),"")</f>
        <v/>
      </c>
      <c r="CZ1005" s="145" t="str">
        <f>IF($I1005&lt;&gt;"",INDEX('Device Refrigerant Leakage'!$G$2:$G$42,MATCH($Q1005,'Device Refrigerant Leakage'!$B$2:$B$42,0)),"")</f>
        <v/>
      </c>
      <c r="DA1005" s="145" t="str">
        <f>IF($I1005&lt;&gt;"",J1005*INDEX('Device Refrigerant Leakage'!$D$2:$D$42,MATCH($Q1005,'Device Refrigerant Leakage'!$B$2:$B$42,0))*CX1005/2204.62*CW1005,"")</f>
        <v/>
      </c>
      <c r="DB1005" s="145" t="str">
        <f>IF($I1005&lt;&gt;"",J1005*(INDEX('Device Refrigerant Leakage'!$D$2:$D$42,MATCH($Q1005,'Device Refrigerant Leakage'!$B$2:$B$42,0))-(INDEX('Device Refrigerant Leakage'!$D$2:$D$42,MATCH($Q1005,'Device Refrigerant Leakage'!$B$2:$B$42,0)))*CZ1005*CX1005)*CY1005/2204.62*CW1005,"")</f>
        <v/>
      </c>
      <c r="DC1005" s="135" t="str">
        <f t="shared" si="1164"/>
        <v/>
      </c>
      <c r="DE1005" s="146" t="str">
        <f>IF(W1005&lt;&gt;"AR","",IF(Y1005="User Specified", AA1005, INDEX('Refrigerant GWPs'!$G$2:$G$154,MATCH(Y1005,'Refrigerant GWPs'!$A$2:$A$154,0))))</f>
        <v/>
      </c>
      <c r="DF1005" s="146" t="str">
        <f>IF(W1005&lt;&gt;"AR","",INDEX('Device Refrigerant Leakage'!$E$2:$E$42,MATCH(X1005,'Device Refrigerant Leakage'!$B$2:$B$42,0)))</f>
        <v/>
      </c>
      <c r="DG1005" s="146" t="str">
        <f>IF(W1005&lt;&gt;"AR","",INDEX('Device Refrigerant Leakage'!$F$2:$F$42,MATCH(X1005,'Device Refrigerant Leakage'!$B$2:$B$42,0)))</f>
        <v/>
      </c>
      <c r="DH1005" s="146" t="str">
        <f>IF(W1005&lt;&gt;"AR","",INDEX('Device Refrigerant Leakage'!$G$2:$G$42,MATCH(X1005,'Device Refrigerant Leakage'!$B$2:$B$42,0)))</f>
        <v/>
      </c>
      <c r="DI1005" s="146" t="str">
        <f>IF(W1005&lt;&gt;"AR","",J1005*INDEX('Device Refrigerant Leakage'!$D$2:$D$42,MATCH(X1005,'Device Refrigerant Leakage'!$B$2:$B$42,0))*DF1005/2204.62*DE1005)</f>
        <v/>
      </c>
      <c r="DJ1005" s="146" t="str">
        <f>IF(W1005&lt;&gt;"AR","",J1005*(INDEX('Device Refrigerant Leakage'!$D$2:$D$42,MATCH(X1005,'Device Refrigerant Leakage'!$B$2:$B$42,0))-(INDEX('Device Refrigerant Leakage'!$D$2:$D$42,MATCH(X1005,'Device Refrigerant Leakage'!$B$2:$B$42,0)))*DH1005*DF1005)*DG1005/2204.62*DE1005)</f>
        <v/>
      </c>
      <c r="DK1005" s="146" t="str">
        <f>IF(W1005&lt;&gt;"AR","",DI1005*(K1005-AB1005)+'Fuel Sub Calcs-Deemed'!DJ1005*((K1005-AB1005)/INDEX('Device Refrigerant Leakage'!$C$2:$C$42,MATCH('Fuel Sub Calcs-Deemed'!X1005,'Device Refrigerant Leakage'!$B$2:$B$42,0))))</f>
        <v/>
      </c>
      <c r="DM1005" s="56">
        <v>991</v>
      </c>
      <c r="DN1005" s="67" t="e">
        <f t="shared" si="1146"/>
        <v>#N/A</v>
      </c>
      <c r="DO1005" s="45" t="e">
        <f t="shared" si="1147"/>
        <v>#N/A</v>
      </c>
      <c r="DP1005" s="67" t="e">
        <f t="shared" si="1148"/>
        <v>#N/A</v>
      </c>
      <c r="DQ1005" s="45" t="e">
        <f t="shared" si="1149"/>
        <v>#N/A</v>
      </c>
      <c r="DR1005" s="69" t="e">
        <f t="shared" si="1150"/>
        <v>#N/A</v>
      </c>
      <c r="DS1005" s="34"/>
      <c r="DT1005" s="67" t="e">
        <f>((BX1005*CJ1005)+IF($W1005=MAT_AR,(BZ1005*CL1005),0))*(1+Reference!$E$50+Reference!$E$51)</f>
        <v>#N/A</v>
      </c>
      <c r="DU1005" s="67">
        <f>((BY1005*CK1005)+IF($W1005=MAT_AR,(CA1005*CM1005),0))*(1+Reference!$G$50+Reference!$G$51)</f>
        <v>0</v>
      </c>
      <c r="DV1005" s="67" t="e">
        <f t="shared" si="1151"/>
        <v>#VALUE!</v>
      </c>
      <c r="DX1005" s="56">
        <v>991</v>
      </c>
      <c r="DY1005" s="67">
        <f t="shared" si="1152"/>
        <v>0</v>
      </c>
      <c r="DZ1005" s="45" t="e">
        <f>VLOOKUP($R1005,Dropdown!$C$3:$D$4,2,FALSE)</f>
        <v>#N/A</v>
      </c>
      <c r="EA1005" s="68">
        <f t="shared" si="1153"/>
        <v>0</v>
      </c>
      <c r="EB1005" s="68" t="str">
        <f t="shared" si="1154"/>
        <v>N/A</v>
      </c>
      <c r="EC1005" s="68">
        <f t="shared" si="1155"/>
        <v>0</v>
      </c>
      <c r="ED1005" s="68" t="str">
        <f t="shared" si="1193"/>
        <v>N/A</v>
      </c>
      <c r="EF1005" s="56">
        <v>991</v>
      </c>
      <c r="EG1005" s="46">
        <f t="shared" si="1156"/>
        <v>0</v>
      </c>
      <c r="EH1005" s="68" t="e">
        <f t="shared" si="1194"/>
        <v>#N/A</v>
      </c>
      <c r="EI1005" s="68" t="e">
        <f t="shared" si="1195"/>
        <v>#N/A</v>
      </c>
      <c r="EJ1005" s="68" t="e">
        <f t="shared" si="1196"/>
        <v>#N/A</v>
      </c>
      <c r="EK1005" s="68" t="e">
        <f t="shared" si="1197"/>
        <v>#N/A</v>
      </c>
      <c r="EL1005" s="46">
        <f t="shared" si="1161"/>
        <v>0</v>
      </c>
      <c r="EM1005" s="46">
        <f t="shared" si="1198"/>
        <v>0</v>
      </c>
    </row>
    <row r="1006" spans="1:143">
      <c r="A1006" s="89"/>
      <c r="B1006" s="89"/>
      <c r="C1006" s="89"/>
      <c r="D1006" s="89"/>
      <c r="E1006" s="89"/>
      <c r="F1006" s="89"/>
      <c r="G1006" s="34"/>
      <c r="H1006" s="56">
        <f t="shared" si="1163"/>
        <v>992</v>
      </c>
      <c r="I1006" s="165"/>
      <c r="J1006" s="163"/>
      <c r="K1006" s="163"/>
      <c r="L1006" s="164"/>
      <c r="M1006" s="155"/>
      <c r="N1006" s="155"/>
      <c r="O1006" s="144"/>
      <c r="P1006" s="159" t="str">
        <f>IFERROR(IF(O1006&lt;&gt;"User Specified",IF(O1006&lt;&gt;"", INDEX('Refrigerant GWPs'!$G$2:$G$154,MATCH(O1006,'Refrigerant GWPs'!$A$2:$A$154,0)),""),U1006),0)</f>
        <v/>
      </c>
      <c r="Q1006" s="155"/>
      <c r="R1006" s="155"/>
      <c r="S1006" s="144"/>
      <c r="T1006" s="159" t="str">
        <f>IF(S1006&lt;&gt;"User Specified",IF(AND(S1006&lt;&gt;"User Specified",S1006&lt;&gt;""), INDEX('Refrigerant GWPs'!$G$2:$G$154,MATCH(S1006,'Refrigerant GWPs'!$A$2:$A$154,0)),""),V1006)</f>
        <v/>
      </c>
      <c r="U1006" s="144"/>
      <c r="V1006" s="144"/>
      <c r="W1006" s="155"/>
      <c r="X1006" s="155"/>
      <c r="Y1006" s="144"/>
      <c r="Z1006" s="159" t="str">
        <f>IF(AND(Y1006&lt;&gt;"User Specified",Y1006&lt;&gt;""), INDEX('Refrigerant GWPs'!$G$2:$G$154,MATCH(Y1006,'Refrigerant GWPs'!$A$2:$A$154,0)),"")</f>
        <v/>
      </c>
      <c r="AA1006" s="155"/>
      <c r="AB1006" s="156"/>
      <c r="AC1006" s="66"/>
      <c r="AD1006" s="66"/>
      <c r="AE1006" s="66"/>
      <c r="AF1006" s="66"/>
      <c r="AG1006" s="66"/>
      <c r="AH1006" s="66"/>
      <c r="AI1006" s="34"/>
      <c r="AJ1006" s="88">
        <f t="shared" si="1126"/>
        <v>0</v>
      </c>
      <c r="AK1006" s="88">
        <f t="shared" si="1127"/>
        <v>0</v>
      </c>
      <c r="AL1006" s="88">
        <v>0</v>
      </c>
      <c r="AM1006" s="88">
        <v>0</v>
      </c>
      <c r="AN1006" s="81" t="str">
        <f t="shared" si="1165"/>
        <v/>
      </c>
      <c r="AO1006" s="88">
        <f t="shared" si="1128"/>
        <v>0</v>
      </c>
      <c r="AP1006" s="88">
        <f t="shared" si="1129"/>
        <v>0</v>
      </c>
      <c r="AQ1006" s="81" t="str">
        <f t="shared" si="1130"/>
        <v/>
      </c>
      <c r="AS1006" s="41" t="b">
        <f t="shared" si="1131"/>
        <v>1</v>
      </c>
      <c r="AT1006" s="38">
        <f t="shared" si="1132"/>
        <v>0</v>
      </c>
      <c r="AU1006" s="60">
        <f t="shared" si="1133"/>
        <v>0</v>
      </c>
      <c r="AV1006" s="41">
        <f t="shared" si="1134"/>
        <v>0</v>
      </c>
      <c r="AW1006" s="41" t="b">
        <f t="shared" si="1135"/>
        <v>0</v>
      </c>
      <c r="AX1006" t="str">
        <f t="shared" si="1136"/>
        <v>+00</v>
      </c>
      <c r="AY1006" t="str">
        <f t="shared" si="1137"/>
        <v>+00</v>
      </c>
      <c r="BA1006" s="47" t="b">
        <f t="shared" si="1166"/>
        <v>1</v>
      </c>
      <c r="BB1006" s="42" t="b">
        <f t="shared" si="1167"/>
        <v>1</v>
      </c>
      <c r="BC1006" s="42" t="b">
        <f t="shared" si="1168"/>
        <v>0</v>
      </c>
      <c r="BD1006" s="42" t="b">
        <f t="shared" si="1169"/>
        <v>0</v>
      </c>
      <c r="BE1006" s="70">
        <f t="shared" si="1170"/>
        <v>0</v>
      </c>
      <c r="BF1006" s="70">
        <f t="shared" si="1171"/>
        <v>0</v>
      </c>
      <c r="BG1006" s="34"/>
      <c r="BI1006" s="47" t="b">
        <f t="shared" si="1172"/>
        <v>1</v>
      </c>
      <c r="BJ1006" s="47" t="b">
        <f t="shared" si="1173"/>
        <v>1</v>
      </c>
      <c r="BK1006" s="42" t="b">
        <f t="shared" si="1174"/>
        <v>0</v>
      </c>
      <c r="BL1006" s="42" t="b">
        <f t="shared" si="1175"/>
        <v>0</v>
      </c>
      <c r="BM1006" s="42">
        <f t="shared" si="1176"/>
        <v>0</v>
      </c>
      <c r="BN1006" s="42">
        <f t="shared" si="1177"/>
        <v>0</v>
      </c>
      <c r="BP1006" t="e">
        <f t="shared" si="1178"/>
        <v>#N/A</v>
      </c>
      <c r="BQ1006" t="e">
        <f t="shared" si="1179"/>
        <v>#N/A</v>
      </c>
      <c r="BR1006" t="e">
        <f t="shared" si="1180"/>
        <v>#N/A</v>
      </c>
      <c r="BT1006" s="60">
        <f t="shared" si="1181"/>
        <v>0</v>
      </c>
      <c r="BU1006" s="60">
        <f t="shared" si="1182"/>
        <v>0</v>
      </c>
      <c r="BV1006" s="60">
        <f t="shared" si="1183"/>
        <v>0</v>
      </c>
      <c r="BW1006" s="60">
        <f t="shared" si="1184"/>
        <v>0</v>
      </c>
      <c r="BX1006" s="60">
        <f t="shared" si="1185"/>
        <v>0</v>
      </c>
      <c r="BY1006" s="60">
        <f t="shared" si="1186"/>
        <v>0</v>
      </c>
      <c r="BZ1006" s="60">
        <f t="shared" si="1187"/>
        <v>0</v>
      </c>
      <c r="CA1006" s="60">
        <f t="shared" si="1188"/>
        <v>0</v>
      </c>
      <c r="CB1006" s="60" t="e">
        <f t="shared" si="1138"/>
        <v>#N/A</v>
      </c>
      <c r="CC1006" s="60">
        <f t="shared" si="1139"/>
        <v>100000</v>
      </c>
      <c r="CD1006" s="60" t="e">
        <f t="shared" si="1140"/>
        <v>#N/A</v>
      </c>
      <c r="CE1006" s="60">
        <f t="shared" si="1141"/>
        <v>100000</v>
      </c>
      <c r="CF1006" s="83" t="e">
        <f t="shared" si="1189"/>
        <v>#N/A</v>
      </c>
      <c r="CG1006" s="83">
        <f t="shared" si="1190"/>
        <v>0</v>
      </c>
      <c r="CH1006" s="83" t="e">
        <f t="shared" si="1191"/>
        <v>#N/A</v>
      </c>
      <c r="CI1006" s="83">
        <f t="shared" si="1192"/>
        <v>0</v>
      </c>
      <c r="CJ1006" s="86" t="e">
        <f t="shared" si="1142"/>
        <v>#N/A</v>
      </c>
      <c r="CK1006" s="82">
        <f t="shared" si="1143"/>
        <v>5.3070370403969858E-3</v>
      </c>
      <c r="CL1006" s="82" t="e">
        <f t="shared" si="1144"/>
        <v>#N/A</v>
      </c>
      <c r="CM1006" s="82">
        <f t="shared" si="1145"/>
        <v>5.3070370403969858E-3</v>
      </c>
      <c r="CO1006" s="149" t="str">
        <f>IF($I1006&lt;&gt;"",IF(O1006="User Specified",U1006,INDEX('Refrigerant GWPs'!$G$2:$G$156,MATCH(O1006,'Refrigerant GWPs'!$A$2:$A$156,0))),"")</f>
        <v/>
      </c>
      <c r="CP1006" s="138" t="str">
        <f>IF($I1006&lt;&gt;"",INDEX('Device Refrigerant Leakage'!$E$2:$E$42,MATCH($M1006,'Device Refrigerant Leakage'!$B$2:$B$42,0)),"")</f>
        <v/>
      </c>
      <c r="CQ1006" s="138" t="str">
        <f>IF($I1006&lt;&gt;"",INDEX('Device Refrigerant Leakage'!$F$2:$F$42,MATCH($M1006,'Device Refrigerant Leakage'!$B$2:$B$42,0)),"")</f>
        <v/>
      </c>
      <c r="CR1006" s="145" t="str">
        <f>IF($I1006&lt;&gt;"",INDEX('Device Refrigerant Leakage'!$G$2:$G$42,MATCH($M1006,'Device Refrigerant Leakage'!$B$2:$B$42,0)),"")</f>
        <v/>
      </c>
      <c r="CS1006" s="145" t="str">
        <f>IF($I1006&lt;&gt;"",INDEX('Device Refrigerant Leakage'!$D$2:$D$42,MATCH($M1006,'Device Refrigerant Leakage'!$B$2:$B$42,0))*CP1006/2204.62*CO1006,"")</f>
        <v/>
      </c>
      <c r="CT1006" s="145" t="str">
        <f>IF($I1006&lt;&gt;"",J1006*(INDEX('Device Refrigerant Leakage'!$D$2:$D$42,MATCH($M1006,'Device Refrigerant Leakage'!$B$2:$B$42,0))-(INDEX('Device Refrigerant Leakage'!$D$2:$D$42,MATCH($M1006,'Device Refrigerant Leakage'!$B$2:$B$42,0)))*CR1006*CP1006)*CQ1006/2204.62*CO1006,"")</f>
        <v/>
      </c>
      <c r="CU1006" s="135" t="str">
        <f>IF($I1006&lt;&gt;"",J1006*IF(W1006&lt;&gt;"AR",(CS1006*K1006)+CT1006,(CS1006*AB1006)+CT1006*(AB1006/INDEX('Device Refrigerant Leakage'!$C$2:$C$42,MATCH($M1006,'Device Refrigerant Leakage'!$B$2:$B$42,0)))),"")</f>
        <v/>
      </c>
      <c r="CW1006" s="135" t="str">
        <f>IF($I1006&lt;&gt;"",IF(S1006="User Specified",V1006,INDEX('Refrigerant GWPs'!$G$2:$G$156,MATCH(S1006,'Refrigerant GWPs'!$A$2:$A$157,0))),"")</f>
        <v/>
      </c>
      <c r="CX1006" s="138" t="str">
        <f>IF($I1006&lt;&gt;"",INDEX('Device Refrigerant Leakage'!$E$2:$E$42,MATCH($Q1006,'Device Refrigerant Leakage'!$B$2:$B$42,0)),"")</f>
        <v/>
      </c>
      <c r="CY1006" s="138" t="str">
        <f>IF($I1006&lt;&gt;"",INDEX('Device Refrigerant Leakage'!$F$2:$F$42,MATCH($Q1006,'Device Refrigerant Leakage'!$B$2:$B$42,0)),"")</f>
        <v/>
      </c>
      <c r="CZ1006" s="145" t="str">
        <f>IF($I1006&lt;&gt;"",INDEX('Device Refrigerant Leakage'!$G$2:$G$42,MATCH($Q1006,'Device Refrigerant Leakage'!$B$2:$B$42,0)),"")</f>
        <v/>
      </c>
      <c r="DA1006" s="145" t="str">
        <f>IF($I1006&lt;&gt;"",J1006*INDEX('Device Refrigerant Leakage'!$D$2:$D$42,MATCH($Q1006,'Device Refrigerant Leakage'!$B$2:$B$42,0))*CX1006/2204.62*CW1006,"")</f>
        <v/>
      </c>
      <c r="DB1006" s="145" t="str">
        <f>IF($I1006&lt;&gt;"",J1006*(INDEX('Device Refrigerant Leakage'!$D$2:$D$42,MATCH($Q1006,'Device Refrigerant Leakage'!$B$2:$B$42,0))-(INDEX('Device Refrigerant Leakage'!$D$2:$D$42,MATCH($Q1006,'Device Refrigerant Leakage'!$B$2:$B$42,0)))*CZ1006*CX1006)*CY1006/2204.62*CW1006,"")</f>
        <v/>
      </c>
      <c r="DC1006" s="135" t="str">
        <f t="shared" si="1164"/>
        <v/>
      </c>
      <c r="DE1006" s="146" t="str">
        <f>IF(W1006&lt;&gt;"AR","",IF(Y1006="User Specified", AA1006, INDEX('Refrigerant GWPs'!$G$2:$G$154,MATCH(Y1006,'Refrigerant GWPs'!$A$2:$A$154,0))))</f>
        <v/>
      </c>
      <c r="DF1006" s="146" t="str">
        <f>IF(W1006&lt;&gt;"AR","",INDEX('Device Refrigerant Leakage'!$E$2:$E$42,MATCH(X1006,'Device Refrigerant Leakage'!$B$2:$B$42,0)))</f>
        <v/>
      </c>
      <c r="DG1006" s="146" t="str">
        <f>IF(W1006&lt;&gt;"AR","",INDEX('Device Refrigerant Leakage'!$F$2:$F$42,MATCH(X1006,'Device Refrigerant Leakage'!$B$2:$B$42,0)))</f>
        <v/>
      </c>
      <c r="DH1006" s="146" t="str">
        <f>IF(W1006&lt;&gt;"AR","",INDEX('Device Refrigerant Leakage'!$G$2:$G$42,MATCH(X1006,'Device Refrigerant Leakage'!$B$2:$B$42,0)))</f>
        <v/>
      </c>
      <c r="DI1006" s="146" t="str">
        <f>IF(W1006&lt;&gt;"AR","",J1006*INDEX('Device Refrigerant Leakage'!$D$2:$D$42,MATCH(X1006,'Device Refrigerant Leakage'!$B$2:$B$42,0))*DF1006/2204.62*DE1006)</f>
        <v/>
      </c>
      <c r="DJ1006" s="146" t="str">
        <f>IF(W1006&lt;&gt;"AR","",J1006*(INDEX('Device Refrigerant Leakage'!$D$2:$D$42,MATCH(X1006,'Device Refrigerant Leakage'!$B$2:$B$42,0))-(INDEX('Device Refrigerant Leakage'!$D$2:$D$42,MATCH(X1006,'Device Refrigerant Leakage'!$B$2:$B$42,0)))*DH1006*DF1006)*DG1006/2204.62*DE1006)</f>
        <v/>
      </c>
      <c r="DK1006" s="146" t="str">
        <f>IF(W1006&lt;&gt;"AR","",DI1006*(K1006-AB1006)+'Fuel Sub Calcs-Deemed'!DJ1006*((K1006-AB1006)/INDEX('Device Refrigerant Leakage'!$C$2:$C$42,MATCH('Fuel Sub Calcs-Deemed'!X1006,'Device Refrigerant Leakage'!$B$2:$B$42,0))))</f>
        <v/>
      </c>
      <c r="DM1006" s="56">
        <v>992</v>
      </c>
      <c r="DN1006" s="67" t="e">
        <f t="shared" si="1146"/>
        <v>#N/A</v>
      </c>
      <c r="DO1006" s="45" t="e">
        <f t="shared" si="1147"/>
        <v>#N/A</v>
      </c>
      <c r="DP1006" s="67" t="e">
        <f t="shared" si="1148"/>
        <v>#N/A</v>
      </c>
      <c r="DQ1006" s="45" t="e">
        <f t="shared" si="1149"/>
        <v>#N/A</v>
      </c>
      <c r="DR1006" s="69" t="e">
        <f t="shared" si="1150"/>
        <v>#N/A</v>
      </c>
      <c r="DS1006" s="34"/>
      <c r="DT1006" s="67" t="e">
        <f>((BX1006*CJ1006)+IF($W1006=MAT_AR,(BZ1006*CL1006),0))*(1+Reference!$E$50+Reference!$E$51)</f>
        <v>#N/A</v>
      </c>
      <c r="DU1006" s="67">
        <f>((BY1006*CK1006)+IF($W1006=MAT_AR,(CA1006*CM1006),0))*(1+Reference!$G$50+Reference!$G$51)</f>
        <v>0</v>
      </c>
      <c r="DV1006" s="67" t="e">
        <f t="shared" si="1151"/>
        <v>#VALUE!</v>
      </c>
      <c r="DX1006" s="56">
        <v>992</v>
      </c>
      <c r="DY1006" s="67">
        <f t="shared" si="1152"/>
        <v>0</v>
      </c>
      <c r="DZ1006" s="45" t="e">
        <f>VLOOKUP($R1006,Dropdown!$C$3:$D$4,2,FALSE)</f>
        <v>#N/A</v>
      </c>
      <c r="EA1006" s="68">
        <f t="shared" si="1153"/>
        <v>0</v>
      </c>
      <c r="EB1006" s="68" t="str">
        <f t="shared" si="1154"/>
        <v>N/A</v>
      </c>
      <c r="EC1006" s="68">
        <f t="shared" si="1155"/>
        <v>0</v>
      </c>
      <c r="ED1006" s="68" t="str">
        <f t="shared" si="1193"/>
        <v>N/A</v>
      </c>
      <c r="EF1006" s="56">
        <v>992</v>
      </c>
      <c r="EG1006" s="46">
        <f t="shared" si="1156"/>
        <v>0</v>
      </c>
      <c r="EH1006" s="68" t="e">
        <f t="shared" si="1194"/>
        <v>#N/A</v>
      </c>
      <c r="EI1006" s="68" t="e">
        <f t="shared" si="1195"/>
        <v>#N/A</v>
      </c>
      <c r="EJ1006" s="68" t="e">
        <f t="shared" si="1196"/>
        <v>#N/A</v>
      </c>
      <c r="EK1006" s="68" t="e">
        <f t="shared" si="1197"/>
        <v>#N/A</v>
      </c>
      <c r="EL1006" s="46">
        <f t="shared" si="1161"/>
        <v>0</v>
      </c>
      <c r="EM1006" s="46">
        <f t="shared" si="1198"/>
        <v>0</v>
      </c>
    </row>
    <row r="1007" spans="1:143">
      <c r="A1007" s="89"/>
      <c r="B1007" s="89"/>
      <c r="C1007" s="89"/>
      <c r="D1007" s="89"/>
      <c r="E1007" s="89"/>
      <c r="F1007" s="89"/>
      <c r="G1007" s="34"/>
      <c r="H1007" s="56">
        <f t="shared" si="1163"/>
        <v>993</v>
      </c>
      <c r="I1007" s="165"/>
      <c r="J1007" s="163"/>
      <c r="K1007" s="163"/>
      <c r="L1007" s="164"/>
      <c r="M1007" s="155"/>
      <c r="N1007" s="155"/>
      <c r="O1007" s="144"/>
      <c r="P1007" s="159" t="str">
        <f>IFERROR(IF(O1007&lt;&gt;"User Specified",IF(O1007&lt;&gt;"", INDEX('Refrigerant GWPs'!$G$2:$G$154,MATCH(O1007,'Refrigerant GWPs'!$A$2:$A$154,0)),""),U1007),0)</f>
        <v/>
      </c>
      <c r="Q1007" s="155"/>
      <c r="R1007" s="155"/>
      <c r="S1007" s="144"/>
      <c r="T1007" s="159" t="str">
        <f>IF(S1007&lt;&gt;"User Specified",IF(AND(S1007&lt;&gt;"User Specified",S1007&lt;&gt;""), INDEX('Refrigerant GWPs'!$G$2:$G$154,MATCH(S1007,'Refrigerant GWPs'!$A$2:$A$154,0)),""),V1007)</f>
        <v/>
      </c>
      <c r="U1007" s="144"/>
      <c r="V1007" s="144"/>
      <c r="W1007" s="155"/>
      <c r="X1007" s="155"/>
      <c r="Y1007" s="144"/>
      <c r="Z1007" s="159" t="str">
        <f>IF(AND(Y1007&lt;&gt;"User Specified",Y1007&lt;&gt;""), INDEX('Refrigerant GWPs'!$G$2:$G$154,MATCH(Y1007,'Refrigerant GWPs'!$A$2:$A$154,0)),"")</f>
        <v/>
      </c>
      <c r="AA1007" s="155"/>
      <c r="AB1007" s="156"/>
      <c r="AC1007" s="66"/>
      <c r="AD1007" s="66"/>
      <c r="AE1007" s="66"/>
      <c r="AF1007" s="66"/>
      <c r="AG1007" s="66"/>
      <c r="AH1007" s="66"/>
      <c r="AI1007" s="34"/>
      <c r="AJ1007" s="88">
        <f t="shared" si="1126"/>
        <v>0</v>
      </c>
      <c r="AK1007" s="88">
        <f t="shared" si="1127"/>
        <v>0</v>
      </c>
      <c r="AL1007" s="88">
        <v>0</v>
      </c>
      <c r="AM1007" s="88">
        <v>0</v>
      </c>
      <c r="AN1007" s="81" t="str">
        <f t="shared" si="1165"/>
        <v/>
      </c>
      <c r="AO1007" s="88">
        <f t="shared" si="1128"/>
        <v>0</v>
      </c>
      <c r="AP1007" s="88">
        <f t="shared" si="1129"/>
        <v>0</v>
      </c>
      <c r="AQ1007" s="81" t="str">
        <f t="shared" si="1130"/>
        <v/>
      </c>
      <c r="AS1007" s="41" t="b">
        <f t="shared" si="1131"/>
        <v>1</v>
      </c>
      <c r="AT1007" s="38">
        <f t="shared" si="1132"/>
        <v>0</v>
      </c>
      <c r="AU1007" s="60">
        <f t="shared" si="1133"/>
        <v>0</v>
      </c>
      <c r="AV1007" s="41">
        <f t="shared" si="1134"/>
        <v>0</v>
      </c>
      <c r="AW1007" s="41" t="b">
        <f t="shared" si="1135"/>
        <v>0</v>
      </c>
      <c r="AX1007" t="str">
        <f t="shared" si="1136"/>
        <v>+00</v>
      </c>
      <c r="AY1007" t="str">
        <f t="shared" si="1137"/>
        <v>+00</v>
      </c>
      <c r="BA1007" s="47" t="b">
        <f t="shared" si="1166"/>
        <v>1</v>
      </c>
      <c r="BB1007" s="42" t="b">
        <f t="shared" si="1167"/>
        <v>1</v>
      </c>
      <c r="BC1007" s="42" t="b">
        <f t="shared" si="1168"/>
        <v>0</v>
      </c>
      <c r="BD1007" s="42" t="b">
        <f t="shared" si="1169"/>
        <v>0</v>
      </c>
      <c r="BE1007" s="70">
        <f t="shared" si="1170"/>
        <v>0</v>
      </c>
      <c r="BF1007" s="70">
        <f t="shared" si="1171"/>
        <v>0</v>
      </c>
      <c r="BG1007" s="34"/>
      <c r="BI1007" s="47" t="b">
        <f t="shared" si="1172"/>
        <v>1</v>
      </c>
      <c r="BJ1007" s="47" t="b">
        <f t="shared" si="1173"/>
        <v>1</v>
      </c>
      <c r="BK1007" s="42" t="b">
        <f t="shared" si="1174"/>
        <v>0</v>
      </c>
      <c r="BL1007" s="42" t="b">
        <f t="shared" si="1175"/>
        <v>0</v>
      </c>
      <c r="BM1007" s="42">
        <f t="shared" si="1176"/>
        <v>0</v>
      </c>
      <c r="BN1007" s="42">
        <f t="shared" si="1177"/>
        <v>0</v>
      </c>
      <c r="BP1007" t="e">
        <f t="shared" si="1178"/>
        <v>#N/A</v>
      </c>
      <c r="BQ1007" t="e">
        <f t="shared" si="1179"/>
        <v>#N/A</v>
      </c>
      <c r="BR1007" t="e">
        <f t="shared" si="1180"/>
        <v>#N/A</v>
      </c>
      <c r="BT1007" s="60">
        <f t="shared" si="1181"/>
        <v>0</v>
      </c>
      <c r="BU1007" s="60">
        <f t="shared" si="1182"/>
        <v>0</v>
      </c>
      <c r="BV1007" s="60">
        <f t="shared" si="1183"/>
        <v>0</v>
      </c>
      <c r="BW1007" s="60">
        <f t="shared" si="1184"/>
        <v>0</v>
      </c>
      <c r="BX1007" s="60">
        <f t="shared" si="1185"/>
        <v>0</v>
      </c>
      <c r="BY1007" s="60">
        <f t="shared" si="1186"/>
        <v>0</v>
      </c>
      <c r="BZ1007" s="60">
        <f t="shared" si="1187"/>
        <v>0</v>
      </c>
      <c r="CA1007" s="60">
        <f t="shared" si="1188"/>
        <v>0</v>
      </c>
      <c r="CB1007" s="60" t="e">
        <f t="shared" si="1138"/>
        <v>#N/A</v>
      </c>
      <c r="CC1007" s="60">
        <f t="shared" si="1139"/>
        <v>100000</v>
      </c>
      <c r="CD1007" s="60" t="e">
        <f t="shared" si="1140"/>
        <v>#N/A</v>
      </c>
      <c r="CE1007" s="60">
        <f t="shared" si="1141"/>
        <v>100000</v>
      </c>
      <c r="CF1007" s="83" t="e">
        <f t="shared" si="1189"/>
        <v>#N/A</v>
      </c>
      <c r="CG1007" s="83">
        <f t="shared" si="1190"/>
        <v>0</v>
      </c>
      <c r="CH1007" s="83" t="e">
        <f t="shared" si="1191"/>
        <v>#N/A</v>
      </c>
      <c r="CI1007" s="83">
        <f t="shared" si="1192"/>
        <v>0</v>
      </c>
      <c r="CJ1007" s="86" t="e">
        <f t="shared" si="1142"/>
        <v>#N/A</v>
      </c>
      <c r="CK1007" s="82">
        <f t="shared" si="1143"/>
        <v>5.3070370403969858E-3</v>
      </c>
      <c r="CL1007" s="82" t="e">
        <f t="shared" si="1144"/>
        <v>#N/A</v>
      </c>
      <c r="CM1007" s="82">
        <f t="shared" si="1145"/>
        <v>5.3070370403969858E-3</v>
      </c>
      <c r="CO1007" s="149" t="str">
        <f>IF($I1007&lt;&gt;"",IF(O1007="User Specified",U1007,INDEX('Refrigerant GWPs'!$G$2:$G$156,MATCH(O1007,'Refrigerant GWPs'!$A$2:$A$156,0))),"")</f>
        <v/>
      </c>
      <c r="CP1007" s="138" t="str">
        <f>IF($I1007&lt;&gt;"",INDEX('Device Refrigerant Leakage'!$E$2:$E$42,MATCH($M1007,'Device Refrigerant Leakage'!$B$2:$B$42,0)),"")</f>
        <v/>
      </c>
      <c r="CQ1007" s="138" t="str">
        <f>IF($I1007&lt;&gt;"",INDEX('Device Refrigerant Leakage'!$F$2:$F$42,MATCH($M1007,'Device Refrigerant Leakage'!$B$2:$B$42,0)),"")</f>
        <v/>
      </c>
      <c r="CR1007" s="145" t="str">
        <f>IF($I1007&lt;&gt;"",INDEX('Device Refrigerant Leakage'!$G$2:$G$42,MATCH($M1007,'Device Refrigerant Leakage'!$B$2:$B$42,0)),"")</f>
        <v/>
      </c>
      <c r="CS1007" s="145" t="str">
        <f>IF($I1007&lt;&gt;"",INDEX('Device Refrigerant Leakage'!$D$2:$D$42,MATCH($M1007,'Device Refrigerant Leakage'!$B$2:$B$42,0))*CP1007/2204.62*CO1007,"")</f>
        <v/>
      </c>
      <c r="CT1007" s="145" t="str">
        <f>IF($I1007&lt;&gt;"",J1007*(INDEX('Device Refrigerant Leakage'!$D$2:$D$42,MATCH($M1007,'Device Refrigerant Leakage'!$B$2:$B$42,0))-(INDEX('Device Refrigerant Leakage'!$D$2:$D$42,MATCH($M1007,'Device Refrigerant Leakage'!$B$2:$B$42,0)))*CR1007*CP1007)*CQ1007/2204.62*CO1007,"")</f>
        <v/>
      </c>
      <c r="CU1007" s="135" t="str">
        <f>IF($I1007&lt;&gt;"",J1007*IF(W1007&lt;&gt;"AR",(CS1007*K1007)+CT1007,(CS1007*AB1007)+CT1007*(AB1007/INDEX('Device Refrigerant Leakage'!$C$2:$C$42,MATCH($M1007,'Device Refrigerant Leakage'!$B$2:$B$42,0)))),"")</f>
        <v/>
      </c>
      <c r="CW1007" s="135" t="str">
        <f>IF($I1007&lt;&gt;"",IF(S1007="User Specified",V1007,INDEX('Refrigerant GWPs'!$G$2:$G$156,MATCH(S1007,'Refrigerant GWPs'!$A$2:$A$157,0))),"")</f>
        <v/>
      </c>
      <c r="CX1007" s="138" t="str">
        <f>IF($I1007&lt;&gt;"",INDEX('Device Refrigerant Leakage'!$E$2:$E$42,MATCH($Q1007,'Device Refrigerant Leakage'!$B$2:$B$42,0)),"")</f>
        <v/>
      </c>
      <c r="CY1007" s="138" t="str">
        <f>IF($I1007&lt;&gt;"",INDEX('Device Refrigerant Leakage'!$F$2:$F$42,MATCH($Q1007,'Device Refrigerant Leakage'!$B$2:$B$42,0)),"")</f>
        <v/>
      </c>
      <c r="CZ1007" s="145" t="str">
        <f>IF($I1007&lt;&gt;"",INDEX('Device Refrigerant Leakage'!$G$2:$G$42,MATCH($Q1007,'Device Refrigerant Leakage'!$B$2:$B$42,0)),"")</f>
        <v/>
      </c>
      <c r="DA1007" s="145" t="str">
        <f>IF($I1007&lt;&gt;"",J1007*INDEX('Device Refrigerant Leakage'!$D$2:$D$42,MATCH($Q1007,'Device Refrigerant Leakage'!$B$2:$B$42,0))*CX1007/2204.62*CW1007,"")</f>
        <v/>
      </c>
      <c r="DB1007" s="145" t="str">
        <f>IF($I1007&lt;&gt;"",J1007*(INDEX('Device Refrigerant Leakage'!$D$2:$D$42,MATCH($Q1007,'Device Refrigerant Leakage'!$B$2:$B$42,0))-(INDEX('Device Refrigerant Leakage'!$D$2:$D$42,MATCH($Q1007,'Device Refrigerant Leakage'!$B$2:$B$42,0)))*CZ1007*CX1007)*CY1007/2204.62*CW1007,"")</f>
        <v/>
      </c>
      <c r="DC1007" s="135" t="str">
        <f t="shared" si="1164"/>
        <v/>
      </c>
      <c r="DE1007" s="146" t="str">
        <f>IF(W1007&lt;&gt;"AR","",IF(Y1007="User Specified", AA1007, INDEX('Refrigerant GWPs'!$G$2:$G$154,MATCH(Y1007,'Refrigerant GWPs'!$A$2:$A$154,0))))</f>
        <v/>
      </c>
      <c r="DF1007" s="146" t="str">
        <f>IF(W1007&lt;&gt;"AR","",INDEX('Device Refrigerant Leakage'!$E$2:$E$42,MATCH(X1007,'Device Refrigerant Leakage'!$B$2:$B$42,0)))</f>
        <v/>
      </c>
      <c r="DG1007" s="146" t="str">
        <f>IF(W1007&lt;&gt;"AR","",INDEX('Device Refrigerant Leakage'!$F$2:$F$42,MATCH(X1007,'Device Refrigerant Leakage'!$B$2:$B$42,0)))</f>
        <v/>
      </c>
      <c r="DH1007" s="146" t="str">
        <f>IF(W1007&lt;&gt;"AR","",INDEX('Device Refrigerant Leakage'!$G$2:$G$42,MATCH(X1007,'Device Refrigerant Leakage'!$B$2:$B$42,0)))</f>
        <v/>
      </c>
      <c r="DI1007" s="146" t="str">
        <f>IF(W1007&lt;&gt;"AR","",J1007*INDEX('Device Refrigerant Leakage'!$D$2:$D$42,MATCH(X1007,'Device Refrigerant Leakage'!$B$2:$B$42,0))*DF1007/2204.62*DE1007)</f>
        <v/>
      </c>
      <c r="DJ1007" s="146" t="str">
        <f>IF(W1007&lt;&gt;"AR","",J1007*(INDEX('Device Refrigerant Leakage'!$D$2:$D$42,MATCH(X1007,'Device Refrigerant Leakage'!$B$2:$B$42,0))-(INDEX('Device Refrigerant Leakage'!$D$2:$D$42,MATCH(X1007,'Device Refrigerant Leakage'!$B$2:$B$42,0)))*DH1007*DF1007)*DG1007/2204.62*DE1007)</f>
        <v/>
      </c>
      <c r="DK1007" s="146" t="str">
        <f>IF(W1007&lt;&gt;"AR","",DI1007*(K1007-AB1007)+'Fuel Sub Calcs-Deemed'!DJ1007*((K1007-AB1007)/INDEX('Device Refrigerant Leakage'!$C$2:$C$42,MATCH('Fuel Sub Calcs-Deemed'!X1007,'Device Refrigerant Leakage'!$B$2:$B$42,0))))</f>
        <v/>
      </c>
      <c r="DM1007" s="56">
        <v>993</v>
      </c>
      <c r="DN1007" s="67" t="e">
        <f t="shared" si="1146"/>
        <v>#N/A</v>
      </c>
      <c r="DO1007" s="45" t="e">
        <f t="shared" si="1147"/>
        <v>#N/A</v>
      </c>
      <c r="DP1007" s="67" t="e">
        <f t="shared" si="1148"/>
        <v>#N/A</v>
      </c>
      <c r="DQ1007" s="45" t="e">
        <f t="shared" si="1149"/>
        <v>#N/A</v>
      </c>
      <c r="DR1007" s="69" t="e">
        <f t="shared" si="1150"/>
        <v>#N/A</v>
      </c>
      <c r="DS1007" s="34"/>
      <c r="DT1007" s="67" t="e">
        <f>((BX1007*CJ1007)+IF($W1007=MAT_AR,(BZ1007*CL1007),0))*(1+Reference!$E$50+Reference!$E$51)</f>
        <v>#N/A</v>
      </c>
      <c r="DU1007" s="67">
        <f>((BY1007*CK1007)+IF($W1007=MAT_AR,(CA1007*CM1007),0))*(1+Reference!$G$50+Reference!$G$51)</f>
        <v>0</v>
      </c>
      <c r="DV1007" s="67" t="e">
        <f t="shared" si="1151"/>
        <v>#VALUE!</v>
      </c>
      <c r="DX1007" s="56">
        <v>993</v>
      </c>
      <c r="DY1007" s="67">
        <f t="shared" si="1152"/>
        <v>0</v>
      </c>
      <c r="DZ1007" s="45" t="e">
        <f>VLOOKUP($R1007,Dropdown!$C$3:$D$4,2,FALSE)</f>
        <v>#N/A</v>
      </c>
      <c r="EA1007" s="68">
        <f t="shared" si="1153"/>
        <v>0</v>
      </c>
      <c r="EB1007" s="68" t="str">
        <f t="shared" si="1154"/>
        <v>N/A</v>
      </c>
      <c r="EC1007" s="68">
        <f t="shared" si="1155"/>
        <v>0</v>
      </c>
      <c r="ED1007" s="68" t="str">
        <f t="shared" si="1193"/>
        <v>N/A</v>
      </c>
      <c r="EF1007" s="56">
        <v>993</v>
      </c>
      <c r="EG1007" s="46">
        <f t="shared" si="1156"/>
        <v>0</v>
      </c>
      <c r="EH1007" s="68" t="e">
        <f t="shared" si="1194"/>
        <v>#N/A</v>
      </c>
      <c r="EI1007" s="68" t="e">
        <f t="shared" si="1195"/>
        <v>#N/A</v>
      </c>
      <c r="EJ1007" s="68" t="e">
        <f t="shared" si="1196"/>
        <v>#N/A</v>
      </c>
      <c r="EK1007" s="68" t="e">
        <f t="shared" si="1197"/>
        <v>#N/A</v>
      </c>
      <c r="EL1007" s="46">
        <f t="shared" si="1161"/>
        <v>0</v>
      </c>
      <c r="EM1007" s="46">
        <f t="shared" si="1198"/>
        <v>0</v>
      </c>
    </row>
    <row r="1008" spans="1:143">
      <c r="A1008" s="89"/>
      <c r="B1008" s="89"/>
      <c r="C1008" s="89"/>
      <c r="D1008" s="89"/>
      <c r="E1008" s="89"/>
      <c r="F1008" s="89"/>
      <c r="G1008" s="34"/>
      <c r="H1008" s="56">
        <f t="shared" si="1163"/>
        <v>994</v>
      </c>
      <c r="I1008" s="165"/>
      <c r="J1008" s="163"/>
      <c r="K1008" s="163"/>
      <c r="L1008" s="164"/>
      <c r="M1008" s="155"/>
      <c r="N1008" s="155"/>
      <c r="O1008" s="144"/>
      <c r="P1008" s="159" t="str">
        <f>IFERROR(IF(O1008&lt;&gt;"User Specified",IF(O1008&lt;&gt;"", INDEX('Refrigerant GWPs'!$G$2:$G$154,MATCH(O1008,'Refrigerant GWPs'!$A$2:$A$154,0)),""),U1008),0)</f>
        <v/>
      </c>
      <c r="Q1008" s="155"/>
      <c r="R1008" s="155"/>
      <c r="S1008" s="144"/>
      <c r="T1008" s="159" t="str">
        <f>IF(S1008&lt;&gt;"User Specified",IF(AND(S1008&lt;&gt;"User Specified",S1008&lt;&gt;""), INDEX('Refrigerant GWPs'!$G$2:$G$154,MATCH(S1008,'Refrigerant GWPs'!$A$2:$A$154,0)),""),V1008)</f>
        <v/>
      </c>
      <c r="U1008" s="144"/>
      <c r="V1008" s="144"/>
      <c r="W1008" s="155"/>
      <c r="X1008" s="155"/>
      <c r="Y1008" s="144"/>
      <c r="Z1008" s="159" t="str">
        <f>IF(AND(Y1008&lt;&gt;"User Specified",Y1008&lt;&gt;""), INDEX('Refrigerant GWPs'!$G$2:$G$154,MATCH(Y1008,'Refrigerant GWPs'!$A$2:$A$154,0)),"")</f>
        <v/>
      </c>
      <c r="AA1008" s="155"/>
      <c r="AB1008" s="156"/>
      <c r="AC1008" s="66"/>
      <c r="AD1008" s="66"/>
      <c r="AE1008" s="66"/>
      <c r="AF1008" s="66"/>
      <c r="AG1008" s="66"/>
      <c r="AH1008" s="66"/>
      <c r="AI1008" s="34"/>
      <c r="AJ1008" s="88">
        <f t="shared" si="1126"/>
        <v>0</v>
      </c>
      <c r="AK1008" s="88">
        <f t="shared" si="1127"/>
        <v>0</v>
      </c>
      <c r="AL1008" s="88">
        <v>0</v>
      </c>
      <c r="AM1008" s="88">
        <v>0</v>
      </c>
      <c r="AN1008" s="81" t="str">
        <f t="shared" si="1165"/>
        <v/>
      </c>
      <c r="AO1008" s="88">
        <f t="shared" si="1128"/>
        <v>0</v>
      </c>
      <c r="AP1008" s="88">
        <f t="shared" si="1129"/>
        <v>0</v>
      </c>
      <c r="AQ1008" s="81" t="str">
        <f t="shared" si="1130"/>
        <v/>
      </c>
      <c r="AS1008" s="41" t="b">
        <f t="shared" si="1131"/>
        <v>1</v>
      </c>
      <c r="AT1008" s="38">
        <f t="shared" si="1132"/>
        <v>0</v>
      </c>
      <c r="AU1008" s="60">
        <f t="shared" si="1133"/>
        <v>0</v>
      </c>
      <c r="AV1008" s="41">
        <f t="shared" si="1134"/>
        <v>0</v>
      </c>
      <c r="AW1008" s="41" t="b">
        <f t="shared" si="1135"/>
        <v>0</v>
      </c>
      <c r="AX1008" t="str">
        <f t="shared" si="1136"/>
        <v>+00</v>
      </c>
      <c r="AY1008" t="str">
        <f t="shared" si="1137"/>
        <v>+00</v>
      </c>
      <c r="BA1008" s="47" t="b">
        <f t="shared" si="1166"/>
        <v>1</v>
      </c>
      <c r="BB1008" s="42" t="b">
        <f t="shared" si="1167"/>
        <v>1</v>
      </c>
      <c r="BC1008" s="42" t="b">
        <f t="shared" si="1168"/>
        <v>0</v>
      </c>
      <c r="BD1008" s="42" t="b">
        <f t="shared" si="1169"/>
        <v>0</v>
      </c>
      <c r="BE1008" s="70">
        <f t="shared" si="1170"/>
        <v>0</v>
      </c>
      <c r="BF1008" s="70">
        <f t="shared" si="1171"/>
        <v>0</v>
      </c>
      <c r="BG1008" s="34"/>
      <c r="BI1008" s="47" t="b">
        <f t="shared" si="1172"/>
        <v>1</v>
      </c>
      <c r="BJ1008" s="47" t="b">
        <f t="shared" si="1173"/>
        <v>1</v>
      </c>
      <c r="BK1008" s="42" t="b">
        <f t="shared" si="1174"/>
        <v>0</v>
      </c>
      <c r="BL1008" s="42" t="b">
        <f t="shared" si="1175"/>
        <v>0</v>
      </c>
      <c r="BM1008" s="42">
        <f t="shared" si="1176"/>
        <v>0</v>
      </c>
      <c r="BN1008" s="42">
        <f t="shared" si="1177"/>
        <v>0</v>
      </c>
      <c r="BP1008" t="e">
        <f t="shared" si="1178"/>
        <v>#N/A</v>
      </c>
      <c r="BQ1008" t="e">
        <f t="shared" si="1179"/>
        <v>#N/A</v>
      </c>
      <c r="BR1008" t="e">
        <f t="shared" si="1180"/>
        <v>#N/A</v>
      </c>
      <c r="BT1008" s="60">
        <f t="shared" si="1181"/>
        <v>0</v>
      </c>
      <c r="BU1008" s="60">
        <f t="shared" si="1182"/>
        <v>0</v>
      </c>
      <c r="BV1008" s="60">
        <f t="shared" si="1183"/>
        <v>0</v>
      </c>
      <c r="BW1008" s="60">
        <f t="shared" si="1184"/>
        <v>0</v>
      </c>
      <c r="BX1008" s="60">
        <f t="shared" si="1185"/>
        <v>0</v>
      </c>
      <c r="BY1008" s="60">
        <f t="shared" si="1186"/>
        <v>0</v>
      </c>
      <c r="BZ1008" s="60">
        <f t="shared" si="1187"/>
        <v>0</v>
      </c>
      <c r="CA1008" s="60">
        <f t="shared" si="1188"/>
        <v>0</v>
      </c>
      <c r="CB1008" s="60" t="e">
        <f t="shared" si="1138"/>
        <v>#N/A</v>
      </c>
      <c r="CC1008" s="60">
        <f t="shared" si="1139"/>
        <v>100000</v>
      </c>
      <c r="CD1008" s="60" t="e">
        <f t="shared" si="1140"/>
        <v>#N/A</v>
      </c>
      <c r="CE1008" s="60">
        <f t="shared" si="1141"/>
        <v>100000</v>
      </c>
      <c r="CF1008" s="83" t="e">
        <f t="shared" si="1189"/>
        <v>#N/A</v>
      </c>
      <c r="CG1008" s="83">
        <f t="shared" si="1190"/>
        <v>0</v>
      </c>
      <c r="CH1008" s="83" t="e">
        <f t="shared" si="1191"/>
        <v>#N/A</v>
      </c>
      <c r="CI1008" s="83">
        <f t="shared" si="1192"/>
        <v>0</v>
      </c>
      <c r="CJ1008" s="86" t="e">
        <f t="shared" si="1142"/>
        <v>#N/A</v>
      </c>
      <c r="CK1008" s="82">
        <f t="shared" si="1143"/>
        <v>5.3070370403969858E-3</v>
      </c>
      <c r="CL1008" s="82" t="e">
        <f t="shared" si="1144"/>
        <v>#N/A</v>
      </c>
      <c r="CM1008" s="82">
        <f t="shared" si="1145"/>
        <v>5.3070370403969858E-3</v>
      </c>
      <c r="CO1008" s="149" t="str">
        <f>IF($I1008&lt;&gt;"",IF(O1008="User Specified",U1008,INDEX('Refrigerant GWPs'!$G$2:$G$156,MATCH(O1008,'Refrigerant GWPs'!$A$2:$A$156,0))),"")</f>
        <v/>
      </c>
      <c r="CP1008" s="138" t="str">
        <f>IF($I1008&lt;&gt;"",INDEX('Device Refrigerant Leakage'!$E$2:$E$42,MATCH($M1008,'Device Refrigerant Leakage'!$B$2:$B$42,0)),"")</f>
        <v/>
      </c>
      <c r="CQ1008" s="138" t="str">
        <f>IF($I1008&lt;&gt;"",INDEX('Device Refrigerant Leakage'!$F$2:$F$42,MATCH($M1008,'Device Refrigerant Leakage'!$B$2:$B$42,0)),"")</f>
        <v/>
      </c>
      <c r="CR1008" s="145" t="str">
        <f>IF($I1008&lt;&gt;"",INDEX('Device Refrigerant Leakage'!$G$2:$G$42,MATCH($M1008,'Device Refrigerant Leakage'!$B$2:$B$42,0)),"")</f>
        <v/>
      </c>
      <c r="CS1008" s="145" t="str">
        <f>IF($I1008&lt;&gt;"",INDEX('Device Refrigerant Leakage'!$D$2:$D$42,MATCH($M1008,'Device Refrigerant Leakage'!$B$2:$B$42,0))*CP1008/2204.62*CO1008,"")</f>
        <v/>
      </c>
      <c r="CT1008" s="145" t="str">
        <f>IF($I1008&lt;&gt;"",J1008*(INDEX('Device Refrigerant Leakage'!$D$2:$D$42,MATCH($M1008,'Device Refrigerant Leakage'!$B$2:$B$42,0))-(INDEX('Device Refrigerant Leakage'!$D$2:$D$42,MATCH($M1008,'Device Refrigerant Leakage'!$B$2:$B$42,0)))*CR1008*CP1008)*CQ1008/2204.62*CO1008,"")</f>
        <v/>
      </c>
      <c r="CU1008" s="135" t="str">
        <f>IF($I1008&lt;&gt;"",J1008*IF(W1008&lt;&gt;"AR",(CS1008*K1008)+CT1008,(CS1008*AB1008)+CT1008*(AB1008/INDEX('Device Refrigerant Leakage'!$C$2:$C$42,MATCH($M1008,'Device Refrigerant Leakage'!$B$2:$B$42,0)))),"")</f>
        <v/>
      </c>
      <c r="CW1008" s="135" t="str">
        <f>IF($I1008&lt;&gt;"",IF(S1008="User Specified",V1008,INDEX('Refrigerant GWPs'!$G$2:$G$156,MATCH(S1008,'Refrigerant GWPs'!$A$2:$A$157,0))),"")</f>
        <v/>
      </c>
      <c r="CX1008" s="138" t="str">
        <f>IF($I1008&lt;&gt;"",INDEX('Device Refrigerant Leakage'!$E$2:$E$42,MATCH($Q1008,'Device Refrigerant Leakage'!$B$2:$B$42,0)),"")</f>
        <v/>
      </c>
      <c r="CY1008" s="138" t="str">
        <f>IF($I1008&lt;&gt;"",INDEX('Device Refrigerant Leakage'!$F$2:$F$42,MATCH($Q1008,'Device Refrigerant Leakage'!$B$2:$B$42,0)),"")</f>
        <v/>
      </c>
      <c r="CZ1008" s="145" t="str">
        <f>IF($I1008&lt;&gt;"",INDEX('Device Refrigerant Leakage'!$G$2:$G$42,MATCH($Q1008,'Device Refrigerant Leakage'!$B$2:$B$42,0)),"")</f>
        <v/>
      </c>
      <c r="DA1008" s="145" t="str">
        <f>IF($I1008&lt;&gt;"",J1008*INDEX('Device Refrigerant Leakage'!$D$2:$D$42,MATCH($Q1008,'Device Refrigerant Leakage'!$B$2:$B$42,0))*CX1008/2204.62*CW1008,"")</f>
        <v/>
      </c>
      <c r="DB1008" s="145" t="str">
        <f>IF($I1008&lt;&gt;"",J1008*(INDEX('Device Refrigerant Leakage'!$D$2:$D$42,MATCH($Q1008,'Device Refrigerant Leakage'!$B$2:$B$42,0))-(INDEX('Device Refrigerant Leakage'!$D$2:$D$42,MATCH($Q1008,'Device Refrigerant Leakage'!$B$2:$B$42,0)))*CZ1008*CX1008)*CY1008/2204.62*CW1008,"")</f>
        <v/>
      </c>
      <c r="DC1008" s="135" t="str">
        <f t="shared" si="1164"/>
        <v/>
      </c>
      <c r="DE1008" s="146" t="str">
        <f>IF(W1008&lt;&gt;"AR","",IF(Y1008="User Specified", AA1008, INDEX('Refrigerant GWPs'!$G$2:$G$154,MATCH(Y1008,'Refrigerant GWPs'!$A$2:$A$154,0))))</f>
        <v/>
      </c>
      <c r="DF1008" s="146" t="str">
        <f>IF(W1008&lt;&gt;"AR","",INDEX('Device Refrigerant Leakage'!$E$2:$E$42,MATCH(X1008,'Device Refrigerant Leakage'!$B$2:$B$42,0)))</f>
        <v/>
      </c>
      <c r="DG1008" s="146" t="str">
        <f>IF(W1008&lt;&gt;"AR","",INDEX('Device Refrigerant Leakage'!$F$2:$F$42,MATCH(X1008,'Device Refrigerant Leakage'!$B$2:$B$42,0)))</f>
        <v/>
      </c>
      <c r="DH1008" s="146" t="str">
        <f>IF(W1008&lt;&gt;"AR","",INDEX('Device Refrigerant Leakage'!$G$2:$G$42,MATCH(X1008,'Device Refrigerant Leakage'!$B$2:$B$42,0)))</f>
        <v/>
      </c>
      <c r="DI1008" s="146" t="str">
        <f>IF(W1008&lt;&gt;"AR","",J1008*INDEX('Device Refrigerant Leakage'!$D$2:$D$42,MATCH(X1008,'Device Refrigerant Leakage'!$B$2:$B$42,0))*DF1008/2204.62*DE1008)</f>
        <v/>
      </c>
      <c r="DJ1008" s="146" t="str">
        <f>IF(W1008&lt;&gt;"AR","",J1008*(INDEX('Device Refrigerant Leakage'!$D$2:$D$42,MATCH(X1008,'Device Refrigerant Leakage'!$B$2:$B$42,0))-(INDEX('Device Refrigerant Leakage'!$D$2:$D$42,MATCH(X1008,'Device Refrigerant Leakage'!$B$2:$B$42,0)))*DH1008*DF1008)*DG1008/2204.62*DE1008)</f>
        <v/>
      </c>
      <c r="DK1008" s="146" t="str">
        <f>IF(W1008&lt;&gt;"AR","",DI1008*(K1008-AB1008)+'Fuel Sub Calcs-Deemed'!DJ1008*((K1008-AB1008)/INDEX('Device Refrigerant Leakage'!$C$2:$C$42,MATCH('Fuel Sub Calcs-Deemed'!X1008,'Device Refrigerant Leakage'!$B$2:$B$42,0))))</f>
        <v/>
      </c>
      <c r="DM1008" s="56">
        <v>994</v>
      </c>
      <c r="DN1008" s="67" t="e">
        <f t="shared" si="1146"/>
        <v>#N/A</v>
      </c>
      <c r="DO1008" s="45" t="e">
        <f t="shared" si="1147"/>
        <v>#N/A</v>
      </c>
      <c r="DP1008" s="67" t="e">
        <f t="shared" si="1148"/>
        <v>#N/A</v>
      </c>
      <c r="DQ1008" s="45" t="e">
        <f t="shared" si="1149"/>
        <v>#N/A</v>
      </c>
      <c r="DR1008" s="69" t="e">
        <f t="shared" si="1150"/>
        <v>#N/A</v>
      </c>
      <c r="DS1008" s="34"/>
      <c r="DT1008" s="67" t="e">
        <f>((BX1008*CJ1008)+IF($W1008=MAT_AR,(BZ1008*CL1008),0))*(1+Reference!$E$50+Reference!$E$51)</f>
        <v>#N/A</v>
      </c>
      <c r="DU1008" s="67">
        <f>((BY1008*CK1008)+IF($W1008=MAT_AR,(CA1008*CM1008),0))*(1+Reference!$G$50+Reference!$G$51)</f>
        <v>0</v>
      </c>
      <c r="DV1008" s="67" t="e">
        <f t="shared" si="1151"/>
        <v>#VALUE!</v>
      </c>
      <c r="DX1008" s="56">
        <v>994</v>
      </c>
      <c r="DY1008" s="67">
        <f t="shared" si="1152"/>
        <v>0</v>
      </c>
      <c r="DZ1008" s="45" t="e">
        <f>VLOOKUP($R1008,Dropdown!$C$3:$D$4,2,FALSE)</f>
        <v>#N/A</v>
      </c>
      <c r="EA1008" s="68">
        <f t="shared" si="1153"/>
        <v>0</v>
      </c>
      <c r="EB1008" s="68" t="str">
        <f t="shared" si="1154"/>
        <v>N/A</v>
      </c>
      <c r="EC1008" s="68">
        <f t="shared" si="1155"/>
        <v>0</v>
      </c>
      <c r="ED1008" s="68" t="str">
        <f t="shared" si="1193"/>
        <v>N/A</v>
      </c>
      <c r="EF1008" s="56">
        <v>994</v>
      </c>
      <c r="EG1008" s="46">
        <f t="shared" si="1156"/>
        <v>0</v>
      </c>
      <c r="EH1008" s="68" t="e">
        <f t="shared" si="1194"/>
        <v>#N/A</v>
      </c>
      <c r="EI1008" s="68" t="e">
        <f t="shared" si="1195"/>
        <v>#N/A</v>
      </c>
      <c r="EJ1008" s="68" t="e">
        <f t="shared" si="1196"/>
        <v>#N/A</v>
      </c>
      <c r="EK1008" s="68" t="e">
        <f t="shared" si="1197"/>
        <v>#N/A</v>
      </c>
      <c r="EL1008" s="46">
        <f t="shared" si="1161"/>
        <v>0</v>
      </c>
      <c r="EM1008" s="46">
        <f t="shared" si="1198"/>
        <v>0</v>
      </c>
    </row>
    <row r="1009" spans="1:143">
      <c r="A1009" s="89"/>
      <c r="B1009" s="89"/>
      <c r="C1009" s="89"/>
      <c r="D1009" s="89"/>
      <c r="E1009" s="89"/>
      <c r="F1009" s="89"/>
      <c r="G1009" s="34"/>
      <c r="H1009" s="56">
        <f t="shared" si="1163"/>
        <v>995</v>
      </c>
      <c r="I1009" s="165"/>
      <c r="J1009" s="163"/>
      <c r="K1009" s="163"/>
      <c r="L1009" s="164"/>
      <c r="M1009" s="155"/>
      <c r="N1009" s="155"/>
      <c r="O1009" s="144"/>
      <c r="P1009" s="159" t="str">
        <f>IFERROR(IF(O1009&lt;&gt;"User Specified",IF(O1009&lt;&gt;"", INDEX('Refrigerant GWPs'!$G$2:$G$154,MATCH(O1009,'Refrigerant GWPs'!$A$2:$A$154,0)),""),U1009),0)</f>
        <v/>
      </c>
      <c r="Q1009" s="155"/>
      <c r="R1009" s="155"/>
      <c r="S1009" s="144"/>
      <c r="T1009" s="159" t="str">
        <f>IF(S1009&lt;&gt;"User Specified",IF(AND(S1009&lt;&gt;"User Specified",S1009&lt;&gt;""), INDEX('Refrigerant GWPs'!$G$2:$G$154,MATCH(S1009,'Refrigerant GWPs'!$A$2:$A$154,0)),""),V1009)</f>
        <v/>
      </c>
      <c r="U1009" s="144"/>
      <c r="V1009" s="144"/>
      <c r="W1009" s="155"/>
      <c r="X1009" s="155"/>
      <c r="Y1009" s="144"/>
      <c r="Z1009" s="159" t="str">
        <f>IF(AND(Y1009&lt;&gt;"User Specified",Y1009&lt;&gt;""), INDEX('Refrigerant GWPs'!$G$2:$G$154,MATCH(Y1009,'Refrigerant GWPs'!$A$2:$A$154,0)),"")</f>
        <v/>
      </c>
      <c r="AA1009" s="155"/>
      <c r="AB1009" s="156"/>
      <c r="AC1009" s="66"/>
      <c r="AD1009" s="66"/>
      <c r="AE1009" s="66"/>
      <c r="AF1009" s="66"/>
      <c r="AG1009" s="66"/>
      <c r="AH1009" s="66"/>
      <c r="AI1009" s="34"/>
      <c r="AJ1009" s="88">
        <f t="shared" si="1126"/>
        <v>0</v>
      </c>
      <c r="AK1009" s="88">
        <f t="shared" si="1127"/>
        <v>0</v>
      </c>
      <c r="AL1009" s="88">
        <v>0</v>
      </c>
      <c r="AM1009" s="88">
        <v>0</v>
      </c>
      <c r="AN1009" s="81" t="str">
        <f t="shared" si="1165"/>
        <v/>
      </c>
      <c r="AO1009" s="88">
        <f t="shared" si="1128"/>
        <v>0</v>
      </c>
      <c r="AP1009" s="88">
        <f t="shared" si="1129"/>
        <v>0</v>
      </c>
      <c r="AQ1009" s="81" t="str">
        <f t="shared" si="1130"/>
        <v/>
      </c>
      <c r="AS1009" s="41" t="b">
        <f t="shared" si="1131"/>
        <v>1</v>
      </c>
      <c r="AT1009" s="38">
        <f t="shared" si="1132"/>
        <v>0</v>
      </c>
      <c r="AU1009" s="60">
        <f t="shared" si="1133"/>
        <v>0</v>
      </c>
      <c r="AV1009" s="41">
        <f t="shared" si="1134"/>
        <v>0</v>
      </c>
      <c r="AW1009" s="41" t="b">
        <f t="shared" si="1135"/>
        <v>0</v>
      </c>
      <c r="AX1009" t="str">
        <f t="shared" si="1136"/>
        <v>+00</v>
      </c>
      <c r="AY1009" t="str">
        <f t="shared" si="1137"/>
        <v>+00</v>
      </c>
      <c r="BA1009" s="47" t="b">
        <f t="shared" si="1166"/>
        <v>1</v>
      </c>
      <c r="BB1009" s="42" t="b">
        <f t="shared" si="1167"/>
        <v>1</v>
      </c>
      <c r="BC1009" s="42" t="b">
        <f t="shared" si="1168"/>
        <v>0</v>
      </c>
      <c r="BD1009" s="42" t="b">
        <f t="shared" si="1169"/>
        <v>0</v>
      </c>
      <c r="BE1009" s="70">
        <f t="shared" si="1170"/>
        <v>0</v>
      </c>
      <c r="BF1009" s="70">
        <f t="shared" si="1171"/>
        <v>0</v>
      </c>
      <c r="BG1009" s="34"/>
      <c r="BI1009" s="47" t="b">
        <f t="shared" si="1172"/>
        <v>1</v>
      </c>
      <c r="BJ1009" s="47" t="b">
        <f t="shared" si="1173"/>
        <v>1</v>
      </c>
      <c r="BK1009" s="42" t="b">
        <f t="shared" si="1174"/>
        <v>0</v>
      </c>
      <c r="BL1009" s="42" t="b">
        <f t="shared" si="1175"/>
        <v>0</v>
      </c>
      <c r="BM1009" s="42">
        <f t="shared" si="1176"/>
        <v>0</v>
      </c>
      <c r="BN1009" s="42">
        <f t="shared" si="1177"/>
        <v>0</v>
      </c>
      <c r="BP1009" t="e">
        <f t="shared" si="1178"/>
        <v>#N/A</v>
      </c>
      <c r="BQ1009" t="e">
        <f t="shared" si="1179"/>
        <v>#N/A</v>
      </c>
      <c r="BR1009" t="e">
        <f t="shared" si="1180"/>
        <v>#N/A</v>
      </c>
      <c r="BT1009" s="60">
        <f t="shared" si="1181"/>
        <v>0</v>
      </c>
      <c r="BU1009" s="60">
        <f t="shared" si="1182"/>
        <v>0</v>
      </c>
      <c r="BV1009" s="60">
        <f t="shared" si="1183"/>
        <v>0</v>
      </c>
      <c r="BW1009" s="60">
        <f t="shared" si="1184"/>
        <v>0</v>
      </c>
      <c r="BX1009" s="60">
        <f t="shared" si="1185"/>
        <v>0</v>
      </c>
      <c r="BY1009" s="60">
        <f t="shared" si="1186"/>
        <v>0</v>
      </c>
      <c r="BZ1009" s="60">
        <f t="shared" si="1187"/>
        <v>0</v>
      </c>
      <c r="CA1009" s="60">
        <f t="shared" si="1188"/>
        <v>0</v>
      </c>
      <c r="CB1009" s="60" t="e">
        <f t="shared" si="1138"/>
        <v>#N/A</v>
      </c>
      <c r="CC1009" s="60">
        <f t="shared" si="1139"/>
        <v>100000</v>
      </c>
      <c r="CD1009" s="60" t="e">
        <f t="shared" si="1140"/>
        <v>#N/A</v>
      </c>
      <c r="CE1009" s="60">
        <f t="shared" si="1141"/>
        <v>100000</v>
      </c>
      <c r="CF1009" s="83" t="e">
        <f t="shared" si="1189"/>
        <v>#N/A</v>
      </c>
      <c r="CG1009" s="83">
        <f t="shared" si="1190"/>
        <v>0</v>
      </c>
      <c r="CH1009" s="83" t="e">
        <f t="shared" si="1191"/>
        <v>#N/A</v>
      </c>
      <c r="CI1009" s="83">
        <f t="shared" si="1192"/>
        <v>0</v>
      </c>
      <c r="CJ1009" s="86" t="e">
        <f t="shared" si="1142"/>
        <v>#N/A</v>
      </c>
      <c r="CK1009" s="82">
        <f t="shared" si="1143"/>
        <v>5.3070370403969858E-3</v>
      </c>
      <c r="CL1009" s="82" t="e">
        <f t="shared" si="1144"/>
        <v>#N/A</v>
      </c>
      <c r="CM1009" s="82">
        <f t="shared" si="1145"/>
        <v>5.3070370403969858E-3</v>
      </c>
      <c r="CO1009" s="149" t="str">
        <f>IF($I1009&lt;&gt;"",IF(O1009="User Specified",U1009,INDEX('Refrigerant GWPs'!$G$2:$G$156,MATCH(O1009,'Refrigerant GWPs'!$A$2:$A$156,0))),"")</f>
        <v/>
      </c>
      <c r="CP1009" s="138" t="str">
        <f>IF($I1009&lt;&gt;"",INDEX('Device Refrigerant Leakage'!$E$2:$E$42,MATCH($M1009,'Device Refrigerant Leakage'!$B$2:$B$42,0)),"")</f>
        <v/>
      </c>
      <c r="CQ1009" s="138" t="str">
        <f>IF($I1009&lt;&gt;"",INDEX('Device Refrigerant Leakage'!$F$2:$F$42,MATCH($M1009,'Device Refrigerant Leakage'!$B$2:$B$42,0)),"")</f>
        <v/>
      </c>
      <c r="CR1009" s="145" t="str">
        <f>IF($I1009&lt;&gt;"",INDEX('Device Refrigerant Leakage'!$G$2:$G$42,MATCH($M1009,'Device Refrigerant Leakage'!$B$2:$B$42,0)),"")</f>
        <v/>
      </c>
      <c r="CS1009" s="145" t="str">
        <f>IF($I1009&lt;&gt;"",INDEX('Device Refrigerant Leakage'!$D$2:$D$42,MATCH($M1009,'Device Refrigerant Leakage'!$B$2:$B$42,0))*CP1009/2204.62*CO1009,"")</f>
        <v/>
      </c>
      <c r="CT1009" s="145" t="str">
        <f>IF($I1009&lt;&gt;"",J1009*(INDEX('Device Refrigerant Leakage'!$D$2:$D$42,MATCH($M1009,'Device Refrigerant Leakage'!$B$2:$B$42,0))-(INDEX('Device Refrigerant Leakage'!$D$2:$D$42,MATCH($M1009,'Device Refrigerant Leakage'!$B$2:$B$42,0)))*CR1009*CP1009)*CQ1009/2204.62*CO1009,"")</f>
        <v/>
      </c>
      <c r="CU1009" s="135" t="str">
        <f>IF($I1009&lt;&gt;"",J1009*IF(W1009&lt;&gt;"AR",(CS1009*K1009)+CT1009,(CS1009*AB1009)+CT1009*(AB1009/INDEX('Device Refrigerant Leakage'!$C$2:$C$42,MATCH($M1009,'Device Refrigerant Leakage'!$B$2:$B$42,0)))),"")</f>
        <v/>
      </c>
      <c r="CW1009" s="135" t="str">
        <f>IF($I1009&lt;&gt;"",IF(S1009="User Specified",V1009,INDEX('Refrigerant GWPs'!$G$2:$G$156,MATCH(S1009,'Refrigerant GWPs'!$A$2:$A$157,0))),"")</f>
        <v/>
      </c>
      <c r="CX1009" s="138" t="str">
        <f>IF($I1009&lt;&gt;"",INDEX('Device Refrigerant Leakage'!$E$2:$E$42,MATCH($Q1009,'Device Refrigerant Leakage'!$B$2:$B$42,0)),"")</f>
        <v/>
      </c>
      <c r="CY1009" s="138" t="str">
        <f>IF($I1009&lt;&gt;"",INDEX('Device Refrigerant Leakage'!$F$2:$F$42,MATCH($Q1009,'Device Refrigerant Leakage'!$B$2:$B$42,0)),"")</f>
        <v/>
      </c>
      <c r="CZ1009" s="145" t="str">
        <f>IF($I1009&lt;&gt;"",INDEX('Device Refrigerant Leakage'!$G$2:$G$42,MATCH($Q1009,'Device Refrigerant Leakage'!$B$2:$B$42,0)),"")</f>
        <v/>
      </c>
      <c r="DA1009" s="145" t="str">
        <f>IF($I1009&lt;&gt;"",J1009*INDEX('Device Refrigerant Leakage'!$D$2:$D$42,MATCH($Q1009,'Device Refrigerant Leakage'!$B$2:$B$42,0))*CX1009/2204.62*CW1009,"")</f>
        <v/>
      </c>
      <c r="DB1009" s="145" t="str">
        <f>IF($I1009&lt;&gt;"",J1009*(INDEX('Device Refrigerant Leakage'!$D$2:$D$42,MATCH($Q1009,'Device Refrigerant Leakage'!$B$2:$B$42,0))-(INDEX('Device Refrigerant Leakage'!$D$2:$D$42,MATCH($Q1009,'Device Refrigerant Leakage'!$B$2:$B$42,0)))*CZ1009*CX1009)*CY1009/2204.62*CW1009,"")</f>
        <v/>
      </c>
      <c r="DC1009" s="135" t="str">
        <f t="shared" si="1164"/>
        <v/>
      </c>
      <c r="DE1009" s="146" t="str">
        <f>IF(W1009&lt;&gt;"AR","",IF(Y1009="User Specified", AA1009, INDEX('Refrigerant GWPs'!$G$2:$G$154,MATCH(Y1009,'Refrigerant GWPs'!$A$2:$A$154,0))))</f>
        <v/>
      </c>
      <c r="DF1009" s="146" t="str">
        <f>IF(W1009&lt;&gt;"AR","",INDEX('Device Refrigerant Leakage'!$E$2:$E$42,MATCH(X1009,'Device Refrigerant Leakage'!$B$2:$B$42,0)))</f>
        <v/>
      </c>
      <c r="DG1009" s="146" t="str">
        <f>IF(W1009&lt;&gt;"AR","",INDEX('Device Refrigerant Leakage'!$F$2:$F$42,MATCH(X1009,'Device Refrigerant Leakage'!$B$2:$B$42,0)))</f>
        <v/>
      </c>
      <c r="DH1009" s="146" t="str">
        <f>IF(W1009&lt;&gt;"AR","",INDEX('Device Refrigerant Leakage'!$G$2:$G$42,MATCH(X1009,'Device Refrigerant Leakage'!$B$2:$B$42,0)))</f>
        <v/>
      </c>
      <c r="DI1009" s="146" t="str">
        <f>IF(W1009&lt;&gt;"AR","",J1009*INDEX('Device Refrigerant Leakage'!$D$2:$D$42,MATCH(X1009,'Device Refrigerant Leakage'!$B$2:$B$42,0))*DF1009/2204.62*DE1009)</f>
        <v/>
      </c>
      <c r="DJ1009" s="146" t="str">
        <f>IF(W1009&lt;&gt;"AR","",J1009*(INDEX('Device Refrigerant Leakage'!$D$2:$D$42,MATCH(X1009,'Device Refrigerant Leakage'!$B$2:$B$42,0))-(INDEX('Device Refrigerant Leakage'!$D$2:$D$42,MATCH(X1009,'Device Refrigerant Leakage'!$B$2:$B$42,0)))*DH1009*DF1009)*DG1009/2204.62*DE1009)</f>
        <v/>
      </c>
      <c r="DK1009" s="146" t="str">
        <f>IF(W1009&lt;&gt;"AR","",DI1009*(K1009-AB1009)+'Fuel Sub Calcs-Deemed'!DJ1009*((K1009-AB1009)/INDEX('Device Refrigerant Leakage'!$C$2:$C$42,MATCH('Fuel Sub Calcs-Deemed'!X1009,'Device Refrigerant Leakage'!$B$2:$B$42,0))))</f>
        <v/>
      </c>
      <c r="DM1009" s="56">
        <v>995</v>
      </c>
      <c r="DN1009" s="67" t="e">
        <f t="shared" si="1146"/>
        <v>#N/A</v>
      </c>
      <c r="DO1009" s="45" t="e">
        <f t="shared" si="1147"/>
        <v>#N/A</v>
      </c>
      <c r="DP1009" s="67" t="e">
        <f t="shared" si="1148"/>
        <v>#N/A</v>
      </c>
      <c r="DQ1009" s="45" t="e">
        <f t="shared" si="1149"/>
        <v>#N/A</v>
      </c>
      <c r="DR1009" s="69" t="e">
        <f t="shared" si="1150"/>
        <v>#N/A</v>
      </c>
      <c r="DS1009" s="34"/>
      <c r="DT1009" s="67" t="e">
        <f>((BX1009*CJ1009)+IF($W1009=MAT_AR,(BZ1009*CL1009),0))*(1+Reference!$E$50+Reference!$E$51)</f>
        <v>#N/A</v>
      </c>
      <c r="DU1009" s="67">
        <f>((BY1009*CK1009)+IF($W1009=MAT_AR,(CA1009*CM1009),0))*(1+Reference!$G$50+Reference!$G$51)</f>
        <v>0</v>
      </c>
      <c r="DV1009" s="67" t="e">
        <f t="shared" si="1151"/>
        <v>#VALUE!</v>
      </c>
      <c r="DX1009" s="56">
        <v>995</v>
      </c>
      <c r="DY1009" s="67">
        <f t="shared" si="1152"/>
        <v>0</v>
      </c>
      <c r="DZ1009" s="45" t="e">
        <f>VLOOKUP($R1009,Dropdown!$C$3:$D$4,2,FALSE)</f>
        <v>#N/A</v>
      </c>
      <c r="EA1009" s="68">
        <f t="shared" si="1153"/>
        <v>0</v>
      </c>
      <c r="EB1009" s="68" t="str">
        <f t="shared" si="1154"/>
        <v>N/A</v>
      </c>
      <c r="EC1009" s="68">
        <f t="shared" si="1155"/>
        <v>0</v>
      </c>
      <c r="ED1009" s="68" t="str">
        <f t="shared" si="1193"/>
        <v>N/A</v>
      </c>
      <c r="EF1009" s="56">
        <v>995</v>
      </c>
      <c r="EG1009" s="46">
        <f t="shared" si="1156"/>
        <v>0</v>
      </c>
      <c r="EH1009" s="68" t="e">
        <f t="shared" si="1194"/>
        <v>#N/A</v>
      </c>
      <c r="EI1009" s="68" t="e">
        <f t="shared" si="1195"/>
        <v>#N/A</v>
      </c>
      <c r="EJ1009" s="68" t="e">
        <f t="shared" si="1196"/>
        <v>#N/A</v>
      </c>
      <c r="EK1009" s="68" t="e">
        <f t="shared" si="1197"/>
        <v>#N/A</v>
      </c>
      <c r="EL1009" s="46">
        <f t="shared" si="1161"/>
        <v>0</v>
      </c>
      <c r="EM1009" s="46">
        <f t="shared" si="1198"/>
        <v>0</v>
      </c>
    </row>
    <row r="1010" spans="1:143">
      <c r="A1010" s="89"/>
      <c r="B1010" s="89"/>
      <c r="C1010" s="89"/>
      <c r="D1010" s="89"/>
      <c r="E1010" s="89"/>
      <c r="F1010" s="89"/>
      <c r="G1010" s="34"/>
      <c r="H1010" s="56">
        <f t="shared" si="1163"/>
        <v>996</v>
      </c>
      <c r="I1010" s="165"/>
      <c r="J1010" s="163"/>
      <c r="K1010" s="163"/>
      <c r="L1010" s="164"/>
      <c r="M1010" s="155"/>
      <c r="N1010" s="155"/>
      <c r="O1010" s="144"/>
      <c r="P1010" s="159" t="str">
        <f>IFERROR(IF(O1010&lt;&gt;"User Specified",IF(O1010&lt;&gt;"", INDEX('Refrigerant GWPs'!$G$2:$G$154,MATCH(O1010,'Refrigerant GWPs'!$A$2:$A$154,0)),""),U1010),0)</f>
        <v/>
      </c>
      <c r="Q1010" s="155"/>
      <c r="R1010" s="155"/>
      <c r="S1010" s="144"/>
      <c r="T1010" s="159" t="str">
        <f>IF(S1010&lt;&gt;"User Specified",IF(AND(S1010&lt;&gt;"User Specified",S1010&lt;&gt;""), INDEX('Refrigerant GWPs'!$G$2:$G$154,MATCH(S1010,'Refrigerant GWPs'!$A$2:$A$154,0)),""),V1010)</f>
        <v/>
      </c>
      <c r="U1010" s="144"/>
      <c r="V1010" s="144"/>
      <c r="W1010" s="155"/>
      <c r="X1010" s="155"/>
      <c r="Y1010" s="144"/>
      <c r="Z1010" s="159" t="str">
        <f>IF(AND(Y1010&lt;&gt;"User Specified",Y1010&lt;&gt;""), INDEX('Refrigerant GWPs'!$G$2:$G$154,MATCH(Y1010,'Refrigerant GWPs'!$A$2:$A$154,0)),"")</f>
        <v/>
      </c>
      <c r="AA1010" s="155"/>
      <c r="AB1010" s="156"/>
      <c r="AC1010" s="66"/>
      <c r="AD1010" s="66"/>
      <c r="AE1010" s="66"/>
      <c r="AF1010" s="66"/>
      <c r="AG1010" s="66"/>
      <c r="AH1010" s="66"/>
      <c r="AI1010" s="34"/>
      <c r="AJ1010" s="88">
        <f t="shared" si="1126"/>
        <v>0</v>
      </c>
      <c r="AK1010" s="88">
        <f t="shared" si="1127"/>
        <v>0</v>
      </c>
      <c r="AL1010" s="88">
        <v>0</v>
      </c>
      <c r="AM1010" s="88">
        <v>0</v>
      </c>
      <c r="AN1010" s="81" t="str">
        <f t="shared" si="1165"/>
        <v/>
      </c>
      <c r="AO1010" s="88">
        <f t="shared" si="1128"/>
        <v>0</v>
      </c>
      <c r="AP1010" s="88">
        <f t="shared" si="1129"/>
        <v>0</v>
      </c>
      <c r="AQ1010" s="81" t="str">
        <f t="shared" si="1130"/>
        <v/>
      </c>
      <c r="AS1010" s="41" t="b">
        <f t="shared" si="1131"/>
        <v>1</v>
      </c>
      <c r="AT1010" s="38">
        <f t="shared" si="1132"/>
        <v>0</v>
      </c>
      <c r="AU1010" s="60">
        <f t="shared" si="1133"/>
        <v>0</v>
      </c>
      <c r="AV1010" s="41">
        <f t="shared" si="1134"/>
        <v>0</v>
      </c>
      <c r="AW1010" s="41" t="b">
        <f t="shared" si="1135"/>
        <v>0</v>
      </c>
      <c r="AX1010" t="str">
        <f t="shared" si="1136"/>
        <v>+00</v>
      </c>
      <c r="AY1010" t="str">
        <f t="shared" si="1137"/>
        <v>+00</v>
      </c>
      <c r="BA1010" s="47" t="b">
        <f t="shared" si="1166"/>
        <v>1</v>
      </c>
      <c r="BB1010" s="42" t="b">
        <f t="shared" si="1167"/>
        <v>1</v>
      </c>
      <c r="BC1010" s="42" t="b">
        <f t="shared" si="1168"/>
        <v>0</v>
      </c>
      <c r="BD1010" s="42" t="b">
        <f t="shared" si="1169"/>
        <v>0</v>
      </c>
      <c r="BE1010" s="70">
        <f t="shared" si="1170"/>
        <v>0</v>
      </c>
      <c r="BF1010" s="70">
        <f t="shared" si="1171"/>
        <v>0</v>
      </c>
      <c r="BG1010" s="34"/>
      <c r="BI1010" s="47" t="b">
        <f t="shared" si="1172"/>
        <v>1</v>
      </c>
      <c r="BJ1010" s="47" t="b">
        <f t="shared" si="1173"/>
        <v>1</v>
      </c>
      <c r="BK1010" s="42" t="b">
        <f t="shared" si="1174"/>
        <v>0</v>
      </c>
      <c r="BL1010" s="42" t="b">
        <f t="shared" si="1175"/>
        <v>0</v>
      </c>
      <c r="BM1010" s="42">
        <f t="shared" si="1176"/>
        <v>0</v>
      </c>
      <c r="BN1010" s="42">
        <f t="shared" si="1177"/>
        <v>0</v>
      </c>
      <c r="BP1010" t="e">
        <f t="shared" si="1178"/>
        <v>#N/A</v>
      </c>
      <c r="BQ1010" t="e">
        <f t="shared" si="1179"/>
        <v>#N/A</v>
      </c>
      <c r="BR1010" t="e">
        <f t="shared" si="1180"/>
        <v>#N/A</v>
      </c>
      <c r="BT1010" s="60">
        <f t="shared" si="1181"/>
        <v>0</v>
      </c>
      <c r="BU1010" s="60">
        <f t="shared" si="1182"/>
        <v>0</v>
      </c>
      <c r="BV1010" s="60">
        <f t="shared" si="1183"/>
        <v>0</v>
      </c>
      <c r="BW1010" s="60">
        <f t="shared" si="1184"/>
        <v>0</v>
      </c>
      <c r="BX1010" s="60">
        <f t="shared" si="1185"/>
        <v>0</v>
      </c>
      <c r="BY1010" s="60">
        <f t="shared" si="1186"/>
        <v>0</v>
      </c>
      <c r="BZ1010" s="60">
        <f t="shared" si="1187"/>
        <v>0</v>
      </c>
      <c r="CA1010" s="60">
        <f t="shared" si="1188"/>
        <v>0</v>
      </c>
      <c r="CB1010" s="60" t="e">
        <f t="shared" si="1138"/>
        <v>#N/A</v>
      </c>
      <c r="CC1010" s="60">
        <f t="shared" si="1139"/>
        <v>100000</v>
      </c>
      <c r="CD1010" s="60" t="e">
        <f t="shared" si="1140"/>
        <v>#N/A</v>
      </c>
      <c r="CE1010" s="60">
        <f t="shared" si="1141"/>
        <v>100000</v>
      </c>
      <c r="CF1010" s="83" t="e">
        <f t="shared" si="1189"/>
        <v>#N/A</v>
      </c>
      <c r="CG1010" s="83">
        <f t="shared" si="1190"/>
        <v>0</v>
      </c>
      <c r="CH1010" s="83" t="e">
        <f t="shared" si="1191"/>
        <v>#N/A</v>
      </c>
      <c r="CI1010" s="83">
        <f t="shared" si="1192"/>
        <v>0</v>
      </c>
      <c r="CJ1010" s="86" t="e">
        <f t="shared" si="1142"/>
        <v>#N/A</v>
      </c>
      <c r="CK1010" s="82">
        <f t="shared" si="1143"/>
        <v>5.3070370403969858E-3</v>
      </c>
      <c r="CL1010" s="82" t="e">
        <f t="shared" si="1144"/>
        <v>#N/A</v>
      </c>
      <c r="CM1010" s="82">
        <f t="shared" si="1145"/>
        <v>5.3070370403969858E-3</v>
      </c>
      <c r="CO1010" s="149" t="str">
        <f>IF($I1010&lt;&gt;"",IF(O1010="User Specified",U1010,INDEX('Refrigerant GWPs'!$G$2:$G$156,MATCH(O1010,'Refrigerant GWPs'!$A$2:$A$156,0))),"")</f>
        <v/>
      </c>
      <c r="CP1010" s="138" t="str">
        <f>IF($I1010&lt;&gt;"",INDEX('Device Refrigerant Leakage'!$E$2:$E$42,MATCH($M1010,'Device Refrigerant Leakage'!$B$2:$B$42,0)),"")</f>
        <v/>
      </c>
      <c r="CQ1010" s="138" t="str">
        <f>IF($I1010&lt;&gt;"",INDEX('Device Refrigerant Leakage'!$F$2:$F$42,MATCH($M1010,'Device Refrigerant Leakage'!$B$2:$B$42,0)),"")</f>
        <v/>
      </c>
      <c r="CR1010" s="145" t="str">
        <f>IF($I1010&lt;&gt;"",INDEX('Device Refrigerant Leakage'!$G$2:$G$42,MATCH($M1010,'Device Refrigerant Leakage'!$B$2:$B$42,0)),"")</f>
        <v/>
      </c>
      <c r="CS1010" s="145" t="str">
        <f>IF($I1010&lt;&gt;"",INDEX('Device Refrigerant Leakage'!$D$2:$D$42,MATCH($M1010,'Device Refrigerant Leakage'!$B$2:$B$42,0))*CP1010/2204.62*CO1010,"")</f>
        <v/>
      </c>
      <c r="CT1010" s="145" t="str">
        <f>IF($I1010&lt;&gt;"",J1010*(INDEX('Device Refrigerant Leakage'!$D$2:$D$42,MATCH($M1010,'Device Refrigerant Leakage'!$B$2:$B$42,0))-(INDEX('Device Refrigerant Leakage'!$D$2:$D$42,MATCH($M1010,'Device Refrigerant Leakage'!$B$2:$B$42,0)))*CR1010*CP1010)*CQ1010/2204.62*CO1010,"")</f>
        <v/>
      </c>
      <c r="CU1010" s="135" t="str">
        <f>IF($I1010&lt;&gt;"",J1010*IF(W1010&lt;&gt;"AR",(CS1010*K1010)+CT1010,(CS1010*AB1010)+CT1010*(AB1010/INDEX('Device Refrigerant Leakage'!$C$2:$C$42,MATCH($M1010,'Device Refrigerant Leakage'!$B$2:$B$42,0)))),"")</f>
        <v/>
      </c>
      <c r="CW1010" s="135" t="str">
        <f>IF($I1010&lt;&gt;"",IF(S1010="User Specified",V1010,INDEX('Refrigerant GWPs'!$G$2:$G$156,MATCH(S1010,'Refrigerant GWPs'!$A$2:$A$157,0))),"")</f>
        <v/>
      </c>
      <c r="CX1010" s="138" t="str">
        <f>IF($I1010&lt;&gt;"",INDEX('Device Refrigerant Leakage'!$E$2:$E$42,MATCH($Q1010,'Device Refrigerant Leakage'!$B$2:$B$42,0)),"")</f>
        <v/>
      </c>
      <c r="CY1010" s="138" t="str">
        <f>IF($I1010&lt;&gt;"",INDEX('Device Refrigerant Leakage'!$F$2:$F$42,MATCH($Q1010,'Device Refrigerant Leakage'!$B$2:$B$42,0)),"")</f>
        <v/>
      </c>
      <c r="CZ1010" s="145" t="str">
        <f>IF($I1010&lt;&gt;"",INDEX('Device Refrigerant Leakage'!$G$2:$G$42,MATCH($Q1010,'Device Refrigerant Leakage'!$B$2:$B$42,0)),"")</f>
        <v/>
      </c>
      <c r="DA1010" s="145" t="str">
        <f>IF($I1010&lt;&gt;"",J1010*INDEX('Device Refrigerant Leakage'!$D$2:$D$42,MATCH($Q1010,'Device Refrigerant Leakage'!$B$2:$B$42,0))*CX1010/2204.62*CW1010,"")</f>
        <v/>
      </c>
      <c r="DB1010" s="145" t="str">
        <f>IF($I1010&lt;&gt;"",J1010*(INDEX('Device Refrigerant Leakage'!$D$2:$D$42,MATCH($Q1010,'Device Refrigerant Leakage'!$B$2:$B$42,0))-(INDEX('Device Refrigerant Leakage'!$D$2:$D$42,MATCH($Q1010,'Device Refrigerant Leakage'!$B$2:$B$42,0)))*CZ1010*CX1010)*CY1010/2204.62*CW1010,"")</f>
        <v/>
      </c>
      <c r="DC1010" s="135" t="str">
        <f t="shared" si="1164"/>
        <v/>
      </c>
      <c r="DE1010" s="146" t="str">
        <f>IF(W1010&lt;&gt;"AR","",IF(Y1010="User Specified", AA1010, INDEX('Refrigerant GWPs'!$G$2:$G$154,MATCH(Y1010,'Refrigerant GWPs'!$A$2:$A$154,0))))</f>
        <v/>
      </c>
      <c r="DF1010" s="146" t="str">
        <f>IF(W1010&lt;&gt;"AR","",INDEX('Device Refrigerant Leakage'!$E$2:$E$42,MATCH(X1010,'Device Refrigerant Leakage'!$B$2:$B$42,0)))</f>
        <v/>
      </c>
      <c r="DG1010" s="146" t="str">
        <f>IF(W1010&lt;&gt;"AR","",INDEX('Device Refrigerant Leakage'!$F$2:$F$42,MATCH(X1010,'Device Refrigerant Leakage'!$B$2:$B$42,0)))</f>
        <v/>
      </c>
      <c r="DH1010" s="146" t="str">
        <f>IF(W1010&lt;&gt;"AR","",INDEX('Device Refrigerant Leakage'!$G$2:$G$42,MATCH(X1010,'Device Refrigerant Leakage'!$B$2:$B$42,0)))</f>
        <v/>
      </c>
      <c r="DI1010" s="146" t="str">
        <f>IF(W1010&lt;&gt;"AR","",J1010*INDEX('Device Refrigerant Leakage'!$D$2:$D$42,MATCH(X1010,'Device Refrigerant Leakage'!$B$2:$B$42,0))*DF1010/2204.62*DE1010)</f>
        <v/>
      </c>
      <c r="DJ1010" s="146" t="str">
        <f>IF(W1010&lt;&gt;"AR","",J1010*(INDEX('Device Refrigerant Leakage'!$D$2:$D$42,MATCH(X1010,'Device Refrigerant Leakage'!$B$2:$B$42,0))-(INDEX('Device Refrigerant Leakage'!$D$2:$D$42,MATCH(X1010,'Device Refrigerant Leakage'!$B$2:$B$42,0)))*DH1010*DF1010)*DG1010/2204.62*DE1010)</f>
        <v/>
      </c>
      <c r="DK1010" s="146" t="str">
        <f>IF(W1010&lt;&gt;"AR","",DI1010*(K1010-AB1010)+'Fuel Sub Calcs-Deemed'!DJ1010*((K1010-AB1010)/INDEX('Device Refrigerant Leakage'!$C$2:$C$42,MATCH('Fuel Sub Calcs-Deemed'!X1010,'Device Refrigerant Leakage'!$B$2:$B$42,0))))</f>
        <v/>
      </c>
      <c r="DM1010" s="56">
        <v>996</v>
      </c>
      <c r="DN1010" s="67" t="e">
        <f t="shared" si="1146"/>
        <v>#N/A</v>
      </c>
      <c r="DO1010" s="45" t="e">
        <f t="shared" si="1147"/>
        <v>#N/A</v>
      </c>
      <c r="DP1010" s="67" t="e">
        <f t="shared" si="1148"/>
        <v>#N/A</v>
      </c>
      <c r="DQ1010" s="45" t="e">
        <f t="shared" si="1149"/>
        <v>#N/A</v>
      </c>
      <c r="DR1010" s="69" t="e">
        <f t="shared" si="1150"/>
        <v>#N/A</v>
      </c>
      <c r="DS1010" s="34"/>
      <c r="DT1010" s="67" t="e">
        <f>((BX1010*CJ1010)+IF($W1010=MAT_AR,(BZ1010*CL1010),0))*(1+Reference!$E$50+Reference!$E$51)</f>
        <v>#N/A</v>
      </c>
      <c r="DU1010" s="67">
        <f>((BY1010*CK1010)+IF($W1010=MAT_AR,(CA1010*CM1010),0))*(1+Reference!$G$50+Reference!$G$51)</f>
        <v>0</v>
      </c>
      <c r="DV1010" s="67" t="e">
        <f t="shared" si="1151"/>
        <v>#VALUE!</v>
      </c>
      <c r="DX1010" s="56">
        <v>996</v>
      </c>
      <c r="DY1010" s="67">
        <f t="shared" si="1152"/>
        <v>0</v>
      </c>
      <c r="DZ1010" s="45" t="e">
        <f>VLOOKUP($R1010,Dropdown!$C$3:$D$4,2,FALSE)</f>
        <v>#N/A</v>
      </c>
      <c r="EA1010" s="68">
        <f t="shared" si="1153"/>
        <v>0</v>
      </c>
      <c r="EB1010" s="68" t="str">
        <f t="shared" si="1154"/>
        <v>N/A</v>
      </c>
      <c r="EC1010" s="68">
        <f t="shared" si="1155"/>
        <v>0</v>
      </c>
      <c r="ED1010" s="68" t="str">
        <f t="shared" si="1193"/>
        <v>N/A</v>
      </c>
      <c r="EF1010" s="56">
        <v>996</v>
      </c>
      <c r="EG1010" s="46">
        <f t="shared" si="1156"/>
        <v>0</v>
      </c>
      <c r="EH1010" s="68" t="e">
        <f t="shared" si="1194"/>
        <v>#N/A</v>
      </c>
      <c r="EI1010" s="68" t="e">
        <f t="shared" si="1195"/>
        <v>#N/A</v>
      </c>
      <c r="EJ1010" s="68" t="e">
        <f t="shared" si="1196"/>
        <v>#N/A</v>
      </c>
      <c r="EK1010" s="68" t="e">
        <f t="shared" si="1197"/>
        <v>#N/A</v>
      </c>
      <c r="EL1010" s="46">
        <f t="shared" si="1161"/>
        <v>0</v>
      </c>
      <c r="EM1010" s="46">
        <f t="shared" si="1198"/>
        <v>0</v>
      </c>
    </row>
    <row r="1011" spans="1:143">
      <c r="A1011" s="89"/>
      <c r="B1011" s="89"/>
      <c r="C1011" s="89"/>
      <c r="D1011" s="89"/>
      <c r="E1011" s="89"/>
      <c r="F1011" s="89"/>
      <c r="G1011" s="34"/>
      <c r="H1011" s="56">
        <f t="shared" si="1163"/>
        <v>997</v>
      </c>
      <c r="I1011" s="165"/>
      <c r="J1011" s="163"/>
      <c r="K1011" s="163"/>
      <c r="L1011" s="164"/>
      <c r="M1011" s="155"/>
      <c r="N1011" s="155"/>
      <c r="O1011" s="144"/>
      <c r="P1011" s="159" t="str">
        <f>IFERROR(IF(O1011&lt;&gt;"User Specified",IF(O1011&lt;&gt;"", INDEX('Refrigerant GWPs'!$G$2:$G$154,MATCH(O1011,'Refrigerant GWPs'!$A$2:$A$154,0)),""),U1011),0)</f>
        <v/>
      </c>
      <c r="Q1011" s="155"/>
      <c r="R1011" s="155"/>
      <c r="S1011" s="144"/>
      <c r="T1011" s="159" t="str">
        <f>IF(S1011&lt;&gt;"User Specified",IF(AND(S1011&lt;&gt;"User Specified",S1011&lt;&gt;""), INDEX('Refrigerant GWPs'!$G$2:$G$154,MATCH(S1011,'Refrigerant GWPs'!$A$2:$A$154,0)),""),V1011)</f>
        <v/>
      </c>
      <c r="U1011" s="144"/>
      <c r="V1011" s="144"/>
      <c r="W1011" s="155"/>
      <c r="X1011" s="155"/>
      <c r="Y1011" s="144"/>
      <c r="Z1011" s="159" t="str">
        <f>IF(AND(Y1011&lt;&gt;"User Specified",Y1011&lt;&gt;""), INDEX('Refrigerant GWPs'!$G$2:$G$154,MATCH(Y1011,'Refrigerant GWPs'!$A$2:$A$154,0)),"")</f>
        <v/>
      </c>
      <c r="AA1011" s="155"/>
      <c r="AB1011" s="156"/>
      <c r="AC1011" s="66"/>
      <c r="AD1011" s="66"/>
      <c r="AE1011" s="66"/>
      <c r="AF1011" s="66"/>
      <c r="AG1011" s="66"/>
      <c r="AH1011" s="66"/>
      <c r="AI1011" s="34"/>
      <c r="AJ1011" s="88">
        <f t="shared" si="1126"/>
        <v>0</v>
      </c>
      <c r="AK1011" s="88">
        <f t="shared" si="1127"/>
        <v>0</v>
      </c>
      <c r="AL1011" s="88">
        <v>0</v>
      </c>
      <c r="AM1011" s="88">
        <v>0</v>
      </c>
      <c r="AN1011" s="81" t="str">
        <f t="shared" si="1165"/>
        <v/>
      </c>
      <c r="AO1011" s="88">
        <f t="shared" si="1128"/>
        <v>0</v>
      </c>
      <c r="AP1011" s="88">
        <f t="shared" si="1129"/>
        <v>0</v>
      </c>
      <c r="AQ1011" s="81" t="str">
        <f t="shared" si="1130"/>
        <v/>
      </c>
      <c r="AS1011" s="41" t="b">
        <f t="shared" si="1131"/>
        <v>1</v>
      </c>
      <c r="AT1011" s="38">
        <f t="shared" si="1132"/>
        <v>0</v>
      </c>
      <c r="AU1011" s="60">
        <f t="shared" si="1133"/>
        <v>0</v>
      </c>
      <c r="AV1011" s="41">
        <f t="shared" si="1134"/>
        <v>0</v>
      </c>
      <c r="AW1011" s="41" t="b">
        <f t="shared" si="1135"/>
        <v>0</v>
      </c>
      <c r="AX1011" t="str">
        <f t="shared" si="1136"/>
        <v>+00</v>
      </c>
      <c r="AY1011" t="str">
        <f t="shared" si="1137"/>
        <v>+00</v>
      </c>
      <c r="BA1011" s="47" t="b">
        <f t="shared" si="1166"/>
        <v>1</v>
      </c>
      <c r="BB1011" s="42" t="b">
        <f t="shared" si="1167"/>
        <v>1</v>
      </c>
      <c r="BC1011" s="42" t="b">
        <f t="shared" si="1168"/>
        <v>0</v>
      </c>
      <c r="BD1011" s="42" t="b">
        <f t="shared" si="1169"/>
        <v>0</v>
      </c>
      <c r="BE1011" s="70">
        <f t="shared" si="1170"/>
        <v>0</v>
      </c>
      <c r="BF1011" s="70">
        <f t="shared" si="1171"/>
        <v>0</v>
      </c>
      <c r="BG1011" s="34"/>
      <c r="BI1011" s="47" t="b">
        <f t="shared" si="1172"/>
        <v>1</v>
      </c>
      <c r="BJ1011" s="47" t="b">
        <f t="shared" si="1173"/>
        <v>1</v>
      </c>
      <c r="BK1011" s="42" t="b">
        <f t="shared" si="1174"/>
        <v>0</v>
      </c>
      <c r="BL1011" s="42" t="b">
        <f t="shared" si="1175"/>
        <v>0</v>
      </c>
      <c r="BM1011" s="42">
        <f t="shared" si="1176"/>
        <v>0</v>
      </c>
      <c r="BN1011" s="42">
        <f t="shared" si="1177"/>
        <v>0</v>
      </c>
      <c r="BP1011" t="e">
        <f t="shared" si="1178"/>
        <v>#N/A</v>
      </c>
      <c r="BQ1011" t="e">
        <f t="shared" si="1179"/>
        <v>#N/A</v>
      </c>
      <c r="BR1011" t="e">
        <f t="shared" si="1180"/>
        <v>#N/A</v>
      </c>
      <c r="BT1011" s="60">
        <f t="shared" si="1181"/>
        <v>0</v>
      </c>
      <c r="BU1011" s="60">
        <f t="shared" si="1182"/>
        <v>0</v>
      </c>
      <c r="BV1011" s="60">
        <f t="shared" si="1183"/>
        <v>0</v>
      </c>
      <c r="BW1011" s="60">
        <f t="shared" si="1184"/>
        <v>0</v>
      </c>
      <c r="BX1011" s="60">
        <f t="shared" si="1185"/>
        <v>0</v>
      </c>
      <c r="BY1011" s="60">
        <f t="shared" si="1186"/>
        <v>0</v>
      </c>
      <c r="BZ1011" s="60">
        <f t="shared" si="1187"/>
        <v>0</v>
      </c>
      <c r="CA1011" s="60">
        <f t="shared" si="1188"/>
        <v>0</v>
      </c>
      <c r="CB1011" s="60" t="e">
        <f t="shared" si="1138"/>
        <v>#N/A</v>
      </c>
      <c r="CC1011" s="60">
        <f t="shared" si="1139"/>
        <v>100000</v>
      </c>
      <c r="CD1011" s="60" t="e">
        <f t="shared" si="1140"/>
        <v>#N/A</v>
      </c>
      <c r="CE1011" s="60">
        <f t="shared" si="1141"/>
        <v>100000</v>
      </c>
      <c r="CF1011" s="83" t="e">
        <f t="shared" si="1189"/>
        <v>#N/A</v>
      </c>
      <c r="CG1011" s="83">
        <f t="shared" si="1190"/>
        <v>0</v>
      </c>
      <c r="CH1011" s="83" t="e">
        <f t="shared" si="1191"/>
        <v>#N/A</v>
      </c>
      <c r="CI1011" s="83">
        <f t="shared" si="1192"/>
        <v>0</v>
      </c>
      <c r="CJ1011" s="86" t="e">
        <f t="shared" si="1142"/>
        <v>#N/A</v>
      </c>
      <c r="CK1011" s="82">
        <f t="shared" si="1143"/>
        <v>5.3070370403969858E-3</v>
      </c>
      <c r="CL1011" s="82" t="e">
        <f t="shared" si="1144"/>
        <v>#N/A</v>
      </c>
      <c r="CM1011" s="82">
        <f t="shared" si="1145"/>
        <v>5.3070370403969858E-3</v>
      </c>
      <c r="CO1011" s="149" t="str">
        <f>IF($I1011&lt;&gt;"",IF(O1011="User Specified",U1011,INDEX('Refrigerant GWPs'!$G$2:$G$156,MATCH(O1011,'Refrigerant GWPs'!$A$2:$A$156,0))),"")</f>
        <v/>
      </c>
      <c r="CP1011" s="138" t="str">
        <f>IF($I1011&lt;&gt;"",INDEX('Device Refrigerant Leakage'!$E$2:$E$42,MATCH($M1011,'Device Refrigerant Leakage'!$B$2:$B$42,0)),"")</f>
        <v/>
      </c>
      <c r="CQ1011" s="138" t="str">
        <f>IF($I1011&lt;&gt;"",INDEX('Device Refrigerant Leakage'!$F$2:$F$42,MATCH($M1011,'Device Refrigerant Leakage'!$B$2:$B$42,0)),"")</f>
        <v/>
      </c>
      <c r="CR1011" s="145" t="str">
        <f>IF($I1011&lt;&gt;"",INDEX('Device Refrigerant Leakage'!$G$2:$G$42,MATCH($M1011,'Device Refrigerant Leakage'!$B$2:$B$42,0)),"")</f>
        <v/>
      </c>
      <c r="CS1011" s="145" t="str">
        <f>IF($I1011&lt;&gt;"",INDEX('Device Refrigerant Leakage'!$D$2:$D$42,MATCH($M1011,'Device Refrigerant Leakage'!$B$2:$B$42,0))*CP1011/2204.62*CO1011,"")</f>
        <v/>
      </c>
      <c r="CT1011" s="145" t="str">
        <f>IF($I1011&lt;&gt;"",J1011*(INDEX('Device Refrigerant Leakage'!$D$2:$D$42,MATCH($M1011,'Device Refrigerant Leakage'!$B$2:$B$42,0))-(INDEX('Device Refrigerant Leakage'!$D$2:$D$42,MATCH($M1011,'Device Refrigerant Leakage'!$B$2:$B$42,0)))*CR1011*CP1011)*CQ1011/2204.62*CO1011,"")</f>
        <v/>
      </c>
      <c r="CU1011" s="135" t="str">
        <f>IF($I1011&lt;&gt;"",J1011*IF(W1011&lt;&gt;"AR",(CS1011*K1011)+CT1011,(CS1011*AB1011)+CT1011*(AB1011/INDEX('Device Refrigerant Leakage'!$C$2:$C$42,MATCH($M1011,'Device Refrigerant Leakage'!$B$2:$B$42,0)))),"")</f>
        <v/>
      </c>
      <c r="CW1011" s="135" t="str">
        <f>IF($I1011&lt;&gt;"",IF(S1011="User Specified",V1011,INDEX('Refrigerant GWPs'!$G$2:$G$156,MATCH(S1011,'Refrigerant GWPs'!$A$2:$A$157,0))),"")</f>
        <v/>
      </c>
      <c r="CX1011" s="138" t="str">
        <f>IF($I1011&lt;&gt;"",INDEX('Device Refrigerant Leakage'!$E$2:$E$42,MATCH($Q1011,'Device Refrigerant Leakage'!$B$2:$B$42,0)),"")</f>
        <v/>
      </c>
      <c r="CY1011" s="138" t="str">
        <f>IF($I1011&lt;&gt;"",INDEX('Device Refrigerant Leakage'!$F$2:$F$42,MATCH($Q1011,'Device Refrigerant Leakage'!$B$2:$B$42,0)),"")</f>
        <v/>
      </c>
      <c r="CZ1011" s="145" t="str">
        <f>IF($I1011&lt;&gt;"",INDEX('Device Refrigerant Leakage'!$G$2:$G$42,MATCH($Q1011,'Device Refrigerant Leakage'!$B$2:$B$42,0)),"")</f>
        <v/>
      </c>
      <c r="DA1011" s="145" t="str">
        <f>IF($I1011&lt;&gt;"",J1011*INDEX('Device Refrigerant Leakage'!$D$2:$D$42,MATCH($Q1011,'Device Refrigerant Leakage'!$B$2:$B$42,0))*CX1011/2204.62*CW1011,"")</f>
        <v/>
      </c>
      <c r="DB1011" s="145" t="str">
        <f>IF($I1011&lt;&gt;"",J1011*(INDEX('Device Refrigerant Leakage'!$D$2:$D$42,MATCH($Q1011,'Device Refrigerant Leakage'!$B$2:$B$42,0))-(INDEX('Device Refrigerant Leakage'!$D$2:$D$42,MATCH($Q1011,'Device Refrigerant Leakage'!$B$2:$B$42,0)))*CZ1011*CX1011)*CY1011/2204.62*CW1011,"")</f>
        <v/>
      </c>
      <c r="DC1011" s="135" t="str">
        <f t="shared" si="1164"/>
        <v/>
      </c>
      <c r="DE1011" s="146" t="str">
        <f>IF(W1011&lt;&gt;"AR","",IF(Y1011="User Specified", AA1011, INDEX('Refrigerant GWPs'!$G$2:$G$154,MATCH(Y1011,'Refrigerant GWPs'!$A$2:$A$154,0))))</f>
        <v/>
      </c>
      <c r="DF1011" s="146" t="str">
        <f>IF(W1011&lt;&gt;"AR","",INDEX('Device Refrigerant Leakage'!$E$2:$E$42,MATCH(X1011,'Device Refrigerant Leakage'!$B$2:$B$42,0)))</f>
        <v/>
      </c>
      <c r="DG1011" s="146" t="str">
        <f>IF(W1011&lt;&gt;"AR","",INDEX('Device Refrigerant Leakage'!$F$2:$F$42,MATCH(X1011,'Device Refrigerant Leakage'!$B$2:$B$42,0)))</f>
        <v/>
      </c>
      <c r="DH1011" s="146" t="str">
        <f>IF(W1011&lt;&gt;"AR","",INDEX('Device Refrigerant Leakage'!$G$2:$G$42,MATCH(X1011,'Device Refrigerant Leakage'!$B$2:$B$42,0)))</f>
        <v/>
      </c>
      <c r="DI1011" s="146" t="str">
        <f>IF(W1011&lt;&gt;"AR","",J1011*INDEX('Device Refrigerant Leakage'!$D$2:$D$42,MATCH(X1011,'Device Refrigerant Leakage'!$B$2:$B$42,0))*DF1011/2204.62*DE1011)</f>
        <v/>
      </c>
      <c r="DJ1011" s="146" t="str">
        <f>IF(W1011&lt;&gt;"AR","",J1011*(INDEX('Device Refrigerant Leakage'!$D$2:$D$42,MATCH(X1011,'Device Refrigerant Leakage'!$B$2:$B$42,0))-(INDEX('Device Refrigerant Leakage'!$D$2:$D$42,MATCH(X1011,'Device Refrigerant Leakage'!$B$2:$B$42,0)))*DH1011*DF1011)*DG1011/2204.62*DE1011)</f>
        <v/>
      </c>
      <c r="DK1011" s="146" t="str">
        <f>IF(W1011&lt;&gt;"AR","",DI1011*(K1011-AB1011)+'Fuel Sub Calcs-Deemed'!DJ1011*((K1011-AB1011)/INDEX('Device Refrigerant Leakage'!$C$2:$C$42,MATCH('Fuel Sub Calcs-Deemed'!X1011,'Device Refrigerant Leakage'!$B$2:$B$42,0))))</f>
        <v/>
      </c>
      <c r="DM1011" s="56">
        <v>997</v>
      </c>
      <c r="DN1011" s="67" t="e">
        <f t="shared" si="1146"/>
        <v>#N/A</v>
      </c>
      <c r="DO1011" s="45" t="e">
        <f t="shared" si="1147"/>
        <v>#N/A</v>
      </c>
      <c r="DP1011" s="67" t="e">
        <f t="shared" si="1148"/>
        <v>#N/A</v>
      </c>
      <c r="DQ1011" s="45" t="e">
        <f t="shared" si="1149"/>
        <v>#N/A</v>
      </c>
      <c r="DR1011" s="69" t="e">
        <f t="shared" si="1150"/>
        <v>#N/A</v>
      </c>
      <c r="DS1011" s="34"/>
      <c r="DT1011" s="67" t="e">
        <f>((BX1011*CJ1011)+IF($W1011=MAT_AR,(BZ1011*CL1011),0))*(1+Reference!$E$50+Reference!$E$51)</f>
        <v>#N/A</v>
      </c>
      <c r="DU1011" s="67">
        <f>((BY1011*CK1011)+IF($W1011=MAT_AR,(CA1011*CM1011),0))*(1+Reference!$G$50+Reference!$G$51)</f>
        <v>0</v>
      </c>
      <c r="DV1011" s="67" t="e">
        <f t="shared" si="1151"/>
        <v>#VALUE!</v>
      </c>
      <c r="DX1011" s="56">
        <v>997</v>
      </c>
      <c r="DY1011" s="67">
        <f t="shared" si="1152"/>
        <v>0</v>
      </c>
      <c r="DZ1011" s="45" t="e">
        <f>VLOOKUP($R1011,Dropdown!$C$3:$D$4,2,FALSE)</f>
        <v>#N/A</v>
      </c>
      <c r="EA1011" s="68">
        <f t="shared" si="1153"/>
        <v>0</v>
      </c>
      <c r="EB1011" s="68" t="str">
        <f t="shared" si="1154"/>
        <v>N/A</v>
      </c>
      <c r="EC1011" s="68">
        <f t="shared" si="1155"/>
        <v>0</v>
      </c>
      <c r="ED1011" s="68" t="str">
        <f t="shared" si="1193"/>
        <v>N/A</v>
      </c>
      <c r="EF1011" s="56">
        <v>997</v>
      </c>
      <c r="EG1011" s="46">
        <f t="shared" si="1156"/>
        <v>0</v>
      </c>
      <c r="EH1011" s="68" t="e">
        <f t="shared" si="1194"/>
        <v>#N/A</v>
      </c>
      <c r="EI1011" s="68" t="e">
        <f t="shared" si="1195"/>
        <v>#N/A</v>
      </c>
      <c r="EJ1011" s="68" t="e">
        <f t="shared" si="1196"/>
        <v>#N/A</v>
      </c>
      <c r="EK1011" s="68" t="e">
        <f t="shared" si="1197"/>
        <v>#N/A</v>
      </c>
      <c r="EL1011" s="46">
        <f t="shared" si="1161"/>
        <v>0</v>
      </c>
      <c r="EM1011" s="46">
        <f t="shared" si="1198"/>
        <v>0</v>
      </c>
    </row>
    <row r="1012" spans="1:143">
      <c r="A1012" s="89"/>
      <c r="B1012" s="89"/>
      <c r="C1012" s="89"/>
      <c r="D1012" s="89"/>
      <c r="E1012" s="89"/>
      <c r="F1012" s="89"/>
      <c r="G1012" s="34"/>
      <c r="H1012" s="56">
        <f t="shared" si="1163"/>
        <v>998</v>
      </c>
      <c r="I1012" s="165"/>
      <c r="J1012" s="163"/>
      <c r="K1012" s="163"/>
      <c r="L1012" s="164"/>
      <c r="M1012" s="155"/>
      <c r="N1012" s="155"/>
      <c r="O1012" s="144"/>
      <c r="P1012" s="159" t="str">
        <f>IFERROR(IF(O1012&lt;&gt;"User Specified",IF(O1012&lt;&gt;"", INDEX('Refrigerant GWPs'!$G$2:$G$154,MATCH(O1012,'Refrigerant GWPs'!$A$2:$A$154,0)),""),U1012),0)</f>
        <v/>
      </c>
      <c r="Q1012" s="155"/>
      <c r="R1012" s="155"/>
      <c r="S1012" s="144"/>
      <c r="T1012" s="159" t="str">
        <f>IF(S1012&lt;&gt;"User Specified",IF(AND(S1012&lt;&gt;"User Specified",S1012&lt;&gt;""), INDEX('Refrigerant GWPs'!$G$2:$G$154,MATCH(S1012,'Refrigerant GWPs'!$A$2:$A$154,0)),""),V1012)</f>
        <v/>
      </c>
      <c r="U1012" s="144"/>
      <c r="V1012" s="144"/>
      <c r="W1012" s="155"/>
      <c r="X1012" s="155"/>
      <c r="Y1012" s="144"/>
      <c r="Z1012" s="159" t="str">
        <f>IF(AND(Y1012&lt;&gt;"User Specified",Y1012&lt;&gt;""), INDEX('Refrigerant GWPs'!$G$2:$G$154,MATCH(Y1012,'Refrigerant GWPs'!$A$2:$A$154,0)),"")</f>
        <v/>
      </c>
      <c r="AA1012" s="155"/>
      <c r="AB1012" s="156"/>
      <c r="AC1012" s="66"/>
      <c r="AD1012" s="66"/>
      <c r="AE1012" s="66"/>
      <c r="AF1012" s="66"/>
      <c r="AG1012" s="66"/>
      <c r="AH1012" s="66"/>
      <c r="AI1012" s="34"/>
      <c r="AJ1012" s="88">
        <f t="shared" si="1126"/>
        <v>0</v>
      </c>
      <c r="AK1012" s="88">
        <f t="shared" si="1127"/>
        <v>0</v>
      </c>
      <c r="AL1012" s="88">
        <v>0</v>
      </c>
      <c r="AM1012" s="88">
        <v>0</v>
      </c>
      <c r="AN1012" s="81" t="str">
        <f t="shared" si="1165"/>
        <v/>
      </c>
      <c r="AO1012" s="88">
        <f t="shared" si="1128"/>
        <v>0</v>
      </c>
      <c r="AP1012" s="88">
        <f t="shared" si="1129"/>
        <v>0</v>
      </c>
      <c r="AQ1012" s="81" t="str">
        <f t="shared" si="1130"/>
        <v/>
      </c>
      <c r="AS1012" s="41" t="b">
        <f t="shared" si="1131"/>
        <v>1</v>
      </c>
      <c r="AT1012" s="38">
        <f t="shared" si="1132"/>
        <v>0</v>
      </c>
      <c r="AU1012" s="60">
        <f t="shared" si="1133"/>
        <v>0</v>
      </c>
      <c r="AV1012" s="41">
        <f t="shared" si="1134"/>
        <v>0</v>
      </c>
      <c r="AW1012" s="41" t="b">
        <f t="shared" si="1135"/>
        <v>0</v>
      </c>
      <c r="AX1012" t="str">
        <f t="shared" si="1136"/>
        <v>+00</v>
      </c>
      <c r="AY1012" t="str">
        <f t="shared" si="1137"/>
        <v>+00</v>
      </c>
      <c r="BA1012" s="47" t="b">
        <f t="shared" si="1166"/>
        <v>1</v>
      </c>
      <c r="BB1012" s="42" t="b">
        <f t="shared" si="1167"/>
        <v>1</v>
      </c>
      <c r="BC1012" s="42" t="b">
        <f t="shared" si="1168"/>
        <v>0</v>
      </c>
      <c r="BD1012" s="42" t="b">
        <f t="shared" si="1169"/>
        <v>0</v>
      </c>
      <c r="BE1012" s="70">
        <f t="shared" si="1170"/>
        <v>0</v>
      </c>
      <c r="BF1012" s="70">
        <f t="shared" si="1171"/>
        <v>0</v>
      </c>
      <c r="BG1012" s="34"/>
      <c r="BI1012" s="47" t="b">
        <f t="shared" si="1172"/>
        <v>1</v>
      </c>
      <c r="BJ1012" s="47" t="b">
        <f t="shared" si="1173"/>
        <v>1</v>
      </c>
      <c r="BK1012" s="42" t="b">
        <f t="shared" si="1174"/>
        <v>0</v>
      </c>
      <c r="BL1012" s="42" t="b">
        <f t="shared" si="1175"/>
        <v>0</v>
      </c>
      <c r="BM1012" s="42">
        <f t="shared" si="1176"/>
        <v>0</v>
      </c>
      <c r="BN1012" s="42">
        <f t="shared" si="1177"/>
        <v>0</v>
      </c>
      <c r="BP1012" t="e">
        <f t="shared" si="1178"/>
        <v>#N/A</v>
      </c>
      <c r="BQ1012" t="e">
        <f t="shared" si="1179"/>
        <v>#N/A</v>
      </c>
      <c r="BR1012" t="e">
        <f t="shared" si="1180"/>
        <v>#N/A</v>
      </c>
      <c r="BT1012" s="60">
        <f t="shared" si="1181"/>
        <v>0</v>
      </c>
      <c r="BU1012" s="60">
        <f t="shared" si="1182"/>
        <v>0</v>
      </c>
      <c r="BV1012" s="60">
        <f t="shared" si="1183"/>
        <v>0</v>
      </c>
      <c r="BW1012" s="60">
        <f t="shared" si="1184"/>
        <v>0</v>
      </c>
      <c r="BX1012" s="60">
        <f t="shared" si="1185"/>
        <v>0</v>
      </c>
      <c r="BY1012" s="60">
        <f t="shared" si="1186"/>
        <v>0</v>
      </c>
      <c r="BZ1012" s="60">
        <f t="shared" si="1187"/>
        <v>0</v>
      </c>
      <c r="CA1012" s="60">
        <f t="shared" si="1188"/>
        <v>0</v>
      </c>
      <c r="CB1012" s="60" t="e">
        <f t="shared" si="1138"/>
        <v>#N/A</v>
      </c>
      <c r="CC1012" s="60">
        <f t="shared" si="1139"/>
        <v>100000</v>
      </c>
      <c r="CD1012" s="60" t="e">
        <f t="shared" si="1140"/>
        <v>#N/A</v>
      </c>
      <c r="CE1012" s="60">
        <f t="shared" si="1141"/>
        <v>100000</v>
      </c>
      <c r="CF1012" s="83" t="e">
        <f t="shared" si="1189"/>
        <v>#N/A</v>
      </c>
      <c r="CG1012" s="83">
        <f t="shared" si="1190"/>
        <v>0</v>
      </c>
      <c r="CH1012" s="83" t="e">
        <f t="shared" si="1191"/>
        <v>#N/A</v>
      </c>
      <c r="CI1012" s="83">
        <f t="shared" si="1192"/>
        <v>0</v>
      </c>
      <c r="CJ1012" s="86" t="e">
        <f t="shared" si="1142"/>
        <v>#N/A</v>
      </c>
      <c r="CK1012" s="82">
        <f t="shared" si="1143"/>
        <v>5.3070370403969858E-3</v>
      </c>
      <c r="CL1012" s="82" t="e">
        <f t="shared" si="1144"/>
        <v>#N/A</v>
      </c>
      <c r="CM1012" s="82">
        <f t="shared" si="1145"/>
        <v>5.3070370403969858E-3</v>
      </c>
      <c r="CO1012" s="149" t="str">
        <f>IF($I1012&lt;&gt;"",IF(O1012="User Specified",U1012,INDEX('Refrigerant GWPs'!$G$2:$G$156,MATCH(O1012,'Refrigerant GWPs'!$A$2:$A$156,0))),"")</f>
        <v/>
      </c>
      <c r="CP1012" s="138" t="str">
        <f>IF($I1012&lt;&gt;"",INDEX('Device Refrigerant Leakage'!$E$2:$E$42,MATCH($M1012,'Device Refrigerant Leakage'!$B$2:$B$42,0)),"")</f>
        <v/>
      </c>
      <c r="CQ1012" s="138" t="str">
        <f>IF($I1012&lt;&gt;"",INDEX('Device Refrigerant Leakage'!$F$2:$F$42,MATCH($M1012,'Device Refrigerant Leakage'!$B$2:$B$42,0)),"")</f>
        <v/>
      </c>
      <c r="CR1012" s="145" t="str">
        <f>IF($I1012&lt;&gt;"",INDEX('Device Refrigerant Leakage'!$G$2:$G$42,MATCH($M1012,'Device Refrigerant Leakage'!$B$2:$B$42,0)),"")</f>
        <v/>
      </c>
      <c r="CS1012" s="145" t="str">
        <f>IF($I1012&lt;&gt;"",INDEX('Device Refrigerant Leakage'!$D$2:$D$42,MATCH($M1012,'Device Refrigerant Leakage'!$B$2:$B$42,0))*CP1012/2204.62*CO1012,"")</f>
        <v/>
      </c>
      <c r="CT1012" s="145" t="str">
        <f>IF($I1012&lt;&gt;"",J1012*(INDEX('Device Refrigerant Leakage'!$D$2:$D$42,MATCH($M1012,'Device Refrigerant Leakage'!$B$2:$B$42,0))-(INDEX('Device Refrigerant Leakage'!$D$2:$D$42,MATCH($M1012,'Device Refrigerant Leakage'!$B$2:$B$42,0)))*CR1012*CP1012)*CQ1012/2204.62*CO1012,"")</f>
        <v/>
      </c>
      <c r="CU1012" s="135" t="str">
        <f>IF($I1012&lt;&gt;"",J1012*IF(W1012&lt;&gt;"AR",(CS1012*K1012)+CT1012,(CS1012*AB1012)+CT1012*(AB1012/INDEX('Device Refrigerant Leakage'!$C$2:$C$42,MATCH($M1012,'Device Refrigerant Leakage'!$B$2:$B$42,0)))),"")</f>
        <v/>
      </c>
      <c r="CW1012" s="135" t="str">
        <f>IF($I1012&lt;&gt;"",IF(S1012="User Specified",V1012,INDEX('Refrigerant GWPs'!$G$2:$G$156,MATCH(S1012,'Refrigerant GWPs'!$A$2:$A$157,0))),"")</f>
        <v/>
      </c>
      <c r="CX1012" s="138" t="str">
        <f>IF($I1012&lt;&gt;"",INDEX('Device Refrigerant Leakage'!$E$2:$E$42,MATCH($Q1012,'Device Refrigerant Leakage'!$B$2:$B$42,0)),"")</f>
        <v/>
      </c>
      <c r="CY1012" s="138" t="str">
        <f>IF($I1012&lt;&gt;"",INDEX('Device Refrigerant Leakage'!$F$2:$F$42,MATCH($Q1012,'Device Refrigerant Leakage'!$B$2:$B$42,0)),"")</f>
        <v/>
      </c>
      <c r="CZ1012" s="145" t="str">
        <f>IF($I1012&lt;&gt;"",INDEX('Device Refrigerant Leakage'!$G$2:$G$42,MATCH($Q1012,'Device Refrigerant Leakage'!$B$2:$B$42,0)),"")</f>
        <v/>
      </c>
      <c r="DA1012" s="145" t="str">
        <f>IF($I1012&lt;&gt;"",J1012*INDEX('Device Refrigerant Leakage'!$D$2:$D$42,MATCH($Q1012,'Device Refrigerant Leakage'!$B$2:$B$42,0))*CX1012/2204.62*CW1012,"")</f>
        <v/>
      </c>
      <c r="DB1012" s="145" t="str">
        <f>IF($I1012&lt;&gt;"",J1012*(INDEX('Device Refrigerant Leakage'!$D$2:$D$42,MATCH($Q1012,'Device Refrigerant Leakage'!$B$2:$B$42,0))-(INDEX('Device Refrigerant Leakage'!$D$2:$D$42,MATCH($Q1012,'Device Refrigerant Leakage'!$B$2:$B$42,0)))*CZ1012*CX1012)*CY1012/2204.62*CW1012,"")</f>
        <v/>
      </c>
      <c r="DC1012" s="135" t="str">
        <f t="shared" si="1164"/>
        <v/>
      </c>
      <c r="DE1012" s="146" t="str">
        <f>IF(W1012&lt;&gt;"AR","",IF(Y1012="User Specified", AA1012, INDEX('Refrigerant GWPs'!$G$2:$G$154,MATCH(Y1012,'Refrigerant GWPs'!$A$2:$A$154,0))))</f>
        <v/>
      </c>
      <c r="DF1012" s="146" t="str">
        <f>IF(W1012&lt;&gt;"AR","",INDEX('Device Refrigerant Leakage'!$E$2:$E$42,MATCH(X1012,'Device Refrigerant Leakage'!$B$2:$B$42,0)))</f>
        <v/>
      </c>
      <c r="DG1012" s="146" t="str">
        <f>IF(W1012&lt;&gt;"AR","",INDEX('Device Refrigerant Leakage'!$F$2:$F$42,MATCH(X1012,'Device Refrigerant Leakage'!$B$2:$B$42,0)))</f>
        <v/>
      </c>
      <c r="DH1012" s="146" t="str">
        <f>IF(W1012&lt;&gt;"AR","",INDEX('Device Refrigerant Leakage'!$G$2:$G$42,MATCH(X1012,'Device Refrigerant Leakage'!$B$2:$B$42,0)))</f>
        <v/>
      </c>
      <c r="DI1012" s="146" t="str">
        <f>IF(W1012&lt;&gt;"AR","",J1012*INDEX('Device Refrigerant Leakage'!$D$2:$D$42,MATCH(X1012,'Device Refrigerant Leakage'!$B$2:$B$42,0))*DF1012/2204.62*DE1012)</f>
        <v/>
      </c>
      <c r="DJ1012" s="146" t="str">
        <f>IF(W1012&lt;&gt;"AR","",J1012*(INDEX('Device Refrigerant Leakage'!$D$2:$D$42,MATCH(X1012,'Device Refrigerant Leakage'!$B$2:$B$42,0))-(INDEX('Device Refrigerant Leakage'!$D$2:$D$42,MATCH(X1012,'Device Refrigerant Leakage'!$B$2:$B$42,0)))*DH1012*DF1012)*DG1012/2204.62*DE1012)</f>
        <v/>
      </c>
      <c r="DK1012" s="146" t="str">
        <f>IF(W1012&lt;&gt;"AR","",DI1012*(K1012-AB1012)+'Fuel Sub Calcs-Deemed'!DJ1012*((K1012-AB1012)/INDEX('Device Refrigerant Leakage'!$C$2:$C$42,MATCH('Fuel Sub Calcs-Deemed'!X1012,'Device Refrigerant Leakage'!$B$2:$B$42,0))))</f>
        <v/>
      </c>
      <c r="DM1012" s="56">
        <v>998</v>
      </c>
      <c r="DN1012" s="67" t="e">
        <f t="shared" si="1146"/>
        <v>#N/A</v>
      </c>
      <c r="DO1012" s="45" t="e">
        <f t="shared" si="1147"/>
        <v>#N/A</v>
      </c>
      <c r="DP1012" s="67" t="e">
        <f t="shared" si="1148"/>
        <v>#N/A</v>
      </c>
      <c r="DQ1012" s="45" t="e">
        <f t="shared" si="1149"/>
        <v>#N/A</v>
      </c>
      <c r="DR1012" s="69" t="e">
        <f t="shared" si="1150"/>
        <v>#N/A</v>
      </c>
      <c r="DS1012" s="34"/>
      <c r="DT1012" s="67" t="e">
        <f>((BX1012*CJ1012)+IF($W1012=MAT_AR,(BZ1012*CL1012),0))*(1+Reference!$E$50+Reference!$E$51)</f>
        <v>#N/A</v>
      </c>
      <c r="DU1012" s="67">
        <f>((BY1012*CK1012)+IF($W1012=MAT_AR,(CA1012*CM1012),0))*(1+Reference!$G$50+Reference!$G$51)</f>
        <v>0</v>
      </c>
      <c r="DV1012" s="67" t="e">
        <f t="shared" si="1151"/>
        <v>#VALUE!</v>
      </c>
      <c r="DX1012" s="56">
        <v>998</v>
      </c>
      <c r="DY1012" s="67">
        <f t="shared" si="1152"/>
        <v>0</v>
      </c>
      <c r="DZ1012" s="45" t="e">
        <f>VLOOKUP($R1012,Dropdown!$C$3:$D$4,2,FALSE)</f>
        <v>#N/A</v>
      </c>
      <c r="EA1012" s="68">
        <f t="shared" si="1153"/>
        <v>0</v>
      </c>
      <c r="EB1012" s="68" t="str">
        <f t="shared" si="1154"/>
        <v>N/A</v>
      </c>
      <c r="EC1012" s="68">
        <f t="shared" si="1155"/>
        <v>0</v>
      </c>
      <c r="ED1012" s="68" t="str">
        <f t="shared" si="1193"/>
        <v>N/A</v>
      </c>
      <c r="EF1012" s="56">
        <v>998</v>
      </c>
      <c r="EG1012" s="46">
        <f t="shared" si="1156"/>
        <v>0</v>
      </c>
      <c r="EH1012" s="68" t="e">
        <f t="shared" si="1194"/>
        <v>#N/A</v>
      </c>
      <c r="EI1012" s="68" t="e">
        <f t="shared" si="1195"/>
        <v>#N/A</v>
      </c>
      <c r="EJ1012" s="68" t="e">
        <f t="shared" si="1196"/>
        <v>#N/A</v>
      </c>
      <c r="EK1012" s="68" t="e">
        <f t="shared" si="1197"/>
        <v>#N/A</v>
      </c>
      <c r="EL1012" s="46">
        <f t="shared" si="1161"/>
        <v>0</v>
      </c>
      <c r="EM1012" s="46">
        <f t="shared" si="1198"/>
        <v>0</v>
      </c>
    </row>
    <row r="1013" spans="1:143">
      <c r="A1013" s="89"/>
      <c r="B1013" s="89"/>
      <c r="C1013" s="89"/>
      <c r="D1013" s="89"/>
      <c r="E1013" s="89"/>
      <c r="F1013" s="89"/>
      <c r="G1013" s="34"/>
      <c r="H1013" s="56">
        <f t="shared" si="1163"/>
        <v>999</v>
      </c>
      <c r="I1013" s="165"/>
      <c r="J1013" s="163"/>
      <c r="K1013" s="163"/>
      <c r="L1013" s="164"/>
      <c r="M1013" s="155"/>
      <c r="N1013" s="155"/>
      <c r="O1013" s="144"/>
      <c r="P1013" s="159" t="str">
        <f>IFERROR(IF(O1013&lt;&gt;"User Specified",IF(O1013&lt;&gt;"", INDEX('Refrigerant GWPs'!$G$2:$G$154,MATCH(O1013,'Refrigerant GWPs'!$A$2:$A$154,0)),""),U1013),0)</f>
        <v/>
      </c>
      <c r="Q1013" s="155"/>
      <c r="R1013" s="155"/>
      <c r="S1013" s="144"/>
      <c r="T1013" s="159" t="str">
        <f>IF(S1013&lt;&gt;"User Specified",IF(AND(S1013&lt;&gt;"User Specified",S1013&lt;&gt;""), INDEX('Refrigerant GWPs'!$G$2:$G$154,MATCH(S1013,'Refrigerant GWPs'!$A$2:$A$154,0)),""),V1013)</f>
        <v/>
      </c>
      <c r="U1013" s="144"/>
      <c r="V1013" s="144"/>
      <c r="W1013" s="155"/>
      <c r="X1013" s="155"/>
      <c r="Y1013" s="144"/>
      <c r="Z1013" s="159" t="str">
        <f>IF(AND(Y1013&lt;&gt;"User Specified",Y1013&lt;&gt;""), INDEX('Refrigerant GWPs'!$G$2:$G$154,MATCH(Y1013,'Refrigerant GWPs'!$A$2:$A$154,0)),"")</f>
        <v/>
      </c>
      <c r="AA1013" s="155"/>
      <c r="AB1013" s="156"/>
      <c r="AC1013" s="66"/>
      <c r="AD1013" s="66"/>
      <c r="AE1013" s="66"/>
      <c r="AF1013" s="66"/>
      <c r="AG1013" s="66"/>
      <c r="AH1013" s="66"/>
      <c r="AI1013" s="34"/>
      <c r="AJ1013" s="88">
        <f t="shared" si="1126"/>
        <v>0</v>
      </c>
      <c r="AK1013" s="88">
        <f t="shared" si="1127"/>
        <v>0</v>
      </c>
      <c r="AL1013" s="88">
        <v>0</v>
      </c>
      <c r="AM1013" s="88">
        <v>0</v>
      </c>
      <c r="AN1013" s="81" t="str">
        <f t="shared" si="1165"/>
        <v/>
      </c>
      <c r="AO1013" s="88">
        <f t="shared" si="1128"/>
        <v>0</v>
      </c>
      <c r="AP1013" s="88">
        <f t="shared" si="1129"/>
        <v>0</v>
      </c>
      <c r="AQ1013" s="81" t="str">
        <f t="shared" si="1130"/>
        <v/>
      </c>
      <c r="AS1013" s="41" t="b">
        <f t="shared" si="1131"/>
        <v>1</v>
      </c>
      <c r="AT1013" s="38">
        <f t="shared" si="1132"/>
        <v>0</v>
      </c>
      <c r="AU1013" s="60">
        <f t="shared" si="1133"/>
        <v>0</v>
      </c>
      <c r="AV1013" s="41">
        <f t="shared" si="1134"/>
        <v>0</v>
      </c>
      <c r="AW1013" s="41" t="b">
        <f t="shared" si="1135"/>
        <v>0</v>
      </c>
      <c r="AX1013" t="str">
        <f t="shared" si="1136"/>
        <v>+00</v>
      </c>
      <c r="AY1013" t="str">
        <f t="shared" si="1137"/>
        <v>+00</v>
      </c>
      <c r="BA1013" s="47" t="b">
        <f t="shared" si="1166"/>
        <v>1</v>
      </c>
      <c r="BB1013" s="42" t="b">
        <f t="shared" si="1167"/>
        <v>1</v>
      </c>
      <c r="BC1013" s="42" t="b">
        <f t="shared" si="1168"/>
        <v>0</v>
      </c>
      <c r="BD1013" s="42" t="b">
        <f t="shared" si="1169"/>
        <v>0</v>
      </c>
      <c r="BE1013" s="70">
        <f t="shared" si="1170"/>
        <v>0</v>
      </c>
      <c r="BF1013" s="70">
        <f t="shared" si="1171"/>
        <v>0</v>
      </c>
      <c r="BG1013" s="34"/>
      <c r="BI1013" s="47" t="b">
        <f t="shared" si="1172"/>
        <v>1</v>
      </c>
      <c r="BJ1013" s="47" t="b">
        <f t="shared" si="1173"/>
        <v>1</v>
      </c>
      <c r="BK1013" s="42" t="b">
        <f t="shared" si="1174"/>
        <v>0</v>
      </c>
      <c r="BL1013" s="42" t="b">
        <f t="shared" si="1175"/>
        <v>0</v>
      </c>
      <c r="BM1013" s="42">
        <f t="shared" si="1176"/>
        <v>0</v>
      </c>
      <c r="BN1013" s="42">
        <f t="shared" si="1177"/>
        <v>0</v>
      </c>
      <c r="BP1013" t="e">
        <f t="shared" si="1178"/>
        <v>#N/A</v>
      </c>
      <c r="BQ1013" t="e">
        <f t="shared" si="1179"/>
        <v>#N/A</v>
      </c>
      <c r="BR1013" t="e">
        <f t="shared" si="1180"/>
        <v>#N/A</v>
      </c>
      <c r="BT1013" s="60">
        <f t="shared" si="1181"/>
        <v>0</v>
      </c>
      <c r="BU1013" s="60">
        <f t="shared" si="1182"/>
        <v>0</v>
      </c>
      <c r="BV1013" s="60">
        <f t="shared" si="1183"/>
        <v>0</v>
      </c>
      <c r="BW1013" s="60">
        <f t="shared" si="1184"/>
        <v>0</v>
      </c>
      <c r="BX1013" s="60">
        <f t="shared" si="1185"/>
        <v>0</v>
      </c>
      <c r="BY1013" s="60">
        <f t="shared" si="1186"/>
        <v>0</v>
      </c>
      <c r="BZ1013" s="60">
        <f t="shared" si="1187"/>
        <v>0</v>
      </c>
      <c r="CA1013" s="60">
        <f t="shared" si="1188"/>
        <v>0</v>
      </c>
      <c r="CB1013" s="60" t="e">
        <f t="shared" si="1138"/>
        <v>#N/A</v>
      </c>
      <c r="CC1013" s="60">
        <f t="shared" si="1139"/>
        <v>100000</v>
      </c>
      <c r="CD1013" s="60" t="e">
        <f t="shared" si="1140"/>
        <v>#N/A</v>
      </c>
      <c r="CE1013" s="60">
        <f t="shared" si="1141"/>
        <v>100000</v>
      </c>
      <c r="CF1013" s="83" t="e">
        <f t="shared" si="1189"/>
        <v>#N/A</v>
      </c>
      <c r="CG1013" s="83">
        <f t="shared" si="1190"/>
        <v>0</v>
      </c>
      <c r="CH1013" s="83" t="e">
        <f t="shared" si="1191"/>
        <v>#N/A</v>
      </c>
      <c r="CI1013" s="83">
        <f t="shared" si="1192"/>
        <v>0</v>
      </c>
      <c r="CJ1013" s="86" t="e">
        <f t="shared" si="1142"/>
        <v>#N/A</v>
      </c>
      <c r="CK1013" s="82">
        <f t="shared" si="1143"/>
        <v>5.3070370403969858E-3</v>
      </c>
      <c r="CL1013" s="82" t="e">
        <f t="shared" si="1144"/>
        <v>#N/A</v>
      </c>
      <c r="CM1013" s="82">
        <f t="shared" si="1145"/>
        <v>5.3070370403969858E-3</v>
      </c>
      <c r="CO1013" s="149" t="str">
        <f>IF($I1013&lt;&gt;"",IF(O1013="User Specified",U1013,INDEX('Refrigerant GWPs'!$G$2:$G$156,MATCH(O1013,'Refrigerant GWPs'!$A$2:$A$156,0))),"")</f>
        <v/>
      </c>
      <c r="CP1013" s="138" t="str">
        <f>IF($I1013&lt;&gt;"",INDEX('Device Refrigerant Leakage'!$E$2:$E$42,MATCH($M1013,'Device Refrigerant Leakage'!$B$2:$B$42,0)),"")</f>
        <v/>
      </c>
      <c r="CQ1013" s="138" t="str">
        <f>IF($I1013&lt;&gt;"",INDEX('Device Refrigerant Leakage'!$F$2:$F$42,MATCH($M1013,'Device Refrigerant Leakage'!$B$2:$B$42,0)),"")</f>
        <v/>
      </c>
      <c r="CR1013" s="145" t="str">
        <f>IF($I1013&lt;&gt;"",INDEX('Device Refrigerant Leakage'!$G$2:$G$42,MATCH($M1013,'Device Refrigerant Leakage'!$B$2:$B$42,0)),"")</f>
        <v/>
      </c>
      <c r="CS1013" s="145" t="str">
        <f>IF($I1013&lt;&gt;"",INDEX('Device Refrigerant Leakage'!$D$2:$D$42,MATCH($M1013,'Device Refrigerant Leakage'!$B$2:$B$42,0))*CP1013/2204.62*CO1013,"")</f>
        <v/>
      </c>
      <c r="CT1013" s="145" t="str">
        <f>IF($I1013&lt;&gt;"",J1013*(INDEX('Device Refrigerant Leakage'!$D$2:$D$42,MATCH($M1013,'Device Refrigerant Leakage'!$B$2:$B$42,0))-(INDEX('Device Refrigerant Leakage'!$D$2:$D$42,MATCH($M1013,'Device Refrigerant Leakage'!$B$2:$B$42,0)))*CR1013*CP1013)*CQ1013/2204.62*CO1013,"")</f>
        <v/>
      </c>
      <c r="CU1013" s="135" t="str">
        <f>IF($I1013&lt;&gt;"",J1013*IF(W1013&lt;&gt;"AR",(CS1013*K1013)+CT1013,(CS1013*AB1013)+CT1013*(AB1013/INDEX('Device Refrigerant Leakage'!$C$2:$C$42,MATCH($M1013,'Device Refrigerant Leakage'!$B$2:$B$42,0)))),"")</f>
        <v/>
      </c>
      <c r="CW1013" s="135" t="str">
        <f>IF($I1013&lt;&gt;"",IF(S1013="User Specified",V1013,INDEX('Refrigerant GWPs'!$G$2:$G$156,MATCH(S1013,'Refrigerant GWPs'!$A$2:$A$157,0))),"")</f>
        <v/>
      </c>
      <c r="CX1013" s="138" t="str">
        <f>IF($I1013&lt;&gt;"",INDEX('Device Refrigerant Leakage'!$E$2:$E$42,MATCH($Q1013,'Device Refrigerant Leakage'!$B$2:$B$42,0)),"")</f>
        <v/>
      </c>
      <c r="CY1013" s="138" t="str">
        <f>IF($I1013&lt;&gt;"",INDEX('Device Refrigerant Leakage'!$F$2:$F$42,MATCH($Q1013,'Device Refrigerant Leakage'!$B$2:$B$42,0)),"")</f>
        <v/>
      </c>
      <c r="CZ1013" s="145" t="str">
        <f>IF($I1013&lt;&gt;"",INDEX('Device Refrigerant Leakage'!$G$2:$G$42,MATCH($Q1013,'Device Refrigerant Leakage'!$B$2:$B$42,0)),"")</f>
        <v/>
      </c>
      <c r="DA1013" s="145" t="str">
        <f>IF($I1013&lt;&gt;"",J1013*INDEX('Device Refrigerant Leakage'!$D$2:$D$42,MATCH($Q1013,'Device Refrigerant Leakage'!$B$2:$B$42,0))*CX1013/2204.62*CW1013,"")</f>
        <v/>
      </c>
      <c r="DB1013" s="145" t="str">
        <f>IF($I1013&lt;&gt;"",J1013*(INDEX('Device Refrigerant Leakage'!$D$2:$D$42,MATCH($Q1013,'Device Refrigerant Leakage'!$B$2:$B$42,0))-(INDEX('Device Refrigerant Leakage'!$D$2:$D$42,MATCH($Q1013,'Device Refrigerant Leakage'!$B$2:$B$42,0)))*CZ1013*CX1013)*CY1013/2204.62*CW1013,"")</f>
        <v/>
      </c>
      <c r="DC1013" s="135" t="str">
        <f t="shared" si="1164"/>
        <v/>
      </c>
      <c r="DE1013" s="146" t="str">
        <f>IF(W1013&lt;&gt;"AR","",IF(Y1013="User Specified", AA1013, INDEX('Refrigerant GWPs'!$G$2:$G$154,MATCH(Y1013,'Refrigerant GWPs'!$A$2:$A$154,0))))</f>
        <v/>
      </c>
      <c r="DF1013" s="146" t="str">
        <f>IF(W1013&lt;&gt;"AR","",INDEX('Device Refrigerant Leakage'!$E$2:$E$42,MATCH(X1013,'Device Refrigerant Leakage'!$B$2:$B$42,0)))</f>
        <v/>
      </c>
      <c r="DG1013" s="146" t="str">
        <f>IF(W1013&lt;&gt;"AR","",INDEX('Device Refrigerant Leakage'!$F$2:$F$42,MATCH(X1013,'Device Refrigerant Leakage'!$B$2:$B$42,0)))</f>
        <v/>
      </c>
      <c r="DH1013" s="146" t="str">
        <f>IF(W1013&lt;&gt;"AR","",INDEX('Device Refrigerant Leakage'!$G$2:$G$42,MATCH(X1013,'Device Refrigerant Leakage'!$B$2:$B$42,0)))</f>
        <v/>
      </c>
      <c r="DI1013" s="146" t="str">
        <f>IF(W1013&lt;&gt;"AR","",J1013*INDEX('Device Refrigerant Leakage'!$D$2:$D$42,MATCH(X1013,'Device Refrigerant Leakage'!$B$2:$B$42,0))*DF1013/2204.62*DE1013)</f>
        <v/>
      </c>
      <c r="DJ1013" s="146" t="str">
        <f>IF(W1013&lt;&gt;"AR","",J1013*(INDEX('Device Refrigerant Leakage'!$D$2:$D$42,MATCH(X1013,'Device Refrigerant Leakage'!$B$2:$B$42,0))-(INDEX('Device Refrigerant Leakage'!$D$2:$D$42,MATCH(X1013,'Device Refrigerant Leakage'!$B$2:$B$42,0)))*DH1013*DF1013)*DG1013/2204.62*DE1013)</f>
        <v/>
      </c>
      <c r="DK1013" s="146" t="str">
        <f>IF(W1013&lt;&gt;"AR","",DI1013*(K1013-AB1013)+'Fuel Sub Calcs-Deemed'!DJ1013*((K1013-AB1013)/INDEX('Device Refrigerant Leakage'!$C$2:$C$42,MATCH('Fuel Sub Calcs-Deemed'!X1013,'Device Refrigerant Leakage'!$B$2:$B$42,0))))</f>
        <v/>
      </c>
      <c r="DM1013" s="56">
        <v>999</v>
      </c>
      <c r="DN1013" s="67" t="e">
        <f t="shared" si="1146"/>
        <v>#N/A</v>
      </c>
      <c r="DO1013" s="45" t="e">
        <f t="shared" si="1147"/>
        <v>#N/A</v>
      </c>
      <c r="DP1013" s="67" t="e">
        <f t="shared" si="1148"/>
        <v>#N/A</v>
      </c>
      <c r="DQ1013" s="45" t="e">
        <f t="shared" si="1149"/>
        <v>#N/A</v>
      </c>
      <c r="DR1013" s="69" t="e">
        <f t="shared" si="1150"/>
        <v>#N/A</v>
      </c>
      <c r="DS1013" s="34"/>
      <c r="DT1013" s="67" t="e">
        <f>((BX1013*CJ1013)+IF($W1013=MAT_AR,(BZ1013*CL1013),0))*(1+Reference!$E$50+Reference!$E$51)</f>
        <v>#N/A</v>
      </c>
      <c r="DU1013" s="67">
        <f>((BY1013*CK1013)+IF($W1013=MAT_AR,(CA1013*CM1013),0))*(1+Reference!$G$50+Reference!$G$51)</f>
        <v>0</v>
      </c>
      <c r="DV1013" s="67" t="e">
        <f t="shared" si="1151"/>
        <v>#VALUE!</v>
      </c>
      <c r="DX1013" s="56">
        <v>999</v>
      </c>
      <c r="DY1013" s="67">
        <f t="shared" si="1152"/>
        <v>0</v>
      </c>
      <c r="DZ1013" s="45" t="e">
        <f>VLOOKUP($R1013,Dropdown!$C$3:$D$4,2,FALSE)</f>
        <v>#N/A</v>
      </c>
      <c r="EA1013" s="68">
        <f t="shared" si="1153"/>
        <v>0</v>
      </c>
      <c r="EB1013" s="68" t="str">
        <f t="shared" si="1154"/>
        <v>N/A</v>
      </c>
      <c r="EC1013" s="68">
        <f t="shared" si="1155"/>
        <v>0</v>
      </c>
      <c r="ED1013" s="68" t="str">
        <f t="shared" si="1193"/>
        <v>N/A</v>
      </c>
      <c r="EF1013" s="56">
        <v>999</v>
      </c>
      <c r="EG1013" s="46">
        <f t="shared" si="1156"/>
        <v>0</v>
      </c>
      <c r="EH1013" s="68" t="e">
        <f t="shared" si="1194"/>
        <v>#N/A</v>
      </c>
      <c r="EI1013" s="68" t="e">
        <f t="shared" si="1195"/>
        <v>#N/A</v>
      </c>
      <c r="EJ1013" s="68" t="e">
        <f t="shared" si="1196"/>
        <v>#N/A</v>
      </c>
      <c r="EK1013" s="68" t="e">
        <f t="shared" si="1197"/>
        <v>#N/A</v>
      </c>
      <c r="EL1013" s="46">
        <f t="shared" si="1161"/>
        <v>0</v>
      </c>
      <c r="EM1013" s="46">
        <f t="shared" si="1198"/>
        <v>0</v>
      </c>
    </row>
    <row r="1014" spans="1:143">
      <c r="A1014" s="89"/>
      <c r="B1014" s="89"/>
      <c r="C1014" s="89"/>
      <c r="D1014" s="89"/>
      <c r="E1014" s="89"/>
      <c r="F1014" s="89"/>
      <c r="G1014" s="34"/>
      <c r="H1014" s="56">
        <f t="shared" si="1163"/>
        <v>1000</v>
      </c>
      <c r="I1014" s="165"/>
      <c r="J1014" s="163"/>
      <c r="K1014" s="163"/>
      <c r="L1014" s="164"/>
      <c r="M1014" s="155"/>
      <c r="N1014" s="155"/>
      <c r="O1014" s="144"/>
      <c r="P1014" s="159" t="str">
        <f>IFERROR(IF(O1014&lt;&gt;"User Specified",IF(O1014&lt;&gt;"", INDEX('Refrigerant GWPs'!$G$2:$G$154,MATCH(O1014,'Refrigerant GWPs'!$A$2:$A$154,0)),""),U1014),0)</f>
        <v/>
      </c>
      <c r="Q1014" s="155"/>
      <c r="R1014" s="155"/>
      <c r="S1014" s="144"/>
      <c r="T1014" s="159" t="str">
        <f>IF(S1014&lt;&gt;"User Specified",IF(AND(S1014&lt;&gt;"User Specified",S1014&lt;&gt;""), INDEX('Refrigerant GWPs'!$G$2:$G$154,MATCH(S1014,'Refrigerant GWPs'!$A$2:$A$154,0)),""),V1014)</f>
        <v/>
      </c>
      <c r="U1014" s="144"/>
      <c r="V1014" s="144"/>
      <c r="W1014" s="155"/>
      <c r="X1014" s="155"/>
      <c r="Y1014" s="144"/>
      <c r="Z1014" s="159" t="str">
        <f>IF(AND(Y1014&lt;&gt;"User Specified",Y1014&lt;&gt;""), INDEX('Refrigerant GWPs'!$G$2:$G$154,MATCH(Y1014,'Refrigerant GWPs'!$A$2:$A$154,0)),"")</f>
        <v/>
      </c>
      <c r="AA1014" s="155"/>
      <c r="AB1014" s="156"/>
      <c r="AC1014" s="66"/>
      <c r="AD1014" s="66"/>
      <c r="AE1014" s="66"/>
      <c r="AF1014" s="66"/>
      <c r="AG1014" s="66"/>
      <c r="AH1014" s="66"/>
      <c r="AI1014" s="34"/>
      <c r="AJ1014" s="88">
        <f t="shared" si="1126"/>
        <v>0</v>
      </c>
      <c r="AK1014" s="88">
        <f t="shared" si="1127"/>
        <v>0</v>
      </c>
      <c r="AL1014" s="88">
        <v>0</v>
      </c>
      <c r="AM1014" s="88">
        <v>0</v>
      </c>
      <c r="AN1014" s="81" t="str">
        <f t="shared" si="1165"/>
        <v/>
      </c>
      <c r="AO1014" s="88">
        <f t="shared" si="1128"/>
        <v>0</v>
      </c>
      <c r="AP1014" s="88">
        <f t="shared" si="1129"/>
        <v>0</v>
      </c>
      <c r="AQ1014" s="81" t="str">
        <f t="shared" si="1130"/>
        <v/>
      </c>
      <c r="AS1014" s="41" t="b">
        <f t="shared" si="1131"/>
        <v>1</v>
      </c>
      <c r="AT1014" s="38">
        <f t="shared" si="1132"/>
        <v>0</v>
      </c>
      <c r="AU1014" s="60">
        <f t="shared" si="1133"/>
        <v>0</v>
      </c>
      <c r="AV1014" s="41">
        <f t="shared" si="1134"/>
        <v>0</v>
      </c>
      <c r="AW1014" s="41" t="b">
        <f t="shared" si="1135"/>
        <v>0</v>
      </c>
      <c r="AX1014" t="str">
        <f t="shared" si="1136"/>
        <v>+00</v>
      </c>
      <c r="AY1014" t="str">
        <f t="shared" si="1137"/>
        <v>+00</v>
      </c>
      <c r="BA1014" s="47" t="b">
        <f t="shared" si="1166"/>
        <v>1</v>
      </c>
      <c r="BB1014" s="42" t="b">
        <f t="shared" si="1167"/>
        <v>1</v>
      </c>
      <c r="BC1014" s="42" t="b">
        <f t="shared" si="1168"/>
        <v>0</v>
      </c>
      <c r="BD1014" s="42" t="b">
        <f t="shared" si="1169"/>
        <v>0</v>
      </c>
      <c r="BE1014" s="70">
        <f t="shared" si="1170"/>
        <v>0</v>
      </c>
      <c r="BF1014" s="70">
        <f t="shared" si="1171"/>
        <v>0</v>
      </c>
      <c r="BG1014" s="34"/>
      <c r="BI1014" s="47" t="b">
        <f t="shared" si="1172"/>
        <v>1</v>
      </c>
      <c r="BJ1014" s="47" t="b">
        <f t="shared" si="1173"/>
        <v>1</v>
      </c>
      <c r="BK1014" s="42" t="b">
        <f t="shared" si="1174"/>
        <v>0</v>
      </c>
      <c r="BL1014" s="42" t="b">
        <f t="shared" si="1175"/>
        <v>0</v>
      </c>
      <c r="BM1014" s="42">
        <f t="shared" si="1176"/>
        <v>0</v>
      </c>
      <c r="BN1014" s="42">
        <f t="shared" si="1177"/>
        <v>0</v>
      </c>
      <c r="BP1014" t="e">
        <f t="shared" si="1178"/>
        <v>#N/A</v>
      </c>
      <c r="BQ1014" t="e">
        <f t="shared" si="1179"/>
        <v>#N/A</v>
      </c>
      <c r="BR1014" t="e">
        <f t="shared" si="1180"/>
        <v>#N/A</v>
      </c>
      <c r="BT1014" s="60">
        <f t="shared" si="1181"/>
        <v>0</v>
      </c>
      <c r="BU1014" s="60">
        <f t="shared" si="1182"/>
        <v>0</v>
      </c>
      <c r="BV1014" s="60">
        <f t="shared" si="1183"/>
        <v>0</v>
      </c>
      <c r="BW1014" s="60">
        <f t="shared" si="1184"/>
        <v>0</v>
      </c>
      <c r="BX1014" s="60">
        <f t="shared" si="1185"/>
        <v>0</v>
      </c>
      <c r="BY1014" s="60">
        <f t="shared" si="1186"/>
        <v>0</v>
      </c>
      <c r="BZ1014" s="60">
        <f t="shared" si="1187"/>
        <v>0</v>
      </c>
      <c r="CA1014" s="60">
        <f t="shared" si="1188"/>
        <v>0</v>
      </c>
      <c r="CB1014" s="60" t="e">
        <f t="shared" si="1138"/>
        <v>#N/A</v>
      </c>
      <c r="CC1014" s="60">
        <f t="shared" si="1139"/>
        <v>100000</v>
      </c>
      <c r="CD1014" s="60" t="e">
        <f t="shared" si="1140"/>
        <v>#N/A</v>
      </c>
      <c r="CE1014" s="60">
        <f t="shared" si="1141"/>
        <v>100000</v>
      </c>
      <c r="CF1014" s="83" t="e">
        <f t="shared" si="1189"/>
        <v>#N/A</v>
      </c>
      <c r="CG1014" s="83">
        <f t="shared" si="1190"/>
        <v>0</v>
      </c>
      <c r="CH1014" s="83" t="e">
        <f t="shared" si="1191"/>
        <v>#N/A</v>
      </c>
      <c r="CI1014" s="83">
        <f t="shared" si="1192"/>
        <v>0</v>
      </c>
      <c r="CJ1014" s="86" t="e">
        <f t="shared" si="1142"/>
        <v>#N/A</v>
      </c>
      <c r="CK1014" s="82">
        <f t="shared" si="1143"/>
        <v>5.3070370403969858E-3</v>
      </c>
      <c r="CL1014" s="82" t="e">
        <f t="shared" si="1144"/>
        <v>#N/A</v>
      </c>
      <c r="CM1014" s="82">
        <f t="shared" si="1145"/>
        <v>5.3070370403969858E-3</v>
      </c>
      <c r="CO1014" s="149" t="str">
        <f>IF($I1014&lt;&gt;"",IF(O1014="User Specified",U1014,INDEX('Refrigerant GWPs'!$G$2:$G$156,MATCH(O1014,'Refrigerant GWPs'!$A$2:$A$156,0))),"")</f>
        <v/>
      </c>
      <c r="CP1014" s="138" t="str">
        <f>IF($I1014&lt;&gt;"",INDEX('Device Refrigerant Leakage'!$E$2:$E$42,MATCH($M1014,'Device Refrigerant Leakage'!$B$2:$B$42,0)),"")</f>
        <v/>
      </c>
      <c r="CQ1014" s="138" t="str">
        <f>IF($I1014&lt;&gt;"",INDEX('Device Refrigerant Leakage'!$F$2:$F$42,MATCH($M1014,'Device Refrigerant Leakage'!$B$2:$B$42,0)),"")</f>
        <v/>
      </c>
      <c r="CR1014" s="145" t="str">
        <f>IF($I1014&lt;&gt;"",INDEX('Device Refrigerant Leakage'!$G$2:$G$42,MATCH($M1014,'Device Refrigerant Leakage'!$B$2:$B$42,0)),"")</f>
        <v/>
      </c>
      <c r="CS1014" s="145" t="str">
        <f>IF($I1014&lt;&gt;"",INDEX('Device Refrigerant Leakage'!$D$2:$D$42,MATCH($M1014,'Device Refrigerant Leakage'!$B$2:$B$42,0))*CP1014/2204.62*CO1014,"")</f>
        <v/>
      </c>
      <c r="CT1014" s="145" t="str">
        <f>IF($I1014&lt;&gt;"",J1014*(INDEX('Device Refrigerant Leakage'!$D$2:$D$42,MATCH($M1014,'Device Refrigerant Leakage'!$B$2:$B$42,0))-(INDEX('Device Refrigerant Leakage'!$D$2:$D$42,MATCH($M1014,'Device Refrigerant Leakage'!$B$2:$B$42,0)))*CR1014*CP1014)*CQ1014/2204.62*CO1014,"")</f>
        <v/>
      </c>
      <c r="CU1014" s="135" t="str">
        <f>IF($I1014&lt;&gt;"",J1014*IF(W1014&lt;&gt;"AR",(CS1014*K1014)+CT1014,(CS1014*AB1014)+CT1014*(AB1014/INDEX('Device Refrigerant Leakage'!$C$2:$C$42,MATCH($M1014,'Device Refrigerant Leakage'!$B$2:$B$42,0)))),"")</f>
        <v/>
      </c>
      <c r="CW1014" s="135" t="str">
        <f>IF($I1014&lt;&gt;"",IF(S1014="User Specified",V1014,INDEX('Refrigerant GWPs'!$G$2:$G$156,MATCH(S1014,'Refrigerant GWPs'!$A$2:$A$157,0))),"")</f>
        <v/>
      </c>
      <c r="CX1014" s="138" t="str">
        <f>IF($I1014&lt;&gt;"",INDEX('Device Refrigerant Leakage'!$E$2:$E$42,MATCH($Q1014,'Device Refrigerant Leakage'!$B$2:$B$42,0)),"")</f>
        <v/>
      </c>
      <c r="CY1014" s="138" t="str">
        <f>IF($I1014&lt;&gt;"",INDEX('Device Refrigerant Leakage'!$F$2:$F$42,MATCH($Q1014,'Device Refrigerant Leakage'!$B$2:$B$42,0)),"")</f>
        <v/>
      </c>
      <c r="CZ1014" s="145" t="str">
        <f>IF($I1014&lt;&gt;"",INDEX('Device Refrigerant Leakage'!$G$2:$G$42,MATCH($Q1014,'Device Refrigerant Leakage'!$B$2:$B$42,0)),"")</f>
        <v/>
      </c>
      <c r="DA1014" s="145" t="str">
        <f>IF($I1014&lt;&gt;"",J1014*INDEX('Device Refrigerant Leakage'!$D$2:$D$42,MATCH($Q1014,'Device Refrigerant Leakage'!$B$2:$B$42,0))*CX1014/2204.62*CW1014,"")</f>
        <v/>
      </c>
      <c r="DB1014" s="145" t="str">
        <f>IF($I1014&lt;&gt;"",J1014*(INDEX('Device Refrigerant Leakage'!$D$2:$D$42,MATCH($Q1014,'Device Refrigerant Leakage'!$B$2:$B$42,0))-(INDEX('Device Refrigerant Leakage'!$D$2:$D$42,MATCH($Q1014,'Device Refrigerant Leakage'!$B$2:$B$42,0)))*CZ1014*CX1014)*CY1014/2204.62*CW1014,"")</f>
        <v/>
      </c>
      <c r="DC1014" s="135" t="str">
        <f t="shared" si="1164"/>
        <v/>
      </c>
      <c r="DE1014" s="146" t="str">
        <f>IF(W1014&lt;&gt;"AR","",IF(Y1014="User Specified", AA1014, INDEX('Refrigerant GWPs'!$G$2:$G$154,MATCH(Y1014,'Refrigerant GWPs'!$A$2:$A$154,0))))</f>
        <v/>
      </c>
      <c r="DF1014" s="146" t="str">
        <f>IF(W1014&lt;&gt;"AR","",INDEX('Device Refrigerant Leakage'!$E$2:$E$42,MATCH(X1014,'Device Refrigerant Leakage'!$B$2:$B$42,0)))</f>
        <v/>
      </c>
      <c r="DG1014" s="146" t="str">
        <f>IF(W1014&lt;&gt;"AR","",INDEX('Device Refrigerant Leakage'!$F$2:$F$42,MATCH(X1014,'Device Refrigerant Leakage'!$B$2:$B$42,0)))</f>
        <v/>
      </c>
      <c r="DH1014" s="146" t="str">
        <f>IF(W1014&lt;&gt;"AR","",INDEX('Device Refrigerant Leakage'!$G$2:$G$42,MATCH(X1014,'Device Refrigerant Leakage'!$B$2:$B$42,0)))</f>
        <v/>
      </c>
      <c r="DI1014" s="146" t="str">
        <f>IF(W1014&lt;&gt;"AR","",J1014*INDEX('Device Refrigerant Leakage'!$D$2:$D$42,MATCH(X1014,'Device Refrigerant Leakage'!$B$2:$B$42,0))*DF1014/2204.62*DE1014)</f>
        <v/>
      </c>
      <c r="DJ1014" s="146" t="str">
        <f>IF(W1014&lt;&gt;"AR","",J1014*(INDEX('Device Refrigerant Leakage'!$D$2:$D$42,MATCH(X1014,'Device Refrigerant Leakage'!$B$2:$B$42,0))-(INDEX('Device Refrigerant Leakage'!$D$2:$D$42,MATCH(X1014,'Device Refrigerant Leakage'!$B$2:$B$42,0)))*DH1014*DF1014)*DG1014/2204.62*DE1014)</f>
        <v/>
      </c>
      <c r="DK1014" s="146" t="str">
        <f>IF(W1014&lt;&gt;"AR","",DI1014*(K1014-AB1014)+'Fuel Sub Calcs-Deemed'!DJ1014*((K1014-AB1014)/INDEX('Device Refrigerant Leakage'!$C$2:$C$42,MATCH('Fuel Sub Calcs-Deemed'!X1014,'Device Refrigerant Leakage'!$B$2:$B$42,0))))</f>
        <v/>
      </c>
      <c r="DM1014" s="56">
        <v>1000</v>
      </c>
      <c r="DN1014" s="67" t="e">
        <f t="shared" si="1146"/>
        <v>#N/A</v>
      </c>
      <c r="DO1014" s="45" t="e">
        <f t="shared" si="1147"/>
        <v>#N/A</v>
      </c>
      <c r="DP1014" s="67" t="e">
        <f t="shared" si="1148"/>
        <v>#N/A</v>
      </c>
      <c r="DQ1014" s="45" t="e">
        <f t="shared" si="1149"/>
        <v>#N/A</v>
      </c>
      <c r="DR1014" s="69" t="e">
        <f t="shared" si="1150"/>
        <v>#N/A</v>
      </c>
      <c r="DS1014" s="34"/>
      <c r="DT1014" s="67" t="e">
        <f>((BX1014*CJ1014)+IF($W1014=MAT_AR,(BZ1014*CL1014),0))*(1+Reference!$E$50+Reference!$E$51)</f>
        <v>#N/A</v>
      </c>
      <c r="DU1014" s="67">
        <f>((BY1014*CK1014)+IF($W1014=MAT_AR,(CA1014*CM1014),0))*(1+Reference!$G$50+Reference!$G$51)</f>
        <v>0</v>
      </c>
      <c r="DV1014" s="67" t="e">
        <f t="shared" si="1151"/>
        <v>#VALUE!</v>
      </c>
      <c r="DX1014" s="56">
        <v>1000</v>
      </c>
      <c r="DY1014" s="67">
        <f t="shared" si="1152"/>
        <v>0</v>
      </c>
      <c r="DZ1014" s="45" t="e">
        <f>VLOOKUP($R1014,Dropdown!$C$3:$D$4,2,FALSE)</f>
        <v>#N/A</v>
      </c>
      <c r="EA1014" s="68">
        <f t="shared" si="1153"/>
        <v>0</v>
      </c>
      <c r="EB1014" s="68" t="str">
        <f t="shared" si="1154"/>
        <v>N/A</v>
      </c>
      <c r="EC1014" s="68">
        <f t="shared" si="1155"/>
        <v>0</v>
      </c>
      <c r="ED1014" s="68" t="str">
        <f t="shared" si="1193"/>
        <v>N/A</v>
      </c>
      <c r="EF1014" s="56">
        <v>1000</v>
      </c>
      <c r="EG1014" s="46">
        <f t="shared" si="1156"/>
        <v>0</v>
      </c>
      <c r="EH1014" s="68" t="e">
        <f t="shared" si="1194"/>
        <v>#N/A</v>
      </c>
      <c r="EI1014" s="68" t="e">
        <f t="shared" si="1195"/>
        <v>#N/A</v>
      </c>
      <c r="EJ1014" s="68" t="e">
        <f t="shared" si="1196"/>
        <v>#N/A</v>
      </c>
      <c r="EK1014" s="68" t="e">
        <f t="shared" si="1197"/>
        <v>#N/A</v>
      </c>
      <c r="EL1014" s="46">
        <f t="shared" si="1161"/>
        <v>0</v>
      </c>
      <c r="EM1014" s="46">
        <f t="shared" si="1198"/>
        <v>0</v>
      </c>
    </row>
  </sheetData>
  <mergeCells count="34">
    <mergeCell ref="K5:N5"/>
    <mergeCell ref="K6:M7"/>
    <mergeCell ref="A11:F11"/>
    <mergeCell ref="H2:I2"/>
    <mergeCell ref="H4:I4"/>
    <mergeCell ref="H5:I5"/>
    <mergeCell ref="H8:I8"/>
    <mergeCell ref="K2:AB2"/>
    <mergeCell ref="AC13:AH13"/>
    <mergeCell ref="I13:V13"/>
    <mergeCell ref="W13:AB13"/>
    <mergeCell ref="H11:AH11"/>
    <mergeCell ref="N6:N7"/>
    <mergeCell ref="EG13:EM13"/>
    <mergeCell ref="AJ12:AM12"/>
    <mergeCell ref="AJ13:AK13"/>
    <mergeCell ref="AL13:AM13"/>
    <mergeCell ref="AO13:AP13"/>
    <mergeCell ref="CJ12:CM12"/>
    <mergeCell ref="DN13:DO13"/>
    <mergeCell ref="DP13:DQ13"/>
    <mergeCell ref="DR13:DR14"/>
    <mergeCell ref="CB12:CE12"/>
    <mergeCell ref="CF12:CI12"/>
    <mergeCell ref="CO13:CU13"/>
    <mergeCell ref="CW13:DC13"/>
    <mergeCell ref="DE13:DK13"/>
    <mergeCell ref="BT12:BW12"/>
    <mergeCell ref="BX12:CA12"/>
    <mergeCell ref="DX10:ED10"/>
    <mergeCell ref="DX12:ED12"/>
    <mergeCell ref="AJ11:AQ11"/>
    <mergeCell ref="DM11:DR11"/>
    <mergeCell ref="DT11:DV11"/>
  </mergeCells>
  <phoneticPr fontId="74" type="noConversion"/>
  <conditionalFormatting sqref="X30:AB1014 Z15:AB29">
    <cfRule type="expression" dxfId="39" priority="44" stopIfTrue="1">
      <formula>$AS15</formula>
    </cfRule>
  </conditionalFormatting>
  <conditionalFormatting sqref="R15:R1014">
    <cfRule type="expression" dxfId="38" priority="43">
      <formula>AND(($N$20&lt;&gt;""),($N15=$R15))</formula>
    </cfRule>
  </conditionalFormatting>
  <conditionalFormatting sqref="DN15:DR1014">
    <cfRule type="expression" dxfId="37" priority="42">
      <formula>NOT($AW15)</formula>
    </cfRule>
  </conditionalFormatting>
  <conditionalFormatting sqref="DY15:EB1014">
    <cfRule type="expression" dxfId="36" priority="41">
      <formula>NOT($AW15)</formula>
    </cfRule>
  </conditionalFormatting>
  <conditionalFormatting sqref="EG15:EM1014">
    <cfRule type="expression" dxfId="35" priority="40">
      <formula>NOT($AW15)</formula>
    </cfRule>
  </conditionalFormatting>
  <conditionalFormatting sqref="DT15:DV1014">
    <cfRule type="expression" dxfId="34" priority="39">
      <formula>NOT($AW15)</formula>
    </cfRule>
  </conditionalFormatting>
  <conditionalFormatting sqref="EC15:EC1014">
    <cfRule type="expression" dxfId="33" priority="38">
      <formula>NOT($AW15)</formula>
    </cfRule>
  </conditionalFormatting>
  <conditionalFormatting sqref="ED15:ED1014">
    <cfRule type="expression" dxfId="32" priority="37">
      <formula>NOT($AW15)</formula>
    </cfRule>
  </conditionalFormatting>
  <conditionalFormatting sqref="CU15:CU1014">
    <cfRule type="notContainsErrors" dxfId="31" priority="35">
      <formula>NOT(ISERROR(CU15))</formula>
    </cfRule>
    <cfRule type="expression" dxfId="30" priority="36">
      <formula>NOT($S1048549)</formula>
    </cfRule>
  </conditionalFormatting>
  <conditionalFormatting sqref="CO15:CO1014">
    <cfRule type="notContainsErrors" dxfId="29" priority="29">
      <formula>NOT(ISERROR(CO15))</formula>
    </cfRule>
    <cfRule type="expression" dxfId="28" priority="30">
      <formula>NOT($S1048549)</formula>
    </cfRule>
  </conditionalFormatting>
  <conditionalFormatting sqref="CP15:CP1014">
    <cfRule type="notContainsErrors" dxfId="27" priority="27">
      <formula>NOT(ISERROR(CP15))</formula>
    </cfRule>
    <cfRule type="expression" dxfId="26" priority="28">
      <formula>NOT($S1048549)</formula>
    </cfRule>
  </conditionalFormatting>
  <conditionalFormatting sqref="CQ15:CQ1014">
    <cfRule type="notContainsErrors" dxfId="25" priority="25">
      <formula>NOT(ISERROR(CQ15))</formula>
    </cfRule>
    <cfRule type="expression" dxfId="24" priority="26">
      <formula>NOT($S1048549)</formula>
    </cfRule>
  </conditionalFormatting>
  <conditionalFormatting sqref="CR15:CR1014">
    <cfRule type="notContainsErrors" dxfId="23" priority="23">
      <formula>NOT(ISERROR(CR15))</formula>
    </cfRule>
    <cfRule type="expression" dxfId="22" priority="24">
      <formula>NOT($S1048549)</formula>
    </cfRule>
  </conditionalFormatting>
  <conditionalFormatting sqref="CS15:CS1014">
    <cfRule type="notContainsErrors" dxfId="21" priority="21">
      <formula>NOT(ISERROR(CS15))</formula>
    </cfRule>
    <cfRule type="expression" dxfId="20" priority="22">
      <formula>NOT($S1048549)</formula>
    </cfRule>
  </conditionalFormatting>
  <conditionalFormatting sqref="CT15:CT1014">
    <cfRule type="notContainsErrors" dxfId="19" priority="19">
      <formula>NOT(ISERROR(CT15))</formula>
    </cfRule>
    <cfRule type="expression" dxfId="18" priority="20">
      <formula>NOT($S1048549)</formula>
    </cfRule>
  </conditionalFormatting>
  <conditionalFormatting sqref="DC15:DC1014">
    <cfRule type="notContainsErrors" dxfId="17" priority="17">
      <formula>NOT(ISERROR(DC15))</formula>
    </cfRule>
    <cfRule type="expression" dxfId="16" priority="18">
      <formula>NOT($S1048549)</formula>
    </cfRule>
  </conditionalFormatting>
  <conditionalFormatting sqref="CW15:CW1014">
    <cfRule type="notContainsErrors" dxfId="15" priority="15">
      <formula>NOT(ISERROR(CW15))</formula>
    </cfRule>
    <cfRule type="expression" dxfId="14" priority="16">
      <formula>NOT($S1048549)</formula>
    </cfRule>
  </conditionalFormatting>
  <conditionalFormatting sqref="CX15:CX1014">
    <cfRule type="notContainsErrors" dxfId="13" priority="13">
      <formula>NOT(ISERROR(CX15))</formula>
    </cfRule>
    <cfRule type="expression" dxfId="12" priority="14">
      <formula>NOT($S1048549)</formula>
    </cfRule>
  </conditionalFormatting>
  <conditionalFormatting sqref="CY15:CY1014">
    <cfRule type="notContainsErrors" dxfId="11" priority="11">
      <formula>NOT(ISERROR(CY15))</formula>
    </cfRule>
    <cfRule type="expression" dxfId="10" priority="12">
      <formula>NOT($S1048549)</formula>
    </cfRule>
  </conditionalFormatting>
  <conditionalFormatting sqref="CZ15:CZ1014">
    <cfRule type="notContainsErrors" dxfId="9" priority="9">
      <formula>NOT(ISERROR(CZ15))</formula>
    </cfRule>
    <cfRule type="expression" dxfId="8" priority="10">
      <formula>NOT($S1048549)</formula>
    </cfRule>
  </conditionalFormatting>
  <conditionalFormatting sqref="DA15:DA1014">
    <cfRule type="notContainsErrors" dxfId="7" priority="7">
      <formula>NOT(ISERROR(DA15))</formula>
    </cfRule>
    <cfRule type="expression" dxfId="6" priority="8">
      <formula>NOT($S1048549)</formula>
    </cfRule>
  </conditionalFormatting>
  <conditionalFormatting sqref="DB15:DB1014">
    <cfRule type="notContainsErrors" dxfId="5" priority="5">
      <formula>NOT(ISERROR(DB15))</formula>
    </cfRule>
    <cfRule type="expression" dxfId="4" priority="6">
      <formula>NOT($S1048549)</formula>
    </cfRule>
  </conditionalFormatting>
  <conditionalFormatting sqref="R15:R1014">
    <cfRule type="expression" dxfId="3" priority="4">
      <formula>AND($N15&lt;&gt;"",$N15=$R15)</formula>
    </cfRule>
  </conditionalFormatting>
  <conditionalFormatting sqref="U15:U1014">
    <cfRule type="expression" dxfId="2" priority="3">
      <formula>$O15&lt;&gt;"User Specified"</formula>
    </cfRule>
  </conditionalFormatting>
  <conditionalFormatting sqref="V15:V1014">
    <cfRule type="expression" dxfId="1" priority="2">
      <formula>$S15&lt;&gt;"User Specified"</formula>
    </cfRule>
  </conditionalFormatting>
  <conditionalFormatting sqref="X15:Y29">
    <cfRule type="expression" dxfId="0" priority="1" stopIfTrue="1">
      <formula>$AS15</formula>
    </cfRule>
  </conditionalFormatting>
  <dataValidations count="2">
    <dataValidation type="list" allowBlank="1" showInputMessage="1" showErrorMessage="1" sqref="N15:N1014 R15:R1014" xr:uid="{DD2CB015-C74D-4ECF-A306-EB134DFE8903}">
      <formula1>dropdown_Fuel</formula1>
    </dataValidation>
    <dataValidation type="list" allowBlank="1" showInputMessage="1" showErrorMessage="1" sqref="AA15:AA1014 W15:W1014" xr:uid="{8A670DBA-7D71-481B-A614-82AC8A60A24D}">
      <formula1>dropdown_MAT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98981BB-E4C8-4685-94F9-894B81E5FB97}">
          <x14:formula1>
            <xm:f>'Refrigerant GWPs'!$A$2:$A$156</xm:f>
          </x14:formula1>
          <xm:sqref>S15:S1014 O15:O1014 Y15:Y1014</xm:sqref>
        </x14:dataValidation>
        <x14:dataValidation type="list" allowBlank="1" showInputMessage="1" showErrorMessage="1" xr:uid="{EE27DEF0-87A7-4940-A779-78B3A0ACBE3F}">
          <x14:formula1>
            <xm:f>'Device Refrigerant Leakage'!$B$2:$B$41</xm:f>
          </x14:formula1>
          <xm:sqref>Q15:Q1014 M15:M1014 X15:X1014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B1:AS36"/>
  <sheetViews>
    <sheetView zoomScale="70" zoomScaleNormal="70" workbookViewId="0">
      <selection activeCell="H26" sqref="H26"/>
    </sheetView>
  </sheetViews>
  <sheetFormatPr defaultRowHeight="14.5"/>
  <cols>
    <col min="2" max="2" width="8.26953125" bestFit="1" customWidth="1"/>
    <col min="3" max="3" width="9.26953125" bestFit="1" customWidth="1"/>
    <col min="4" max="4" width="27.453125" bestFit="1" customWidth="1"/>
    <col min="5" max="5" width="13.453125" bestFit="1" customWidth="1"/>
    <col min="6" max="6" width="17.7265625" bestFit="1" customWidth="1"/>
    <col min="7" max="9" width="7" customWidth="1"/>
    <col min="10" max="10" width="13.26953125" customWidth="1"/>
    <col min="11" max="11" width="12" bestFit="1" customWidth="1"/>
    <col min="12" max="12" width="10.26953125" bestFit="1" customWidth="1"/>
    <col min="13" max="13" width="18.54296875" customWidth="1"/>
    <col min="14" max="14" width="5" bestFit="1" customWidth="1"/>
  </cols>
  <sheetData>
    <row r="1" spans="2:45">
      <c r="B1" t="s">
        <v>234</v>
      </c>
    </row>
    <row r="2" spans="2:45">
      <c r="B2" t="s">
        <v>235</v>
      </c>
    </row>
    <row r="3" spans="2:45">
      <c r="B3" t="s">
        <v>236</v>
      </c>
    </row>
    <row r="5" spans="2:45">
      <c r="B5" t="s">
        <v>237</v>
      </c>
      <c r="C5" s="141" t="s">
        <v>238</v>
      </c>
      <c r="D5" s="341" t="s">
        <v>239</v>
      </c>
      <c r="E5" s="341"/>
      <c r="F5" s="341"/>
      <c r="G5" s="341"/>
      <c r="H5" s="341"/>
      <c r="I5" s="341"/>
      <c r="J5" s="341"/>
      <c r="K5" s="341"/>
      <c r="L5" s="341"/>
      <c r="M5" s="341"/>
    </row>
    <row r="6" spans="2:45">
      <c r="C6" s="142" t="s">
        <v>240</v>
      </c>
      <c r="D6" s="342" t="s">
        <v>241</v>
      </c>
      <c r="E6" s="342"/>
      <c r="F6" s="342"/>
      <c r="G6" s="342"/>
      <c r="H6" s="342"/>
      <c r="I6" s="342"/>
      <c r="J6" s="342"/>
      <c r="K6" s="342"/>
      <c r="L6" s="342"/>
      <c r="M6" s="342"/>
    </row>
    <row r="7" spans="2:45">
      <c r="C7" s="142" t="s">
        <v>242</v>
      </c>
      <c r="D7" s="342" t="s">
        <v>243</v>
      </c>
      <c r="E7" s="342"/>
      <c r="F7" s="342"/>
      <c r="G7" s="342"/>
      <c r="H7" s="342"/>
      <c r="I7" s="342"/>
      <c r="J7" s="342"/>
      <c r="K7" s="342"/>
      <c r="L7" s="342"/>
      <c r="M7" s="342"/>
    </row>
    <row r="8" spans="2:45">
      <c r="C8" s="142" t="s">
        <v>244</v>
      </c>
      <c r="D8" s="342" t="s">
        <v>245</v>
      </c>
      <c r="E8" s="342"/>
      <c r="F8" s="342"/>
      <c r="G8" s="342"/>
      <c r="H8" s="342"/>
      <c r="I8" s="342"/>
      <c r="J8" s="342"/>
      <c r="K8" s="342"/>
      <c r="L8" s="342"/>
      <c r="M8" s="342"/>
    </row>
    <row r="9" spans="2:45">
      <c r="C9" s="142" t="s">
        <v>246</v>
      </c>
      <c r="D9" s="342" t="s">
        <v>247</v>
      </c>
      <c r="E9" s="342"/>
      <c r="F9" s="342"/>
      <c r="G9" s="342"/>
      <c r="H9" s="342"/>
      <c r="I9" s="342"/>
      <c r="J9" s="342"/>
      <c r="K9" s="342"/>
      <c r="L9" s="342"/>
      <c r="M9" s="342"/>
    </row>
    <row r="10" spans="2:45">
      <c r="C10" s="142"/>
      <c r="D10" s="142"/>
      <c r="E10" s="142"/>
      <c r="F10" s="142"/>
      <c r="G10" s="142"/>
      <c r="H10" s="142"/>
      <c r="I10" s="142"/>
      <c r="J10" s="142"/>
      <c r="K10" s="142"/>
      <c r="L10" s="142"/>
      <c r="M10" s="142"/>
    </row>
    <row r="11" spans="2:45">
      <c r="O11" s="30"/>
    </row>
    <row r="12" spans="2:45">
      <c r="C12" s="30"/>
      <c r="D12" s="30"/>
      <c r="E12" s="30"/>
      <c r="F12" s="30"/>
      <c r="G12" s="30"/>
      <c r="H12" s="313" t="s">
        <v>248</v>
      </c>
      <c r="I12" s="313"/>
      <c r="J12" s="30"/>
      <c r="K12" s="30"/>
      <c r="L12" s="30"/>
      <c r="M12" s="30"/>
      <c r="N12" s="35" t="s">
        <v>249</v>
      </c>
      <c r="O12" s="35">
        <v>2019</v>
      </c>
      <c r="P12" s="35">
        <v>2020</v>
      </c>
      <c r="Q12" s="35">
        <v>2021</v>
      </c>
      <c r="R12" s="35">
        <v>2022</v>
      </c>
      <c r="S12" s="35">
        <v>2023</v>
      </c>
      <c r="T12" s="35">
        <v>2024</v>
      </c>
      <c r="U12" s="35">
        <v>2025</v>
      </c>
      <c r="V12" s="35">
        <v>2026</v>
      </c>
      <c r="W12" s="35">
        <v>2027</v>
      </c>
      <c r="X12" s="35">
        <v>2028</v>
      </c>
      <c r="Y12" s="35">
        <v>2029</v>
      </c>
      <c r="Z12" s="35">
        <v>2030</v>
      </c>
      <c r="AA12" s="35">
        <v>2031</v>
      </c>
      <c r="AB12" s="35">
        <v>2032</v>
      </c>
      <c r="AC12" s="35">
        <v>2033</v>
      </c>
      <c r="AD12" s="35">
        <v>2034</v>
      </c>
      <c r="AE12" s="35">
        <v>2035</v>
      </c>
      <c r="AF12" s="35">
        <v>2036</v>
      </c>
      <c r="AG12" s="35">
        <v>2037</v>
      </c>
      <c r="AH12" s="35">
        <v>2038</v>
      </c>
      <c r="AI12" s="35">
        <v>2039</v>
      </c>
      <c r="AJ12" s="35">
        <v>2040</v>
      </c>
      <c r="AK12" s="35">
        <v>2041</v>
      </c>
      <c r="AL12" s="35">
        <v>2042</v>
      </c>
      <c r="AM12" s="35">
        <v>2043</v>
      </c>
      <c r="AN12" s="35">
        <v>2044</v>
      </c>
      <c r="AO12" s="35">
        <v>2045</v>
      </c>
      <c r="AP12" s="35">
        <v>2046</v>
      </c>
      <c r="AQ12" s="35">
        <v>2047</v>
      </c>
      <c r="AR12" s="35">
        <v>2048</v>
      </c>
      <c r="AS12" s="35">
        <v>2049</v>
      </c>
    </row>
    <row r="13" spans="2:45" s="90" customFormat="1" ht="29">
      <c r="B13" s="152" t="s">
        <v>22</v>
      </c>
      <c r="C13" s="152" t="s">
        <v>238</v>
      </c>
      <c r="D13" s="153" t="s">
        <v>250</v>
      </c>
      <c r="E13" s="153" t="s">
        <v>251</v>
      </c>
      <c r="F13" s="153" t="s">
        <v>252</v>
      </c>
      <c r="G13" s="153" t="s">
        <v>253</v>
      </c>
      <c r="H13" s="153" t="s">
        <v>254</v>
      </c>
      <c r="I13" s="153" t="s">
        <v>255</v>
      </c>
      <c r="J13" s="153" t="s">
        <v>27</v>
      </c>
      <c r="K13" s="153" t="s">
        <v>256</v>
      </c>
      <c r="L13" s="153" t="s">
        <v>257</v>
      </c>
      <c r="M13" s="153" t="s">
        <v>258</v>
      </c>
      <c r="N13" s="153"/>
    </row>
    <row r="14" spans="2:45">
      <c r="B14" s="93">
        <v>1</v>
      </c>
      <c r="C14" s="93" t="s">
        <v>240</v>
      </c>
      <c r="E14" t="str">
        <f>INDEX('Fuel Sub Calcs-Custom'!$C$60:$C$64,$B14)</f>
        <v>NR</v>
      </c>
      <c r="F14" s="36">
        <f>INDEX('Fuel Sub Calcs-Custom'!$S$15:$S$19,$B14)</f>
        <v>20</v>
      </c>
      <c r="G14">
        <f>INDEX('Fuel Sub Calcs-Custom'!$F$15:$F$19,$B14)</f>
        <v>20</v>
      </c>
      <c r="J14" s="36">
        <f>INDEX('Fuel Sub Calcs-Custom'!$G$15:$G$19,$B14)</f>
        <v>2022</v>
      </c>
      <c r="K14" s="36">
        <f>J14+F14</f>
        <v>2042</v>
      </c>
      <c r="L14" s="36">
        <f>J14+G14</f>
        <v>2042</v>
      </c>
      <c r="M14" s="36">
        <f>SUM(O14:AS14)</f>
        <v>20</v>
      </c>
      <c r="O14" s="37">
        <f t="shared" ref="O14:X18" si="0">MAX(0,MIN(1,MIN(O$12+1,$K14)-MAX($J14,O$12)))</f>
        <v>0</v>
      </c>
      <c r="P14" s="37">
        <f t="shared" si="0"/>
        <v>0</v>
      </c>
      <c r="Q14" s="37">
        <f t="shared" si="0"/>
        <v>0</v>
      </c>
      <c r="R14" s="37">
        <f t="shared" si="0"/>
        <v>1</v>
      </c>
      <c r="S14" s="37">
        <f t="shared" si="0"/>
        <v>1</v>
      </c>
      <c r="T14" s="37">
        <f t="shared" si="0"/>
        <v>1</v>
      </c>
      <c r="U14" s="37">
        <f t="shared" si="0"/>
        <v>1</v>
      </c>
      <c r="V14" s="37">
        <f t="shared" si="0"/>
        <v>1</v>
      </c>
      <c r="W14" s="37">
        <f t="shared" si="0"/>
        <v>1</v>
      </c>
      <c r="X14" s="37">
        <f t="shared" si="0"/>
        <v>1</v>
      </c>
      <c r="Y14" s="37">
        <f t="shared" ref="Y14:AH18" si="1">MAX(0,MIN(1,MIN(Y$12+1,$K14)-MAX($J14,Y$12)))</f>
        <v>1</v>
      </c>
      <c r="Z14" s="37">
        <f t="shared" si="1"/>
        <v>1</v>
      </c>
      <c r="AA14" s="37">
        <f t="shared" si="1"/>
        <v>1</v>
      </c>
      <c r="AB14" s="37">
        <f t="shared" si="1"/>
        <v>1</v>
      </c>
      <c r="AC14" s="37">
        <f t="shared" si="1"/>
        <v>1</v>
      </c>
      <c r="AD14" s="37">
        <f t="shared" si="1"/>
        <v>1</v>
      </c>
      <c r="AE14" s="37">
        <f t="shared" si="1"/>
        <v>1</v>
      </c>
      <c r="AF14" s="37">
        <f t="shared" si="1"/>
        <v>1</v>
      </c>
      <c r="AG14" s="37">
        <f t="shared" si="1"/>
        <v>1</v>
      </c>
      <c r="AH14" s="37">
        <f t="shared" si="1"/>
        <v>1</v>
      </c>
      <c r="AI14" s="37">
        <f t="shared" ref="AI14:AS18" si="2">MAX(0,MIN(1,MIN(AI$12+1,$K14)-MAX($J14,AI$12)))</f>
        <v>1</v>
      </c>
      <c r="AJ14" s="37">
        <f t="shared" si="2"/>
        <v>1</v>
      </c>
      <c r="AK14" s="37">
        <f t="shared" si="2"/>
        <v>1</v>
      </c>
      <c r="AL14" s="37">
        <f t="shared" si="2"/>
        <v>0</v>
      </c>
      <c r="AM14" s="37">
        <f t="shared" si="2"/>
        <v>0</v>
      </c>
      <c r="AN14" s="37">
        <f t="shared" si="2"/>
        <v>0</v>
      </c>
      <c r="AO14" s="37">
        <f t="shared" si="2"/>
        <v>0</v>
      </c>
      <c r="AP14" s="37">
        <f t="shared" si="2"/>
        <v>0</v>
      </c>
      <c r="AQ14" s="37">
        <f t="shared" si="2"/>
        <v>0</v>
      </c>
      <c r="AR14" s="37">
        <f t="shared" si="2"/>
        <v>0</v>
      </c>
      <c r="AS14" s="37">
        <f t="shared" si="2"/>
        <v>0</v>
      </c>
    </row>
    <row r="15" spans="2:45">
      <c r="B15" s="93">
        <v>2</v>
      </c>
      <c r="C15" s="93" t="s">
        <v>240</v>
      </c>
      <c r="E15" t="str">
        <f>INDEX('Fuel Sub Calcs-Custom'!$C$60:$C$64,$B15)</f>
        <v>NR</v>
      </c>
      <c r="F15" s="36">
        <f>INDEX('Fuel Sub Calcs-Custom'!$S$15:$S$19,$B15)</f>
        <v>15</v>
      </c>
      <c r="G15">
        <f>INDEX('Fuel Sub Calcs-Custom'!$F$15:$F$19,$B15)</f>
        <v>15</v>
      </c>
      <c r="J15" s="36">
        <f>INDEX('Fuel Sub Calcs-Custom'!$G$15:$G$19,$B15)</f>
        <v>2022</v>
      </c>
      <c r="K15" s="36">
        <f>J15+F15</f>
        <v>2037</v>
      </c>
      <c r="L15" s="36">
        <f>J15+G15</f>
        <v>2037</v>
      </c>
      <c r="M15" s="36">
        <f>SUM(O15:AS15)</f>
        <v>15</v>
      </c>
      <c r="O15" s="37">
        <f t="shared" si="0"/>
        <v>0</v>
      </c>
      <c r="P15" s="37">
        <f t="shared" si="0"/>
        <v>0</v>
      </c>
      <c r="Q15" s="37">
        <f t="shared" si="0"/>
        <v>0</v>
      </c>
      <c r="R15" s="37">
        <f t="shared" si="0"/>
        <v>1</v>
      </c>
      <c r="S15" s="37">
        <f t="shared" si="0"/>
        <v>1</v>
      </c>
      <c r="T15" s="37">
        <f t="shared" si="0"/>
        <v>1</v>
      </c>
      <c r="U15" s="37">
        <f t="shared" si="0"/>
        <v>1</v>
      </c>
      <c r="V15" s="37">
        <f t="shared" si="0"/>
        <v>1</v>
      </c>
      <c r="W15" s="37">
        <f t="shared" si="0"/>
        <v>1</v>
      </c>
      <c r="X15" s="37">
        <f t="shared" si="0"/>
        <v>1</v>
      </c>
      <c r="Y15" s="37">
        <f t="shared" si="1"/>
        <v>1</v>
      </c>
      <c r="Z15" s="37">
        <f t="shared" si="1"/>
        <v>1</v>
      </c>
      <c r="AA15" s="37">
        <f t="shared" si="1"/>
        <v>1</v>
      </c>
      <c r="AB15" s="37">
        <f t="shared" si="1"/>
        <v>1</v>
      </c>
      <c r="AC15" s="37">
        <f t="shared" si="1"/>
        <v>1</v>
      </c>
      <c r="AD15" s="37">
        <f t="shared" si="1"/>
        <v>1</v>
      </c>
      <c r="AE15" s="37">
        <f t="shared" si="1"/>
        <v>1</v>
      </c>
      <c r="AF15" s="37">
        <f t="shared" si="1"/>
        <v>1</v>
      </c>
      <c r="AG15" s="37">
        <f t="shared" si="1"/>
        <v>0</v>
      </c>
      <c r="AH15" s="37">
        <f t="shared" si="1"/>
        <v>0</v>
      </c>
      <c r="AI15" s="37">
        <f t="shared" si="2"/>
        <v>0</v>
      </c>
      <c r="AJ15" s="37">
        <f t="shared" si="2"/>
        <v>0</v>
      </c>
      <c r="AK15" s="37">
        <f t="shared" si="2"/>
        <v>0</v>
      </c>
      <c r="AL15" s="37">
        <f t="shared" si="2"/>
        <v>0</v>
      </c>
      <c r="AM15" s="37">
        <f t="shared" si="2"/>
        <v>0</v>
      </c>
      <c r="AN15" s="37">
        <f t="shared" si="2"/>
        <v>0</v>
      </c>
      <c r="AO15" s="37">
        <f t="shared" si="2"/>
        <v>0</v>
      </c>
      <c r="AP15" s="37">
        <f t="shared" si="2"/>
        <v>0</v>
      </c>
      <c r="AQ15" s="37">
        <f t="shared" si="2"/>
        <v>0</v>
      </c>
      <c r="AR15" s="37">
        <f t="shared" si="2"/>
        <v>0</v>
      </c>
      <c r="AS15" s="37">
        <f t="shared" si="2"/>
        <v>0</v>
      </c>
    </row>
    <row r="16" spans="2:45">
      <c r="B16" s="93">
        <v>3</v>
      </c>
      <c r="C16" s="93" t="s">
        <v>240</v>
      </c>
      <c r="E16" t="str">
        <f>INDEX('Fuel Sub Calcs-Custom'!$C$60:$C$64,$B16)</f>
        <v>NR</v>
      </c>
      <c r="F16" s="36">
        <f>INDEX('Fuel Sub Calcs-Custom'!$S$15:$S$19,$B16)</f>
        <v>10</v>
      </c>
      <c r="G16">
        <f>INDEX('Fuel Sub Calcs-Custom'!$F$15:$F$19,$B16)</f>
        <v>10</v>
      </c>
      <c r="J16" s="36">
        <f>INDEX('Fuel Sub Calcs-Custom'!$G$15:$G$19,$B16)</f>
        <v>2022</v>
      </c>
      <c r="K16" s="36">
        <f>J16+F16</f>
        <v>2032</v>
      </c>
      <c r="L16" s="36">
        <f>J16+G16</f>
        <v>2032</v>
      </c>
      <c r="M16" s="36">
        <f>SUM(O16:AS16)</f>
        <v>10</v>
      </c>
      <c r="O16" s="37">
        <f t="shared" si="0"/>
        <v>0</v>
      </c>
      <c r="P16" s="37">
        <f t="shared" si="0"/>
        <v>0</v>
      </c>
      <c r="Q16" s="37">
        <f t="shared" si="0"/>
        <v>0</v>
      </c>
      <c r="R16" s="37">
        <f t="shared" si="0"/>
        <v>1</v>
      </c>
      <c r="S16" s="37">
        <f t="shared" si="0"/>
        <v>1</v>
      </c>
      <c r="T16" s="37">
        <f t="shared" si="0"/>
        <v>1</v>
      </c>
      <c r="U16" s="37">
        <f t="shared" si="0"/>
        <v>1</v>
      </c>
      <c r="V16" s="37">
        <f t="shared" si="0"/>
        <v>1</v>
      </c>
      <c r="W16" s="37">
        <f t="shared" si="0"/>
        <v>1</v>
      </c>
      <c r="X16" s="37">
        <f t="shared" si="0"/>
        <v>1</v>
      </c>
      <c r="Y16" s="37">
        <f t="shared" si="1"/>
        <v>1</v>
      </c>
      <c r="Z16" s="37">
        <f t="shared" si="1"/>
        <v>1</v>
      </c>
      <c r="AA16" s="37">
        <f t="shared" si="1"/>
        <v>1</v>
      </c>
      <c r="AB16" s="37">
        <f t="shared" si="1"/>
        <v>0</v>
      </c>
      <c r="AC16" s="37">
        <f t="shared" si="1"/>
        <v>0</v>
      </c>
      <c r="AD16" s="37">
        <f t="shared" si="1"/>
        <v>0</v>
      </c>
      <c r="AE16" s="37">
        <f t="shared" si="1"/>
        <v>0</v>
      </c>
      <c r="AF16" s="37">
        <f t="shared" si="1"/>
        <v>0</v>
      </c>
      <c r="AG16" s="37">
        <f t="shared" si="1"/>
        <v>0</v>
      </c>
      <c r="AH16" s="37">
        <f t="shared" si="1"/>
        <v>0</v>
      </c>
      <c r="AI16" s="37">
        <f t="shared" si="2"/>
        <v>0</v>
      </c>
      <c r="AJ16" s="37">
        <f t="shared" si="2"/>
        <v>0</v>
      </c>
      <c r="AK16" s="37">
        <f t="shared" si="2"/>
        <v>0</v>
      </c>
      <c r="AL16" s="37">
        <f t="shared" si="2"/>
        <v>0</v>
      </c>
      <c r="AM16" s="37">
        <f t="shared" si="2"/>
        <v>0</v>
      </c>
      <c r="AN16" s="37">
        <f t="shared" si="2"/>
        <v>0</v>
      </c>
      <c r="AO16" s="37">
        <f t="shared" si="2"/>
        <v>0</v>
      </c>
      <c r="AP16" s="37">
        <f t="shared" si="2"/>
        <v>0</v>
      </c>
      <c r="AQ16" s="37">
        <f t="shared" si="2"/>
        <v>0</v>
      </c>
      <c r="AR16" s="37">
        <f t="shared" si="2"/>
        <v>0</v>
      </c>
      <c r="AS16" s="37">
        <f t="shared" si="2"/>
        <v>0</v>
      </c>
    </row>
    <row r="17" spans="2:45">
      <c r="B17" s="93">
        <v>4</v>
      </c>
      <c r="C17" s="93" t="s">
        <v>240</v>
      </c>
      <c r="E17" t="str">
        <f>INDEX('Fuel Sub Calcs-Custom'!$C$60:$C$64,$B17)</f>
        <v>NR</v>
      </c>
      <c r="F17" s="36">
        <f>INDEX('Fuel Sub Calcs-Custom'!$S$15:$S$19,$B17)</f>
        <v>0</v>
      </c>
      <c r="G17">
        <f>INDEX('Fuel Sub Calcs-Custom'!$F$15:$F$19,$B17)</f>
        <v>0</v>
      </c>
      <c r="J17" s="36">
        <f>INDEX('Fuel Sub Calcs-Custom'!$G$15:$G$19,$B17)</f>
        <v>0</v>
      </c>
      <c r="K17" s="36">
        <f>J17+F17</f>
        <v>0</v>
      </c>
      <c r="L17" s="36">
        <f>J17+G17</f>
        <v>0</v>
      </c>
      <c r="M17" s="36">
        <f>SUM(O17:AS17)</f>
        <v>0</v>
      </c>
      <c r="O17" s="37">
        <f t="shared" si="0"/>
        <v>0</v>
      </c>
      <c r="P17" s="37">
        <f t="shared" si="0"/>
        <v>0</v>
      </c>
      <c r="Q17" s="37">
        <f t="shared" si="0"/>
        <v>0</v>
      </c>
      <c r="R17" s="37">
        <f t="shared" si="0"/>
        <v>0</v>
      </c>
      <c r="S17" s="37">
        <f t="shared" si="0"/>
        <v>0</v>
      </c>
      <c r="T17" s="37">
        <f t="shared" si="0"/>
        <v>0</v>
      </c>
      <c r="U17" s="37">
        <f t="shared" si="0"/>
        <v>0</v>
      </c>
      <c r="V17" s="37">
        <f t="shared" si="0"/>
        <v>0</v>
      </c>
      <c r="W17" s="37">
        <f t="shared" si="0"/>
        <v>0</v>
      </c>
      <c r="X17" s="37">
        <f t="shared" si="0"/>
        <v>0</v>
      </c>
      <c r="Y17" s="37">
        <f t="shared" si="1"/>
        <v>0</v>
      </c>
      <c r="Z17" s="37">
        <f t="shared" si="1"/>
        <v>0</v>
      </c>
      <c r="AA17" s="37">
        <f t="shared" si="1"/>
        <v>0</v>
      </c>
      <c r="AB17" s="37">
        <f t="shared" si="1"/>
        <v>0</v>
      </c>
      <c r="AC17" s="37">
        <f t="shared" si="1"/>
        <v>0</v>
      </c>
      <c r="AD17" s="37">
        <f t="shared" si="1"/>
        <v>0</v>
      </c>
      <c r="AE17" s="37">
        <f t="shared" si="1"/>
        <v>0</v>
      </c>
      <c r="AF17" s="37">
        <f t="shared" si="1"/>
        <v>0</v>
      </c>
      <c r="AG17" s="37">
        <f t="shared" si="1"/>
        <v>0</v>
      </c>
      <c r="AH17" s="37">
        <f t="shared" si="1"/>
        <v>0</v>
      </c>
      <c r="AI17" s="37">
        <f t="shared" si="2"/>
        <v>0</v>
      </c>
      <c r="AJ17" s="37">
        <f t="shared" si="2"/>
        <v>0</v>
      </c>
      <c r="AK17" s="37">
        <f t="shared" si="2"/>
        <v>0</v>
      </c>
      <c r="AL17" s="37">
        <f t="shared" si="2"/>
        <v>0</v>
      </c>
      <c r="AM17" s="37">
        <f t="shared" si="2"/>
        <v>0</v>
      </c>
      <c r="AN17" s="37">
        <f t="shared" si="2"/>
        <v>0</v>
      </c>
      <c r="AO17" s="37">
        <f t="shared" si="2"/>
        <v>0</v>
      </c>
      <c r="AP17" s="37">
        <f t="shared" si="2"/>
        <v>0</v>
      </c>
      <c r="AQ17" s="37">
        <f t="shared" si="2"/>
        <v>0</v>
      </c>
      <c r="AR17" s="37">
        <f t="shared" si="2"/>
        <v>0</v>
      </c>
      <c r="AS17" s="37">
        <f t="shared" si="2"/>
        <v>0</v>
      </c>
    </row>
    <row r="18" spans="2:45">
      <c r="B18" s="93">
        <v>5</v>
      </c>
      <c r="C18" s="93" t="s">
        <v>240</v>
      </c>
      <c r="E18" t="str">
        <f>INDEX('Fuel Sub Calcs-Custom'!$C$60:$C$64,$B18)</f>
        <v>AR</v>
      </c>
      <c r="F18" s="36">
        <f>INDEX('Fuel Sub Calcs-Custom'!$S$15:$S$19,$B18)</f>
        <v>0</v>
      </c>
      <c r="G18">
        <f>INDEX('Fuel Sub Calcs-Custom'!$F$15:$F$19,$B18)</f>
        <v>0</v>
      </c>
      <c r="J18" s="36">
        <f>INDEX('Fuel Sub Calcs-Custom'!$G$15:$G$19,$B18)</f>
        <v>0</v>
      </c>
      <c r="K18" s="36">
        <f>J18+F18</f>
        <v>0</v>
      </c>
      <c r="L18" s="36">
        <f>J18+G18</f>
        <v>0</v>
      </c>
      <c r="M18" s="36">
        <f>SUM(O18:AS18)</f>
        <v>0</v>
      </c>
      <c r="O18" s="37">
        <f t="shared" si="0"/>
        <v>0</v>
      </c>
      <c r="P18" s="37">
        <f t="shared" si="0"/>
        <v>0</v>
      </c>
      <c r="Q18" s="37">
        <f t="shared" si="0"/>
        <v>0</v>
      </c>
      <c r="R18" s="37">
        <f t="shared" si="0"/>
        <v>0</v>
      </c>
      <c r="S18" s="37">
        <f t="shared" si="0"/>
        <v>0</v>
      </c>
      <c r="T18" s="37">
        <f t="shared" si="0"/>
        <v>0</v>
      </c>
      <c r="U18" s="37">
        <f t="shared" si="0"/>
        <v>0</v>
      </c>
      <c r="V18" s="37">
        <f t="shared" si="0"/>
        <v>0</v>
      </c>
      <c r="W18" s="37">
        <f t="shared" si="0"/>
        <v>0</v>
      </c>
      <c r="X18" s="37">
        <f t="shared" si="0"/>
        <v>0</v>
      </c>
      <c r="Y18" s="37">
        <f t="shared" si="1"/>
        <v>0</v>
      </c>
      <c r="Z18" s="37">
        <f t="shared" si="1"/>
        <v>0</v>
      </c>
      <c r="AA18" s="37">
        <f t="shared" si="1"/>
        <v>0</v>
      </c>
      <c r="AB18" s="37">
        <f t="shared" si="1"/>
        <v>0</v>
      </c>
      <c r="AC18" s="37">
        <f t="shared" si="1"/>
        <v>0</v>
      </c>
      <c r="AD18" s="37">
        <f t="shared" si="1"/>
        <v>0</v>
      </c>
      <c r="AE18" s="37">
        <f t="shared" si="1"/>
        <v>0</v>
      </c>
      <c r="AF18" s="37">
        <f t="shared" si="1"/>
        <v>0</v>
      </c>
      <c r="AG18" s="37">
        <f t="shared" si="1"/>
        <v>0</v>
      </c>
      <c r="AH18" s="37">
        <f t="shared" si="1"/>
        <v>0</v>
      </c>
      <c r="AI18" s="37">
        <f t="shared" si="2"/>
        <v>0</v>
      </c>
      <c r="AJ18" s="37">
        <f t="shared" si="2"/>
        <v>0</v>
      </c>
      <c r="AK18" s="37">
        <f t="shared" si="2"/>
        <v>0</v>
      </c>
      <c r="AL18" s="37">
        <f t="shared" si="2"/>
        <v>0</v>
      </c>
      <c r="AM18" s="37">
        <f t="shared" si="2"/>
        <v>0</v>
      </c>
      <c r="AN18" s="37">
        <f t="shared" si="2"/>
        <v>0</v>
      </c>
      <c r="AO18" s="37">
        <f t="shared" si="2"/>
        <v>0</v>
      </c>
      <c r="AP18" s="37">
        <f t="shared" si="2"/>
        <v>0</v>
      </c>
      <c r="AQ18" s="37">
        <f t="shared" si="2"/>
        <v>0</v>
      </c>
      <c r="AR18" s="37">
        <f t="shared" si="2"/>
        <v>0</v>
      </c>
      <c r="AS18" s="37">
        <f t="shared" si="2"/>
        <v>0</v>
      </c>
    </row>
    <row r="19" spans="2:45">
      <c r="F19" s="36"/>
      <c r="J19" s="36"/>
      <c r="K19" s="36"/>
      <c r="L19" s="36"/>
      <c r="M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row>
    <row r="20" spans="2:45">
      <c r="B20" s="93">
        <v>1</v>
      </c>
      <c r="C20" s="93" t="s">
        <v>242</v>
      </c>
      <c r="E20" t="str">
        <f>INDEX('Fuel Sub Calcs-Custom'!$C$60:$C$64,$B20)</f>
        <v>NR</v>
      </c>
      <c r="F20" s="36">
        <f>INDEX('Fuel Sub Calcs-Custom'!$S$15:$S$19,$B20)</f>
        <v>20</v>
      </c>
      <c r="G20">
        <f>INDEX('Fuel Sub Calcs-Custom'!$F$15:$F$19,$B20)</f>
        <v>20</v>
      </c>
      <c r="J20" s="36">
        <f>INDEX('Fuel Sub Calcs-Custom'!$G$15:$G$19,$B20)</f>
        <v>2022</v>
      </c>
      <c r="K20" s="36">
        <f>J20+F20</f>
        <v>2042</v>
      </c>
      <c r="L20" s="36">
        <f>J20+G20</f>
        <v>2042</v>
      </c>
      <c r="M20" s="36">
        <f>SUM(O20:AS20)</f>
        <v>0</v>
      </c>
      <c r="O20" s="37">
        <f>MAX(0,MIN(1,MIN(O$12+1,$L20)-MAX($K20,O$12)))</f>
        <v>0</v>
      </c>
      <c r="P20" s="37">
        <f t="shared" ref="P20:AE24" si="3">MAX(0,MIN(1,MIN(P$12+1,$L20)-MAX($K20,P$12)))</f>
        <v>0</v>
      </c>
      <c r="Q20" s="37">
        <f t="shared" si="3"/>
        <v>0</v>
      </c>
      <c r="R20" s="37">
        <f t="shared" si="3"/>
        <v>0</v>
      </c>
      <c r="S20" s="37">
        <f t="shared" si="3"/>
        <v>0</v>
      </c>
      <c r="T20" s="37">
        <f t="shared" si="3"/>
        <v>0</v>
      </c>
      <c r="U20" s="37">
        <f t="shared" si="3"/>
        <v>0</v>
      </c>
      <c r="V20" s="37">
        <f t="shared" si="3"/>
        <v>0</v>
      </c>
      <c r="W20" s="37">
        <f t="shared" si="3"/>
        <v>0</v>
      </c>
      <c r="X20" s="37">
        <f t="shared" si="3"/>
        <v>0</v>
      </c>
      <c r="Y20" s="37">
        <f t="shared" si="3"/>
        <v>0</v>
      </c>
      <c r="Z20" s="37">
        <f t="shared" si="3"/>
        <v>0</v>
      </c>
      <c r="AA20" s="37">
        <f t="shared" si="3"/>
        <v>0</v>
      </c>
      <c r="AB20" s="37">
        <f t="shared" si="3"/>
        <v>0</v>
      </c>
      <c r="AC20" s="37">
        <f t="shared" si="3"/>
        <v>0</v>
      </c>
      <c r="AD20" s="37">
        <f t="shared" si="3"/>
        <v>0</v>
      </c>
      <c r="AE20" s="37">
        <f t="shared" si="3"/>
        <v>0</v>
      </c>
      <c r="AF20" s="37">
        <f t="shared" ref="AF20:AS24" si="4">MAX(0,MIN(1,MIN(AF$12+1,$L20)-MAX($K20,AF$12)))</f>
        <v>0</v>
      </c>
      <c r="AG20" s="37">
        <f t="shared" si="4"/>
        <v>0</v>
      </c>
      <c r="AH20" s="37">
        <f t="shared" si="4"/>
        <v>0</v>
      </c>
      <c r="AI20" s="37">
        <f t="shared" si="4"/>
        <v>0</v>
      </c>
      <c r="AJ20" s="37">
        <f t="shared" si="4"/>
        <v>0</v>
      </c>
      <c r="AK20" s="37">
        <f t="shared" si="4"/>
        <v>0</v>
      </c>
      <c r="AL20" s="37">
        <f t="shared" si="4"/>
        <v>0</v>
      </c>
      <c r="AM20" s="37">
        <f t="shared" si="4"/>
        <v>0</v>
      </c>
      <c r="AN20" s="37">
        <f t="shared" si="4"/>
        <v>0</v>
      </c>
      <c r="AO20" s="37">
        <f t="shared" si="4"/>
        <v>0</v>
      </c>
      <c r="AP20" s="37">
        <f t="shared" si="4"/>
        <v>0</v>
      </c>
      <c r="AQ20" s="37">
        <f t="shared" si="4"/>
        <v>0</v>
      </c>
      <c r="AR20" s="37">
        <f t="shared" si="4"/>
        <v>0</v>
      </c>
      <c r="AS20" s="37">
        <f t="shared" si="4"/>
        <v>0</v>
      </c>
    </row>
    <row r="21" spans="2:45">
      <c r="B21" s="93">
        <v>2</v>
      </c>
      <c r="C21" s="93" t="s">
        <v>242</v>
      </c>
      <c r="E21" t="str">
        <f>INDEX('Fuel Sub Calcs-Custom'!$C$60:$C$64,$B21)</f>
        <v>NR</v>
      </c>
      <c r="F21" s="36">
        <f>INDEX('Fuel Sub Calcs-Custom'!$S$15:$S$19,$B21)</f>
        <v>15</v>
      </c>
      <c r="G21">
        <f>INDEX('Fuel Sub Calcs-Custom'!$F$15:$F$19,$B21)</f>
        <v>15</v>
      </c>
      <c r="J21" s="36">
        <f>INDEX('Fuel Sub Calcs-Custom'!$G$15:$G$19,$B21)</f>
        <v>2022</v>
      </c>
      <c r="K21" s="36">
        <f>J21+F21</f>
        <v>2037</v>
      </c>
      <c r="L21" s="36">
        <f>J21+G21</f>
        <v>2037</v>
      </c>
      <c r="M21" s="36">
        <f>SUM(O21:AS21)</f>
        <v>0</v>
      </c>
      <c r="O21" s="37">
        <f t="shared" ref="O21:O24" si="5">MAX(0,MIN(1,MIN(O$12+1,$L21)-MAX($K21,O$12)))</f>
        <v>0</v>
      </c>
      <c r="P21" s="37">
        <f t="shared" si="3"/>
        <v>0</v>
      </c>
      <c r="Q21" s="37">
        <f t="shared" si="3"/>
        <v>0</v>
      </c>
      <c r="R21" s="37">
        <f t="shared" si="3"/>
        <v>0</v>
      </c>
      <c r="S21" s="37">
        <f t="shared" si="3"/>
        <v>0</v>
      </c>
      <c r="T21" s="37">
        <f t="shared" si="3"/>
        <v>0</v>
      </c>
      <c r="U21" s="37">
        <f t="shared" si="3"/>
        <v>0</v>
      </c>
      <c r="V21" s="37">
        <f t="shared" si="3"/>
        <v>0</v>
      </c>
      <c r="W21" s="37">
        <f t="shared" si="3"/>
        <v>0</v>
      </c>
      <c r="X21" s="37">
        <f t="shared" si="3"/>
        <v>0</v>
      </c>
      <c r="Y21" s="37">
        <f t="shared" si="3"/>
        <v>0</v>
      </c>
      <c r="Z21" s="37">
        <f t="shared" si="3"/>
        <v>0</v>
      </c>
      <c r="AA21" s="37">
        <f t="shared" si="3"/>
        <v>0</v>
      </c>
      <c r="AB21" s="37">
        <f t="shared" si="3"/>
        <v>0</v>
      </c>
      <c r="AC21" s="37">
        <f t="shared" si="3"/>
        <v>0</v>
      </c>
      <c r="AD21" s="37">
        <f t="shared" si="3"/>
        <v>0</v>
      </c>
      <c r="AE21" s="37">
        <f t="shared" si="3"/>
        <v>0</v>
      </c>
      <c r="AF21" s="37">
        <f t="shared" si="4"/>
        <v>0</v>
      </c>
      <c r="AG21" s="37">
        <f t="shared" si="4"/>
        <v>0</v>
      </c>
      <c r="AH21" s="37">
        <f t="shared" si="4"/>
        <v>0</v>
      </c>
      <c r="AI21" s="37">
        <f t="shared" si="4"/>
        <v>0</v>
      </c>
      <c r="AJ21" s="37">
        <f t="shared" si="4"/>
        <v>0</v>
      </c>
      <c r="AK21" s="37">
        <f t="shared" si="4"/>
        <v>0</v>
      </c>
      <c r="AL21" s="37">
        <f t="shared" si="4"/>
        <v>0</v>
      </c>
      <c r="AM21" s="37">
        <f t="shared" si="4"/>
        <v>0</v>
      </c>
      <c r="AN21" s="37">
        <f t="shared" si="4"/>
        <v>0</v>
      </c>
      <c r="AO21" s="37">
        <f t="shared" si="4"/>
        <v>0</v>
      </c>
      <c r="AP21" s="37">
        <f t="shared" si="4"/>
        <v>0</v>
      </c>
      <c r="AQ21" s="37">
        <f t="shared" si="4"/>
        <v>0</v>
      </c>
      <c r="AR21" s="37">
        <f t="shared" si="4"/>
        <v>0</v>
      </c>
      <c r="AS21" s="37">
        <f t="shared" si="4"/>
        <v>0</v>
      </c>
    </row>
    <row r="22" spans="2:45">
      <c r="B22" s="93">
        <v>3</v>
      </c>
      <c r="C22" s="93" t="s">
        <v>242</v>
      </c>
      <c r="E22" t="str">
        <f>INDEX('Fuel Sub Calcs-Custom'!$C$60:$C$64,$B22)</f>
        <v>NR</v>
      </c>
      <c r="F22" s="36">
        <f>INDEX('Fuel Sub Calcs-Custom'!$S$15:$S$19,$B22)</f>
        <v>10</v>
      </c>
      <c r="G22">
        <f>INDEX('Fuel Sub Calcs-Custom'!$F$15:$F$19,$B22)</f>
        <v>10</v>
      </c>
      <c r="J22" s="36">
        <f>INDEX('Fuel Sub Calcs-Custom'!$G$15:$G$19,$B22)</f>
        <v>2022</v>
      </c>
      <c r="K22" s="36">
        <f>J22+F22</f>
        <v>2032</v>
      </c>
      <c r="L22" s="36">
        <f>J22+G22</f>
        <v>2032</v>
      </c>
      <c r="M22" s="36">
        <f>SUM(O22:AS22)</f>
        <v>0</v>
      </c>
      <c r="O22" s="37">
        <f t="shared" si="5"/>
        <v>0</v>
      </c>
      <c r="P22" s="37">
        <f t="shared" si="3"/>
        <v>0</v>
      </c>
      <c r="Q22" s="37">
        <f t="shared" si="3"/>
        <v>0</v>
      </c>
      <c r="R22" s="37">
        <f t="shared" si="3"/>
        <v>0</v>
      </c>
      <c r="S22" s="37">
        <f t="shared" si="3"/>
        <v>0</v>
      </c>
      <c r="T22" s="37">
        <f t="shared" si="3"/>
        <v>0</v>
      </c>
      <c r="U22" s="37">
        <f t="shared" si="3"/>
        <v>0</v>
      </c>
      <c r="V22" s="37">
        <f t="shared" si="3"/>
        <v>0</v>
      </c>
      <c r="W22" s="37">
        <f t="shared" si="3"/>
        <v>0</v>
      </c>
      <c r="X22" s="37">
        <f t="shared" si="3"/>
        <v>0</v>
      </c>
      <c r="Y22" s="37">
        <f t="shared" si="3"/>
        <v>0</v>
      </c>
      <c r="Z22" s="37">
        <f t="shared" si="3"/>
        <v>0</v>
      </c>
      <c r="AA22" s="37">
        <f t="shared" si="3"/>
        <v>0</v>
      </c>
      <c r="AB22" s="37">
        <f t="shared" si="3"/>
        <v>0</v>
      </c>
      <c r="AC22" s="37">
        <f t="shared" si="3"/>
        <v>0</v>
      </c>
      <c r="AD22" s="37">
        <f t="shared" si="3"/>
        <v>0</v>
      </c>
      <c r="AE22" s="37">
        <f t="shared" si="3"/>
        <v>0</v>
      </c>
      <c r="AF22" s="37">
        <f t="shared" si="4"/>
        <v>0</v>
      </c>
      <c r="AG22" s="37">
        <f t="shared" si="4"/>
        <v>0</v>
      </c>
      <c r="AH22" s="37">
        <f t="shared" si="4"/>
        <v>0</v>
      </c>
      <c r="AI22" s="37">
        <f t="shared" si="4"/>
        <v>0</v>
      </c>
      <c r="AJ22" s="37">
        <f t="shared" si="4"/>
        <v>0</v>
      </c>
      <c r="AK22" s="37">
        <f t="shared" si="4"/>
        <v>0</v>
      </c>
      <c r="AL22" s="37">
        <f t="shared" si="4"/>
        <v>0</v>
      </c>
      <c r="AM22" s="37">
        <f t="shared" si="4"/>
        <v>0</v>
      </c>
      <c r="AN22" s="37">
        <f t="shared" si="4"/>
        <v>0</v>
      </c>
      <c r="AO22" s="37">
        <f t="shared" si="4"/>
        <v>0</v>
      </c>
      <c r="AP22" s="37">
        <f t="shared" si="4"/>
        <v>0</v>
      </c>
      <c r="AQ22" s="37">
        <f t="shared" si="4"/>
        <v>0</v>
      </c>
      <c r="AR22" s="37">
        <f t="shared" si="4"/>
        <v>0</v>
      </c>
      <c r="AS22" s="37">
        <f t="shared" si="4"/>
        <v>0</v>
      </c>
    </row>
    <row r="23" spans="2:45">
      <c r="B23" s="93">
        <v>4</v>
      </c>
      <c r="C23" s="93" t="s">
        <v>242</v>
      </c>
      <c r="E23" t="str">
        <f>INDEX('Fuel Sub Calcs-Custom'!$C$60:$C$64,$B23)</f>
        <v>NR</v>
      </c>
      <c r="F23" s="36">
        <f>INDEX('Fuel Sub Calcs-Custom'!$S$15:$S$19,$B23)</f>
        <v>0</v>
      </c>
      <c r="G23">
        <f>INDEX('Fuel Sub Calcs-Custom'!$F$15:$F$19,$B23)</f>
        <v>0</v>
      </c>
      <c r="J23" s="36">
        <f>INDEX('Fuel Sub Calcs-Custom'!$G$15:$G$19,$B23)</f>
        <v>0</v>
      </c>
      <c r="K23" s="36">
        <f>J23+F23</f>
        <v>0</v>
      </c>
      <c r="L23" s="36">
        <f>J23+G23</f>
        <v>0</v>
      </c>
      <c r="M23" s="36">
        <f>SUM(O23:AS23)</f>
        <v>0</v>
      </c>
      <c r="O23" s="37">
        <f t="shared" si="5"/>
        <v>0</v>
      </c>
      <c r="P23" s="37">
        <f t="shared" si="3"/>
        <v>0</v>
      </c>
      <c r="Q23" s="37">
        <f t="shared" si="3"/>
        <v>0</v>
      </c>
      <c r="R23" s="37">
        <f t="shared" si="3"/>
        <v>0</v>
      </c>
      <c r="S23" s="37">
        <f t="shared" si="3"/>
        <v>0</v>
      </c>
      <c r="T23" s="37">
        <f t="shared" si="3"/>
        <v>0</v>
      </c>
      <c r="U23" s="37">
        <f t="shared" si="3"/>
        <v>0</v>
      </c>
      <c r="V23" s="37">
        <f t="shared" si="3"/>
        <v>0</v>
      </c>
      <c r="W23" s="37">
        <f t="shared" si="3"/>
        <v>0</v>
      </c>
      <c r="X23" s="37">
        <f t="shared" si="3"/>
        <v>0</v>
      </c>
      <c r="Y23" s="37">
        <f t="shared" si="3"/>
        <v>0</v>
      </c>
      <c r="Z23" s="37">
        <f t="shared" si="3"/>
        <v>0</v>
      </c>
      <c r="AA23" s="37">
        <f t="shared" si="3"/>
        <v>0</v>
      </c>
      <c r="AB23" s="37">
        <f t="shared" si="3"/>
        <v>0</v>
      </c>
      <c r="AC23" s="37">
        <f t="shared" si="3"/>
        <v>0</v>
      </c>
      <c r="AD23" s="37">
        <f t="shared" si="3"/>
        <v>0</v>
      </c>
      <c r="AE23" s="37">
        <f t="shared" si="3"/>
        <v>0</v>
      </c>
      <c r="AF23" s="37">
        <f t="shared" si="4"/>
        <v>0</v>
      </c>
      <c r="AG23" s="37">
        <f t="shared" si="4"/>
        <v>0</v>
      </c>
      <c r="AH23" s="37">
        <f t="shared" si="4"/>
        <v>0</v>
      </c>
      <c r="AI23" s="37">
        <f t="shared" si="4"/>
        <v>0</v>
      </c>
      <c r="AJ23" s="37">
        <f t="shared" si="4"/>
        <v>0</v>
      </c>
      <c r="AK23" s="37">
        <f t="shared" si="4"/>
        <v>0</v>
      </c>
      <c r="AL23" s="37">
        <f t="shared" si="4"/>
        <v>0</v>
      </c>
      <c r="AM23" s="37">
        <f t="shared" si="4"/>
        <v>0</v>
      </c>
      <c r="AN23" s="37">
        <f t="shared" si="4"/>
        <v>0</v>
      </c>
      <c r="AO23" s="37">
        <f t="shared" si="4"/>
        <v>0</v>
      </c>
      <c r="AP23" s="37">
        <f t="shared" si="4"/>
        <v>0</v>
      </c>
      <c r="AQ23" s="37">
        <f t="shared" si="4"/>
        <v>0</v>
      </c>
      <c r="AR23" s="37">
        <f t="shared" si="4"/>
        <v>0</v>
      </c>
      <c r="AS23" s="37">
        <f t="shared" si="4"/>
        <v>0</v>
      </c>
    </row>
    <row r="24" spans="2:45">
      <c r="B24" s="93">
        <v>5</v>
      </c>
      <c r="C24" s="93" t="s">
        <v>242</v>
      </c>
      <c r="E24" t="str">
        <f>INDEX('Fuel Sub Calcs-Custom'!$C$60:$C$64,$B24)</f>
        <v>AR</v>
      </c>
      <c r="F24" s="36">
        <f>INDEX('Fuel Sub Calcs-Custom'!$S$15:$S$19,$B24)</f>
        <v>0</v>
      </c>
      <c r="G24">
        <f>INDEX('Fuel Sub Calcs-Custom'!$F$15:$F$19,$B24)</f>
        <v>0</v>
      </c>
      <c r="J24" s="36">
        <f>INDEX('Fuel Sub Calcs-Custom'!$G$15:$G$19,$B24)</f>
        <v>0</v>
      </c>
      <c r="K24" s="36">
        <f>J24+F24</f>
        <v>0</v>
      </c>
      <c r="L24" s="36">
        <f>J24+G24</f>
        <v>0</v>
      </c>
      <c r="M24" s="36">
        <f>SUM(O24:AS24)</f>
        <v>0</v>
      </c>
      <c r="O24" s="37">
        <f t="shared" si="5"/>
        <v>0</v>
      </c>
      <c r="P24" s="37">
        <f t="shared" si="3"/>
        <v>0</v>
      </c>
      <c r="Q24" s="37">
        <f t="shared" si="3"/>
        <v>0</v>
      </c>
      <c r="R24" s="37">
        <f t="shared" si="3"/>
        <v>0</v>
      </c>
      <c r="S24" s="37">
        <f t="shared" si="3"/>
        <v>0</v>
      </c>
      <c r="T24" s="37">
        <f t="shared" si="3"/>
        <v>0</v>
      </c>
      <c r="U24" s="37">
        <f t="shared" si="3"/>
        <v>0</v>
      </c>
      <c r="V24" s="37">
        <f t="shared" si="3"/>
        <v>0</v>
      </c>
      <c r="W24" s="37">
        <f t="shared" si="3"/>
        <v>0</v>
      </c>
      <c r="X24" s="37">
        <f t="shared" si="3"/>
        <v>0</v>
      </c>
      <c r="Y24" s="37">
        <f t="shared" si="3"/>
        <v>0</v>
      </c>
      <c r="Z24" s="37">
        <f t="shared" si="3"/>
        <v>0</v>
      </c>
      <c r="AA24" s="37">
        <f t="shared" si="3"/>
        <v>0</v>
      </c>
      <c r="AB24" s="37">
        <f t="shared" si="3"/>
        <v>0</v>
      </c>
      <c r="AC24" s="37">
        <f t="shared" si="3"/>
        <v>0</v>
      </c>
      <c r="AD24" s="37">
        <f t="shared" si="3"/>
        <v>0</v>
      </c>
      <c r="AE24" s="37">
        <f t="shared" si="3"/>
        <v>0</v>
      </c>
      <c r="AF24" s="37">
        <f t="shared" si="4"/>
        <v>0</v>
      </c>
      <c r="AG24" s="37">
        <f t="shared" si="4"/>
        <v>0</v>
      </c>
      <c r="AH24" s="37">
        <f t="shared" si="4"/>
        <v>0</v>
      </c>
      <c r="AI24" s="37">
        <f t="shared" si="4"/>
        <v>0</v>
      </c>
      <c r="AJ24" s="37">
        <f t="shared" si="4"/>
        <v>0</v>
      </c>
      <c r="AK24" s="37">
        <f t="shared" si="4"/>
        <v>0</v>
      </c>
      <c r="AL24" s="37">
        <f t="shared" si="4"/>
        <v>0</v>
      </c>
      <c r="AM24" s="37">
        <f t="shared" si="4"/>
        <v>0</v>
      </c>
      <c r="AN24" s="37">
        <f t="shared" si="4"/>
        <v>0</v>
      </c>
      <c r="AO24" s="37">
        <f t="shared" si="4"/>
        <v>0</v>
      </c>
      <c r="AP24" s="37">
        <f t="shared" si="4"/>
        <v>0</v>
      </c>
      <c r="AQ24" s="37">
        <f t="shared" si="4"/>
        <v>0</v>
      </c>
      <c r="AR24" s="37">
        <f t="shared" si="4"/>
        <v>0</v>
      </c>
      <c r="AS24" s="37">
        <f t="shared" si="4"/>
        <v>0</v>
      </c>
    </row>
    <row r="25" spans="2:45">
      <c r="F25" s="36"/>
      <c r="J25" s="36"/>
      <c r="K25" s="36"/>
      <c r="L25" s="36"/>
      <c r="M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row>
    <row r="26" spans="2:45">
      <c r="B26" s="93">
        <v>1</v>
      </c>
      <c r="C26" s="93" t="s">
        <v>244</v>
      </c>
      <c r="D26">
        <f>INDEX('Fuel Sub Calcs-Custom'!$D$15:$D$19,B26)</f>
        <v>1</v>
      </c>
      <c r="E26" t="str">
        <f>INDEX('Fuel Sub Calcs-Custom'!$C$60:$C$64,$B26)</f>
        <v>NR</v>
      </c>
      <c r="F26" s="36">
        <f>INDEX('Fuel Sub Calcs-Custom'!$S$15:$S$19,$B26)</f>
        <v>20</v>
      </c>
      <c r="G26">
        <f>INDEX('Fuel Sub Calcs-Custom'!$F$15:$F$19,$B26)</f>
        <v>20</v>
      </c>
      <c r="H26">
        <f>INDEX('Fuel Sub Calcs-Custom'!$V$24:$W$28,$B26,IF($C26="kWh",1,2))*D26</f>
        <v>-19.100000000000023</v>
      </c>
      <c r="I26">
        <f>INDEX('Fuel Sub Calcs-Custom'!$V$60:$W$64,$B26,IF($C26="kWh",1,2))*D26</f>
        <v>0</v>
      </c>
      <c r="J26" s="36">
        <f>INDEX('Fuel Sub Calcs-Custom'!$G$15:$G$19,$B26)</f>
        <v>2022</v>
      </c>
      <c r="K26" s="36">
        <f>J26+F26</f>
        <v>2042</v>
      </c>
      <c r="L26" s="36">
        <f>J26+G26</f>
        <v>2042</v>
      </c>
      <c r="M26" s="36">
        <f>SUM(O26:AS26)</f>
        <v>-382.00000000000045</v>
      </c>
      <c r="O26" s="37">
        <f>$H26*O14+$I26*O20</f>
        <v>0</v>
      </c>
      <c r="P26" s="37">
        <f t="shared" ref="P26:AS26" si="6">$H26*P14+$I26*P20</f>
        <v>0</v>
      </c>
      <c r="Q26" s="37">
        <f t="shared" si="6"/>
        <v>0</v>
      </c>
      <c r="R26" s="37">
        <f t="shared" si="6"/>
        <v>-19.100000000000023</v>
      </c>
      <c r="S26" s="37">
        <f t="shared" si="6"/>
        <v>-19.100000000000023</v>
      </c>
      <c r="T26" s="37">
        <f t="shared" si="6"/>
        <v>-19.100000000000023</v>
      </c>
      <c r="U26" s="37">
        <f t="shared" si="6"/>
        <v>-19.100000000000023</v>
      </c>
      <c r="V26" s="37">
        <f t="shared" si="6"/>
        <v>-19.100000000000023</v>
      </c>
      <c r="W26" s="37">
        <f t="shared" si="6"/>
        <v>-19.100000000000023</v>
      </c>
      <c r="X26" s="37">
        <f t="shared" si="6"/>
        <v>-19.100000000000023</v>
      </c>
      <c r="Y26" s="37">
        <f t="shared" si="6"/>
        <v>-19.100000000000023</v>
      </c>
      <c r="Z26" s="37">
        <f t="shared" si="6"/>
        <v>-19.100000000000023</v>
      </c>
      <c r="AA26" s="37">
        <f t="shared" si="6"/>
        <v>-19.100000000000023</v>
      </c>
      <c r="AB26" s="37">
        <f t="shared" si="6"/>
        <v>-19.100000000000023</v>
      </c>
      <c r="AC26" s="37">
        <f t="shared" si="6"/>
        <v>-19.100000000000023</v>
      </c>
      <c r="AD26" s="37">
        <f t="shared" si="6"/>
        <v>-19.100000000000023</v>
      </c>
      <c r="AE26" s="37">
        <f t="shared" si="6"/>
        <v>-19.100000000000023</v>
      </c>
      <c r="AF26" s="37">
        <f t="shared" si="6"/>
        <v>-19.100000000000023</v>
      </c>
      <c r="AG26" s="37">
        <f t="shared" si="6"/>
        <v>-19.100000000000023</v>
      </c>
      <c r="AH26" s="37">
        <f t="shared" si="6"/>
        <v>-19.100000000000023</v>
      </c>
      <c r="AI26" s="37">
        <f t="shared" si="6"/>
        <v>-19.100000000000023</v>
      </c>
      <c r="AJ26" s="37">
        <f t="shared" si="6"/>
        <v>-19.100000000000023</v>
      </c>
      <c r="AK26" s="37">
        <f t="shared" si="6"/>
        <v>-19.100000000000023</v>
      </c>
      <c r="AL26" s="37">
        <f t="shared" si="6"/>
        <v>0</v>
      </c>
      <c r="AM26" s="37">
        <f t="shared" si="6"/>
        <v>0</v>
      </c>
      <c r="AN26" s="37">
        <f t="shared" si="6"/>
        <v>0</v>
      </c>
      <c r="AO26" s="37">
        <f t="shared" si="6"/>
        <v>0</v>
      </c>
      <c r="AP26" s="37">
        <f t="shared" si="6"/>
        <v>0</v>
      </c>
      <c r="AQ26" s="37">
        <f t="shared" si="6"/>
        <v>0</v>
      </c>
      <c r="AR26" s="37">
        <f t="shared" si="6"/>
        <v>0</v>
      </c>
      <c r="AS26" s="37">
        <f t="shared" si="6"/>
        <v>0</v>
      </c>
    </row>
    <row r="27" spans="2:45">
      <c r="B27" s="93">
        <v>2</v>
      </c>
      <c r="C27" s="93" t="s">
        <v>244</v>
      </c>
      <c r="D27">
        <f>INDEX('Fuel Sub Calcs-Custom'!$D$15:$D$19,B27)</f>
        <v>1</v>
      </c>
      <c r="E27" t="str">
        <f>INDEX('Fuel Sub Calcs-Custom'!$C$60:$C$64,$B27)</f>
        <v>NR</v>
      </c>
      <c r="F27" s="36">
        <f>INDEX('Fuel Sub Calcs-Custom'!$S$15:$S$19,$B27)</f>
        <v>15</v>
      </c>
      <c r="G27">
        <f>INDEX('Fuel Sub Calcs-Custom'!$F$15:$F$19,$B27)</f>
        <v>15</v>
      </c>
      <c r="H27">
        <f>INDEX('Fuel Sub Calcs-Custom'!$V$24:$W$28,$B27,IF($C27="kWh",1,2))*D27</f>
        <v>-364.62</v>
      </c>
      <c r="I27">
        <f>INDEX('Fuel Sub Calcs-Custom'!$V$60:$W$64,$B27,IF($C27="kWh",1,2))*D27</f>
        <v>0</v>
      </c>
      <c r="J27" s="36">
        <f>INDEX('Fuel Sub Calcs-Custom'!$G$15:$G$19,$B27)</f>
        <v>2022</v>
      </c>
      <c r="K27" s="36">
        <f>J27+F27</f>
        <v>2037</v>
      </c>
      <c r="L27" s="36">
        <f>J27+G27</f>
        <v>2037</v>
      </c>
      <c r="M27" s="36">
        <f>SUM(O27:AS27)</f>
        <v>-5469.2999999999993</v>
      </c>
      <c r="O27" s="37">
        <f t="shared" ref="O27:AS27" si="7">$H27*O15+$I27*O21</f>
        <v>0</v>
      </c>
      <c r="P27" s="37">
        <f t="shared" si="7"/>
        <v>0</v>
      </c>
      <c r="Q27" s="37">
        <f t="shared" si="7"/>
        <v>0</v>
      </c>
      <c r="R27" s="37">
        <f t="shared" si="7"/>
        <v>-364.62</v>
      </c>
      <c r="S27" s="37">
        <f t="shared" si="7"/>
        <v>-364.62</v>
      </c>
      <c r="T27" s="37">
        <f t="shared" si="7"/>
        <v>-364.62</v>
      </c>
      <c r="U27" s="37">
        <f t="shared" si="7"/>
        <v>-364.62</v>
      </c>
      <c r="V27" s="37">
        <f t="shared" si="7"/>
        <v>-364.62</v>
      </c>
      <c r="W27" s="37">
        <f t="shared" si="7"/>
        <v>-364.62</v>
      </c>
      <c r="X27" s="37">
        <f t="shared" si="7"/>
        <v>-364.62</v>
      </c>
      <c r="Y27" s="37">
        <f t="shared" si="7"/>
        <v>-364.62</v>
      </c>
      <c r="Z27" s="37">
        <f t="shared" si="7"/>
        <v>-364.62</v>
      </c>
      <c r="AA27" s="37">
        <f t="shared" si="7"/>
        <v>-364.62</v>
      </c>
      <c r="AB27" s="37">
        <f t="shared" si="7"/>
        <v>-364.62</v>
      </c>
      <c r="AC27" s="37">
        <f t="shared" si="7"/>
        <v>-364.62</v>
      </c>
      <c r="AD27" s="37">
        <f t="shared" si="7"/>
        <v>-364.62</v>
      </c>
      <c r="AE27" s="37">
        <f t="shared" si="7"/>
        <v>-364.62</v>
      </c>
      <c r="AF27" s="37">
        <f t="shared" si="7"/>
        <v>-364.62</v>
      </c>
      <c r="AG27" s="37">
        <f t="shared" si="7"/>
        <v>0</v>
      </c>
      <c r="AH27" s="37">
        <f t="shared" si="7"/>
        <v>0</v>
      </c>
      <c r="AI27" s="37">
        <f t="shared" si="7"/>
        <v>0</v>
      </c>
      <c r="AJ27" s="37">
        <f t="shared" si="7"/>
        <v>0</v>
      </c>
      <c r="AK27" s="37">
        <f t="shared" si="7"/>
        <v>0</v>
      </c>
      <c r="AL27" s="37">
        <f t="shared" si="7"/>
        <v>0</v>
      </c>
      <c r="AM27" s="37">
        <f t="shared" si="7"/>
        <v>0</v>
      </c>
      <c r="AN27" s="37">
        <f t="shared" si="7"/>
        <v>0</v>
      </c>
      <c r="AO27" s="37">
        <f t="shared" si="7"/>
        <v>0</v>
      </c>
      <c r="AP27" s="37">
        <f t="shared" si="7"/>
        <v>0</v>
      </c>
      <c r="AQ27" s="37">
        <f t="shared" si="7"/>
        <v>0</v>
      </c>
      <c r="AR27" s="37">
        <f t="shared" si="7"/>
        <v>0</v>
      </c>
      <c r="AS27" s="37">
        <f t="shared" si="7"/>
        <v>0</v>
      </c>
    </row>
    <row r="28" spans="2:45">
      <c r="B28" s="93">
        <v>3</v>
      </c>
      <c r="C28" s="93" t="s">
        <v>244</v>
      </c>
      <c r="D28">
        <f>INDEX('Fuel Sub Calcs-Custom'!$D$15:$D$19,B28)</f>
        <v>1</v>
      </c>
      <c r="E28" t="str">
        <f>INDEX('Fuel Sub Calcs-Custom'!$C$60:$C$64,$B28)</f>
        <v>NR</v>
      </c>
      <c r="F28" s="36">
        <f>INDEX('Fuel Sub Calcs-Custom'!$S$15:$S$19,$B28)</f>
        <v>10</v>
      </c>
      <c r="G28">
        <f>INDEX('Fuel Sub Calcs-Custom'!$F$15:$F$19,$B28)</f>
        <v>10</v>
      </c>
      <c r="H28">
        <f>INDEX('Fuel Sub Calcs-Custom'!$V$24:$W$28,$B28,IF($C28="kWh",1,2))*D28</f>
        <v>0</v>
      </c>
      <c r="I28">
        <f>INDEX('Fuel Sub Calcs-Custom'!$V$60:$W$64,$B28,IF($C28="kWh",1,2))*D28</f>
        <v>0</v>
      </c>
      <c r="J28" s="36">
        <f>INDEX('Fuel Sub Calcs-Custom'!$G$15:$G$19,$B28)</f>
        <v>2022</v>
      </c>
      <c r="K28" s="36">
        <f>J28+F28</f>
        <v>2032</v>
      </c>
      <c r="L28" s="36">
        <f>J28+G28</f>
        <v>2032</v>
      </c>
      <c r="M28" s="36">
        <f>SUM(O28:AS28)</f>
        <v>0</v>
      </c>
      <c r="O28" s="37">
        <f t="shared" ref="O28:AS28" si="8">$H28*O16+$I28*O22</f>
        <v>0</v>
      </c>
      <c r="P28" s="37">
        <f t="shared" si="8"/>
        <v>0</v>
      </c>
      <c r="Q28" s="37">
        <f t="shared" si="8"/>
        <v>0</v>
      </c>
      <c r="R28" s="37">
        <f t="shared" si="8"/>
        <v>0</v>
      </c>
      <c r="S28" s="37">
        <f t="shared" si="8"/>
        <v>0</v>
      </c>
      <c r="T28" s="37">
        <f t="shared" si="8"/>
        <v>0</v>
      </c>
      <c r="U28" s="37">
        <f t="shared" si="8"/>
        <v>0</v>
      </c>
      <c r="V28" s="37">
        <f t="shared" si="8"/>
        <v>0</v>
      </c>
      <c r="W28" s="37">
        <f t="shared" si="8"/>
        <v>0</v>
      </c>
      <c r="X28" s="37">
        <f t="shared" si="8"/>
        <v>0</v>
      </c>
      <c r="Y28" s="37">
        <f t="shared" si="8"/>
        <v>0</v>
      </c>
      <c r="Z28" s="37">
        <f t="shared" si="8"/>
        <v>0</v>
      </c>
      <c r="AA28" s="37">
        <f t="shared" si="8"/>
        <v>0</v>
      </c>
      <c r="AB28" s="37">
        <f t="shared" si="8"/>
        <v>0</v>
      </c>
      <c r="AC28" s="37">
        <f t="shared" si="8"/>
        <v>0</v>
      </c>
      <c r="AD28" s="37">
        <f t="shared" si="8"/>
        <v>0</v>
      </c>
      <c r="AE28" s="37">
        <f t="shared" si="8"/>
        <v>0</v>
      </c>
      <c r="AF28" s="37">
        <f t="shared" si="8"/>
        <v>0</v>
      </c>
      <c r="AG28" s="37">
        <f t="shared" si="8"/>
        <v>0</v>
      </c>
      <c r="AH28" s="37">
        <f t="shared" si="8"/>
        <v>0</v>
      </c>
      <c r="AI28" s="37">
        <f t="shared" si="8"/>
        <v>0</v>
      </c>
      <c r="AJ28" s="37">
        <f t="shared" si="8"/>
        <v>0</v>
      </c>
      <c r="AK28" s="37">
        <f t="shared" si="8"/>
        <v>0</v>
      </c>
      <c r="AL28" s="37">
        <f t="shared" si="8"/>
        <v>0</v>
      </c>
      <c r="AM28" s="37">
        <f t="shared" si="8"/>
        <v>0</v>
      </c>
      <c r="AN28" s="37">
        <f t="shared" si="8"/>
        <v>0</v>
      </c>
      <c r="AO28" s="37">
        <f t="shared" si="8"/>
        <v>0</v>
      </c>
      <c r="AP28" s="37">
        <f t="shared" si="8"/>
        <v>0</v>
      </c>
      <c r="AQ28" s="37">
        <f t="shared" si="8"/>
        <v>0</v>
      </c>
      <c r="AR28" s="37">
        <f t="shared" si="8"/>
        <v>0</v>
      </c>
      <c r="AS28" s="37">
        <f t="shared" si="8"/>
        <v>0</v>
      </c>
    </row>
    <row r="29" spans="2:45">
      <c r="B29" s="93">
        <v>4</v>
      </c>
      <c r="C29" s="93" t="s">
        <v>244</v>
      </c>
      <c r="D29">
        <f>INDEX('Fuel Sub Calcs-Custom'!$D$15:$D$19,B29)</f>
        <v>0</v>
      </c>
      <c r="E29" t="str">
        <f>INDEX('Fuel Sub Calcs-Custom'!$C$60:$C$64,$B29)</f>
        <v>NR</v>
      </c>
      <c r="F29" s="36">
        <f>INDEX('Fuel Sub Calcs-Custom'!$S$15:$S$19,$B29)</f>
        <v>0</v>
      </c>
      <c r="G29">
        <f>INDEX('Fuel Sub Calcs-Custom'!$F$15:$F$19,$B29)</f>
        <v>0</v>
      </c>
      <c r="H29">
        <f>INDEX('Fuel Sub Calcs-Custom'!$V$24:$W$28,$B29,IF($C29="kWh",1,2))*D29</f>
        <v>0</v>
      </c>
      <c r="I29">
        <f>INDEX('Fuel Sub Calcs-Custom'!$V$60:$W$64,$B29,IF($C29="kWh",1,2))*D29</f>
        <v>0</v>
      </c>
      <c r="J29" s="36">
        <f>INDEX('Fuel Sub Calcs-Custom'!$G$15:$G$19,$B29)</f>
        <v>0</v>
      </c>
      <c r="K29" s="36">
        <f>J29+F29</f>
        <v>0</v>
      </c>
      <c r="L29" s="36">
        <f>J29+G29</f>
        <v>0</v>
      </c>
      <c r="M29" s="36">
        <f>SUM(O29:AS29)</f>
        <v>0</v>
      </c>
      <c r="O29" s="37">
        <f t="shared" ref="O29:AS29" si="9">$H29*O17+$I29*O23</f>
        <v>0</v>
      </c>
      <c r="P29" s="37">
        <f t="shared" si="9"/>
        <v>0</v>
      </c>
      <c r="Q29" s="37">
        <f t="shared" si="9"/>
        <v>0</v>
      </c>
      <c r="R29" s="37">
        <f t="shared" si="9"/>
        <v>0</v>
      </c>
      <c r="S29" s="37">
        <f t="shared" si="9"/>
        <v>0</v>
      </c>
      <c r="T29" s="37">
        <f t="shared" si="9"/>
        <v>0</v>
      </c>
      <c r="U29" s="37">
        <f t="shared" si="9"/>
        <v>0</v>
      </c>
      <c r="V29" s="37">
        <f t="shared" si="9"/>
        <v>0</v>
      </c>
      <c r="W29" s="37">
        <f t="shared" si="9"/>
        <v>0</v>
      </c>
      <c r="X29" s="37">
        <f t="shared" si="9"/>
        <v>0</v>
      </c>
      <c r="Y29" s="37">
        <f t="shared" si="9"/>
        <v>0</v>
      </c>
      <c r="Z29" s="37">
        <f t="shared" si="9"/>
        <v>0</v>
      </c>
      <c r="AA29" s="37">
        <f t="shared" si="9"/>
        <v>0</v>
      </c>
      <c r="AB29" s="37">
        <f t="shared" si="9"/>
        <v>0</v>
      </c>
      <c r="AC29" s="37">
        <f t="shared" si="9"/>
        <v>0</v>
      </c>
      <c r="AD29" s="37">
        <f t="shared" si="9"/>
        <v>0</v>
      </c>
      <c r="AE29" s="37">
        <f t="shared" si="9"/>
        <v>0</v>
      </c>
      <c r="AF29" s="37">
        <f t="shared" si="9"/>
        <v>0</v>
      </c>
      <c r="AG29" s="37">
        <f t="shared" si="9"/>
        <v>0</v>
      </c>
      <c r="AH29" s="37">
        <f t="shared" si="9"/>
        <v>0</v>
      </c>
      <c r="AI29" s="37">
        <f t="shared" si="9"/>
        <v>0</v>
      </c>
      <c r="AJ29" s="37">
        <f t="shared" si="9"/>
        <v>0</v>
      </c>
      <c r="AK29" s="37">
        <f t="shared" si="9"/>
        <v>0</v>
      </c>
      <c r="AL29" s="37">
        <f t="shared" si="9"/>
        <v>0</v>
      </c>
      <c r="AM29" s="37">
        <f t="shared" si="9"/>
        <v>0</v>
      </c>
      <c r="AN29" s="37">
        <f t="shared" si="9"/>
        <v>0</v>
      </c>
      <c r="AO29" s="37">
        <f t="shared" si="9"/>
        <v>0</v>
      </c>
      <c r="AP29" s="37">
        <f t="shared" si="9"/>
        <v>0</v>
      </c>
      <c r="AQ29" s="37">
        <f t="shared" si="9"/>
        <v>0</v>
      </c>
      <c r="AR29" s="37">
        <f t="shared" si="9"/>
        <v>0</v>
      </c>
      <c r="AS29" s="37">
        <f t="shared" si="9"/>
        <v>0</v>
      </c>
    </row>
    <row r="30" spans="2:45">
      <c r="B30" s="93">
        <v>5</v>
      </c>
      <c r="C30" s="93" t="s">
        <v>244</v>
      </c>
      <c r="D30">
        <f>INDEX('Fuel Sub Calcs-Custom'!$D$15:$D$19,B30)</f>
        <v>0</v>
      </c>
      <c r="E30" t="str">
        <f>INDEX('Fuel Sub Calcs-Custom'!$C$60:$C$64,$B30)</f>
        <v>AR</v>
      </c>
      <c r="F30" s="36">
        <f>INDEX('Fuel Sub Calcs-Custom'!$S$15:$S$19,$B30)</f>
        <v>0</v>
      </c>
      <c r="G30">
        <f>INDEX('Fuel Sub Calcs-Custom'!$F$15:$F$19,$B30)</f>
        <v>0</v>
      </c>
      <c r="H30">
        <f>INDEX('Fuel Sub Calcs-Custom'!$V$24:$W$28,$B30,IF($C30="kWh",1,2))*D30</f>
        <v>0</v>
      </c>
      <c r="I30">
        <f>INDEX('Fuel Sub Calcs-Custom'!$V$60:$W$64,$B30,IF($C30="kWh",1,2))*D30</f>
        <v>0</v>
      </c>
      <c r="J30" s="36">
        <f>INDEX('Fuel Sub Calcs-Custom'!$G$15:$G$19,$B30)</f>
        <v>0</v>
      </c>
      <c r="K30" s="36">
        <f>J30+F30</f>
        <v>0</v>
      </c>
      <c r="L30" s="36">
        <f>J30+G30</f>
        <v>0</v>
      </c>
      <c r="M30" s="36">
        <f>SUM(O30:AS30)</f>
        <v>0</v>
      </c>
      <c r="O30" s="37">
        <f t="shared" ref="O30:AS30" si="10">$H30*O18+$I30*O24</f>
        <v>0</v>
      </c>
      <c r="P30" s="37">
        <f t="shared" si="10"/>
        <v>0</v>
      </c>
      <c r="Q30" s="37">
        <f t="shared" si="10"/>
        <v>0</v>
      </c>
      <c r="R30" s="37">
        <f t="shared" si="10"/>
        <v>0</v>
      </c>
      <c r="S30" s="37">
        <f t="shared" si="10"/>
        <v>0</v>
      </c>
      <c r="T30" s="37">
        <f t="shared" si="10"/>
        <v>0</v>
      </c>
      <c r="U30" s="37">
        <f t="shared" si="10"/>
        <v>0</v>
      </c>
      <c r="V30" s="37">
        <f t="shared" si="10"/>
        <v>0</v>
      </c>
      <c r="W30" s="37">
        <f t="shared" si="10"/>
        <v>0</v>
      </c>
      <c r="X30" s="37">
        <f t="shared" si="10"/>
        <v>0</v>
      </c>
      <c r="Y30" s="37">
        <f t="shared" si="10"/>
        <v>0</v>
      </c>
      <c r="Z30" s="37">
        <f t="shared" si="10"/>
        <v>0</v>
      </c>
      <c r="AA30" s="37">
        <f t="shared" si="10"/>
        <v>0</v>
      </c>
      <c r="AB30" s="37">
        <f t="shared" si="10"/>
        <v>0</v>
      </c>
      <c r="AC30" s="37">
        <f t="shared" si="10"/>
        <v>0</v>
      </c>
      <c r="AD30" s="37">
        <f t="shared" si="10"/>
        <v>0</v>
      </c>
      <c r="AE30" s="37">
        <f t="shared" si="10"/>
        <v>0</v>
      </c>
      <c r="AF30" s="37">
        <f t="shared" si="10"/>
        <v>0</v>
      </c>
      <c r="AG30" s="37">
        <f t="shared" si="10"/>
        <v>0</v>
      </c>
      <c r="AH30" s="37">
        <f t="shared" si="10"/>
        <v>0</v>
      </c>
      <c r="AI30" s="37">
        <f t="shared" si="10"/>
        <v>0</v>
      </c>
      <c r="AJ30" s="37">
        <f t="shared" si="10"/>
        <v>0</v>
      </c>
      <c r="AK30" s="37">
        <f t="shared" si="10"/>
        <v>0</v>
      </c>
      <c r="AL30" s="37">
        <f t="shared" si="10"/>
        <v>0</v>
      </c>
      <c r="AM30" s="37">
        <f t="shared" si="10"/>
        <v>0</v>
      </c>
      <c r="AN30" s="37">
        <f t="shared" si="10"/>
        <v>0</v>
      </c>
      <c r="AO30" s="37">
        <f t="shared" si="10"/>
        <v>0</v>
      </c>
      <c r="AP30" s="37">
        <f t="shared" si="10"/>
        <v>0</v>
      </c>
      <c r="AQ30" s="37">
        <f t="shared" si="10"/>
        <v>0</v>
      </c>
      <c r="AR30" s="37">
        <f t="shared" si="10"/>
        <v>0</v>
      </c>
      <c r="AS30" s="37">
        <f t="shared" si="10"/>
        <v>0</v>
      </c>
    </row>
    <row r="31" spans="2:45">
      <c r="F31" s="36"/>
      <c r="J31" s="36"/>
      <c r="K31" s="36"/>
      <c r="L31" s="36"/>
      <c r="M31" s="36"/>
    </row>
    <row r="32" spans="2:45">
      <c r="B32" s="93">
        <v>1</v>
      </c>
      <c r="C32" s="93" t="s">
        <v>246</v>
      </c>
      <c r="D32">
        <f>INDEX('Fuel Sub Calcs-Custom'!$D$15:$D$19,B32)</f>
        <v>1</v>
      </c>
      <c r="E32" t="str">
        <f>INDEX('Fuel Sub Calcs-Custom'!$C$60:$C$64,$B32)</f>
        <v>NR</v>
      </c>
      <c r="F32" s="36">
        <f>INDEX('Fuel Sub Calcs-Custom'!$S$15:$S$19,$B32)</f>
        <v>20</v>
      </c>
      <c r="G32">
        <f>INDEX('Fuel Sub Calcs-Custom'!$F$15:$F$19,$B32)</f>
        <v>20</v>
      </c>
      <c r="H32">
        <f>INDEX('Fuel Sub Calcs-Custom'!$V$24:$W$28,$B32,IF($C32="kWh",1,2))*D32</f>
        <v>8.08</v>
      </c>
      <c r="I32">
        <f>INDEX('Fuel Sub Calcs-Custom'!$V$60:$W$64,$B32,IF($C32="kWh",1,2))*D32</f>
        <v>0</v>
      </c>
      <c r="J32" s="36">
        <f>INDEX('Fuel Sub Calcs-Custom'!$G$15:$G$19,$B32)</f>
        <v>2022</v>
      </c>
      <c r="K32" s="36">
        <f>J32+F32</f>
        <v>2042</v>
      </c>
      <c r="L32" s="36">
        <f>J32+G32</f>
        <v>2042</v>
      </c>
      <c r="M32" s="36">
        <f>SUM(O32:AS32)</f>
        <v>161.60000000000005</v>
      </c>
      <c r="O32" s="37">
        <f>$H32*O14+$I32*O20</f>
        <v>0</v>
      </c>
      <c r="P32" s="37">
        <f t="shared" ref="P32:AS32" si="11">$H32*P14+$I32*P20</f>
        <v>0</v>
      </c>
      <c r="Q32" s="37">
        <f t="shared" si="11"/>
        <v>0</v>
      </c>
      <c r="R32" s="37">
        <f t="shared" si="11"/>
        <v>8.08</v>
      </c>
      <c r="S32" s="37">
        <f t="shared" si="11"/>
        <v>8.08</v>
      </c>
      <c r="T32" s="37">
        <f t="shared" si="11"/>
        <v>8.08</v>
      </c>
      <c r="U32" s="37">
        <f t="shared" si="11"/>
        <v>8.08</v>
      </c>
      <c r="V32" s="37">
        <f t="shared" si="11"/>
        <v>8.08</v>
      </c>
      <c r="W32" s="37">
        <f t="shared" si="11"/>
        <v>8.08</v>
      </c>
      <c r="X32" s="37">
        <f t="shared" si="11"/>
        <v>8.08</v>
      </c>
      <c r="Y32" s="37">
        <f t="shared" si="11"/>
        <v>8.08</v>
      </c>
      <c r="Z32" s="37">
        <f t="shared" si="11"/>
        <v>8.08</v>
      </c>
      <c r="AA32" s="37">
        <f t="shared" si="11"/>
        <v>8.08</v>
      </c>
      <c r="AB32" s="37">
        <f t="shared" si="11"/>
        <v>8.08</v>
      </c>
      <c r="AC32" s="37">
        <f t="shared" si="11"/>
        <v>8.08</v>
      </c>
      <c r="AD32" s="37">
        <f t="shared" si="11"/>
        <v>8.08</v>
      </c>
      <c r="AE32" s="37">
        <f t="shared" si="11"/>
        <v>8.08</v>
      </c>
      <c r="AF32" s="37">
        <f t="shared" si="11"/>
        <v>8.08</v>
      </c>
      <c r="AG32" s="37">
        <f t="shared" si="11"/>
        <v>8.08</v>
      </c>
      <c r="AH32" s="37">
        <f t="shared" si="11"/>
        <v>8.08</v>
      </c>
      <c r="AI32" s="37">
        <f t="shared" si="11"/>
        <v>8.08</v>
      </c>
      <c r="AJ32" s="37">
        <f t="shared" si="11"/>
        <v>8.08</v>
      </c>
      <c r="AK32" s="37">
        <f t="shared" si="11"/>
        <v>8.08</v>
      </c>
      <c r="AL32" s="37">
        <f t="shared" si="11"/>
        <v>0</v>
      </c>
      <c r="AM32" s="37">
        <f t="shared" si="11"/>
        <v>0</v>
      </c>
      <c r="AN32" s="37">
        <f t="shared" si="11"/>
        <v>0</v>
      </c>
      <c r="AO32" s="37">
        <f t="shared" si="11"/>
        <v>0</v>
      </c>
      <c r="AP32" s="37">
        <f t="shared" si="11"/>
        <v>0</v>
      </c>
      <c r="AQ32" s="37">
        <f t="shared" si="11"/>
        <v>0</v>
      </c>
      <c r="AR32" s="37">
        <f t="shared" si="11"/>
        <v>0</v>
      </c>
      <c r="AS32" s="37">
        <f t="shared" si="11"/>
        <v>0</v>
      </c>
    </row>
    <row r="33" spans="2:45">
      <c r="B33" s="93">
        <v>2</v>
      </c>
      <c r="C33" s="93" t="s">
        <v>246</v>
      </c>
      <c r="D33">
        <f>INDEX('Fuel Sub Calcs-Custom'!$D$15:$D$19,B33)</f>
        <v>1</v>
      </c>
      <c r="E33" t="str">
        <f>INDEX('Fuel Sub Calcs-Custom'!$C$60:$C$64,$B33)</f>
        <v>NR</v>
      </c>
      <c r="F33" s="36">
        <f>INDEX('Fuel Sub Calcs-Custom'!$S$15:$S$19,$B33)</f>
        <v>15</v>
      </c>
      <c r="G33">
        <f>INDEX('Fuel Sub Calcs-Custom'!$F$15:$F$19,$B33)</f>
        <v>15</v>
      </c>
      <c r="H33">
        <f>INDEX('Fuel Sub Calcs-Custom'!$V$24:$W$28,$B33,IF($C33="kWh",1,2))*D33</f>
        <v>59.98</v>
      </c>
      <c r="I33">
        <f>INDEX('Fuel Sub Calcs-Custom'!$V$60:$W$64,$B33,IF($C33="kWh",1,2))*D33</f>
        <v>0</v>
      </c>
      <c r="J33" s="36">
        <f>INDEX('Fuel Sub Calcs-Custom'!$G$15:$G$19,$B33)</f>
        <v>2022</v>
      </c>
      <c r="K33" s="36">
        <f>J33+F33</f>
        <v>2037</v>
      </c>
      <c r="L33" s="36">
        <f>J33+G33</f>
        <v>2037</v>
      </c>
      <c r="M33" s="36">
        <f>SUM(O33:AS33)</f>
        <v>899.70000000000016</v>
      </c>
      <c r="O33" s="37">
        <f t="shared" ref="O33:AS33" si="12">$H33*O15+$I33*O21</f>
        <v>0</v>
      </c>
      <c r="P33" s="37">
        <f t="shared" si="12"/>
        <v>0</v>
      </c>
      <c r="Q33" s="37">
        <f t="shared" si="12"/>
        <v>0</v>
      </c>
      <c r="R33" s="37">
        <f t="shared" si="12"/>
        <v>59.98</v>
      </c>
      <c r="S33" s="37">
        <f t="shared" si="12"/>
        <v>59.98</v>
      </c>
      <c r="T33" s="37">
        <f t="shared" si="12"/>
        <v>59.98</v>
      </c>
      <c r="U33" s="37">
        <f t="shared" si="12"/>
        <v>59.98</v>
      </c>
      <c r="V33" s="37">
        <f t="shared" si="12"/>
        <v>59.98</v>
      </c>
      <c r="W33" s="37">
        <f t="shared" si="12"/>
        <v>59.98</v>
      </c>
      <c r="X33" s="37">
        <f t="shared" si="12"/>
        <v>59.98</v>
      </c>
      <c r="Y33" s="37">
        <f t="shared" si="12"/>
        <v>59.98</v>
      </c>
      <c r="Z33" s="37">
        <f t="shared" si="12"/>
        <v>59.98</v>
      </c>
      <c r="AA33" s="37">
        <f t="shared" si="12"/>
        <v>59.98</v>
      </c>
      <c r="AB33" s="37">
        <f t="shared" si="12"/>
        <v>59.98</v>
      </c>
      <c r="AC33" s="37">
        <f t="shared" si="12"/>
        <v>59.98</v>
      </c>
      <c r="AD33" s="37">
        <f t="shared" si="12"/>
        <v>59.98</v>
      </c>
      <c r="AE33" s="37">
        <f t="shared" si="12"/>
        <v>59.98</v>
      </c>
      <c r="AF33" s="37">
        <f t="shared" si="12"/>
        <v>59.98</v>
      </c>
      <c r="AG33" s="37">
        <f t="shared" si="12"/>
        <v>0</v>
      </c>
      <c r="AH33" s="37">
        <f t="shared" si="12"/>
        <v>0</v>
      </c>
      <c r="AI33" s="37">
        <f t="shared" si="12"/>
        <v>0</v>
      </c>
      <c r="AJ33" s="37">
        <f t="shared" si="12"/>
        <v>0</v>
      </c>
      <c r="AK33" s="37">
        <f t="shared" si="12"/>
        <v>0</v>
      </c>
      <c r="AL33" s="37">
        <f t="shared" si="12"/>
        <v>0</v>
      </c>
      <c r="AM33" s="37">
        <f t="shared" si="12"/>
        <v>0</v>
      </c>
      <c r="AN33" s="37">
        <f t="shared" si="12"/>
        <v>0</v>
      </c>
      <c r="AO33" s="37">
        <f t="shared" si="12"/>
        <v>0</v>
      </c>
      <c r="AP33" s="37">
        <f t="shared" si="12"/>
        <v>0</v>
      </c>
      <c r="AQ33" s="37">
        <f t="shared" si="12"/>
        <v>0</v>
      </c>
      <c r="AR33" s="37">
        <f t="shared" si="12"/>
        <v>0</v>
      </c>
      <c r="AS33" s="37">
        <f t="shared" si="12"/>
        <v>0</v>
      </c>
    </row>
    <row r="34" spans="2:45">
      <c r="B34" s="93">
        <v>3</v>
      </c>
      <c r="C34" s="93" t="s">
        <v>246</v>
      </c>
      <c r="D34">
        <f>INDEX('Fuel Sub Calcs-Custom'!$D$15:$D$19,B34)</f>
        <v>1</v>
      </c>
      <c r="E34" t="str">
        <f>INDEX('Fuel Sub Calcs-Custom'!$C$60:$C$64,$B34)</f>
        <v>NR</v>
      </c>
      <c r="F34" s="36">
        <f>INDEX('Fuel Sub Calcs-Custom'!$S$15:$S$19,$B34)</f>
        <v>10</v>
      </c>
      <c r="G34">
        <f>INDEX('Fuel Sub Calcs-Custom'!$F$15:$F$19,$B34)</f>
        <v>10</v>
      </c>
      <c r="H34">
        <f>INDEX('Fuel Sub Calcs-Custom'!$V$24:$W$28,$B34,IF($C34="kWh",1,2))*D34</f>
        <v>0</v>
      </c>
      <c r="I34">
        <f>INDEX('Fuel Sub Calcs-Custom'!$V$60:$W$64,$B34,IF($C34="kWh",1,2))*D34</f>
        <v>0</v>
      </c>
      <c r="J34" s="36">
        <f>INDEX('Fuel Sub Calcs-Custom'!$G$15:$G$19,$B34)</f>
        <v>2022</v>
      </c>
      <c r="K34" s="36">
        <f>J34+F34</f>
        <v>2032</v>
      </c>
      <c r="L34" s="36">
        <f>J34+G34</f>
        <v>2032</v>
      </c>
      <c r="M34" s="36">
        <f>SUM(O34:AS34)</f>
        <v>0</v>
      </c>
      <c r="O34" s="37">
        <f t="shared" ref="O34:AS34" si="13">$H34*O16+$I34*O22</f>
        <v>0</v>
      </c>
      <c r="P34" s="37">
        <f t="shared" si="13"/>
        <v>0</v>
      </c>
      <c r="Q34" s="37">
        <f t="shared" si="13"/>
        <v>0</v>
      </c>
      <c r="R34" s="37">
        <f t="shared" si="13"/>
        <v>0</v>
      </c>
      <c r="S34" s="37">
        <f t="shared" si="13"/>
        <v>0</v>
      </c>
      <c r="T34" s="37">
        <f t="shared" si="13"/>
        <v>0</v>
      </c>
      <c r="U34" s="37">
        <f t="shared" si="13"/>
        <v>0</v>
      </c>
      <c r="V34" s="37">
        <f t="shared" si="13"/>
        <v>0</v>
      </c>
      <c r="W34" s="37">
        <f t="shared" si="13"/>
        <v>0</v>
      </c>
      <c r="X34" s="37">
        <f t="shared" si="13"/>
        <v>0</v>
      </c>
      <c r="Y34" s="37">
        <f t="shared" si="13"/>
        <v>0</v>
      </c>
      <c r="Z34" s="37">
        <f t="shared" si="13"/>
        <v>0</v>
      </c>
      <c r="AA34" s="37">
        <f t="shared" si="13"/>
        <v>0</v>
      </c>
      <c r="AB34" s="37">
        <f t="shared" si="13"/>
        <v>0</v>
      </c>
      <c r="AC34" s="37">
        <f t="shared" si="13"/>
        <v>0</v>
      </c>
      <c r="AD34" s="37">
        <f t="shared" si="13"/>
        <v>0</v>
      </c>
      <c r="AE34" s="37">
        <f t="shared" si="13"/>
        <v>0</v>
      </c>
      <c r="AF34" s="37">
        <f t="shared" si="13"/>
        <v>0</v>
      </c>
      <c r="AG34" s="37">
        <f t="shared" si="13"/>
        <v>0</v>
      </c>
      <c r="AH34" s="37">
        <f t="shared" si="13"/>
        <v>0</v>
      </c>
      <c r="AI34" s="37">
        <f t="shared" si="13"/>
        <v>0</v>
      </c>
      <c r="AJ34" s="37">
        <f t="shared" si="13"/>
        <v>0</v>
      </c>
      <c r="AK34" s="37">
        <f t="shared" si="13"/>
        <v>0</v>
      </c>
      <c r="AL34" s="37">
        <f t="shared" si="13"/>
        <v>0</v>
      </c>
      <c r="AM34" s="37">
        <f t="shared" si="13"/>
        <v>0</v>
      </c>
      <c r="AN34" s="37">
        <f t="shared" si="13"/>
        <v>0</v>
      </c>
      <c r="AO34" s="37">
        <f t="shared" si="13"/>
        <v>0</v>
      </c>
      <c r="AP34" s="37">
        <f t="shared" si="13"/>
        <v>0</v>
      </c>
      <c r="AQ34" s="37">
        <f t="shared" si="13"/>
        <v>0</v>
      </c>
      <c r="AR34" s="37">
        <f t="shared" si="13"/>
        <v>0</v>
      </c>
      <c r="AS34" s="37">
        <f t="shared" si="13"/>
        <v>0</v>
      </c>
    </row>
    <row r="35" spans="2:45">
      <c r="B35" s="93">
        <v>4</v>
      </c>
      <c r="C35" s="93" t="s">
        <v>246</v>
      </c>
      <c r="D35">
        <f>INDEX('Fuel Sub Calcs-Custom'!$D$15:$D$19,B35)</f>
        <v>0</v>
      </c>
      <c r="E35" t="str">
        <f>INDEX('Fuel Sub Calcs-Custom'!$C$60:$C$64,$B35)</f>
        <v>NR</v>
      </c>
      <c r="F35" s="36">
        <f>INDEX('Fuel Sub Calcs-Custom'!$S$15:$S$19,$B35)</f>
        <v>0</v>
      </c>
      <c r="G35">
        <f>INDEX('Fuel Sub Calcs-Custom'!$F$15:$F$19,$B35)</f>
        <v>0</v>
      </c>
      <c r="H35">
        <f>INDEX('Fuel Sub Calcs-Custom'!$V$24:$W$28,$B35,IF($C35="kWh",1,2))*D35</f>
        <v>0</v>
      </c>
      <c r="I35">
        <f>INDEX('Fuel Sub Calcs-Custom'!$V$60:$W$64,$B35,IF($C35="kWh",1,2))*D35</f>
        <v>0</v>
      </c>
      <c r="J35" s="36">
        <f>INDEX('Fuel Sub Calcs-Custom'!$G$15:$G$19,$B35)</f>
        <v>0</v>
      </c>
      <c r="K35" s="36">
        <f>J35+F35</f>
        <v>0</v>
      </c>
      <c r="L35" s="36">
        <f>J35+G35</f>
        <v>0</v>
      </c>
      <c r="M35" s="36">
        <f>SUM(O35:AS35)</f>
        <v>0</v>
      </c>
      <c r="O35" s="37">
        <f t="shared" ref="O35:AS35" si="14">$H35*O17+$I35*O23</f>
        <v>0</v>
      </c>
      <c r="P35" s="37">
        <f t="shared" si="14"/>
        <v>0</v>
      </c>
      <c r="Q35" s="37">
        <f t="shared" si="14"/>
        <v>0</v>
      </c>
      <c r="R35" s="37">
        <f t="shared" si="14"/>
        <v>0</v>
      </c>
      <c r="S35" s="37">
        <f t="shared" si="14"/>
        <v>0</v>
      </c>
      <c r="T35" s="37">
        <f t="shared" si="14"/>
        <v>0</v>
      </c>
      <c r="U35" s="37">
        <f t="shared" si="14"/>
        <v>0</v>
      </c>
      <c r="V35" s="37">
        <f t="shared" si="14"/>
        <v>0</v>
      </c>
      <c r="W35" s="37">
        <f t="shared" si="14"/>
        <v>0</v>
      </c>
      <c r="X35" s="37">
        <f t="shared" si="14"/>
        <v>0</v>
      </c>
      <c r="Y35" s="37">
        <f t="shared" si="14"/>
        <v>0</v>
      </c>
      <c r="Z35" s="37">
        <f t="shared" si="14"/>
        <v>0</v>
      </c>
      <c r="AA35" s="37">
        <f t="shared" si="14"/>
        <v>0</v>
      </c>
      <c r="AB35" s="37">
        <f t="shared" si="14"/>
        <v>0</v>
      </c>
      <c r="AC35" s="37">
        <f t="shared" si="14"/>
        <v>0</v>
      </c>
      <c r="AD35" s="37">
        <f t="shared" si="14"/>
        <v>0</v>
      </c>
      <c r="AE35" s="37">
        <f t="shared" si="14"/>
        <v>0</v>
      </c>
      <c r="AF35" s="37">
        <f t="shared" si="14"/>
        <v>0</v>
      </c>
      <c r="AG35" s="37">
        <f t="shared" si="14"/>
        <v>0</v>
      </c>
      <c r="AH35" s="37">
        <f t="shared" si="14"/>
        <v>0</v>
      </c>
      <c r="AI35" s="37">
        <f t="shared" si="14"/>
        <v>0</v>
      </c>
      <c r="AJ35" s="37">
        <f t="shared" si="14"/>
        <v>0</v>
      </c>
      <c r="AK35" s="37">
        <f t="shared" si="14"/>
        <v>0</v>
      </c>
      <c r="AL35" s="37">
        <f t="shared" si="14"/>
        <v>0</v>
      </c>
      <c r="AM35" s="37">
        <f t="shared" si="14"/>
        <v>0</v>
      </c>
      <c r="AN35" s="37">
        <f t="shared" si="14"/>
        <v>0</v>
      </c>
      <c r="AO35" s="37">
        <f t="shared" si="14"/>
        <v>0</v>
      </c>
      <c r="AP35" s="37">
        <f t="shared" si="14"/>
        <v>0</v>
      </c>
      <c r="AQ35" s="37">
        <f t="shared" si="14"/>
        <v>0</v>
      </c>
      <c r="AR35" s="37">
        <f t="shared" si="14"/>
        <v>0</v>
      </c>
      <c r="AS35" s="37">
        <f t="shared" si="14"/>
        <v>0</v>
      </c>
    </row>
    <row r="36" spans="2:45">
      <c r="B36" s="93">
        <v>5</v>
      </c>
      <c r="C36" s="93" t="s">
        <v>246</v>
      </c>
      <c r="D36">
        <f>INDEX('Fuel Sub Calcs-Custom'!$D$15:$D$19,B36)</f>
        <v>0</v>
      </c>
      <c r="E36" t="str">
        <f>INDEX('Fuel Sub Calcs-Custom'!$C$60:$C$64,$B36)</f>
        <v>AR</v>
      </c>
      <c r="F36" s="36">
        <f>INDEX('Fuel Sub Calcs-Custom'!$S$15:$S$19,$B36)</f>
        <v>0</v>
      </c>
      <c r="G36">
        <f>INDEX('Fuel Sub Calcs-Custom'!$F$15:$F$19,$B36)</f>
        <v>0</v>
      </c>
      <c r="H36">
        <f>INDEX('Fuel Sub Calcs-Custom'!$V$24:$W$28,$B36,IF($C36="kWh",1,2))*D36</f>
        <v>0</v>
      </c>
      <c r="I36">
        <f>INDEX('Fuel Sub Calcs-Custom'!$V$60:$W$64,$B36,IF($C36="kWh",1,2))*D36</f>
        <v>0</v>
      </c>
      <c r="J36" s="36">
        <f>INDEX('Fuel Sub Calcs-Custom'!$G$15:$G$19,$B36)</f>
        <v>0</v>
      </c>
      <c r="K36" s="36">
        <f>J36+F36</f>
        <v>0</v>
      </c>
      <c r="L36" s="36">
        <f>J36+G36</f>
        <v>0</v>
      </c>
      <c r="M36" s="36">
        <f>SUM(O36:AS36)</f>
        <v>0</v>
      </c>
      <c r="O36" s="37">
        <f t="shared" ref="O36:AS36" si="15">$H36*O18+$I36*O24</f>
        <v>0</v>
      </c>
      <c r="P36" s="37">
        <f t="shared" si="15"/>
        <v>0</v>
      </c>
      <c r="Q36" s="37">
        <f t="shared" si="15"/>
        <v>0</v>
      </c>
      <c r="R36" s="37">
        <f t="shared" si="15"/>
        <v>0</v>
      </c>
      <c r="S36" s="37">
        <f t="shared" si="15"/>
        <v>0</v>
      </c>
      <c r="T36" s="37">
        <f t="shared" si="15"/>
        <v>0</v>
      </c>
      <c r="U36" s="37">
        <f t="shared" si="15"/>
        <v>0</v>
      </c>
      <c r="V36" s="37">
        <f t="shared" si="15"/>
        <v>0</v>
      </c>
      <c r="W36" s="37">
        <f t="shared" si="15"/>
        <v>0</v>
      </c>
      <c r="X36" s="37">
        <f t="shared" si="15"/>
        <v>0</v>
      </c>
      <c r="Y36" s="37">
        <f t="shared" si="15"/>
        <v>0</v>
      </c>
      <c r="Z36" s="37">
        <f t="shared" si="15"/>
        <v>0</v>
      </c>
      <c r="AA36" s="37">
        <f t="shared" si="15"/>
        <v>0</v>
      </c>
      <c r="AB36" s="37">
        <f t="shared" si="15"/>
        <v>0</v>
      </c>
      <c r="AC36" s="37">
        <f t="shared" si="15"/>
        <v>0</v>
      </c>
      <c r="AD36" s="37">
        <f t="shared" si="15"/>
        <v>0</v>
      </c>
      <c r="AE36" s="37">
        <f t="shared" si="15"/>
        <v>0</v>
      </c>
      <c r="AF36" s="37">
        <f t="shared" si="15"/>
        <v>0</v>
      </c>
      <c r="AG36" s="37">
        <f t="shared" si="15"/>
        <v>0</v>
      </c>
      <c r="AH36" s="37">
        <f t="shared" si="15"/>
        <v>0</v>
      </c>
      <c r="AI36" s="37">
        <f t="shared" si="15"/>
        <v>0</v>
      </c>
      <c r="AJ36" s="37">
        <f t="shared" si="15"/>
        <v>0</v>
      </c>
      <c r="AK36" s="37">
        <f t="shared" si="15"/>
        <v>0</v>
      </c>
      <c r="AL36" s="37">
        <f t="shared" si="15"/>
        <v>0</v>
      </c>
      <c r="AM36" s="37">
        <f t="shared" si="15"/>
        <v>0</v>
      </c>
      <c r="AN36" s="37">
        <f t="shared" si="15"/>
        <v>0</v>
      </c>
      <c r="AO36" s="37">
        <f t="shared" si="15"/>
        <v>0</v>
      </c>
      <c r="AP36" s="37">
        <f t="shared" si="15"/>
        <v>0</v>
      </c>
      <c r="AQ36" s="37">
        <f t="shared" si="15"/>
        <v>0</v>
      </c>
      <c r="AR36" s="37">
        <f t="shared" si="15"/>
        <v>0</v>
      </c>
      <c r="AS36" s="37">
        <f t="shared" si="15"/>
        <v>0</v>
      </c>
    </row>
  </sheetData>
  <sheetProtection algorithmName="SHA-512" hashValue="K3HxKGPb/5gSLZf77a8MC7Zb0vDqE6HS7wQ2vAUqJmo5v1G2wLZv0hnDjhw0Dnanbcfy/GRoXBOPz2ADcMq3Ow==" saltValue="y4OkSPFNjwE9T6aSEjJi7g==" spinCount="100000" sheet="1" objects="1" scenarios="1"/>
  <autoFilter ref="B13:AS36" xr:uid="{00000000-0009-0000-0000-000003000000}"/>
  <sortState xmlns:xlrd2="http://schemas.microsoft.com/office/spreadsheetml/2017/richdata2" ref="B26:L36">
    <sortCondition ref="C26:C36"/>
    <sortCondition ref="B26:B36"/>
  </sortState>
  <mergeCells count="6">
    <mergeCell ref="H12:I12"/>
    <mergeCell ref="D5:M5"/>
    <mergeCell ref="D6:M6"/>
    <mergeCell ref="D7:M7"/>
    <mergeCell ref="D8:M8"/>
    <mergeCell ref="D9:M9"/>
  </mergeCells>
  <conditionalFormatting sqref="O14:AS18">
    <cfRule type="colorScale" priority="2">
      <colorScale>
        <cfvo type="min"/>
        <cfvo type="max"/>
        <color rgb="FFFCFCFF"/>
        <color rgb="FF63BE7B"/>
      </colorScale>
    </cfRule>
  </conditionalFormatting>
  <conditionalFormatting sqref="O20:AS24">
    <cfRule type="colorScale" priority="1">
      <colorScale>
        <cfvo type="min"/>
        <cfvo type="max"/>
        <color rgb="FFFCFCFF"/>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BA86A-8EED-46F0-89AB-3F657CB26A3A}">
  <sheetPr codeName="Sheet5">
    <tabColor theme="7" tint="0.79998168889431442"/>
  </sheetPr>
  <dimension ref="B1:H500"/>
  <sheetViews>
    <sheetView workbookViewId="0">
      <selection activeCell="J12" sqref="J12"/>
    </sheetView>
  </sheetViews>
  <sheetFormatPr defaultRowHeight="14.5"/>
  <cols>
    <col min="2" max="2" width="14.7265625" bestFit="1" customWidth="1"/>
    <col min="3" max="3" width="14.54296875" bestFit="1" customWidth="1"/>
    <col min="4" max="4" width="13.81640625" bestFit="1" customWidth="1"/>
    <col min="5" max="5" width="12.26953125" bestFit="1" customWidth="1"/>
    <col min="6" max="6" width="12.1796875" bestFit="1" customWidth="1"/>
    <col min="7" max="7" width="18.54296875" bestFit="1" customWidth="1"/>
    <col min="8" max="8" width="25.453125" bestFit="1" customWidth="1"/>
  </cols>
  <sheetData>
    <row r="1" spans="2:8">
      <c r="G1" s="343" t="s">
        <v>259</v>
      </c>
      <c r="H1" s="343"/>
    </row>
    <row r="2" spans="2:8" ht="29">
      <c r="B2" s="78" t="s">
        <v>260</v>
      </c>
      <c r="C2" s="78" t="s">
        <v>261</v>
      </c>
      <c r="D2" s="78" t="s">
        <v>262</v>
      </c>
      <c r="E2" s="78" t="s">
        <v>263</v>
      </c>
      <c r="F2" s="78" t="s">
        <v>264</v>
      </c>
      <c r="G2" s="75" t="s">
        <v>265</v>
      </c>
      <c r="H2" s="75" t="s">
        <v>266</v>
      </c>
    </row>
    <row r="3" spans="2:8">
      <c r="B3" s="93">
        <v>2019</v>
      </c>
      <c r="C3" s="93">
        <v>2019</v>
      </c>
      <c r="D3" s="93">
        <f>1+(C3-B3)</f>
        <v>1</v>
      </c>
      <c r="E3" s="93" t="str">
        <f>B3&amp;"-"&amp;C3</f>
        <v>2019-2019</v>
      </c>
      <c r="F3" s="93" t="str">
        <f>B3&amp;"+"&amp;TEXT(D3,"00")</f>
        <v>2019+01</v>
      </c>
      <c r="G3" s="76">
        <f t="shared" ref="G3:G66" si="0">AVERAGEIFS(AF_Source_Energy_Btu_per_kWh,AnnualFactorYear,"&gt;="&amp;$B3,AnnualFactorYear,"&lt;="&amp;$C3)</f>
        <v>3722.7706378802072</v>
      </c>
      <c r="H3" s="77">
        <f t="shared" ref="H3:H66" si="1">AVERAGEIFS(AF_Emissions_Intensity_metric_tonnes_per_MWh,AnnualFactorYear,"&gt;="&amp;$B3,AnnualFactorYear,"&lt;="&amp;$C3)</f>
        <v>0.19756881668132573</v>
      </c>
    </row>
    <row r="4" spans="2:8">
      <c r="B4" s="79">
        <v>2019</v>
      </c>
      <c r="C4">
        <v>2020</v>
      </c>
      <c r="D4">
        <f t="shared" ref="D4:D67" si="2">1+(C4-B4)</f>
        <v>2</v>
      </c>
      <c r="E4" t="str">
        <f t="shared" ref="E4:E67" si="3">B4&amp;"-"&amp;C4</f>
        <v>2019-2020</v>
      </c>
      <c r="F4" s="93" t="str">
        <f t="shared" ref="F4:F67" si="4">B4&amp;"+"&amp;TEXT(D4,"00")</f>
        <v>2019+02</v>
      </c>
      <c r="G4" s="74">
        <f t="shared" si="0"/>
        <v>3680.2767281737192</v>
      </c>
      <c r="H4" s="80">
        <f t="shared" si="1"/>
        <v>0.19531364915328955</v>
      </c>
    </row>
    <row r="5" spans="2:8">
      <c r="B5" s="79">
        <v>2019</v>
      </c>
      <c r="C5">
        <v>2021</v>
      </c>
      <c r="D5">
        <f t="shared" si="2"/>
        <v>3</v>
      </c>
      <c r="E5" t="str">
        <f t="shared" si="3"/>
        <v>2019-2021</v>
      </c>
      <c r="F5" s="93" t="str">
        <f t="shared" si="4"/>
        <v>2019+03</v>
      </c>
      <c r="G5" s="74">
        <f t="shared" si="0"/>
        <v>3637.7828184672312</v>
      </c>
      <c r="H5" s="80">
        <f t="shared" si="1"/>
        <v>0.19305848162525338</v>
      </c>
    </row>
    <row r="6" spans="2:8">
      <c r="B6" s="79">
        <v>2019</v>
      </c>
      <c r="C6">
        <v>2022</v>
      </c>
      <c r="D6">
        <f t="shared" si="2"/>
        <v>4</v>
      </c>
      <c r="E6" t="str">
        <f t="shared" si="3"/>
        <v>2019-2022</v>
      </c>
      <c r="F6" s="93" t="str">
        <f t="shared" si="4"/>
        <v>2019+04</v>
      </c>
      <c r="G6" s="74">
        <f t="shared" si="0"/>
        <v>3595.2889087607432</v>
      </c>
      <c r="H6" s="80">
        <f t="shared" si="1"/>
        <v>0.19080331409721721</v>
      </c>
    </row>
    <row r="7" spans="2:8">
      <c r="B7" s="79">
        <v>2019</v>
      </c>
      <c r="C7">
        <v>2023</v>
      </c>
      <c r="D7">
        <f t="shared" si="2"/>
        <v>5</v>
      </c>
      <c r="E7" t="str">
        <f t="shared" si="3"/>
        <v>2019-2023</v>
      </c>
      <c r="F7" s="93" t="str">
        <f t="shared" si="4"/>
        <v>2019+05</v>
      </c>
      <c r="G7" s="74">
        <f t="shared" si="0"/>
        <v>3521.3924985049393</v>
      </c>
      <c r="H7" s="80">
        <f t="shared" si="1"/>
        <v>0.18688160423341799</v>
      </c>
    </row>
    <row r="8" spans="2:8">
      <c r="B8" s="79">
        <v>2019</v>
      </c>
      <c r="C8">
        <v>2024</v>
      </c>
      <c r="D8">
        <f t="shared" si="2"/>
        <v>6</v>
      </c>
      <c r="E8" t="str">
        <f t="shared" si="3"/>
        <v>2019-2024</v>
      </c>
      <c r="F8" s="93" t="str">
        <f t="shared" si="4"/>
        <v>2019+06</v>
      </c>
      <c r="G8" s="74">
        <f t="shared" si="0"/>
        <v>3492.9431305660551</v>
      </c>
      <c r="H8" s="80">
        <f t="shared" si="1"/>
        <v>0.18537178573914259</v>
      </c>
    </row>
    <row r="9" spans="2:8">
      <c r="B9" s="79">
        <v>2019</v>
      </c>
      <c r="C9">
        <v>2025</v>
      </c>
      <c r="D9">
        <f t="shared" si="2"/>
        <v>7</v>
      </c>
      <c r="E9" t="str">
        <f t="shared" si="3"/>
        <v>2019-2025</v>
      </c>
      <c r="F9" s="93" t="str">
        <f t="shared" si="4"/>
        <v>2019+07</v>
      </c>
      <c r="G9" s="74">
        <f t="shared" si="0"/>
        <v>3466.6162275167394</v>
      </c>
      <c r="H9" s="80">
        <f t="shared" si="1"/>
        <v>0.18397460724272599</v>
      </c>
    </row>
    <row r="10" spans="2:8">
      <c r="B10" s="79">
        <v>2019</v>
      </c>
      <c r="C10">
        <v>2026</v>
      </c>
      <c r="D10">
        <f t="shared" si="2"/>
        <v>8</v>
      </c>
      <c r="E10" t="str">
        <f t="shared" si="3"/>
        <v>2019-2026</v>
      </c>
      <c r="F10" s="93" t="str">
        <f t="shared" si="4"/>
        <v>2019+08</v>
      </c>
      <c r="G10" s="74">
        <f t="shared" si="0"/>
        <v>3446.8417416001284</v>
      </c>
      <c r="H10" s="80">
        <f t="shared" si="1"/>
        <v>0.18292516795058339</v>
      </c>
    </row>
    <row r="11" spans="2:8">
      <c r="B11" s="79">
        <v>2019</v>
      </c>
      <c r="C11">
        <v>2027</v>
      </c>
      <c r="D11">
        <f t="shared" si="2"/>
        <v>9</v>
      </c>
      <c r="E11" t="str">
        <f t="shared" si="3"/>
        <v>2019-2027</v>
      </c>
      <c r="F11" s="93" t="str">
        <f t="shared" si="4"/>
        <v>2019+09</v>
      </c>
      <c r="G11" s="74">
        <f t="shared" si="0"/>
        <v>3418.4917928858795</v>
      </c>
      <c r="H11" s="80">
        <f t="shared" si="1"/>
        <v>0.18142062567138467</v>
      </c>
    </row>
    <row r="12" spans="2:8">
      <c r="B12" s="79">
        <v>2019</v>
      </c>
      <c r="C12">
        <v>2028</v>
      </c>
      <c r="D12">
        <f t="shared" si="2"/>
        <v>10</v>
      </c>
      <c r="E12" t="str">
        <f t="shared" si="3"/>
        <v>2019-2028</v>
      </c>
      <c r="F12" s="93" t="str">
        <f t="shared" si="4"/>
        <v>2019+10</v>
      </c>
      <c r="G12" s="74">
        <f t="shared" si="0"/>
        <v>3384.1390202132848</v>
      </c>
      <c r="H12" s="80">
        <f t="shared" si="1"/>
        <v>0.17959751130124665</v>
      </c>
    </row>
    <row r="13" spans="2:8">
      <c r="B13" s="79">
        <v>2019</v>
      </c>
      <c r="C13">
        <v>2029</v>
      </c>
      <c r="D13">
        <f t="shared" si="2"/>
        <v>11</v>
      </c>
      <c r="E13" t="str">
        <f t="shared" si="3"/>
        <v>2019-2029</v>
      </c>
      <c r="F13" s="93" t="str">
        <f t="shared" si="4"/>
        <v>2019+11</v>
      </c>
      <c r="G13" s="74">
        <f t="shared" si="0"/>
        <v>3333.352852698647</v>
      </c>
      <c r="H13" s="80">
        <f t="shared" si="1"/>
        <v>0.17690227057984675</v>
      </c>
    </row>
    <row r="14" spans="2:8">
      <c r="B14" s="79">
        <v>2019</v>
      </c>
      <c r="C14">
        <v>2030</v>
      </c>
      <c r="D14">
        <f t="shared" si="2"/>
        <v>12</v>
      </c>
      <c r="E14" t="str">
        <f t="shared" si="3"/>
        <v>2019-2030</v>
      </c>
      <c r="F14" s="93" t="str">
        <f t="shared" si="4"/>
        <v>2019+12</v>
      </c>
      <c r="G14" s="74">
        <f t="shared" si="0"/>
        <v>3270.2416390524777</v>
      </c>
      <c r="H14" s="80">
        <f t="shared" si="1"/>
        <v>0.17355293509500047</v>
      </c>
    </row>
    <row r="15" spans="2:8">
      <c r="B15" s="79">
        <v>2019</v>
      </c>
      <c r="C15">
        <v>2031</v>
      </c>
      <c r="D15">
        <f t="shared" si="2"/>
        <v>13</v>
      </c>
      <c r="E15" t="str">
        <f t="shared" si="3"/>
        <v>2019-2031</v>
      </c>
      <c r="F15" s="93" t="str">
        <f t="shared" si="4"/>
        <v>2019+13</v>
      </c>
      <c r="G15" s="74">
        <f t="shared" si="0"/>
        <v>3210.3885104930596</v>
      </c>
      <c r="H15" s="80">
        <f t="shared" si="1"/>
        <v>0.1703765073925157</v>
      </c>
    </row>
    <row r="16" spans="2:8">
      <c r="B16" s="79">
        <v>2019</v>
      </c>
      <c r="C16">
        <v>2032</v>
      </c>
      <c r="D16">
        <f t="shared" si="2"/>
        <v>14</v>
      </c>
      <c r="E16" t="str">
        <f t="shared" si="3"/>
        <v>2019-2032</v>
      </c>
      <c r="F16" s="93" t="str">
        <f t="shared" si="4"/>
        <v>2019+14</v>
      </c>
      <c r="G16" s="74">
        <f t="shared" si="0"/>
        <v>3153.0953059303752</v>
      </c>
      <c r="H16" s="80">
        <f t="shared" si="1"/>
        <v>0.16733593580474362</v>
      </c>
    </row>
    <row r="17" spans="2:8">
      <c r="B17" s="79">
        <v>2019</v>
      </c>
      <c r="C17">
        <v>2033</v>
      </c>
      <c r="D17">
        <f t="shared" si="2"/>
        <v>15</v>
      </c>
      <c r="E17" t="str">
        <f t="shared" si="3"/>
        <v>2019-2033</v>
      </c>
      <c r="F17" s="93" t="str">
        <f t="shared" si="4"/>
        <v>2019+15</v>
      </c>
      <c r="G17" s="74">
        <f t="shared" si="0"/>
        <v>3095.1900833069913</v>
      </c>
      <c r="H17" s="80">
        <f t="shared" si="1"/>
        <v>0.1642628841917963</v>
      </c>
    </row>
    <row r="18" spans="2:8">
      <c r="B18" s="79">
        <v>2019</v>
      </c>
      <c r="C18">
        <v>2034</v>
      </c>
      <c r="D18">
        <f t="shared" si="2"/>
        <v>16</v>
      </c>
      <c r="E18" t="str">
        <f t="shared" si="3"/>
        <v>2019-2034</v>
      </c>
      <c r="F18" s="93" t="str">
        <f t="shared" si="4"/>
        <v>2019+16</v>
      </c>
      <c r="G18" s="74">
        <f t="shared" si="0"/>
        <v>3036.7875960092902</v>
      </c>
      <c r="H18" s="80">
        <f t="shared" si="1"/>
        <v>0.16116344255839415</v>
      </c>
    </row>
    <row r="19" spans="2:8">
      <c r="B19" s="79">
        <v>2019</v>
      </c>
      <c r="C19">
        <v>2035</v>
      </c>
      <c r="D19">
        <f t="shared" si="2"/>
        <v>17</v>
      </c>
      <c r="E19" t="str">
        <f t="shared" si="3"/>
        <v>2019-2035</v>
      </c>
      <c r="F19" s="93" t="str">
        <f t="shared" si="4"/>
        <v>2019+17</v>
      </c>
      <c r="G19" s="74">
        <f t="shared" si="0"/>
        <v>2977.9755966268567</v>
      </c>
      <c r="H19" s="80">
        <f t="shared" si="1"/>
        <v>0.15804226796697038</v>
      </c>
    </row>
    <row r="20" spans="2:8">
      <c r="B20" s="79">
        <v>2019</v>
      </c>
      <c r="C20">
        <v>2036</v>
      </c>
      <c r="D20">
        <f t="shared" si="2"/>
        <v>18</v>
      </c>
      <c r="E20" t="str">
        <f t="shared" si="3"/>
        <v>2019-2036</v>
      </c>
      <c r="F20" s="93" t="str">
        <f t="shared" si="4"/>
        <v>2019+18</v>
      </c>
      <c r="G20" s="74">
        <f t="shared" si="0"/>
        <v>2919.1790068711607</v>
      </c>
      <c r="H20" s="80">
        <f t="shared" si="1"/>
        <v>0.15492191117014534</v>
      </c>
    </row>
    <row r="21" spans="2:8">
      <c r="B21" s="79">
        <v>2019</v>
      </c>
      <c r="C21">
        <v>2037</v>
      </c>
      <c r="D21">
        <f t="shared" si="2"/>
        <v>19</v>
      </c>
      <c r="E21" t="str">
        <f t="shared" si="3"/>
        <v>2019-2037</v>
      </c>
      <c r="F21" s="93" t="str">
        <f t="shared" si="4"/>
        <v>2019+19</v>
      </c>
      <c r="G21" s="74">
        <f t="shared" si="0"/>
        <v>2860.3953936432436</v>
      </c>
      <c r="H21" s="80">
        <f t="shared" si="1"/>
        <v>0.1518022430424561</v>
      </c>
    </row>
    <row r="22" spans="2:8">
      <c r="B22" s="79">
        <v>2019</v>
      </c>
      <c r="C22">
        <v>2038</v>
      </c>
      <c r="D22">
        <f t="shared" si="2"/>
        <v>20</v>
      </c>
      <c r="E22" t="str">
        <f t="shared" si="3"/>
        <v>2019-2038</v>
      </c>
      <c r="F22" s="93" t="str">
        <f t="shared" si="4"/>
        <v>2019+20</v>
      </c>
      <c r="G22" s="74">
        <f t="shared" si="0"/>
        <v>2801.6228104639385</v>
      </c>
      <c r="H22" s="80">
        <f t="shared" si="1"/>
        <v>0.14868316028353226</v>
      </c>
    </row>
    <row r="23" spans="2:8">
      <c r="B23" s="79">
        <v>2019</v>
      </c>
      <c r="C23">
        <v>2039</v>
      </c>
      <c r="D23">
        <f t="shared" si="2"/>
        <v>21</v>
      </c>
      <c r="E23" t="str">
        <f t="shared" si="3"/>
        <v>2019-2039</v>
      </c>
      <c r="F23" s="93" t="str">
        <f t="shared" si="4"/>
        <v>2019+21</v>
      </c>
      <c r="G23" s="74">
        <f t="shared" si="0"/>
        <v>2742.8596816120153</v>
      </c>
      <c r="H23" s="80">
        <f t="shared" si="1"/>
        <v>0.1455645792692645</v>
      </c>
    </row>
    <row r="24" spans="2:8">
      <c r="B24" s="79">
        <v>2019</v>
      </c>
      <c r="C24">
        <v>2040</v>
      </c>
      <c r="D24">
        <f t="shared" si="2"/>
        <v>22</v>
      </c>
      <c r="E24" t="str">
        <f t="shared" si="3"/>
        <v>2019-2040</v>
      </c>
      <c r="F24" s="93" t="str">
        <f t="shared" si="4"/>
        <v>2019+22</v>
      </c>
      <c r="G24" s="74">
        <f t="shared" si="0"/>
        <v>2684.1047178610129</v>
      </c>
      <c r="H24" s="80">
        <f t="shared" si="1"/>
        <v>0.14244643157992695</v>
      </c>
    </row>
    <row r="25" spans="2:8">
      <c r="B25" s="79">
        <v>2019</v>
      </c>
      <c r="C25">
        <v>2041</v>
      </c>
      <c r="D25">
        <f t="shared" si="2"/>
        <v>23</v>
      </c>
      <c r="E25" t="str">
        <f t="shared" si="3"/>
        <v>2019-2041</v>
      </c>
      <c r="F25" s="93" t="str">
        <f t="shared" si="4"/>
        <v>2019+23</v>
      </c>
      <c r="G25" s="74">
        <f t="shared" si="0"/>
        <v>2626.0283040681375</v>
      </c>
      <c r="H25" s="80">
        <f t="shared" si="1"/>
        <v>0.13936429478820483</v>
      </c>
    </row>
    <row r="26" spans="2:8">
      <c r="B26" s="79">
        <v>2019</v>
      </c>
      <c r="C26">
        <v>2042</v>
      </c>
      <c r="D26">
        <f t="shared" si="2"/>
        <v>24</v>
      </c>
      <c r="E26" t="str">
        <f t="shared" si="3"/>
        <v>2019-2042</v>
      </c>
      <c r="F26" s="93" t="str">
        <f t="shared" si="4"/>
        <v>2019+24</v>
      </c>
      <c r="G26" s="74">
        <f t="shared" si="0"/>
        <v>2568.5456214886231</v>
      </c>
      <c r="H26" s="80">
        <f t="shared" si="1"/>
        <v>0.13631366753189619</v>
      </c>
    </row>
    <row r="27" spans="2:8">
      <c r="B27" s="79">
        <v>2019</v>
      </c>
      <c r="C27">
        <v>2043</v>
      </c>
      <c r="D27">
        <f t="shared" si="2"/>
        <v>25</v>
      </c>
      <c r="E27" t="str">
        <f t="shared" si="3"/>
        <v>2019-2043</v>
      </c>
      <c r="F27" s="93" t="str">
        <f t="shared" si="4"/>
        <v>2019+25</v>
      </c>
      <c r="G27" s="74">
        <f t="shared" si="0"/>
        <v>2511.585422376867</v>
      </c>
      <c r="H27" s="80">
        <f t="shared" si="1"/>
        <v>0.13329076866675141</v>
      </c>
    </row>
    <row r="28" spans="2:8">
      <c r="B28" s="79">
        <v>2019</v>
      </c>
      <c r="C28">
        <v>2044</v>
      </c>
      <c r="D28">
        <f t="shared" si="2"/>
        <v>26</v>
      </c>
      <c r="E28" t="str">
        <f t="shared" si="3"/>
        <v>2019-2044</v>
      </c>
      <c r="F28" s="93" t="str">
        <f t="shared" si="4"/>
        <v>2019+26</v>
      </c>
      <c r="G28" s="74">
        <f t="shared" si="0"/>
        <v>2455.0874201788965</v>
      </c>
      <c r="H28" s="80">
        <f t="shared" si="1"/>
        <v>0.13029239876302082</v>
      </c>
    </row>
    <row r="29" spans="2:8">
      <c r="B29" s="79">
        <v>2019</v>
      </c>
      <c r="C29">
        <v>2045</v>
      </c>
      <c r="D29">
        <f t="shared" si="2"/>
        <v>27</v>
      </c>
      <c r="E29" t="str">
        <f t="shared" si="3"/>
        <v>2019-2045</v>
      </c>
      <c r="F29" s="93" t="str">
        <f t="shared" si="4"/>
        <v>2019+27</v>
      </c>
      <c r="G29" s="74">
        <f t="shared" si="0"/>
        <v>2399.0002596820696</v>
      </c>
      <c r="H29" s="80">
        <f t="shared" si="1"/>
        <v>0.12731583238054728</v>
      </c>
    </row>
    <row r="30" spans="2:8">
      <c r="B30" s="79">
        <v>2019</v>
      </c>
      <c r="C30">
        <v>2046</v>
      </c>
      <c r="D30">
        <f t="shared" si="2"/>
        <v>28</v>
      </c>
      <c r="E30" t="str">
        <f t="shared" si="3"/>
        <v>2019-2046</v>
      </c>
      <c r="F30" s="93" t="str">
        <f t="shared" si="4"/>
        <v>2019+28</v>
      </c>
      <c r="G30" s="74">
        <f t="shared" si="0"/>
        <v>2346.9193249350151</v>
      </c>
      <c r="H30" s="80">
        <f t="shared" si="1"/>
        <v>0.12455187788253615</v>
      </c>
    </row>
    <row r="31" spans="2:8">
      <c r="B31" s="79">
        <v>2019</v>
      </c>
      <c r="C31">
        <v>2047</v>
      </c>
      <c r="D31">
        <f t="shared" si="2"/>
        <v>29</v>
      </c>
      <c r="E31" t="str">
        <f t="shared" si="3"/>
        <v>2019-2047</v>
      </c>
      <c r="F31" s="93" t="str">
        <f t="shared" si="4"/>
        <v>2019+29</v>
      </c>
      <c r="G31" s="74">
        <f t="shared" si="0"/>
        <v>2298.4301787912063</v>
      </c>
      <c r="H31" s="80">
        <f t="shared" si="1"/>
        <v>0.12197854093611198</v>
      </c>
    </row>
    <row r="32" spans="2:8">
      <c r="B32" s="79">
        <v>2019</v>
      </c>
      <c r="C32">
        <v>2048</v>
      </c>
      <c r="D32">
        <f t="shared" si="2"/>
        <v>30</v>
      </c>
      <c r="E32" t="str">
        <f t="shared" si="3"/>
        <v>2019-2048</v>
      </c>
      <c r="F32" s="93" t="str">
        <f t="shared" si="4"/>
        <v>2019+30</v>
      </c>
      <c r="G32" s="74">
        <f t="shared" si="0"/>
        <v>2253.173642390318</v>
      </c>
      <c r="H32" s="80">
        <f t="shared" si="1"/>
        <v>0.11957675978611609</v>
      </c>
    </row>
    <row r="33" spans="2:8">
      <c r="B33" s="79">
        <v>2019</v>
      </c>
      <c r="C33">
        <v>2049</v>
      </c>
      <c r="D33">
        <f t="shared" si="2"/>
        <v>31</v>
      </c>
      <c r="E33" t="str">
        <f t="shared" si="3"/>
        <v>2019-2049</v>
      </c>
      <c r="F33" s="93" t="str">
        <f t="shared" si="4"/>
        <v>2019+31</v>
      </c>
      <c r="G33" s="74">
        <f t="shared" si="0"/>
        <v>2210.8368825314224</v>
      </c>
      <c r="H33" s="80">
        <f t="shared" si="1"/>
        <v>0.11732993225870059</v>
      </c>
    </row>
    <row r="34" spans="2:8">
      <c r="B34" s="93">
        <v>2020</v>
      </c>
      <c r="C34" s="93">
        <v>2020</v>
      </c>
      <c r="D34" s="93">
        <f t="shared" si="2"/>
        <v>1</v>
      </c>
      <c r="E34" s="93" t="str">
        <f t="shared" si="3"/>
        <v>2020-2020</v>
      </c>
      <c r="F34" s="93" t="str">
        <f t="shared" si="4"/>
        <v>2020+01</v>
      </c>
      <c r="G34" s="76">
        <f t="shared" si="0"/>
        <v>3637.7828184672312</v>
      </c>
      <c r="H34" s="77">
        <f t="shared" si="1"/>
        <v>0.19305848162525338</v>
      </c>
    </row>
    <row r="35" spans="2:8">
      <c r="B35" s="79">
        <v>2020</v>
      </c>
      <c r="C35">
        <v>2021</v>
      </c>
      <c r="D35">
        <f t="shared" si="2"/>
        <v>2</v>
      </c>
      <c r="E35" t="str">
        <f t="shared" si="3"/>
        <v>2020-2021</v>
      </c>
      <c r="F35" s="93" t="str">
        <f t="shared" si="4"/>
        <v>2020+02</v>
      </c>
      <c r="G35" s="74">
        <f t="shared" si="0"/>
        <v>3595.2889087607432</v>
      </c>
      <c r="H35" s="80">
        <f t="shared" si="1"/>
        <v>0.19080331409721721</v>
      </c>
    </row>
    <row r="36" spans="2:8">
      <c r="B36" s="79">
        <v>2020</v>
      </c>
      <c r="C36">
        <v>2022</v>
      </c>
      <c r="D36">
        <f t="shared" si="2"/>
        <v>3</v>
      </c>
      <c r="E36" t="str">
        <f t="shared" si="3"/>
        <v>2020-2022</v>
      </c>
      <c r="F36" s="93" t="str">
        <f t="shared" si="4"/>
        <v>2020+03</v>
      </c>
      <c r="G36" s="74">
        <f t="shared" si="0"/>
        <v>3552.7949990542552</v>
      </c>
      <c r="H36" s="80">
        <f t="shared" si="1"/>
        <v>0.18854814656918104</v>
      </c>
    </row>
    <row r="37" spans="2:8">
      <c r="B37" s="79">
        <v>2020</v>
      </c>
      <c r="C37">
        <v>2023</v>
      </c>
      <c r="D37">
        <f t="shared" si="2"/>
        <v>4</v>
      </c>
      <c r="E37" t="str">
        <f t="shared" si="3"/>
        <v>2020-2023</v>
      </c>
      <c r="F37" s="93" t="str">
        <f t="shared" si="4"/>
        <v>2020+04</v>
      </c>
      <c r="G37" s="74">
        <f t="shared" si="0"/>
        <v>3471.0479636611226</v>
      </c>
      <c r="H37" s="80">
        <f t="shared" si="1"/>
        <v>0.18420980112144103</v>
      </c>
    </row>
    <row r="38" spans="2:8">
      <c r="B38" s="79">
        <v>2020</v>
      </c>
      <c r="C38">
        <v>2024</v>
      </c>
      <c r="D38">
        <f t="shared" si="2"/>
        <v>5</v>
      </c>
      <c r="E38" t="str">
        <f t="shared" si="3"/>
        <v>2020-2024</v>
      </c>
      <c r="F38" s="93" t="str">
        <f t="shared" si="4"/>
        <v>2020+05</v>
      </c>
      <c r="G38" s="74">
        <f t="shared" si="0"/>
        <v>3446.9776291032249</v>
      </c>
      <c r="H38" s="80">
        <f t="shared" si="1"/>
        <v>0.18293237955070593</v>
      </c>
    </row>
    <row r="39" spans="2:8">
      <c r="B39" s="79">
        <v>2020</v>
      </c>
      <c r="C39">
        <v>2025</v>
      </c>
      <c r="D39">
        <f t="shared" si="2"/>
        <v>6</v>
      </c>
      <c r="E39" t="str">
        <f t="shared" si="3"/>
        <v>2020-2025</v>
      </c>
      <c r="F39" s="93" t="str">
        <f t="shared" si="4"/>
        <v>2020+06</v>
      </c>
      <c r="G39" s="74">
        <f t="shared" si="0"/>
        <v>3423.9238257894945</v>
      </c>
      <c r="H39" s="80">
        <f t="shared" si="1"/>
        <v>0.18170890566962603</v>
      </c>
    </row>
    <row r="40" spans="2:8">
      <c r="B40" s="79">
        <v>2020</v>
      </c>
      <c r="C40">
        <v>2026</v>
      </c>
      <c r="D40">
        <f t="shared" si="2"/>
        <v>7</v>
      </c>
      <c r="E40" t="str">
        <f t="shared" si="3"/>
        <v>2020-2026</v>
      </c>
      <c r="F40" s="93" t="str">
        <f t="shared" si="4"/>
        <v>2020+07</v>
      </c>
      <c r="G40" s="74">
        <f t="shared" si="0"/>
        <v>3407.4233278458314</v>
      </c>
      <c r="H40" s="80">
        <f t="shared" si="1"/>
        <v>0.18083321813190587</v>
      </c>
    </row>
    <row r="41" spans="2:8">
      <c r="B41" s="79">
        <v>2020</v>
      </c>
      <c r="C41">
        <v>2027</v>
      </c>
      <c r="D41">
        <f t="shared" si="2"/>
        <v>8</v>
      </c>
      <c r="E41" t="str">
        <f t="shared" si="3"/>
        <v>2020-2027</v>
      </c>
      <c r="F41" s="93" t="str">
        <f t="shared" si="4"/>
        <v>2020+08</v>
      </c>
      <c r="G41" s="74">
        <f t="shared" si="0"/>
        <v>3380.4569372615888</v>
      </c>
      <c r="H41" s="80">
        <f t="shared" si="1"/>
        <v>0.17940210179514199</v>
      </c>
    </row>
    <row r="42" spans="2:8">
      <c r="B42" s="79">
        <v>2020</v>
      </c>
      <c r="C42">
        <v>2028</v>
      </c>
      <c r="D42">
        <f t="shared" si="2"/>
        <v>9</v>
      </c>
      <c r="E42" t="str">
        <f t="shared" si="3"/>
        <v>2020-2028</v>
      </c>
      <c r="F42" s="93" t="str">
        <f t="shared" si="4"/>
        <v>2020+09</v>
      </c>
      <c r="G42" s="74">
        <f t="shared" si="0"/>
        <v>3346.5132849169595</v>
      </c>
      <c r="H42" s="80">
        <f t="shared" si="1"/>
        <v>0.17760069959234895</v>
      </c>
    </row>
    <row r="43" spans="2:8">
      <c r="B43" s="79">
        <v>2020</v>
      </c>
      <c r="C43">
        <v>2029</v>
      </c>
      <c r="D43">
        <f t="shared" si="2"/>
        <v>10</v>
      </c>
      <c r="E43" t="str">
        <f t="shared" si="3"/>
        <v>2020-2029</v>
      </c>
      <c r="F43" s="93" t="str">
        <f t="shared" si="4"/>
        <v>2020+10</v>
      </c>
      <c r="G43" s="74">
        <f t="shared" si="0"/>
        <v>3294.4110741804907</v>
      </c>
      <c r="H43" s="80">
        <f t="shared" si="1"/>
        <v>0.17483561596969882</v>
      </c>
    </row>
    <row r="44" spans="2:8">
      <c r="B44" s="79">
        <v>2020</v>
      </c>
      <c r="C44">
        <v>2030</v>
      </c>
      <c r="D44">
        <f t="shared" si="2"/>
        <v>11</v>
      </c>
      <c r="E44" t="str">
        <f t="shared" si="3"/>
        <v>2020-2030</v>
      </c>
      <c r="F44" s="93" t="str">
        <f t="shared" si="4"/>
        <v>2020+11</v>
      </c>
      <c r="G44" s="74">
        <f t="shared" si="0"/>
        <v>3229.1026391590476</v>
      </c>
      <c r="H44" s="80">
        <f t="shared" si="1"/>
        <v>0.17136967313260723</v>
      </c>
    </row>
    <row r="45" spans="2:8">
      <c r="B45" s="79">
        <v>2020</v>
      </c>
      <c r="C45">
        <v>2031</v>
      </c>
      <c r="D45">
        <f t="shared" si="2"/>
        <v>12</v>
      </c>
      <c r="E45" t="str">
        <f t="shared" si="3"/>
        <v>2020-2031</v>
      </c>
      <c r="F45" s="93" t="str">
        <f t="shared" si="4"/>
        <v>2020+12</v>
      </c>
      <c r="G45" s="74">
        <f t="shared" si="0"/>
        <v>3167.6899998774638</v>
      </c>
      <c r="H45" s="80">
        <f t="shared" si="1"/>
        <v>0.16811048161844822</v>
      </c>
    </row>
    <row r="46" spans="2:8">
      <c r="B46" s="79">
        <v>2020</v>
      </c>
      <c r="C46">
        <v>2032</v>
      </c>
      <c r="D46">
        <f t="shared" si="2"/>
        <v>13</v>
      </c>
      <c r="E46" t="str">
        <f t="shared" si="3"/>
        <v>2020-2032</v>
      </c>
      <c r="F46" s="93" t="str">
        <f t="shared" si="4"/>
        <v>2020+13</v>
      </c>
      <c r="G46" s="74">
        <f t="shared" si="0"/>
        <v>3109.2741265496184</v>
      </c>
      <c r="H46" s="80">
        <f t="shared" si="1"/>
        <v>0.16501032958346806</v>
      </c>
    </row>
    <row r="47" spans="2:8">
      <c r="B47" s="79">
        <v>2020</v>
      </c>
      <c r="C47">
        <v>2033</v>
      </c>
      <c r="D47">
        <f t="shared" si="2"/>
        <v>14</v>
      </c>
      <c r="E47" t="str">
        <f t="shared" si="3"/>
        <v>2020-2033</v>
      </c>
      <c r="F47" s="93" t="str">
        <f t="shared" si="4"/>
        <v>2020+14</v>
      </c>
      <c r="G47" s="74">
        <f t="shared" si="0"/>
        <v>3050.362900837476</v>
      </c>
      <c r="H47" s="80">
        <f t="shared" si="1"/>
        <v>0.1618838890139728</v>
      </c>
    </row>
    <row r="48" spans="2:8">
      <c r="B48" s="79">
        <v>2020</v>
      </c>
      <c r="C48">
        <v>2034</v>
      </c>
      <c r="D48">
        <f t="shared" si="2"/>
        <v>15</v>
      </c>
      <c r="E48" t="str">
        <f t="shared" si="3"/>
        <v>2020-2034</v>
      </c>
      <c r="F48" s="93" t="str">
        <f t="shared" si="4"/>
        <v>2020+15</v>
      </c>
      <c r="G48" s="74">
        <f t="shared" si="0"/>
        <v>2991.0553932178955</v>
      </c>
      <c r="H48" s="80">
        <f t="shared" si="1"/>
        <v>0.15873641761686538</v>
      </c>
    </row>
    <row r="49" spans="2:8">
      <c r="B49" s="79">
        <v>2020</v>
      </c>
      <c r="C49">
        <v>2035</v>
      </c>
      <c r="D49">
        <f t="shared" si="2"/>
        <v>16</v>
      </c>
      <c r="E49" t="str">
        <f t="shared" si="3"/>
        <v>2020-2035</v>
      </c>
      <c r="F49" s="93" t="str">
        <f t="shared" si="4"/>
        <v>2020+16</v>
      </c>
      <c r="G49" s="74">
        <f t="shared" si="0"/>
        <v>2931.4259065485221</v>
      </c>
      <c r="H49" s="80">
        <f t="shared" si="1"/>
        <v>0.15557185867232318</v>
      </c>
    </row>
    <row r="50" spans="2:8">
      <c r="B50" s="79">
        <v>2020</v>
      </c>
      <c r="C50">
        <v>2036</v>
      </c>
      <c r="D50">
        <f t="shared" si="2"/>
        <v>17</v>
      </c>
      <c r="E50" t="str">
        <f t="shared" si="3"/>
        <v>2020-2036</v>
      </c>
      <c r="F50" s="93" t="str">
        <f t="shared" si="4"/>
        <v>2020+17</v>
      </c>
      <c r="G50" s="74">
        <f t="shared" si="0"/>
        <v>2871.9089109294518</v>
      </c>
      <c r="H50" s="80">
        <f t="shared" si="1"/>
        <v>0.15241326966948768</v>
      </c>
    </row>
    <row r="51" spans="2:8">
      <c r="B51" s="79">
        <v>2020</v>
      </c>
      <c r="C51">
        <v>2037</v>
      </c>
      <c r="D51">
        <f t="shared" si="2"/>
        <v>18</v>
      </c>
      <c r="E51" t="str">
        <f t="shared" si="3"/>
        <v>2020-2037</v>
      </c>
      <c r="F51" s="93" t="str">
        <f t="shared" si="4"/>
        <v>2020+18</v>
      </c>
      <c r="G51" s="74">
        <f t="shared" si="0"/>
        <v>2812.4856578523013</v>
      </c>
      <c r="H51" s="80">
        <f t="shared" si="1"/>
        <v>0.14925965561807444</v>
      </c>
    </row>
    <row r="52" spans="2:8">
      <c r="B52" s="79">
        <v>2020</v>
      </c>
      <c r="C52">
        <v>2038</v>
      </c>
      <c r="D52">
        <f t="shared" si="2"/>
        <v>19</v>
      </c>
      <c r="E52" t="str">
        <f t="shared" si="3"/>
        <v>2020-2038</v>
      </c>
      <c r="F52" s="93" t="str">
        <f t="shared" si="4"/>
        <v>2020+19</v>
      </c>
      <c r="G52" s="74">
        <f t="shared" si="0"/>
        <v>2753.1413458630823</v>
      </c>
      <c r="H52" s="80">
        <f t="shared" si="1"/>
        <v>0.14611023099943787</v>
      </c>
    </row>
    <row r="53" spans="2:8">
      <c r="B53" s="79">
        <v>2020</v>
      </c>
      <c r="C53">
        <v>2039</v>
      </c>
      <c r="D53">
        <f t="shared" si="2"/>
        <v>20</v>
      </c>
      <c r="E53" t="str">
        <f t="shared" si="3"/>
        <v>2020-2039</v>
      </c>
      <c r="F53" s="93" t="str">
        <f t="shared" si="4"/>
        <v>2020+20</v>
      </c>
      <c r="G53" s="74">
        <f t="shared" si="0"/>
        <v>2693.8641337986055</v>
      </c>
      <c r="H53" s="80">
        <f t="shared" si="1"/>
        <v>0.14296436739866142</v>
      </c>
    </row>
    <row r="54" spans="2:8">
      <c r="B54" s="79">
        <v>2020</v>
      </c>
      <c r="C54">
        <v>2040</v>
      </c>
      <c r="D54">
        <f t="shared" si="2"/>
        <v>21</v>
      </c>
      <c r="E54" t="str">
        <f t="shared" si="3"/>
        <v>2020-2040</v>
      </c>
      <c r="F54" s="93" t="str">
        <f t="shared" si="4"/>
        <v>2020+21</v>
      </c>
      <c r="G54" s="74">
        <f t="shared" si="0"/>
        <v>2634.6444359553366</v>
      </c>
      <c r="H54" s="80">
        <f t="shared" si="1"/>
        <v>0.13982155609890798</v>
      </c>
    </row>
    <row r="55" spans="2:8">
      <c r="B55" s="79">
        <v>2020</v>
      </c>
      <c r="C55">
        <v>2041</v>
      </c>
      <c r="D55">
        <f t="shared" si="2"/>
        <v>22</v>
      </c>
      <c r="E55" t="str">
        <f t="shared" si="3"/>
        <v>2020-2041</v>
      </c>
      <c r="F55" s="93" t="str">
        <f t="shared" si="4"/>
        <v>2020+22</v>
      </c>
      <c r="G55" s="74">
        <f t="shared" si="0"/>
        <v>2576.1763798039519</v>
      </c>
      <c r="H55" s="80">
        <f t="shared" si="1"/>
        <v>0.13671863470215387</v>
      </c>
    </row>
    <row r="56" spans="2:8">
      <c r="B56" s="79">
        <v>2020</v>
      </c>
      <c r="C56">
        <v>2042</v>
      </c>
      <c r="D56">
        <f t="shared" si="2"/>
        <v>23</v>
      </c>
      <c r="E56" t="str">
        <f t="shared" si="3"/>
        <v>2020-2042</v>
      </c>
      <c r="F56" s="93" t="str">
        <f t="shared" si="4"/>
        <v>2020+23</v>
      </c>
      <c r="G56" s="74">
        <f t="shared" si="0"/>
        <v>2518.3619251237715</v>
      </c>
      <c r="H56" s="80">
        <f t="shared" si="1"/>
        <v>0.13365040017757315</v>
      </c>
    </row>
    <row r="57" spans="2:8">
      <c r="B57" s="79">
        <v>2020</v>
      </c>
      <c r="C57">
        <v>2043</v>
      </c>
      <c r="D57">
        <f t="shared" si="2"/>
        <v>24</v>
      </c>
      <c r="E57" t="str">
        <f t="shared" si="3"/>
        <v>2020-2043</v>
      </c>
      <c r="F57" s="93" t="str">
        <f t="shared" si="4"/>
        <v>2020+24</v>
      </c>
      <c r="G57" s="74">
        <f t="shared" si="0"/>
        <v>2461.1193717308943</v>
      </c>
      <c r="H57" s="80">
        <f t="shared" si="1"/>
        <v>0.13061251666614415</v>
      </c>
    </row>
    <row r="58" spans="2:8">
      <c r="B58" s="79">
        <v>2020</v>
      </c>
      <c r="C58">
        <v>2044</v>
      </c>
      <c r="D58">
        <f t="shared" si="2"/>
        <v>25</v>
      </c>
      <c r="E58" t="str">
        <f t="shared" si="3"/>
        <v>2020-2044</v>
      </c>
      <c r="F58" s="93" t="str">
        <f t="shared" si="4"/>
        <v>2020+25</v>
      </c>
      <c r="G58" s="74">
        <f t="shared" si="0"/>
        <v>2404.380091470844</v>
      </c>
      <c r="H58" s="80">
        <f t="shared" si="1"/>
        <v>0.12760134204628862</v>
      </c>
    </row>
    <row r="59" spans="2:8">
      <c r="B59" s="79">
        <v>2020</v>
      </c>
      <c r="C59">
        <v>2045</v>
      </c>
      <c r="D59">
        <f t="shared" si="2"/>
        <v>26</v>
      </c>
      <c r="E59" t="str">
        <f t="shared" si="3"/>
        <v>2020-2045</v>
      </c>
      <c r="F59" s="93" t="str">
        <f t="shared" si="4"/>
        <v>2020+26</v>
      </c>
      <c r="G59" s="74">
        <f t="shared" si="0"/>
        <v>2348.0860143667564</v>
      </c>
      <c r="H59" s="80">
        <f t="shared" si="1"/>
        <v>0.12461379452282503</v>
      </c>
    </row>
    <row r="60" spans="2:8">
      <c r="B60" s="79">
        <v>2020</v>
      </c>
      <c r="C60">
        <v>2046</v>
      </c>
      <c r="D60">
        <f t="shared" si="2"/>
        <v>27</v>
      </c>
      <c r="E60" t="str">
        <f t="shared" si="3"/>
        <v>2020-2046</v>
      </c>
      <c r="F60" s="93" t="str">
        <f t="shared" si="4"/>
        <v>2020+27</v>
      </c>
      <c r="G60" s="74">
        <f t="shared" si="0"/>
        <v>2295.9618689000085</v>
      </c>
      <c r="H60" s="80">
        <f t="shared" si="1"/>
        <v>0.12184754681591431</v>
      </c>
    </row>
    <row r="61" spans="2:8">
      <c r="B61" s="79">
        <v>2020</v>
      </c>
      <c r="C61">
        <v>2047</v>
      </c>
      <c r="D61">
        <f t="shared" si="2"/>
        <v>28</v>
      </c>
      <c r="E61" t="str">
        <f t="shared" si="3"/>
        <v>2020-2047</v>
      </c>
      <c r="F61" s="93" t="str">
        <f t="shared" si="4"/>
        <v>2020+28</v>
      </c>
      <c r="G61" s="74">
        <f t="shared" si="0"/>
        <v>2247.560876680885</v>
      </c>
      <c r="H61" s="80">
        <f t="shared" si="1"/>
        <v>0.11927888823092578</v>
      </c>
    </row>
    <row r="62" spans="2:8">
      <c r="B62" s="79">
        <v>2020</v>
      </c>
      <c r="C62">
        <v>2048</v>
      </c>
      <c r="D62">
        <f t="shared" si="2"/>
        <v>29</v>
      </c>
      <c r="E62" t="str">
        <f t="shared" si="3"/>
        <v>2020-2048</v>
      </c>
      <c r="F62" s="93" t="str">
        <f t="shared" si="4"/>
        <v>2020+29</v>
      </c>
      <c r="G62" s="74">
        <f t="shared" si="0"/>
        <v>2202.4978839251498</v>
      </c>
      <c r="H62" s="80">
        <f t="shared" si="1"/>
        <v>0.11688737851386749</v>
      </c>
    </row>
    <row r="63" spans="2:8">
      <c r="B63" s="79">
        <v>2020</v>
      </c>
      <c r="C63">
        <v>2049</v>
      </c>
      <c r="D63">
        <f t="shared" si="2"/>
        <v>30</v>
      </c>
      <c r="E63" t="str">
        <f t="shared" si="3"/>
        <v>2020-2049</v>
      </c>
      <c r="F63" s="93" t="str">
        <f t="shared" si="4"/>
        <v>2020+30</v>
      </c>
      <c r="G63" s="74">
        <f t="shared" si="0"/>
        <v>2160.4390906864637</v>
      </c>
      <c r="H63" s="80">
        <f t="shared" si="1"/>
        <v>0.11465530277794642</v>
      </c>
    </row>
    <row r="64" spans="2:8">
      <c r="B64" s="93">
        <v>2021</v>
      </c>
      <c r="C64" s="93">
        <v>2021</v>
      </c>
      <c r="D64" s="93">
        <f t="shared" si="2"/>
        <v>1</v>
      </c>
      <c r="E64" s="93" t="str">
        <f t="shared" si="3"/>
        <v>2021-2021</v>
      </c>
      <c r="F64" s="93" t="str">
        <f t="shared" si="4"/>
        <v>2021+01</v>
      </c>
      <c r="G64" s="76">
        <f t="shared" si="0"/>
        <v>3552.7949990542552</v>
      </c>
      <c r="H64" s="77">
        <f t="shared" si="1"/>
        <v>0.18854814656918104</v>
      </c>
    </row>
    <row r="65" spans="2:8">
      <c r="B65" s="79">
        <v>2021</v>
      </c>
      <c r="C65">
        <v>2022</v>
      </c>
      <c r="D65">
        <f t="shared" si="2"/>
        <v>2</v>
      </c>
      <c r="E65" t="str">
        <f t="shared" si="3"/>
        <v>2021-2022</v>
      </c>
      <c r="F65" s="93" t="str">
        <f t="shared" si="4"/>
        <v>2021+02</v>
      </c>
      <c r="G65" s="74">
        <f t="shared" si="0"/>
        <v>3510.3010893477672</v>
      </c>
      <c r="H65" s="80">
        <f t="shared" si="1"/>
        <v>0.18629297904114489</v>
      </c>
    </row>
    <row r="66" spans="2:8">
      <c r="B66" s="79">
        <v>2021</v>
      </c>
      <c r="C66">
        <v>2023</v>
      </c>
      <c r="D66">
        <f t="shared" si="2"/>
        <v>3</v>
      </c>
      <c r="E66" t="str">
        <f t="shared" si="3"/>
        <v>2021-2023</v>
      </c>
      <c r="F66" s="93" t="str">
        <f t="shared" si="4"/>
        <v>2021+03</v>
      </c>
      <c r="G66" s="74">
        <f t="shared" si="0"/>
        <v>3415.4696787257526</v>
      </c>
      <c r="H66" s="80">
        <f t="shared" si="1"/>
        <v>0.18126024095350365</v>
      </c>
    </row>
    <row r="67" spans="2:8">
      <c r="B67" s="79">
        <v>2021</v>
      </c>
      <c r="C67">
        <v>2024</v>
      </c>
      <c r="D67">
        <f t="shared" si="2"/>
        <v>4</v>
      </c>
      <c r="E67" t="str">
        <f t="shared" si="3"/>
        <v>2021-2024</v>
      </c>
      <c r="F67" s="93" t="str">
        <f t="shared" si="4"/>
        <v>2021+04</v>
      </c>
      <c r="G67" s="74">
        <f t="shared" ref="G67:G130" si="5">AVERAGEIFS(AF_Source_Energy_Btu_per_kWh,AnnualFactorYear,"&gt;="&amp;$B67,AnnualFactorYear,"&lt;="&amp;$C67)</f>
        <v>3399.276331762223</v>
      </c>
      <c r="H67" s="80">
        <f t="shared" ref="H67:H130" si="6">AVERAGEIFS(AF_Emissions_Intensity_metric_tonnes_per_MWh,AnnualFactorYear,"&gt;="&amp;$B67,AnnualFactorYear,"&lt;="&amp;$C67)</f>
        <v>0.18040085403206912</v>
      </c>
    </row>
    <row r="68" spans="2:8">
      <c r="B68" s="79">
        <v>2021</v>
      </c>
      <c r="C68">
        <v>2025</v>
      </c>
      <c r="D68">
        <f t="shared" ref="D68:D131" si="7">1+(C68-B68)</f>
        <v>5</v>
      </c>
      <c r="E68" t="str">
        <f t="shared" ref="E68:E131" si="8">B68&amp;"-"&amp;C68</f>
        <v>2021-2025</v>
      </c>
      <c r="F68" s="93" t="str">
        <f t="shared" ref="F68:F131" si="9">B68&amp;"+"&amp;TEXT(D68,"00")</f>
        <v>2021+05</v>
      </c>
      <c r="G68" s="74">
        <f t="shared" si="5"/>
        <v>3381.1520272539469</v>
      </c>
      <c r="H68" s="80">
        <f t="shared" si="6"/>
        <v>0.17943899047850059</v>
      </c>
    </row>
    <row r="69" spans="2:8">
      <c r="B69" s="79">
        <v>2021</v>
      </c>
      <c r="C69">
        <v>2026</v>
      </c>
      <c r="D69">
        <f t="shared" si="7"/>
        <v>6</v>
      </c>
      <c r="E69" t="str">
        <f t="shared" si="8"/>
        <v>2021-2026</v>
      </c>
      <c r="F69" s="93" t="str">
        <f t="shared" si="9"/>
        <v>2021+06</v>
      </c>
      <c r="G69" s="74">
        <f t="shared" si="5"/>
        <v>3369.0300794089312</v>
      </c>
      <c r="H69" s="80">
        <f t="shared" si="6"/>
        <v>0.17879567421634798</v>
      </c>
    </row>
    <row r="70" spans="2:8">
      <c r="B70" s="79">
        <v>2021</v>
      </c>
      <c r="C70">
        <v>2027</v>
      </c>
      <c r="D70">
        <f t="shared" si="7"/>
        <v>7</v>
      </c>
      <c r="E70" t="str">
        <f t="shared" si="8"/>
        <v>2021-2027</v>
      </c>
      <c r="F70" s="93" t="str">
        <f t="shared" si="9"/>
        <v>2021+07</v>
      </c>
      <c r="G70" s="74">
        <f t="shared" si="5"/>
        <v>3343.6960970893538</v>
      </c>
      <c r="H70" s="80">
        <f t="shared" si="6"/>
        <v>0.1774511903908404</v>
      </c>
    </row>
    <row r="71" spans="2:8">
      <c r="B71" s="79">
        <v>2021</v>
      </c>
      <c r="C71">
        <v>2028</v>
      </c>
      <c r="D71">
        <f t="shared" si="7"/>
        <v>8</v>
      </c>
      <c r="E71" t="str">
        <f t="shared" si="8"/>
        <v>2021-2028</v>
      </c>
      <c r="F71" s="93" t="str">
        <f t="shared" si="9"/>
        <v>2021+08</v>
      </c>
      <c r="G71" s="74">
        <f t="shared" si="5"/>
        <v>3310.1045932231755</v>
      </c>
      <c r="H71" s="80">
        <f t="shared" si="6"/>
        <v>0.17566847683823592</v>
      </c>
    </row>
    <row r="72" spans="2:8">
      <c r="B72" s="79">
        <v>2021</v>
      </c>
      <c r="C72">
        <v>2029</v>
      </c>
      <c r="D72">
        <f t="shared" si="7"/>
        <v>9</v>
      </c>
      <c r="E72" t="str">
        <f t="shared" si="8"/>
        <v>2021-2029</v>
      </c>
      <c r="F72" s="93" t="str">
        <f t="shared" si="9"/>
        <v>2021+09</v>
      </c>
      <c r="G72" s="74">
        <f t="shared" si="5"/>
        <v>3256.2586581486303</v>
      </c>
      <c r="H72" s="80">
        <f t="shared" si="6"/>
        <v>0.17281085311908168</v>
      </c>
    </row>
    <row r="73" spans="2:8">
      <c r="B73" s="79">
        <v>2021</v>
      </c>
      <c r="C73">
        <v>2030</v>
      </c>
      <c r="D73">
        <f t="shared" si="7"/>
        <v>10</v>
      </c>
      <c r="E73" t="str">
        <f t="shared" si="8"/>
        <v>2021-2030</v>
      </c>
      <c r="F73" s="93" t="str">
        <f t="shared" si="9"/>
        <v>2021+10</v>
      </c>
      <c r="G73" s="74">
        <f t="shared" si="5"/>
        <v>3188.2346212282287</v>
      </c>
      <c r="H73" s="80">
        <f t="shared" si="6"/>
        <v>0.16920079228334264</v>
      </c>
    </row>
    <row r="74" spans="2:8">
      <c r="B74" s="79">
        <v>2021</v>
      </c>
      <c r="C74">
        <v>2031</v>
      </c>
      <c r="D74">
        <f t="shared" si="7"/>
        <v>11</v>
      </c>
      <c r="E74" t="str">
        <f t="shared" si="8"/>
        <v>2021-2031</v>
      </c>
      <c r="F74" s="93" t="str">
        <f t="shared" si="9"/>
        <v>2021+11</v>
      </c>
      <c r="G74" s="74">
        <f t="shared" si="5"/>
        <v>3124.9542890965754</v>
      </c>
      <c r="H74" s="80">
        <f t="shared" si="6"/>
        <v>0.16584248161782955</v>
      </c>
    </row>
    <row r="75" spans="2:8">
      <c r="B75" s="79">
        <v>2021</v>
      </c>
      <c r="C75">
        <v>2032</v>
      </c>
      <c r="D75">
        <f t="shared" si="7"/>
        <v>12</v>
      </c>
      <c r="E75" t="str">
        <f t="shared" si="8"/>
        <v>2021-2032</v>
      </c>
      <c r="F75" s="93" t="str">
        <f t="shared" si="9"/>
        <v>2021+12</v>
      </c>
      <c r="G75" s="74">
        <f t="shared" si="5"/>
        <v>3065.2317355564842</v>
      </c>
      <c r="H75" s="80">
        <f t="shared" si="6"/>
        <v>0.16267298357998597</v>
      </c>
    </row>
    <row r="76" spans="2:8">
      <c r="B76" s="79">
        <v>2021</v>
      </c>
      <c r="C76">
        <v>2033</v>
      </c>
      <c r="D76">
        <f t="shared" si="7"/>
        <v>13</v>
      </c>
      <c r="E76" t="str">
        <f t="shared" si="8"/>
        <v>2021-2033</v>
      </c>
      <c r="F76" s="93" t="str">
        <f t="shared" si="9"/>
        <v>2021+13</v>
      </c>
      <c r="G76" s="74">
        <f t="shared" si="5"/>
        <v>3005.1767533274947</v>
      </c>
      <c r="H76" s="80">
        <f t="shared" si="6"/>
        <v>0.15948584342848968</v>
      </c>
    </row>
    <row r="77" spans="2:8">
      <c r="B77" s="79">
        <v>2021</v>
      </c>
      <c r="C77">
        <v>2034</v>
      </c>
      <c r="D77">
        <f t="shared" si="7"/>
        <v>14</v>
      </c>
      <c r="E77" t="str">
        <f t="shared" si="8"/>
        <v>2021-2034</v>
      </c>
      <c r="F77" s="93" t="str">
        <f t="shared" si="9"/>
        <v>2021+14</v>
      </c>
      <c r="G77" s="74">
        <f t="shared" si="5"/>
        <v>2944.860577128657</v>
      </c>
      <c r="H77" s="80">
        <f t="shared" si="6"/>
        <v>0.15628484161626627</v>
      </c>
    </row>
    <row r="78" spans="2:8">
      <c r="B78" s="79">
        <v>2021</v>
      </c>
      <c r="C78">
        <v>2035</v>
      </c>
      <c r="D78">
        <f t="shared" si="7"/>
        <v>15</v>
      </c>
      <c r="E78" t="str">
        <f t="shared" si="8"/>
        <v>2021-2035</v>
      </c>
      <c r="F78" s="93" t="str">
        <f t="shared" si="9"/>
        <v>2021+15</v>
      </c>
      <c r="G78" s="74">
        <f t="shared" si="5"/>
        <v>2884.3354457539413</v>
      </c>
      <c r="H78" s="80">
        <f t="shared" si="6"/>
        <v>0.15307275047546118</v>
      </c>
    </row>
    <row r="79" spans="2:8">
      <c r="B79" s="79">
        <v>2021</v>
      </c>
      <c r="C79">
        <v>2036</v>
      </c>
      <c r="D79">
        <f t="shared" si="7"/>
        <v>16</v>
      </c>
      <c r="E79" t="str">
        <f t="shared" si="8"/>
        <v>2021-2036</v>
      </c>
      <c r="F79" s="93" t="str">
        <f t="shared" si="9"/>
        <v>2021+16</v>
      </c>
      <c r="G79" s="74">
        <f t="shared" si="5"/>
        <v>2824.0417917083405</v>
      </c>
      <c r="H79" s="80">
        <f t="shared" si="6"/>
        <v>0.14987294392225234</v>
      </c>
    </row>
    <row r="80" spans="2:8">
      <c r="B80" s="79">
        <v>2021</v>
      </c>
      <c r="C80">
        <v>2037</v>
      </c>
      <c r="D80">
        <f t="shared" si="7"/>
        <v>17</v>
      </c>
      <c r="E80" t="str">
        <f t="shared" si="8"/>
        <v>2021-2037</v>
      </c>
      <c r="F80" s="93" t="str">
        <f t="shared" si="9"/>
        <v>2021+17</v>
      </c>
      <c r="G80" s="74">
        <f t="shared" si="5"/>
        <v>2763.9387660514226</v>
      </c>
      <c r="H80" s="80">
        <f t="shared" si="6"/>
        <v>0.1466832540882404</v>
      </c>
    </row>
    <row r="81" spans="2:8">
      <c r="B81" s="79">
        <v>2021</v>
      </c>
      <c r="C81">
        <v>2038</v>
      </c>
      <c r="D81">
        <f t="shared" si="7"/>
        <v>18</v>
      </c>
      <c r="E81" t="str">
        <f t="shared" si="8"/>
        <v>2021-2038</v>
      </c>
      <c r="F81" s="93" t="str">
        <f t="shared" si="9"/>
        <v>2021+18</v>
      </c>
      <c r="G81" s="74">
        <f t="shared" si="5"/>
        <v>2703.994597385074</v>
      </c>
      <c r="H81" s="80">
        <f t="shared" si="6"/>
        <v>0.14350199485355924</v>
      </c>
    </row>
    <row r="82" spans="2:8">
      <c r="B82" s="79">
        <v>2021</v>
      </c>
      <c r="C82">
        <v>2039</v>
      </c>
      <c r="D82">
        <f t="shared" si="7"/>
        <v>19</v>
      </c>
      <c r="E82" t="str">
        <f t="shared" si="8"/>
        <v>2021-2039</v>
      </c>
      <c r="F82" s="93" t="str">
        <f t="shared" si="9"/>
        <v>2021+19</v>
      </c>
      <c r="G82" s="74">
        <f t="shared" si="5"/>
        <v>2644.1842030265725</v>
      </c>
      <c r="H82" s="80">
        <f t="shared" si="6"/>
        <v>0.14032783507094607</v>
      </c>
    </row>
    <row r="83" spans="2:8">
      <c r="B83" s="79">
        <v>2021</v>
      </c>
      <c r="C83">
        <v>2040</v>
      </c>
      <c r="D83">
        <f t="shared" si="7"/>
        <v>20</v>
      </c>
      <c r="E83" t="str">
        <f t="shared" si="8"/>
        <v>2021-2040</v>
      </c>
      <c r="F83" s="93" t="str">
        <f t="shared" si="9"/>
        <v>2021+20</v>
      </c>
      <c r="G83" s="74">
        <f t="shared" si="5"/>
        <v>2584.4875168297417</v>
      </c>
      <c r="H83" s="80">
        <f t="shared" si="6"/>
        <v>0.13715970982259071</v>
      </c>
    </row>
    <row r="84" spans="2:8">
      <c r="B84" s="79">
        <v>2021</v>
      </c>
      <c r="C84">
        <v>2041</v>
      </c>
      <c r="D84">
        <f t="shared" si="7"/>
        <v>21</v>
      </c>
      <c r="E84" t="str">
        <f t="shared" si="8"/>
        <v>2021-2041</v>
      </c>
      <c r="F84" s="93" t="str">
        <f t="shared" si="9"/>
        <v>2021+21</v>
      </c>
      <c r="G84" s="74">
        <f t="shared" si="5"/>
        <v>2525.6236922485577</v>
      </c>
      <c r="H84" s="80">
        <f t="shared" si="6"/>
        <v>0.13403578484867296</v>
      </c>
    </row>
    <row r="85" spans="2:8">
      <c r="B85" s="79">
        <v>2021</v>
      </c>
      <c r="C85">
        <v>2042</v>
      </c>
      <c r="D85">
        <f t="shared" si="7"/>
        <v>22</v>
      </c>
      <c r="E85" t="str">
        <f t="shared" si="8"/>
        <v>2021-2042</v>
      </c>
      <c r="F85" s="93" t="str">
        <f t="shared" si="9"/>
        <v>2021+22</v>
      </c>
      <c r="G85" s="74">
        <f t="shared" si="5"/>
        <v>2467.4791572445233</v>
      </c>
      <c r="H85" s="80">
        <f t="shared" si="6"/>
        <v>0.13095003283904225</v>
      </c>
    </row>
    <row r="86" spans="2:8">
      <c r="B86" s="79">
        <v>2021</v>
      </c>
      <c r="C86">
        <v>2043</v>
      </c>
      <c r="D86">
        <f t="shared" si="7"/>
        <v>23</v>
      </c>
      <c r="E86" t="str">
        <f t="shared" si="8"/>
        <v>2021-2043</v>
      </c>
      <c r="F86" s="93" t="str">
        <f t="shared" si="9"/>
        <v>2021+23</v>
      </c>
      <c r="G86" s="74">
        <f t="shared" si="5"/>
        <v>2409.9600914380098</v>
      </c>
      <c r="H86" s="80">
        <f t="shared" si="6"/>
        <v>0.12789747471140028</v>
      </c>
    </row>
    <row r="87" spans="2:8">
      <c r="B87" s="79">
        <v>2021</v>
      </c>
      <c r="C87">
        <v>2044</v>
      </c>
      <c r="D87">
        <f t="shared" si="7"/>
        <v>24</v>
      </c>
      <c r="E87" t="str">
        <f t="shared" si="8"/>
        <v>2021-2044</v>
      </c>
      <c r="F87" s="93" t="str">
        <f t="shared" si="9"/>
        <v>2021+24</v>
      </c>
      <c r="G87" s="74">
        <f t="shared" si="5"/>
        <v>2352.9883111793279</v>
      </c>
      <c r="H87" s="80">
        <f t="shared" si="6"/>
        <v>0.12487396123049843</v>
      </c>
    </row>
    <row r="88" spans="2:8">
      <c r="B88" s="79">
        <v>2021</v>
      </c>
      <c r="C88">
        <v>2045</v>
      </c>
      <c r="D88">
        <f t="shared" si="7"/>
        <v>25</v>
      </c>
      <c r="E88" t="str">
        <f t="shared" si="8"/>
        <v>2021-2045</v>
      </c>
      <c r="F88" s="93" t="str">
        <f t="shared" si="9"/>
        <v>2021+25</v>
      </c>
      <c r="G88" s="74">
        <f t="shared" si="5"/>
        <v>2296.4981422027372</v>
      </c>
      <c r="H88" s="80">
        <f t="shared" si="6"/>
        <v>0.1218760070387279</v>
      </c>
    </row>
    <row r="89" spans="2:8">
      <c r="B89" s="79">
        <v>2021</v>
      </c>
      <c r="C89">
        <v>2046</v>
      </c>
      <c r="D89">
        <f t="shared" si="7"/>
        <v>26</v>
      </c>
      <c r="E89" t="str">
        <f t="shared" si="8"/>
        <v>2021-2046</v>
      </c>
      <c r="F89" s="93" t="str">
        <f t="shared" si="9"/>
        <v>2021+26</v>
      </c>
      <c r="G89" s="74">
        <f t="shared" si="5"/>
        <v>2244.3533708397304</v>
      </c>
      <c r="H89" s="80">
        <f t="shared" si="6"/>
        <v>0.11910866470786281</v>
      </c>
    </row>
    <row r="90" spans="2:8">
      <c r="B90" s="79">
        <v>2021</v>
      </c>
      <c r="C90">
        <v>2047</v>
      </c>
      <c r="D90">
        <f t="shared" si="7"/>
        <v>27</v>
      </c>
      <c r="E90" t="str">
        <f t="shared" si="8"/>
        <v>2021-2047</v>
      </c>
      <c r="F90" s="93" t="str">
        <f t="shared" si="9"/>
        <v>2021+27</v>
      </c>
      <c r="G90" s="74">
        <f t="shared" si="5"/>
        <v>2196.0711751332428</v>
      </c>
      <c r="H90" s="80">
        <f t="shared" si="6"/>
        <v>0.11654631069780254</v>
      </c>
    </row>
    <row r="91" spans="2:8">
      <c r="B91" s="79">
        <v>2021</v>
      </c>
      <c r="C91">
        <v>2048</v>
      </c>
      <c r="D91">
        <f t="shared" si="7"/>
        <v>28</v>
      </c>
      <c r="E91" t="str">
        <f t="shared" si="8"/>
        <v>2021-2048</v>
      </c>
      <c r="F91" s="93" t="str">
        <f t="shared" si="9"/>
        <v>2021+28</v>
      </c>
      <c r="G91" s="74">
        <f t="shared" si="5"/>
        <v>2151.2377076915041</v>
      </c>
      <c r="H91" s="80">
        <f t="shared" si="6"/>
        <v>0.11416698197417514</v>
      </c>
    </row>
    <row r="92" spans="2:8">
      <c r="B92" s="79">
        <v>2021</v>
      </c>
      <c r="C92">
        <v>2049</v>
      </c>
      <c r="D92">
        <f t="shared" si="7"/>
        <v>29</v>
      </c>
      <c r="E92" t="str">
        <f t="shared" si="8"/>
        <v>2021-2049</v>
      </c>
      <c r="F92" s="93" t="str">
        <f t="shared" si="9"/>
        <v>2021+29</v>
      </c>
      <c r="G92" s="74">
        <f t="shared" si="5"/>
        <v>2109.4962035216095</v>
      </c>
      <c r="H92" s="80">
        <f t="shared" si="6"/>
        <v>0.11195174488665997</v>
      </c>
    </row>
    <row r="93" spans="2:8">
      <c r="B93" s="93">
        <v>2022</v>
      </c>
      <c r="C93" s="93">
        <v>2022</v>
      </c>
      <c r="D93" s="93">
        <f t="shared" si="7"/>
        <v>1</v>
      </c>
      <c r="E93" s="93" t="str">
        <f t="shared" si="8"/>
        <v>2022-2022</v>
      </c>
      <c r="F93" s="93" t="str">
        <f t="shared" si="9"/>
        <v>2022+01</v>
      </c>
      <c r="G93" s="76">
        <f t="shared" si="5"/>
        <v>3467.8071796412792</v>
      </c>
      <c r="H93" s="77">
        <f t="shared" si="6"/>
        <v>0.18403781151310872</v>
      </c>
    </row>
    <row r="94" spans="2:8">
      <c r="B94" s="79">
        <v>2022</v>
      </c>
      <c r="C94">
        <v>2023</v>
      </c>
      <c r="D94">
        <f t="shared" si="7"/>
        <v>2</v>
      </c>
      <c r="E94" t="str">
        <f t="shared" si="8"/>
        <v>2022-2023</v>
      </c>
      <c r="F94" s="93" t="str">
        <f t="shared" si="9"/>
        <v>2022+02</v>
      </c>
      <c r="G94" s="74">
        <f t="shared" si="5"/>
        <v>3346.8070185615015</v>
      </c>
      <c r="H94" s="80">
        <f t="shared" si="6"/>
        <v>0.17761628814566491</v>
      </c>
    </row>
    <row r="95" spans="2:8">
      <c r="B95" s="79">
        <v>2022</v>
      </c>
      <c r="C95">
        <v>2024</v>
      </c>
      <c r="D95">
        <f t="shared" si="7"/>
        <v>3</v>
      </c>
      <c r="E95" t="str">
        <f t="shared" si="8"/>
        <v>2022-2024</v>
      </c>
      <c r="F95" s="93" t="str">
        <f t="shared" si="9"/>
        <v>2022+03</v>
      </c>
      <c r="G95" s="74">
        <f t="shared" si="5"/>
        <v>3348.1034426648789</v>
      </c>
      <c r="H95" s="80">
        <f t="shared" si="6"/>
        <v>0.17768508985303177</v>
      </c>
    </row>
    <row r="96" spans="2:8">
      <c r="B96" s="79">
        <v>2022</v>
      </c>
      <c r="C96">
        <v>2025</v>
      </c>
      <c r="D96">
        <f t="shared" si="7"/>
        <v>4</v>
      </c>
      <c r="E96" t="str">
        <f t="shared" si="8"/>
        <v>2022-2025</v>
      </c>
      <c r="F96" s="93" t="str">
        <f t="shared" si="9"/>
        <v>2022+04</v>
      </c>
      <c r="G96" s="74">
        <f t="shared" si="5"/>
        <v>3338.2412843038705</v>
      </c>
      <c r="H96" s="80">
        <f t="shared" si="6"/>
        <v>0.17716170145583043</v>
      </c>
    </row>
    <row r="97" spans="2:8">
      <c r="B97" s="79">
        <v>2022</v>
      </c>
      <c r="C97">
        <v>2026</v>
      </c>
      <c r="D97">
        <f t="shared" si="7"/>
        <v>5</v>
      </c>
      <c r="E97" t="str">
        <f t="shared" si="8"/>
        <v>2022-2026</v>
      </c>
      <c r="F97" s="93" t="str">
        <f t="shared" si="9"/>
        <v>2022+05</v>
      </c>
      <c r="G97" s="74">
        <f t="shared" si="5"/>
        <v>3332.2770954798675</v>
      </c>
      <c r="H97" s="80">
        <f t="shared" si="6"/>
        <v>0.17684517974578134</v>
      </c>
    </row>
    <row r="98" spans="2:8">
      <c r="B98" s="79">
        <v>2022</v>
      </c>
      <c r="C98">
        <v>2027</v>
      </c>
      <c r="D98">
        <f t="shared" si="7"/>
        <v>6</v>
      </c>
      <c r="E98" t="str">
        <f t="shared" si="8"/>
        <v>2022-2027</v>
      </c>
      <c r="F98" s="93" t="str">
        <f t="shared" si="9"/>
        <v>2022+06</v>
      </c>
      <c r="G98" s="74">
        <f t="shared" si="5"/>
        <v>3308.8462800952043</v>
      </c>
      <c r="H98" s="80">
        <f t="shared" si="6"/>
        <v>0.17560169769445025</v>
      </c>
    </row>
    <row r="99" spans="2:8">
      <c r="B99" s="79">
        <v>2022</v>
      </c>
      <c r="C99">
        <v>2028</v>
      </c>
      <c r="D99">
        <f t="shared" si="7"/>
        <v>7</v>
      </c>
      <c r="E99" t="str">
        <f t="shared" si="8"/>
        <v>2022-2028</v>
      </c>
      <c r="F99" s="93" t="str">
        <f t="shared" si="9"/>
        <v>2022+07</v>
      </c>
      <c r="G99" s="74">
        <f t="shared" si="5"/>
        <v>3275.4345352473074</v>
      </c>
      <c r="H99" s="80">
        <f t="shared" si="6"/>
        <v>0.17382852401952945</v>
      </c>
    </row>
    <row r="100" spans="2:8">
      <c r="B100" s="79">
        <v>2022</v>
      </c>
      <c r="C100">
        <v>2029</v>
      </c>
      <c r="D100">
        <f t="shared" si="7"/>
        <v>8</v>
      </c>
      <c r="E100" t="str">
        <f t="shared" si="8"/>
        <v>2022-2029</v>
      </c>
      <c r="F100" s="93" t="str">
        <f t="shared" si="9"/>
        <v>2022+08</v>
      </c>
      <c r="G100" s="74">
        <f t="shared" si="5"/>
        <v>3219.1916155354274</v>
      </c>
      <c r="H100" s="80">
        <f t="shared" si="6"/>
        <v>0.17084369143781925</v>
      </c>
    </row>
    <row r="101" spans="2:8">
      <c r="B101" s="79">
        <v>2022</v>
      </c>
      <c r="C101">
        <v>2030</v>
      </c>
      <c r="D101">
        <f t="shared" si="7"/>
        <v>9</v>
      </c>
      <c r="E101" t="str">
        <f t="shared" si="8"/>
        <v>2022-2030</v>
      </c>
      <c r="F101" s="93" t="str">
        <f t="shared" si="9"/>
        <v>2022+09</v>
      </c>
      <c r="G101" s="74">
        <f t="shared" si="5"/>
        <v>3147.7279125808923</v>
      </c>
      <c r="H101" s="80">
        <f t="shared" si="6"/>
        <v>0.1670510862515828</v>
      </c>
    </row>
    <row r="102" spans="2:8">
      <c r="B102" s="79">
        <v>2022</v>
      </c>
      <c r="C102">
        <v>2031</v>
      </c>
      <c r="D102">
        <f t="shared" si="7"/>
        <v>10</v>
      </c>
      <c r="E102" t="str">
        <f t="shared" si="8"/>
        <v>2022-2031</v>
      </c>
      <c r="F102" s="93" t="str">
        <f t="shared" si="9"/>
        <v>2022+10</v>
      </c>
      <c r="G102" s="74">
        <f t="shared" si="5"/>
        <v>3082.1702181008072</v>
      </c>
      <c r="H102" s="80">
        <f t="shared" si="6"/>
        <v>0.16357191512269439</v>
      </c>
    </row>
    <row r="103" spans="2:8">
      <c r="B103" s="79">
        <v>2022</v>
      </c>
      <c r="C103">
        <v>2032</v>
      </c>
      <c r="D103">
        <f t="shared" si="7"/>
        <v>11</v>
      </c>
      <c r="E103" t="str">
        <f t="shared" si="8"/>
        <v>2022-2032</v>
      </c>
      <c r="F103" s="93" t="str">
        <f t="shared" si="9"/>
        <v>2022+11</v>
      </c>
      <c r="G103" s="74">
        <f t="shared" si="5"/>
        <v>3020.9078025112317</v>
      </c>
      <c r="H103" s="80">
        <f t="shared" si="6"/>
        <v>0.16032069603551369</v>
      </c>
    </row>
    <row r="104" spans="2:8">
      <c r="B104" s="79">
        <v>2022</v>
      </c>
      <c r="C104">
        <v>2033</v>
      </c>
      <c r="D104">
        <f t="shared" si="7"/>
        <v>12</v>
      </c>
      <c r="E104" t="str">
        <f t="shared" si="8"/>
        <v>2022-2033</v>
      </c>
      <c r="F104" s="93" t="str">
        <f t="shared" si="9"/>
        <v>2022+12</v>
      </c>
      <c r="G104" s="74">
        <f t="shared" si="5"/>
        <v>2959.5418995169307</v>
      </c>
      <c r="H104" s="80">
        <f t="shared" si="6"/>
        <v>0.15706398483343206</v>
      </c>
    </row>
    <row r="105" spans="2:8">
      <c r="B105" s="79">
        <v>2022</v>
      </c>
      <c r="C105">
        <v>2034</v>
      </c>
      <c r="D105">
        <f t="shared" si="7"/>
        <v>13</v>
      </c>
      <c r="E105" t="str">
        <f t="shared" si="8"/>
        <v>2022-2034</v>
      </c>
      <c r="F105" s="93" t="str">
        <f t="shared" si="9"/>
        <v>2022+13</v>
      </c>
      <c r="G105" s="74">
        <f t="shared" si="5"/>
        <v>2898.0963908266876</v>
      </c>
      <c r="H105" s="80">
        <f t="shared" si="6"/>
        <v>0.15380304892758054</v>
      </c>
    </row>
    <row r="106" spans="2:8">
      <c r="B106" s="79">
        <v>2022</v>
      </c>
      <c r="C106">
        <v>2035</v>
      </c>
      <c r="D106">
        <f t="shared" si="7"/>
        <v>14</v>
      </c>
      <c r="E106" t="str">
        <f t="shared" si="8"/>
        <v>2022-2035</v>
      </c>
      <c r="F106" s="93" t="str">
        <f t="shared" si="9"/>
        <v>2022+14</v>
      </c>
      <c r="G106" s="74">
        <f t="shared" si="5"/>
        <v>2836.5883348039183</v>
      </c>
      <c r="H106" s="80">
        <f t="shared" si="6"/>
        <v>0.15053879361162406</v>
      </c>
    </row>
    <row r="107" spans="2:8">
      <c r="B107" s="79">
        <v>2022</v>
      </c>
      <c r="C107">
        <v>2036</v>
      </c>
      <c r="D107">
        <f t="shared" si="7"/>
        <v>15</v>
      </c>
      <c r="E107" t="str">
        <f t="shared" si="8"/>
        <v>2022-2036</v>
      </c>
      <c r="F107" s="93" t="str">
        <f t="shared" si="9"/>
        <v>2022+15</v>
      </c>
      <c r="G107" s="74">
        <f t="shared" si="5"/>
        <v>2775.4582445519459</v>
      </c>
      <c r="H107" s="80">
        <f t="shared" si="6"/>
        <v>0.14729459707912379</v>
      </c>
    </row>
    <row r="108" spans="2:8">
      <c r="B108" s="79">
        <v>2022</v>
      </c>
      <c r="C108">
        <v>2037</v>
      </c>
      <c r="D108">
        <f t="shared" si="7"/>
        <v>16</v>
      </c>
      <c r="E108" t="str">
        <f t="shared" si="8"/>
        <v>2022-2037</v>
      </c>
      <c r="F108" s="93" t="str">
        <f t="shared" si="9"/>
        <v>2022+16</v>
      </c>
      <c r="G108" s="74">
        <f t="shared" si="5"/>
        <v>2714.6352514887453</v>
      </c>
      <c r="H108" s="80">
        <f t="shared" si="6"/>
        <v>0.14406669830818164</v>
      </c>
    </row>
    <row r="109" spans="2:8">
      <c r="B109" s="79">
        <v>2022</v>
      </c>
      <c r="C109">
        <v>2038</v>
      </c>
      <c r="D109">
        <f t="shared" si="7"/>
        <v>17</v>
      </c>
      <c r="E109" t="str">
        <f t="shared" si="8"/>
        <v>2022-2038</v>
      </c>
      <c r="F109" s="93" t="str">
        <f t="shared" si="9"/>
        <v>2022+17</v>
      </c>
      <c r="G109" s="74">
        <f t="shared" si="5"/>
        <v>2654.0651619927689</v>
      </c>
      <c r="H109" s="80">
        <f t="shared" si="6"/>
        <v>0.14085222122322857</v>
      </c>
    </row>
    <row r="110" spans="2:8">
      <c r="B110" s="79">
        <v>2022</v>
      </c>
      <c r="C110">
        <v>2039</v>
      </c>
      <c r="D110">
        <f t="shared" si="7"/>
        <v>18</v>
      </c>
      <c r="E110" t="str">
        <f t="shared" si="8"/>
        <v>2022-2039</v>
      </c>
      <c r="F110" s="93" t="str">
        <f t="shared" si="9"/>
        <v>2022+18</v>
      </c>
      <c r="G110" s="74">
        <f t="shared" si="5"/>
        <v>2593.7058254694789</v>
      </c>
      <c r="H110" s="80">
        <f t="shared" si="6"/>
        <v>0.13764892887659971</v>
      </c>
    </row>
    <row r="111" spans="2:8">
      <c r="B111" s="79">
        <v>2022</v>
      </c>
      <c r="C111">
        <v>2040</v>
      </c>
      <c r="D111">
        <f t="shared" si="7"/>
        <v>19</v>
      </c>
      <c r="E111" t="str">
        <f t="shared" si="8"/>
        <v>2022-2040</v>
      </c>
      <c r="F111" s="93" t="str">
        <f t="shared" si="9"/>
        <v>2022+19</v>
      </c>
      <c r="G111" s="74">
        <f t="shared" si="5"/>
        <v>2533.5239651337142</v>
      </c>
      <c r="H111" s="80">
        <f t="shared" si="6"/>
        <v>0.1344550552569807</v>
      </c>
    </row>
    <row r="112" spans="2:8">
      <c r="B112" s="79">
        <v>2022</v>
      </c>
      <c r="C112">
        <v>2041</v>
      </c>
      <c r="D112">
        <f t="shared" si="7"/>
        <v>20</v>
      </c>
      <c r="E112" t="str">
        <f t="shared" si="8"/>
        <v>2022-2041</v>
      </c>
      <c r="F112" s="93" t="str">
        <f t="shared" si="9"/>
        <v>2022+20</v>
      </c>
      <c r="G112" s="74">
        <f t="shared" si="5"/>
        <v>2474.2651269082726</v>
      </c>
      <c r="H112" s="80">
        <f t="shared" si="6"/>
        <v>0.13131016676264756</v>
      </c>
    </row>
    <row r="113" spans="2:8">
      <c r="B113" s="79">
        <v>2022</v>
      </c>
      <c r="C113">
        <v>2042</v>
      </c>
      <c r="D113">
        <f t="shared" si="7"/>
        <v>21</v>
      </c>
      <c r="E113" t="str">
        <f t="shared" si="8"/>
        <v>2022-2042</v>
      </c>
      <c r="F113" s="93" t="str">
        <f t="shared" si="9"/>
        <v>2022+21</v>
      </c>
      <c r="G113" s="74">
        <f t="shared" si="5"/>
        <v>2415.7974504916788</v>
      </c>
      <c r="H113" s="80">
        <f t="shared" si="6"/>
        <v>0.12820726551855946</v>
      </c>
    </row>
    <row r="114" spans="2:8">
      <c r="B114" s="79">
        <v>2022</v>
      </c>
      <c r="C114">
        <v>2043</v>
      </c>
      <c r="D114">
        <f t="shared" si="7"/>
        <v>22</v>
      </c>
      <c r="E114" t="str">
        <f t="shared" si="8"/>
        <v>2022-2043</v>
      </c>
      <c r="F114" s="93" t="str">
        <f t="shared" si="9"/>
        <v>2022+22</v>
      </c>
      <c r="G114" s="74">
        <f t="shared" si="5"/>
        <v>2358.0130501827257</v>
      </c>
      <c r="H114" s="80">
        <f t="shared" si="6"/>
        <v>0.12514062599059209</v>
      </c>
    </row>
    <row r="115" spans="2:8">
      <c r="B115" s="79">
        <v>2022</v>
      </c>
      <c r="C115">
        <v>2044</v>
      </c>
      <c r="D115">
        <f t="shared" si="7"/>
        <v>23</v>
      </c>
      <c r="E115" t="str">
        <f t="shared" si="8"/>
        <v>2022-2044</v>
      </c>
      <c r="F115" s="93" t="str">
        <f t="shared" si="9"/>
        <v>2022+23</v>
      </c>
      <c r="G115" s="74">
        <f t="shared" si="5"/>
        <v>2300.8228030108526</v>
      </c>
      <c r="H115" s="80">
        <f t="shared" si="6"/>
        <v>0.12210551838968615</v>
      </c>
    </row>
    <row r="116" spans="2:8">
      <c r="B116" s="79">
        <v>2022</v>
      </c>
      <c r="C116">
        <v>2045</v>
      </c>
      <c r="D116">
        <f t="shared" si="7"/>
        <v>24</v>
      </c>
      <c r="E116" t="str">
        <f t="shared" si="8"/>
        <v>2022-2045</v>
      </c>
      <c r="F116" s="93" t="str">
        <f t="shared" si="9"/>
        <v>2022+24</v>
      </c>
      <c r="G116" s="74">
        <f t="shared" si="5"/>
        <v>2244.1524398339238</v>
      </c>
      <c r="H116" s="80">
        <f t="shared" si="6"/>
        <v>0.11909800122495905</v>
      </c>
    </row>
    <row r="117" spans="2:8">
      <c r="B117" s="79">
        <v>2022</v>
      </c>
      <c r="C117">
        <v>2046</v>
      </c>
      <c r="D117">
        <f t="shared" si="7"/>
        <v>25</v>
      </c>
      <c r="E117" t="str">
        <f t="shared" si="8"/>
        <v>2022-2046</v>
      </c>
      <c r="F117" s="93" t="str">
        <f t="shared" si="9"/>
        <v>2022+25</v>
      </c>
      <c r="G117" s="74">
        <f t="shared" si="5"/>
        <v>2192.0157057111492</v>
      </c>
      <c r="H117" s="80">
        <f t="shared" si="6"/>
        <v>0.1163310854334101</v>
      </c>
    </row>
    <row r="118" spans="2:8">
      <c r="B118" s="79">
        <v>2022</v>
      </c>
      <c r="C118">
        <v>2047</v>
      </c>
      <c r="D118">
        <f t="shared" si="7"/>
        <v>26</v>
      </c>
      <c r="E118" t="str">
        <f t="shared" si="8"/>
        <v>2022-2047</v>
      </c>
      <c r="F118" s="93" t="str">
        <f t="shared" si="9"/>
        <v>2022+26</v>
      </c>
      <c r="G118" s="74">
        <f t="shared" si="5"/>
        <v>2143.8894895978187</v>
      </c>
      <c r="H118" s="80">
        <f t="shared" si="6"/>
        <v>0.11377700931813414</v>
      </c>
    </row>
    <row r="119" spans="2:8">
      <c r="B119" s="79">
        <v>2022</v>
      </c>
      <c r="C119">
        <v>2048</v>
      </c>
      <c r="D119">
        <f t="shared" si="7"/>
        <v>27</v>
      </c>
      <c r="E119" t="str">
        <f t="shared" si="8"/>
        <v>2022-2048</v>
      </c>
      <c r="F119" s="93" t="str">
        <f t="shared" si="9"/>
        <v>2022+27</v>
      </c>
      <c r="G119" s="74">
        <f t="shared" si="5"/>
        <v>2099.3281783817724</v>
      </c>
      <c r="H119" s="80">
        <f t="shared" si="6"/>
        <v>0.11141212402621196</v>
      </c>
    </row>
    <row r="120" spans="2:8">
      <c r="B120" s="79">
        <v>2022</v>
      </c>
      <c r="C120">
        <v>2049</v>
      </c>
      <c r="D120">
        <f t="shared" si="7"/>
        <v>28</v>
      </c>
      <c r="E120" t="str">
        <f t="shared" si="8"/>
        <v>2022-2049</v>
      </c>
      <c r="F120" s="93" t="str">
        <f t="shared" si="9"/>
        <v>2022+28</v>
      </c>
      <c r="G120" s="74">
        <f t="shared" si="5"/>
        <v>2057.9498179668722</v>
      </c>
      <c r="H120" s="80">
        <f t="shared" si="6"/>
        <v>0.10921615911228423</v>
      </c>
    </row>
    <row r="121" spans="2:8">
      <c r="B121" s="93">
        <v>2023</v>
      </c>
      <c r="C121" s="93">
        <v>2023</v>
      </c>
      <c r="D121" s="93">
        <f t="shared" si="7"/>
        <v>1</v>
      </c>
      <c r="E121" s="93" t="str">
        <f t="shared" si="8"/>
        <v>2023-2023</v>
      </c>
      <c r="F121" s="93" t="str">
        <f t="shared" si="9"/>
        <v>2023+01</v>
      </c>
      <c r="G121" s="76">
        <f t="shared" si="5"/>
        <v>3225.8068574817244</v>
      </c>
      <c r="H121" s="77">
        <f t="shared" si="6"/>
        <v>0.1711947647782211</v>
      </c>
    </row>
    <row r="122" spans="2:8">
      <c r="B122" s="79">
        <v>2023</v>
      </c>
      <c r="C122">
        <v>2024</v>
      </c>
      <c r="D122">
        <f t="shared" si="7"/>
        <v>2</v>
      </c>
      <c r="E122" t="str">
        <f t="shared" si="8"/>
        <v>2023-2024</v>
      </c>
      <c r="F122" s="93" t="str">
        <f t="shared" si="9"/>
        <v>2023+02</v>
      </c>
      <c r="G122" s="74">
        <f t="shared" si="5"/>
        <v>3288.2515741766792</v>
      </c>
      <c r="H122" s="80">
        <f t="shared" si="6"/>
        <v>0.1745087290229933</v>
      </c>
    </row>
    <row r="123" spans="2:8">
      <c r="B123" s="79">
        <v>2023</v>
      </c>
      <c r="C123">
        <v>2025</v>
      </c>
      <c r="D123">
        <f t="shared" si="7"/>
        <v>3</v>
      </c>
      <c r="E123" t="str">
        <f t="shared" si="8"/>
        <v>2023-2025</v>
      </c>
      <c r="F123" s="93" t="str">
        <f t="shared" si="9"/>
        <v>2023+03</v>
      </c>
      <c r="G123" s="74">
        <f t="shared" si="5"/>
        <v>3295.0526525247346</v>
      </c>
      <c r="H123" s="80">
        <f t="shared" si="6"/>
        <v>0.17486966477007101</v>
      </c>
    </row>
    <row r="124" spans="2:8">
      <c r="B124" s="79">
        <v>2023</v>
      </c>
      <c r="C124">
        <v>2026</v>
      </c>
      <c r="D124">
        <f t="shared" si="7"/>
        <v>4</v>
      </c>
      <c r="E124" t="str">
        <f t="shared" si="8"/>
        <v>2023-2026</v>
      </c>
      <c r="F124" s="93" t="str">
        <f t="shared" si="9"/>
        <v>2023+04</v>
      </c>
      <c r="G124" s="74">
        <f t="shared" si="5"/>
        <v>3298.3945744395141</v>
      </c>
      <c r="H124" s="80">
        <f t="shared" si="6"/>
        <v>0.17504702180394952</v>
      </c>
    </row>
    <row r="125" spans="2:8">
      <c r="B125" s="79">
        <v>2023</v>
      </c>
      <c r="C125">
        <v>2027</v>
      </c>
      <c r="D125">
        <f t="shared" si="7"/>
        <v>5</v>
      </c>
      <c r="E125" t="str">
        <f t="shared" si="8"/>
        <v>2023-2027</v>
      </c>
      <c r="F125" s="93" t="str">
        <f t="shared" si="9"/>
        <v>2023+05</v>
      </c>
      <c r="G125" s="74">
        <f t="shared" si="5"/>
        <v>3277.0541001859892</v>
      </c>
      <c r="H125" s="80">
        <f t="shared" si="6"/>
        <v>0.17391447493071857</v>
      </c>
    </row>
    <row r="126" spans="2:8">
      <c r="B126" s="79">
        <v>2023</v>
      </c>
      <c r="C126">
        <v>2028</v>
      </c>
      <c r="D126">
        <f t="shared" si="7"/>
        <v>6</v>
      </c>
      <c r="E126" t="str">
        <f t="shared" si="8"/>
        <v>2023-2028</v>
      </c>
      <c r="F126" s="93" t="str">
        <f t="shared" si="9"/>
        <v>2023+06</v>
      </c>
      <c r="G126" s="74">
        <f t="shared" si="5"/>
        <v>3243.3724278483119</v>
      </c>
      <c r="H126" s="80">
        <f t="shared" si="6"/>
        <v>0.1721269761039329</v>
      </c>
    </row>
    <row r="127" spans="2:8">
      <c r="B127" s="79">
        <v>2023</v>
      </c>
      <c r="C127">
        <v>2029</v>
      </c>
      <c r="D127">
        <f t="shared" si="7"/>
        <v>7</v>
      </c>
      <c r="E127" t="str">
        <f t="shared" si="8"/>
        <v>2023-2029</v>
      </c>
      <c r="F127" s="93" t="str">
        <f t="shared" si="9"/>
        <v>2023+07</v>
      </c>
      <c r="G127" s="74">
        <f t="shared" si="5"/>
        <v>3183.6751063774491</v>
      </c>
      <c r="H127" s="80">
        <f t="shared" si="6"/>
        <v>0.16895881714134933</v>
      </c>
    </row>
    <row r="128" spans="2:8">
      <c r="B128" s="79">
        <v>2023</v>
      </c>
      <c r="C128">
        <v>2030</v>
      </c>
      <c r="D128">
        <f t="shared" si="7"/>
        <v>8</v>
      </c>
      <c r="E128" t="str">
        <f t="shared" si="8"/>
        <v>2023-2030</v>
      </c>
      <c r="F128" s="93" t="str">
        <f t="shared" si="9"/>
        <v>2023+08</v>
      </c>
      <c r="G128" s="74">
        <f t="shared" si="5"/>
        <v>3107.7180041983443</v>
      </c>
      <c r="H128" s="80">
        <f t="shared" si="6"/>
        <v>0.16492774559389206</v>
      </c>
    </row>
    <row r="129" spans="2:8">
      <c r="B129" s="79">
        <v>2023</v>
      </c>
      <c r="C129">
        <v>2031</v>
      </c>
      <c r="D129">
        <f t="shared" si="7"/>
        <v>9</v>
      </c>
      <c r="E129" t="str">
        <f t="shared" si="8"/>
        <v>2023-2031</v>
      </c>
      <c r="F129" s="93" t="str">
        <f t="shared" si="9"/>
        <v>2023+09</v>
      </c>
      <c r="G129" s="74">
        <f t="shared" si="5"/>
        <v>3039.3216668185328</v>
      </c>
      <c r="H129" s="80">
        <f t="shared" si="6"/>
        <v>0.16129792663487058</v>
      </c>
    </row>
    <row r="130" spans="2:8">
      <c r="B130" s="79">
        <v>2023</v>
      </c>
      <c r="C130">
        <v>2032</v>
      </c>
      <c r="D130">
        <f t="shared" si="7"/>
        <v>10</v>
      </c>
      <c r="E130" t="str">
        <f t="shared" si="8"/>
        <v>2023-2032</v>
      </c>
      <c r="F130" s="93" t="str">
        <f t="shared" si="9"/>
        <v>2023+10</v>
      </c>
      <c r="G130" s="74">
        <f t="shared" si="5"/>
        <v>2976.2178647982269</v>
      </c>
      <c r="H130" s="80">
        <f t="shared" si="6"/>
        <v>0.15794898448775418</v>
      </c>
    </row>
    <row r="131" spans="2:8">
      <c r="B131" s="79">
        <v>2023</v>
      </c>
      <c r="C131">
        <v>2033</v>
      </c>
      <c r="D131">
        <f t="shared" si="7"/>
        <v>11</v>
      </c>
      <c r="E131" t="str">
        <f t="shared" si="8"/>
        <v>2023-2033</v>
      </c>
      <c r="F131" s="93" t="str">
        <f t="shared" si="9"/>
        <v>2023+11</v>
      </c>
      <c r="G131" s="74">
        <f t="shared" ref="G131:G194" si="10">AVERAGEIFS(AF_Source_Energy_Btu_per_kWh,AnnualFactorYear,"&gt;="&amp;$B131,AnnualFactorYear,"&lt;="&amp;$C131)</f>
        <v>2913.3359649601721</v>
      </c>
      <c r="H131" s="80">
        <f t="shared" ref="H131:H194" si="11">AVERAGEIFS(AF_Emissions_Intensity_metric_tonnes_per_MWh,AnnualFactorYear,"&gt;="&amp;$B131,AnnualFactorYear,"&lt;="&amp;$C131)</f>
        <v>0.15461181877164329</v>
      </c>
    </row>
    <row r="132" spans="2:8">
      <c r="B132" s="79">
        <v>2023</v>
      </c>
      <c r="C132">
        <v>2034</v>
      </c>
      <c r="D132">
        <f t="shared" ref="D132:D195" si="12">1+(C132-B132)</f>
        <v>12</v>
      </c>
      <c r="E132" t="str">
        <f t="shared" ref="E132:E195" si="13">B132&amp;"-"&amp;C132</f>
        <v>2023-2034</v>
      </c>
      <c r="F132" s="93" t="str">
        <f t="shared" ref="F132:F195" si="14">B132&amp;"+"&amp;TEXT(D132,"00")</f>
        <v>2023+12</v>
      </c>
      <c r="G132" s="74">
        <f t="shared" si="10"/>
        <v>2850.6204917588057</v>
      </c>
      <c r="H132" s="80">
        <f t="shared" si="11"/>
        <v>0.15128348537878653</v>
      </c>
    </row>
    <row r="133" spans="2:8">
      <c r="B133" s="79">
        <v>2023</v>
      </c>
      <c r="C133">
        <v>2035</v>
      </c>
      <c r="D133">
        <f t="shared" si="12"/>
        <v>13</v>
      </c>
      <c r="E133" t="str">
        <f t="shared" si="13"/>
        <v>2023-2035</v>
      </c>
      <c r="F133" s="93" t="str">
        <f t="shared" si="14"/>
        <v>2023+13</v>
      </c>
      <c r="G133" s="74">
        <f t="shared" si="10"/>
        <v>2788.0330390471991</v>
      </c>
      <c r="H133" s="80">
        <f t="shared" si="11"/>
        <v>0.14796194608074062</v>
      </c>
    </row>
    <row r="134" spans="2:8">
      <c r="B134" s="79">
        <v>2023</v>
      </c>
      <c r="C134">
        <v>2036</v>
      </c>
      <c r="D134">
        <f t="shared" si="12"/>
        <v>14</v>
      </c>
      <c r="E134" t="str">
        <f t="shared" si="13"/>
        <v>2023-2036</v>
      </c>
      <c r="F134" s="93" t="str">
        <f t="shared" si="14"/>
        <v>2023+14</v>
      </c>
      <c r="G134" s="74">
        <f t="shared" si="10"/>
        <v>2726.0047491884225</v>
      </c>
      <c r="H134" s="80">
        <f t="shared" si="11"/>
        <v>0.14467008176241053</v>
      </c>
    </row>
    <row r="135" spans="2:8">
      <c r="B135" s="79">
        <v>2023</v>
      </c>
      <c r="C135">
        <v>2037</v>
      </c>
      <c r="D135">
        <f t="shared" si="12"/>
        <v>15</v>
      </c>
      <c r="E135" t="str">
        <f t="shared" si="13"/>
        <v>2023-2037</v>
      </c>
      <c r="F135" s="93" t="str">
        <f t="shared" si="14"/>
        <v>2023+15</v>
      </c>
      <c r="G135" s="74">
        <f t="shared" si="10"/>
        <v>2664.4237896119103</v>
      </c>
      <c r="H135" s="80">
        <f t="shared" si="11"/>
        <v>0.14140195742785314</v>
      </c>
    </row>
    <row r="136" spans="2:8">
      <c r="B136" s="79">
        <v>2023</v>
      </c>
      <c r="C136">
        <v>2038</v>
      </c>
      <c r="D136">
        <f t="shared" si="12"/>
        <v>16</v>
      </c>
      <c r="E136" t="str">
        <f t="shared" si="13"/>
        <v>2023-2038</v>
      </c>
      <c r="F136" s="93" t="str">
        <f t="shared" si="14"/>
        <v>2023+16</v>
      </c>
      <c r="G136" s="74">
        <f t="shared" si="10"/>
        <v>2603.2062858897375</v>
      </c>
      <c r="H136" s="80">
        <f t="shared" si="11"/>
        <v>0.13815312183011103</v>
      </c>
    </row>
    <row r="137" spans="2:8">
      <c r="B137" s="79">
        <v>2023</v>
      </c>
      <c r="C137">
        <v>2039</v>
      </c>
      <c r="D137">
        <f t="shared" si="12"/>
        <v>17</v>
      </c>
      <c r="E137" t="str">
        <f t="shared" si="13"/>
        <v>2023-2039</v>
      </c>
      <c r="F137" s="93" t="str">
        <f t="shared" si="14"/>
        <v>2023+17</v>
      </c>
      <c r="G137" s="74">
        <f t="shared" si="10"/>
        <v>2542.2880987534913</v>
      </c>
      <c r="H137" s="80">
        <f t="shared" si="11"/>
        <v>0.13492017107445209</v>
      </c>
    </row>
    <row r="138" spans="2:8">
      <c r="B138" s="79">
        <v>2023</v>
      </c>
      <c r="C138">
        <v>2040</v>
      </c>
      <c r="D138">
        <f t="shared" si="12"/>
        <v>18</v>
      </c>
      <c r="E138" t="str">
        <f t="shared" si="13"/>
        <v>2023-2040</v>
      </c>
      <c r="F138" s="93" t="str">
        <f t="shared" si="14"/>
        <v>2023+18</v>
      </c>
      <c r="G138" s="74">
        <f t="shared" si="10"/>
        <v>2481.6193421055168</v>
      </c>
      <c r="H138" s="80">
        <f t="shared" si="11"/>
        <v>0.13170045768719579</v>
      </c>
    </row>
    <row r="139" spans="2:8">
      <c r="B139" s="79">
        <v>2023</v>
      </c>
      <c r="C139">
        <v>2041</v>
      </c>
      <c r="D139">
        <f t="shared" si="12"/>
        <v>19</v>
      </c>
      <c r="E139" t="str">
        <f t="shared" si="13"/>
        <v>2023-2041</v>
      </c>
      <c r="F139" s="93" t="str">
        <f t="shared" si="14"/>
        <v>2023+19</v>
      </c>
      <c r="G139" s="74">
        <f t="shared" si="10"/>
        <v>2421.9734399223253</v>
      </c>
      <c r="H139" s="80">
        <f t="shared" si="11"/>
        <v>0.12853502756525487</v>
      </c>
    </row>
    <row r="140" spans="2:8">
      <c r="B140" s="79">
        <v>2023</v>
      </c>
      <c r="C140">
        <v>2042</v>
      </c>
      <c r="D140">
        <f t="shared" si="12"/>
        <v>20</v>
      </c>
      <c r="E140" t="str">
        <f t="shared" si="13"/>
        <v>2023-2042</v>
      </c>
      <c r="F140" s="93" t="str">
        <f t="shared" si="14"/>
        <v>2023+20</v>
      </c>
      <c r="G140" s="74">
        <f t="shared" si="10"/>
        <v>2363.196964034199</v>
      </c>
      <c r="H140" s="80">
        <f t="shared" si="11"/>
        <v>0.12541573821883198</v>
      </c>
    </row>
    <row r="141" spans="2:8">
      <c r="B141" s="79">
        <v>2023</v>
      </c>
      <c r="C141">
        <v>2043</v>
      </c>
      <c r="D141">
        <f t="shared" si="12"/>
        <v>21</v>
      </c>
      <c r="E141" t="str">
        <f t="shared" si="13"/>
        <v>2023-2043</v>
      </c>
      <c r="F141" s="93" t="str">
        <f t="shared" si="14"/>
        <v>2023+21</v>
      </c>
      <c r="G141" s="74">
        <f t="shared" si="10"/>
        <v>2305.1657106847001</v>
      </c>
      <c r="H141" s="80">
        <f t="shared" si="11"/>
        <v>0.12233599810856746</v>
      </c>
    </row>
    <row r="142" spans="2:8">
      <c r="B142" s="79">
        <v>2023</v>
      </c>
      <c r="C142">
        <v>2044</v>
      </c>
      <c r="D142">
        <f t="shared" si="12"/>
        <v>22</v>
      </c>
      <c r="E142" t="str">
        <f t="shared" si="13"/>
        <v>2023-2044</v>
      </c>
      <c r="F142" s="93" t="str">
        <f t="shared" si="14"/>
        <v>2023+22</v>
      </c>
      <c r="G142" s="74">
        <f t="shared" si="10"/>
        <v>2247.7780586185609</v>
      </c>
      <c r="H142" s="80">
        <f t="shared" si="11"/>
        <v>0.11929041415680329</v>
      </c>
    </row>
    <row r="143" spans="2:8">
      <c r="B143" s="79">
        <v>2023</v>
      </c>
      <c r="C143">
        <v>2045</v>
      </c>
      <c r="D143">
        <f t="shared" si="12"/>
        <v>23</v>
      </c>
      <c r="E143" t="str">
        <f t="shared" si="13"/>
        <v>2023-2045</v>
      </c>
      <c r="F143" s="93" t="str">
        <f t="shared" si="14"/>
        <v>2023+23</v>
      </c>
      <c r="G143" s="74">
        <f t="shared" si="10"/>
        <v>2190.9500598423001</v>
      </c>
      <c r="H143" s="80">
        <f t="shared" si="11"/>
        <v>0.11627453121243078</v>
      </c>
    </row>
    <row r="144" spans="2:8">
      <c r="B144" s="79">
        <v>2023</v>
      </c>
      <c r="C144">
        <v>2046</v>
      </c>
      <c r="D144">
        <f t="shared" si="12"/>
        <v>24</v>
      </c>
      <c r="E144" t="str">
        <f t="shared" si="13"/>
        <v>2023-2046</v>
      </c>
      <c r="F144" s="93" t="str">
        <f t="shared" si="14"/>
        <v>2023+24</v>
      </c>
      <c r="G144" s="74">
        <f t="shared" si="10"/>
        <v>2138.8577276307274</v>
      </c>
      <c r="H144" s="80">
        <f t="shared" si="11"/>
        <v>0.11350997184675597</v>
      </c>
    </row>
    <row r="145" spans="2:8">
      <c r="B145" s="79">
        <v>2023</v>
      </c>
      <c r="C145">
        <v>2047</v>
      </c>
      <c r="D145">
        <f t="shared" si="12"/>
        <v>25</v>
      </c>
      <c r="E145" t="str">
        <f t="shared" si="13"/>
        <v>2023-2047</v>
      </c>
      <c r="F145" s="93" t="str">
        <f t="shared" si="14"/>
        <v>2023+25</v>
      </c>
      <c r="G145" s="74">
        <f t="shared" si="10"/>
        <v>2090.9327819960808</v>
      </c>
      <c r="H145" s="80">
        <f t="shared" si="11"/>
        <v>0.11096657723033515</v>
      </c>
    </row>
    <row r="146" spans="2:8">
      <c r="B146" s="79">
        <v>2023</v>
      </c>
      <c r="C146">
        <v>2048</v>
      </c>
      <c r="D146">
        <f t="shared" si="12"/>
        <v>26</v>
      </c>
      <c r="E146" t="str">
        <f t="shared" si="13"/>
        <v>2023-2048</v>
      </c>
      <c r="F146" s="93" t="str">
        <f t="shared" si="14"/>
        <v>2023+26</v>
      </c>
      <c r="G146" s="74">
        <f t="shared" si="10"/>
        <v>2046.6943706410225</v>
      </c>
      <c r="H146" s="80">
        <f t="shared" si="11"/>
        <v>0.10861882835363899</v>
      </c>
    </row>
    <row r="147" spans="2:8">
      <c r="B147" s="79">
        <v>2023</v>
      </c>
      <c r="C147">
        <v>2049</v>
      </c>
      <c r="D147">
        <f t="shared" si="12"/>
        <v>27</v>
      </c>
      <c r="E147" t="str">
        <f t="shared" si="13"/>
        <v>2023-2049</v>
      </c>
      <c r="F147" s="93" t="str">
        <f t="shared" si="14"/>
        <v>2023+27</v>
      </c>
      <c r="G147" s="74">
        <f t="shared" si="10"/>
        <v>2005.732878645598</v>
      </c>
      <c r="H147" s="80">
        <f t="shared" si="11"/>
        <v>0.10644498680114257</v>
      </c>
    </row>
    <row r="148" spans="2:8">
      <c r="B148" s="93">
        <v>2024</v>
      </c>
      <c r="C148" s="93">
        <v>2024</v>
      </c>
      <c r="D148" s="93">
        <f t="shared" si="12"/>
        <v>1</v>
      </c>
      <c r="E148" s="93" t="str">
        <f t="shared" si="13"/>
        <v>2024-2024</v>
      </c>
      <c r="F148" s="93" t="str">
        <f t="shared" si="14"/>
        <v>2024+01</v>
      </c>
      <c r="G148" s="76">
        <f t="shared" si="10"/>
        <v>3350.6962908716346</v>
      </c>
      <c r="H148" s="77">
        <f t="shared" si="11"/>
        <v>0.17782269326776554</v>
      </c>
    </row>
    <row r="149" spans="2:8">
      <c r="B149" s="79">
        <v>2024</v>
      </c>
      <c r="C149">
        <v>2025</v>
      </c>
      <c r="D149">
        <f t="shared" si="12"/>
        <v>2</v>
      </c>
      <c r="E149" t="str">
        <f t="shared" si="13"/>
        <v>2024-2025</v>
      </c>
      <c r="F149" s="93" t="str">
        <f t="shared" si="14"/>
        <v>2024+02</v>
      </c>
      <c r="G149" s="74">
        <f t="shared" si="10"/>
        <v>3329.6755500462396</v>
      </c>
      <c r="H149" s="80">
        <f t="shared" si="11"/>
        <v>0.17670711476599599</v>
      </c>
    </row>
    <row r="150" spans="2:8">
      <c r="B150" s="79">
        <v>2024</v>
      </c>
      <c r="C150">
        <v>2026</v>
      </c>
      <c r="D150">
        <f t="shared" si="12"/>
        <v>3</v>
      </c>
      <c r="E150" t="str">
        <f t="shared" si="13"/>
        <v>2024-2026</v>
      </c>
      <c r="F150" s="93" t="str">
        <f t="shared" si="14"/>
        <v>2024+03</v>
      </c>
      <c r="G150" s="74">
        <f t="shared" si="10"/>
        <v>3322.5904800921107</v>
      </c>
      <c r="H150" s="80">
        <f t="shared" si="11"/>
        <v>0.17633110747919234</v>
      </c>
    </row>
    <row r="151" spans="2:8">
      <c r="B151" s="79">
        <v>2024</v>
      </c>
      <c r="C151">
        <v>2027</v>
      </c>
      <c r="D151">
        <f t="shared" si="12"/>
        <v>4</v>
      </c>
      <c r="E151" t="str">
        <f t="shared" si="13"/>
        <v>2024-2027</v>
      </c>
      <c r="F151" s="93" t="str">
        <f t="shared" si="14"/>
        <v>2024+04</v>
      </c>
      <c r="G151" s="74">
        <f t="shared" si="10"/>
        <v>3289.8659108620554</v>
      </c>
      <c r="H151" s="80">
        <f t="shared" si="11"/>
        <v>0.17459440246884295</v>
      </c>
    </row>
    <row r="152" spans="2:8">
      <c r="B152" s="79">
        <v>2024</v>
      </c>
      <c r="C152">
        <v>2028</v>
      </c>
      <c r="D152">
        <f t="shared" si="12"/>
        <v>5</v>
      </c>
      <c r="E152" t="str">
        <f t="shared" si="13"/>
        <v>2024-2028</v>
      </c>
      <c r="F152" s="93" t="str">
        <f t="shared" si="14"/>
        <v>2024+05</v>
      </c>
      <c r="G152" s="74">
        <f t="shared" si="10"/>
        <v>3246.8855419216297</v>
      </c>
      <c r="H152" s="80">
        <f t="shared" si="11"/>
        <v>0.17231341836907527</v>
      </c>
    </row>
    <row r="153" spans="2:8">
      <c r="B153" s="79">
        <v>2024</v>
      </c>
      <c r="C153">
        <v>2029</v>
      </c>
      <c r="D153">
        <f t="shared" si="12"/>
        <v>6</v>
      </c>
      <c r="E153" t="str">
        <f t="shared" si="13"/>
        <v>2024-2029</v>
      </c>
      <c r="F153" s="93" t="str">
        <f t="shared" si="14"/>
        <v>2024+06</v>
      </c>
      <c r="G153" s="74">
        <f t="shared" si="10"/>
        <v>3176.6531478600696</v>
      </c>
      <c r="H153" s="80">
        <f t="shared" si="11"/>
        <v>0.1685861592018707</v>
      </c>
    </row>
    <row r="154" spans="2:8">
      <c r="B154" s="79">
        <v>2024</v>
      </c>
      <c r="C154">
        <v>2030</v>
      </c>
      <c r="D154">
        <f t="shared" si="12"/>
        <v>7</v>
      </c>
      <c r="E154" t="str">
        <f t="shared" si="13"/>
        <v>2024-2030</v>
      </c>
      <c r="F154" s="93" t="str">
        <f t="shared" si="14"/>
        <v>2024+07</v>
      </c>
      <c r="G154" s="74">
        <f t="shared" si="10"/>
        <v>3090.8481680150039</v>
      </c>
      <c r="H154" s="80">
        <f t="shared" si="11"/>
        <v>0.16403245713898792</v>
      </c>
    </row>
    <row r="155" spans="2:8">
      <c r="B155" s="79">
        <v>2024</v>
      </c>
      <c r="C155">
        <v>2031</v>
      </c>
      <c r="D155">
        <f t="shared" si="12"/>
        <v>8</v>
      </c>
      <c r="E155" t="str">
        <f t="shared" si="13"/>
        <v>2024-2031</v>
      </c>
      <c r="F155" s="93" t="str">
        <f t="shared" si="14"/>
        <v>2024+08</v>
      </c>
      <c r="G155" s="74">
        <f t="shared" si="10"/>
        <v>3016.0110179856338</v>
      </c>
      <c r="H155" s="80">
        <f t="shared" si="11"/>
        <v>0.16006082186695178</v>
      </c>
    </row>
    <row r="156" spans="2:8">
      <c r="B156" s="79">
        <v>2024</v>
      </c>
      <c r="C156">
        <v>2032</v>
      </c>
      <c r="D156">
        <f t="shared" si="12"/>
        <v>9</v>
      </c>
      <c r="E156" t="str">
        <f t="shared" si="13"/>
        <v>2024-2032</v>
      </c>
      <c r="F156" s="93" t="str">
        <f t="shared" si="14"/>
        <v>2024+09</v>
      </c>
      <c r="G156" s="74">
        <f t="shared" si="10"/>
        <v>2948.4857545000605</v>
      </c>
      <c r="H156" s="80">
        <f t="shared" si="11"/>
        <v>0.15647723112214676</v>
      </c>
    </row>
    <row r="157" spans="2:8">
      <c r="B157" s="79">
        <v>2024</v>
      </c>
      <c r="C157">
        <v>2033</v>
      </c>
      <c r="D157">
        <f t="shared" si="12"/>
        <v>10</v>
      </c>
      <c r="E157" t="str">
        <f t="shared" si="13"/>
        <v>2024-2033</v>
      </c>
      <c r="F157" s="93" t="str">
        <f t="shared" si="14"/>
        <v>2024+10</v>
      </c>
      <c r="G157" s="74">
        <f t="shared" si="10"/>
        <v>2882.0888757080165</v>
      </c>
      <c r="H157" s="80">
        <f t="shared" si="11"/>
        <v>0.15295352417098551</v>
      </c>
    </row>
    <row r="158" spans="2:8">
      <c r="B158" s="79">
        <v>2024</v>
      </c>
      <c r="C158">
        <v>2034</v>
      </c>
      <c r="D158">
        <f t="shared" si="12"/>
        <v>11</v>
      </c>
      <c r="E158" t="str">
        <f t="shared" si="13"/>
        <v>2024-2034</v>
      </c>
      <c r="F158" s="93" t="str">
        <f t="shared" si="14"/>
        <v>2024+11</v>
      </c>
      <c r="G158" s="74">
        <f t="shared" si="10"/>
        <v>2816.5126403294489</v>
      </c>
      <c r="H158" s="80">
        <f t="shared" si="11"/>
        <v>0.14947336906974701</v>
      </c>
    </row>
    <row r="159" spans="2:8">
      <c r="B159" s="79">
        <v>2024</v>
      </c>
      <c r="C159">
        <v>2035</v>
      </c>
      <c r="D159">
        <f t="shared" si="12"/>
        <v>12</v>
      </c>
      <c r="E159" t="str">
        <f t="shared" si="13"/>
        <v>2024-2035</v>
      </c>
      <c r="F159" s="93" t="str">
        <f t="shared" si="14"/>
        <v>2024+12</v>
      </c>
      <c r="G159" s="74">
        <f t="shared" si="10"/>
        <v>2751.5518875109883</v>
      </c>
      <c r="H159" s="80">
        <f t="shared" si="11"/>
        <v>0.14602587785595059</v>
      </c>
    </row>
    <row r="160" spans="2:8">
      <c r="B160" s="79">
        <v>2024</v>
      </c>
      <c r="C160">
        <v>2036</v>
      </c>
      <c r="D160">
        <f t="shared" si="12"/>
        <v>13</v>
      </c>
      <c r="E160" t="str">
        <f t="shared" si="13"/>
        <v>2024-2036</v>
      </c>
      <c r="F160" s="93" t="str">
        <f t="shared" si="14"/>
        <v>2024+13</v>
      </c>
      <c r="G160" s="74">
        <f t="shared" si="10"/>
        <v>2687.5584331658606</v>
      </c>
      <c r="H160" s="80">
        <f t="shared" si="11"/>
        <v>0.14262972153042511</v>
      </c>
    </row>
    <row r="161" spans="2:8">
      <c r="B161" s="79">
        <v>2024</v>
      </c>
      <c r="C161">
        <v>2037</v>
      </c>
      <c r="D161">
        <f t="shared" si="12"/>
        <v>14</v>
      </c>
      <c r="E161" t="str">
        <f t="shared" si="13"/>
        <v>2024-2037</v>
      </c>
      <c r="F161" s="93" t="str">
        <f t="shared" si="14"/>
        <v>2024+14</v>
      </c>
      <c r="G161" s="74">
        <f t="shared" si="10"/>
        <v>2624.3249990497802</v>
      </c>
      <c r="H161" s="80">
        <f t="shared" si="11"/>
        <v>0.1392738997599697</v>
      </c>
    </row>
    <row r="162" spans="2:8">
      <c r="B162" s="79">
        <v>2024</v>
      </c>
      <c r="C162">
        <v>2038</v>
      </c>
      <c r="D162">
        <f t="shared" si="12"/>
        <v>15</v>
      </c>
      <c r="E162" t="str">
        <f t="shared" si="13"/>
        <v>2024-2038</v>
      </c>
      <c r="F162" s="93" t="str">
        <f t="shared" si="14"/>
        <v>2024+15</v>
      </c>
      <c r="G162" s="74">
        <f t="shared" si="10"/>
        <v>2561.6995811169381</v>
      </c>
      <c r="H162" s="80">
        <f t="shared" si="11"/>
        <v>0.13595034563357034</v>
      </c>
    </row>
    <row r="163" spans="2:8">
      <c r="B163" s="79">
        <v>2024</v>
      </c>
      <c r="C163">
        <v>2039</v>
      </c>
      <c r="D163">
        <f t="shared" si="12"/>
        <v>16</v>
      </c>
      <c r="E163" t="str">
        <f t="shared" si="13"/>
        <v>2024-2039</v>
      </c>
      <c r="F163" s="93" t="str">
        <f t="shared" si="14"/>
        <v>2024+16</v>
      </c>
      <c r="G163" s="74">
        <f t="shared" si="10"/>
        <v>2499.5681763329762</v>
      </c>
      <c r="H163" s="80">
        <f t="shared" si="11"/>
        <v>0.1326530089679665</v>
      </c>
    </row>
    <row r="164" spans="2:8">
      <c r="B164" s="79">
        <v>2024</v>
      </c>
      <c r="C164">
        <v>2040</v>
      </c>
      <c r="D164">
        <f t="shared" si="12"/>
        <v>17</v>
      </c>
      <c r="E164" t="str">
        <f t="shared" si="13"/>
        <v>2024-2040</v>
      </c>
      <c r="F164" s="93" t="str">
        <f t="shared" si="14"/>
        <v>2024+17</v>
      </c>
      <c r="G164" s="74">
        <f t="shared" si="10"/>
        <v>2437.8436059069163</v>
      </c>
      <c r="H164" s="80">
        <f t="shared" si="11"/>
        <v>0.12937726315242959</v>
      </c>
    </row>
    <row r="165" spans="2:8">
      <c r="B165" s="79">
        <v>2024</v>
      </c>
      <c r="C165">
        <v>2041</v>
      </c>
      <c r="D165">
        <f t="shared" si="12"/>
        <v>18</v>
      </c>
      <c r="E165" t="str">
        <f t="shared" si="13"/>
        <v>2024-2041</v>
      </c>
      <c r="F165" s="93" t="str">
        <f t="shared" si="14"/>
        <v>2024+18</v>
      </c>
      <c r="G165" s="74">
        <f t="shared" si="10"/>
        <v>2377.3160278356918</v>
      </c>
      <c r="H165" s="80">
        <f t="shared" si="11"/>
        <v>0.1261650421645345</v>
      </c>
    </row>
    <row r="166" spans="2:8">
      <c r="B166" s="79">
        <v>2024</v>
      </c>
      <c r="C166">
        <v>2042</v>
      </c>
      <c r="D166">
        <f t="shared" si="12"/>
        <v>19</v>
      </c>
      <c r="E166" t="str">
        <f t="shared" si="13"/>
        <v>2024-2042</v>
      </c>
      <c r="F166" s="93" t="str">
        <f t="shared" si="14"/>
        <v>2024+19</v>
      </c>
      <c r="G166" s="74">
        <f t="shared" si="10"/>
        <v>2317.7964433264342</v>
      </c>
      <c r="H166" s="80">
        <f t="shared" si="11"/>
        <v>0.1230063157683378</v>
      </c>
    </row>
    <row r="167" spans="2:8">
      <c r="B167" s="79">
        <v>2024</v>
      </c>
      <c r="C167">
        <v>2043</v>
      </c>
      <c r="D167">
        <f t="shared" si="12"/>
        <v>20</v>
      </c>
      <c r="E167" t="str">
        <f t="shared" si="13"/>
        <v>2024-2043</v>
      </c>
      <c r="F167" s="93" t="str">
        <f t="shared" si="14"/>
        <v>2024+20</v>
      </c>
      <c r="G167" s="74">
        <f t="shared" si="10"/>
        <v>2259.1336533448484</v>
      </c>
      <c r="H167" s="80">
        <f t="shared" si="11"/>
        <v>0.11989305977508476</v>
      </c>
    </row>
    <row r="168" spans="2:8">
      <c r="B168" s="79">
        <v>2024</v>
      </c>
      <c r="C168">
        <v>2044</v>
      </c>
      <c r="D168">
        <f t="shared" si="12"/>
        <v>21</v>
      </c>
      <c r="E168" t="str">
        <f t="shared" si="13"/>
        <v>2024-2044</v>
      </c>
      <c r="F168" s="93" t="str">
        <f t="shared" si="14"/>
        <v>2024+21</v>
      </c>
      <c r="G168" s="74">
        <f t="shared" si="10"/>
        <v>2201.2052586726954</v>
      </c>
      <c r="H168" s="80">
        <f t="shared" si="11"/>
        <v>0.11681877841292623</v>
      </c>
    </row>
    <row r="169" spans="2:8">
      <c r="B169" s="79">
        <v>2024</v>
      </c>
      <c r="C169">
        <v>2045</v>
      </c>
      <c r="D169">
        <f t="shared" si="12"/>
        <v>22</v>
      </c>
      <c r="E169" t="str">
        <f t="shared" si="13"/>
        <v>2024-2045</v>
      </c>
      <c r="F169" s="93" t="str">
        <f t="shared" si="14"/>
        <v>2024+22</v>
      </c>
      <c r="G169" s="74">
        <f t="shared" si="10"/>
        <v>2143.911114495053</v>
      </c>
      <c r="H169" s="80">
        <f t="shared" si="11"/>
        <v>0.11377815695944028</v>
      </c>
    </row>
    <row r="170" spans="2:8">
      <c r="B170" s="79">
        <v>2024</v>
      </c>
      <c r="C170">
        <v>2046</v>
      </c>
      <c r="D170">
        <f t="shared" si="12"/>
        <v>23</v>
      </c>
      <c r="E170" t="str">
        <f t="shared" si="13"/>
        <v>2024-2046</v>
      </c>
      <c r="F170" s="93" t="str">
        <f t="shared" si="14"/>
        <v>2024+23</v>
      </c>
      <c r="G170" s="74">
        <f t="shared" si="10"/>
        <v>2091.5990698111186</v>
      </c>
      <c r="H170" s="80">
        <f t="shared" si="11"/>
        <v>0.11100193737147486</v>
      </c>
    </row>
    <row r="171" spans="2:8">
      <c r="B171" s="79">
        <v>2024</v>
      </c>
      <c r="C171">
        <v>2047</v>
      </c>
      <c r="D171">
        <f t="shared" si="12"/>
        <v>24</v>
      </c>
      <c r="E171" t="str">
        <f t="shared" si="13"/>
        <v>2024-2047</v>
      </c>
      <c r="F171" s="93" t="str">
        <f t="shared" si="14"/>
        <v>2024+24</v>
      </c>
      <c r="G171" s="74">
        <f t="shared" si="10"/>
        <v>2043.6463621841788</v>
      </c>
      <c r="H171" s="80">
        <f t="shared" si="11"/>
        <v>0.10845706941583988</v>
      </c>
    </row>
    <row r="172" spans="2:8">
      <c r="B172" s="79">
        <v>2024</v>
      </c>
      <c r="C172">
        <v>2048</v>
      </c>
      <c r="D172">
        <f t="shared" si="12"/>
        <v>25</v>
      </c>
      <c r="E172" t="str">
        <f t="shared" si="13"/>
        <v>2024-2048</v>
      </c>
      <c r="F172" s="93" t="str">
        <f t="shared" si="14"/>
        <v>2024+25</v>
      </c>
      <c r="G172" s="74">
        <f t="shared" si="10"/>
        <v>1999.529871167394</v>
      </c>
      <c r="H172" s="80">
        <f t="shared" si="11"/>
        <v>0.1061157908966557</v>
      </c>
    </row>
    <row r="173" spans="2:8">
      <c r="B173" s="79">
        <v>2024</v>
      </c>
      <c r="C173">
        <v>2049</v>
      </c>
      <c r="D173">
        <f t="shared" si="12"/>
        <v>26</v>
      </c>
      <c r="E173" t="str">
        <f t="shared" si="13"/>
        <v>2024-2049</v>
      </c>
      <c r="F173" s="93" t="str">
        <f t="shared" si="14"/>
        <v>2024+26</v>
      </c>
      <c r="G173" s="74">
        <f t="shared" si="10"/>
        <v>1958.8069563826698</v>
      </c>
      <c r="H173" s="80">
        <f t="shared" si="11"/>
        <v>0.10395461072510107</v>
      </c>
    </row>
    <row r="174" spans="2:8">
      <c r="B174" s="93">
        <v>2025</v>
      </c>
      <c r="C174" s="93">
        <v>2025</v>
      </c>
      <c r="D174" s="93">
        <f t="shared" si="12"/>
        <v>1</v>
      </c>
      <c r="E174" s="93" t="str">
        <f t="shared" si="13"/>
        <v>2025-2025</v>
      </c>
      <c r="F174" s="93" t="str">
        <f t="shared" si="14"/>
        <v>2025+01</v>
      </c>
      <c r="G174" s="76">
        <f t="shared" si="10"/>
        <v>3308.6548092208445</v>
      </c>
      <c r="H174" s="77">
        <f t="shared" si="11"/>
        <v>0.17559153626422641</v>
      </c>
    </row>
    <row r="175" spans="2:8">
      <c r="B175" s="79">
        <v>2025</v>
      </c>
      <c r="C175">
        <v>2026</v>
      </c>
      <c r="D175">
        <f t="shared" si="12"/>
        <v>2</v>
      </c>
      <c r="E175" t="str">
        <f t="shared" si="13"/>
        <v>2025-2026</v>
      </c>
      <c r="F175" s="93" t="str">
        <f t="shared" si="14"/>
        <v>2025+02</v>
      </c>
      <c r="G175" s="74">
        <f t="shared" si="10"/>
        <v>3308.537574702349</v>
      </c>
      <c r="H175" s="80">
        <f t="shared" si="11"/>
        <v>0.17558531458490573</v>
      </c>
    </row>
    <row r="176" spans="2:8">
      <c r="B176" s="79">
        <v>2025</v>
      </c>
      <c r="C176">
        <v>2027</v>
      </c>
      <c r="D176">
        <f t="shared" si="12"/>
        <v>3</v>
      </c>
      <c r="E176" t="str">
        <f t="shared" si="13"/>
        <v>2025-2027</v>
      </c>
      <c r="F176" s="93" t="str">
        <f t="shared" si="14"/>
        <v>2025+03</v>
      </c>
      <c r="G176" s="74">
        <f t="shared" si="10"/>
        <v>3269.5891175255292</v>
      </c>
      <c r="H176" s="80">
        <f t="shared" si="11"/>
        <v>0.17351830553586875</v>
      </c>
    </row>
    <row r="177" spans="2:8">
      <c r="B177" s="79">
        <v>2025</v>
      </c>
      <c r="C177">
        <v>2028</v>
      </c>
      <c r="D177">
        <f t="shared" si="12"/>
        <v>4</v>
      </c>
      <c r="E177" t="str">
        <f t="shared" si="13"/>
        <v>2025-2028</v>
      </c>
      <c r="F177" s="93" t="str">
        <f t="shared" si="14"/>
        <v>2025+04</v>
      </c>
      <c r="G177" s="74">
        <f t="shared" si="10"/>
        <v>3220.9328546841284</v>
      </c>
      <c r="H177" s="80">
        <f t="shared" si="11"/>
        <v>0.17093609964440271</v>
      </c>
    </row>
    <row r="178" spans="2:8">
      <c r="B178" s="79">
        <v>2025</v>
      </c>
      <c r="C178">
        <v>2029</v>
      </c>
      <c r="D178">
        <f t="shared" si="12"/>
        <v>5</v>
      </c>
      <c r="E178" t="str">
        <f t="shared" si="13"/>
        <v>2025-2029</v>
      </c>
      <c r="F178" s="93" t="str">
        <f t="shared" si="14"/>
        <v>2025+05</v>
      </c>
      <c r="G178" s="74">
        <f t="shared" si="10"/>
        <v>3141.8445192577565</v>
      </c>
      <c r="H178" s="80">
        <f t="shared" si="11"/>
        <v>0.16673885238869174</v>
      </c>
    </row>
    <row r="179" spans="2:8">
      <c r="B179" s="79">
        <v>2025</v>
      </c>
      <c r="C179">
        <v>2030</v>
      </c>
      <c r="D179">
        <f t="shared" si="12"/>
        <v>6</v>
      </c>
      <c r="E179" t="str">
        <f t="shared" si="13"/>
        <v>2025-2030</v>
      </c>
      <c r="F179" s="93" t="str">
        <f t="shared" si="14"/>
        <v>2025+06</v>
      </c>
      <c r="G179" s="74">
        <f t="shared" si="10"/>
        <v>3047.540147538899</v>
      </c>
      <c r="H179" s="80">
        <f t="shared" si="11"/>
        <v>0.1617340844508583</v>
      </c>
    </row>
    <row r="180" spans="2:8">
      <c r="B180" s="79">
        <v>2025</v>
      </c>
      <c r="C180">
        <v>2031</v>
      </c>
      <c r="D180">
        <f t="shared" si="12"/>
        <v>7</v>
      </c>
      <c r="E180" t="str">
        <f t="shared" si="13"/>
        <v>2025-2031</v>
      </c>
      <c r="F180" s="93" t="str">
        <f t="shared" si="14"/>
        <v>2025+07</v>
      </c>
      <c r="G180" s="74">
        <f t="shared" si="10"/>
        <v>2968.1988361447766</v>
      </c>
      <c r="H180" s="80">
        <f t="shared" si="11"/>
        <v>0.15752341166683553</v>
      </c>
    </row>
    <row r="181" spans="2:8">
      <c r="B181" s="79">
        <v>2025</v>
      </c>
      <c r="C181">
        <v>2032</v>
      </c>
      <c r="D181">
        <f t="shared" si="12"/>
        <v>8</v>
      </c>
      <c r="E181" t="str">
        <f t="shared" si="13"/>
        <v>2025-2032</v>
      </c>
      <c r="F181" s="93" t="str">
        <f t="shared" si="14"/>
        <v>2025+08</v>
      </c>
      <c r="G181" s="74">
        <f t="shared" si="10"/>
        <v>2898.2094374536136</v>
      </c>
      <c r="H181" s="80">
        <f t="shared" si="11"/>
        <v>0.15380904835394438</v>
      </c>
    </row>
    <row r="182" spans="2:8">
      <c r="B182" s="79">
        <v>2025</v>
      </c>
      <c r="C182">
        <v>2033</v>
      </c>
      <c r="D182">
        <f t="shared" si="12"/>
        <v>9</v>
      </c>
      <c r="E182" t="str">
        <f t="shared" si="13"/>
        <v>2025-2033</v>
      </c>
      <c r="F182" s="93" t="str">
        <f t="shared" si="14"/>
        <v>2025+09</v>
      </c>
      <c r="G182" s="74">
        <f t="shared" si="10"/>
        <v>2830.0213851342814</v>
      </c>
      <c r="H182" s="80">
        <f t="shared" si="11"/>
        <v>0.15019028316023214</v>
      </c>
    </row>
    <row r="183" spans="2:8">
      <c r="B183" s="79">
        <v>2025</v>
      </c>
      <c r="C183">
        <v>2034</v>
      </c>
      <c r="D183">
        <f t="shared" si="12"/>
        <v>10</v>
      </c>
      <c r="E183" t="str">
        <f t="shared" si="13"/>
        <v>2025-2034</v>
      </c>
      <c r="F183" s="93" t="str">
        <f t="shared" si="14"/>
        <v>2025+10</v>
      </c>
      <c r="G183" s="74">
        <f t="shared" si="10"/>
        <v>2763.0942752752303</v>
      </c>
      <c r="H183" s="80">
        <f t="shared" si="11"/>
        <v>0.14663843664994514</v>
      </c>
    </row>
    <row r="184" spans="2:8">
      <c r="B184" s="79">
        <v>2025</v>
      </c>
      <c r="C184">
        <v>2035</v>
      </c>
      <c r="D184">
        <f t="shared" si="12"/>
        <v>11</v>
      </c>
      <c r="E184" t="str">
        <f t="shared" si="13"/>
        <v>2025-2035</v>
      </c>
      <c r="F184" s="93" t="str">
        <f t="shared" si="14"/>
        <v>2025+11</v>
      </c>
      <c r="G184" s="74">
        <f t="shared" si="10"/>
        <v>2697.0842144782023</v>
      </c>
      <c r="H184" s="80">
        <f t="shared" si="11"/>
        <v>0.14313525827305829</v>
      </c>
    </row>
    <row r="185" spans="2:8">
      <c r="B185" s="79">
        <v>2025</v>
      </c>
      <c r="C185">
        <v>2036</v>
      </c>
      <c r="D185">
        <f t="shared" si="12"/>
        <v>12</v>
      </c>
      <c r="E185" t="str">
        <f t="shared" si="13"/>
        <v>2025-2036</v>
      </c>
      <c r="F185" s="93" t="str">
        <f t="shared" si="14"/>
        <v>2025+12</v>
      </c>
      <c r="G185" s="74">
        <f t="shared" si="10"/>
        <v>2632.2969450237129</v>
      </c>
      <c r="H185" s="80">
        <f t="shared" si="11"/>
        <v>0.13969697388564672</v>
      </c>
    </row>
    <row r="186" spans="2:8">
      <c r="B186" s="79">
        <v>2025</v>
      </c>
      <c r="C186">
        <v>2037</v>
      </c>
      <c r="D186">
        <f t="shared" si="12"/>
        <v>13</v>
      </c>
      <c r="E186" t="str">
        <f t="shared" si="13"/>
        <v>2025-2037</v>
      </c>
      <c r="F186" s="93" t="str">
        <f t="shared" si="14"/>
        <v>2025+13</v>
      </c>
      <c r="G186" s="74">
        <f t="shared" si="10"/>
        <v>2568.4502842942534</v>
      </c>
      <c r="H186" s="80">
        <f t="shared" si="11"/>
        <v>0.13630860795167771</v>
      </c>
    </row>
    <row r="187" spans="2:8">
      <c r="B187" s="79">
        <v>2025</v>
      </c>
      <c r="C187">
        <v>2038</v>
      </c>
      <c r="D187">
        <f t="shared" si="12"/>
        <v>14</v>
      </c>
      <c r="E187" t="str">
        <f t="shared" si="13"/>
        <v>2025-2038</v>
      </c>
      <c r="F187" s="93" t="str">
        <f t="shared" si="14"/>
        <v>2025+14</v>
      </c>
      <c r="G187" s="74">
        <f t="shared" si="10"/>
        <v>2505.3426732773173</v>
      </c>
      <c r="H187" s="80">
        <f t="shared" si="11"/>
        <v>0.13295946365969921</v>
      </c>
    </row>
    <row r="188" spans="2:8">
      <c r="B188" s="79">
        <v>2025</v>
      </c>
      <c r="C188">
        <v>2039</v>
      </c>
      <c r="D188">
        <f t="shared" si="12"/>
        <v>15</v>
      </c>
      <c r="E188" t="str">
        <f t="shared" si="13"/>
        <v>2025-2039</v>
      </c>
      <c r="F188" s="93" t="str">
        <f t="shared" si="14"/>
        <v>2025+15</v>
      </c>
      <c r="G188" s="74">
        <f t="shared" si="10"/>
        <v>2442.8263020303993</v>
      </c>
      <c r="H188" s="80">
        <f t="shared" si="11"/>
        <v>0.1296416966813132</v>
      </c>
    </row>
    <row r="189" spans="2:8">
      <c r="B189" s="79">
        <v>2025</v>
      </c>
      <c r="C189">
        <v>2040</v>
      </c>
      <c r="D189">
        <f t="shared" si="12"/>
        <v>16</v>
      </c>
      <c r="E189" t="str">
        <f t="shared" si="13"/>
        <v>2025-2040</v>
      </c>
      <c r="F189" s="93" t="str">
        <f t="shared" si="14"/>
        <v>2025+16</v>
      </c>
      <c r="G189" s="74">
        <f t="shared" si="10"/>
        <v>2380.7903130966215</v>
      </c>
      <c r="H189" s="80">
        <f t="shared" si="11"/>
        <v>0.12634942377022104</v>
      </c>
    </row>
    <row r="190" spans="2:8">
      <c r="B190" s="79">
        <v>2025</v>
      </c>
      <c r="C190">
        <v>2041</v>
      </c>
      <c r="D190">
        <f t="shared" si="12"/>
        <v>17</v>
      </c>
      <c r="E190" t="str">
        <f t="shared" si="13"/>
        <v>2025-2041</v>
      </c>
      <c r="F190" s="93" t="str">
        <f t="shared" si="14"/>
        <v>2025+17</v>
      </c>
      <c r="G190" s="74">
        <f t="shared" si="10"/>
        <v>2320.0583653041658</v>
      </c>
      <c r="H190" s="80">
        <f t="shared" si="11"/>
        <v>0.12312635680552086</v>
      </c>
    </row>
    <row r="191" spans="2:8">
      <c r="B191" s="79">
        <v>2025</v>
      </c>
      <c r="C191">
        <v>2042</v>
      </c>
      <c r="D191">
        <f t="shared" si="12"/>
        <v>18</v>
      </c>
      <c r="E191" t="str">
        <f t="shared" si="13"/>
        <v>2025-2042</v>
      </c>
      <c r="F191" s="93" t="str">
        <f t="shared" si="14"/>
        <v>2025+18</v>
      </c>
      <c r="G191" s="74">
        <f t="shared" si="10"/>
        <v>2260.4131184628122</v>
      </c>
      <c r="H191" s="80">
        <f t="shared" si="11"/>
        <v>0.119960961462814</v>
      </c>
    </row>
    <row r="192" spans="2:8">
      <c r="B192" s="79">
        <v>2025</v>
      </c>
      <c r="C192">
        <v>2043</v>
      </c>
      <c r="D192">
        <f t="shared" si="12"/>
        <v>19</v>
      </c>
      <c r="E192" t="str">
        <f t="shared" si="13"/>
        <v>2025-2043</v>
      </c>
      <c r="F192" s="93" t="str">
        <f t="shared" si="14"/>
        <v>2025+19</v>
      </c>
      <c r="G192" s="74">
        <f t="shared" si="10"/>
        <v>2201.68298821186</v>
      </c>
      <c r="H192" s="80">
        <f t="shared" si="11"/>
        <v>0.11684413169652257</v>
      </c>
    </row>
    <row r="193" spans="2:8">
      <c r="B193" s="79">
        <v>2025</v>
      </c>
      <c r="C193">
        <v>2044</v>
      </c>
      <c r="D193">
        <f t="shared" si="12"/>
        <v>20</v>
      </c>
      <c r="E193" t="str">
        <f t="shared" si="13"/>
        <v>2025-2044</v>
      </c>
      <c r="F193" s="93" t="str">
        <f t="shared" si="14"/>
        <v>2025+20</v>
      </c>
      <c r="G193" s="74">
        <f t="shared" si="10"/>
        <v>2143.7307070627489</v>
      </c>
      <c r="H193" s="80">
        <f t="shared" si="11"/>
        <v>0.11376858267018423</v>
      </c>
    </row>
    <row r="194" spans="2:8">
      <c r="B194" s="79">
        <v>2025</v>
      </c>
      <c r="C194">
        <v>2045</v>
      </c>
      <c r="D194">
        <f t="shared" si="12"/>
        <v>21</v>
      </c>
      <c r="E194" t="str">
        <f t="shared" si="13"/>
        <v>2025-2045</v>
      </c>
      <c r="F194" s="93" t="str">
        <f t="shared" si="14"/>
        <v>2025+21</v>
      </c>
      <c r="G194" s="74">
        <f t="shared" si="10"/>
        <v>2086.4451537152163</v>
      </c>
      <c r="H194" s="80">
        <f t="shared" si="11"/>
        <v>0.11072841713523429</v>
      </c>
    </row>
    <row r="195" spans="2:8">
      <c r="B195" s="79">
        <v>2025</v>
      </c>
      <c r="C195">
        <v>2046</v>
      </c>
      <c r="D195">
        <f t="shared" si="12"/>
        <v>22</v>
      </c>
      <c r="E195" t="str">
        <f t="shared" si="13"/>
        <v>2025-2046</v>
      </c>
      <c r="F195" s="93" t="str">
        <f t="shared" si="14"/>
        <v>2025+22</v>
      </c>
      <c r="G195" s="74">
        <f t="shared" ref="G195:G258" si="15">AVERAGEIFS(AF_Source_Energy_Btu_per_kWh,AnnualFactorYear,"&gt;="&amp;$B195,AnnualFactorYear,"&lt;="&amp;$C195)</f>
        <v>2034.3673779447317</v>
      </c>
      <c r="H195" s="80">
        <f t="shared" ref="H195:H258" si="16">AVERAGEIFS(AF_Emissions_Intensity_metric_tonnes_per_MWh,AnnualFactorYear,"&gt;="&amp;$B195,AnnualFactorYear,"&lt;="&amp;$C195)</f>
        <v>0.10796463028527979</v>
      </c>
    </row>
    <row r="196" spans="2:8">
      <c r="B196" s="79">
        <v>2025</v>
      </c>
      <c r="C196">
        <v>2047</v>
      </c>
      <c r="D196">
        <f t="shared" ref="D196:D259" si="17">1+(C196-B196)</f>
        <v>23</v>
      </c>
      <c r="E196" t="str">
        <f t="shared" ref="E196:E259" si="18">B196&amp;"-"&amp;C196</f>
        <v>2025-2047</v>
      </c>
      <c r="F196" s="93" t="str">
        <f t="shared" ref="F196:F259" si="19">B196&amp;"+"&amp;TEXT(D196,"00")</f>
        <v>2025+23</v>
      </c>
      <c r="G196" s="74">
        <f t="shared" si="15"/>
        <v>1986.8181044151593</v>
      </c>
      <c r="H196" s="80">
        <f t="shared" si="16"/>
        <v>0.10544117272662569</v>
      </c>
    </row>
    <row r="197" spans="2:8">
      <c r="B197" s="79">
        <v>2025</v>
      </c>
      <c r="C197">
        <v>2048</v>
      </c>
      <c r="D197">
        <f t="shared" si="17"/>
        <v>24</v>
      </c>
      <c r="E197" t="str">
        <f t="shared" si="18"/>
        <v>2025-2048</v>
      </c>
      <c r="F197" s="93" t="str">
        <f t="shared" si="19"/>
        <v>2025+24</v>
      </c>
      <c r="G197" s="74">
        <f t="shared" si="15"/>
        <v>1943.2312703463842</v>
      </c>
      <c r="H197" s="80">
        <f t="shared" si="16"/>
        <v>0.10312800329785943</v>
      </c>
    </row>
    <row r="198" spans="2:8">
      <c r="B198" s="79">
        <v>2025</v>
      </c>
      <c r="C198">
        <v>2049</v>
      </c>
      <c r="D198">
        <f t="shared" si="17"/>
        <v>25</v>
      </c>
      <c r="E198" t="str">
        <f t="shared" si="18"/>
        <v>2025-2049</v>
      </c>
      <c r="F198" s="93" t="str">
        <f t="shared" si="19"/>
        <v>2025+25</v>
      </c>
      <c r="G198" s="74">
        <f t="shared" si="15"/>
        <v>1903.1313830031113</v>
      </c>
      <c r="H198" s="80">
        <f t="shared" si="16"/>
        <v>0.10099988742339447</v>
      </c>
    </row>
    <row r="199" spans="2:8">
      <c r="B199" s="93">
        <v>2026</v>
      </c>
      <c r="C199" s="93">
        <v>2026</v>
      </c>
      <c r="D199" s="93">
        <f t="shared" si="17"/>
        <v>1</v>
      </c>
      <c r="E199" s="93" t="str">
        <f t="shared" si="18"/>
        <v>2026-2026</v>
      </c>
      <c r="F199" s="93" t="str">
        <f t="shared" si="19"/>
        <v>2026+01</v>
      </c>
      <c r="G199" s="76">
        <f t="shared" si="15"/>
        <v>3308.4203401838536</v>
      </c>
      <c r="H199" s="77">
        <f t="shared" si="16"/>
        <v>0.17557909290558504</v>
      </c>
    </row>
    <row r="200" spans="2:8">
      <c r="B200" s="79">
        <v>2026</v>
      </c>
      <c r="C200">
        <v>2027</v>
      </c>
      <c r="D200">
        <f t="shared" si="17"/>
        <v>2</v>
      </c>
      <c r="E200" t="str">
        <f t="shared" si="18"/>
        <v>2026-2027</v>
      </c>
      <c r="F200" s="93" t="str">
        <f t="shared" si="19"/>
        <v>2026+02</v>
      </c>
      <c r="G200" s="74">
        <f t="shared" si="15"/>
        <v>3250.0562716778718</v>
      </c>
      <c r="H200" s="80">
        <f t="shared" si="16"/>
        <v>0.17248169017168991</v>
      </c>
    </row>
    <row r="201" spans="2:8">
      <c r="B201" s="79">
        <v>2026</v>
      </c>
      <c r="C201">
        <v>2028</v>
      </c>
      <c r="D201">
        <f t="shared" si="17"/>
        <v>3</v>
      </c>
      <c r="E201" t="str">
        <f t="shared" si="18"/>
        <v>2026-2028</v>
      </c>
      <c r="F201" s="93" t="str">
        <f t="shared" si="19"/>
        <v>2026+03</v>
      </c>
      <c r="G201" s="74">
        <f t="shared" si="15"/>
        <v>3191.69220317189</v>
      </c>
      <c r="H201" s="80">
        <f t="shared" si="16"/>
        <v>0.16938428743779479</v>
      </c>
    </row>
    <row r="202" spans="2:8">
      <c r="B202" s="79">
        <v>2026</v>
      </c>
      <c r="C202">
        <v>2029</v>
      </c>
      <c r="D202">
        <f t="shared" si="17"/>
        <v>4</v>
      </c>
      <c r="E202" t="str">
        <f t="shared" si="18"/>
        <v>2026-2029</v>
      </c>
      <c r="F202" s="93" t="str">
        <f t="shared" si="19"/>
        <v>2026+04</v>
      </c>
      <c r="G202" s="74">
        <f t="shared" si="15"/>
        <v>3100.1419467669848</v>
      </c>
      <c r="H202" s="80">
        <f t="shared" si="16"/>
        <v>0.16452568141980806</v>
      </c>
    </row>
    <row r="203" spans="2:8">
      <c r="B203" s="79">
        <v>2026</v>
      </c>
      <c r="C203">
        <v>2030</v>
      </c>
      <c r="D203">
        <f t="shared" si="17"/>
        <v>5</v>
      </c>
      <c r="E203" t="str">
        <f t="shared" si="18"/>
        <v>2026-2030</v>
      </c>
      <c r="F203" s="93" t="str">
        <f t="shared" si="19"/>
        <v>2026+05</v>
      </c>
      <c r="G203" s="74">
        <f t="shared" si="15"/>
        <v>2995.3172152025099</v>
      </c>
      <c r="H203" s="80">
        <f t="shared" si="16"/>
        <v>0.15896259408818467</v>
      </c>
    </row>
    <row r="204" spans="2:8">
      <c r="B204" s="79">
        <v>2026</v>
      </c>
      <c r="C204">
        <v>2031</v>
      </c>
      <c r="D204">
        <f t="shared" si="17"/>
        <v>6</v>
      </c>
      <c r="E204" t="str">
        <f t="shared" si="18"/>
        <v>2026-2031</v>
      </c>
      <c r="F204" s="93" t="str">
        <f t="shared" si="19"/>
        <v>2026+06</v>
      </c>
      <c r="G204" s="74">
        <f t="shared" si="15"/>
        <v>2911.4561739654323</v>
      </c>
      <c r="H204" s="80">
        <f t="shared" si="16"/>
        <v>0.15451205756727035</v>
      </c>
    </row>
    <row r="205" spans="2:8">
      <c r="B205" s="79">
        <v>2026</v>
      </c>
      <c r="C205">
        <v>2032</v>
      </c>
      <c r="D205">
        <f t="shared" si="17"/>
        <v>7</v>
      </c>
      <c r="E205" t="str">
        <f t="shared" si="18"/>
        <v>2026-2032</v>
      </c>
      <c r="F205" s="93" t="str">
        <f t="shared" si="19"/>
        <v>2026+07</v>
      </c>
      <c r="G205" s="74">
        <f t="shared" si="15"/>
        <v>2839.5743843440096</v>
      </c>
      <c r="H205" s="80">
        <f t="shared" si="16"/>
        <v>0.15069726436676123</v>
      </c>
    </row>
    <row r="206" spans="2:8">
      <c r="B206" s="79">
        <v>2026</v>
      </c>
      <c r="C206">
        <v>2033</v>
      </c>
      <c r="D206">
        <f t="shared" si="17"/>
        <v>8</v>
      </c>
      <c r="E206" t="str">
        <f t="shared" si="18"/>
        <v>2026-2033</v>
      </c>
      <c r="F206" s="93" t="str">
        <f t="shared" si="19"/>
        <v>2026+08</v>
      </c>
      <c r="G206" s="74">
        <f t="shared" si="15"/>
        <v>2770.1922071234612</v>
      </c>
      <c r="H206" s="80">
        <f t="shared" si="16"/>
        <v>0.14701512652223286</v>
      </c>
    </row>
    <row r="207" spans="2:8">
      <c r="B207" s="79">
        <v>2026</v>
      </c>
      <c r="C207">
        <v>2034</v>
      </c>
      <c r="D207">
        <f t="shared" si="17"/>
        <v>9</v>
      </c>
      <c r="E207" t="str">
        <f t="shared" si="18"/>
        <v>2026-2034</v>
      </c>
      <c r="F207" s="93" t="str">
        <f t="shared" si="19"/>
        <v>2026+09</v>
      </c>
      <c r="G207" s="74">
        <f t="shared" si="15"/>
        <v>2702.4764381701625</v>
      </c>
      <c r="H207" s="80">
        <f t="shared" si="16"/>
        <v>0.14342142558169166</v>
      </c>
    </row>
    <row r="208" spans="2:8">
      <c r="B208" s="79">
        <v>2026</v>
      </c>
      <c r="C208">
        <v>2035</v>
      </c>
      <c r="D208">
        <f t="shared" si="17"/>
        <v>10</v>
      </c>
      <c r="E208" t="str">
        <f t="shared" si="18"/>
        <v>2026-2035</v>
      </c>
      <c r="F208" s="93" t="str">
        <f t="shared" si="19"/>
        <v>2026+10</v>
      </c>
      <c r="G208" s="74">
        <f t="shared" si="15"/>
        <v>2635.9271550039384</v>
      </c>
      <c r="H208" s="80">
        <f t="shared" si="16"/>
        <v>0.13988963047394148</v>
      </c>
    </row>
    <row r="209" spans="2:8">
      <c r="B209" s="79">
        <v>2026</v>
      </c>
      <c r="C209">
        <v>2036</v>
      </c>
      <c r="D209">
        <f t="shared" si="17"/>
        <v>11</v>
      </c>
      <c r="E209" t="str">
        <f t="shared" si="18"/>
        <v>2026-2036</v>
      </c>
      <c r="F209" s="93" t="str">
        <f t="shared" si="19"/>
        <v>2026+11</v>
      </c>
      <c r="G209" s="74">
        <f t="shared" si="15"/>
        <v>2570.8098664603376</v>
      </c>
      <c r="H209" s="80">
        <f t="shared" si="16"/>
        <v>0.1364338318512304</v>
      </c>
    </row>
    <row r="210" spans="2:8">
      <c r="B210" s="79">
        <v>2026</v>
      </c>
      <c r="C210">
        <v>2037</v>
      </c>
      <c r="D210">
        <f t="shared" si="17"/>
        <v>12</v>
      </c>
      <c r="E210" t="str">
        <f t="shared" si="18"/>
        <v>2026-2037</v>
      </c>
      <c r="F210" s="93" t="str">
        <f t="shared" si="19"/>
        <v>2026+12</v>
      </c>
      <c r="G210" s="74">
        <f t="shared" si="15"/>
        <v>2506.766573883704</v>
      </c>
      <c r="H210" s="80">
        <f t="shared" si="16"/>
        <v>0.13303503059229863</v>
      </c>
    </row>
    <row r="211" spans="2:8">
      <c r="B211" s="79">
        <v>2026</v>
      </c>
      <c r="C211">
        <v>2038</v>
      </c>
      <c r="D211">
        <f t="shared" si="17"/>
        <v>13</v>
      </c>
      <c r="E211" t="str">
        <f t="shared" si="18"/>
        <v>2026-2038</v>
      </c>
      <c r="F211" s="93" t="str">
        <f t="shared" si="19"/>
        <v>2026+13</v>
      </c>
      <c r="G211" s="74">
        <f t="shared" si="15"/>
        <v>2443.5494320508919</v>
      </c>
      <c r="H211" s="80">
        <f t="shared" si="16"/>
        <v>0.12968007345935098</v>
      </c>
    </row>
    <row r="212" spans="2:8">
      <c r="B212" s="79">
        <v>2026</v>
      </c>
      <c r="C212">
        <v>2039</v>
      </c>
      <c r="D212">
        <f t="shared" si="17"/>
        <v>14</v>
      </c>
      <c r="E212" t="str">
        <f t="shared" si="18"/>
        <v>2026-2039</v>
      </c>
      <c r="F212" s="93" t="str">
        <f t="shared" si="19"/>
        <v>2026+14</v>
      </c>
      <c r="G212" s="74">
        <f t="shared" si="15"/>
        <v>2380.981408659653</v>
      </c>
      <c r="H212" s="80">
        <f t="shared" si="16"/>
        <v>0.1263595652825337</v>
      </c>
    </row>
    <row r="213" spans="2:8">
      <c r="B213" s="79">
        <v>2026</v>
      </c>
      <c r="C213">
        <v>2040</v>
      </c>
      <c r="D213">
        <f t="shared" si="17"/>
        <v>15</v>
      </c>
      <c r="E213" t="str">
        <f t="shared" si="18"/>
        <v>2026-2040</v>
      </c>
      <c r="F213" s="93" t="str">
        <f t="shared" si="19"/>
        <v>2026+15</v>
      </c>
      <c r="G213" s="74">
        <f t="shared" si="15"/>
        <v>2318.9326800216731</v>
      </c>
      <c r="H213" s="80">
        <f t="shared" si="16"/>
        <v>0.12306661627062068</v>
      </c>
    </row>
    <row r="214" spans="2:8">
      <c r="B214" s="79">
        <v>2026</v>
      </c>
      <c r="C214">
        <v>2041</v>
      </c>
      <c r="D214">
        <f t="shared" si="17"/>
        <v>16</v>
      </c>
      <c r="E214" t="str">
        <f t="shared" si="18"/>
        <v>2026-2041</v>
      </c>
      <c r="F214" s="93" t="str">
        <f t="shared" si="19"/>
        <v>2026+16</v>
      </c>
      <c r="G214" s="74">
        <f t="shared" si="15"/>
        <v>2258.2710875593734</v>
      </c>
      <c r="H214" s="80">
        <f t="shared" si="16"/>
        <v>0.11984728308935177</v>
      </c>
    </row>
    <row r="215" spans="2:8">
      <c r="B215" s="79">
        <v>2026</v>
      </c>
      <c r="C215">
        <v>2042</v>
      </c>
      <c r="D215">
        <f t="shared" si="17"/>
        <v>17</v>
      </c>
      <c r="E215" t="str">
        <f t="shared" si="18"/>
        <v>2026-2042</v>
      </c>
      <c r="F215" s="93" t="str">
        <f t="shared" si="19"/>
        <v>2026+17</v>
      </c>
      <c r="G215" s="74">
        <f t="shared" si="15"/>
        <v>2198.7518425358689</v>
      </c>
      <c r="H215" s="80">
        <f t="shared" si="16"/>
        <v>0.11668857470978976</v>
      </c>
    </row>
    <row r="216" spans="2:8">
      <c r="B216" s="79">
        <v>2026</v>
      </c>
      <c r="C216">
        <v>2043</v>
      </c>
      <c r="D216">
        <f t="shared" si="17"/>
        <v>18</v>
      </c>
      <c r="E216" t="str">
        <f t="shared" si="18"/>
        <v>2026-2043</v>
      </c>
      <c r="F216" s="93" t="str">
        <f t="shared" si="19"/>
        <v>2026+18</v>
      </c>
      <c r="G216" s="74">
        <f t="shared" si="15"/>
        <v>2140.1845537113604</v>
      </c>
      <c r="H216" s="80">
        <f t="shared" si="16"/>
        <v>0.11358038699831681</v>
      </c>
    </row>
    <row r="217" spans="2:8">
      <c r="B217" s="79">
        <v>2026</v>
      </c>
      <c r="C217">
        <v>2044</v>
      </c>
      <c r="D217">
        <f t="shared" si="17"/>
        <v>19</v>
      </c>
      <c r="E217" t="str">
        <f t="shared" si="18"/>
        <v>2026-2044</v>
      </c>
      <c r="F217" s="93" t="str">
        <f t="shared" si="19"/>
        <v>2026+19</v>
      </c>
      <c r="G217" s="74">
        <f t="shared" si="15"/>
        <v>2082.4189122123225</v>
      </c>
      <c r="H217" s="80">
        <f t="shared" si="16"/>
        <v>0.11051474300733992</v>
      </c>
    </row>
    <row r="218" spans="2:8">
      <c r="B218" s="79">
        <v>2026</v>
      </c>
      <c r="C218">
        <v>2045</v>
      </c>
      <c r="D218">
        <f t="shared" si="17"/>
        <v>20</v>
      </c>
      <c r="E218" t="str">
        <f t="shared" si="18"/>
        <v>2026-2045</v>
      </c>
      <c r="F218" s="93" t="str">
        <f t="shared" si="19"/>
        <v>2026+20</v>
      </c>
      <c r="G218" s="74">
        <f t="shared" si="15"/>
        <v>2025.3346709399345</v>
      </c>
      <c r="H218" s="80">
        <f t="shared" si="16"/>
        <v>0.10748526117878469</v>
      </c>
    </row>
    <row r="219" spans="2:8">
      <c r="B219" s="79">
        <v>2026</v>
      </c>
      <c r="C219">
        <v>2046</v>
      </c>
      <c r="D219">
        <f t="shared" si="17"/>
        <v>21</v>
      </c>
      <c r="E219" t="str">
        <f t="shared" si="18"/>
        <v>2026-2046</v>
      </c>
      <c r="F219" s="93" t="str">
        <f t="shared" si="19"/>
        <v>2026+21</v>
      </c>
      <c r="G219" s="74">
        <f t="shared" si="15"/>
        <v>1973.6870240744406</v>
      </c>
      <c r="H219" s="80">
        <f t="shared" si="16"/>
        <v>0.10474430142913949</v>
      </c>
    </row>
    <row r="220" spans="2:8">
      <c r="B220" s="79">
        <v>2026</v>
      </c>
      <c r="C220">
        <v>2047</v>
      </c>
      <c r="D220">
        <f t="shared" si="17"/>
        <v>22</v>
      </c>
      <c r="E220" t="str">
        <f t="shared" si="18"/>
        <v>2026-2047</v>
      </c>
      <c r="F220" s="93" t="str">
        <f t="shared" si="19"/>
        <v>2026+22</v>
      </c>
      <c r="G220" s="74">
        <f t="shared" si="15"/>
        <v>1926.7346178330824</v>
      </c>
      <c r="H220" s="80">
        <f t="shared" si="16"/>
        <v>0.10225251983855294</v>
      </c>
    </row>
    <row r="221" spans="2:8">
      <c r="B221" s="79">
        <v>2026</v>
      </c>
      <c r="C221">
        <v>2048</v>
      </c>
      <c r="D221">
        <f t="shared" si="17"/>
        <v>23</v>
      </c>
      <c r="E221" t="str">
        <f t="shared" si="18"/>
        <v>2026-2048</v>
      </c>
      <c r="F221" s="93" t="str">
        <f t="shared" si="19"/>
        <v>2026+23</v>
      </c>
      <c r="G221" s="74">
        <f t="shared" si="15"/>
        <v>1883.8650295257555</v>
      </c>
      <c r="H221" s="80">
        <f t="shared" si="16"/>
        <v>9.9977414908017398E-2</v>
      </c>
    </row>
    <row r="222" spans="2:8">
      <c r="B222" s="79">
        <v>2026</v>
      </c>
      <c r="C222">
        <v>2049</v>
      </c>
      <c r="D222">
        <f t="shared" si="17"/>
        <v>24</v>
      </c>
      <c r="E222" t="str">
        <f t="shared" si="18"/>
        <v>2026-2049</v>
      </c>
      <c r="F222" s="93" t="str">
        <f t="shared" si="19"/>
        <v>2026+24</v>
      </c>
      <c r="G222" s="74">
        <f t="shared" si="15"/>
        <v>1844.5679069107057</v>
      </c>
      <c r="H222" s="80">
        <f t="shared" si="16"/>
        <v>9.7891902055026472E-2</v>
      </c>
    </row>
    <row r="223" spans="2:8">
      <c r="B223" s="93">
        <v>2027</v>
      </c>
      <c r="C223" s="93">
        <v>2027</v>
      </c>
      <c r="D223" s="93">
        <f t="shared" si="17"/>
        <v>1</v>
      </c>
      <c r="E223" s="93" t="str">
        <f t="shared" si="18"/>
        <v>2027-2027</v>
      </c>
      <c r="F223" s="93" t="str">
        <f t="shared" si="19"/>
        <v>2027+01</v>
      </c>
      <c r="G223" s="76">
        <f t="shared" si="15"/>
        <v>3191.69220317189</v>
      </c>
      <c r="H223" s="77">
        <f t="shared" si="16"/>
        <v>0.16938428743779479</v>
      </c>
    </row>
    <row r="224" spans="2:8">
      <c r="B224" s="79">
        <v>2027</v>
      </c>
      <c r="C224">
        <v>2028</v>
      </c>
      <c r="D224">
        <f t="shared" si="17"/>
        <v>2</v>
      </c>
      <c r="E224" t="str">
        <f t="shared" si="18"/>
        <v>2027-2028</v>
      </c>
      <c r="F224" s="93" t="str">
        <f t="shared" si="19"/>
        <v>2027+02</v>
      </c>
      <c r="G224" s="74">
        <f t="shared" si="15"/>
        <v>3133.3281346659082</v>
      </c>
      <c r="H224" s="80">
        <f t="shared" si="16"/>
        <v>0.16628688470389968</v>
      </c>
    </row>
    <row r="225" spans="2:8">
      <c r="B225" s="79">
        <v>2027</v>
      </c>
      <c r="C225">
        <v>2029</v>
      </c>
      <c r="D225">
        <f t="shared" si="17"/>
        <v>3</v>
      </c>
      <c r="E225" t="str">
        <f t="shared" si="18"/>
        <v>2027-2029</v>
      </c>
      <c r="F225" s="93" t="str">
        <f t="shared" si="19"/>
        <v>2027+03</v>
      </c>
      <c r="G225" s="74">
        <f t="shared" si="15"/>
        <v>3030.7158156280288</v>
      </c>
      <c r="H225" s="80">
        <f t="shared" si="16"/>
        <v>0.16084121092454906</v>
      </c>
    </row>
    <row r="226" spans="2:8">
      <c r="B226" s="79">
        <v>2027</v>
      </c>
      <c r="C226">
        <v>2030</v>
      </c>
      <c r="D226">
        <f t="shared" si="17"/>
        <v>4</v>
      </c>
      <c r="E226" t="str">
        <f t="shared" si="18"/>
        <v>2027-2030</v>
      </c>
      <c r="F226" s="93" t="str">
        <f t="shared" si="19"/>
        <v>2027+04</v>
      </c>
      <c r="G226" s="74">
        <f t="shared" si="15"/>
        <v>2917.0414339571744</v>
      </c>
      <c r="H226" s="80">
        <f t="shared" si="16"/>
        <v>0.15480846938383458</v>
      </c>
    </row>
    <row r="227" spans="2:8">
      <c r="B227" s="79">
        <v>2027</v>
      </c>
      <c r="C227">
        <v>2031</v>
      </c>
      <c r="D227">
        <f t="shared" si="17"/>
        <v>5</v>
      </c>
      <c r="E227" t="str">
        <f t="shared" si="18"/>
        <v>2027-2031</v>
      </c>
      <c r="F227" s="93" t="str">
        <f t="shared" si="19"/>
        <v>2027+05</v>
      </c>
      <c r="G227" s="74">
        <f t="shared" si="15"/>
        <v>2832.0633407217479</v>
      </c>
      <c r="H227" s="80">
        <f t="shared" si="16"/>
        <v>0.15029865049960742</v>
      </c>
    </row>
    <row r="228" spans="2:8">
      <c r="B228" s="79">
        <v>2027</v>
      </c>
      <c r="C228">
        <v>2032</v>
      </c>
      <c r="D228">
        <f t="shared" si="17"/>
        <v>6</v>
      </c>
      <c r="E228" t="str">
        <f t="shared" si="18"/>
        <v>2027-2032</v>
      </c>
      <c r="F228" s="93" t="str">
        <f t="shared" si="19"/>
        <v>2027+06</v>
      </c>
      <c r="G228" s="74">
        <f t="shared" si="15"/>
        <v>2761.4333917040353</v>
      </c>
      <c r="H228" s="80">
        <f t="shared" si="16"/>
        <v>0.14655029294362393</v>
      </c>
    </row>
    <row r="229" spans="2:8">
      <c r="B229" s="79">
        <v>2027</v>
      </c>
      <c r="C229">
        <v>2033</v>
      </c>
      <c r="D229">
        <f t="shared" si="17"/>
        <v>7</v>
      </c>
      <c r="E229" t="str">
        <f t="shared" si="18"/>
        <v>2027-2033</v>
      </c>
      <c r="F229" s="93" t="str">
        <f t="shared" si="19"/>
        <v>2027+07</v>
      </c>
      <c r="G229" s="74">
        <f t="shared" si="15"/>
        <v>2693.3024738291197</v>
      </c>
      <c r="H229" s="80">
        <f t="shared" si="16"/>
        <v>0.14293455989603968</v>
      </c>
    </row>
    <row r="230" spans="2:8">
      <c r="B230" s="79">
        <v>2027</v>
      </c>
      <c r="C230">
        <v>2034</v>
      </c>
      <c r="D230">
        <f t="shared" si="17"/>
        <v>8</v>
      </c>
      <c r="E230" t="str">
        <f t="shared" si="18"/>
        <v>2027-2034</v>
      </c>
      <c r="F230" s="93" t="str">
        <f t="shared" si="19"/>
        <v>2027+08</v>
      </c>
      <c r="G230" s="74">
        <f t="shared" si="15"/>
        <v>2626.733450418451</v>
      </c>
      <c r="H230" s="80">
        <f t="shared" si="16"/>
        <v>0.13940171716620497</v>
      </c>
    </row>
    <row r="231" spans="2:8">
      <c r="B231" s="79">
        <v>2027</v>
      </c>
      <c r="C231">
        <v>2035</v>
      </c>
      <c r="D231">
        <f t="shared" si="17"/>
        <v>9</v>
      </c>
      <c r="E231" t="str">
        <f t="shared" si="18"/>
        <v>2027-2035</v>
      </c>
      <c r="F231" s="93" t="str">
        <f t="shared" si="19"/>
        <v>2027+09</v>
      </c>
      <c r="G231" s="74">
        <f t="shared" si="15"/>
        <v>2561.2056899839477</v>
      </c>
      <c r="H231" s="80">
        <f t="shared" si="16"/>
        <v>0.1359241346482033</v>
      </c>
    </row>
    <row r="232" spans="2:8">
      <c r="B232" s="79">
        <v>2027</v>
      </c>
      <c r="C232">
        <v>2036</v>
      </c>
      <c r="D232">
        <f t="shared" si="17"/>
        <v>10</v>
      </c>
      <c r="E232" t="str">
        <f t="shared" si="18"/>
        <v>2027-2036</v>
      </c>
      <c r="F232" s="93" t="str">
        <f t="shared" si="19"/>
        <v>2027+10</v>
      </c>
      <c r="G232" s="74">
        <f t="shared" si="15"/>
        <v>2497.048819087986</v>
      </c>
      <c r="H232" s="80">
        <f t="shared" si="16"/>
        <v>0.1325193057457949</v>
      </c>
    </row>
    <row r="233" spans="2:8">
      <c r="B233" s="79">
        <v>2027</v>
      </c>
      <c r="C233">
        <v>2037</v>
      </c>
      <c r="D233">
        <f t="shared" si="17"/>
        <v>11</v>
      </c>
      <c r="E233" t="str">
        <f t="shared" si="18"/>
        <v>2027-2037</v>
      </c>
      <c r="F233" s="93" t="str">
        <f t="shared" si="19"/>
        <v>2027+11</v>
      </c>
      <c r="G233" s="74">
        <f t="shared" si="15"/>
        <v>2433.8889587655085</v>
      </c>
      <c r="H233" s="80">
        <f t="shared" si="16"/>
        <v>0.12916738856381804</v>
      </c>
    </row>
    <row r="234" spans="2:8">
      <c r="B234" s="79">
        <v>2027</v>
      </c>
      <c r="C234">
        <v>2038</v>
      </c>
      <c r="D234">
        <f t="shared" si="17"/>
        <v>12</v>
      </c>
      <c r="E234" t="str">
        <f t="shared" si="18"/>
        <v>2027-2038</v>
      </c>
      <c r="F234" s="93" t="str">
        <f t="shared" si="19"/>
        <v>2027+12</v>
      </c>
      <c r="G234" s="74">
        <f t="shared" si="15"/>
        <v>2371.476856373145</v>
      </c>
      <c r="H234" s="80">
        <f t="shared" si="16"/>
        <v>0.12585515517216481</v>
      </c>
    </row>
    <row r="235" spans="2:8">
      <c r="B235" s="79">
        <v>2027</v>
      </c>
      <c r="C235">
        <v>2039</v>
      </c>
      <c r="D235">
        <f t="shared" si="17"/>
        <v>13</v>
      </c>
      <c r="E235" t="str">
        <f t="shared" si="18"/>
        <v>2027-2039</v>
      </c>
      <c r="F235" s="93" t="str">
        <f t="shared" si="19"/>
        <v>2027+13</v>
      </c>
      <c r="G235" s="74">
        <f t="shared" si="15"/>
        <v>2309.6399523885607</v>
      </c>
      <c r="H235" s="80">
        <f t="shared" si="16"/>
        <v>0.12257344777306819</v>
      </c>
    </row>
    <row r="236" spans="2:8">
      <c r="B236" s="79">
        <v>2027</v>
      </c>
      <c r="C236">
        <v>2040</v>
      </c>
      <c r="D236">
        <f t="shared" si="17"/>
        <v>14</v>
      </c>
      <c r="E236" t="str">
        <f t="shared" si="18"/>
        <v>2027-2040</v>
      </c>
      <c r="F236" s="93" t="str">
        <f t="shared" si="19"/>
        <v>2027+14</v>
      </c>
      <c r="G236" s="74">
        <f t="shared" si="15"/>
        <v>2248.2549900100889</v>
      </c>
      <c r="H236" s="80">
        <f t="shared" si="16"/>
        <v>0.11931572508240894</v>
      </c>
    </row>
    <row r="237" spans="2:8">
      <c r="B237" s="79">
        <v>2027</v>
      </c>
      <c r="C237">
        <v>2041</v>
      </c>
      <c r="D237">
        <f t="shared" si="17"/>
        <v>15</v>
      </c>
      <c r="E237" t="str">
        <f t="shared" si="18"/>
        <v>2027-2041</v>
      </c>
      <c r="F237" s="93" t="str">
        <f t="shared" si="19"/>
        <v>2027+15</v>
      </c>
      <c r="G237" s="74">
        <f t="shared" si="15"/>
        <v>2188.2611373844079</v>
      </c>
      <c r="H237" s="80">
        <f t="shared" si="16"/>
        <v>0.11613182910160288</v>
      </c>
    </row>
    <row r="238" spans="2:8">
      <c r="B238" s="79">
        <v>2027</v>
      </c>
      <c r="C238">
        <v>2042</v>
      </c>
      <c r="D238">
        <f t="shared" si="17"/>
        <v>16</v>
      </c>
      <c r="E238" t="str">
        <f t="shared" si="18"/>
        <v>2027-2042</v>
      </c>
      <c r="F238" s="93" t="str">
        <f t="shared" si="19"/>
        <v>2027+16</v>
      </c>
      <c r="G238" s="74">
        <f t="shared" si="15"/>
        <v>2129.3975614328701</v>
      </c>
      <c r="H238" s="80">
        <f t="shared" si="16"/>
        <v>0.11300791732255254</v>
      </c>
    </row>
    <row r="239" spans="2:8">
      <c r="B239" s="79">
        <v>2027</v>
      </c>
      <c r="C239">
        <v>2043</v>
      </c>
      <c r="D239">
        <f t="shared" si="17"/>
        <v>17</v>
      </c>
      <c r="E239" t="str">
        <f t="shared" si="18"/>
        <v>2027-2043</v>
      </c>
      <c r="F239" s="93" t="str">
        <f t="shared" si="19"/>
        <v>2027+17</v>
      </c>
      <c r="G239" s="74">
        <f t="shared" si="15"/>
        <v>2071.46480156592</v>
      </c>
      <c r="H239" s="80">
        <f t="shared" si="16"/>
        <v>0.10993340429788927</v>
      </c>
    </row>
    <row r="240" spans="2:8">
      <c r="B240" s="79">
        <v>2027</v>
      </c>
      <c r="C240">
        <v>2044</v>
      </c>
      <c r="D240">
        <f t="shared" si="17"/>
        <v>18</v>
      </c>
      <c r="E240" t="str">
        <f t="shared" si="18"/>
        <v>2027-2044</v>
      </c>
      <c r="F240" s="93" t="str">
        <f t="shared" si="19"/>
        <v>2027+18</v>
      </c>
      <c r="G240" s="74">
        <f t="shared" si="15"/>
        <v>2014.3077217694599</v>
      </c>
      <c r="H240" s="80">
        <f t="shared" si="16"/>
        <v>0.10690005690188187</v>
      </c>
    </row>
    <row r="241" spans="2:8">
      <c r="B241" s="79">
        <v>2027</v>
      </c>
      <c r="C241">
        <v>2045</v>
      </c>
      <c r="D241">
        <f t="shared" si="17"/>
        <v>19</v>
      </c>
      <c r="E241" t="str">
        <f t="shared" si="18"/>
        <v>2027-2045</v>
      </c>
      <c r="F241" s="93" t="str">
        <f t="shared" si="19"/>
        <v>2027+19</v>
      </c>
      <c r="G241" s="74">
        <f t="shared" si="15"/>
        <v>1957.8038462428863</v>
      </c>
      <c r="H241" s="80">
        <f t="shared" si="16"/>
        <v>0.10390137529842679</v>
      </c>
    </row>
    <row r="242" spans="2:8">
      <c r="B242" s="79">
        <v>2027</v>
      </c>
      <c r="C242">
        <v>2046</v>
      </c>
      <c r="D242">
        <f t="shared" si="17"/>
        <v>20</v>
      </c>
      <c r="E242" t="str">
        <f t="shared" si="18"/>
        <v>2027-2046</v>
      </c>
      <c r="F242" s="93" t="str">
        <f t="shared" si="19"/>
        <v>2027+20</v>
      </c>
      <c r="G242" s="74">
        <f t="shared" si="15"/>
        <v>1906.9503582689699</v>
      </c>
      <c r="H242" s="80">
        <f t="shared" si="16"/>
        <v>0.10120256185531722</v>
      </c>
    </row>
    <row r="243" spans="2:8">
      <c r="B243" s="79">
        <v>2027</v>
      </c>
      <c r="C243">
        <v>2047</v>
      </c>
      <c r="D243">
        <f t="shared" si="17"/>
        <v>21</v>
      </c>
      <c r="E243" t="str">
        <f t="shared" si="18"/>
        <v>2027-2047</v>
      </c>
      <c r="F243" s="93" t="str">
        <f t="shared" si="19"/>
        <v>2027+21</v>
      </c>
      <c r="G243" s="74">
        <f t="shared" si="15"/>
        <v>1860.9400596259029</v>
      </c>
      <c r="H243" s="80">
        <f t="shared" si="16"/>
        <v>9.8760778263932369E-2</v>
      </c>
    </row>
    <row r="244" spans="2:8">
      <c r="B244" s="79">
        <v>2027</v>
      </c>
      <c r="C244">
        <v>2048</v>
      </c>
      <c r="D244">
        <f t="shared" si="17"/>
        <v>22</v>
      </c>
      <c r="E244" t="str">
        <f t="shared" si="18"/>
        <v>2027-2048</v>
      </c>
      <c r="F244" s="93" t="str">
        <f t="shared" si="19"/>
        <v>2027+22</v>
      </c>
      <c r="G244" s="74">
        <f t="shared" si="15"/>
        <v>1819.112515404933</v>
      </c>
      <c r="H244" s="80">
        <f t="shared" si="16"/>
        <v>9.6540974999037049E-2</v>
      </c>
    </row>
    <row r="245" spans="2:8">
      <c r="B245" s="79">
        <v>2027</v>
      </c>
      <c r="C245">
        <v>2049</v>
      </c>
      <c r="D245">
        <f t="shared" si="17"/>
        <v>23</v>
      </c>
      <c r="E245" t="str">
        <f t="shared" si="18"/>
        <v>2027-2049</v>
      </c>
      <c r="F245" s="93" t="str">
        <f t="shared" si="19"/>
        <v>2027+23</v>
      </c>
      <c r="G245" s="74">
        <f t="shared" si="15"/>
        <v>1780.922148942308</v>
      </c>
      <c r="H245" s="80">
        <f t="shared" si="16"/>
        <v>9.4514198105002195E-2</v>
      </c>
    </row>
    <row r="246" spans="2:8">
      <c r="B246" s="93">
        <v>2028</v>
      </c>
      <c r="C246" s="93">
        <v>2028</v>
      </c>
      <c r="D246" s="93">
        <f t="shared" si="17"/>
        <v>1</v>
      </c>
      <c r="E246" s="93" t="str">
        <f t="shared" si="18"/>
        <v>2028-2028</v>
      </c>
      <c r="F246" s="93" t="str">
        <f t="shared" si="19"/>
        <v>2028+01</v>
      </c>
      <c r="G246" s="76">
        <f t="shared" si="15"/>
        <v>3074.9640661599265</v>
      </c>
      <c r="H246" s="77">
        <f t="shared" si="16"/>
        <v>0.16318948197000455</v>
      </c>
    </row>
    <row r="247" spans="2:8">
      <c r="B247" s="79">
        <v>2028</v>
      </c>
      <c r="C247">
        <v>2029</v>
      </c>
      <c r="D247">
        <f t="shared" si="17"/>
        <v>2</v>
      </c>
      <c r="E247" t="str">
        <f t="shared" si="18"/>
        <v>2028-2029</v>
      </c>
      <c r="F247" s="93" t="str">
        <f t="shared" si="19"/>
        <v>2028+02</v>
      </c>
      <c r="G247" s="74">
        <f t="shared" si="15"/>
        <v>2950.2276218560974</v>
      </c>
      <c r="H247" s="80">
        <f t="shared" si="16"/>
        <v>0.15656967266792621</v>
      </c>
    </row>
    <row r="248" spans="2:8">
      <c r="B248" s="79">
        <v>2028</v>
      </c>
      <c r="C248">
        <v>2030</v>
      </c>
      <c r="D248">
        <f t="shared" si="17"/>
        <v>3</v>
      </c>
      <c r="E248" t="str">
        <f t="shared" si="18"/>
        <v>2028-2030</v>
      </c>
      <c r="F248" s="93" t="str">
        <f t="shared" si="19"/>
        <v>2028+03</v>
      </c>
      <c r="G248" s="74">
        <f t="shared" si="15"/>
        <v>2825.4911775522687</v>
      </c>
      <c r="H248" s="80">
        <f t="shared" si="16"/>
        <v>0.14994986336584784</v>
      </c>
    </row>
    <row r="249" spans="2:8">
      <c r="B249" s="79">
        <v>2028</v>
      </c>
      <c r="C249">
        <v>2031</v>
      </c>
      <c r="D249">
        <f t="shared" si="17"/>
        <v>4</v>
      </c>
      <c r="E249" t="str">
        <f t="shared" si="18"/>
        <v>2028-2031</v>
      </c>
      <c r="F249" s="93" t="str">
        <f t="shared" si="19"/>
        <v>2028+04</v>
      </c>
      <c r="G249" s="74">
        <f t="shared" si="15"/>
        <v>2742.1561251092126</v>
      </c>
      <c r="H249" s="80">
        <f t="shared" si="16"/>
        <v>0.14552724126506059</v>
      </c>
    </row>
    <row r="250" spans="2:8">
      <c r="B250" s="79">
        <v>2028</v>
      </c>
      <c r="C250">
        <v>2032</v>
      </c>
      <c r="D250">
        <f t="shared" si="17"/>
        <v>5</v>
      </c>
      <c r="E250" t="str">
        <f t="shared" si="18"/>
        <v>2028-2032</v>
      </c>
      <c r="F250" s="93" t="str">
        <f t="shared" si="19"/>
        <v>2028+05</v>
      </c>
      <c r="G250" s="74">
        <f t="shared" si="15"/>
        <v>2675.3816294104649</v>
      </c>
      <c r="H250" s="80">
        <f t="shared" si="16"/>
        <v>0.14198349404478977</v>
      </c>
    </row>
    <row r="251" spans="2:8">
      <c r="B251" s="79">
        <v>2028</v>
      </c>
      <c r="C251">
        <v>2033</v>
      </c>
      <c r="D251">
        <f t="shared" si="17"/>
        <v>6</v>
      </c>
      <c r="E251" t="str">
        <f t="shared" si="18"/>
        <v>2028-2033</v>
      </c>
      <c r="F251" s="93" t="str">
        <f t="shared" si="19"/>
        <v>2028+06</v>
      </c>
      <c r="G251" s="74">
        <f t="shared" si="15"/>
        <v>2610.237518938658</v>
      </c>
      <c r="H251" s="80">
        <f t="shared" si="16"/>
        <v>0.13852627197241382</v>
      </c>
    </row>
    <row r="252" spans="2:8">
      <c r="B252" s="79">
        <v>2028</v>
      </c>
      <c r="C252">
        <v>2034</v>
      </c>
      <c r="D252">
        <f t="shared" si="17"/>
        <v>7</v>
      </c>
      <c r="E252" t="str">
        <f t="shared" si="18"/>
        <v>2028-2034</v>
      </c>
      <c r="F252" s="93" t="str">
        <f t="shared" si="19"/>
        <v>2028+07</v>
      </c>
      <c r="G252" s="74">
        <f t="shared" si="15"/>
        <v>2546.0250571679603</v>
      </c>
      <c r="H252" s="80">
        <f t="shared" si="16"/>
        <v>0.13511849284169214</v>
      </c>
    </row>
    <row r="253" spans="2:8">
      <c r="B253" s="79">
        <v>2028</v>
      </c>
      <c r="C253">
        <v>2035</v>
      </c>
      <c r="D253">
        <f t="shared" si="17"/>
        <v>8</v>
      </c>
      <c r="E253" t="str">
        <f t="shared" si="18"/>
        <v>2028-2035</v>
      </c>
      <c r="F253" s="93" t="str">
        <f t="shared" si="19"/>
        <v>2028+08</v>
      </c>
      <c r="G253" s="74">
        <f t="shared" si="15"/>
        <v>2482.3948758354554</v>
      </c>
      <c r="H253" s="80">
        <f t="shared" si="16"/>
        <v>0.13174161554950437</v>
      </c>
    </row>
    <row r="254" spans="2:8">
      <c r="B254" s="79">
        <v>2028</v>
      </c>
      <c r="C254">
        <v>2036</v>
      </c>
      <c r="D254">
        <f t="shared" si="17"/>
        <v>9</v>
      </c>
      <c r="E254" t="str">
        <f t="shared" si="18"/>
        <v>2028-2036</v>
      </c>
      <c r="F254" s="93" t="str">
        <f t="shared" si="19"/>
        <v>2028+09</v>
      </c>
      <c r="G254" s="74">
        <f t="shared" si="15"/>
        <v>2419.8662208564415</v>
      </c>
      <c r="H254" s="80">
        <f t="shared" si="16"/>
        <v>0.12842319666890606</v>
      </c>
    </row>
    <row r="255" spans="2:8">
      <c r="B255" s="79">
        <v>2028</v>
      </c>
      <c r="C255">
        <v>2037</v>
      </c>
      <c r="D255">
        <f t="shared" si="17"/>
        <v>10</v>
      </c>
      <c r="E255" t="str">
        <f t="shared" si="18"/>
        <v>2028-2037</v>
      </c>
      <c r="F255" s="93" t="str">
        <f t="shared" si="19"/>
        <v>2028+10</v>
      </c>
      <c r="G255" s="74">
        <f t="shared" si="15"/>
        <v>2358.1086343248708</v>
      </c>
      <c r="H255" s="80">
        <f t="shared" si="16"/>
        <v>0.12514569867642039</v>
      </c>
    </row>
    <row r="256" spans="2:8">
      <c r="B256" s="79">
        <v>2028</v>
      </c>
      <c r="C256">
        <v>2038</v>
      </c>
      <c r="D256">
        <f t="shared" si="17"/>
        <v>11</v>
      </c>
      <c r="E256" t="str">
        <f t="shared" si="18"/>
        <v>2028-2038</v>
      </c>
      <c r="F256" s="93" t="str">
        <f t="shared" si="19"/>
        <v>2028+11</v>
      </c>
      <c r="G256" s="74">
        <f t="shared" si="15"/>
        <v>2296.9118248459868</v>
      </c>
      <c r="H256" s="80">
        <f t="shared" si="16"/>
        <v>0.12189796132983481</v>
      </c>
    </row>
    <row r="257" spans="2:8">
      <c r="B257" s="79">
        <v>2028</v>
      </c>
      <c r="C257">
        <v>2039</v>
      </c>
      <c r="D257">
        <f t="shared" si="17"/>
        <v>12</v>
      </c>
      <c r="E257" t="str">
        <f t="shared" si="18"/>
        <v>2028-2039</v>
      </c>
      <c r="F257" s="93" t="str">
        <f t="shared" si="19"/>
        <v>2028+12</v>
      </c>
      <c r="G257" s="74">
        <f t="shared" si="15"/>
        <v>2236.1355981566171</v>
      </c>
      <c r="H257" s="80">
        <f t="shared" si="16"/>
        <v>0.11867254446767432</v>
      </c>
    </row>
    <row r="258" spans="2:8">
      <c r="B258" s="79">
        <v>2028</v>
      </c>
      <c r="C258">
        <v>2040</v>
      </c>
      <c r="D258">
        <f t="shared" si="17"/>
        <v>13</v>
      </c>
      <c r="E258" t="str">
        <f t="shared" si="18"/>
        <v>2028-2040</v>
      </c>
      <c r="F258" s="93" t="str">
        <f t="shared" si="19"/>
        <v>2028+13</v>
      </c>
      <c r="G258" s="74">
        <f t="shared" si="15"/>
        <v>2175.6828966899507</v>
      </c>
      <c r="H258" s="80">
        <f t="shared" si="16"/>
        <v>0.11546429720891772</v>
      </c>
    </row>
    <row r="259" spans="2:8">
      <c r="B259" s="79">
        <v>2028</v>
      </c>
      <c r="C259">
        <v>2041</v>
      </c>
      <c r="D259">
        <f t="shared" si="17"/>
        <v>14</v>
      </c>
      <c r="E259" t="str">
        <f t="shared" si="18"/>
        <v>2028-2041</v>
      </c>
      <c r="F259" s="93" t="str">
        <f t="shared" si="19"/>
        <v>2028+14</v>
      </c>
      <c r="G259" s="74">
        <f t="shared" ref="G259:G322" si="20">AVERAGEIFS(AF_Source_Energy_Btu_per_kWh,AnnualFactorYear,"&gt;="&amp;$B259,AnnualFactorYear,"&lt;="&amp;$C259)</f>
        <v>2116.5874898281595</v>
      </c>
      <c r="H259" s="80">
        <f t="shared" ref="H259:H322" si="21">AVERAGEIFS(AF_Emissions_Intensity_metric_tonnes_per_MWh,AnnualFactorYear,"&gt;="&amp;$B259,AnnualFactorYear,"&lt;="&amp;$C259)</f>
        <v>0.11232808207758918</v>
      </c>
    </row>
    <row r="260" spans="2:8">
      <c r="B260" s="79">
        <v>2028</v>
      </c>
      <c r="C260">
        <v>2042</v>
      </c>
      <c r="D260">
        <f t="shared" ref="D260:D323" si="22">1+(C260-B260)</f>
        <v>15</v>
      </c>
      <c r="E260" t="str">
        <f t="shared" ref="E260:E323" si="23">B260&amp;"-"&amp;C260</f>
        <v>2028-2042</v>
      </c>
      <c r="F260" s="93" t="str">
        <f t="shared" ref="F260:F323" si="24">B260&amp;"+"&amp;TEXT(D260,"00")</f>
        <v>2028+15</v>
      </c>
      <c r="G260" s="74">
        <f t="shared" si="20"/>
        <v>2058.5779186502687</v>
      </c>
      <c r="H260" s="80">
        <f t="shared" si="21"/>
        <v>0.10924949264820306</v>
      </c>
    </row>
    <row r="261" spans="2:8">
      <c r="B261" s="79">
        <v>2028</v>
      </c>
      <c r="C261">
        <v>2043</v>
      </c>
      <c r="D261">
        <f t="shared" si="22"/>
        <v>16</v>
      </c>
      <c r="E261" t="str">
        <f t="shared" si="23"/>
        <v>2028-2043</v>
      </c>
      <c r="F261" s="93" t="str">
        <f t="shared" si="24"/>
        <v>2028+16</v>
      </c>
      <c r="G261" s="74">
        <f t="shared" si="20"/>
        <v>2001.450588965547</v>
      </c>
      <c r="H261" s="80">
        <f t="shared" si="21"/>
        <v>0.10621772410164518</v>
      </c>
    </row>
    <row r="262" spans="2:8">
      <c r="B262" s="79">
        <v>2028</v>
      </c>
      <c r="C262">
        <v>2044</v>
      </c>
      <c r="D262">
        <f t="shared" si="22"/>
        <v>17</v>
      </c>
      <c r="E262" t="str">
        <f t="shared" si="23"/>
        <v>2028-2044</v>
      </c>
      <c r="F262" s="93" t="str">
        <f t="shared" si="24"/>
        <v>2028+17</v>
      </c>
      <c r="G262" s="74">
        <f t="shared" si="20"/>
        <v>1945.0498110987289</v>
      </c>
      <c r="H262" s="80">
        <f t="shared" si="21"/>
        <v>0.10322451392918111</v>
      </c>
    </row>
    <row r="263" spans="2:8">
      <c r="B263" s="79">
        <v>2028</v>
      </c>
      <c r="C263">
        <v>2045</v>
      </c>
      <c r="D263">
        <f t="shared" si="22"/>
        <v>18</v>
      </c>
      <c r="E263" t="str">
        <f t="shared" si="23"/>
        <v>2028-2045</v>
      </c>
      <c r="F263" s="93" t="str">
        <f t="shared" si="24"/>
        <v>2028+18</v>
      </c>
      <c r="G263" s="74">
        <f t="shared" si="20"/>
        <v>1889.2544930801641</v>
      </c>
      <c r="H263" s="80">
        <f t="shared" si="21"/>
        <v>0.10026343573512858</v>
      </c>
    </row>
    <row r="264" spans="2:8">
      <c r="B264" s="79">
        <v>2028</v>
      </c>
      <c r="C264">
        <v>2046</v>
      </c>
      <c r="D264">
        <f t="shared" si="22"/>
        <v>19</v>
      </c>
      <c r="E264" t="str">
        <f t="shared" si="23"/>
        <v>2028-2046</v>
      </c>
      <c r="F264" s="93" t="str">
        <f t="shared" si="24"/>
        <v>2028+19</v>
      </c>
      <c r="G264" s="74">
        <f t="shared" si="20"/>
        <v>1839.3323664319744</v>
      </c>
      <c r="H264" s="80">
        <f t="shared" si="21"/>
        <v>9.7614049982555254E-2</v>
      </c>
    </row>
    <row r="265" spans="2:8">
      <c r="B265" s="79">
        <v>2028</v>
      </c>
      <c r="C265">
        <v>2047</v>
      </c>
      <c r="D265">
        <f t="shared" si="22"/>
        <v>20</v>
      </c>
      <c r="E265" t="str">
        <f t="shared" si="23"/>
        <v>2028-2047</v>
      </c>
      <c r="F265" s="93" t="str">
        <f t="shared" si="24"/>
        <v>2028+20</v>
      </c>
      <c r="G265" s="74">
        <f t="shared" si="20"/>
        <v>1794.4024524486038</v>
      </c>
      <c r="H265" s="80">
        <f t="shared" si="21"/>
        <v>9.5229602805239261E-2</v>
      </c>
    </row>
    <row r="266" spans="2:8">
      <c r="B266" s="79">
        <v>2028</v>
      </c>
      <c r="C266">
        <v>2048</v>
      </c>
      <c r="D266">
        <f t="shared" si="22"/>
        <v>21</v>
      </c>
      <c r="E266" t="str">
        <f t="shared" si="23"/>
        <v>2028-2048</v>
      </c>
      <c r="F266" s="93" t="str">
        <f t="shared" si="24"/>
        <v>2028+21</v>
      </c>
      <c r="G266" s="74">
        <f t="shared" si="20"/>
        <v>1753.7515778922209</v>
      </c>
      <c r="H266" s="80">
        <f t="shared" si="21"/>
        <v>9.3072245835286685E-2</v>
      </c>
    </row>
    <row r="267" spans="2:8">
      <c r="B267" s="79">
        <v>2028</v>
      </c>
      <c r="C267">
        <v>2049</v>
      </c>
      <c r="D267">
        <f t="shared" si="22"/>
        <v>22</v>
      </c>
      <c r="E267" t="str">
        <f t="shared" si="23"/>
        <v>2028-2049</v>
      </c>
      <c r="F267" s="93" t="str">
        <f t="shared" si="24"/>
        <v>2028+22</v>
      </c>
      <c r="G267" s="74">
        <f t="shared" si="20"/>
        <v>1716.7962373864182</v>
      </c>
      <c r="H267" s="80">
        <f t="shared" si="21"/>
        <v>9.1111012226238908E-2</v>
      </c>
    </row>
    <row r="268" spans="2:8">
      <c r="B268" s="93">
        <v>2029</v>
      </c>
      <c r="C268" s="93">
        <v>2029</v>
      </c>
      <c r="D268" s="93">
        <f t="shared" si="22"/>
        <v>1</v>
      </c>
      <c r="E268" s="93" t="str">
        <f t="shared" si="23"/>
        <v>2029-2029</v>
      </c>
      <c r="F268" s="93" t="str">
        <f t="shared" si="24"/>
        <v>2029+01</v>
      </c>
      <c r="G268" s="76">
        <f t="shared" si="20"/>
        <v>2825.4911775522687</v>
      </c>
      <c r="H268" s="77">
        <f t="shared" si="21"/>
        <v>0.14994986336584784</v>
      </c>
    </row>
    <row r="269" spans="2:8">
      <c r="B269" s="79">
        <v>2029</v>
      </c>
      <c r="C269">
        <v>2030</v>
      </c>
      <c r="D269">
        <f t="shared" si="22"/>
        <v>2</v>
      </c>
      <c r="E269" t="str">
        <f t="shared" si="23"/>
        <v>2029-2030</v>
      </c>
      <c r="F269" s="93" t="str">
        <f t="shared" si="24"/>
        <v>2029+02</v>
      </c>
      <c r="G269" s="74">
        <f t="shared" si="20"/>
        <v>2700.7547332484401</v>
      </c>
      <c r="H269" s="80">
        <f t="shared" si="21"/>
        <v>0.1433300540637695</v>
      </c>
    </row>
    <row r="270" spans="2:8">
      <c r="B270" s="79">
        <v>2029</v>
      </c>
      <c r="C270">
        <v>2031</v>
      </c>
      <c r="D270">
        <f t="shared" si="22"/>
        <v>3</v>
      </c>
      <c r="E270" t="str">
        <f t="shared" si="23"/>
        <v>2029-2031</v>
      </c>
      <c r="F270" s="93" t="str">
        <f t="shared" si="24"/>
        <v>2029+03</v>
      </c>
      <c r="G270" s="74">
        <f t="shared" si="20"/>
        <v>2631.2201447589746</v>
      </c>
      <c r="H270" s="80">
        <f t="shared" si="21"/>
        <v>0.13963982769674593</v>
      </c>
    </row>
    <row r="271" spans="2:8">
      <c r="B271" s="79">
        <v>2029</v>
      </c>
      <c r="C271">
        <v>2032</v>
      </c>
      <c r="D271">
        <f t="shared" si="22"/>
        <v>4</v>
      </c>
      <c r="E271" t="str">
        <f t="shared" si="23"/>
        <v>2029-2032</v>
      </c>
      <c r="F271" s="93" t="str">
        <f t="shared" si="24"/>
        <v>2029+04</v>
      </c>
      <c r="G271" s="74">
        <f t="shared" si="20"/>
        <v>2575.4860202230993</v>
      </c>
      <c r="H271" s="80">
        <f t="shared" si="21"/>
        <v>0.13668199706348605</v>
      </c>
    </row>
    <row r="272" spans="2:8">
      <c r="B272" s="79">
        <v>2029</v>
      </c>
      <c r="C272">
        <v>2033</v>
      </c>
      <c r="D272">
        <f t="shared" si="22"/>
        <v>5</v>
      </c>
      <c r="E272" t="str">
        <f t="shared" si="23"/>
        <v>2029-2033</v>
      </c>
      <c r="F272" s="93" t="str">
        <f t="shared" si="24"/>
        <v>2029+05</v>
      </c>
      <c r="G272" s="74">
        <f t="shared" si="20"/>
        <v>2517.2922094944042</v>
      </c>
      <c r="H272" s="80">
        <f t="shared" si="21"/>
        <v>0.13359362997289567</v>
      </c>
    </row>
    <row r="273" spans="2:8">
      <c r="B273" s="79">
        <v>2029</v>
      </c>
      <c r="C273">
        <v>2034</v>
      </c>
      <c r="D273">
        <f t="shared" si="22"/>
        <v>6</v>
      </c>
      <c r="E273" t="str">
        <f t="shared" si="23"/>
        <v>2029-2034</v>
      </c>
      <c r="F273" s="93" t="str">
        <f t="shared" si="24"/>
        <v>2029+06</v>
      </c>
      <c r="G273" s="74">
        <f t="shared" si="20"/>
        <v>2457.868555669299</v>
      </c>
      <c r="H273" s="80">
        <f t="shared" si="21"/>
        <v>0.13043999465364006</v>
      </c>
    </row>
    <row r="274" spans="2:8">
      <c r="B274" s="79">
        <v>2029</v>
      </c>
      <c r="C274">
        <v>2035</v>
      </c>
      <c r="D274">
        <f t="shared" si="22"/>
        <v>7</v>
      </c>
      <c r="E274" t="str">
        <f t="shared" si="23"/>
        <v>2029-2035</v>
      </c>
      <c r="F274" s="93" t="str">
        <f t="shared" si="24"/>
        <v>2029+07</v>
      </c>
      <c r="G274" s="74">
        <f t="shared" si="20"/>
        <v>2397.7421343605311</v>
      </c>
      <c r="H274" s="80">
        <f t="shared" si="21"/>
        <v>0.12724906320371859</v>
      </c>
    </row>
    <row r="275" spans="2:8">
      <c r="B275" s="79">
        <v>2029</v>
      </c>
      <c r="C275">
        <v>2036</v>
      </c>
      <c r="D275">
        <f t="shared" si="22"/>
        <v>8</v>
      </c>
      <c r="E275" t="str">
        <f t="shared" si="23"/>
        <v>2029-2036</v>
      </c>
      <c r="F275" s="93" t="str">
        <f t="shared" si="24"/>
        <v>2029+08</v>
      </c>
      <c r="G275" s="74">
        <f t="shared" si="20"/>
        <v>2337.978990193506</v>
      </c>
      <c r="H275" s="80">
        <f t="shared" si="21"/>
        <v>0.12407741100626872</v>
      </c>
    </row>
    <row r="276" spans="2:8">
      <c r="B276" s="79">
        <v>2029</v>
      </c>
      <c r="C276">
        <v>2037</v>
      </c>
      <c r="D276">
        <f t="shared" si="22"/>
        <v>9</v>
      </c>
      <c r="E276" t="str">
        <f t="shared" si="23"/>
        <v>2029-2037</v>
      </c>
      <c r="F276" s="93" t="str">
        <f t="shared" si="24"/>
        <v>2029+09</v>
      </c>
      <c r="G276" s="74">
        <f t="shared" si="20"/>
        <v>2278.4580307876427</v>
      </c>
      <c r="H276" s="80">
        <f t="shared" si="21"/>
        <v>0.12091861164379991</v>
      </c>
    </row>
    <row r="277" spans="2:8">
      <c r="B277" s="79">
        <v>2029</v>
      </c>
      <c r="C277">
        <v>2038</v>
      </c>
      <c r="D277">
        <f t="shared" si="22"/>
        <v>10</v>
      </c>
      <c r="E277" t="str">
        <f t="shared" si="23"/>
        <v>2029-2038</v>
      </c>
      <c r="F277" s="93" t="str">
        <f t="shared" si="24"/>
        <v>2029+10</v>
      </c>
      <c r="G277" s="74">
        <f t="shared" si="20"/>
        <v>2219.1066007145928</v>
      </c>
      <c r="H277" s="80">
        <f t="shared" si="21"/>
        <v>0.11776880926581783</v>
      </c>
    </row>
    <row r="278" spans="2:8">
      <c r="B278" s="79">
        <v>2029</v>
      </c>
      <c r="C278">
        <v>2039</v>
      </c>
      <c r="D278">
        <f t="shared" si="22"/>
        <v>11</v>
      </c>
      <c r="E278" t="str">
        <f t="shared" si="23"/>
        <v>2029-2039</v>
      </c>
      <c r="F278" s="93" t="str">
        <f t="shared" si="24"/>
        <v>2029+11</v>
      </c>
      <c r="G278" s="74">
        <f t="shared" si="20"/>
        <v>2159.8784647017706</v>
      </c>
      <c r="H278" s="80">
        <f t="shared" si="21"/>
        <v>0.11462555014928065</v>
      </c>
    </row>
    <row r="279" spans="2:8">
      <c r="B279" s="79">
        <v>2029</v>
      </c>
      <c r="C279">
        <v>2040</v>
      </c>
      <c r="D279">
        <f t="shared" si="22"/>
        <v>12</v>
      </c>
      <c r="E279" t="str">
        <f t="shared" si="23"/>
        <v>2029-2040</v>
      </c>
      <c r="F279" s="93" t="str">
        <f t="shared" si="24"/>
        <v>2029+12</v>
      </c>
      <c r="G279" s="74">
        <f t="shared" si="20"/>
        <v>2100.7427992341195</v>
      </c>
      <c r="H279" s="80">
        <f t="shared" si="21"/>
        <v>0.11148719847882715</v>
      </c>
    </row>
    <row r="280" spans="2:8">
      <c r="B280" s="79">
        <v>2029</v>
      </c>
      <c r="C280">
        <v>2041</v>
      </c>
      <c r="D280">
        <f t="shared" si="22"/>
        <v>13</v>
      </c>
      <c r="E280" t="str">
        <f t="shared" si="23"/>
        <v>2029-2041</v>
      </c>
      <c r="F280" s="93" t="str">
        <f t="shared" si="24"/>
        <v>2029+13</v>
      </c>
      <c r="G280" s="74">
        <f t="shared" si="20"/>
        <v>2042.8662147257162</v>
      </c>
      <c r="H280" s="80">
        <f t="shared" si="21"/>
        <v>0.10841566670124954</v>
      </c>
    </row>
    <row r="281" spans="2:8">
      <c r="B281" s="79">
        <v>2029</v>
      </c>
      <c r="C281">
        <v>2042</v>
      </c>
      <c r="D281">
        <f t="shared" si="22"/>
        <v>14</v>
      </c>
      <c r="E281" t="str">
        <f t="shared" si="23"/>
        <v>2029-2042</v>
      </c>
      <c r="F281" s="93" t="str">
        <f t="shared" si="24"/>
        <v>2029+14</v>
      </c>
      <c r="G281" s="74">
        <f t="shared" si="20"/>
        <v>1985.9789081138647</v>
      </c>
      <c r="H281" s="80">
        <f t="shared" si="21"/>
        <v>0.10539663626807438</v>
      </c>
    </row>
    <row r="282" spans="2:8">
      <c r="B282" s="79">
        <v>2029</v>
      </c>
      <c r="C282">
        <v>2043</v>
      </c>
      <c r="D282">
        <f t="shared" si="22"/>
        <v>15</v>
      </c>
      <c r="E282" t="str">
        <f t="shared" si="23"/>
        <v>2029-2043</v>
      </c>
      <c r="F282" s="93" t="str">
        <f t="shared" si="24"/>
        <v>2029+15</v>
      </c>
      <c r="G282" s="74">
        <f t="shared" si="20"/>
        <v>1929.8830238192552</v>
      </c>
      <c r="H282" s="80">
        <f t="shared" si="21"/>
        <v>0.10241960691042122</v>
      </c>
    </row>
    <row r="283" spans="2:8">
      <c r="B283" s="79">
        <v>2029</v>
      </c>
      <c r="C283">
        <v>2044</v>
      </c>
      <c r="D283">
        <f t="shared" si="22"/>
        <v>16</v>
      </c>
      <c r="E283" t="str">
        <f t="shared" si="23"/>
        <v>2029-2044</v>
      </c>
      <c r="F283" s="93" t="str">
        <f t="shared" si="24"/>
        <v>2029+16</v>
      </c>
      <c r="G283" s="74">
        <f t="shared" si="20"/>
        <v>1874.4301701574041</v>
      </c>
      <c r="H283" s="80">
        <f t="shared" si="21"/>
        <v>9.9476703426629648E-2</v>
      </c>
    </row>
    <row r="284" spans="2:8">
      <c r="B284" s="79">
        <v>2029</v>
      </c>
      <c r="C284">
        <v>2045</v>
      </c>
      <c r="D284">
        <f t="shared" si="22"/>
        <v>17</v>
      </c>
      <c r="E284" t="str">
        <f t="shared" si="23"/>
        <v>2029-2045</v>
      </c>
      <c r="F284" s="93" t="str">
        <f t="shared" si="24"/>
        <v>2029+17</v>
      </c>
      <c r="G284" s="74">
        <f t="shared" si="20"/>
        <v>1819.5068711342956</v>
      </c>
      <c r="H284" s="80">
        <f t="shared" si="21"/>
        <v>9.6561903603665275E-2</v>
      </c>
    </row>
    <row r="285" spans="2:8">
      <c r="B285" s="79">
        <v>2029</v>
      </c>
      <c r="C285">
        <v>2046</v>
      </c>
      <c r="D285">
        <f t="shared" si="22"/>
        <v>18</v>
      </c>
      <c r="E285" t="str">
        <f t="shared" si="23"/>
        <v>2029-2046</v>
      </c>
      <c r="F285" s="93" t="str">
        <f t="shared" si="24"/>
        <v>2029+18</v>
      </c>
      <c r="G285" s="74">
        <f t="shared" si="20"/>
        <v>1770.6861608915324</v>
      </c>
      <c r="H285" s="80">
        <f t="shared" si="21"/>
        <v>9.3970970427696948E-2</v>
      </c>
    </row>
    <row r="286" spans="2:8">
      <c r="B286" s="79">
        <v>2029</v>
      </c>
      <c r="C286">
        <v>2047</v>
      </c>
      <c r="D286">
        <f t="shared" si="22"/>
        <v>19</v>
      </c>
      <c r="E286" t="str">
        <f t="shared" si="23"/>
        <v>2029-2047</v>
      </c>
      <c r="F286" s="93" t="str">
        <f t="shared" si="24"/>
        <v>2029+19</v>
      </c>
      <c r="G286" s="74">
        <f t="shared" si="20"/>
        <v>1727.0044727795864</v>
      </c>
      <c r="H286" s="80">
        <f t="shared" si="21"/>
        <v>9.165276705972529E-2</v>
      </c>
    </row>
    <row r="287" spans="2:8">
      <c r="B287" s="79">
        <v>2029</v>
      </c>
      <c r="C287">
        <v>2048</v>
      </c>
      <c r="D287">
        <f t="shared" si="22"/>
        <v>20</v>
      </c>
      <c r="E287" t="str">
        <f t="shared" si="23"/>
        <v>2029-2048</v>
      </c>
      <c r="F287" s="93" t="str">
        <f t="shared" si="24"/>
        <v>2029+20</v>
      </c>
      <c r="G287" s="74">
        <f t="shared" si="20"/>
        <v>1687.6909534788351</v>
      </c>
      <c r="H287" s="80">
        <f t="shared" si="21"/>
        <v>8.95663840285508E-2</v>
      </c>
    </row>
    <row r="288" spans="2:8">
      <c r="B288" s="79">
        <v>2029</v>
      </c>
      <c r="C288">
        <v>2049</v>
      </c>
      <c r="D288">
        <f t="shared" si="22"/>
        <v>21</v>
      </c>
      <c r="E288" t="str">
        <f t="shared" si="23"/>
        <v>2029-2049</v>
      </c>
      <c r="F288" s="93" t="str">
        <f t="shared" si="24"/>
        <v>2029+21</v>
      </c>
      <c r="G288" s="74">
        <f t="shared" si="20"/>
        <v>1652.1215788733937</v>
      </c>
      <c r="H288" s="80">
        <f t="shared" si="21"/>
        <v>8.7678704143202446E-2</v>
      </c>
    </row>
    <row r="289" spans="2:8">
      <c r="B289" s="93">
        <v>2030</v>
      </c>
      <c r="C289" s="93">
        <v>2030</v>
      </c>
      <c r="D289" s="93">
        <f t="shared" si="22"/>
        <v>1</v>
      </c>
      <c r="E289" s="93" t="str">
        <f t="shared" si="23"/>
        <v>2030-2030</v>
      </c>
      <c r="F289" s="93" t="str">
        <f t="shared" si="24"/>
        <v>2030+01</v>
      </c>
      <c r="G289" s="76">
        <f t="shared" si="20"/>
        <v>2576.0182889446114</v>
      </c>
      <c r="H289" s="77">
        <f t="shared" si="21"/>
        <v>0.13671024476169116</v>
      </c>
    </row>
    <row r="290" spans="2:8">
      <c r="B290" s="79">
        <v>2030</v>
      </c>
      <c r="C290">
        <v>2031</v>
      </c>
      <c r="D290">
        <f t="shared" si="22"/>
        <v>2</v>
      </c>
      <c r="E290" t="str">
        <f t="shared" si="23"/>
        <v>2030-2031</v>
      </c>
      <c r="F290" s="93" t="str">
        <f t="shared" si="24"/>
        <v>2030+02</v>
      </c>
      <c r="G290" s="74">
        <f t="shared" si="20"/>
        <v>2534.0846283623273</v>
      </c>
      <c r="H290" s="80">
        <f t="shared" si="21"/>
        <v>0.13448480986219497</v>
      </c>
    </row>
    <row r="291" spans="2:8">
      <c r="B291" s="79">
        <v>2030</v>
      </c>
      <c r="C291">
        <v>2032</v>
      </c>
      <c r="D291">
        <f t="shared" si="22"/>
        <v>3</v>
      </c>
      <c r="E291" t="str">
        <f t="shared" si="23"/>
        <v>2030-2032</v>
      </c>
      <c r="F291" s="93" t="str">
        <f t="shared" si="24"/>
        <v>2030+03</v>
      </c>
      <c r="G291" s="74">
        <f t="shared" si="20"/>
        <v>2492.1509677800427</v>
      </c>
      <c r="H291" s="80">
        <f t="shared" si="21"/>
        <v>0.13225937496269879</v>
      </c>
    </row>
    <row r="292" spans="2:8">
      <c r="B292" s="79">
        <v>2030</v>
      </c>
      <c r="C292">
        <v>2033</v>
      </c>
      <c r="D292">
        <f t="shared" si="22"/>
        <v>4</v>
      </c>
      <c r="E292" t="str">
        <f t="shared" si="23"/>
        <v>2030-2033</v>
      </c>
      <c r="F292" s="93" t="str">
        <f t="shared" si="24"/>
        <v>2030+04</v>
      </c>
      <c r="G292" s="74">
        <f t="shared" si="20"/>
        <v>2440.2424674799381</v>
      </c>
      <c r="H292" s="80">
        <f t="shared" si="21"/>
        <v>0.12950457162465764</v>
      </c>
    </row>
    <row r="293" spans="2:8">
      <c r="B293" s="79">
        <v>2030</v>
      </c>
      <c r="C293">
        <v>2034</v>
      </c>
      <c r="D293">
        <f t="shared" si="22"/>
        <v>5</v>
      </c>
      <c r="E293" t="str">
        <f t="shared" si="23"/>
        <v>2030-2034</v>
      </c>
      <c r="F293" s="93" t="str">
        <f t="shared" si="24"/>
        <v>2030+05</v>
      </c>
      <c r="G293" s="74">
        <f t="shared" si="20"/>
        <v>2384.344031292705</v>
      </c>
      <c r="H293" s="80">
        <f t="shared" si="21"/>
        <v>0.12653802091119853</v>
      </c>
    </row>
    <row r="294" spans="2:8">
      <c r="B294" s="79">
        <v>2030</v>
      </c>
      <c r="C294">
        <v>2035</v>
      </c>
      <c r="D294">
        <f t="shared" si="22"/>
        <v>6</v>
      </c>
      <c r="E294" t="str">
        <f t="shared" si="23"/>
        <v>2030-2035</v>
      </c>
      <c r="F294" s="93" t="str">
        <f t="shared" si="24"/>
        <v>2030+06</v>
      </c>
      <c r="G294" s="74">
        <f t="shared" si="20"/>
        <v>2326.450627161908</v>
      </c>
      <c r="H294" s="80">
        <f t="shared" si="21"/>
        <v>0.1234655965100304</v>
      </c>
    </row>
    <row r="295" spans="2:8">
      <c r="B295" s="79">
        <v>2030</v>
      </c>
      <c r="C295">
        <v>2036</v>
      </c>
      <c r="D295">
        <f t="shared" si="22"/>
        <v>7</v>
      </c>
      <c r="E295" t="str">
        <f t="shared" si="23"/>
        <v>2030-2036</v>
      </c>
      <c r="F295" s="93" t="str">
        <f t="shared" si="24"/>
        <v>2030+07</v>
      </c>
      <c r="G295" s="74">
        <f t="shared" si="20"/>
        <v>2268.3343919993963</v>
      </c>
      <c r="H295" s="80">
        <f t="shared" si="21"/>
        <v>0.12038134638347171</v>
      </c>
    </row>
    <row r="296" spans="2:8">
      <c r="B296" s="79">
        <v>2030</v>
      </c>
      <c r="C296">
        <v>2037</v>
      </c>
      <c r="D296">
        <f t="shared" si="22"/>
        <v>8</v>
      </c>
      <c r="E296" t="str">
        <f t="shared" si="23"/>
        <v>2030-2037</v>
      </c>
      <c r="F296" s="93" t="str">
        <f t="shared" si="24"/>
        <v>2030+08</v>
      </c>
      <c r="G296" s="74">
        <f t="shared" si="20"/>
        <v>2210.0788874420641</v>
      </c>
      <c r="H296" s="80">
        <f t="shared" si="21"/>
        <v>0.11728970517854391</v>
      </c>
    </row>
    <row r="297" spans="2:8">
      <c r="B297" s="79">
        <v>2030</v>
      </c>
      <c r="C297">
        <v>2038</v>
      </c>
      <c r="D297">
        <f t="shared" si="22"/>
        <v>9</v>
      </c>
      <c r="E297" t="str">
        <f t="shared" si="23"/>
        <v>2030-2038</v>
      </c>
      <c r="F297" s="93" t="str">
        <f t="shared" si="24"/>
        <v>2030+09</v>
      </c>
      <c r="G297" s="74">
        <f t="shared" si="20"/>
        <v>2151.7305366215173</v>
      </c>
      <c r="H297" s="80">
        <f t="shared" si="21"/>
        <v>0.11419313658803672</v>
      </c>
    </row>
    <row r="298" spans="2:8">
      <c r="B298" s="79">
        <v>2030</v>
      </c>
      <c r="C298">
        <v>2039</v>
      </c>
      <c r="D298">
        <f t="shared" si="22"/>
        <v>10</v>
      </c>
      <c r="E298" t="str">
        <f t="shared" si="23"/>
        <v>2030-2039</v>
      </c>
      <c r="F298" s="93" t="str">
        <f t="shared" si="24"/>
        <v>2030+10</v>
      </c>
      <c r="G298" s="74">
        <f t="shared" si="20"/>
        <v>2093.3171934167208</v>
      </c>
      <c r="H298" s="80">
        <f t="shared" si="21"/>
        <v>0.11109311882762393</v>
      </c>
    </row>
    <row r="299" spans="2:8">
      <c r="B299" s="79">
        <v>2030</v>
      </c>
      <c r="C299">
        <v>2040</v>
      </c>
      <c r="D299">
        <f t="shared" si="22"/>
        <v>11</v>
      </c>
      <c r="E299" t="str">
        <f t="shared" si="23"/>
        <v>2030-2040</v>
      </c>
      <c r="F299" s="93" t="str">
        <f t="shared" si="24"/>
        <v>2030+11</v>
      </c>
      <c r="G299" s="74">
        <f t="shared" si="20"/>
        <v>2034.8565830233783</v>
      </c>
      <c r="H299" s="80">
        <f t="shared" si="21"/>
        <v>0.10799059258000709</v>
      </c>
    </row>
    <row r="300" spans="2:8">
      <c r="B300" s="79">
        <v>2030</v>
      </c>
      <c r="C300">
        <v>2041</v>
      </c>
      <c r="D300">
        <f t="shared" si="22"/>
        <v>12</v>
      </c>
      <c r="E300" t="str">
        <f t="shared" si="23"/>
        <v>2030-2041</v>
      </c>
      <c r="F300" s="93" t="str">
        <f t="shared" si="24"/>
        <v>2030+12</v>
      </c>
      <c r="G300" s="74">
        <f t="shared" si="20"/>
        <v>1977.6474678235033</v>
      </c>
      <c r="H300" s="80">
        <f t="shared" si="21"/>
        <v>0.10495448364586635</v>
      </c>
    </row>
    <row r="301" spans="2:8">
      <c r="B301" s="79">
        <v>2030</v>
      </c>
      <c r="C301">
        <v>2042</v>
      </c>
      <c r="D301">
        <f t="shared" si="22"/>
        <v>13</v>
      </c>
      <c r="E301" t="str">
        <f t="shared" si="23"/>
        <v>2030-2042</v>
      </c>
      <c r="F301" s="93" t="str">
        <f t="shared" si="24"/>
        <v>2030+13</v>
      </c>
      <c r="G301" s="74">
        <f t="shared" si="20"/>
        <v>1921.4010412339874</v>
      </c>
      <c r="H301" s="80">
        <f t="shared" si="21"/>
        <v>0.10196946495286105</v>
      </c>
    </row>
    <row r="302" spans="2:8">
      <c r="B302" s="79">
        <v>2030</v>
      </c>
      <c r="C302">
        <v>2043</v>
      </c>
      <c r="D302">
        <f t="shared" si="22"/>
        <v>14</v>
      </c>
      <c r="E302" t="str">
        <f t="shared" si="23"/>
        <v>2030-2043</v>
      </c>
      <c r="F302" s="93" t="str">
        <f t="shared" si="24"/>
        <v>2030+14</v>
      </c>
      <c r="G302" s="74">
        <f t="shared" si="20"/>
        <v>1865.9110128383254</v>
      </c>
      <c r="H302" s="80">
        <f t="shared" si="21"/>
        <v>9.9024588592176457E-2</v>
      </c>
    </row>
    <row r="303" spans="2:8">
      <c r="B303" s="79">
        <v>2030</v>
      </c>
      <c r="C303">
        <v>2044</v>
      </c>
      <c r="D303">
        <f t="shared" si="22"/>
        <v>15</v>
      </c>
      <c r="E303" t="str">
        <f t="shared" si="23"/>
        <v>2030-2044</v>
      </c>
      <c r="F303" s="93" t="str">
        <f t="shared" si="24"/>
        <v>2030+15</v>
      </c>
      <c r="G303" s="74">
        <f t="shared" si="20"/>
        <v>1811.0261029977462</v>
      </c>
      <c r="H303" s="80">
        <f t="shared" si="21"/>
        <v>9.6111826097348432E-2</v>
      </c>
    </row>
    <row r="304" spans="2:8">
      <c r="B304" s="79">
        <v>2030</v>
      </c>
      <c r="C304">
        <v>2045</v>
      </c>
      <c r="D304">
        <f t="shared" si="22"/>
        <v>16</v>
      </c>
      <c r="E304" t="str">
        <f t="shared" si="23"/>
        <v>2030-2045</v>
      </c>
      <c r="F304" s="93" t="str">
        <f t="shared" si="24"/>
        <v>2030+16</v>
      </c>
      <c r="G304" s="74">
        <f t="shared" si="20"/>
        <v>1756.632851983172</v>
      </c>
      <c r="H304" s="80">
        <f t="shared" si="21"/>
        <v>9.3225156118528871E-2</v>
      </c>
    </row>
    <row r="305" spans="2:8">
      <c r="B305" s="79">
        <v>2030</v>
      </c>
      <c r="C305">
        <v>2046</v>
      </c>
      <c r="D305">
        <f t="shared" si="22"/>
        <v>17</v>
      </c>
      <c r="E305" t="str">
        <f t="shared" si="23"/>
        <v>2030-2046</v>
      </c>
      <c r="F305" s="93" t="str">
        <f t="shared" si="24"/>
        <v>2030+17</v>
      </c>
      <c r="G305" s="74">
        <f t="shared" si="20"/>
        <v>1708.6388069703123</v>
      </c>
      <c r="H305" s="80">
        <f t="shared" si="21"/>
        <v>9.0678094372511606E-2</v>
      </c>
    </row>
    <row r="306" spans="2:8">
      <c r="B306" s="79">
        <v>2030</v>
      </c>
      <c r="C306">
        <v>2047</v>
      </c>
      <c r="D306">
        <f t="shared" si="22"/>
        <v>18</v>
      </c>
      <c r="E306" t="str">
        <f t="shared" si="23"/>
        <v>2030-2047</v>
      </c>
      <c r="F306" s="93" t="str">
        <f t="shared" si="24"/>
        <v>2030+18</v>
      </c>
      <c r="G306" s="74">
        <f t="shared" si="20"/>
        <v>1665.9774336255482</v>
      </c>
      <c r="H306" s="80">
        <f t="shared" si="21"/>
        <v>8.8414039487162921E-2</v>
      </c>
    </row>
    <row r="307" spans="2:8">
      <c r="B307" s="79">
        <v>2030</v>
      </c>
      <c r="C307">
        <v>2048</v>
      </c>
      <c r="D307">
        <f t="shared" si="22"/>
        <v>19</v>
      </c>
      <c r="E307" t="str">
        <f t="shared" si="23"/>
        <v>2030-2048</v>
      </c>
      <c r="F307" s="93" t="str">
        <f t="shared" si="24"/>
        <v>2030+19</v>
      </c>
      <c r="G307" s="74">
        <f t="shared" si="20"/>
        <v>1627.8067311591803</v>
      </c>
      <c r="H307" s="80">
        <f t="shared" si="21"/>
        <v>8.6388306168693058E-2</v>
      </c>
    </row>
    <row r="308" spans="2:8">
      <c r="B308" s="79">
        <v>2030</v>
      </c>
      <c r="C308">
        <v>2049</v>
      </c>
      <c r="D308">
        <f t="shared" si="22"/>
        <v>20</v>
      </c>
      <c r="E308" t="str">
        <f t="shared" si="23"/>
        <v>2030-2049</v>
      </c>
      <c r="F308" s="93" t="str">
        <f t="shared" si="24"/>
        <v>2030+20</v>
      </c>
      <c r="G308" s="74">
        <f t="shared" si="20"/>
        <v>1593.4530989394493</v>
      </c>
      <c r="H308" s="80">
        <f t="shared" si="21"/>
        <v>8.4565146182070172E-2</v>
      </c>
    </row>
    <row r="309" spans="2:8">
      <c r="B309" s="93">
        <v>2031</v>
      </c>
      <c r="C309" s="93">
        <v>2031</v>
      </c>
      <c r="D309" s="93">
        <f t="shared" si="22"/>
        <v>1</v>
      </c>
      <c r="E309" s="93" t="str">
        <f t="shared" si="23"/>
        <v>2031-2031</v>
      </c>
      <c r="F309" s="93" t="str">
        <f t="shared" si="24"/>
        <v>2031+01</v>
      </c>
      <c r="G309" s="76">
        <f t="shared" si="20"/>
        <v>2492.1509677800432</v>
      </c>
      <c r="H309" s="77">
        <f t="shared" si="21"/>
        <v>0.13225937496269879</v>
      </c>
    </row>
    <row r="310" spans="2:8">
      <c r="B310" s="79">
        <v>2031</v>
      </c>
      <c r="C310">
        <v>2032</v>
      </c>
      <c r="D310">
        <f t="shared" si="22"/>
        <v>2</v>
      </c>
      <c r="E310" t="str">
        <f t="shared" si="23"/>
        <v>2031-2032</v>
      </c>
      <c r="F310" s="93" t="str">
        <f t="shared" si="24"/>
        <v>2031+02</v>
      </c>
      <c r="G310" s="74">
        <f t="shared" si="20"/>
        <v>2450.2173071977586</v>
      </c>
      <c r="H310" s="80">
        <f t="shared" si="21"/>
        <v>0.13003394006320262</v>
      </c>
    </row>
    <row r="311" spans="2:8">
      <c r="B311" s="79">
        <v>2031</v>
      </c>
      <c r="C311">
        <v>2033</v>
      </c>
      <c r="D311">
        <f t="shared" si="22"/>
        <v>3</v>
      </c>
      <c r="E311" t="str">
        <f t="shared" si="23"/>
        <v>2031-2033</v>
      </c>
      <c r="F311" s="93" t="str">
        <f t="shared" si="24"/>
        <v>2031+03</v>
      </c>
      <c r="G311" s="74">
        <f t="shared" si="20"/>
        <v>2394.9838603250469</v>
      </c>
      <c r="H311" s="80">
        <f t="shared" si="21"/>
        <v>0.12710268057897983</v>
      </c>
    </row>
    <row r="312" spans="2:8">
      <c r="B312" s="79">
        <v>2031</v>
      </c>
      <c r="C312">
        <v>2034</v>
      </c>
      <c r="D312">
        <f t="shared" si="22"/>
        <v>4</v>
      </c>
      <c r="E312" t="str">
        <f t="shared" si="23"/>
        <v>2031-2034</v>
      </c>
      <c r="F312" s="93" t="str">
        <f t="shared" si="24"/>
        <v>2031+04</v>
      </c>
      <c r="G312" s="74">
        <f t="shared" si="20"/>
        <v>2336.4254668797284</v>
      </c>
      <c r="H312" s="80">
        <f t="shared" si="21"/>
        <v>0.12399496494857537</v>
      </c>
    </row>
    <row r="313" spans="2:8">
      <c r="B313" s="79">
        <v>2031</v>
      </c>
      <c r="C313">
        <v>2035</v>
      </c>
      <c r="D313">
        <f t="shared" si="22"/>
        <v>5</v>
      </c>
      <c r="E313" t="str">
        <f t="shared" si="23"/>
        <v>2031-2035</v>
      </c>
      <c r="F313" s="93" t="str">
        <f t="shared" si="24"/>
        <v>2031+05</v>
      </c>
      <c r="G313" s="74">
        <f t="shared" si="20"/>
        <v>2276.5370948053669</v>
      </c>
      <c r="H313" s="80">
        <f t="shared" si="21"/>
        <v>0.12081666685969825</v>
      </c>
    </row>
    <row r="314" spans="2:8">
      <c r="B314" s="79">
        <v>2031</v>
      </c>
      <c r="C314">
        <v>2036</v>
      </c>
      <c r="D314">
        <f t="shared" si="22"/>
        <v>6</v>
      </c>
      <c r="E314" t="str">
        <f t="shared" si="23"/>
        <v>2031-2036</v>
      </c>
      <c r="F314" s="93" t="str">
        <f t="shared" si="24"/>
        <v>2031+06</v>
      </c>
      <c r="G314" s="74">
        <f t="shared" si="20"/>
        <v>2217.0537425085272</v>
      </c>
      <c r="H314" s="80">
        <f t="shared" si="21"/>
        <v>0.11765986332043514</v>
      </c>
    </row>
    <row r="315" spans="2:8">
      <c r="B315" s="79">
        <v>2031</v>
      </c>
      <c r="C315">
        <v>2037</v>
      </c>
      <c r="D315">
        <f t="shared" si="22"/>
        <v>7</v>
      </c>
      <c r="E315" t="str">
        <f t="shared" si="23"/>
        <v>2031-2037</v>
      </c>
      <c r="F315" s="93" t="str">
        <f t="shared" si="24"/>
        <v>2031+07</v>
      </c>
      <c r="G315" s="74">
        <f t="shared" si="20"/>
        <v>2157.801830084557</v>
      </c>
      <c r="H315" s="80">
        <f t="shared" si="21"/>
        <v>0.11451534238095144</v>
      </c>
    </row>
    <row r="316" spans="2:8">
      <c r="B316" s="79">
        <v>2031</v>
      </c>
      <c r="C316">
        <v>2038</v>
      </c>
      <c r="D316">
        <f t="shared" si="22"/>
        <v>8</v>
      </c>
      <c r="E316" t="str">
        <f t="shared" si="23"/>
        <v>2031-2038</v>
      </c>
      <c r="F316" s="93" t="str">
        <f t="shared" si="24"/>
        <v>2031+08</v>
      </c>
      <c r="G316" s="74">
        <f t="shared" si="20"/>
        <v>2098.6945675811303</v>
      </c>
      <c r="H316" s="80">
        <f t="shared" si="21"/>
        <v>0.11137849806632991</v>
      </c>
    </row>
    <row r="317" spans="2:8">
      <c r="B317" s="79">
        <v>2031</v>
      </c>
      <c r="C317">
        <v>2039</v>
      </c>
      <c r="D317">
        <f t="shared" si="22"/>
        <v>9</v>
      </c>
      <c r="E317" t="str">
        <f t="shared" si="23"/>
        <v>2031-2039</v>
      </c>
      <c r="F317" s="93" t="str">
        <f t="shared" si="24"/>
        <v>2031+09</v>
      </c>
      <c r="G317" s="74">
        <f t="shared" si="20"/>
        <v>2039.6837383580657</v>
      </c>
      <c r="H317" s="80">
        <f t="shared" si="21"/>
        <v>0.10824677150161648</v>
      </c>
    </row>
    <row r="318" spans="2:8">
      <c r="B318" s="79">
        <v>2031</v>
      </c>
      <c r="C318">
        <v>2040</v>
      </c>
      <c r="D318">
        <f t="shared" si="22"/>
        <v>10</v>
      </c>
      <c r="E318" t="str">
        <f t="shared" si="23"/>
        <v>2031-2040</v>
      </c>
      <c r="F318" s="93" t="str">
        <f t="shared" si="24"/>
        <v>2031+10</v>
      </c>
      <c r="G318" s="74">
        <f t="shared" si="20"/>
        <v>1980.7404124312548</v>
      </c>
      <c r="H318" s="80">
        <f t="shared" si="21"/>
        <v>0.1051186273618387</v>
      </c>
    </row>
    <row r="319" spans="2:8">
      <c r="B319" s="79">
        <v>2031</v>
      </c>
      <c r="C319">
        <v>2041</v>
      </c>
      <c r="D319">
        <f t="shared" si="22"/>
        <v>11</v>
      </c>
      <c r="E319" t="str">
        <f t="shared" si="23"/>
        <v>2031-2041</v>
      </c>
      <c r="F319" s="93" t="str">
        <f t="shared" si="24"/>
        <v>2031+11</v>
      </c>
      <c r="G319" s="74">
        <f t="shared" si="20"/>
        <v>1923.2501204488567</v>
      </c>
      <c r="H319" s="80">
        <f t="shared" si="21"/>
        <v>0.10206759627170046</v>
      </c>
    </row>
    <row r="320" spans="2:8">
      <c r="B320" s="79">
        <v>2031</v>
      </c>
      <c r="C320">
        <v>2042</v>
      </c>
      <c r="D320">
        <f t="shared" si="22"/>
        <v>12</v>
      </c>
      <c r="E320" t="str">
        <f t="shared" si="23"/>
        <v>2031-2042</v>
      </c>
      <c r="F320" s="93" t="str">
        <f t="shared" si="24"/>
        <v>2031+12</v>
      </c>
      <c r="G320" s="74">
        <f t="shared" si="20"/>
        <v>1866.8496039247684</v>
      </c>
      <c r="H320" s="80">
        <f t="shared" si="21"/>
        <v>9.9074399968791874E-2</v>
      </c>
    </row>
    <row r="321" spans="2:8">
      <c r="B321" s="79">
        <v>2031</v>
      </c>
      <c r="C321">
        <v>2043</v>
      </c>
      <c r="D321">
        <f t="shared" si="22"/>
        <v>13</v>
      </c>
      <c r="E321" t="str">
        <f t="shared" si="23"/>
        <v>2031-2043</v>
      </c>
      <c r="F321" s="93" t="str">
        <f t="shared" si="24"/>
        <v>2031+13</v>
      </c>
      <c r="G321" s="74">
        <f t="shared" si="20"/>
        <v>1811.2873762147647</v>
      </c>
      <c r="H321" s="80">
        <f t="shared" si="21"/>
        <v>9.6125691963752258E-2</v>
      </c>
    </row>
    <row r="322" spans="2:8">
      <c r="B322" s="79">
        <v>2031</v>
      </c>
      <c r="C322">
        <v>2044</v>
      </c>
      <c r="D322">
        <f t="shared" si="22"/>
        <v>14</v>
      </c>
      <c r="E322" t="str">
        <f t="shared" si="23"/>
        <v>2031-2044</v>
      </c>
      <c r="F322" s="93" t="str">
        <f t="shared" si="24"/>
        <v>2031+14</v>
      </c>
      <c r="G322" s="74">
        <f t="shared" si="20"/>
        <v>1756.3838040015414</v>
      </c>
      <c r="H322" s="80">
        <f t="shared" si="21"/>
        <v>9.3211939049895401E-2</v>
      </c>
    </row>
    <row r="323" spans="2:8">
      <c r="B323" s="79">
        <v>2031</v>
      </c>
      <c r="C323">
        <v>2045</v>
      </c>
      <c r="D323">
        <f t="shared" si="22"/>
        <v>15</v>
      </c>
      <c r="E323" t="str">
        <f t="shared" si="23"/>
        <v>2031-2045</v>
      </c>
      <c r="F323" s="93" t="str">
        <f t="shared" si="24"/>
        <v>2031+15</v>
      </c>
      <c r="G323" s="74">
        <f t="shared" ref="G323:G386" si="25">AVERAGEIFS(AF_Source_Energy_Btu_per_kWh,AnnualFactorYear,"&gt;="&amp;$B323,AnnualFactorYear,"&lt;="&amp;$C323)</f>
        <v>1702.0071561857426</v>
      </c>
      <c r="H323" s="80">
        <f t="shared" ref="H323:H386" si="26">AVERAGEIFS(AF_Emissions_Intensity_metric_tonnes_per_MWh,AnnualFactorYear,"&gt;="&amp;$B323,AnnualFactorYear,"&lt;="&amp;$C323)</f>
        <v>9.0326150208984726E-2</v>
      </c>
    </row>
    <row r="324" spans="2:8">
      <c r="B324" s="79">
        <v>2031</v>
      </c>
      <c r="C324">
        <v>2046</v>
      </c>
      <c r="D324">
        <f t="shared" ref="D324:D387" si="27">1+(C324-B324)</f>
        <v>16</v>
      </c>
      <c r="E324" t="str">
        <f t="shared" ref="E324:E387" si="28">B324&amp;"-"&amp;C324</f>
        <v>2031-2046</v>
      </c>
      <c r="F324" s="93" t="str">
        <f t="shared" ref="F324:F387" si="29">B324&amp;"+"&amp;TEXT(D324,"00")</f>
        <v>2031+16</v>
      </c>
      <c r="G324" s="74">
        <f t="shared" si="25"/>
        <v>1654.4275893469185</v>
      </c>
      <c r="H324" s="80">
        <f t="shared" si="26"/>
        <v>8.7801084973187893E-2</v>
      </c>
    </row>
    <row r="325" spans="2:8">
      <c r="B325" s="79">
        <v>2031</v>
      </c>
      <c r="C325">
        <v>2047</v>
      </c>
      <c r="D325">
        <f t="shared" si="27"/>
        <v>17</v>
      </c>
      <c r="E325" t="str">
        <f t="shared" si="28"/>
        <v>2031-2047</v>
      </c>
      <c r="F325" s="93" t="str">
        <f t="shared" si="29"/>
        <v>2031+17</v>
      </c>
      <c r="G325" s="74">
        <f t="shared" si="25"/>
        <v>1612.4456186067796</v>
      </c>
      <c r="H325" s="80">
        <f t="shared" si="26"/>
        <v>8.5573086235720103E-2</v>
      </c>
    </row>
    <row r="326" spans="2:8">
      <c r="B326" s="79">
        <v>2031</v>
      </c>
      <c r="C326">
        <v>2048</v>
      </c>
      <c r="D326">
        <f t="shared" si="27"/>
        <v>18</v>
      </c>
      <c r="E326" t="str">
        <f t="shared" si="28"/>
        <v>2031-2048</v>
      </c>
      <c r="F326" s="93" t="str">
        <f t="shared" si="29"/>
        <v>2031+18</v>
      </c>
      <c r="G326" s="74">
        <f t="shared" si="25"/>
        <v>1575.1283112822118</v>
      </c>
      <c r="H326" s="80">
        <f t="shared" si="26"/>
        <v>8.3592642913526499E-2</v>
      </c>
    </row>
    <row r="327" spans="2:8">
      <c r="B327" s="79">
        <v>2031</v>
      </c>
      <c r="C327">
        <v>2049</v>
      </c>
      <c r="D327">
        <f t="shared" si="27"/>
        <v>19</v>
      </c>
      <c r="E327" t="str">
        <f t="shared" si="28"/>
        <v>2031-2049</v>
      </c>
      <c r="F327" s="93" t="str">
        <f t="shared" si="29"/>
        <v>2031+19</v>
      </c>
      <c r="G327" s="74">
        <f t="shared" si="25"/>
        <v>1541.7391415707564</v>
      </c>
      <c r="H327" s="80">
        <f t="shared" si="26"/>
        <v>8.1820667309458542E-2</v>
      </c>
    </row>
    <row r="328" spans="2:8">
      <c r="B328" s="93">
        <v>2032</v>
      </c>
      <c r="C328" s="93">
        <v>2032</v>
      </c>
      <c r="D328" s="93">
        <f t="shared" si="27"/>
        <v>1</v>
      </c>
      <c r="E328" s="93" t="str">
        <f t="shared" si="28"/>
        <v>2032-2032</v>
      </c>
      <c r="F328" s="93" t="str">
        <f t="shared" si="29"/>
        <v>2032+01</v>
      </c>
      <c r="G328" s="76">
        <f t="shared" si="25"/>
        <v>2408.2836466154745</v>
      </c>
      <c r="H328" s="77">
        <f t="shared" si="26"/>
        <v>0.12780850516370645</v>
      </c>
    </row>
    <row r="329" spans="2:8">
      <c r="B329" s="79">
        <v>2032</v>
      </c>
      <c r="C329">
        <v>2033</v>
      </c>
      <c r="D329">
        <f t="shared" si="27"/>
        <v>2</v>
      </c>
      <c r="E329" t="str">
        <f t="shared" si="28"/>
        <v>2032-2033</v>
      </c>
      <c r="F329" s="93" t="str">
        <f t="shared" si="29"/>
        <v>2032+02</v>
      </c>
      <c r="G329" s="74">
        <f t="shared" si="25"/>
        <v>2346.4003065975489</v>
      </c>
      <c r="H329" s="80">
        <f t="shared" si="26"/>
        <v>0.12452433338712035</v>
      </c>
    </row>
    <row r="330" spans="2:8">
      <c r="B330" s="79">
        <v>2032</v>
      </c>
      <c r="C330">
        <v>2034</v>
      </c>
      <c r="D330">
        <f t="shared" si="27"/>
        <v>3</v>
      </c>
      <c r="E330" t="str">
        <f t="shared" si="28"/>
        <v>2032-2034</v>
      </c>
      <c r="F330" s="93" t="str">
        <f t="shared" si="29"/>
        <v>2032+03</v>
      </c>
      <c r="G330" s="74">
        <f t="shared" si="25"/>
        <v>2284.5169665796234</v>
      </c>
      <c r="H330" s="80">
        <f t="shared" si="26"/>
        <v>0.12124016161053423</v>
      </c>
    </row>
    <row r="331" spans="2:8">
      <c r="B331" s="79">
        <v>2032</v>
      </c>
      <c r="C331">
        <v>2035</v>
      </c>
      <c r="D331">
        <f t="shared" si="27"/>
        <v>4</v>
      </c>
      <c r="E331" t="str">
        <f t="shared" si="28"/>
        <v>2032-2035</v>
      </c>
      <c r="F331" s="93" t="str">
        <f t="shared" si="29"/>
        <v>2032+04</v>
      </c>
      <c r="G331" s="74">
        <f t="shared" si="25"/>
        <v>2222.6336265616978</v>
      </c>
      <c r="H331" s="80">
        <f t="shared" si="26"/>
        <v>0.11795598983394812</v>
      </c>
    </row>
    <row r="332" spans="2:8">
      <c r="B332" s="79">
        <v>2032</v>
      </c>
      <c r="C332">
        <v>2036</v>
      </c>
      <c r="D332">
        <f t="shared" si="27"/>
        <v>5</v>
      </c>
      <c r="E332" t="str">
        <f t="shared" si="28"/>
        <v>2032-2036</v>
      </c>
      <c r="F332" s="93" t="str">
        <f t="shared" si="29"/>
        <v>2032+05</v>
      </c>
      <c r="G332" s="74">
        <f t="shared" si="25"/>
        <v>2162.0342974542241</v>
      </c>
      <c r="H332" s="80">
        <f t="shared" si="26"/>
        <v>0.1147399609919824</v>
      </c>
    </row>
    <row r="333" spans="2:8">
      <c r="B333" s="79">
        <v>2032</v>
      </c>
      <c r="C333">
        <v>2037</v>
      </c>
      <c r="D333">
        <f t="shared" si="27"/>
        <v>6</v>
      </c>
      <c r="E333" t="str">
        <f t="shared" si="28"/>
        <v>2032-2037</v>
      </c>
      <c r="F333" s="93" t="str">
        <f t="shared" si="29"/>
        <v>2032+06</v>
      </c>
      <c r="G333" s="74">
        <f t="shared" si="25"/>
        <v>2102.0769738019758</v>
      </c>
      <c r="H333" s="80">
        <f t="shared" si="26"/>
        <v>0.11155800361732689</v>
      </c>
    </row>
    <row r="334" spans="2:8">
      <c r="B334" s="79">
        <v>2032</v>
      </c>
      <c r="C334">
        <v>2038</v>
      </c>
      <c r="D334">
        <f t="shared" si="27"/>
        <v>7</v>
      </c>
      <c r="E334" t="str">
        <f t="shared" si="28"/>
        <v>2032-2038</v>
      </c>
      <c r="F334" s="93" t="str">
        <f t="shared" si="29"/>
        <v>2032+07</v>
      </c>
      <c r="G334" s="74">
        <f t="shared" si="25"/>
        <v>2042.4865104098569</v>
      </c>
      <c r="H334" s="80">
        <f t="shared" si="26"/>
        <v>0.10839551565256292</v>
      </c>
    </row>
    <row r="335" spans="2:8">
      <c r="B335" s="79">
        <v>2032</v>
      </c>
      <c r="C335">
        <v>2039</v>
      </c>
      <c r="D335">
        <f t="shared" si="27"/>
        <v>8</v>
      </c>
      <c r="E335" t="str">
        <f t="shared" si="28"/>
        <v>2032-2039</v>
      </c>
      <c r="F335" s="93" t="str">
        <f t="shared" si="29"/>
        <v>2032+08</v>
      </c>
      <c r="G335" s="74">
        <f t="shared" si="25"/>
        <v>1983.1253346803185</v>
      </c>
      <c r="H335" s="80">
        <f t="shared" si="26"/>
        <v>0.10524519606898118</v>
      </c>
    </row>
    <row r="336" spans="2:8">
      <c r="B336" s="79">
        <v>2032</v>
      </c>
      <c r="C336">
        <v>2040</v>
      </c>
      <c r="D336">
        <f t="shared" si="27"/>
        <v>9</v>
      </c>
      <c r="E336" t="str">
        <f t="shared" si="28"/>
        <v>2032-2040</v>
      </c>
      <c r="F336" s="93" t="str">
        <f t="shared" si="29"/>
        <v>2032+09</v>
      </c>
      <c r="G336" s="74">
        <f t="shared" si="25"/>
        <v>1923.9170173925004</v>
      </c>
      <c r="H336" s="80">
        <f t="shared" si="26"/>
        <v>0.10210298873952091</v>
      </c>
    </row>
    <row r="337" spans="2:8">
      <c r="B337" s="79">
        <v>2032</v>
      </c>
      <c r="C337">
        <v>2041</v>
      </c>
      <c r="D337">
        <f t="shared" si="27"/>
        <v>10</v>
      </c>
      <c r="E337" t="str">
        <f t="shared" si="28"/>
        <v>2032-2041</v>
      </c>
      <c r="F337" s="93" t="str">
        <f t="shared" si="29"/>
        <v>2032+10</v>
      </c>
      <c r="G337" s="74">
        <f t="shared" si="25"/>
        <v>1866.3600357157381</v>
      </c>
      <c r="H337" s="80">
        <f t="shared" si="26"/>
        <v>9.9048418402600619E-2</v>
      </c>
    </row>
    <row r="338" spans="2:8">
      <c r="B338" s="79">
        <v>2032</v>
      </c>
      <c r="C338">
        <v>2042</v>
      </c>
      <c r="D338">
        <f t="shared" si="27"/>
        <v>11</v>
      </c>
      <c r="E338" t="str">
        <f t="shared" si="28"/>
        <v>2032-2042</v>
      </c>
      <c r="F338" s="93" t="str">
        <f t="shared" si="29"/>
        <v>2032+11</v>
      </c>
      <c r="G338" s="74">
        <f t="shared" si="25"/>
        <v>1810.0040253924708</v>
      </c>
      <c r="H338" s="80">
        <f t="shared" si="26"/>
        <v>9.6057584060254886E-2</v>
      </c>
    </row>
    <row r="339" spans="2:8">
      <c r="B339" s="79">
        <v>2032</v>
      </c>
      <c r="C339">
        <v>2043</v>
      </c>
      <c r="D339">
        <f t="shared" si="27"/>
        <v>12</v>
      </c>
      <c r="E339" t="str">
        <f t="shared" si="28"/>
        <v>2032-2043</v>
      </c>
      <c r="F339" s="93" t="str">
        <f t="shared" si="29"/>
        <v>2032+12</v>
      </c>
      <c r="G339" s="74">
        <f t="shared" si="25"/>
        <v>1754.5487435843249</v>
      </c>
      <c r="H339" s="80">
        <f t="shared" si="26"/>
        <v>9.3114551713840046E-2</v>
      </c>
    </row>
    <row r="340" spans="2:8">
      <c r="B340" s="79">
        <v>2032</v>
      </c>
      <c r="C340">
        <v>2044</v>
      </c>
      <c r="D340">
        <f t="shared" si="27"/>
        <v>13</v>
      </c>
      <c r="E340" t="str">
        <f t="shared" si="28"/>
        <v>2032-2044</v>
      </c>
      <c r="F340" s="93" t="str">
        <f t="shared" si="29"/>
        <v>2032+13</v>
      </c>
      <c r="G340" s="74">
        <f t="shared" si="25"/>
        <v>1699.7863298647337</v>
      </c>
      <c r="H340" s="80">
        <f t="shared" si="26"/>
        <v>9.0208290133525909E-2</v>
      </c>
    </row>
    <row r="341" spans="2:8">
      <c r="B341" s="79">
        <v>2032</v>
      </c>
      <c r="C341">
        <v>2045</v>
      </c>
      <c r="D341">
        <f t="shared" si="27"/>
        <v>14</v>
      </c>
      <c r="E341" t="str">
        <f t="shared" si="28"/>
        <v>2032-2045</v>
      </c>
      <c r="F341" s="93" t="str">
        <f t="shared" si="29"/>
        <v>2032+14</v>
      </c>
      <c r="G341" s="74">
        <f t="shared" si="25"/>
        <v>1645.5683125004355</v>
      </c>
      <c r="H341" s="80">
        <f t="shared" si="26"/>
        <v>8.7330919869433726E-2</v>
      </c>
    </row>
    <row r="342" spans="2:8">
      <c r="B342" s="79">
        <v>2032</v>
      </c>
      <c r="C342">
        <v>2046</v>
      </c>
      <c r="D342">
        <f t="shared" si="27"/>
        <v>15</v>
      </c>
      <c r="E342" t="str">
        <f t="shared" si="28"/>
        <v>2032-2046</v>
      </c>
      <c r="F342" s="93" t="str">
        <f t="shared" si="29"/>
        <v>2032+15</v>
      </c>
      <c r="G342" s="74">
        <f t="shared" si="25"/>
        <v>1598.5793641180435</v>
      </c>
      <c r="H342" s="80">
        <f t="shared" si="26"/>
        <v>8.4837198973887168E-2</v>
      </c>
    </row>
    <row r="343" spans="2:8">
      <c r="B343" s="79">
        <v>2032</v>
      </c>
      <c r="C343">
        <v>2047</v>
      </c>
      <c r="D343">
        <f t="shared" si="27"/>
        <v>16</v>
      </c>
      <c r="E343" t="str">
        <f t="shared" si="28"/>
        <v>2032-2047</v>
      </c>
      <c r="F343" s="93" t="str">
        <f t="shared" si="29"/>
        <v>2032+16</v>
      </c>
      <c r="G343" s="74">
        <f t="shared" si="25"/>
        <v>1557.4640342834507</v>
      </c>
      <c r="H343" s="80">
        <f t="shared" si="26"/>
        <v>8.2655193190283929E-2</v>
      </c>
    </row>
    <row r="344" spans="2:8">
      <c r="B344" s="79">
        <v>2032</v>
      </c>
      <c r="C344">
        <v>2048</v>
      </c>
      <c r="D344">
        <f t="shared" si="27"/>
        <v>17</v>
      </c>
      <c r="E344" t="str">
        <f t="shared" si="28"/>
        <v>2032-2048</v>
      </c>
      <c r="F344" s="93" t="str">
        <f t="shared" si="29"/>
        <v>2032+17</v>
      </c>
      <c r="G344" s="74">
        <f t="shared" si="25"/>
        <v>1521.1858020764571</v>
      </c>
      <c r="H344" s="80">
        <f t="shared" si="26"/>
        <v>8.0729893969457539E-2</v>
      </c>
    </row>
    <row r="345" spans="2:8">
      <c r="B345" s="79">
        <v>2032</v>
      </c>
      <c r="C345">
        <v>2049</v>
      </c>
      <c r="D345">
        <f t="shared" si="27"/>
        <v>18</v>
      </c>
      <c r="E345" t="str">
        <f t="shared" si="28"/>
        <v>2032-2049</v>
      </c>
      <c r="F345" s="93" t="str">
        <f t="shared" si="29"/>
        <v>2032+18</v>
      </c>
      <c r="G345" s="74">
        <f t="shared" si="25"/>
        <v>1488.9384845591294</v>
      </c>
      <c r="H345" s="80">
        <f t="shared" si="26"/>
        <v>7.9018516884278536E-2</v>
      </c>
    </row>
    <row r="346" spans="2:8">
      <c r="B346" s="93">
        <v>2033</v>
      </c>
      <c r="C346" s="93">
        <v>2033</v>
      </c>
      <c r="D346" s="93">
        <f t="shared" si="27"/>
        <v>1</v>
      </c>
      <c r="E346" s="93" t="str">
        <f t="shared" si="28"/>
        <v>2033-2033</v>
      </c>
      <c r="F346" s="93" t="str">
        <f t="shared" si="29"/>
        <v>2033+01</v>
      </c>
      <c r="G346" s="76">
        <f t="shared" si="25"/>
        <v>2284.5169665796234</v>
      </c>
      <c r="H346" s="77">
        <f t="shared" si="26"/>
        <v>0.12124016161053423</v>
      </c>
    </row>
    <row r="347" spans="2:8">
      <c r="B347" s="79">
        <v>2033</v>
      </c>
      <c r="C347">
        <v>2034</v>
      </c>
      <c r="D347">
        <f t="shared" si="27"/>
        <v>2</v>
      </c>
      <c r="E347" t="str">
        <f t="shared" si="28"/>
        <v>2033-2034</v>
      </c>
      <c r="F347" s="93" t="str">
        <f t="shared" si="29"/>
        <v>2033+02</v>
      </c>
      <c r="G347" s="74">
        <f t="shared" si="25"/>
        <v>2222.6336265616978</v>
      </c>
      <c r="H347" s="80">
        <f t="shared" si="26"/>
        <v>0.11795598983394812</v>
      </c>
    </row>
    <row r="348" spans="2:8">
      <c r="B348" s="79">
        <v>2033</v>
      </c>
      <c r="C348">
        <v>2035</v>
      </c>
      <c r="D348">
        <f t="shared" si="27"/>
        <v>3</v>
      </c>
      <c r="E348" t="str">
        <f t="shared" si="28"/>
        <v>2033-2035</v>
      </c>
      <c r="F348" s="93" t="str">
        <f t="shared" si="29"/>
        <v>2033+03</v>
      </c>
      <c r="G348" s="74">
        <f t="shared" si="25"/>
        <v>2160.7502865437727</v>
      </c>
      <c r="H348" s="80">
        <f t="shared" si="26"/>
        <v>0.114671818057362</v>
      </c>
    </row>
    <row r="349" spans="2:8">
      <c r="B349" s="79">
        <v>2033</v>
      </c>
      <c r="C349">
        <v>2036</v>
      </c>
      <c r="D349">
        <f t="shared" si="27"/>
        <v>4</v>
      </c>
      <c r="E349" t="str">
        <f t="shared" si="28"/>
        <v>2033-2036</v>
      </c>
      <c r="F349" s="93" t="str">
        <f t="shared" si="29"/>
        <v>2033+04</v>
      </c>
      <c r="G349" s="74">
        <f t="shared" si="25"/>
        <v>2100.4719601639117</v>
      </c>
      <c r="H349" s="80">
        <f t="shared" si="26"/>
        <v>0.11147282494905141</v>
      </c>
    </row>
    <row r="350" spans="2:8">
      <c r="B350" s="79">
        <v>2033</v>
      </c>
      <c r="C350">
        <v>2037</v>
      </c>
      <c r="D350">
        <f t="shared" si="27"/>
        <v>5</v>
      </c>
      <c r="E350" t="str">
        <f t="shared" si="28"/>
        <v>2033-2037</v>
      </c>
      <c r="F350" s="93" t="str">
        <f t="shared" si="29"/>
        <v>2033+05</v>
      </c>
      <c r="G350" s="74">
        <f t="shared" si="25"/>
        <v>2040.8356392392766</v>
      </c>
      <c r="H350" s="80">
        <f t="shared" si="26"/>
        <v>0.108307903308051</v>
      </c>
    </row>
    <row r="351" spans="2:8">
      <c r="B351" s="79">
        <v>2033</v>
      </c>
      <c r="C351">
        <v>2038</v>
      </c>
      <c r="D351">
        <f t="shared" si="27"/>
        <v>6</v>
      </c>
      <c r="E351" t="str">
        <f t="shared" si="28"/>
        <v>2033-2038</v>
      </c>
      <c r="F351" s="93" t="str">
        <f t="shared" si="29"/>
        <v>2033+06</v>
      </c>
      <c r="G351" s="74">
        <f t="shared" si="25"/>
        <v>1981.5203210422542</v>
      </c>
      <c r="H351" s="80">
        <f t="shared" si="26"/>
        <v>0.10516001740070569</v>
      </c>
    </row>
    <row r="352" spans="2:8">
      <c r="B352" s="79">
        <v>2033</v>
      </c>
      <c r="C352">
        <v>2039</v>
      </c>
      <c r="D352">
        <f t="shared" si="27"/>
        <v>7</v>
      </c>
      <c r="E352" t="str">
        <f t="shared" si="28"/>
        <v>2033-2039</v>
      </c>
      <c r="F352" s="93" t="str">
        <f t="shared" si="29"/>
        <v>2033+07</v>
      </c>
      <c r="G352" s="74">
        <f t="shared" si="25"/>
        <v>1922.3884329752964</v>
      </c>
      <c r="H352" s="80">
        <f t="shared" si="26"/>
        <v>0.10202186619830615</v>
      </c>
    </row>
    <row r="353" spans="2:8">
      <c r="B353" s="79">
        <v>2033</v>
      </c>
      <c r="C353">
        <v>2040</v>
      </c>
      <c r="D353">
        <f t="shared" si="27"/>
        <v>8</v>
      </c>
      <c r="E353" t="str">
        <f t="shared" si="28"/>
        <v>2033-2040</v>
      </c>
      <c r="F353" s="93" t="str">
        <f t="shared" si="29"/>
        <v>2033+08</v>
      </c>
      <c r="G353" s="74">
        <f t="shared" si="25"/>
        <v>1863.3711887396289</v>
      </c>
      <c r="H353" s="80">
        <f t="shared" si="26"/>
        <v>9.8889799186497734E-2</v>
      </c>
    </row>
    <row r="354" spans="2:8">
      <c r="B354" s="79">
        <v>2033</v>
      </c>
      <c r="C354">
        <v>2041</v>
      </c>
      <c r="D354">
        <f t="shared" si="27"/>
        <v>9</v>
      </c>
      <c r="E354" t="str">
        <f t="shared" si="28"/>
        <v>2033-2041</v>
      </c>
      <c r="F354" s="93" t="str">
        <f t="shared" si="29"/>
        <v>2033+09</v>
      </c>
      <c r="G354" s="74">
        <f t="shared" si="25"/>
        <v>1806.1463011713231</v>
      </c>
      <c r="H354" s="80">
        <f t="shared" si="26"/>
        <v>9.5852853206922217E-2</v>
      </c>
    </row>
    <row r="355" spans="2:8">
      <c r="B355" s="79">
        <v>2033</v>
      </c>
      <c r="C355">
        <v>2042</v>
      </c>
      <c r="D355">
        <f t="shared" si="27"/>
        <v>10</v>
      </c>
      <c r="E355" t="str">
        <f t="shared" si="28"/>
        <v>2033-2042</v>
      </c>
      <c r="F355" s="93" t="str">
        <f t="shared" si="29"/>
        <v>2033+10</v>
      </c>
      <c r="G355" s="74">
        <f t="shared" si="25"/>
        <v>1750.1760632701705</v>
      </c>
      <c r="H355" s="80">
        <f t="shared" si="26"/>
        <v>9.2882491949909732E-2</v>
      </c>
    </row>
    <row r="356" spans="2:8">
      <c r="B356" s="79">
        <v>2033</v>
      </c>
      <c r="C356">
        <v>2043</v>
      </c>
      <c r="D356">
        <f t="shared" si="27"/>
        <v>11</v>
      </c>
      <c r="E356" t="str">
        <f t="shared" si="28"/>
        <v>2033-2043</v>
      </c>
      <c r="F356" s="93" t="str">
        <f t="shared" si="29"/>
        <v>2033+11</v>
      </c>
      <c r="G356" s="74">
        <f t="shared" si="25"/>
        <v>1695.1182978542204</v>
      </c>
      <c r="H356" s="80">
        <f t="shared" si="26"/>
        <v>8.9960555945670373E-2</v>
      </c>
    </row>
    <row r="357" spans="2:8">
      <c r="B357" s="79">
        <v>2033</v>
      </c>
      <c r="C357">
        <v>2044</v>
      </c>
      <c r="D357">
        <f t="shared" si="27"/>
        <v>12</v>
      </c>
      <c r="E357" t="str">
        <f t="shared" si="28"/>
        <v>2033-2044</v>
      </c>
      <c r="F357" s="93" t="str">
        <f t="shared" si="29"/>
        <v>2033+12</v>
      </c>
      <c r="G357" s="74">
        <f t="shared" si="25"/>
        <v>1640.744886802172</v>
      </c>
      <c r="H357" s="80">
        <f t="shared" si="26"/>
        <v>8.7074938881010852E-2</v>
      </c>
    </row>
    <row r="358" spans="2:8">
      <c r="B358" s="79">
        <v>2033</v>
      </c>
      <c r="C358">
        <v>2045</v>
      </c>
      <c r="D358">
        <f t="shared" si="27"/>
        <v>13</v>
      </c>
      <c r="E358" t="str">
        <f t="shared" si="28"/>
        <v>2033-2045</v>
      </c>
      <c r="F358" s="93" t="str">
        <f t="shared" si="29"/>
        <v>2033+13</v>
      </c>
      <c r="G358" s="74">
        <f t="shared" si="25"/>
        <v>1586.8979021838941</v>
      </c>
      <c r="H358" s="80">
        <f t="shared" si="26"/>
        <v>8.4217259462181962E-2</v>
      </c>
    </row>
    <row r="359" spans="2:8">
      <c r="B359" s="79">
        <v>2033</v>
      </c>
      <c r="C359">
        <v>2046</v>
      </c>
      <c r="D359">
        <f t="shared" si="27"/>
        <v>14</v>
      </c>
      <c r="E359" t="str">
        <f t="shared" si="28"/>
        <v>2033-2046</v>
      </c>
      <c r="F359" s="93" t="str">
        <f t="shared" si="29"/>
        <v>2033+14</v>
      </c>
      <c r="G359" s="74">
        <f t="shared" si="25"/>
        <v>1540.7433439396557</v>
      </c>
      <c r="H359" s="80">
        <f t="shared" si="26"/>
        <v>8.1767819960328642E-2</v>
      </c>
    </row>
    <row r="360" spans="2:8">
      <c r="B360" s="79">
        <v>2033</v>
      </c>
      <c r="C360">
        <v>2047</v>
      </c>
      <c r="D360">
        <f t="shared" si="27"/>
        <v>15</v>
      </c>
      <c r="E360" t="str">
        <f t="shared" si="28"/>
        <v>2033-2047</v>
      </c>
      <c r="F360" s="93" t="str">
        <f t="shared" si="29"/>
        <v>2033+15</v>
      </c>
      <c r="G360" s="74">
        <f t="shared" si="25"/>
        <v>1500.7427267946491</v>
      </c>
      <c r="H360" s="80">
        <f t="shared" si="26"/>
        <v>7.9644972392055757E-2</v>
      </c>
    </row>
    <row r="361" spans="2:8">
      <c r="B361" s="79">
        <v>2033</v>
      </c>
      <c r="C361">
        <v>2048</v>
      </c>
      <c r="D361">
        <f t="shared" si="27"/>
        <v>16</v>
      </c>
      <c r="E361" t="str">
        <f t="shared" si="28"/>
        <v>2033-2048</v>
      </c>
      <c r="F361" s="93" t="str">
        <f t="shared" si="29"/>
        <v>2033+16</v>
      </c>
      <c r="G361" s="74">
        <f t="shared" si="25"/>
        <v>1465.7421867927685</v>
      </c>
      <c r="H361" s="80">
        <f t="shared" si="26"/>
        <v>7.778748076981698E-2</v>
      </c>
    </row>
    <row r="362" spans="2:8">
      <c r="B362" s="79">
        <v>2033</v>
      </c>
      <c r="C362">
        <v>2049</v>
      </c>
      <c r="D362">
        <f t="shared" si="27"/>
        <v>17</v>
      </c>
      <c r="E362" t="str">
        <f t="shared" si="28"/>
        <v>2033-2049</v>
      </c>
      <c r="F362" s="93" t="str">
        <f t="shared" si="29"/>
        <v>2033+17</v>
      </c>
      <c r="G362" s="74">
        <f t="shared" si="25"/>
        <v>1434.8593573793444</v>
      </c>
      <c r="H362" s="80">
        <f t="shared" si="26"/>
        <v>7.6148517573723942E-2</v>
      </c>
    </row>
    <row r="363" spans="2:8">
      <c r="B363" s="93">
        <v>2034</v>
      </c>
      <c r="C363" s="93">
        <v>2034</v>
      </c>
      <c r="D363" s="93">
        <f t="shared" si="27"/>
        <v>1</v>
      </c>
      <c r="E363" s="93" t="str">
        <f t="shared" si="28"/>
        <v>2034-2034</v>
      </c>
      <c r="F363" s="93" t="str">
        <f t="shared" si="29"/>
        <v>2034+01</v>
      </c>
      <c r="G363" s="76">
        <f t="shared" si="25"/>
        <v>2160.7502865437723</v>
      </c>
      <c r="H363" s="77">
        <f t="shared" si="26"/>
        <v>0.114671818057362</v>
      </c>
    </row>
    <row r="364" spans="2:8">
      <c r="B364" s="79">
        <v>2034</v>
      </c>
      <c r="C364">
        <v>2035</v>
      </c>
      <c r="D364">
        <f t="shared" si="27"/>
        <v>2</v>
      </c>
      <c r="E364" t="str">
        <f t="shared" si="28"/>
        <v>2034-2035</v>
      </c>
      <c r="F364" s="93" t="str">
        <f t="shared" si="29"/>
        <v>2034+02</v>
      </c>
      <c r="G364" s="74">
        <f t="shared" si="25"/>
        <v>2098.8669465258472</v>
      </c>
      <c r="H364" s="80">
        <f t="shared" si="26"/>
        <v>0.11138764628077591</v>
      </c>
    </row>
    <row r="365" spans="2:8">
      <c r="B365" s="79">
        <v>2034</v>
      </c>
      <c r="C365">
        <v>2036</v>
      </c>
      <c r="D365">
        <f t="shared" si="27"/>
        <v>3</v>
      </c>
      <c r="E365" t="str">
        <f t="shared" si="28"/>
        <v>2034-2036</v>
      </c>
      <c r="F365" s="93" t="str">
        <f t="shared" si="29"/>
        <v>2034+03</v>
      </c>
      <c r="G365" s="74">
        <f t="shared" si="25"/>
        <v>2039.1236246920078</v>
      </c>
      <c r="H365" s="80">
        <f t="shared" si="26"/>
        <v>0.10821704606189048</v>
      </c>
    </row>
    <row r="366" spans="2:8">
      <c r="B366" s="79">
        <v>2034</v>
      </c>
      <c r="C366">
        <v>2037</v>
      </c>
      <c r="D366">
        <f t="shared" si="27"/>
        <v>4</v>
      </c>
      <c r="E366" t="str">
        <f t="shared" si="28"/>
        <v>2034-2037</v>
      </c>
      <c r="F366" s="93" t="str">
        <f t="shared" si="29"/>
        <v>2034+04</v>
      </c>
      <c r="G366" s="74">
        <f t="shared" si="25"/>
        <v>1979.9153074041897</v>
      </c>
      <c r="H366" s="80">
        <f t="shared" si="26"/>
        <v>0.1050748387324302</v>
      </c>
    </row>
    <row r="367" spans="2:8">
      <c r="B367" s="79">
        <v>2034</v>
      </c>
      <c r="C367">
        <v>2038</v>
      </c>
      <c r="D367">
        <f t="shared" si="27"/>
        <v>5</v>
      </c>
      <c r="E367" t="str">
        <f t="shared" si="28"/>
        <v>2034-2038</v>
      </c>
      <c r="F367" s="93" t="str">
        <f t="shared" si="29"/>
        <v>2034+05</v>
      </c>
      <c r="G367" s="74">
        <f t="shared" si="25"/>
        <v>1920.9209919347802</v>
      </c>
      <c r="H367" s="80">
        <f t="shared" si="26"/>
        <v>0.10194398855874001</v>
      </c>
    </row>
    <row r="368" spans="2:8">
      <c r="B368" s="79">
        <v>2034</v>
      </c>
      <c r="C368">
        <v>2039</v>
      </c>
      <c r="D368">
        <f t="shared" si="27"/>
        <v>6</v>
      </c>
      <c r="E368" t="str">
        <f t="shared" si="28"/>
        <v>2034-2039</v>
      </c>
      <c r="F368" s="93" t="str">
        <f t="shared" si="29"/>
        <v>2034+06</v>
      </c>
      <c r="G368" s="74">
        <f t="shared" si="25"/>
        <v>1862.0336773745751</v>
      </c>
      <c r="H368" s="80">
        <f t="shared" si="26"/>
        <v>9.8818816962934833E-2</v>
      </c>
    </row>
    <row r="369" spans="2:8">
      <c r="B369" s="79">
        <v>2034</v>
      </c>
      <c r="C369">
        <v>2040</v>
      </c>
      <c r="D369">
        <f t="shared" si="27"/>
        <v>7</v>
      </c>
      <c r="E369" t="str">
        <f t="shared" si="28"/>
        <v>2034-2040</v>
      </c>
      <c r="F369" s="93" t="str">
        <f t="shared" si="29"/>
        <v>2034+07</v>
      </c>
      <c r="G369" s="74">
        <f t="shared" si="25"/>
        <v>1803.2075061910582</v>
      </c>
      <c r="H369" s="80">
        <f t="shared" si="26"/>
        <v>9.5696890268778256E-2</v>
      </c>
    </row>
    <row r="370" spans="2:8">
      <c r="B370" s="79">
        <v>2034</v>
      </c>
      <c r="C370">
        <v>2041</v>
      </c>
      <c r="D370">
        <f t="shared" si="27"/>
        <v>8</v>
      </c>
      <c r="E370" t="str">
        <f t="shared" si="28"/>
        <v>2034-2041</v>
      </c>
      <c r="F370" s="93" t="str">
        <f t="shared" si="29"/>
        <v>2034+08</v>
      </c>
      <c r="G370" s="74">
        <f t="shared" si="25"/>
        <v>1746.3499679952856</v>
      </c>
      <c r="H370" s="80">
        <f t="shared" si="26"/>
        <v>9.2679439656470727E-2</v>
      </c>
    </row>
    <row r="371" spans="2:8">
      <c r="B371" s="79">
        <v>2034</v>
      </c>
      <c r="C371">
        <v>2042</v>
      </c>
      <c r="D371">
        <f t="shared" si="27"/>
        <v>9</v>
      </c>
      <c r="E371" t="str">
        <f t="shared" si="28"/>
        <v>2034-2042</v>
      </c>
      <c r="F371" s="93" t="str">
        <f t="shared" si="29"/>
        <v>2034+09</v>
      </c>
      <c r="G371" s="74">
        <f t="shared" si="25"/>
        <v>1690.8048517913423</v>
      </c>
      <c r="H371" s="80">
        <f t="shared" si="26"/>
        <v>8.9731639765395915E-2</v>
      </c>
    </row>
    <row r="372" spans="2:8">
      <c r="B372" s="79">
        <v>2034</v>
      </c>
      <c r="C372">
        <v>2043</v>
      </c>
      <c r="D372">
        <f t="shared" si="27"/>
        <v>10</v>
      </c>
      <c r="E372" t="str">
        <f t="shared" si="28"/>
        <v>2034-2043</v>
      </c>
      <c r="F372" s="93" t="str">
        <f t="shared" si="29"/>
        <v>2034+10</v>
      </c>
      <c r="G372" s="74">
        <f t="shared" si="25"/>
        <v>1636.1784309816799</v>
      </c>
      <c r="H372" s="80">
        <f t="shared" si="26"/>
        <v>8.6832595379184002E-2</v>
      </c>
    </row>
    <row r="373" spans="2:8">
      <c r="B373" s="79">
        <v>2034</v>
      </c>
      <c r="C373">
        <v>2044</v>
      </c>
      <c r="D373">
        <f t="shared" si="27"/>
        <v>11</v>
      </c>
      <c r="E373" t="str">
        <f t="shared" si="28"/>
        <v>2034-2044</v>
      </c>
      <c r="F373" s="93" t="str">
        <f t="shared" si="29"/>
        <v>2034+11</v>
      </c>
      <c r="G373" s="74">
        <f t="shared" si="25"/>
        <v>1582.2201522769487</v>
      </c>
      <c r="H373" s="80">
        <f t="shared" si="26"/>
        <v>8.3969009541963277E-2</v>
      </c>
    </row>
    <row r="374" spans="2:8">
      <c r="B374" s="79">
        <v>2034</v>
      </c>
      <c r="C374">
        <v>2045</v>
      </c>
      <c r="D374">
        <f t="shared" si="27"/>
        <v>12</v>
      </c>
      <c r="E374" t="str">
        <f t="shared" si="28"/>
        <v>2034-2045</v>
      </c>
      <c r="F374" s="93" t="str">
        <f t="shared" si="29"/>
        <v>2034+12</v>
      </c>
      <c r="G374" s="74">
        <f t="shared" si="25"/>
        <v>1528.7629801509163</v>
      </c>
      <c r="H374" s="80">
        <f t="shared" si="26"/>
        <v>8.113201761648596E-2</v>
      </c>
    </row>
    <row r="375" spans="2:8">
      <c r="B375" s="79">
        <v>2034</v>
      </c>
      <c r="C375">
        <v>2046</v>
      </c>
      <c r="D375">
        <f t="shared" si="27"/>
        <v>13</v>
      </c>
      <c r="E375" t="str">
        <f t="shared" si="28"/>
        <v>2034-2046</v>
      </c>
      <c r="F375" s="93" t="str">
        <f t="shared" si="29"/>
        <v>2034+13</v>
      </c>
      <c r="G375" s="74">
        <f t="shared" si="25"/>
        <v>1483.5299883519656</v>
      </c>
      <c r="H375" s="80">
        <f t="shared" si="26"/>
        <v>7.8731485987235922E-2</v>
      </c>
    </row>
    <row r="376" spans="2:8">
      <c r="B376" s="79">
        <v>2034</v>
      </c>
      <c r="C376">
        <v>2047</v>
      </c>
      <c r="D376">
        <f t="shared" si="27"/>
        <v>14</v>
      </c>
      <c r="E376" t="str">
        <f t="shared" si="28"/>
        <v>2034-2047</v>
      </c>
      <c r="F376" s="93" t="str">
        <f t="shared" si="29"/>
        <v>2034+14</v>
      </c>
      <c r="G376" s="74">
        <f t="shared" si="25"/>
        <v>1444.7588525242936</v>
      </c>
      <c r="H376" s="80">
        <f t="shared" si="26"/>
        <v>7.6673887447878744E-2</v>
      </c>
    </row>
    <row r="377" spans="2:8">
      <c r="B377" s="79">
        <v>2034</v>
      </c>
      <c r="C377">
        <v>2048</v>
      </c>
      <c r="D377">
        <f t="shared" si="27"/>
        <v>15</v>
      </c>
      <c r="E377" t="str">
        <f t="shared" si="28"/>
        <v>2034-2048</v>
      </c>
      <c r="F377" s="93" t="str">
        <f t="shared" si="29"/>
        <v>2034+15</v>
      </c>
      <c r="G377" s="74">
        <f t="shared" si="25"/>
        <v>1411.1572014736446</v>
      </c>
      <c r="H377" s="80">
        <f t="shared" si="26"/>
        <v>7.489063538043586E-2</v>
      </c>
    </row>
    <row r="378" spans="2:8">
      <c r="B378" s="79">
        <v>2034</v>
      </c>
      <c r="C378">
        <v>2049</v>
      </c>
      <c r="D378">
        <f t="shared" si="27"/>
        <v>16</v>
      </c>
      <c r="E378" t="str">
        <f t="shared" si="28"/>
        <v>2034-2049</v>
      </c>
      <c r="F378" s="93" t="str">
        <f t="shared" si="29"/>
        <v>2034+16</v>
      </c>
      <c r="G378" s="74">
        <f t="shared" si="25"/>
        <v>1381.7557568043267</v>
      </c>
      <c r="H378" s="80">
        <f t="shared" si="26"/>
        <v>7.3330289821423325E-2</v>
      </c>
    </row>
    <row r="379" spans="2:8">
      <c r="B379" s="93">
        <v>2035</v>
      </c>
      <c r="C379" s="93">
        <v>2035</v>
      </c>
      <c r="D379" s="93">
        <f t="shared" si="27"/>
        <v>1</v>
      </c>
      <c r="E379" s="93" t="str">
        <f t="shared" si="28"/>
        <v>2035-2035</v>
      </c>
      <c r="F379" s="93" t="str">
        <f t="shared" si="29"/>
        <v>2035+01</v>
      </c>
      <c r="G379" s="76">
        <f t="shared" si="25"/>
        <v>2036.9836065079223</v>
      </c>
      <c r="H379" s="77">
        <f t="shared" si="26"/>
        <v>0.10810347450418981</v>
      </c>
    </row>
    <row r="380" spans="2:8">
      <c r="B380" s="79">
        <v>2035</v>
      </c>
      <c r="C380">
        <v>2036</v>
      </c>
      <c r="D380">
        <f t="shared" si="27"/>
        <v>2</v>
      </c>
      <c r="E380" t="str">
        <f t="shared" si="28"/>
        <v>2035-2036</v>
      </c>
      <c r="F380" s="93" t="str">
        <f t="shared" si="29"/>
        <v>2035+02</v>
      </c>
      <c r="G380" s="74">
        <f t="shared" si="25"/>
        <v>1978.3102937661256</v>
      </c>
      <c r="H380" s="80">
        <f t="shared" si="26"/>
        <v>0.10498966006415469</v>
      </c>
    </row>
    <row r="381" spans="2:8">
      <c r="B381" s="79">
        <v>2035</v>
      </c>
      <c r="C381">
        <v>2037</v>
      </c>
      <c r="D381">
        <f t="shared" si="27"/>
        <v>3</v>
      </c>
      <c r="E381" t="str">
        <f t="shared" si="28"/>
        <v>2035-2037</v>
      </c>
      <c r="F381" s="93" t="str">
        <f t="shared" si="29"/>
        <v>2035+03</v>
      </c>
      <c r="G381" s="74">
        <f t="shared" si="25"/>
        <v>1919.6369810243289</v>
      </c>
      <c r="H381" s="80">
        <f t="shared" si="26"/>
        <v>0.1018758456241196</v>
      </c>
    </row>
    <row r="382" spans="2:8">
      <c r="B382" s="79">
        <v>2035</v>
      </c>
      <c r="C382">
        <v>2038</v>
      </c>
      <c r="D382">
        <f t="shared" si="27"/>
        <v>4</v>
      </c>
      <c r="E382" t="str">
        <f t="shared" si="28"/>
        <v>2035-2038</v>
      </c>
      <c r="F382" s="93" t="str">
        <f t="shared" si="29"/>
        <v>2035+04</v>
      </c>
      <c r="G382" s="74">
        <f t="shared" si="25"/>
        <v>1860.9636682825324</v>
      </c>
      <c r="H382" s="80">
        <f t="shared" si="26"/>
        <v>9.8762031184084484E-2</v>
      </c>
    </row>
    <row r="383" spans="2:8">
      <c r="B383" s="79">
        <v>2035</v>
      </c>
      <c r="C383">
        <v>2039</v>
      </c>
      <c r="D383">
        <f t="shared" si="27"/>
        <v>5</v>
      </c>
      <c r="E383" t="str">
        <f t="shared" si="28"/>
        <v>2035-2039</v>
      </c>
      <c r="F383" s="93" t="str">
        <f t="shared" si="29"/>
        <v>2035+05</v>
      </c>
      <c r="G383" s="74">
        <f t="shared" si="25"/>
        <v>1802.2903555407361</v>
      </c>
      <c r="H383" s="80">
        <f t="shared" si="26"/>
        <v>9.5648216744049372E-2</v>
      </c>
    </row>
    <row r="384" spans="2:8">
      <c r="B384" s="79">
        <v>2035</v>
      </c>
      <c r="C384">
        <v>2040</v>
      </c>
      <c r="D384">
        <f t="shared" si="27"/>
        <v>6</v>
      </c>
      <c r="E384" t="str">
        <f t="shared" si="28"/>
        <v>2035-2040</v>
      </c>
      <c r="F384" s="93" t="str">
        <f t="shared" si="29"/>
        <v>2035+06</v>
      </c>
      <c r="G384" s="74">
        <f t="shared" si="25"/>
        <v>1743.6170427989393</v>
      </c>
      <c r="H384" s="80">
        <f t="shared" si="26"/>
        <v>9.253440230401426E-2</v>
      </c>
    </row>
    <row r="385" spans="2:8">
      <c r="B385" s="79">
        <v>2035</v>
      </c>
      <c r="C385">
        <v>2041</v>
      </c>
      <c r="D385">
        <f t="shared" si="27"/>
        <v>7</v>
      </c>
      <c r="E385" t="str">
        <f t="shared" si="28"/>
        <v>2035-2041</v>
      </c>
      <c r="F385" s="93" t="str">
        <f t="shared" si="29"/>
        <v>2035+07</v>
      </c>
      <c r="G385" s="74">
        <f t="shared" si="25"/>
        <v>1687.1499224883592</v>
      </c>
      <c r="H385" s="80">
        <f t="shared" si="26"/>
        <v>8.9537671313486222E-2</v>
      </c>
    </row>
    <row r="386" spans="2:8">
      <c r="B386" s="79">
        <v>2035</v>
      </c>
      <c r="C386">
        <v>2042</v>
      </c>
      <c r="D386">
        <f t="shared" si="27"/>
        <v>8</v>
      </c>
      <c r="E386" t="str">
        <f t="shared" si="28"/>
        <v>2035-2042</v>
      </c>
      <c r="F386" s="93" t="str">
        <f t="shared" si="29"/>
        <v>2035+08</v>
      </c>
      <c r="G386" s="74">
        <f t="shared" si="25"/>
        <v>1632.0616724472889</v>
      </c>
      <c r="H386" s="80">
        <f t="shared" si="26"/>
        <v>8.6614117478900118E-2</v>
      </c>
    </row>
    <row r="387" spans="2:8">
      <c r="B387" s="79">
        <v>2035</v>
      </c>
      <c r="C387">
        <v>2043</v>
      </c>
      <c r="D387">
        <f t="shared" si="27"/>
        <v>9</v>
      </c>
      <c r="E387" t="str">
        <f t="shared" si="28"/>
        <v>2035-2043</v>
      </c>
      <c r="F387" s="93" t="str">
        <f t="shared" si="29"/>
        <v>2035+09</v>
      </c>
      <c r="G387" s="74">
        <f t="shared" ref="G387:G450" si="30">AVERAGEIFS(AF_Source_Energy_Btu_per_kWh,AnnualFactorYear,"&gt;="&amp;$B387,AnnualFactorYear,"&lt;="&amp;$C387)</f>
        <v>1577.8926692525588</v>
      </c>
      <c r="H387" s="80">
        <f t="shared" ref="H387:H450" si="31">AVERAGEIFS(AF_Emissions_Intensity_metric_tonnes_per_MWh,AnnualFactorYear,"&gt;="&amp;$B387,AnnualFactorYear,"&lt;="&amp;$C387)</f>
        <v>8.3739348414941961E-2</v>
      </c>
    </row>
    <row r="388" spans="2:8">
      <c r="B388" s="79">
        <v>2035</v>
      </c>
      <c r="C388">
        <v>2044</v>
      </c>
      <c r="D388">
        <f t="shared" ref="D388:D451" si="32">1+(C388-B388)</f>
        <v>10</v>
      </c>
      <c r="E388" t="str">
        <f t="shared" ref="E388:E451" si="33">B388&amp;"-"&amp;C388</f>
        <v>2035-2044</v>
      </c>
      <c r="F388" s="93" t="str">
        <f t="shared" ref="F388:F451" si="34">B388&amp;"+"&amp;TEXT(D388,"00")</f>
        <v>2035+10</v>
      </c>
      <c r="G388" s="74">
        <f t="shared" si="30"/>
        <v>1524.3671388502667</v>
      </c>
      <c r="H388" s="80">
        <f t="shared" si="31"/>
        <v>8.0898728690423388E-2</v>
      </c>
    </row>
    <row r="389" spans="2:8">
      <c r="B389" s="79">
        <v>2035</v>
      </c>
      <c r="C389">
        <v>2045</v>
      </c>
      <c r="D389">
        <f t="shared" si="32"/>
        <v>11</v>
      </c>
      <c r="E389" t="str">
        <f t="shared" si="33"/>
        <v>2035-2045</v>
      </c>
      <c r="F389" s="93" t="str">
        <f t="shared" si="34"/>
        <v>2035+11</v>
      </c>
      <c r="G389" s="74">
        <f t="shared" si="30"/>
        <v>1471.309588660657</v>
      </c>
      <c r="H389" s="80">
        <f t="shared" si="31"/>
        <v>7.808294484913357E-2</v>
      </c>
    </row>
    <row r="390" spans="2:8">
      <c r="B390" s="79">
        <v>2035</v>
      </c>
      <c r="C390">
        <v>2046</v>
      </c>
      <c r="D390">
        <f t="shared" si="32"/>
        <v>12</v>
      </c>
      <c r="E390" t="str">
        <f t="shared" si="33"/>
        <v>2035-2046</v>
      </c>
      <c r="F390" s="93" t="str">
        <f t="shared" si="34"/>
        <v>2035+12</v>
      </c>
      <c r="G390" s="74">
        <f t="shared" si="30"/>
        <v>1427.0949635026489</v>
      </c>
      <c r="H390" s="80">
        <f t="shared" si="31"/>
        <v>7.5736458314725405E-2</v>
      </c>
    </row>
    <row r="391" spans="2:8">
      <c r="B391" s="79">
        <v>2035</v>
      </c>
      <c r="C391">
        <v>2047</v>
      </c>
      <c r="D391">
        <f t="shared" si="32"/>
        <v>13</v>
      </c>
      <c r="E391" t="str">
        <f t="shared" si="33"/>
        <v>2035-2047</v>
      </c>
      <c r="F391" s="93" t="str">
        <f t="shared" si="34"/>
        <v>2035+13</v>
      </c>
      <c r="G391" s="74">
        <f t="shared" si="30"/>
        <v>1389.6825883689494</v>
      </c>
      <c r="H391" s="80">
        <f t="shared" si="31"/>
        <v>7.3750969708687719E-2</v>
      </c>
    </row>
    <row r="392" spans="2:8">
      <c r="B392" s="79">
        <v>2035</v>
      </c>
      <c r="C392">
        <v>2048</v>
      </c>
      <c r="D392">
        <f t="shared" si="32"/>
        <v>14</v>
      </c>
      <c r="E392" t="str">
        <f t="shared" si="33"/>
        <v>2035-2048</v>
      </c>
      <c r="F392" s="93" t="str">
        <f t="shared" si="34"/>
        <v>2035+14</v>
      </c>
      <c r="G392" s="74">
        <f t="shared" si="30"/>
        <v>1357.6148382543502</v>
      </c>
      <c r="H392" s="80">
        <f t="shared" si="31"/>
        <v>7.2049122332083979E-2</v>
      </c>
    </row>
    <row r="393" spans="2:8">
      <c r="B393" s="79">
        <v>2035</v>
      </c>
      <c r="C393">
        <v>2049</v>
      </c>
      <c r="D393">
        <f t="shared" si="32"/>
        <v>15</v>
      </c>
      <c r="E393" t="str">
        <f t="shared" si="33"/>
        <v>2035-2049</v>
      </c>
      <c r="F393" s="93" t="str">
        <f t="shared" si="34"/>
        <v>2035+15</v>
      </c>
      <c r="G393" s="74">
        <f t="shared" si="30"/>
        <v>1329.8227881550306</v>
      </c>
      <c r="H393" s="80">
        <f t="shared" si="31"/>
        <v>7.0574187939027408E-2</v>
      </c>
    </row>
    <row r="394" spans="2:8">
      <c r="B394" s="93">
        <v>2036</v>
      </c>
      <c r="C394" s="93">
        <v>2036</v>
      </c>
      <c r="D394" s="93">
        <f t="shared" si="32"/>
        <v>1</v>
      </c>
      <c r="E394" s="93" t="str">
        <f t="shared" si="33"/>
        <v>2036-2036</v>
      </c>
      <c r="F394" s="93" t="str">
        <f t="shared" si="34"/>
        <v>2036+01</v>
      </c>
      <c r="G394" s="76">
        <f t="shared" si="30"/>
        <v>1919.6369810243291</v>
      </c>
      <c r="H394" s="77">
        <f t="shared" si="31"/>
        <v>0.1018758456241196</v>
      </c>
    </row>
    <row r="395" spans="2:8">
      <c r="B395" s="79">
        <v>2036</v>
      </c>
      <c r="C395">
        <v>2037</v>
      </c>
      <c r="D395">
        <f t="shared" si="32"/>
        <v>2</v>
      </c>
      <c r="E395" t="str">
        <f t="shared" si="33"/>
        <v>2036-2037</v>
      </c>
      <c r="F395" s="93" t="str">
        <f t="shared" si="34"/>
        <v>2036+02</v>
      </c>
      <c r="G395" s="74">
        <f t="shared" si="30"/>
        <v>1860.9636682825326</v>
      </c>
      <c r="H395" s="80">
        <f t="shared" si="31"/>
        <v>9.8762031184084484E-2</v>
      </c>
    </row>
    <row r="396" spans="2:8">
      <c r="B396" s="79">
        <v>2036</v>
      </c>
      <c r="C396">
        <v>2038</v>
      </c>
      <c r="D396">
        <f t="shared" si="32"/>
        <v>3</v>
      </c>
      <c r="E396" t="str">
        <f t="shared" si="33"/>
        <v>2036-2038</v>
      </c>
      <c r="F396" s="93" t="str">
        <f t="shared" si="34"/>
        <v>2036+03</v>
      </c>
      <c r="G396" s="74">
        <f t="shared" si="30"/>
        <v>1802.2903555407358</v>
      </c>
      <c r="H396" s="80">
        <f t="shared" si="31"/>
        <v>9.5648216744049372E-2</v>
      </c>
    </row>
    <row r="397" spans="2:8">
      <c r="B397" s="79">
        <v>2036</v>
      </c>
      <c r="C397">
        <v>2039</v>
      </c>
      <c r="D397">
        <f t="shared" si="32"/>
        <v>4</v>
      </c>
      <c r="E397" t="str">
        <f t="shared" si="33"/>
        <v>2036-2039</v>
      </c>
      <c r="F397" s="93" t="str">
        <f t="shared" si="34"/>
        <v>2036+04</v>
      </c>
      <c r="G397" s="74">
        <f t="shared" si="30"/>
        <v>1743.6170427989393</v>
      </c>
      <c r="H397" s="80">
        <f t="shared" si="31"/>
        <v>9.253440230401426E-2</v>
      </c>
    </row>
    <row r="398" spans="2:8">
      <c r="B398" s="79">
        <v>2036</v>
      </c>
      <c r="C398">
        <v>2040</v>
      </c>
      <c r="D398">
        <f t="shared" si="32"/>
        <v>5</v>
      </c>
      <c r="E398" t="str">
        <f t="shared" si="33"/>
        <v>2036-2040</v>
      </c>
      <c r="F398" s="93" t="str">
        <f t="shared" si="34"/>
        <v>2036+05</v>
      </c>
      <c r="G398" s="74">
        <f t="shared" si="30"/>
        <v>1684.9437300571426</v>
      </c>
      <c r="H398" s="80">
        <f t="shared" si="31"/>
        <v>8.9420587863979148E-2</v>
      </c>
    </row>
    <row r="399" spans="2:8">
      <c r="B399" s="79">
        <v>2036</v>
      </c>
      <c r="C399">
        <v>2041</v>
      </c>
      <c r="D399">
        <f t="shared" si="32"/>
        <v>6</v>
      </c>
      <c r="E399" t="str">
        <f t="shared" si="33"/>
        <v>2036-2041</v>
      </c>
      <c r="F399" s="93" t="str">
        <f t="shared" si="34"/>
        <v>2036+06</v>
      </c>
      <c r="G399" s="74">
        <f t="shared" si="30"/>
        <v>1628.8443084850981</v>
      </c>
      <c r="H399" s="80">
        <f t="shared" si="31"/>
        <v>8.6443370781702292E-2</v>
      </c>
    </row>
    <row r="400" spans="2:8">
      <c r="B400" s="79">
        <v>2036</v>
      </c>
      <c r="C400">
        <v>2042</v>
      </c>
      <c r="D400">
        <f t="shared" si="32"/>
        <v>7</v>
      </c>
      <c r="E400" t="str">
        <f t="shared" si="33"/>
        <v>2036-2042</v>
      </c>
      <c r="F400" s="93" t="str">
        <f t="shared" si="34"/>
        <v>2036+07</v>
      </c>
      <c r="G400" s="74">
        <f t="shared" si="30"/>
        <v>1574.2156818671979</v>
      </c>
      <c r="H400" s="80">
        <f t="shared" si="31"/>
        <v>8.3544209332430161E-2</v>
      </c>
    </row>
    <row r="401" spans="2:8">
      <c r="B401" s="79">
        <v>2036</v>
      </c>
      <c r="C401">
        <v>2043</v>
      </c>
      <c r="D401">
        <f t="shared" si="32"/>
        <v>8</v>
      </c>
      <c r="E401" t="str">
        <f t="shared" si="33"/>
        <v>2036-2043</v>
      </c>
      <c r="F401" s="93" t="str">
        <f t="shared" si="34"/>
        <v>2036+08</v>
      </c>
      <c r="G401" s="74">
        <f t="shared" si="30"/>
        <v>1520.5063020956379</v>
      </c>
      <c r="H401" s="80">
        <f t="shared" si="31"/>
        <v>8.0693832653785991E-2</v>
      </c>
    </row>
    <row r="402" spans="2:8">
      <c r="B402" s="79">
        <v>2036</v>
      </c>
      <c r="C402">
        <v>2044</v>
      </c>
      <c r="D402">
        <f t="shared" si="32"/>
        <v>9</v>
      </c>
      <c r="E402" t="str">
        <f t="shared" si="33"/>
        <v>2036-2044</v>
      </c>
      <c r="F402" s="93" t="str">
        <f t="shared" si="34"/>
        <v>2036+09</v>
      </c>
      <c r="G402" s="74">
        <f t="shared" si="30"/>
        <v>1467.4097535549713</v>
      </c>
      <c r="H402" s="80">
        <f t="shared" si="31"/>
        <v>7.7875979155560451E-2</v>
      </c>
    </row>
    <row r="403" spans="2:8">
      <c r="B403" s="79">
        <v>2036</v>
      </c>
      <c r="C403">
        <v>2045</v>
      </c>
      <c r="D403">
        <f t="shared" si="32"/>
        <v>10</v>
      </c>
      <c r="E403" t="str">
        <f t="shared" si="33"/>
        <v>2036-2045</v>
      </c>
      <c r="F403" s="93" t="str">
        <f t="shared" si="34"/>
        <v>2036+10</v>
      </c>
      <c r="G403" s="74">
        <f t="shared" si="30"/>
        <v>1414.7421868759302</v>
      </c>
      <c r="H403" s="80">
        <f t="shared" si="31"/>
        <v>7.5080891883627959E-2</v>
      </c>
    </row>
    <row r="404" spans="2:8">
      <c r="B404" s="79">
        <v>2036</v>
      </c>
      <c r="C404">
        <v>2046</v>
      </c>
      <c r="D404">
        <f t="shared" si="32"/>
        <v>11</v>
      </c>
      <c r="E404" t="str">
        <f t="shared" si="33"/>
        <v>2036-2046</v>
      </c>
      <c r="F404" s="93" t="str">
        <f t="shared" si="34"/>
        <v>2036+11</v>
      </c>
      <c r="G404" s="74">
        <f t="shared" si="30"/>
        <v>1371.6505414112601</v>
      </c>
      <c r="H404" s="80">
        <f t="shared" si="31"/>
        <v>7.2794002297501367E-2</v>
      </c>
    </row>
    <row r="405" spans="2:8">
      <c r="B405" s="79">
        <v>2036</v>
      </c>
      <c r="C405">
        <v>2047</v>
      </c>
      <c r="D405">
        <f t="shared" si="32"/>
        <v>12</v>
      </c>
      <c r="E405" t="str">
        <f t="shared" si="33"/>
        <v>2036-2047</v>
      </c>
      <c r="F405" s="93" t="str">
        <f t="shared" si="34"/>
        <v>2036+12</v>
      </c>
      <c r="G405" s="74">
        <f t="shared" si="30"/>
        <v>1335.7408368573685</v>
      </c>
      <c r="H405" s="80">
        <f t="shared" si="31"/>
        <v>7.0888260975729214E-2</v>
      </c>
    </row>
    <row r="406" spans="2:8">
      <c r="B406" s="79">
        <v>2036</v>
      </c>
      <c r="C406">
        <v>2048</v>
      </c>
      <c r="D406">
        <f t="shared" si="32"/>
        <v>13</v>
      </c>
      <c r="E406" t="str">
        <f t="shared" si="33"/>
        <v>2036-2048</v>
      </c>
      <c r="F406" s="93" t="str">
        <f t="shared" si="34"/>
        <v>2036+13</v>
      </c>
      <c r="G406" s="74">
        <f t="shared" si="30"/>
        <v>1305.3557022348446</v>
      </c>
      <c r="H406" s="80">
        <f t="shared" si="31"/>
        <v>6.9275710626537382E-2</v>
      </c>
    </row>
    <row r="407" spans="2:8">
      <c r="B407" s="79">
        <v>2036</v>
      </c>
      <c r="C407">
        <v>2049</v>
      </c>
      <c r="D407">
        <f t="shared" si="32"/>
        <v>14</v>
      </c>
      <c r="E407" t="str">
        <f t="shared" si="33"/>
        <v>2036-2049</v>
      </c>
      <c r="F407" s="93" t="str">
        <f t="shared" si="34"/>
        <v>2036+14</v>
      </c>
      <c r="G407" s="74">
        <f t="shared" si="30"/>
        <v>1279.3113011298242</v>
      </c>
      <c r="H407" s="80">
        <f t="shared" si="31"/>
        <v>6.7893524612944386E-2</v>
      </c>
    </row>
    <row r="408" spans="2:8">
      <c r="B408" s="93">
        <v>2037</v>
      </c>
      <c r="C408" s="93">
        <v>2037</v>
      </c>
      <c r="D408" s="93">
        <f t="shared" si="32"/>
        <v>1</v>
      </c>
      <c r="E408" s="93" t="str">
        <f t="shared" si="33"/>
        <v>2037-2037</v>
      </c>
      <c r="F408" s="93" t="str">
        <f t="shared" si="34"/>
        <v>2037+01</v>
      </c>
      <c r="G408" s="76">
        <f t="shared" si="30"/>
        <v>1802.2903555407358</v>
      </c>
      <c r="H408" s="77">
        <f t="shared" si="31"/>
        <v>9.5648216744049372E-2</v>
      </c>
    </row>
    <row r="409" spans="2:8">
      <c r="B409" s="79">
        <v>2037</v>
      </c>
      <c r="C409">
        <v>2038</v>
      </c>
      <c r="D409">
        <f t="shared" si="32"/>
        <v>2</v>
      </c>
      <c r="E409" t="str">
        <f t="shared" si="33"/>
        <v>2037-2038</v>
      </c>
      <c r="F409" s="93" t="str">
        <f t="shared" si="34"/>
        <v>2037+02</v>
      </c>
      <c r="G409" s="74">
        <f t="shared" si="30"/>
        <v>1743.6170427989393</v>
      </c>
      <c r="H409" s="80">
        <f t="shared" si="31"/>
        <v>9.2534402304014274E-2</v>
      </c>
    </row>
    <row r="410" spans="2:8">
      <c r="B410" s="79">
        <v>2037</v>
      </c>
      <c r="C410">
        <v>2039</v>
      </c>
      <c r="D410">
        <f t="shared" si="32"/>
        <v>3</v>
      </c>
      <c r="E410" t="str">
        <f t="shared" si="33"/>
        <v>2037-2039</v>
      </c>
      <c r="F410" s="93" t="str">
        <f t="shared" si="34"/>
        <v>2037+03</v>
      </c>
      <c r="G410" s="74">
        <f t="shared" si="30"/>
        <v>1684.9437300571428</v>
      </c>
      <c r="H410" s="80">
        <f t="shared" si="31"/>
        <v>8.9420587863979162E-2</v>
      </c>
    </row>
    <row r="411" spans="2:8">
      <c r="B411" s="79">
        <v>2037</v>
      </c>
      <c r="C411">
        <v>2040</v>
      </c>
      <c r="D411">
        <f t="shared" si="32"/>
        <v>4</v>
      </c>
      <c r="E411" t="str">
        <f t="shared" si="33"/>
        <v>2037-2040</v>
      </c>
      <c r="F411" s="93" t="str">
        <f t="shared" si="34"/>
        <v>2037+04</v>
      </c>
      <c r="G411" s="74">
        <f t="shared" si="30"/>
        <v>1626.2704173153461</v>
      </c>
      <c r="H411" s="80">
        <f t="shared" si="31"/>
        <v>8.630677342394405E-2</v>
      </c>
    </row>
    <row r="412" spans="2:8">
      <c r="B412" s="79">
        <v>2037</v>
      </c>
      <c r="C412">
        <v>2041</v>
      </c>
      <c r="D412">
        <f t="shared" si="32"/>
        <v>5</v>
      </c>
      <c r="E412" t="str">
        <f t="shared" si="33"/>
        <v>2037-2041</v>
      </c>
      <c r="F412" s="93" t="str">
        <f t="shared" si="34"/>
        <v>2037+05</v>
      </c>
      <c r="G412" s="74">
        <f t="shared" si="30"/>
        <v>1570.6857739772522</v>
      </c>
      <c r="H412" s="80">
        <f t="shared" si="31"/>
        <v>8.335687581321885E-2</v>
      </c>
    </row>
    <row r="413" spans="2:8">
      <c r="B413" s="79">
        <v>2037</v>
      </c>
      <c r="C413">
        <v>2042</v>
      </c>
      <c r="D413">
        <f t="shared" si="32"/>
        <v>6</v>
      </c>
      <c r="E413" t="str">
        <f t="shared" si="33"/>
        <v>2037-2042</v>
      </c>
      <c r="F413" s="93" t="str">
        <f t="shared" si="34"/>
        <v>2037+06</v>
      </c>
      <c r="G413" s="74">
        <f t="shared" si="30"/>
        <v>1516.6454653410099</v>
      </c>
      <c r="H413" s="80">
        <f t="shared" si="31"/>
        <v>8.0488936617148621E-2</v>
      </c>
    </row>
    <row r="414" spans="2:8">
      <c r="B414" s="79">
        <v>2037</v>
      </c>
      <c r="C414">
        <v>2043</v>
      </c>
      <c r="D414">
        <f t="shared" si="32"/>
        <v>7</v>
      </c>
      <c r="E414" t="str">
        <f t="shared" si="33"/>
        <v>2037-2043</v>
      </c>
      <c r="F414" s="93" t="str">
        <f t="shared" si="34"/>
        <v>2037+07</v>
      </c>
      <c r="G414" s="74">
        <f t="shared" si="30"/>
        <v>1463.4876336772538</v>
      </c>
      <c r="H414" s="80">
        <f t="shared" si="31"/>
        <v>7.7667830800881216E-2</v>
      </c>
    </row>
    <row r="415" spans="2:8">
      <c r="B415" s="79">
        <v>2037</v>
      </c>
      <c r="C415">
        <v>2044</v>
      </c>
      <c r="D415">
        <f t="shared" si="32"/>
        <v>8</v>
      </c>
      <c r="E415" t="str">
        <f t="shared" si="33"/>
        <v>2037-2044</v>
      </c>
      <c r="F415" s="93" t="str">
        <f t="shared" si="34"/>
        <v>2037+08</v>
      </c>
      <c r="G415" s="74">
        <f t="shared" si="30"/>
        <v>1410.8813501213019</v>
      </c>
      <c r="H415" s="80">
        <f t="shared" si="31"/>
        <v>7.4875995846990576E-2</v>
      </c>
    </row>
    <row r="416" spans="2:8">
      <c r="B416" s="79">
        <v>2037</v>
      </c>
      <c r="C416">
        <v>2045</v>
      </c>
      <c r="D416">
        <f t="shared" si="32"/>
        <v>9</v>
      </c>
      <c r="E416" t="str">
        <f t="shared" si="33"/>
        <v>2037-2045</v>
      </c>
      <c r="F416" s="93" t="str">
        <f t="shared" si="34"/>
        <v>2037+09</v>
      </c>
      <c r="G416" s="74">
        <f t="shared" si="30"/>
        <v>1358.6427653038861</v>
      </c>
      <c r="H416" s="80">
        <f t="shared" si="31"/>
        <v>7.2103674801351117E-2</v>
      </c>
    </row>
    <row r="417" spans="2:8">
      <c r="B417" s="79">
        <v>2037</v>
      </c>
      <c r="C417">
        <v>2046</v>
      </c>
      <c r="D417">
        <f t="shared" si="32"/>
        <v>10</v>
      </c>
      <c r="E417" t="str">
        <f t="shared" si="33"/>
        <v>2037-2046</v>
      </c>
      <c r="F417" s="93" t="str">
        <f t="shared" si="34"/>
        <v>2037+10</v>
      </c>
      <c r="G417" s="74">
        <f t="shared" si="30"/>
        <v>1316.8518974499534</v>
      </c>
      <c r="H417" s="80">
        <f t="shared" si="31"/>
        <v>6.9885817964839558E-2</v>
      </c>
    </row>
    <row r="418" spans="2:8">
      <c r="B418" s="79">
        <v>2037</v>
      </c>
      <c r="C418">
        <v>2047</v>
      </c>
      <c r="D418">
        <f t="shared" si="32"/>
        <v>11</v>
      </c>
      <c r="E418" t="str">
        <f t="shared" si="33"/>
        <v>2037-2047</v>
      </c>
      <c r="F418" s="93" t="str">
        <f t="shared" si="34"/>
        <v>2037+11</v>
      </c>
      <c r="G418" s="74">
        <f t="shared" si="30"/>
        <v>1282.6593692058268</v>
      </c>
      <c r="H418" s="80">
        <f t="shared" si="31"/>
        <v>6.8071207825875557E-2</v>
      </c>
    </row>
    <row r="419" spans="2:8">
      <c r="B419" s="79">
        <v>2037</v>
      </c>
      <c r="C419">
        <v>2048</v>
      </c>
      <c r="D419">
        <f t="shared" si="32"/>
        <v>12</v>
      </c>
      <c r="E419" t="str">
        <f t="shared" si="33"/>
        <v>2037-2048</v>
      </c>
      <c r="F419" s="93" t="str">
        <f t="shared" si="34"/>
        <v>2037+12</v>
      </c>
      <c r="G419" s="74">
        <f t="shared" si="30"/>
        <v>1254.1655956690545</v>
      </c>
      <c r="H419" s="80">
        <f t="shared" si="31"/>
        <v>6.6559032710072213E-2</v>
      </c>
    </row>
    <row r="420" spans="2:8">
      <c r="B420" s="79">
        <v>2037</v>
      </c>
      <c r="C420">
        <v>2049</v>
      </c>
      <c r="D420">
        <f t="shared" si="32"/>
        <v>13</v>
      </c>
      <c r="E420" t="str">
        <f t="shared" si="33"/>
        <v>2037-2049</v>
      </c>
      <c r="F420" s="93" t="str">
        <f t="shared" si="34"/>
        <v>2037+13</v>
      </c>
      <c r="G420" s="74">
        <f t="shared" si="30"/>
        <v>1230.0554795994781</v>
      </c>
      <c r="H420" s="80">
        <f t="shared" si="31"/>
        <v>6.5279499919777079E-2</v>
      </c>
    </row>
    <row r="421" spans="2:8">
      <c r="B421" s="93">
        <v>2038</v>
      </c>
      <c r="C421" s="93">
        <v>2038</v>
      </c>
      <c r="D421" s="93">
        <f t="shared" si="32"/>
        <v>1</v>
      </c>
      <c r="E421" s="93" t="str">
        <f t="shared" si="33"/>
        <v>2038-2038</v>
      </c>
      <c r="F421" s="93" t="str">
        <f t="shared" si="34"/>
        <v>2038+01</v>
      </c>
      <c r="G421" s="76">
        <f t="shared" si="30"/>
        <v>1684.9437300571428</v>
      </c>
      <c r="H421" s="77">
        <f t="shared" si="31"/>
        <v>8.9420587863979162E-2</v>
      </c>
    </row>
    <row r="422" spans="2:8">
      <c r="B422" s="79">
        <v>2038</v>
      </c>
      <c r="C422">
        <v>2039</v>
      </c>
      <c r="D422">
        <f t="shared" si="32"/>
        <v>2</v>
      </c>
      <c r="E422" t="str">
        <f t="shared" si="33"/>
        <v>2038-2039</v>
      </c>
      <c r="F422" s="93" t="str">
        <f t="shared" si="34"/>
        <v>2038+02</v>
      </c>
      <c r="G422" s="74">
        <f t="shared" si="30"/>
        <v>1626.2704173153463</v>
      </c>
      <c r="H422" s="80">
        <f t="shared" si="31"/>
        <v>8.630677342394405E-2</v>
      </c>
    </row>
    <row r="423" spans="2:8">
      <c r="B423" s="79">
        <v>2038</v>
      </c>
      <c r="C423">
        <v>2040</v>
      </c>
      <c r="D423">
        <f t="shared" si="32"/>
        <v>3</v>
      </c>
      <c r="E423" t="str">
        <f t="shared" si="33"/>
        <v>2038-2040</v>
      </c>
      <c r="F423" s="93" t="str">
        <f t="shared" si="34"/>
        <v>2038+03</v>
      </c>
      <c r="G423" s="74">
        <f t="shared" si="30"/>
        <v>1567.5971045735496</v>
      </c>
      <c r="H423" s="80">
        <f t="shared" si="31"/>
        <v>8.3192958983908938E-2</v>
      </c>
    </row>
    <row r="424" spans="2:8">
      <c r="B424" s="79">
        <v>2038</v>
      </c>
      <c r="C424">
        <v>2041</v>
      </c>
      <c r="D424">
        <f t="shared" si="32"/>
        <v>4</v>
      </c>
      <c r="E424" t="str">
        <f t="shared" si="33"/>
        <v>2038-2041</v>
      </c>
      <c r="F424" s="93" t="str">
        <f t="shared" si="34"/>
        <v>2038+04</v>
      </c>
      <c r="G424" s="74">
        <f t="shared" si="30"/>
        <v>1512.7846285863814</v>
      </c>
      <c r="H424" s="80">
        <f t="shared" si="31"/>
        <v>8.0284040580511223E-2</v>
      </c>
    </row>
    <row r="425" spans="2:8">
      <c r="B425" s="79">
        <v>2038</v>
      </c>
      <c r="C425">
        <v>2042</v>
      </c>
      <c r="D425">
        <f t="shared" si="32"/>
        <v>5</v>
      </c>
      <c r="E425" t="str">
        <f t="shared" si="33"/>
        <v>2038-2042</v>
      </c>
      <c r="F425" s="93" t="str">
        <f t="shared" si="34"/>
        <v>2038+05</v>
      </c>
      <c r="G425" s="74">
        <f t="shared" si="30"/>
        <v>1459.5164873010647</v>
      </c>
      <c r="H425" s="80">
        <f t="shared" si="31"/>
        <v>7.7457080591768451E-2</v>
      </c>
    </row>
    <row r="426" spans="2:8">
      <c r="B426" s="79">
        <v>2038</v>
      </c>
      <c r="C426">
        <v>2043</v>
      </c>
      <c r="D426">
        <f t="shared" si="32"/>
        <v>6</v>
      </c>
      <c r="E426" t="str">
        <f t="shared" si="33"/>
        <v>2038-2043</v>
      </c>
      <c r="F426" s="93" t="str">
        <f t="shared" si="34"/>
        <v>2038+06</v>
      </c>
      <c r="G426" s="74">
        <f t="shared" si="30"/>
        <v>1407.0205133666734</v>
      </c>
      <c r="H426" s="80">
        <f t="shared" si="31"/>
        <v>7.4671099810353178E-2</v>
      </c>
    </row>
    <row r="427" spans="2:8">
      <c r="B427" s="79">
        <v>2038</v>
      </c>
      <c r="C427">
        <v>2044</v>
      </c>
      <c r="D427">
        <f t="shared" si="32"/>
        <v>7</v>
      </c>
      <c r="E427" t="str">
        <f t="shared" si="33"/>
        <v>2038-2044</v>
      </c>
      <c r="F427" s="93" t="str">
        <f t="shared" si="34"/>
        <v>2038+07</v>
      </c>
      <c r="G427" s="74">
        <f t="shared" si="30"/>
        <v>1354.9657779185256</v>
      </c>
      <c r="H427" s="80">
        <f t="shared" si="31"/>
        <v>7.1908535718839303E-2</v>
      </c>
    </row>
    <row r="428" spans="2:8">
      <c r="B428" s="79">
        <v>2038</v>
      </c>
      <c r="C428">
        <v>2045</v>
      </c>
      <c r="D428">
        <f t="shared" si="32"/>
        <v>8</v>
      </c>
      <c r="E428" t="str">
        <f t="shared" si="33"/>
        <v>2038-2045</v>
      </c>
      <c r="F428" s="93" t="str">
        <f t="shared" si="34"/>
        <v>2038+08</v>
      </c>
      <c r="G428" s="74">
        <f t="shared" si="30"/>
        <v>1303.1868165242799</v>
      </c>
      <c r="H428" s="80">
        <f t="shared" si="31"/>
        <v>6.9160607058513832E-2</v>
      </c>
    </row>
    <row r="429" spans="2:8">
      <c r="B429" s="79">
        <v>2038</v>
      </c>
      <c r="C429">
        <v>2046</v>
      </c>
      <c r="D429">
        <f t="shared" si="32"/>
        <v>9</v>
      </c>
      <c r="E429" t="str">
        <f t="shared" si="33"/>
        <v>2038-2046</v>
      </c>
      <c r="F429" s="93" t="str">
        <f t="shared" si="34"/>
        <v>2038+09</v>
      </c>
      <c r="G429" s="74">
        <f t="shared" si="30"/>
        <v>1262.9142909954221</v>
      </c>
      <c r="H429" s="80">
        <f t="shared" si="31"/>
        <v>6.7023329211594013E-2</v>
      </c>
    </row>
    <row r="430" spans="2:8">
      <c r="B430" s="79">
        <v>2038</v>
      </c>
      <c r="C430">
        <v>2047</v>
      </c>
      <c r="D430">
        <f t="shared" si="32"/>
        <v>10</v>
      </c>
      <c r="E430" t="str">
        <f t="shared" si="33"/>
        <v>2038-2047</v>
      </c>
      <c r="F430" s="93" t="str">
        <f t="shared" si="34"/>
        <v>2038+10</v>
      </c>
      <c r="G430" s="74">
        <f t="shared" si="30"/>
        <v>1230.6962705723358</v>
      </c>
      <c r="H430" s="80">
        <f t="shared" si="31"/>
        <v>6.5313506934058158E-2</v>
      </c>
    </row>
    <row r="431" spans="2:8">
      <c r="B431" s="79">
        <v>2038</v>
      </c>
      <c r="C431">
        <v>2048</v>
      </c>
      <c r="D431">
        <f t="shared" si="32"/>
        <v>11</v>
      </c>
      <c r="E431" t="str">
        <f t="shared" si="33"/>
        <v>2038-2048</v>
      </c>
      <c r="F431" s="93" t="str">
        <f t="shared" si="34"/>
        <v>2038+11</v>
      </c>
      <c r="G431" s="74">
        <f t="shared" si="30"/>
        <v>1204.3360720443563</v>
      </c>
      <c r="H431" s="80">
        <f t="shared" si="31"/>
        <v>6.3914561434256098E-2</v>
      </c>
    </row>
    <row r="432" spans="2:8">
      <c r="B432" s="79">
        <v>2038</v>
      </c>
      <c r="C432">
        <v>2049</v>
      </c>
      <c r="D432">
        <f t="shared" si="32"/>
        <v>12</v>
      </c>
      <c r="E432" t="str">
        <f t="shared" si="33"/>
        <v>2038-2049</v>
      </c>
      <c r="F432" s="93" t="str">
        <f t="shared" si="34"/>
        <v>2038+12</v>
      </c>
      <c r="G432" s="74">
        <f t="shared" si="30"/>
        <v>1182.3692399377067</v>
      </c>
      <c r="H432" s="80">
        <f t="shared" si="31"/>
        <v>6.2748773517754389E-2</v>
      </c>
    </row>
    <row r="433" spans="2:8">
      <c r="B433" s="93">
        <v>2039</v>
      </c>
      <c r="C433" s="93">
        <v>2039</v>
      </c>
      <c r="D433" s="93">
        <f t="shared" si="32"/>
        <v>1</v>
      </c>
      <c r="E433" s="93" t="str">
        <f t="shared" si="33"/>
        <v>2039-2039</v>
      </c>
      <c r="F433" s="93" t="str">
        <f t="shared" si="34"/>
        <v>2039+01</v>
      </c>
      <c r="G433" s="76">
        <f t="shared" si="30"/>
        <v>1567.5971045735498</v>
      </c>
      <c r="H433" s="77">
        <f t="shared" si="31"/>
        <v>8.3192958983908952E-2</v>
      </c>
    </row>
    <row r="434" spans="2:8">
      <c r="B434" s="79">
        <v>2039</v>
      </c>
      <c r="C434">
        <v>2040</v>
      </c>
      <c r="D434">
        <f t="shared" si="32"/>
        <v>2</v>
      </c>
      <c r="E434" t="str">
        <f t="shared" si="33"/>
        <v>2039-2040</v>
      </c>
      <c r="F434" s="93" t="str">
        <f t="shared" si="34"/>
        <v>2039+02</v>
      </c>
      <c r="G434" s="74">
        <f t="shared" si="30"/>
        <v>1508.9237918317531</v>
      </c>
      <c r="H434" s="80">
        <f t="shared" si="31"/>
        <v>8.0079144543873826E-2</v>
      </c>
    </row>
    <row r="435" spans="2:8">
      <c r="B435" s="79">
        <v>2039</v>
      </c>
      <c r="C435">
        <v>2041</v>
      </c>
      <c r="D435">
        <f t="shared" si="32"/>
        <v>3</v>
      </c>
      <c r="E435" t="str">
        <f t="shared" si="33"/>
        <v>2039-2041</v>
      </c>
      <c r="F435" s="93" t="str">
        <f t="shared" si="34"/>
        <v>2039+03</v>
      </c>
      <c r="G435" s="74">
        <f t="shared" si="30"/>
        <v>1455.3982614294609</v>
      </c>
      <c r="H435" s="80">
        <f t="shared" si="31"/>
        <v>7.7238524819355239E-2</v>
      </c>
    </row>
    <row r="436" spans="2:8">
      <c r="B436" s="79">
        <v>2039</v>
      </c>
      <c r="C436">
        <v>2042</v>
      </c>
      <c r="D436">
        <f t="shared" si="32"/>
        <v>4</v>
      </c>
      <c r="E436" t="str">
        <f t="shared" si="33"/>
        <v>2039-2042</v>
      </c>
      <c r="F436" s="93" t="str">
        <f t="shared" si="34"/>
        <v>2039+04</v>
      </c>
      <c r="G436" s="74">
        <f t="shared" si="30"/>
        <v>1403.1596766120451</v>
      </c>
      <c r="H436" s="80">
        <f t="shared" si="31"/>
        <v>7.4466203773715794E-2</v>
      </c>
    </row>
    <row r="437" spans="2:8">
      <c r="B437" s="79">
        <v>2039</v>
      </c>
      <c r="C437">
        <v>2043</v>
      </c>
      <c r="D437">
        <f t="shared" si="32"/>
        <v>5</v>
      </c>
      <c r="E437" t="str">
        <f t="shared" si="33"/>
        <v>2039-2043</v>
      </c>
      <c r="F437" s="93" t="str">
        <f t="shared" si="34"/>
        <v>2039+05</v>
      </c>
      <c r="G437" s="74">
        <f t="shared" si="30"/>
        <v>1351.4358700285798</v>
      </c>
      <c r="H437" s="80">
        <f t="shared" si="31"/>
        <v>7.1721202199627992E-2</v>
      </c>
    </row>
    <row r="438" spans="2:8">
      <c r="B438" s="79">
        <v>2039</v>
      </c>
      <c r="C438">
        <v>2044</v>
      </c>
      <c r="D438">
        <f t="shared" si="32"/>
        <v>6</v>
      </c>
      <c r="E438" t="str">
        <f t="shared" si="33"/>
        <v>2039-2044</v>
      </c>
      <c r="F438" s="93" t="str">
        <f t="shared" si="34"/>
        <v>2039+06</v>
      </c>
      <c r="G438" s="74">
        <f t="shared" si="30"/>
        <v>1299.9694525620896</v>
      </c>
      <c r="H438" s="80">
        <f t="shared" si="31"/>
        <v>6.8989860361316005E-2</v>
      </c>
    </row>
    <row r="439" spans="2:8">
      <c r="B439" s="79">
        <v>2039</v>
      </c>
      <c r="C439">
        <v>2045</v>
      </c>
      <c r="D439">
        <f t="shared" si="32"/>
        <v>7</v>
      </c>
      <c r="E439" t="str">
        <f t="shared" si="33"/>
        <v>2039-2045</v>
      </c>
      <c r="F439" s="93" t="str">
        <f t="shared" si="34"/>
        <v>2039+07</v>
      </c>
      <c r="G439" s="74">
        <f t="shared" si="30"/>
        <v>1248.6501145910138</v>
      </c>
      <c r="H439" s="80">
        <f t="shared" si="31"/>
        <v>6.6266324086304507E-2</v>
      </c>
    </row>
    <row r="440" spans="2:8">
      <c r="B440" s="79">
        <v>2039</v>
      </c>
      <c r="C440">
        <v>2046</v>
      </c>
      <c r="D440">
        <f t="shared" si="32"/>
        <v>8</v>
      </c>
      <c r="E440" t="str">
        <f t="shared" si="33"/>
        <v>2039-2046</v>
      </c>
      <c r="F440" s="93" t="str">
        <f t="shared" si="34"/>
        <v>2039+08</v>
      </c>
      <c r="G440" s="74">
        <f t="shared" si="30"/>
        <v>1210.1606111127071</v>
      </c>
      <c r="H440" s="80">
        <f t="shared" si="31"/>
        <v>6.4223671880045879E-2</v>
      </c>
    </row>
    <row r="441" spans="2:8">
      <c r="B441" s="79">
        <v>2039</v>
      </c>
      <c r="C441">
        <v>2047</v>
      </c>
      <c r="D441">
        <f t="shared" si="32"/>
        <v>9</v>
      </c>
      <c r="E441" t="str">
        <f t="shared" si="33"/>
        <v>2039-2047</v>
      </c>
      <c r="F441" s="93" t="str">
        <f t="shared" si="34"/>
        <v>2039+09</v>
      </c>
      <c r="G441" s="74">
        <f t="shared" si="30"/>
        <v>1180.2243306295795</v>
      </c>
      <c r="H441" s="80">
        <f t="shared" si="31"/>
        <v>6.2634942386289166E-2</v>
      </c>
    </row>
    <row r="442" spans="2:8">
      <c r="B442" s="79">
        <v>2039</v>
      </c>
      <c r="C442">
        <v>2048</v>
      </c>
      <c r="D442">
        <f t="shared" si="32"/>
        <v>10</v>
      </c>
      <c r="E442" t="str">
        <f t="shared" si="33"/>
        <v>2039-2048</v>
      </c>
      <c r="F442" s="93" t="str">
        <f t="shared" si="34"/>
        <v>2039+10</v>
      </c>
      <c r="G442" s="74">
        <f t="shared" si="30"/>
        <v>1156.2753062430777</v>
      </c>
      <c r="H442" s="80">
        <f t="shared" si="31"/>
        <v>6.1363958791283799E-2</v>
      </c>
    </row>
    <row r="443" spans="2:8">
      <c r="B443" s="79">
        <v>2039</v>
      </c>
      <c r="C443">
        <v>2049</v>
      </c>
      <c r="D443">
        <f t="shared" si="32"/>
        <v>11</v>
      </c>
      <c r="E443" t="str">
        <f t="shared" si="33"/>
        <v>2039-2049</v>
      </c>
      <c r="F443" s="93" t="str">
        <f t="shared" si="34"/>
        <v>2039+11</v>
      </c>
      <c r="G443" s="74">
        <f t="shared" si="30"/>
        <v>1136.6806499268487</v>
      </c>
      <c r="H443" s="80">
        <f t="shared" si="31"/>
        <v>6.0324063122643046E-2</v>
      </c>
    </row>
    <row r="444" spans="2:8">
      <c r="B444" s="93">
        <v>2040</v>
      </c>
      <c r="C444" s="93">
        <v>2040</v>
      </c>
      <c r="D444" s="93">
        <f t="shared" si="32"/>
        <v>1</v>
      </c>
      <c r="E444" s="93" t="str">
        <f t="shared" si="33"/>
        <v>2040-2040</v>
      </c>
      <c r="F444" s="93" t="str">
        <f t="shared" si="34"/>
        <v>2040+01</v>
      </c>
      <c r="G444" s="76">
        <f t="shared" si="30"/>
        <v>1450.2504790899561</v>
      </c>
      <c r="H444" s="77">
        <f t="shared" si="31"/>
        <v>7.6965330103838714E-2</v>
      </c>
    </row>
    <row r="445" spans="2:8">
      <c r="B445" s="79">
        <v>2040</v>
      </c>
      <c r="C445">
        <v>2041</v>
      </c>
      <c r="D445">
        <f t="shared" si="32"/>
        <v>2</v>
      </c>
      <c r="E445" t="str">
        <f t="shared" si="33"/>
        <v>2040-2041</v>
      </c>
      <c r="F445" s="93" t="str">
        <f t="shared" si="34"/>
        <v>2040+02</v>
      </c>
      <c r="G445" s="74">
        <f t="shared" si="30"/>
        <v>1399.2988398574164</v>
      </c>
      <c r="H445" s="80">
        <f t="shared" si="31"/>
        <v>7.4261307737078397E-2</v>
      </c>
    </row>
    <row r="446" spans="2:8">
      <c r="B446" s="79">
        <v>2040</v>
      </c>
      <c r="C446">
        <v>2042</v>
      </c>
      <c r="D446">
        <f t="shared" si="32"/>
        <v>3</v>
      </c>
      <c r="E446" t="str">
        <f t="shared" si="33"/>
        <v>2040-2042</v>
      </c>
      <c r="F446" s="93" t="str">
        <f t="shared" si="34"/>
        <v>2040+03</v>
      </c>
      <c r="G446" s="74">
        <f t="shared" si="30"/>
        <v>1348.3472006248767</v>
      </c>
      <c r="H446" s="80">
        <f t="shared" si="31"/>
        <v>7.1557285370318066E-2</v>
      </c>
    </row>
    <row r="447" spans="2:8">
      <c r="B447" s="79">
        <v>2040</v>
      </c>
      <c r="C447">
        <v>2043</v>
      </c>
      <c r="D447">
        <f t="shared" si="32"/>
        <v>4</v>
      </c>
      <c r="E447" t="str">
        <f t="shared" si="33"/>
        <v>2040-2043</v>
      </c>
      <c r="F447" s="93" t="str">
        <f t="shared" si="34"/>
        <v>2040+04</v>
      </c>
      <c r="G447" s="74">
        <f t="shared" si="30"/>
        <v>1297.395561392337</v>
      </c>
      <c r="H447" s="80">
        <f t="shared" si="31"/>
        <v>6.8853263003557749E-2</v>
      </c>
    </row>
    <row r="448" spans="2:8">
      <c r="B448" s="79">
        <v>2040</v>
      </c>
      <c r="C448">
        <v>2044</v>
      </c>
      <c r="D448">
        <f t="shared" si="32"/>
        <v>5</v>
      </c>
      <c r="E448" t="str">
        <f t="shared" si="33"/>
        <v>2040-2044</v>
      </c>
      <c r="F448" s="93" t="str">
        <f t="shared" si="34"/>
        <v>2040+05</v>
      </c>
      <c r="G448" s="74">
        <f t="shared" si="30"/>
        <v>1246.4439221597972</v>
      </c>
      <c r="H448" s="80">
        <f t="shared" si="31"/>
        <v>6.6149240636797418E-2</v>
      </c>
    </row>
    <row r="449" spans="2:8">
      <c r="B449" s="79">
        <v>2040</v>
      </c>
      <c r="C449">
        <v>2045</v>
      </c>
      <c r="D449">
        <f t="shared" si="32"/>
        <v>6</v>
      </c>
      <c r="E449" t="str">
        <f t="shared" si="33"/>
        <v>2040-2045</v>
      </c>
      <c r="F449" s="93" t="str">
        <f t="shared" si="34"/>
        <v>2040+06</v>
      </c>
      <c r="G449" s="74">
        <f t="shared" si="30"/>
        <v>1195.4922829272575</v>
      </c>
      <c r="H449" s="80">
        <f t="shared" si="31"/>
        <v>6.3445218270037088E-2</v>
      </c>
    </row>
    <row r="450" spans="2:8">
      <c r="B450" s="79">
        <v>2040</v>
      </c>
      <c r="C450">
        <v>2046</v>
      </c>
      <c r="D450">
        <f t="shared" si="32"/>
        <v>7</v>
      </c>
      <c r="E450" t="str">
        <f t="shared" si="33"/>
        <v>2040-2046</v>
      </c>
      <c r="F450" s="93" t="str">
        <f t="shared" si="34"/>
        <v>2040+07</v>
      </c>
      <c r="G450" s="74">
        <f t="shared" si="30"/>
        <v>1159.098254904015</v>
      </c>
      <c r="H450" s="80">
        <f t="shared" si="31"/>
        <v>6.1513773722351152E-2</v>
      </c>
    </row>
    <row r="451" spans="2:8">
      <c r="B451" s="79">
        <v>2040</v>
      </c>
      <c r="C451">
        <v>2047</v>
      </c>
      <c r="D451">
        <f t="shared" si="32"/>
        <v>8</v>
      </c>
      <c r="E451" t="str">
        <f t="shared" si="33"/>
        <v>2040-2047</v>
      </c>
      <c r="F451" s="93" t="str">
        <f t="shared" si="34"/>
        <v>2040+08</v>
      </c>
      <c r="G451" s="74">
        <f t="shared" ref="G451:G498" si="35">AVERAGEIFS(AF_Source_Energy_Btu_per_kWh,AnnualFactorYear,"&gt;="&amp;$B451,AnnualFactorYear,"&lt;="&amp;$C451)</f>
        <v>1131.8027338865829</v>
      </c>
      <c r="H451" s="80">
        <f t="shared" ref="H451:H498" si="36">AVERAGEIFS(AF_Emissions_Intensity_metric_tonnes_per_MWh,AnnualFactorYear,"&gt;="&amp;$B451,AnnualFactorYear,"&lt;="&amp;$C451)</f>
        <v>6.0065190311586691E-2</v>
      </c>
    </row>
    <row r="452" spans="2:8">
      <c r="B452" s="79">
        <v>2040</v>
      </c>
      <c r="C452">
        <v>2048</v>
      </c>
      <c r="D452">
        <f t="shared" ref="D452:D498" si="37">1+(C452-B452)</f>
        <v>9</v>
      </c>
      <c r="E452" t="str">
        <f t="shared" ref="E452:E498" si="38">B452&amp;"-"&amp;C452</f>
        <v>2040-2048</v>
      </c>
      <c r="F452" s="93" t="str">
        <f t="shared" ref="F452:F498" si="39">B452&amp;"+"&amp;TEXT(D452,"00")</f>
        <v>2040+09</v>
      </c>
      <c r="G452" s="74">
        <f t="shared" si="35"/>
        <v>1110.5728842063581</v>
      </c>
      <c r="H452" s="80">
        <f t="shared" si="36"/>
        <v>5.8938514325436557E-2</v>
      </c>
    </row>
    <row r="453" spans="2:8">
      <c r="B453" s="79">
        <v>2040</v>
      </c>
      <c r="C453">
        <v>2049</v>
      </c>
      <c r="D453">
        <f t="shared" si="37"/>
        <v>10</v>
      </c>
      <c r="E453" t="str">
        <f t="shared" si="38"/>
        <v>2040-2049</v>
      </c>
      <c r="F453" s="93" t="str">
        <f t="shared" si="39"/>
        <v>2040+10</v>
      </c>
      <c r="G453" s="74">
        <f t="shared" si="35"/>
        <v>1093.5890044621783</v>
      </c>
      <c r="H453" s="80">
        <f t="shared" si="36"/>
        <v>5.8037173536516454E-2</v>
      </c>
    </row>
    <row r="454" spans="2:8">
      <c r="B454" s="93">
        <v>2041</v>
      </c>
      <c r="C454" s="93">
        <v>2041</v>
      </c>
      <c r="D454" s="93">
        <f t="shared" si="37"/>
        <v>1</v>
      </c>
      <c r="E454" s="93" t="str">
        <f t="shared" si="38"/>
        <v>2041-2041</v>
      </c>
      <c r="F454" s="93" t="str">
        <f t="shared" si="39"/>
        <v>2041+01</v>
      </c>
      <c r="G454" s="76">
        <f t="shared" si="35"/>
        <v>1348.3472006248767</v>
      </c>
      <c r="H454" s="77">
        <f t="shared" si="36"/>
        <v>7.1557285370318066E-2</v>
      </c>
    </row>
    <row r="455" spans="2:8">
      <c r="B455" s="79">
        <v>2041</v>
      </c>
      <c r="C455">
        <v>2042</v>
      </c>
      <c r="D455">
        <f t="shared" si="37"/>
        <v>2</v>
      </c>
      <c r="E455" t="str">
        <f t="shared" si="38"/>
        <v>2041-2042</v>
      </c>
      <c r="F455" s="93" t="str">
        <f t="shared" si="39"/>
        <v>2041+02</v>
      </c>
      <c r="G455" s="74">
        <f t="shared" si="35"/>
        <v>1297.3955613923372</v>
      </c>
      <c r="H455" s="80">
        <f t="shared" si="36"/>
        <v>6.8853263003557735E-2</v>
      </c>
    </row>
    <row r="456" spans="2:8">
      <c r="B456" s="79">
        <v>2041</v>
      </c>
      <c r="C456">
        <v>2043</v>
      </c>
      <c r="D456">
        <f t="shared" si="37"/>
        <v>3</v>
      </c>
      <c r="E456" t="str">
        <f t="shared" si="38"/>
        <v>2041-2043</v>
      </c>
      <c r="F456" s="93" t="str">
        <f t="shared" si="39"/>
        <v>2041+03</v>
      </c>
      <c r="G456" s="74">
        <f t="shared" si="35"/>
        <v>1246.4439221597975</v>
      </c>
      <c r="H456" s="80">
        <f t="shared" si="36"/>
        <v>6.6149240636797405E-2</v>
      </c>
    </row>
    <row r="457" spans="2:8">
      <c r="B457" s="79">
        <v>2041</v>
      </c>
      <c r="C457">
        <v>2044</v>
      </c>
      <c r="D457">
        <f t="shared" si="37"/>
        <v>4</v>
      </c>
      <c r="E457" t="str">
        <f t="shared" si="38"/>
        <v>2041-2044</v>
      </c>
      <c r="F457" s="93" t="str">
        <f t="shared" si="39"/>
        <v>2041+04</v>
      </c>
      <c r="G457" s="74">
        <f t="shared" si="35"/>
        <v>1195.4922829272577</v>
      </c>
      <c r="H457" s="80">
        <f t="shared" si="36"/>
        <v>6.3445218270037088E-2</v>
      </c>
    </row>
    <row r="458" spans="2:8">
      <c r="B458" s="79">
        <v>2041</v>
      </c>
      <c r="C458">
        <v>2045</v>
      </c>
      <c r="D458">
        <f t="shared" si="37"/>
        <v>5</v>
      </c>
      <c r="E458" t="str">
        <f t="shared" si="38"/>
        <v>2041-2045</v>
      </c>
      <c r="F458" s="93" t="str">
        <f t="shared" si="39"/>
        <v>2041+05</v>
      </c>
      <c r="G458" s="74">
        <f t="shared" si="35"/>
        <v>1144.540643694718</v>
      </c>
      <c r="H458" s="80">
        <f t="shared" si="36"/>
        <v>6.0741195903276757E-2</v>
      </c>
    </row>
    <row r="459" spans="2:8">
      <c r="B459" s="79">
        <v>2041</v>
      </c>
      <c r="C459">
        <v>2046</v>
      </c>
      <c r="D459">
        <f t="shared" si="37"/>
        <v>6</v>
      </c>
      <c r="E459" t="str">
        <f t="shared" si="38"/>
        <v>2041-2046</v>
      </c>
      <c r="F459" s="93" t="str">
        <f t="shared" si="39"/>
        <v>2041+06</v>
      </c>
      <c r="G459" s="74">
        <f t="shared" si="35"/>
        <v>1110.5728842063581</v>
      </c>
      <c r="H459" s="80">
        <f t="shared" si="36"/>
        <v>5.8938514325436543E-2</v>
      </c>
    </row>
    <row r="460" spans="2:8">
      <c r="B460" s="79">
        <v>2041</v>
      </c>
      <c r="C460">
        <v>2047</v>
      </c>
      <c r="D460">
        <f t="shared" si="37"/>
        <v>7</v>
      </c>
      <c r="E460" t="str">
        <f t="shared" si="38"/>
        <v>2041-2047</v>
      </c>
      <c r="F460" s="93" t="str">
        <f t="shared" si="39"/>
        <v>2041+07</v>
      </c>
      <c r="G460" s="74">
        <f t="shared" si="35"/>
        <v>1086.3101988575297</v>
      </c>
      <c r="H460" s="80">
        <f t="shared" si="36"/>
        <v>5.7650884626979253E-2</v>
      </c>
    </row>
    <row r="461" spans="2:8">
      <c r="B461" s="79">
        <v>2041</v>
      </c>
      <c r="C461">
        <v>2048</v>
      </c>
      <c r="D461">
        <f t="shared" si="37"/>
        <v>8</v>
      </c>
      <c r="E461" t="str">
        <f t="shared" si="38"/>
        <v>2041-2048</v>
      </c>
      <c r="F461" s="93" t="str">
        <f t="shared" si="39"/>
        <v>2041+08</v>
      </c>
      <c r="G461" s="74">
        <f t="shared" si="35"/>
        <v>1068.1131848459083</v>
      </c>
      <c r="H461" s="80">
        <f t="shared" si="36"/>
        <v>5.6685162353136281E-2</v>
      </c>
    </row>
    <row r="462" spans="2:8">
      <c r="B462" s="79">
        <v>2041</v>
      </c>
      <c r="C462">
        <v>2049</v>
      </c>
      <c r="D462">
        <f t="shared" si="37"/>
        <v>9</v>
      </c>
      <c r="E462" t="str">
        <f t="shared" si="38"/>
        <v>2041-2049</v>
      </c>
      <c r="F462" s="93" t="str">
        <f t="shared" si="39"/>
        <v>2041+09</v>
      </c>
      <c r="G462" s="74">
        <f t="shared" si="35"/>
        <v>1053.9599517257584</v>
      </c>
      <c r="H462" s="80">
        <f t="shared" si="36"/>
        <v>5.5934045029036192E-2</v>
      </c>
    </row>
    <row r="463" spans="2:8">
      <c r="B463" s="93">
        <v>2042</v>
      </c>
      <c r="C463" s="93">
        <v>2042</v>
      </c>
      <c r="D463" s="93">
        <f t="shared" si="37"/>
        <v>1</v>
      </c>
      <c r="E463" s="93" t="str">
        <f t="shared" si="38"/>
        <v>2042-2042</v>
      </c>
      <c r="F463" s="93" t="str">
        <f t="shared" si="39"/>
        <v>2042+01</v>
      </c>
      <c r="G463" s="76">
        <f t="shared" si="35"/>
        <v>1246.4439221597975</v>
      </c>
      <c r="H463" s="77">
        <f t="shared" si="36"/>
        <v>6.6149240636797418E-2</v>
      </c>
    </row>
    <row r="464" spans="2:8">
      <c r="B464" s="79">
        <v>2042</v>
      </c>
      <c r="C464">
        <v>2043</v>
      </c>
      <c r="D464">
        <f t="shared" si="37"/>
        <v>2</v>
      </c>
      <c r="E464" t="str">
        <f t="shared" si="38"/>
        <v>2042-2043</v>
      </c>
      <c r="F464" s="93" t="str">
        <f t="shared" si="39"/>
        <v>2042+02</v>
      </c>
      <c r="G464" s="74">
        <f t="shared" si="35"/>
        <v>1195.4922829272577</v>
      </c>
      <c r="H464" s="80">
        <f t="shared" si="36"/>
        <v>6.3445218270037088E-2</v>
      </c>
    </row>
    <row r="465" spans="2:8">
      <c r="B465" s="79">
        <v>2042</v>
      </c>
      <c r="C465">
        <v>2044</v>
      </c>
      <c r="D465">
        <f t="shared" si="37"/>
        <v>3</v>
      </c>
      <c r="E465" t="str">
        <f t="shared" si="38"/>
        <v>2042-2044</v>
      </c>
      <c r="F465" s="93" t="str">
        <f t="shared" si="39"/>
        <v>2042+03</v>
      </c>
      <c r="G465" s="74">
        <f t="shared" si="35"/>
        <v>1144.540643694718</v>
      </c>
      <c r="H465" s="80">
        <f t="shared" si="36"/>
        <v>6.0741195903276764E-2</v>
      </c>
    </row>
    <row r="466" spans="2:8">
      <c r="B466" s="79">
        <v>2042</v>
      </c>
      <c r="C466">
        <v>2045</v>
      </c>
      <c r="D466">
        <f t="shared" si="37"/>
        <v>4</v>
      </c>
      <c r="E466" t="str">
        <f t="shared" si="38"/>
        <v>2042-2045</v>
      </c>
      <c r="F466" s="93" t="str">
        <f t="shared" si="39"/>
        <v>2042+04</v>
      </c>
      <c r="G466" s="74">
        <f t="shared" si="35"/>
        <v>1093.5890044621783</v>
      </c>
      <c r="H466" s="80">
        <f t="shared" si="36"/>
        <v>5.803717353651644E-2</v>
      </c>
    </row>
    <row r="467" spans="2:8">
      <c r="B467" s="79">
        <v>2042</v>
      </c>
      <c r="C467">
        <v>2046</v>
      </c>
      <c r="D467">
        <f t="shared" si="37"/>
        <v>5</v>
      </c>
      <c r="E467" t="str">
        <f t="shared" si="38"/>
        <v>2042-2046</v>
      </c>
      <c r="F467" s="93" t="str">
        <f t="shared" si="39"/>
        <v>2042+05</v>
      </c>
      <c r="G467" s="74">
        <f t="shared" si="35"/>
        <v>1063.0180209226544</v>
      </c>
      <c r="H467" s="80">
        <f t="shared" si="36"/>
        <v>5.6414760116460252E-2</v>
      </c>
    </row>
    <row r="468" spans="2:8">
      <c r="B468" s="79">
        <v>2042</v>
      </c>
      <c r="C468">
        <v>2047</v>
      </c>
      <c r="D468">
        <f t="shared" si="37"/>
        <v>6</v>
      </c>
      <c r="E468" t="str">
        <f t="shared" si="38"/>
        <v>2042-2047</v>
      </c>
      <c r="F468" s="93" t="str">
        <f t="shared" si="39"/>
        <v>2042+06</v>
      </c>
      <c r="G468" s="74">
        <f t="shared" si="35"/>
        <v>1042.6373652296386</v>
      </c>
      <c r="H468" s="80">
        <f t="shared" si="36"/>
        <v>5.5333151169756123E-2</v>
      </c>
    </row>
    <row r="469" spans="2:8">
      <c r="B469" s="79">
        <v>2042</v>
      </c>
      <c r="C469">
        <v>2048</v>
      </c>
      <c r="D469">
        <f t="shared" si="37"/>
        <v>7</v>
      </c>
      <c r="E469" t="str">
        <f t="shared" si="38"/>
        <v>2042-2048</v>
      </c>
      <c r="F469" s="93" t="str">
        <f t="shared" si="39"/>
        <v>2042+07</v>
      </c>
      <c r="G469" s="74">
        <f t="shared" si="35"/>
        <v>1028.0797540203414</v>
      </c>
      <c r="H469" s="80">
        <f t="shared" si="36"/>
        <v>5.4560573350681749E-2</v>
      </c>
    </row>
    <row r="470" spans="2:8">
      <c r="B470" s="79">
        <v>2042</v>
      </c>
      <c r="C470">
        <v>2049</v>
      </c>
      <c r="D470">
        <f t="shared" si="37"/>
        <v>8</v>
      </c>
      <c r="E470" t="str">
        <f t="shared" si="38"/>
        <v>2042-2049</v>
      </c>
      <c r="F470" s="93" t="str">
        <f t="shared" si="39"/>
        <v>2042+08</v>
      </c>
      <c r="G470" s="74">
        <f t="shared" si="35"/>
        <v>1017.1615456133686</v>
      </c>
      <c r="H470" s="80">
        <f t="shared" si="36"/>
        <v>5.3981139986375964E-2</v>
      </c>
    </row>
    <row r="471" spans="2:8">
      <c r="B471" s="93">
        <v>2043</v>
      </c>
      <c r="C471" s="93">
        <v>2043</v>
      </c>
      <c r="D471" s="93">
        <f t="shared" si="37"/>
        <v>1</v>
      </c>
      <c r="E471" s="93" t="str">
        <f t="shared" si="38"/>
        <v>2043-2043</v>
      </c>
      <c r="F471" s="93" t="str">
        <f t="shared" si="39"/>
        <v>2043+01</v>
      </c>
      <c r="G471" s="76">
        <f t="shared" si="35"/>
        <v>1144.540643694718</v>
      </c>
      <c r="H471" s="77">
        <f t="shared" si="36"/>
        <v>6.0741195903276764E-2</v>
      </c>
    </row>
    <row r="472" spans="2:8">
      <c r="B472" s="79">
        <v>2043</v>
      </c>
      <c r="C472">
        <v>2044</v>
      </c>
      <c r="D472">
        <f t="shared" si="37"/>
        <v>2</v>
      </c>
      <c r="E472" t="str">
        <f t="shared" si="38"/>
        <v>2043-2044</v>
      </c>
      <c r="F472" s="93" t="str">
        <f t="shared" si="39"/>
        <v>2043+02</v>
      </c>
      <c r="G472" s="74">
        <f t="shared" si="35"/>
        <v>1093.5890044621783</v>
      </c>
      <c r="H472" s="80">
        <f t="shared" si="36"/>
        <v>5.803717353651644E-2</v>
      </c>
    </row>
    <row r="473" spans="2:8">
      <c r="B473" s="79">
        <v>2043</v>
      </c>
      <c r="C473">
        <v>2045</v>
      </c>
      <c r="D473">
        <f t="shared" si="37"/>
        <v>3</v>
      </c>
      <c r="E473" t="str">
        <f t="shared" si="38"/>
        <v>2043-2045</v>
      </c>
      <c r="F473" s="93" t="str">
        <f t="shared" si="39"/>
        <v>2043+03</v>
      </c>
      <c r="G473" s="74">
        <f t="shared" si="35"/>
        <v>1042.6373652296386</v>
      </c>
      <c r="H473" s="80">
        <f t="shared" si="36"/>
        <v>5.5333151169756116E-2</v>
      </c>
    </row>
    <row r="474" spans="2:8">
      <c r="B474" s="79">
        <v>2043</v>
      </c>
      <c r="C474">
        <v>2046</v>
      </c>
      <c r="D474">
        <f t="shared" si="37"/>
        <v>4</v>
      </c>
      <c r="E474" t="str">
        <f t="shared" si="38"/>
        <v>2043-2046</v>
      </c>
      <c r="F474" s="93" t="str">
        <f t="shared" si="39"/>
        <v>2043+04</v>
      </c>
      <c r="G474" s="74">
        <f t="shared" si="35"/>
        <v>1017.1615456133686</v>
      </c>
      <c r="H474" s="80">
        <f t="shared" si="36"/>
        <v>5.3981139986375951E-2</v>
      </c>
    </row>
    <row r="475" spans="2:8">
      <c r="B475" s="79">
        <v>2043</v>
      </c>
      <c r="C475">
        <v>2047</v>
      </c>
      <c r="D475">
        <f t="shared" si="37"/>
        <v>5</v>
      </c>
      <c r="E475" t="str">
        <f t="shared" si="38"/>
        <v>2043-2047</v>
      </c>
      <c r="F475" s="93" t="str">
        <f t="shared" si="39"/>
        <v>2043+05</v>
      </c>
      <c r="G475" s="74">
        <f t="shared" si="35"/>
        <v>1001.8760538436067</v>
      </c>
      <c r="H475" s="80">
        <f t="shared" si="36"/>
        <v>5.316993327634785E-2</v>
      </c>
    </row>
    <row r="476" spans="2:8">
      <c r="B476" s="79">
        <v>2043</v>
      </c>
      <c r="C476">
        <v>2048</v>
      </c>
      <c r="D476">
        <f t="shared" si="37"/>
        <v>6</v>
      </c>
      <c r="E476" t="str">
        <f t="shared" si="38"/>
        <v>2043-2048</v>
      </c>
      <c r="F476" s="93" t="str">
        <f t="shared" si="39"/>
        <v>2043+06</v>
      </c>
      <c r="G476" s="74">
        <f t="shared" si="35"/>
        <v>991.68572599709876</v>
      </c>
      <c r="H476" s="80">
        <f t="shared" si="36"/>
        <v>5.2629128802995785E-2</v>
      </c>
    </row>
    <row r="477" spans="2:8">
      <c r="B477" s="79">
        <v>2043</v>
      </c>
      <c r="C477">
        <v>2049</v>
      </c>
      <c r="D477">
        <f t="shared" si="37"/>
        <v>7</v>
      </c>
      <c r="E477" t="str">
        <f t="shared" si="38"/>
        <v>2043-2049</v>
      </c>
      <c r="F477" s="93" t="str">
        <f t="shared" si="39"/>
        <v>2043+07</v>
      </c>
      <c r="G477" s="74">
        <f t="shared" si="35"/>
        <v>984.40692039245016</v>
      </c>
      <c r="H477" s="80">
        <f t="shared" si="36"/>
        <v>5.2242839893458605E-2</v>
      </c>
    </row>
    <row r="478" spans="2:8">
      <c r="B478" s="93">
        <v>2044</v>
      </c>
      <c r="C478" s="93">
        <v>2044</v>
      </c>
      <c r="D478" s="93">
        <f t="shared" si="37"/>
        <v>1</v>
      </c>
      <c r="E478" s="93" t="str">
        <f t="shared" si="38"/>
        <v>2044-2044</v>
      </c>
      <c r="F478" s="93" t="str">
        <f t="shared" si="39"/>
        <v>2044+01</v>
      </c>
      <c r="G478" s="76">
        <f t="shared" si="35"/>
        <v>1042.6373652296386</v>
      </c>
      <c r="H478" s="77">
        <f t="shared" si="36"/>
        <v>5.5333151169756116E-2</v>
      </c>
    </row>
    <row r="479" spans="2:8">
      <c r="B479" s="79">
        <v>2044</v>
      </c>
      <c r="C479">
        <v>2045</v>
      </c>
      <c r="D479">
        <f t="shared" si="37"/>
        <v>2</v>
      </c>
      <c r="E479" t="str">
        <f t="shared" si="38"/>
        <v>2044-2045</v>
      </c>
      <c r="F479" s="93" t="str">
        <f t="shared" si="39"/>
        <v>2044+02</v>
      </c>
      <c r="G479" s="74">
        <f t="shared" si="35"/>
        <v>991.68572599709887</v>
      </c>
      <c r="H479" s="80">
        <f t="shared" si="36"/>
        <v>5.2629128802995792E-2</v>
      </c>
    </row>
    <row r="480" spans="2:8">
      <c r="B480" s="79">
        <v>2044</v>
      </c>
      <c r="C480">
        <v>2046</v>
      </c>
      <c r="D480">
        <f t="shared" si="37"/>
        <v>3</v>
      </c>
      <c r="E480" t="str">
        <f t="shared" si="38"/>
        <v>2044-2046</v>
      </c>
      <c r="F480" s="93" t="str">
        <f t="shared" si="39"/>
        <v>2044+03</v>
      </c>
      <c r="G480" s="74">
        <f t="shared" si="35"/>
        <v>974.70184625291893</v>
      </c>
      <c r="H480" s="80">
        <f t="shared" si="36"/>
        <v>5.1727788014075682E-2</v>
      </c>
    </row>
    <row r="481" spans="2:8">
      <c r="B481" s="79">
        <v>2044</v>
      </c>
      <c r="C481">
        <v>2047</v>
      </c>
      <c r="D481">
        <f t="shared" si="37"/>
        <v>4</v>
      </c>
      <c r="E481" t="str">
        <f t="shared" si="38"/>
        <v>2044-2047</v>
      </c>
      <c r="F481" s="93" t="str">
        <f t="shared" si="39"/>
        <v>2044+04</v>
      </c>
      <c r="G481" s="74">
        <f t="shared" si="35"/>
        <v>966.2099063808289</v>
      </c>
      <c r="H481" s="80">
        <f t="shared" si="36"/>
        <v>5.1277117619615627E-2</v>
      </c>
    </row>
    <row r="482" spans="2:8">
      <c r="B482" s="79">
        <v>2044</v>
      </c>
      <c r="C482">
        <v>2048</v>
      </c>
      <c r="D482">
        <f t="shared" si="37"/>
        <v>5</v>
      </c>
      <c r="E482" t="str">
        <f t="shared" si="38"/>
        <v>2044-2048</v>
      </c>
      <c r="F482" s="93" t="str">
        <f t="shared" si="39"/>
        <v>2044+05</v>
      </c>
      <c r="G482" s="74">
        <f t="shared" si="35"/>
        <v>961.11474245757495</v>
      </c>
      <c r="H482" s="80">
        <f t="shared" si="36"/>
        <v>5.1006715382939591E-2</v>
      </c>
    </row>
    <row r="483" spans="2:8">
      <c r="B483" s="79">
        <v>2044</v>
      </c>
      <c r="C483">
        <v>2049</v>
      </c>
      <c r="D483">
        <f t="shared" si="37"/>
        <v>6</v>
      </c>
      <c r="E483" t="str">
        <f t="shared" si="38"/>
        <v>2044-2049</v>
      </c>
      <c r="F483" s="93" t="str">
        <f t="shared" si="39"/>
        <v>2044+06</v>
      </c>
      <c r="G483" s="74">
        <f t="shared" si="35"/>
        <v>957.71796650873887</v>
      </c>
      <c r="H483" s="80">
        <f t="shared" si="36"/>
        <v>5.0826447225155579E-2</v>
      </c>
    </row>
    <row r="484" spans="2:8">
      <c r="B484" s="93">
        <v>2045</v>
      </c>
      <c r="C484" s="93">
        <v>2045</v>
      </c>
      <c r="D484" s="93">
        <f t="shared" si="37"/>
        <v>1</v>
      </c>
      <c r="E484" s="93" t="str">
        <f t="shared" si="38"/>
        <v>2045-2045</v>
      </c>
      <c r="F484" s="93" t="str">
        <f t="shared" si="39"/>
        <v>2045+01</v>
      </c>
      <c r="G484" s="76">
        <f t="shared" si="35"/>
        <v>940.73408676455904</v>
      </c>
      <c r="H484" s="77">
        <f t="shared" si="36"/>
        <v>4.9925106436235461E-2</v>
      </c>
    </row>
    <row r="485" spans="2:8">
      <c r="B485" s="79">
        <v>2045</v>
      </c>
      <c r="C485">
        <v>2046</v>
      </c>
      <c r="D485">
        <f t="shared" si="37"/>
        <v>2</v>
      </c>
      <c r="E485" t="str">
        <f t="shared" si="38"/>
        <v>2045-2046</v>
      </c>
      <c r="F485" s="93" t="str">
        <f t="shared" si="39"/>
        <v>2045+02</v>
      </c>
      <c r="G485" s="74">
        <f t="shared" si="35"/>
        <v>940.73408676455904</v>
      </c>
      <c r="H485" s="80">
        <f t="shared" si="36"/>
        <v>4.9925106436235461E-2</v>
      </c>
    </row>
    <row r="486" spans="2:8">
      <c r="B486" s="79">
        <v>2045</v>
      </c>
      <c r="C486">
        <v>2047</v>
      </c>
      <c r="D486">
        <f t="shared" si="37"/>
        <v>3</v>
      </c>
      <c r="E486" t="str">
        <f t="shared" si="38"/>
        <v>2045-2047</v>
      </c>
      <c r="F486" s="93" t="str">
        <f t="shared" si="39"/>
        <v>2045+03</v>
      </c>
      <c r="G486" s="74">
        <f t="shared" si="35"/>
        <v>940.73408676455904</v>
      </c>
      <c r="H486" s="80">
        <f t="shared" si="36"/>
        <v>4.9925106436235461E-2</v>
      </c>
    </row>
    <row r="487" spans="2:8">
      <c r="B487" s="79">
        <v>2045</v>
      </c>
      <c r="C487">
        <v>2048</v>
      </c>
      <c r="D487">
        <f t="shared" si="37"/>
        <v>4</v>
      </c>
      <c r="E487" t="str">
        <f t="shared" si="38"/>
        <v>2045-2048</v>
      </c>
      <c r="F487" s="93" t="str">
        <f t="shared" si="39"/>
        <v>2045+04</v>
      </c>
      <c r="G487" s="74">
        <f t="shared" si="35"/>
        <v>940.73408676455904</v>
      </c>
      <c r="H487" s="80">
        <f t="shared" si="36"/>
        <v>4.9925106436235461E-2</v>
      </c>
    </row>
    <row r="488" spans="2:8">
      <c r="B488" s="79">
        <v>2045</v>
      </c>
      <c r="C488">
        <v>2049</v>
      </c>
      <c r="D488">
        <f t="shared" si="37"/>
        <v>5</v>
      </c>
      <c r="E488" t="str">
        <f t="shared" si="38"/>
        <v>2045-2049</v>
      </c>
      <c r="F488" s="93" t="str">
        <f t="shared" si="39"/>
        <v>2045+05</v>
      </c>
      <c r="G488" s="74">
        <f t="shared" si="35"/>
        <v>940.73408676455915</v>
      </c>
      <c r="H488" s="80">
        <f t="shared" si="36"/>
        <v>4.9925106436235461E-2</v>
      </c>
    </row>
    <row r="489" spans="2:8">
      <c r="B489" s="93">
        <v>2046</v>
      </c>
      <c r="C489" s="93">
        <v>2046</v>
      </c>
      <c r="D489" s="93">
        <f t="shared" si="37"/>
        <v>1</v>
      </c>
      <c r="E489" s="93" t="str">
        <f t="shared" si="38"/>
        <v>2046-2046</v>
      </c>
      <c r="F489" s="93" t="str">
        <f t="shared" si="39"/>
        <v>2046+01</v>
      </c>
      <c r="G489" s="76">
        <f t="shared" si="35"/>
        <v>940.73408676455904</v>
      </c>
      <c r="H489" s="77">
        <f t="shared" si="36"/>
        <v>4.9925106436235461E-2</v>
      </c>
    </row>
    <row r="490" spans="2:8">
      <c r="B490" s="79">
        <v>2046</v>
      </c>
      <c r="C490">
        <v>2047</v>
      </c>
      <c r="D490">
        <f t="shared" si="37"/>
        <v>2</v>
      </c>
      <c r="E490" t="str">
        <f t="shared" si="38"/>
        <v>2046-2047</v>
      </c>
      <c r="F490" s="93" t="str">
        <f t="shared" si="39"/>
        <v>2046+02</v>
      </c>
      <c r="G490" s="74">
        <f t="shared" si="35"/>
        <v>940.73408676455904</v>
      </c>
      <c r="H490" s="80">
        <f t="shared" si="36"/>
        <v>4.9925106436235461E-2</v>
      </c>
    </row>
    <row r="491" spans="2:8">
      <c r="B491" s="79">
        <v>2046</v>
      </c>
      <c r="C491">
        <v>2048</v>
      </c>
      <c r="D491">
        <f t="shared" si="37"/>
        <v>3</v>
      </c>
      <c r="E491" t="str">
        <f t="shared" si="38"/>
        <v>2046-2048</v>
      </c>
      <c r="F491" s="93" t="str">
        <f t="shared" si="39"/>
        <v>2046+03</v>
      </c>
      <c r="G491" s="74">
        <f t="shared" si="35"/>
        <v>940.73408676455904</v>
      </c>
      <c r="H491" s="80">
        <f t="shared" si="36"/>
        <v>4.9925106436235461E-2</v>
      </c>
    </row>
    <row r="492" spans="2:8">
      <c r="B492" s="79">
        <v>2046</v>
      </c>
      <c r="C492">
        <v>2049</v>
      </c>
      <c r="D492">
        <f t="shared" si="37"/>
        <v>4</v>
      </c>
      <c r="E492" t="str">
        <f t="shared" si="38"/>
        <v>2046-2049</v>
      </c>
      <c r="F492" s="93" t="str">
        <f t="shared" si="39"/>
        <v>2046+04</v>
      </c>
      <c r="G492" s="74">
        <f t="shared" si="35"/>
        <v>940.73408676455904</v>
      </c>
      <c r="H492" s="80">
        <f t="shared" si="36"/>
        <v>4.9925106436235461E-2</v>
      </c>
    </row>
    <row r="493" spans="2:8">
      <c r="B493" s="93">
        <v>2047</v>
      </c>
      <c r="C493" s="93">
        <v>2047</v>
      </c>
      <c r="D493" s="93">
        <f t="shared" si="37"/>
        <v>1</v>
      </c>
      <c r="E493" s="93" t="str">
        <f t="shared" si="38"/>
        <v>2047-2047</v>
      </c>
      <c r="F493" s="93" t="str">
        <f t="shared" si="39"/>
        <v>2047+01</v>
      </c>
      <c r="G493" s="76">
        <f t="shared" si="35"/>
        <v>940.73408676455904</v>
      </c>
      <c r="H493" s="77">
        <f t="shared" si="36"/>
        <v>4.9925106436235461E-2</v>
      </c>
    </row>
    <row r="494" spans="2:8">
      <c r="B494" s="79">
        <v>2047</v>
      </c>
      <c r="C494">
        <v>2048</v>
      </c>
      <c r="D494">
        <f t="shared" si="37"/>
        <v>2</v>
      </c>
      <c r="E494" t="str">
        <f t="shared" si="38"/>
        <v>2047-2048</v>
      </c>
      <c r="F494" s="93" t="str">
        <f t="shared" si="39"/>
        <v>2047+02</v>
      </c>
      <c r="G494" s="74">
        <f t="shared" si="35"/>
        <v>940.73408676455904</v>
      </c>
      <c r="H494" s="80">
        <f t="shared" si="36"/>
        <v>4.9925106436235461E-2</v>
      </c>
    </row>
    <row r="495" spans="2:8">
      <c r="B495" s="79">
        <v>2047</v>
      </c>
      <c r="C495">
        <v>2049</v>
      </c>
      <c r="D495">
        <f t="shared" si="37"/>
        <v>3</v>
      </c>
      <c r="E495" t="str">
        <f t="shared" si="38"/>
        <v>2047-2049</v>
      </c>
      <c r="F495" s="93" t="str">
        <f t="shared" si="39"/>
        <v>2047+03</v>
      </c>
      <c r="G495" s="74">
        <f t="shared" si="35"/>
        <v>940.73408676455904</v>
      </c>
      <c r="H495" s="80">
        <f t="shared" si="36"/>
        <v>4.9925106436235461E-2</v>
      </c>
    </row>
    <row r="496" spans="2:8">
      <c r="B496" s="93">
        <v>2048</v>
      </c>
      <c r="C496" s="93">
        <v>2048</v>
      </c>
      <c r="D496" s="93">
        <f t="shared" si="37"/>
        <v>1</v>
      </c>
      <c r="E496" s="93" t="str">
        <f t="shared" si="38"/>
        <v>2048-2048</v>
      </c>
      <c r="F496" s="93" t="str">
        <f t="shared" si="39"/>
        <v>2048+01</v>
      </c>
      <c r="G496" s="76">
        <f t="shared" si="35"/>
        <v>940.73408676455904</v>
      </c>
      <c r="H496" s="77">
        <f t="shared" si="36"/>
        <v>4.9925106436235461E-2</v>
      </c>
    </row>
    <row r="497" spans="2:8">
      <c r="B497" s="79">
        <v>2048</v>
      </c>
      <c r="C497">
        <v>2049</v>
      </c>
      <c r="D497">
        <f t="shared" si="37"/>
        <v>2</v>
      </c>
      <c r="E497" t="str">
        <f t="shared" si="38"/>
        <v>2048-2049</v>
      </c>
      <c r="F497" s="93" t="str">
        <f t="shared" si="39"/>
        <v>2048+02</v>
      </c>
      <c r="G497" s="74">
        <f t="shared" si="35"/>
        <v>940.73408676455904</v>
      </c>
      <c r="H497" s="80">
        <f t="shared" si="36"/>
        <v>4.9925106436235461E-2</v>
      </c>
    </row>
    <row r="498" spans="2:8">
      <c r="B498" s="93">
        <v>2049</v>
      </c>
      <c r="C498" s="93">
        <v>2049</v>
      </c>
      <c r="D498" s="93">
        <f t="shared" si="37"/>
        <v>1</v>
      </c>
      <c r="E498" s="93" t="str">
        <f t="shared" si="38"/>
        <v>2049-2049</v>
      </c>
      <c r="F498" s="93" t="str">
        <f t="shared" si="39"/>
        <v>2049+01</v>
      </c>
      <c r="G498" s="76">
        <f t="shared" si="35"/>
        <v>940.73408676455904</v>
      </c>
      <c r="H498" s="77">
        <f t="shared" si="36"/>
        <v>4.9925106436235461E-2</v>
      </c>
    </row>
    <row r="500" spans="2:8">
      <c r="B500" t="s">
        <v>267</v>
      </c>
    </row>
  </sheetData>
  <autoFilter ref="B2:H498" xr:uid="{610D5C72-0716-4DAA-8BFF-C8F27B422A89}"/>
  <mergeCells count="1">
    <mergeCell ref="G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sheetPr>
  <dimension ref="B3:C15"/>
  <sheetViews>
    <sheetView showGridLines="0" workbookViewId="0">
      <selection activeCell="E3" sqref="E3"/>
    </sheetView>
  </sheetViews>
  <sheetFormatPr defaultRowHeight="14.5"/>
  <cols>
    <col min="2" max="2" width="46.81640625" bestFit="1" customWidth="1"/>
    <col min="3" max="3" width="2.453125" customWidth="1"/>
    <col min="4" max="5" width="34.7265625" bestFit="1" customWidth="1"/>
  </cols>
  <sheetData>
    <row r="3" spans="2:3" ht="26">
      <c r="B3" s="25" t="s">
        <v>268</v>
      </c>
      <c r="C3" s="26"/>
    </row>
    <row r="4" spans="2:3" ht="15.5">
      <c r="B4" s="27" t="s">
        <v>269</v>
      </c>
      <c r="C4" s="26"/>
    </row>
    <row r="5" spans="2:3">
      <c r="B5" s="28" t="s">
        <v>270</v>
      </c>
      <c r="C5" s="26"/>
    </row>
    <row r="6" spans="2:3">
      <c r="B6" s="26"/>
      <c r="C6" s="26"/>
    </row>
    <row r="7" spans="2:3">
      <c r="B7" s="26"/>
      <c r="C7" s="26"/>
    </row>
    <row r="8" spans="2:3">
      <c r="B8" s="26"/>
      <c r="C8" s="26"/>
    </row>
    <row r="9" spans="2:3">
      <c r="B9" s="26"/>
    </row>
    <row r="10" spans="2:3">
      <c r="B10" s="26"/>
    </row>
    <row r="11" spans="2:3">
      <c r="B11" s="26" t="s">
        <v>271</v>
      </c>
    </row>
    <row r="12" spans="2:3">
      <c r="B12" s="26" t="s">
        <v>272</v>
      </c>
    </row>
    <row r="13" spans="2:3">
      <c r="B13" s="26" t="s">
        <v>273</v>
      </c>
    </row>
    <row r="14" spans="2:3">
      <c r="B14" s="26" t="s">
        <v>274</v>
      </c>
    </row>
    <row r="15" spans="2:3">
      <c r="B15" s="29">
        <v>43728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4"/>
  </sheetPr>
  <dimension ref="B4:E36"/>
  <sheetViews>
    <sheetView showGridLines="0" zoomScaleNormal="100" workbookViewId="0">
      <selection activeCell="M18" sqref="M18"/>
    </sheetView>
  </sheetViews>
  <sheetFormatPr defaultRowHeight="14.5"/>
  <cols>
    <col min="2" max="2" width="5.81640625" bestFit="1" customWidth="1"/>
    <col min="3" max="3" width="19.81640625" customWidth="1"/>
    <col min="4" max="4" width="19" customWidth="1"/>
    <col min="5" max="5" width="22" customWidth="1"/>
  </cols>
  <sheetData>
    <row r="4" spans="2:5">
      <c r="B4" s="344" t="s">
        <v>279</v>
      </c>
      <c r="C4" s="345"/>
      <c r="D4" s="346"/>
    </row>
    <row r="5" spans="2:5" s="23" customFormat="1" ht="29">
      <c r="B5" s="24" t="s">
        <v>249</v>
      </c>
      <c r="C5" s="32" t="s">
        <v>280</v>
      </c>
      <c r="D5" s="33" t="s">
        <v>265</v>
      </c>
      <c r="E5" s="65" t="s">
        <v>266</v>
      </c>
    </row>
    <row r="6" spans="2:5">
      <c r="B6" s="17">
        <v>2019</v>
      </c>
      <c r="C6" s="18">
        <f t="array" ref="C6:C36">TRANSPOSE('Long-Run Emissions Inputs'!E14:AI14)</f>
        <v>0.21778208231599214</v>
      </c>
      <c r="D6" s="19">
        <f t="array" ref="D6:D36">TRANSPOSE('Long-Run Emissions Inputs'!E16:AI16)</f>
        <v>3722.7706378802072</v>
      </c>
      <c r="E6" s="31">
        <f t="shared" ref="E6:E36" si="0">C6/Short_Ton_per_Metric_Tonne</f>
        <v>0.19756881668132573</v>
      </c>
    </row>
    <row r="7" spans="2:5">
      <c r="B7" s="17">
        <v>2020</v>
      </c>
      <c r="C7" s="18">
        <v>0.21281029488033304</v>
      </c>
      <c r="D7" s="19">
        <v>3637.7828184672312</v>
      </c>
      <c r="E7" s="31">
        <f t="shared" si="0"/>
        <v>0.19305848162525338</v>
      </c>
    </row>
    <row r="8" spans="2:5">
      <c r="B8" s="17">
        <v>2021</v>
      </c>
      <c r="C8" s="18">
        <v>0.20783850744467394</v>
      </c>
      <c r="D8" s="19">
        <v>3552.7949990542552</v>
      </c>
      <c r="E8" s="31">
        <f t="shared" si="0"/>
        <v>0.18854814656918104</v>
      </c>
    </row>
    <row r="9" spans="2:5">
      <c r="B9" s="17">
        <v>2022</v>
      </c>
      <c r="C9" s="18">
        <v>0.20286672000901484</v>
      </c>
      <c r="D9" s="19">
        <v>3467.8071796412792</v>
      </c>
      <c r="E9" s="31">
        <f t="shared" si="0"/>
        <v>0.18403781151310872</v>
      </c>
    </row>
    <row r="10" spans="2:5">
      <c r="B10" s="17">
        <v>2023</v>
      </c>
      <c r="C10" s="18">
        <v>0.18870970116268088</v>
      </c>
      <c r="D10" s="19">
        <v>3225.8068574817244</v>
      </c>
      <c r="E10" s="31">
        <f t="shared" si="0"/>
        <v>0.1711947647782211</v>
      </c>
    </row>
    <row r="11" spans="2:5">
      <c r="B11" s="17">
        <v>2024</v>
      </c>
      <c r="C11" s="18">
        <v>0.19601573301599062</v>
      </c>
      <c r="D11" s="19">
        <v>3350.6962908716346</v>
      </c>
      <c r="E11" s="31">
        <f t="shared" si="0"/>
        <v>0.17782269326776554</v>
      </c>
    </row>
    <row r="12" spans="2:5">
      <c r="B12" s="17">
        <v>2025</v>
      </c>
      <c r="C12" s="18">
        <v>0.19355630633941939</v>
      </c>
      <c r="D12" s="19">
        <v>3308.6548092208445</v>
      </c>
      <c r="E12" s="31">
        <f t="shared" si="0"/>
        <v>0.17559153626422641</v>
      </c>
    </row>
    <row r="13" spans="2:5">
      <c r="B13" s="17">
        <v>2026</v>
      </c>
      <c r="C13" s="18">
        <v>0.19354258990075543</v>
      </c>
      <c r="D13" s="19">
        <v>3308.4203401838536</v>
      </c>
      <c r="E13" s="31">
        <f t="shared" si="0"/>
        <v>0.17557909290558504</v>
      </c>
    </row>
    <row r="14" spans="2:5">
      <c r="B14" s="17">
        <v>2027</v>
      </c>
      <c r="C14" s="18">
        <v>0.18671399388555557</v>
      </c>
      <c r="D14" s="19">
        <v>3191.69220317189</v>
      </c>
      <c r="E14" s="31">
        <f t="shared" si="0"/>
        <v>0.16938428743779479</v>
      </c>
    </row>
    <row r="15" spans="2:5">
      <c r="B15" s="17">
        <v>2028</v>
      </c>
      <c r="C15" s="18">
        <v>0.17988539787035571</v>
      </c>
      <c r="D15" s="19">
        <v>3074.9640661599265</v>
      </c>
      <c r="E15" s="31">
        <f t="shared" si="0"/>
        <v>0.16318948197000455</v>
      </c>
    </row>
    <row r="16" spans="2:5">
      <c r="B16" s="17">
        <v>2029</v>
      </c>
      <c r="C16" s="18">
        <v>0.16529123388680772</v>
      </c>
      <c r="D16" s="19">
        <v>2825.4911775522687</v>
      </c>
      <c r="E16" s="31">
        <f t="shared" si="0"/>
        <v>0.14994986336584784</v>
      </c>
    </row>
    <row r="17" spans="2:5">
      <c r="B17" s="17">
        <v>2030</v>
      </c>
      <c r="C17" s="18">
        <v>0.15069706990325976</v>
      </c>
      <c r="D17" s="19">
        <v>2576.0182889446114</v>
      </c>
      <c r="E17" s="31">
        <f t="shared" si="0"/>
        <v>0.13671024476169116</v>
      </c>
    </row>
    <row r="18" spans="2:5">
      <c r="B18" s="17">
        <v>2031</v>
      </c>
      <c r="C18" s="18">
        <v>0.14579083161513251</v>
      </c>
      <c r="D18" s="19">
        <v>2492.1509677800432</v>
      </c>
      <c r="E18" s="31">
        <f t="shared" si="0"/>
        <v>0.13225937496269879</v>
      </c>
    </row>
    <row r="19" spans="2:5">
      <c r="B19" s="17">
        <v>2032</v>
      </c>
      <c r="C19" s="18">
        <v>0.14088459332700526</v>
      </c>
      <c r="D19" s="19">
        <v>2408.2836466154745</v>
      </c>
      <c r="E19" s="31">
        <f t="shared" si="0"/>
        <v>0.12780850516370645</v>
      </c>
    </row>
    <row r="20" spans="2:5">
      <c r="B20" s="17">
        <v>2033</v>
      </c>
      <c r="C20" s="18">
        <v>0.13364424254490798</v>
      </c>
      <c r="D20" s="19">
        <v>2284.5169665796234</v>
      </c>
      <c r="E20" s="31">
        <f t="shared" si="0"/>
        <v>0.12124016161053423</v>
      </c>
    </row>
    <row r="21" spans="2:5">
      <c r="B21" s="17">
        <v>2034</v>
      </c>
      <c r="C21" s="18">
        <v>0.12640389176281069</v>
      </c>
      <c r="D21" s="19">
        <v>2160.7502865437723</v>
      </c>
      <c r="E21" s="31">
        <f t="shared" si="0"/>
        <v>0.114671818057362</v>
      </c>
    </row>
    <row r="22" spans="2:5">
      <c r="B22" s="17">
        <v>2035</v>
      </c>
      <c r="C22" s="18">
        <v>0.11916354098071345</v>
      </c>
      <c r="D22" s="19">
        <v>2036.9836065079223</v>
      </c>
      <c r="E22" s="31">
        <f t="shared" si="0"/>
        <v>0.10810347450418981</v>
      </c>
    </row>
    <row r="23" spans="2:5">
      <c r="B23" s="17">
        <v>2036</v>
      </c>
      <c r="C23" s="18">
        <v>0.11229876338992326</v>
      </c>
      <c r="D23" s="19">
        <v>1919.6369810243291</v>
      </c>
      <c r="E23" s="31">
        <f t="shared" si="0"/>
        <v>0.1018758456241196</v>
      </c>
    </row>
    <row r="24" spans="2:5">
      <c r="B24" s="17">
        <v>2037</v>
      </c>
      <c r="C24" s="18">
        <v>0.10543398579913306</v>
      </c>
      <c r="D24" s="19">
        <v>1802.2903555407358</v>
      </c>
      <c r="E24" s="31">
        <f t="shared" si="0"/>
        <v>9.5648216744049372E-2</v>
      </c>
    </row>
    <row r="25" spans="2:5">
      <c r="B25" s="17">
        <v>2038</v>
      </c>
      <c r="C25" s="18">
        <v>9.8569208208342862E-2</v>
      </c>
      <c r="D25" s="19">
        <v>1684.9437300571428</v>
      </c>
      <c r="E25" s="31">
        <f t="shared" si="0"/>
        <v>8.9420587863979162E-2</v>
      </c>
    </row>
    <row r="26" spans="2:5">
      <c r="B26" s="17">
        <v>2039</v>
      </c>
      <c r="C26" s="18">
        <v>9.1704430617552665E-2</v>
      </c>
      <c r="D26" s="19">
        <v>1567.5971045735498</v>
      </c>
      <c r="E26" s="31">
        <f t="shared" si="0"/>
        <v>8.3192958983908952E-2</v>
      </c>
    </row>
    <row r="27" spans="2:5">
      <c r="B27" s="17">
        <v>2040</v>
      </c>
      <c r="C27" s="18">
        <v>8.483965302676244E-2</v>
      </c>
      <c r="D27" s="19">
        <v>1450.2504790899561</v>
      </c>
      <c r="E27" s="31">
        <f t="shared" si="0"/>
        <v>7.6965330103838714E-2</v>
      </c>
    </row>
    <row r="28" spans="2:5">
      <c r="B28" s="17">
        <v>2041</v>
      </c>
      <c r="C28" s="18">
        <v>7.8878311236555296E-2</v>
      </c>
      <c r="D28" s="19">
        <v>1348.3472006248767</v>
      </c>
      <c r="E28" s="31">
        <f t="shared" si="0"/>
        <v>7.1557285370318066E-2</v>
      </c>
    </row>
    <row r="29" spans="2:5">
      <c r="B29" s="17">
        <v>2042</v>
      </c>
      <c r="C29" s="18">
        <v>7.2916969446348151E-2</v>
      </c>
      <c r="D29" s="19">
        <v>1246.4439221597975</v>
      </c>
      <c r="E29" s="31">
        <f t="shared" si="0"/>
        <v>6.6149240636797418E-2</v>
      </c>
    </row>
    <row r="30" spans="2:5">
      <c r="B30" s="17">
        <v>2043</v>
      </c>
      <c r="C30" s="18">
        <v>6.6955627656141006E-2</v>
      </c>
      <c r="D30" s="19">
        <v>1144.540643694718</v>
      </c>
      <c r="E30" s="31">
        <f t="shared" si="0"/>
        <v>6.0741195903276764E-2</v>
      </c>
    </row>
    <row r="31" spans="2:5">
      <c r="B31" s="17">
        <v>2044</v>
      </c>
      <c r="C31" s="18">
        <v>6.0994285865933862E-2</v>
      </c>
      <c r="D31" s="19">
        <v>1042.6373652296386</v>
      </c>
      <c r="E31" s="31">
        <f t="shared" si="0"/>
        <v>5.5333151169756116E-2</v>
      </c>
    </row>
    <row r="32" spans="2:5">
      <c r="B32" s="17">
        <v>2045</v>
      </c>
      <c r="C32" s="18">
        <v>5.503294407572671E-2</v>
      </c>
      <c r="D32" s="19">
        <v>940.73408676455904</v>
      </c>
      <c r="E32" s="31">
        <f t="shared" si="0"/>
        <v>4.9925106436235461E-2</v>
      </c>
    </row>
    <row r="33" spans="2:5">
      <c r="B33" s="17">
        <v>2046</v>
      </c>
      <c r="C33" s="18">
        <v>5.503294407572671E-2</v>
      </c>
      <c r="D33" s="19">
        <v>940.73408676455904</v>
      </c>
      <c r="E33" s="31">
        <f t="shared" si="0"/>
        <v>4.9925106436235461E-2</v>
      </c>
    </row>
    <row r="34" spans="2:5">
      <c r="B34" s="17">
        <v>2047</v>
      </c>
      <c r="C34" s="18">
        <v>5.503294407572671E-2</v>
      </c>
      <c r="D34" s="19">
        <v>940.73408676455904</v>
      </c>
      <c r="E34" s="31">
        <f t="shared" si="0"/>
        <v>4.9925106436235461E-2</v>
      </c>
    </row>
    <row r="35" spans="2:5">
      <c r="B35" s="17">
        <v>2048</v>
      </c>
      <c r="C35" s="18">
        <v>5.503294407572671E-2</v>
      </c>
      <c r="D35" s="19">
        <v>940.73408676455904</v>
      </c>
      <c r="E35" s="31">
        <f t="shared" si="0"/>
        <v>4.9925106436235461E-2</v>
      </c>
    </row>
    <row r="36" spans="2:5">
      <c r="B36" s="20">
        <v>2049</v>
      </c>
      <c r="C36" s="21">
        <v>5.503294407572671E-2</v>
      </c>
      <c r="D36" s="22">
        <v>940.73408676455904</v>
      </c>
      <c r="E36" s="31">
        <f t="shared" si="0"/>
        <v>4.9925106436235461E-2</v>
      </c>
    </row>
  </sheetData>
  <sheetProtection algorithmName="SHA-512" hashValue="U16xWSrLgiJ/qMjpCqfZt8M0JAimstiP+9XmcionNQXmtZWjpcBmngD/7/xD70SNfYX7xyTbNcDCvIMSOndGsA==" saltValue="2b51cL59Nn7Sh8ywo63ZLg==" spinCount="100000" sheet="1" objects="1" scenarios="1"/>
  <mergeCells count="1">
    <mergeCell ref="B4:D4"/>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sheetPr>
  <dimension ref="B1:AI16"/>
  <sheetViews>
    <sheetView showGridLines="0" zoomScale="70" zoomScaleNormal="70" workbookViewId="0">
      <selection activeCell="B2" sqref="B2"/>
    </sheetView>
  </sheetViews>
  <sheetFormatPr defaultRowHeight="14.5"/>
  <cols>
    <col min="2" max="2" width="34.7265625" bestFit="1" customWidth="1"/>
    <col min="3" max="3" width="35" customWidth="1"/>
    <col min="4" max="4" width="9.54296875" bestFit="1" customWidth="1"/>
    <col min="5" max="30" width="11.1796875" customWidth="1"/>
    <col min="31" max="31" width="11.453125" customWidth="1"/>
  </cols>
  <sheetData>
    <row r="1" spans="2:35">
      <c r="B1" s="184"/>
      <c r="C1" s="184"/>
    </row>
    <row r="2" spans="2:35">
      <c r="B2" s="190" t="s">
        <v>707</v>
      </c>
      <c r="C2" s="184"/>
      <c r="D2">
        <v>2018</v>
      </c>
      <c r="E2">
        <v>2022</v>
      </c>
      <c r="F2">
        <v>2023</v>
      </c>
      <c r="G2">
        <v>2024</v>
      </c>
      <c r="H2">
        <v>2025</v>
      </c>
      <c r="I2">
        <v>2026</v>
      </c>
      <c r="J2">
        <v>2028</v>
      </c>
      <c r="K2">
        <v>2030</v>
      </c>
      <c r="L2">
        <v>2032</v>
      </c>
      <c r="M2">
        <v>2035</v>
      </c>
      <c r="N2">
        <v>2040</v>
      </c>
      <c r="O2">
        <v>2045</v>
      </c>
    </row>
    <row r="3" spans="2:35">
      <c r="B3" s="1" t="s">
        <v>281</v>
      </c>
      <c r="C3" s="2" t="s">
        <v>282</v>
      </c>
      <c r="D3" s="3">
        <v>239106.96738437598</v>
      </c>
      <c r="E3" s="202">
        <v>238133.53492167199</v>
      </c>
      <c r="F3" s="202">
        <v>243569.63598876999</v>
      </c>
      <c r="G3" s="202">
        <v>247341.536257289</v>
      </c>
      <c r="H3" s="202">
        <v>249927.78194414801</v>
      </c>
      <c r="I3" s="202">
        <v>252485.890746094</v>
      </c>
      <c r="J3" s="202">
        <v>256600.66955616401</v>
      </c>
      <c r="K3" s="202">
        <v>260802.14198151202</v>
      </c>
      <c r="L3" s="202">
        <v>267431.68614604499</v>
      </c>
      <c r="M3" s="202">
        <v>275927.90429373196</v>
      </c>
      <c r="N3" s="202">
        <v>290088.265462276</v>
      </c>
      <c r="O3" s="203">
        <v>297046.12696479203</v>
      </c>
    </row>
    <row r="4" spans="2:35">
      <c r="B4" s="4" t="s">
        <v>283</v>
      </c>
      <c r="C4" s="5" t="s">
        <v>282</v>
      </c>
      <c r="D4" s="3">
        <v>209330.5911438991</v>
      </c>
      <c r="E4" s="202">
        <v>199394.16930154359</v>
      </c>
      <c r="F4" s="202">
        <v>204085.11499389785</v>
      </c>
      <c r="G4" s="202">
        <v>207184.09154684306</v>
      </c>
      <c r="H4" s="202">
        <v>209211.89536921788</v>
      </c>
      <c r="I4" s="202">
        <v>211218.54019556977</v>
      </c>
      <c r="J4" s="202">
        <v>214281.50120735227</v>
      </c>
      <c r="K4" s="202">
        <v>217428.49776892745</v>
      </c>
      <c r="L4" s="202">
        <v>222820.38445254049</v>
      </c>
      <c r="M4" s="202">
        <v>229568.49986334835</v>
      </c>
      <c r="N4" s="202">
        <v>240813.68964598927</v>
      </c>
      <c r="O4" s="203">
        <v>245396.69557934636</v>
      </c>
    </row>
    <row r="5" spans="2:35">
      <c r="B5" s="6" t="s">
        <v>284</v>
      </c>
      <c r="C5" s="7" t="s">
        <v>285</v>
      </c>
      <c r="D5" s="147">
        <v>42.301348291047219</v>
      </c>
      <c r="E5" s="204">
        <v>36.696066546730364</v>
      </c>
      <c r="F5" s="204">
        <v>34.938303256116548</v>
      </c>
      <c r="G5" s="204">
        <v>36.842033161094932</v>
      </c>
      <c r="H5" s="204">
        <v>36.735838112631555</v>
      </c>
      <c r="I5" s="204">
        <v>37.085559692379995</v>
      </c>
      <c r="J5" s="204">
        <v>34.96848717778272</v>
      </c>
      <c r="K5" s="204">
        <v>29.724703148156891</v>
      </c>
      <c r="L5" s="204">
        <v>28.47834025688158</v>
      </c>
      <c r="M5" s="204">
        <v>24.817152471942578</v>
      </c>
      <c r="N5" s="204">
        <v>18.534305117126934</v>
      </c>
      <c r="O5" s="205">
        <v>12.25145614589934</v>
      </c>
    </row>
    <row r="6" spans="2:35">
      <c r="B6" s="6" t="s">
        <v>284</v>
      </c>
      <c r="C6" s="7" t="s">
        <v>286</v>
      </c>
      <c r="D6" s="147">
        <f t="shared" ref="D6:N6" si="0">D5*Short_Ton_per_Metric_Tonne</f>
        <v>46.629199234704259</v>
      </c>
      <c r="E6" s="204">
        <f t="shared" si="0"/>
        <v>40.450441115126345</v>
      </c>
      <c r="F6" s="204">
        <f t="shared" si="0"/>
        <v>38.512841062249827</v>
      </c>
      <c r="G6" s="204">
        <f t="shared" si="0"/>
        <v>40.611341573806548</v>
      </c>
      <c r="H6" s="204">
        <f t="shared" si="0"/>
        <v>40.494281709934889</v>
      </c>
      <c r="I6" s="204">
        <f t="shared" si="0"/>
        <v>40.879783304507392</v>
      </c>
      <c r="J6" s="204">
        <f t="shared" si="0"/>
        <v>38.546113100941668</v>
      </c>
      <c r="K6" s="204">
        <f t="shared" si="0"/>
        <v>32.76583752724482</v>
      </c>
      <c r="L6" s="204">
        <f t="shared" si="0"/>
        <v>31.391959248563133</v>
      </c>
      <c r="M6" s="204">
        <f t="shared" si="0"/>
        <v>27.356195341347021</v>
      </c>
      <c r="N6" s="204">
        <f t="shared" si="0"/>
        <v>20.430549873660187</v>
      </c>
      <c r="O6" s="205">
        <f>O5*Short_Ton_per_Metric_Tonne</f>
        <v>13.5049026241863</v>
      </c>
      <c r="R6" s="10"/>
    </row>
    <row r="9" spans="2:35" ht="15">
      <c r="B9" s="6" t="s">
        <v>287</v>
      </c>
      <c r="C9" s="7" t="s">
        <v>288</v>
      </c>
      <c r="D9">
        <f>Reference!D9</f>
        <v>5.8500000000000003E-2</v>
      </c>
    </row>
    <row r="11" spans="2:35">
      <c r="D11">
        <v>2018</v>
      </c>
      <c r="E11">
        <v>2019</v>
      </c>
      <c r="F11">
        <v>2020</v>
      </c>
      <c r="G11">
        <v>2021</v>
      </c>
      <c r="H11">
        <v>2022</v>
      </c>
      <c r="I11">
        <v>2023</v>
      </c>
      <c r="J11">
        <v>2024</v>
      </c>
      <c r="K11">
        <v>2025</v>
      </c>
      <c r="L11">
        <v>2026</v>
      </c>
      <c r="M11">
        <v>2027</v>
      </c>
      <c r="N11">
        <v>2028</v>
      </c>
      <c r="O11">
        <v>2029</v>
      </c>
      <c r="P11">
        <v>2030</v>
      </c>
      <c r="Q11">
        <v>2031</v>
      </c>
      <c r="R11">
        <v>2032</v>
      </c>
      <c r="S11">
        <v>2033</v>
      </c>
      <c r="T11">
        <v>2034</v>
      </c>
      <c r="U11">
        <v>2035</v>
      </c>
      <c r="V11">
        <v>2036</v>
      </c>
      <c r="W11">
        <v>2037</v>
      </c>
      <c r="X11">
        <v>2038</v>
      </c>
      <c r="Y11">
        <v>2039</v>
      </c>
      <c r="Z11">
        <v>2040</v>
      </c>
      <c r="AA11">
        <v>2041</v>
      </c>
      <c r="AB11">
        <v>2042</v>
      </c>
      <c r="AC11">
        <v>2043</v>
      </c>
      <c r="AD11">
        <v>2044</v>
      </c>
      <c r="AE11">
        <v>2045</v>
      </c>
      <c r="AF11">
        <v>2046</v>
      </c>
      <c r="AG11">
        <v>2047</v>
      </c>
      <c r="AH11">
        <v>2048</v>
      </c>
      <c r="AI11">
        <v>2049</v>
      </c>
    </row>
    <row r="12" spans="2:35">
      <c r="B12" s="4" t="s">
        <v>283</v>
      </c>
      <c r="C12" s="5" t="s">
        <v>282</v>
      </c>
      <c r="D12" s="8">
        <f>D4</f>
        <v>209330.5911438991</v>
      </c>
      <c r="E12" s="9">
        <f t="shared" ref="E12:G14" si="1">D12+($H12-$D12)/4</f>
        <v>206846.48568331022</v>
      </c>
      <c r="F12" s="9">
        <f t="shared" si="1"/>
        <v>204362.38022272135</v>
      </c>
      <c r="G12" s="9">
        <f t="shared" si="1"/>
        <v>201878.27476213247</v>
      </c>
      <c r="H12" s="8">
        <f>E4</f>
        <v>199394.16930154359</v>
      </c>
      <c r="I12" s="8">
        <f>F4</f>
        <v>204085.11499389785</v>
      </c>
      <c r="J12" s="8">
        <f>G4</f>
        <v>207184.09154684306</v>
      </c>
      <c r="K12" s="8">
        <f>H4</f>
        <v>209211.89536921788</v>
      </c>
      <c r="L12" s="8">
        <f>I4</f>
        <v>211218.54019556977</v>
      </c>
      <c r="M12" s="9">
        <f>AVERAGE(L12,N12)</f>
        <v>212750.02070146101</v>
      </c>
      <c r="N12" s="8">
        <f>J4</f>
        <v>214281.50120735227</v>
      </c>
      <c r="O12" s="9">
        <f>AVERAGE(N12,P12)</f>
        <v>215854.99948813987</v>
      </c>
      <c r="P12" s="8">
        <f>K4</f>
        <v>217428.49776892745</v>
      </c>
      <c r="Q12" s="9">
        <f>AVERAGE(P12,R12)</f>
        <v>220124.44111073395</v>
      </c>
      <c r="R12" s="8">
        <f>L4</f>
        <v>222820.38445254049</v>
      </c>
      <c r="S12" s="10">
        <f t="shared" ref="S12:T13" si="2">R12+($U12-$R12)/($U$11-$R$11)</f>
        <v>225069.7562561431</v>
      </c>
      <c r="T12" s="10">
        <f t="shared" si="2"/>
        <v>227319.12805974571</v>
      </c>
      <c r="U12" s="8">
        <f>M4</f>
        <v>229568.49986334835</v>
      </c>
      <c r="V12" s="10">
        <f>U12+($Z12-$U12)/($Z$11-$U$11)</f>
        <v>231817.53781987654</v>
      </c>
      <c r="W12" s="10">
        <f t="shared" ref="W12:Y12" si="3">V12+($Z12-$U12)/($Z$11-$U$11)</f>
        <v>234066.57577640473</v>
      </c>
      <c r="X12" s="10">
        <f t="shared" si="3"/>
        <v>236315.61373293292</v>
      </c>
      <c r="Y12" s="10">
        <f t="shared" si="3"/>
        <v>238564.65168946111</v>
      </c>
      <c r="Z12" s="8">
        <f>N4</f>
        <v>240813.68964598927</v>
      </c>
      <c r="AA12" s="10">
        <f>Z12+($AE12-$Z12)/($AE$11-$Z$11)</f>
        <v>241730.29083266068</v>
      </c>
      <c r="AB12" s="10">
        <f t="shared" ref="AB12:AD12" si="4">AA12+($AE12-$Z12)/($AE$11-$Z$11)</f>
        <v>242646.8920193321</v>
      </c>
      <c r="AC12" s="10">
        <f t="shared" si="4"/>
        <v>243563.49320600351</v>
      </c>
      <c r="AD12" s="10">
        <f t="shared" si="4"/>
        <v>244480.09439267492</v>
      </c>
      <c r="AE12" s="8">
        <f>O4</f>
        <v>245396.69557934636</v>
      </c>
      <c r="AF12" s="10"/>
      <c r="AG12" s="9"/>
      <c r="AH12" s="9"/>
      <c r="AI12" s="9"/>
    </row>
    <row r="13" spans="2:35" ht="15">
      <c r="B13" s="6" t="s">
        <v>284</v>
      </c>
      <c r="C13" s="7" t="s">
        <v>289</v>
      </c>
      <c r="D13" s="11">
        <f>D6</f>
        <v>46.629199234704259</v>
      </c>
      <c r="E13" s="12">
        <f t="shared" si="1"/>
        <v>45.084509704809783</v>
      </c>
      <c r="F13" s="12">
        <f t="shared" si="1"/>
        <v>43.539820174915306</v>
      </c>
      <c r="G13" s="12">
        <f t="shared" si="1"/>
        <v>41.995130645020829</v>
      </c>
      <c r="H13" s="11">
        <f>E6</f>
        <v>40.450441115126345</v>
      </c>
      <c r="I13" s="11">
        <f>F6</f>
        <v>38.512841062249827</v>
      </c>
      <c r="J13" s="11">
        <f>G6</f>
        <v>40.611341573806548</v>
      </c>
      <c r="K13" s="11">
        <f>H6</f>
        <v>40.494281709934889</v>
      </c>
      <c r="L13" s="11">
        <f>I6</f>
        <v>40.879783304507392</v>
      </c>
      <c r="M13" s="9">
        <f t="shared" ref="M13:O16" si="5">AVERAGE(L13,N13)</f>
        <v>39.712948202724533</v>
      </c>
      <c r="N13" s="8">
        <f>J6</f>
        <v>38.546113100941668</v>
      </c>
      <c r="O13" s="9">
        <f t="shared" si="5"/>
        <v>35.65597531409324</v>
      </c>
      <c r="P13" s="11">
        <f>K6</f>
        <v>32.76583752724482</v>
      </c>
      <c r="Q13" s="9">
        <f t="shared" ref="Q13:Q14" si="6">AVERAGE(P13,R13)</f>
        <v>32.078898387903976</v>
      </c>
      <c r="R13" s="11">
        <f>L6</f>
        <v>31.391959248563133</v>
      </c>
      <c r="S13" s="13">
        <f t="shared" si="2"/>
        <v>30.046704612824428</v>
      </c>
      <c r="T13" s="13">
        <f t="shared" si="2"/>
        <v>28.701449977085723</v>
      </c>
      <c r="U13" s="11">
        <f>M6</f>
        <v>27.356195341347021</v>
      </c>
      <c r="V13" s="10">
        <f t="shared" ref="V13:Y14" si="7">U13+($Z13-$U13)/($Z$11-$U$11)</f>
        <v>25.971066247809656</v>
      </c>
      <c r="W13" s="10">
        <f t="shared" si="7"/>
        <v>24.58593715427229</v>
      </c>
      <c r="X13" s="10">
        <f t="shared" si="7"/>
        <v>23.200808060734925</v>
      </c>
      <c r="Y13" s="10">
        <f t="shared" si="7"/>
        <v>21.81567896719756</v>
      </c>
      <c r="Z13" s="11">
        <f>N6</f>
        <v>20.430549873660187</v>
      </c>
      <c r="AA13" s="10">
        <f t="shared" ref="AA13:AD14" si="8">Z13+($AE13-$Z13)/($AE$11-$Z$11)</f>
        <v>19.04542042376541</v>
      </c>
      <c r="AB13" s="10">
        <f t="shared" si="8"/>
        <v>17.660290973870634</v>
      </c>
      <c r="AC13" s="10">
        <f t="shared" si="8"/>
        <v>16.275161523975857</v>
      </c>
      <c r="AD13" s="10">
        <f t="shared" si="8"/>
        <v>14.890032074081081</v>
      </c>
      <c r="AE13" s="11">
        <f>O6</f>
        <v>13.5049026241863</v>
      </c>
      <c r="AF13" s="13"/>
      <c r="AG13" s="13"/>
      <c r="AH13" s="13"/>
      <c r="AI13" s="13"/>
    </row>
    <row r="14" spans="2:35">
      <c r="B14" s="6" t="s">
        <v>290</v>
      </c>
      <c r="C14" s="7" t="s">
        <v>291</v>
      </c>
      <c r="D14" s="14">
        <f>D13/D12*10^3</f>
        <v>0.22275386975165123</v>
      </c>
      <c r="E14" s="15">
        <f t="shared" si="1"/>
        <v>0.21778208231599214</v>
      </c>
      <c r="F14" s="15">
        <f t="shared" si="1"/>
        <v>0.21281029488033304</v>
      </c>
      <c r="G14" s="15">
        <f t="shared" si="1"/>
        <v>0.20783850744467394</v>
      </c>
      <c r="H14" s="14">
        <f>H13/H12*10^3</f>
        <v>0.20286672000901484</v>
      </c>
      <c r="I14" s="14">
        <f t="shared" ref="I14:K14" si="9">I13/I12*10^3</f>
        <v>0.18870970116268088</v>
      </c>
      <c r="J14" s="14">
        <f t="shared" si="9"/>
        <v>0.19601573301599062</v>
      </c>
      <c r="K14" s="14">
        <f t="shared" si="9"/>
        <v>0.19355630633941939</v>
      </c>
      <c r="L14" s="14">
        <f>L13/L12*10^3</f>
        <v>0.19354258990075543</v>
      </c>
      <c r="M14" s="148">
        <f t="shared" si="5"/>
        <v>0.18671399388555557</v>
      </c>
      <c r="N14" s="14">
        <f>N13/N12*10^3</f>
        <v>0.17988539787035571</v>
      </c>
      <c r="O14" s="148">
        <f t="shared" si="5"/>
        <v>0.16529123388680772</v>
      </c>
      <c r="P14" s="14">
        <f>P13/P12*10^3</f>
        <v>0.15069706990325976</v>
      </c>
      <c r="Q14" s="148">
        <f t="shared" si="6"/>
        <v>0.14579083161513251</v>
      </c>
      <c r="R14" s="14">
        <f>R13/R12*10^3</f>
        <v>0.14088459332700526</v>
      </c>
      <c r="S14" s="16">
        <f>R14+($U14-$R14)/($U$11-$R$11)</f>
        <v>0.13364424254490798</v>
      </c>
      <c r="T14" s="16">
        <f>S14+($U14-$R14)/($U$11-$R$11)</f>
        <v>0.12640389176281069</v>
      </c>
      <c r="U14" s="14">
        <f>U13/U12*10^3</f>
        <v>0.11916354098071345</v>
      </c>
      <c r="V14" s="16">
        <f t="shared" si="7"/>
        <v>0.11229876338992326</v>
      </c>
      <c r="W14" s="16">
        <f t="shared" si="7"/>
        <v>0.10543398579913306</v>
      </c>
      <c r="X14" s="16">
        <f t="shared" si="7"/>
        <v>9.8569208208342862E-2</v>
      </c>
      <c r="Y14" s="16">
        <f t="shared" si="7"/>
        <v>9.1704430617552665E-2</v>
      </c>
      <c r="Z14" s="14">
        <f>Z13/Z12*10^3</f>
        <v>8.483965302676244E-2</v>
      </c>
      <c r="AA14" s="13">
        <f t="shared" si="8"/>
        <v>7.8878311236555296E-2</v>
      </c>
      <c r="AB14" s="13">
        <f t="shared" si="8"/>
        <v>7.2916969446348151E-2</v>
      </c>
      <c r="AC14" s="13">
        <f t="shared" si="8"/>
        <v>6.6955627656141006E-2</v>
      </c>
      <c r="AD14" s="13">
        <f t="shared" si="8"/>
        <v>6.0994285865933862E-2</v>
      </c>
      <c r="AE14" s="14">
        <f>AE13/AE12*10^3</f>
        <v>5.503294407572671E-2</v>
      </c>
      <c r="AF14" s="16">
        <f>AE14</f>
        <v>5.503294407572671E-2</v>
      </c>
      <c r="AG14" s="16">
        <f t="shared" ref="AG14:AI14" si="10">AF14</f>
        <v>5.503294407572671E-2</v>
      </c>
      <c r="AH14" s="16">
        <f t="shared" si="10"/>
        <v>5.503294407572671E-2</v>
      </c>
      <c r="AI14" s="16">
        <f t="shared" si="10"/>
        <v>5.503294407572671E-2</v>
      </c>
    </row>
    <row r="15" spans="2:35">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row>
    <row r="16" spans="2:35">
      <c r="B16" s="6" t="s">
        <v>292</v>
      </c>
      <c r="C16" s="7" t="s">
        <v>293</v>
      </c>
      <c r="D16" s="8">
        <f>D14/$D$9*10^3</f>
        <v>3807.7584572931833</v>
      </c>
      <c r="E16" s="9">
        <f>D16+($H16-$D16)/4</f>
        <v>3722.7706378802072</v>
      </c>
      <c r="F16" s="9">
        <f t="shared" ref="F16:G16" si="11">E16+($H16-$D16)/4</f>
        <v>3637.7828184672312</v>
      </c>
      <c r="G16" s="9">
        <f t="shared" si="11"/>
        <v>3552.7949990542552</v>
      </c>
      <c r="H16" s="8">
        <f t="shared" ref="H16:AI16" si="12">H14/$D$9*10^3</f>
        <v>3467.8071796412792</v>
      </c>
      <c r="I16" s="8">
        <f t="shared" si="12"/>
        <v>3225.8068574817244</v>
      </c>
      <c r="J16" s="8">
        <f t="shared" si="12"/>
        <v>3350.6962908716346</v>
      </c>
      <c r="K16" s="8">
        <f t="shared" si="12"/>
        <v>3308.6548092208445</v>
      </c>
      <c r="L16" s="8">
        <f t="shared" si="12"/>
        <v>3308.4203401838536</v>
      </c>
      <c r="M16" s="9">
        <f t="shared" si="5"/>
        <v>3191.69220317189</v>
      </c>
      <c r="N16" s="8">
        <f t="shared" si="12"/>
        <v>3074.9640661599265</v>
      </c>
      <c r="O16" s="9">
        <f t="shared" si="5"/>
        <v>2825.4911775522687</v>
      </c>
      <c r="P16" s="8">
        <f t="shared" si="12"/>
        <v>2576.0182889446114</v>
      </c>
      <c r="Q16" s="9">
        <f t="shared" ref="Q16" si="13">AVERAGE(P16,R16)</f>
        <v>2492.1509677800432</v>
      </c>
      <c r="R16" s="8">
        <f t="shared" si="12"/>
        <v>2408.2836466154745</v>
      </c>
      <c r="S16" s="9">
        <f t="shared" si="12"/>
        <v>2284.5169665796234</v>
      </c>
      <c r="T16" s="9">
        <f t="shared" si="12"/>
        <v>2160.7502865437723</v>
      </c>
      <c r="U16" s="8">
        <f t="shared" si="12"/>
        <v>2036.9836065079223</v>
      </c>
      <c r="V16" s="9">
        <f t="shared" si="12"/>
        <v>1919.6369810243291</v>
      </c>
      <c r="W16" s="9">
        <f t="shared" si="12"/>
        <v>1802.2903555407358</v>
      </c>
      <c r="X16" s="9">
        <f t="shared" si="12"/>
        <v>1684.9437300571428</v>
      </c>
      <c r="Y16" s="9">
        <f t="shared" si="12"/>
        <v>1567.5971045735498</v>
      </c>
      <c r="Z16" s="8">
        <f t="shared" si="12"/>
        <v>1450.2504790899561</v>
      </c>
      <c r="AA16" s="9">
        <f t="shared" si="12"/>
        <v>1348.3472006248767</v>
      </c>
      <c r="AB16" s="9">
        <f t="shared" si="12"/>
        <v>1246.4439221597975</v>
      </c>
      <c r="AC16" s="9">
        <f t="shared" si="12"/>
        <v>1144.540643694718</v>
      </c>
      <c r="AD16" s="9">
        <f t="shared" si="12"/>
        <v>1042.6373652296386</v>
      </c>
      <c r="AE16" s="8">
        <f t="shared" si="12"/>
        <v>940.73408676455904</v>
      </c>
      <c r="AF16" s="9">
        <f t="shared" si="12"/>
        <v>940.73408676455904</v>
      </c>
      <c r="AG16" s="9">
        <f t="shared" si="12"/>
        <v>940.73408676455904</v>
      </c>
      <c r="AH16" s="9">
        <f t="shared" si="12"/>
        <v>940.73408676455904</v>
      </c>
      <c r="AI16" s="9">
        <f t="shared" si="12"/>
        <v>940.73408676455904</v>
      </c>
    </row>
  </sheetData>
  <sheetProtection algorithmName="SHA-512" hashValue="kseyQ5DsNFfd1L9A7UzbAMp46tC1L5GEWjZND1LmD856cok3EqOA3U1xiJnKja7IQgwGrfO+Gy+akBd46X6kBQ==" saltValue="xcI2CixA9Ea+GQZJAse5KQ=="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52A75-D049-4A32-BDC2-3F9DD1B972D8}">
  <sheetPr codeName="Sheet11">
    <tabColor theme="4"/>
  </sheetPr>
  <dimension ref="A1:I42"/>
  <sheetViews>
    <sheetView topLeftCell="A4" zoomScale="85" zoomScaleNormal="85" workbookViewId="0">
      <selection activeCell="C21" sqref="C21"/>
    </sheetView>
  </sheetViews>
  <sheetFormatPr defaultColWidth="11.453125" defaultRowHeight="14.5"/>
  <cols>
    <col min="1" max="1" width="27.453125" bestFit="1" customWidth="1"/>
    <col min="2" max="2" width="48.453125" customWidth="1"/>
    <col min="3" max="3" width="18.453125" bestFit="1" customWidth="1"/>
    <col min="4" max="4" width="18.453125" customWidth="1"/>
    <col min="5" max="5" width="19.453125" customWidth="1"/>
    <col min="6" max="6" width="27.453125" customWidth="1"/>
    <col min="7" max="7" width="29.453125" customWidth="1"/>
    <col min="8" max="8" width="16.54296875" customWidth="1"/>
    <col min="9" max="9" width="28.54296875" customWidth="1"/>
  </cols>
  <sheetData>
    <row r="1" spans="1:9" ht="58">
      <c r="A1" s="91" t="s">
        <v>294</v>
      </c>
      <c r="B1" s="91" t="s">
        <v>295</v>
      </c>
      <c r="C1" s="91" t="s">
        <v>296</v>
      </c>
      <c r="D1" s="91" t="s">
        <v>297</v>
      </c>
      <c r="E1" s="91" t="s">
        <v>298</v>
      </c>
      <c r="F1" s="91" t="s">
        <v>48</v>
      </c>
      <c r="G1" s="91" t="s">
        <v>299</v>
      </c>
      <c r="H1" s="91" t="s">
        <v>300</v>
      </c>
      <c r="I1" s="91" t="s">
        <v>301</v>
      </c>
    </row>
    <row r="2" spans="1:9">
      <c r="A2" s="347" t="s">
        <v>302</v>
      </c>
      <c r="B2" s="92" t="s">
        <v>217</v>
      </c>
      <c r="C2" s="93">
        <v>15</v>
      </c>
      <c r="D2" s="94">
        <v>3352</v>
      </c>
      <c r="E2" s="95">
        <v>0.24199999999999999</v>
      </c>
      <c r="F2" s="95">
        <v>0.2</v>
      </c>
      <c r="G2" s="93">
        <v>0</v>
      </c>
      <c r="H2" s="96">
        <f>(E2*C2+F2*(1-E2*G2))</f>
        <v>3.83</v>
      </c>
      <c r="I2" s="97">
        <f>H2*D2</f>
        <v>12838.16</v>
      </c>
    </row>
    <row r="3" spans="1:9">
      <c r="A3" s="347"/>
      <c r="B3" s="92" t="s">
        <v>303</v>
      </c>
      <c r="C3" s="93">
        <v>15</v>
      </c>
      <c r="D3" s="94">
        <v>684</v>
      </c>
      <c r="E3" s="95">
        <v>0.22900000000000001</v>
      </c>
      <c r="F3" s="95">
        <v>0.2</v>
      </c>
      <c r="G3" s="93">
        <v>0</v>
      </c>
      <c r="H3" s="96">
        <f t="shared" ref="H3:H41" si="0">(E3*C3+F3*(1-E3*G3))</f>
        <v>3.6350000000000002</v>
      </c>
      <c r="I3" s="97">
        <f t="shared" ref="I3:I41" si="1">H3*D3</f>
        <v>2486.34</v>
      </c>
    </row>
    <row r="4" spans="1:9">
      <c r="A4" s="347"/>
      <c r="B4" s="92" t="s">
        <v>304</v>
      </c>
      <c r="C4" s="93">
        <v>20</v>
      </c>
      <c r="D4" s="94">
        <v>103</v>
      </c>
      <c r="E4" s="95">
        <v>0.156</v>
      </c>
      <c r="F4" s="98">
        <v>0.2</v>
      </c>
      <c r="G4" s="93">
        <v>0</v>
      </c>
      <c r="H4" s="96">
        <f t="shared" si="0"/>
        <v>3.3200000000000003</v>
      </c>
      <c r="I4" s="97">
        <f t="shared" si="1"/>
        <v>341.96000000000004</v>
      </c>
    </row>
    <row r="5" spans="1:9">
      <c r="A5" s="347"/>
      <c r="B5" s="92" t="s">
        <v>305</v>
      </c>
      <c r="C5" s="93">
        <v>14</v>
      </c>
      <c r="D5" s="94">
        <v>23</v>
      </c>
      <c r="E5" s="95">
        <v>0.15</v>
      </c>
      <c r="F5" s="95">
        <v>0.34</v>
      </c>
      <c r="G5" s="93">
        <v>0</v>
      </c>
      <c r="H5" s="96">
        <f t="shared" si="0"/>
        <v>2.44</v>
      </c>
      <c r="I5" s="97">
        <f t="shared" si="1"/>
        <v>56.12</v>
      </c>
    </row>
    <row r="6" spans="1:9">
      <c r="A6" s="347"/>
      <c r="B6" s="92" t="s">
        <v>306</v>
      </c>
      <c r="C6" s="93">
        <v>15</v>
      </c>
      <c r="D6" s="94">
        <v>3352</v>
      </c>
      <c r="E6" s="95">
        <v>0.24199999999999999</v>
      </c>
      <c r="F6" s="95">
        <v>0.2</v>
      </c>
      <c r="G6" s="93">
        <v>0</v>
      </c>
      <c r="H6" s="96">
        <f t="shared" si="0"/>
        <v>3.83</v>
      </c>
      <c r="I6" s="97">
        <f t="shared" si="1"/>
        <v>12838.16</v>
      </c>
    </row>
    <row r="7" spans="1:9">
      <c r="A7" s="347"/>
      <c r="B7" s="92" t="s">
        <v>307</v>
      </c>
      <c r="C7" s="93">
        <v>15</v>
      </c>
      <c r="D7" s="94">
        <v>684</v>
      </c>
      <c r="E7" s="95">
        <v>0.22900000000000001</v>
      </c>
      <c r="F7" s="95">
        <v>0.2</v>
      </c>
      <c r="G7" s="93">
        <v>0</v>
      </c>
      <c r="H7" s="96">
        <f t="shared" si="0"/>
        <v>3.6350000000000002</v>
      </c>
      <c r="I7" s="97">
        <f t="shared" si="1"/>
        <v>2486.34</v>
      </c>
    </row>
    <row r="8" spans="1:9">
      <c r="A8" s="347"/>
      <c r="B8" s="92" t="s">
        <v>308</v>
      </c>
      <c r="C8" s="93">
        <v>20</v>
      </c>
      <c r="D8" s="94">
        <v>103</v>
      </c>
      <c r="E8" s="95">
        <v>0.156</v>
      </c>
      <c r="F8" s="95">
        <v>0.2</v>
      </c>
      <c r="G8" s="93">
        <v>0</v>
      </c>
      <c r="H8" s="96">
        <f t="shared" si="0"/>
        <v>3.3200000000000003</v>
      </c>
      <c r="I8" s="97">
        <f t="shared" si="1"/>
        <v>341.96000000000004</v>
      </c>
    </row>
    <row r="9" spans="1:9">
      <c r="A9" s="347"/>
      <c r="B9" s="92" t="s">
        <v>309</v>
      </c>
      <c r="C9" s="93">
        <v>14</v>
      </c>
      <c r="D9" s="94">
        <v>23</v>
      </c>
      <c r="E9" s="95">
        <v>0.15</v>
      </c>
      <c r="F9" s="95">
        <v>0.34</v>
      </c>
      <c r="G9" s="93">
        <v>0</v>
      </c>
      <c r="H9" s="96">
        <f t="shared" si="0"/>
        <v>2.44</v>
      </c>
      <c r="I9" s="97">
        <f t="shared" si="1"/>
        <v>56.12</v>
      </c>
    </row>
    <row r="10" spans="1:9">
      <c r="A10" s="347"/>
      <c r="B10" s="92" t="s">
        <v>310</v>
      </c>
      <c r="C10" s="93">
        <v>20</v>
      </c>
      <c r="D10" s="94">
        <v>7252</v>
      </c>
      <c r="E10" s="95">
        <v>0.14799999999999999</v>
      </c>
      <c r="F10" s="95">
        <v>0.2</v>
      </c>
      <c r="G10" s="93">
        <v>0</v>
      </c>
      <c r="H10" s="96">
        <f t="shared" si="0"/>
        <v>3.16</v>
      </c>
      <c r="I10" s="97">
        <f t="shared" si="1"/>
        <v>22916.32</v>
      </c>
    </row>
    <row r="11" spans="1:9">
      <c r="A11" s="347"/>
      <c r="B11" s="92" t="s">
        <v>311</v>
      </c>
      <c r="C11" s="93">
        <v>20</v>
      </c>
      <c r="D11" s="94">
        <v>552</v>
      </c>
      <c r="E11" s="95">
        <v>0.10299999999999999</v>
      </c>
      <c r="F11" s="95">
        <v>0.2</v>
      </c>
      <c r="G11" s="93">
        <v>0</v>
      </c>
      <c r="H11" s="96">
        <f t="shared" si="0"/>
        <v>2.2600000000000002</v>
      </c>
      <c r="I11" s="97">
        <f t="shared" si="1"/>
        <v>1247.5200000000002</v>
      </c>
    </row>
    <row r="12" spans="1:9">
      <c r="A12" s="347"/>
      <c r="B12" s="92" t="s">
        <v>312</v>
      </c>
      <c r="C12" s="93">
        <v>20</v>
      </c>
      <c r="D12" s="94">
        <v>113</v>
      </c>
      <c r="E12" s="95">
        <v>0.04</v>
      </c>
      <c r="F12" s="95">
        <v>0.2</v>
      </c>
      <c r="G12" s="93">
        <v>0</v>
      </c>
      <c r="H12" s="96">
        <f t="shared" si="0"/>
        <v>1</v>
      </c>
      <c r="I12" s="97">
        <f t="shared" si="1"/>
        <v>113</v>
      </c>
    </row>
    <row r="13" spans="1:9">
      <c r="A13" s="347"/>
      <c r="B13" s="92" t="s">
        <v>313</v>
      </c>
      <c r="C13" s="93">
        <v>20</v>
      </c>
      <c r="D13" s="94">
        <v>5873</v>
      </c>
      <c r="E13" s="95">
        <v>0.123</v>
      </c>
      <c r="F13" s="95">
        <v>0.2</v>
      </c>
      <c r="G13" s="93">
        <v>0</v>
      </c>
      <c r="H13" s="96">
        <f t="shared" si="0"/>
        <v>2.66</v>
      </c>
      <c r="I13" s="97">
        <f t="shared" si="1"/>
        <v>15622.18</v>
      </c>
    </row>
    <row r="14" spans="1:9">
      <c r="A14" s="347"/>
      <c r="B14" s="92" t="s">
        <v>314</v>
      </c>
      <c r="C14" s="93">
        <v>20</v>
      </c>
      <c r="D14" s="94">
        <v>660</v>
      </c>
      <c r="E14" s="95">
        <v>0.125</v>
      </c>
      <c r="F14" s="95">
        <v>0.2</v>
      </c>
      <c r="G14" s="93">
        <v>0</v>
      </c>
      <c r="H14" s="96">
        <f t="shared" si="0"/>
        <v>2.7</v>
      </c>
      <c r="I14" s="97">
        <f t="shared" si="1"/>
        <v>1782.0000000000002</v>
      </c>
    </row>
    <row r="15" spans="1:9">
      <c r="A15" s="347"/>
      <c r="B15" s="92" t="s">
        <v>315</v>
      </c>
      <c r="C15" s="93">
        <v>20</v>
      </c>
      <c r="D15" s="94">
        <v>104</v>
      </c>
      <c r="E15" s="95">
        <v>9.0999999999999998E-2</v>
      </c>
      <c r="F15" s="95">
        <v>0.2</v>
      </c>
      <c r="G15" s="93">
        <v>0</v>
      </c>
      <c r="H15" s="96">
        <f t="shared" si="0"/>
        <v>2.02</v>
      </c>
      <c r="I15" s="97">
        <f t="shared" si="1"/>
        <v>210.08</v>
      </c>
    </row>
    <row r="16" spans="1:9">
      <c r="A16" s="347"/>
      <c r="B16" s="92" t="s">
        <v>316</v>
      </c>
      <c r="C16" s="93">
        <v>20</v>
      </c>
      <c r="D16" s="99">
        <v>1.0229999999999999</v>
      </c>
      <c r="E16" s="95">
        <v>0.01</v>
      </c>
      <c r="F16" s="95">
        <v>0.98499999999999999</v>
      </c>
      <c r="G16" s="93">
        <v>10</v>
      </c>
      <c r="H16" s="96">
        <f t="shared" si="0"/>
        <v>1.0865</v>
      </c>
      <c r="I16" s="97">
        <f t="shared" si="1"/>
        <v>1.1114895</v>
      </c>
    </row>
    <row r="17" spans="1:9">
      <c r="A17" s="347"/>
      <c r="B17" s="92" t="s">
        <v>317</v>
      </c>
      <c r="C17" s="93">
        <v>12</v>
      </c>
      <c r="D17" s="100">
        <v>3</v>
      </c>
      <c r="E17" s="95">
        <v>0.01</v>
      </c>
      <c r="F17" s="95">
        <v>0.98499999999999999</v>
      </c>
      <c r="G17" s="93">
        <v>6</v>
      </c>
      <c r="H17" s="96">
        <f t="shared" si="0"/>
        <v>1.0459000000000001</v>
      </c>
      <c r="I17" s="97">
        <f t="shared" si="1"/>
        <v>3.1377000000000002</v>
      </c>
    </row>
    <row r="18" spans="1:9">
      <c r="A18" s="347"/>
      <c r="B18" s="92" t="s">
        <v>318</v>
      </c>
      <c r="C18" s="93">
        <v>5</v>
      </c>
      <c r="D18" s="100">
        <v>3.31</v>
      </c>
      <c r="E18" s="95">
        <v>5.0000000000000001E-3</v>
      </c>
      <c r="F18" s="95">
        <v>0.98499999999999999</v>
      </c>
      <c r="G18" s="93">
        <v>5</v>
      </c>
      <c r="H18" s="96">
        <f t="shared" si="0"/>
        <v>0.985375</v>
      </c>
      <c r="I18" s="97">
        <f t="shared" si="1"/>
        <v>3.2615912499999999</v>
      </c>
    </row>
    <row r="19" spans="1:9">
      <c r="A19" s="347"/>
      <c r="B19" s="92" t="s">
        <v>319</v>
      </c>
      <c r="C19" s="93">
        <v>14</v>
      </c>
      <c r="D19" s="101">
        <v>0.25</v>
      </c>
      <c r="E19" s="95">
        <v>0.01</v>
      </c>
      <c r="F19" s="95">
        <v>0.98499999999999999</v>
      </c>
      <c r="G19" s="93">
        <v>14</v>
      </c>
      <c r="H19" s="96">
        <f t="shared" si="0"/>
        <v>0.98709999999999998</v>
      </c>
      <c r="I19" s="97">
        <f t="shared" si="1"/>
        <v>0.24677499999999999</v>
      </c>
    </row>
    <row r="20" spans="1:9">
      <c r="A20" s="347"/>
      <c r="B20" s="92" t="s">
        <v>320</v>
      </c>
      <c r="C20" s="93">
        <v>15</v>
      </c>
      <c r="D20" s="101">
        <v>0.63</v>
      </c>
      <c r="E20" s="95">
        <v>0.01</v>
      </c>
      <c r="F20" s="95">
        <v>0.98499999999999999</v>
      </c>
      <c r="G20" s="93">
        <v>15</v>
      </c>
      <c r="H20" s="96">
        <f t="shared" si="0"/>
        <v>0.98724999999999996</v>
      </c>
      <c r="I20" s="97">
        <f t="shared" si="1"/>
        <v>0.62196750000000001</v>
      </c>
    </row>
    <row r="21" spans="1:9">
      <c r="A21" s="347"/>
      <c r="B21" s="92" t="s">
        <v>231</v>
      </c>
      <c r="C21" s="93">
        <v>14</v>
      </c>
      <c r="D21" s="101">
        <v>2.4</v>
      </c>
      <c r="E21" s="95">
        <v>0.01</v>
      </c>
      <c r="F21" s="95">
        <v>1</v>
      </c>
      <c r="G21" s="93">
        <v>14</v>
      </c>
      <c r="H21" s="96">
        <f t="shared" si="0"/>
        <v>1</v>
      </c>
      <c r="I21" s="97">
        <f t="shared" si="1"/>
        <v>2.4</v>
      </c>
    </row>
    <row r="22" spans="1:9">
      <c r="A22" s="347"/>
      <c r="B22" s="92" t="s">
        <v>321</v>
      </c>
      <c r="C22" s="93">
        <v>14</v>
      </c>
      <c r="D22" s="99">
        <v>0.88200000000000001</v>
      </c>
      <c r="E22" s="95">
        <v>0.01</v>
      </c>
      <c r="F22" s="95">
        <v>1</v>
      </c>
      <c r="G22" s="93">
        <v>14</v>
      </c>
      <c r="H22" s="96">
        <f t="shared" si="0"/>
        <v>1</v>
      </c>
      <c r="I22" s="97">
        <f t="shared" si="1"/>
        <v>0.88200000000000001</v>
      </c>
    </row>
    <row r="23" spans="1:9">
      <c r="A23" s="347"/>
      <c r="B23" s="92" t="s">
        <v>322</v>
      </c>
      <c r="C23" s="93">
        <v>14</v>
      </c>
      <c r="D23" s="99">
        <v>0.34200000000000003</v>
      </c>
      <c r="E23" s="95">
        <v>0.01</v>
      </c>
      <c r="F23" s="95">
        <v>0.77</v>
      </c>
      <c r="G23" s="93">
        <v>14</v>
      </c>
      <c r="H23" s="96">
        <f t="shared" si="0"/>
        <v>0.80220000000000002</v>
      </c>
      <c r="I23" s="97">
        <f t="shared" si="1"/>
        <v>0.27435240000000005</v>
      </c>
    </row>
    <row r="24" spans="1:9">
      <c r="A24" s="347" t="s">
        <v>323</v>
      </c>
      <c r="B24" s="92" t="s">
        <v>324</v>
      </c>
      <c r="C24" s="93">
        <v>20</v>
      </c>
      <c r="D24" s="94">
        <v>3978</v>
      </c>
      <c r="E24" s="95">
        <v>2.3E-2</v>
      </c>
      <c r="F24" s="95">
        <v>0.2</v>
      </c>
      <c r="G24" s="93">
        <v>0</v>
      </c>
      <c r="H24" s="96">
        <f t="shared" si="0"/>
        <v>0.65999999999999992</v>
      </c>
      <c r="I24" s="97">
        <f t="shared" si="1"/>
        <v>2625.4799999999996</v>
      </c>
    </row>
    <row r="25" spans="1:9">
      <c r="A25" s="347"/>
      <c r="B25" s="92" t="s">
        <v>325</v>
      </c>
      <c r="C25" s="93">
        <v>20</v>
      </c>
      <c r="D25" s="94">
        <v>526</v>
      </c>
      <c r="E25" s="95">
        <v>0.03</v>
      </c>
      <c r="F25" s="95">
        <v>0.2</v>
      </c>
      <c r="G25" s="93">
        <v>0</v>
      </c>
      <c r="H25" s="96">
        <f t="shared" si="0"/>
        <v>0.8</v>
      </c>
      <c r="I25" s="97">
        <f t="shared" si="1"/>
        <v>420.8</v>
      </c>
    </row>
    <row r="26" spans="1:9">
      <c r="A26" s="347"/>
      <c r="B26" s="92" t="s">
        <v>56</v>
      </c>
      <c r="C26" s="93">
        <v>20</v>
      </c>
      <c r="D26" s="94">
        <v>70</v>
      </c>
      <c r="E26" s="95">
        <v>7.0000000000000007E-2</v>
      </c>
      <c r="F26" s="95">
        <v>0.2</v>
      </c>
      <c r="G26" s="93">
        <v>0</v>
      </c>
      <c r="H26" s="96">
        <f t="shared" si="0"/>
        <v>1.6</v>
      </c>
      <c r="I26" s="97">
        <f t="shared" si="1"/>
        <v>112</v>
      </c>
    </row>
    <row r="27" spans="1:9" ht="43.5">
      <c r="A27" s="347"/>
      <c r="B27" s="92" t="s">
        <v>326</v>
      </c>
      <c r="C27" s="93">
        <v>15</v>
      </c>
      <c r="D27" s="100">
        <v>18.2</v>
      </c>
      <c r="E27" s="95">
        <v>4.7E-2</v>
      </c>
      <c r="F27" s="95">
        <v>0.56000000000000005</v>
      </c>
      <c r="G27" s="93">
        <v>0</v>
      </c>
      <c r="H27" s="96">
        <f t="shared" si="0"/>
        <v>1.2650000000000001</v>
      </c>
      <c r="I27" s="97">
        <f t="shared" si="1"/>
        <v>23.023</v>
      </c>
    </row>
    <row r="28" spans="1:9">
      <c r="A28" s="347"/>
      <c r="B28" s="92" t="s">
        <v>327</v>
      </c>
      <c r="C28" s="93">
        <v>12</v>
      </c>
      <c r="D28" s="101">
        <v>1.54</v>
      </c>
      <c r="E28" s="95">
        <v>0.02</v>
      </c>
      <c r="F28" s="95">
        <v>0.98499999999999999</v>
      </c>
      <c r="G28" s="93">
        <v>12</v>
      </c>
      <c r="H28" s="96">
        <f t="shared" si="0"/>
        <v>0.98860000000000003</v>
      </c>
      <c r="I28" s="97">
        <f t="shared" si="1"/>
        <v>1.5224440000000001</v>
      </c>
    </row>
    <row r="29" spans="1:9">
      <c r="A29" s="347"/>
      <c r="B29" s="92" t="s">
        <v>220</v>
      </c>
      <c r="C29" s="93">
        <v>15</v>
      </c>
      <c r="D29" s="100">
        <v>7.5</v>
      </c>
      <c r="E29" s="95">
        <v>0.05</v>
      </c>
      <c r="F29" s="95">
        <v>0.8</v>
      </c>
      <c r="G29" s="93">
        <v>3</v>
      </c>
      <c r="H29" s="96">
        <f t="shared" si="0"/>
        <v>1.4300000000000002</v>
      </c>
      <c r="I29" s="97">
        <f t="shared" si="1"/>
        <v>10.725000000000001</v>
      </c>
    </row>
    <row r="30" spans="1:9">
      <c r="A30" s="347"/>
      <c r="B30" s="92" t="s">
        <v>69</v>
      </c>
      <c r="C30" s="93">
        <v>15</v>
      </c>
      <c r="D30" s="100">
        <v>8.1999999999999993</v>
      </c>
      <c r="E30" s="95">
        <v>5.2999999999999999E-2</v>
      </c>
      <c r="F30" s="95">
        <v>0.8</v>
      </c>
      <c r="G30" s="93">
        <v>3</v>
      </c>
      <c r="H30" s="96">
        <f t="shared" si="0"/>
        <v>1.4678</v>
      </c>
      <c r="I30" s="97">
        <f t="shared" si="1"/>
        <v>12.035959999999999</v>
      </c>
    </row>
    <row r="31" spans="1:9" ht="29">
      <c r="A31" s="347"/>
      <c r="B31" s="92" t="s">
        <v>328</v>
      </c>
      <c r="C31" s="93">
        <v>12</v>
      </c>
      <c r="D31" s="101">
        <v>1.54</v>
      </c>
      <c r="E31" s="95">
        <v>0.02</v>
      </c>
      <c r="F31" s="95">
        <v>0.98499999999999999</v>
      </c>
      <c r="G31" s="93">
        <v>12</v>
      </c>
      <c r="H31" s="96">
        <f t="shared" si="0"/>
        <v>0.98860000000000003</v>
      </c>
      <c r="I31" s="97">
        <f t="shared" si="1"/>
        <v>1.5224440000000001</v>
      </c>
    </row>
    <row r="32" spans="1:9">
      <c r="A32" s="347"/>
      <c r="B32" s="92" t="s">
        <v>227</v>
      </c>
      <c r="C32" s="93">
        <v>10</v>
      </c>
      <c r="D32" s="101">
        <v>1.54</v>
      </c>
      <c r="E32" s="95">
        <v>0.01</v>
      </c>
      <c r="F32" s="95">
        <v>0.98499999999999999</v>
      </c>
      <c r="G32" s="93">
        <v>10</v>
      </c>
      <c r="H32" s="96">
        <f t="shared" si="0"/>
        <v>0.98649999999999993</v>
      </c>
      <c r="I32" s="97">
        <f t="shared" si="1"/>
        <v>1.5192099999999999</v>
      </c>
    </row>
    <row r="33" spans="1:9">
      <c r="A33" s="347"/>
      <c r="B33" s="92" t="s">
        <v>224</v>
      </c>
      <c r="C33" s="93">
        <v>5</v>
      </c>
      <c r="D33" s="101">
        <v>1</v>
      </c>
      <c r="E33" s="95">
        <v>0.01</v>
      </c>
      <c r="F33" s="95">
        <v>0.98499999999999999</v>
      </c>
      <c r="G33" s="93">
        <v>5</v>
      </c>
      <c r="H33" s="96">
        <f t="shared" si="0"/>
        <v>0.98575000000000002</v>
      </c>
      <c r="I33" s="97">
        <f t="shared" si="1"/>
        <v>0.98575000000000002</v>
      </c>
    </row>
    <row r="34" spans="1:9">
      <c r="A34" s="348" t="s">
        <v>329</v>
      </c>
      <c r="B34" s="92" t="s">
        <v>330</v>
      </c>
      <c r="C34" s="93">
        <v>12</v>
      </c>
      <c r="D34" s="101">
        <v>1.52</v>
      </c>
      <c r="E34" s="95">
        <v>0.08</v>
      </c>
      <c r="F34" s="95">
        <v>0.42499999999999999</v>
      </c>
      <c r="G34" s="93">
        <v>2</v>
      </c>
      <c r="H34" s="96">
        <f t="shared" si="0"/>
        <v>1.3169999999999999</v>
      </c>
      <c r="I34" s="97">
        <f t="shared" si="1"/>
        <v>2.0018400000000001</v>
      </c>
    </row>
    <row r="35" spans="1:9">
      <c r="A35" s="348"/>
      <c r="B35" s="92" t="s">
        <v>331</v>
      </c>
      <c r="C35" s="93">
        <v>10</v>
      </c>
      <c r="D35" s="101">
        <v>2.92</v>
      </c>
      <c r="E35" s="95">
        <v>0.33800000000000002</v>
      </c>
      <c r="F35" s="95">
        <v>0.51339999999999997</v>
      </c>
      <c r="G35" s="93">
        <v>1</v>
      </c>
      <c r="H35" s="96">
        <f t="shared" si="0"/>
        <v>3.7198708000000003</v>
      </c>
      <c r="I35" s="97">
        <f t="shared" si="1"/>
        <v>10.862022736</v>
      </c>
    </row>
    <row r="36" spans="1:9">
      <c r="A36" s="348"/>
      <c r="B36" s="92" t="s">
        <v>332</v>
      </c>
      <c r="C36" s="93">
        <v>12</v>
      </c>
      <c r="D36" s="100">
        <v>21.8</v>
      </c>
      <c r="E36" s="95">
        <v>0.11699999999999999</v>
      </c>
      <c r="F36" s="95">
        <v>0.49</v>
      </c>
      <c r="G36" s="93">
        <v>1</v>
      </c>
      <c r="H36" s="96">
        <f t="shared" si="0"/>
        <v>1.8366699999999998</v>
      </c>
      <c r="I36" s="97">
        <f t="shared" si="1"/>
        <v>40.039406</v>
      </c>
    </row>
    <row r="37" spans="1:9">
      <c r="A37" s="348"/>
      <c r="B37" s="92" t="s">
        <v>86</v>
      </c>
      <c r="C37" s="93">
        <v>10</v>
      </c>
      <c r="D37" s="101">
        <v>2.4300000000000002</v>
      </c>
      <c r="E37" s="95">
        <v>0.33800000000000002</v>
      </c>
      <c r="F37" s="95">
        <v>0.51300000000000001</v>
      </c>
      <c r="G37" s="93">
        <v>1</v>
      </c>
      <c r="H37" s="96">
        <f t="shared" si="0"/>
        <v>3.7196060000000002</v>
      </c>
      <c r="I37" s="97">
        <f t="shared" si="1"/>
        <v>9.0386425800000012</v>
      </c>
    </row>
    <row r="38" spans="1:9">
      <c r="A38" s="348"/>
      <c r="B38" s="92" t="s">
        <v>91</v>
      </c>
      <c r="C38" s="93">
        <v>7</v>
      </c>
      <c r="D38" s="94">
        <v>16</v>
      </c>
      <c r="E38" s="95">
        <v>0.15</v>
      </c>
      <c r="F38" s="95">
        <v>0.49</v>
      </c>
      <c r="G38" s="93">
        <v>1</v>
      </c>
      <c r="H38" s="96">
        <f t="shared" si="0"/>
        <v>1.4664999999999999</v>
      </c>
      <c r="I38" s="97">
        <f t="shared" si="1"/>
        <v>23.463999999999999</v>
      </c>
    </row>
    <row r="39" spans="1:9">
      <c r="A39" s="348"/>
      <c r="B39" s="92" t="s">
        <v>333</v>
      </c>
      <c r="C39" s="93">
        <v>5</v>
      </c>
      <c r="D39" s="100">
        <v>33.1</v>
      </c>
      <c r="E39" s="95">
        <v>0.05</v>
      </c>
      <c r="F39" s="95">
        <v>0.191</v>
      </c>
      <c r="G39" s="93">
        <v>1</v>
      </c>
      <c r="H39" s="96">
        <f t="shared" si="0"/>
        <v>0.43145</v>
      </c>
      <c r="I39" s="97">
        <f t="shared" si="1"/>
        <v>14.280995000000001</v>
      </c>
    </row>
    <row r="40" spans="1:9">
      <c r="A40" s="348"/>
      <c r="B40" s="92" t="s">
        <v>229</v>
      </c>
      <c r="C40" s="93">
        <v>15</v>
      </c>
      <c r="D40" s="94">
        <v>273.2</v>
      </c>
      <c r="E40" s="95">
        <v>0.36599999999999999</v>
      </c>
      <c r="F40" s="95">
        <v>0</v>
      </c>
      <c r="G40" s="93">
        <v>1</v>
      </c>
      <c r="H40" s="96">
        <f t="shared" si="0"/>
        <v>5.49</v>
      </c>
      <c r="I40" s="97">
        <f t="shared" si="1"/>
        <v>1499.8679999999999</v>
      </c>
    </row>
    <row r="41" spans="1:9">
      <c r="A41" s="93" t="s">
        <v>334</v>
      </c>
      <c r="B41" s="92" t="s">
        <v>706</v>
      </c>
      <c r="C41" s="93">
        <v>0</v>
      </c>
      <c r="D41" s="94">
        <v>0</v>
      </c>
      <c r="E41" s="95">
        <v>0</v>
      </c>
      <c r="F41" s="95">
        <v>0</v>
      </c>
      <c r="G41" s="93">
        <v>0</v>
      </c>
      <c r="H41" s="96">
        <f t="shared" si="0"/>
        <v>0</v>
      </c>
      <c r="I41" s="97">
        <f t="shared" si="1"/>
        <v>0</v>
      </c>
    </row>
    <row r="42" spans="1:9">
      <c r="A42" s="93" t="s">
        <v>221</v>
      </c>
      <c r="B42" s="93" t="s">
        <v>221</v>
      </c>
      <c r="C42" s="93"/>
      <c r="D42" s="93"/>
      <c r="E42" s="93"/>
      <c r="F42" s="93"/>
      <c r="G42" s="93"/>
      <c r="H42" s="96"/>
      <c r="I42" s="97"/>
    </row>
  </sheetData>
  <mergeCells count="3">
    <mergeCell ref="A2:A23"/>
    <mergeCell ref="A24:A33"/>
    <mergeCell ref="A34:A40"/>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A5AB82A950E04EAE3D514193882E41" ma:contentTypeVersion="2" ma:contentTypeDescription="Create a new document." ma:contentTypeScope="" ma:versionID="004af759271a7e7f1cc1e1a44939cf94">
  <xsd:schema xmlns:xsd="http://www.w3.org/2001/XMLSchema" xmlns:xs="http://www.w3.org/2001/XMLSchema" xmlns:p="http://schemas.microsoft.com/office/2006/metadata/properties" xmlns:ns2="b317a139-3373-464d-b5e8-a5a8b0235174" targetNamespace="http://schemas.microsoft.com/office/2006/metadata/properties" ma:root="true" ma:fieldsID="45b4862bb60b98bcbc555a7a6e269a08" ns2:_="">
    <xsd:import namespace="b317a139-3373-464d-b5e8-a5a8b023517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17a139-3373-464d-b5e8-a5a8b02351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49D3B3-EAAD-4891-908D-7C7D9A1971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17a139-3373-464d-b5e8-a5a8b02351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7F633A-4DB6-48FB-BF0A-1B90015D4EE0}">
  <ds:schemaRefs>
    <ds:schemaRef ds:uri="http://schemas.microsoft.com/sharepoint/v3/contenttype/forms"/>
  </ds:schemaRefs>
</ds:datastoreItem>
</file>

<file path=customXml/itemProps3.xml><?xml version="1.0" encoding="utf-8"?>
<ds:datastoreItem xmlns:ds="http://schemas.openxmlformats.org/officeDocument/2006/customXml" ds:itemID="{D49F2809-60D8-4376-A923-5D550D2FE543}">
  <ds:schemaRefs>
    <ds:schemaRef ds:uri="http://schemas.microsoft.com/office/2006/metadata/properties"/>
    <ds:schemaRef ds:uri="http://www.w3.org/XML/1998/namespace"/>
    <ds:schemaRef ds:uri="http://purl.org/dc/elements/1.1/"/>
    <ds:schemaRef ds:uri="http://schemas.openxmlformats.org/package/2006/metadata/core-properties"/>
    <ds:schemaRef ds:uri="http://purl.org/dc/terms/"/>
    <ds:schemaRef ds:uri="http://purl.org/dc/dcmitype/"/>
    <ds:schemaRef ds:uri="b317a139-3373-464d-b5e8-a5a8b0235174"/>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Introduction</vt:lpstr>
      <vt:lpstr>Fuel Sub Calcs-Custom</vt:lpstr>
      <vt:lpstr>Fuel Sub Calcs-Deemed</vt:lpstr>
      <vt:lpstr>Time series tables</vt:lpstr>
      <vt:lpstr>AFLookup</vt:lpstr>
      <vt:lpstr>E3 Cover</vt:lpstr>
      <vt:lpstr>Annual Factors</vt:lpstr>
      <vt:lpstr>Long-Run Emissions Inputs</vt:lpstr>
      <vt:lpstr>Device Refrigerant Leakage</vt:lpstr>
      <vt:lpstr>Refrigerant GWPs</vt:lpstr>
      <vt:lpstr>Reference</vt:lpstr>
      <vt:lpstr>Dropdown</vt:lpstr>
      <vt:lpstr>AF_Emissions_Intensity_metric_tonnes_per_MWh</vt:lpstr>
      <vt:lpstr>AF_Emissions_Intensity_short_tons_per_MWh</vt:lpstr>
      <vt:lpstr>AF_Source_Energy_Btu_per_kWh</vt:lpstr>
      <vt:lpstr>AFL_Emissions_Intensity_metric_tonnes_per_MWh</vt:lpstr>
      <vt:lpstr>AFL_IndexB</vt:lpstr>
      <vt:lpstr>AFL_Source_Energy_Btu_per_kWh</vt:lpstr>
      <vt:lpstr>AnnualFactorYear</vt:lpstr>
      <vt:lpstr>Btu_per_kWh</vt:lpstr>
      <vt:lpstr>Btu_therm</vt:lpstr>
      <vt:lpstr>CCGT_Heat_Rate_btu_per_kwh</vt:lpstr>
      <vt:lpstr>dropdown_Fuel</vt:lpstr>
      <vt:lpstr>dropdown_MAT</vt:lpstr>
      <vt:lpstr>fuel_electricity</vt:lpstr>
      <vt:lpstr>fuel_natural_gas</vt:lpstr>
      <vt:lpstr>MAT_AR</vt:lpstr>
      <vt:lpstr>MAT_NR</vt:lpstr>
      <vt:lpstr>MMBtu_per_therm</vt:lpstr>
      <vt:lpstr>NG_metric_tonne_CO2_therm</vt:lpstr>
      <vt:lpstr>Short_Ton_per_Metric_Tonne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Conference Room</dc:creator>
  <cp:keywords/>
  <dc:description/>
  <cp:lastModifiedBy>Michaela Levine</cp:lastModifiedBy>
  <cp:revision/>
  <dcterms:created xsi:type="dcterms:W3CDTF">2019-09-09T23:18:57Z</dcterms:created>
  <dcterms:modified xsi:type="dcterms:W3CDTF">2022-10-06T22:53:03Z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{EE89CA1D-6D36-457E-B57C-FA7DE748394F}</vt:lpwstr>
  </property>
  <property fmtid="{D5CDD505-2E9C-101B-9397-08002B2CF9AE}" pid="3" name="ContentTypeId">
    <vt:lpwstr>0x010100ABA5AB82A950E04EAE3D514193882E41</vt:lpwstr>
  </property>
</Properties>
</file>